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table+xml" PartName="/xl/tables/table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Clean_Data" sheetId="2" r:id="rId5"/>
    <sheet state="visible" name="Validation_Audit" sheetId="3" r:id="rId6"/>
    <sheet state="visible" name="TDS" sheetId="4" r:id="rId7"/>
    <sheet state="visible" name="Department_Analysis" sheetId="5" r:id="rId8"/>
    <sheet state="visible" name="Designation_Analysis" sheetId="6" r:id="rId9"/>
    <sheet state="visible" name="Monthly_Analysis_Final" sheetId="7" r:id="rId10"/>
    <sheet state="hidden" name="Dashboard_Helper" sheetId="8" r:id="rId11"/>
    <sheet state="visible" name="DASHBOARD" sheetId="9" r:id="rId12"/>
  </sheets>
  <definedNames>
    <definedName name="Slicer_Designation">#REF!</definedName>
    <definedName name="Slicer_Designation1">#REF!</definedName>
    <definedName name="Slicer_Department">#REF!</definedName>
    <definedName name="Slicer_TDS_Rate">#REF!</definedName>
    <definedName name="Slicer_Department1">#REF!</definedName>
    <definedName name="Slicer_Employee_ID">#REF!</definedName>
    <definedName name="Slicer_Pay_Month">#REF!</definedName>
    <definedName hidden="1" localSheetId="3" name="_xlnm._FilterDatabase">TDS!$A$10:$I$4754</definedName>
    <definedName hidden="1" localSheetId="4" name="_xlnm._FilterDatabase">Department_Analysis!$A$4:$H$11</definedName>
    <definedName hidden="1" localSheetId="5" name="_xlnm._FilterDatabase">Designation_Analysis!$A$4:$H$11</definedName>
    <definedName hidden="1" localSheetId="6" name="_xlnm._FilterDatabase">Monthly_Analysis_Final!$A$4:$F$16</definedName>
  </definedNames>
  <calcPr/>
</workbook>
</file>

<file path=xl/sharedStrings.xml><?xml version="1.0" encoding="utf-8"?>
<sst xmlns="http://schemas.openxmlformats.org/spreadsheetml/2006/main" count="59652" uniqueCount="4954">
  <si>
    <t>Employee ID</t>
  </si>
  <si>
    <t>Department</t>
  </si>
  <si>
    <t>Designation</t>
  </si>
  <si>
    <t>Basic Pay</t>
  </si>
  <si>
    <t>Allowances</t>
  </si>
  <si>
    <t>Overtime Amount</t>
  </si>
  <si>
    <t>Deductions</t>
  </si>
  <si>
    <t>Gross Salary</t>
  </si>
  <si>
    <t>Net Salary</t>
  </si>
  <si>
    <t>Pay Month</t>
  </si>
  <si>
    <t>Experience</t>
  </si>
  <si>
    <t>Destination</t>
  </si>
  <si>
    <t>EMP0001</t>
  </si>
  <si>
    <t>Sales</t>
  </si>
  <si>
    <t>Associate</t>
  </si>
  <si>
    <t>Delhi-North</t>
  </si>
  <si>
    <t>EMP0002</t>
  </si>
  <si>
    <t>HR</t>
  </si>
  <si>
    <t>Sr. Manager</t>
  </si>
  <si>
    <t>Bangalore-South</t>
  </si>
  <si>
    <t>EMP0003</t>
  </si>
  <si>
    <t>Chennai-South</t>
  </si>
  <si>
    <t>EMP0004</t>
  </si>
  <si>
    <t>Kolkata-East</t>
  </si>
  <si>
    <t>EMP0005</t>
  </si>
  <si>
    <t>Customer Support</t>
  </si>
  <si>
    <t>Director</t>
  </si>
  <si>
    <t>Pune-West</t>
  </si>
  <si>
    <t>EMP0006</t>
  </si>
  <si>
    <t>IT</t>
  </si>
  <si>
    <t>Executive</t>
  </si>
  <si>
    <t>Hyderabad-South</t>
  </si>
  <si>
    <t>EMP0007</t>
  </si>
  <si>
    <t>Analyst</t>
  </si>
  <si>
    <t>Chandigarh-North</t>
  </si>
  <si>
    <t>EMP0008</t>
  </si>
  <si>
    <t>Marketing</t>
  </si>
  <si>
    <t>Manager</t>
  </si>
  <si>
    <t>Ahmedabad-West</t>
  </si>
  <si>
    <t>EMP0009</t>
  </si>
  <si>
    <t>Jaipur-North</t>
  </si>
  <si>
    <t>EMP0010</t>
  </si>
  <si>
    <t>Mumbai-HO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</si>
  <si>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</si>
  <si>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</si>
  <si>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</si>
  <si>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</si>
  <si>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</si>
  <si>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</si>
  <si>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</si>
  <si>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</si>
  <si>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Finance</t>
  </si>
  <si>
    <t>EMP0019</t>
  </si>
  <si>
    <t>Operations</t>
  </si>
  <si>
    <t>Team Lead</t>
  </si>
  <si>
    <t>EMP0020</t>
  </si>
  <si>
    <t>EMP0021</t>
  </si>
  <si>
    <t>10/01/2025</t>
  </si>
  <si>
    <t>EMP0022</t>
  </si>
  <si>
    <t>EMP0023</t>
  </si>
  <si>
    <t>EMP0024</t>
  </si>
  <si>
    <t>01-12-2025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</si>
  <si>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</si>
  <si>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</si>
  <si>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</si>
  <si>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</si>
  <si>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</si>
  <si>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</si>
  <si>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</si>
  <si>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</si>
  <si>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</si>
  <si>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</si>
  <si>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</si>
  <si>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</si>
  <si>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</si>
  <si>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</si>
  <si>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</si>
  <si>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</si>
  <si>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</si>
  <si>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</si>
  <si>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</si>
  <si>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</si>
  <si>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</si>
  <si>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</si>
  <si>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Nov 2025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</si>
  <si>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</si>
  <si>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</si>
  <si>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</si>
  <si>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</si>
  <si>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</si>
  <si>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</si>
  <si>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</si>
  <si>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</si>
  <si>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</si>
  <si>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</si>
  <si>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</si>
  <si>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</si>
  <si>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</si>
  <si>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</si>
  <si>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</si>
  <si>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</si>
  <si>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</si>
  <si>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</si>
  <si>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</si>
  <si>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</si>
  <si>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</si>
  <si>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</si>
  <si>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</si>
  <si>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</si>
  <si>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</si>
  <si>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</si>
  <si>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</si>
  <si>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</si>
  <si>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</si>
  <si>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</si>
  <si>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</si>
  <si>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</si>
  <si>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</si>
  <si>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</si>
  <si>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</si>
  <si>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</si>
  <si>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</si>
  <si>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08/01/2025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</si>
  <si>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</si>
  <si>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</si>
  <si>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</si>
  <si>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</si>
  <si>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</si>
  <si>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</si>
  <si>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</si>
  <si>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</si>
  <si>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</si>
  <si>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</si>
  <si>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</si>
  <si>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2025/04/01</t>
  </si>
  <si>
    <t>EMP0096</t>
  </si>
  <si>
    <t>EMP0097</t>
  </si>
  <si>
    <t>EMP0099</t>
  </si>
  <si>
    <t>EMP0100</t>
  </si>
  <si>
    <t>EMP0101</t>
  </si>
  <si>
    <t>EMP0102</t>
  </si>
  <si>
    <t>EMP0103</t>
  </si>
  <si>
    <t>01-04-2025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</si>
  <si>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</si>
  <si>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</si>
  <si>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</si>
  <si>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</si>
  <si>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</si>
  <si>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</si>
  <si>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</si>
  <si>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</si>
  <si>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</si>
  <si>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</si>
  <si>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</si>
  <si>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</si>
  <si>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</si>
  <si>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</si>
  <si>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</si>
  <si>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</si>
  <si>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</si>
  <si>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</si>
  <si>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</si>
  <si>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</si>
  <si>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</si>
  <si>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</si>
  <si>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</si>
  <si>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</si>
  <si>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</si>
  <si>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</si>
  <si>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</si>
  <si>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</si>
  <si>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</si>
  <si>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</si>
  <si>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</si>
  <si>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</si>
  <si>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</si>
  <si>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</si>
  <si>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</si>
  <si>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</si>
  <si>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</si>
  <si>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</si>
  <si>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</si>
  <si>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</si>
  <si>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</si>
  <si>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</si>
  <si>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</si>
  <si>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</si>
  <si>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</si>
  <si>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</si>
  <si>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EMP0152</t>
  </si>
  <si>
    <t>01-01-2025</t>
  </si>
  <si>
    <t>EMP0153</t>
  </si>
  <si>
    <t>EMP0154</t>
  </si>
  <si>
    <t>EMP0155</t>
  </si>
  <si>
    <t>EMP0156</t>
  </si>
  <si>
    <t>EMP0157</t>
  </si>
  <si>
    <t>EMP0158</t>
  </si>
  <si>
    <t>07/01/2025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</si>
  <si>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</si>
  <si>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</si>
  <si>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</si>
  <si>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</si>
  <si>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</si>
  <si>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</si>
  <si>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</si>
  <si>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</si>
  <si>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</si>
  <si>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</si>
  <si>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</si>
  <si>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</si>
  <si>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</si>
  <si>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</si>
  <si>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</si>
  <si>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</si>
  <si>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</si>
  <si>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</si>
  <si>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</si>
  <si>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</si>
  <si>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</si>
  <si>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</si>
  <si>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</si>
  <si>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</si>
  <si>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</si>
  <si>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</si>
  <si>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</si>
  <si>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</si>
  <si>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</si>
  <si>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</si>
  <si>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</si>
  <si>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</si>
  <si>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</si>
  <si>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</si>
  <si>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</si>
  <si>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</si>
  <si>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</si>
  <si>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</si>
  <si>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</si>
  <si>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</si>
  <si>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</si>
  <si>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</si>
  <si>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</si>
  <si>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</si>
  <si>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</si>
  <si>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</si>
  <si>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</si>
  <si>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EMP0209</t>
  </si>
  <si>
    <t>EMP0210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</si>
  <si>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</si>
  <si>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</si>
  <si>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</si>
  <si>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</si>
  <si>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</si>
  <si>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</si>
  <si>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</si>
  <si>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</si>
  <si>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</si>
  <si>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</si>
  <si>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</si>
  <si>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</si>
  <si>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</si>
  <si>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</si>
  <si>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</si>
  <si>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</si>
  <si>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</si>
  <si>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</si>
  <si>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</si>
  <si>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</si>
  <si>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</si>
  <si>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</si>
  <si>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</si>
  <si>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</si>
  <si>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</si>
  <si>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</si>
  <si>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</si>
  <si>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</si>
  <si>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</si>
  <si>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01-06-2025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</si>
  <si>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</si>
  <si>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</si>
  <si>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</si>
  <si>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</si>
  <si>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</si>
  <si>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</si>
  <si>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</si>
  <si>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</si>
  <si>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</si>
  <si>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</si>
  <si>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</si>
  <si>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</si>
  <si>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</si>
  <si>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</si>
  <si>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</si>
  <si>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</si>
  <si>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</si>
  <si>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</si>
  <si>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</si>
  <si>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</si>
  <si>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</si>
  <si>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</si>
  <si>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</si>
  <si>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</si>
  <si>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</si>
  <si>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</si>
  <si>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</si>
  <si>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</si>
  <si>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</si>
  <si>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</si>
  <si>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</si>
  <si>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</si>
  <si>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</si>
  <si>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</si>
  <si>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</si>
  <si>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</si>
  <si>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</si>
  <si>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</si>
  <si>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</si>
  <si>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</si>
  <si>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</si>
  <si>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</si>
  <si>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</si>
  <si>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</si>
  <si>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</si>
  <si>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</si>
  <si>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</si>
  <si>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</si>
  <si>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</si>
  <si>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</si>
  <si>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</si>
  <si>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</si>
  <si>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</si>
  <si>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</si>
  <si>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</si>
  <si>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</si>
  <si>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</si>
  <si>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</si>
  <si>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</si>
  <si>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</si>
  <si>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</si>
  <si>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</si>
  <si>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</si>
  <si>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</si>
  <si>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EMP0307</t>
  </si>
  <si>
    <t>EMP0308</t>
  </si>
  <si>
    <t>EMP0309</t>
  </si>
  <si>
    <t>09/01/2025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</si>
  <si>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</si>
  <si>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</si>
  <si>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</si>
  <si>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</si>
  <si>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</si>
  <si>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</si>
  <si>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</si>
  <si>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</si>
  <si>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</si>
  <si>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</si>
  <si>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</si>
  <si>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</si>
  <si>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</si>
  <si>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</si>
  <si>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</si>
  <si>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</si>
  <si>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</si>
  <si>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</si>
  <si>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</si>
  <si>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</si>
  <si>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</si>
  <si>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</si>
  <si>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</si>
  <si>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</si>
  <si>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</si>
  <si>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</si>
  <si>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</si>
  <si>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</si>
  <si>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</si>
  <si>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</si>
  <si>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</si>
  <si>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</si>
  <si>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</si>
  <si>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</si>
  <si>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</si>
  <si>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</si>
  <si>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</si>
  <si>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</si>
  <si>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</si>
  <si>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</si>
  <si>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</si>
  <si>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</si>
  <si>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</si>
  <si>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</si>
  <si>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</si>
  <si>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</si>
  <si>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</si>
  <si>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</si>
  <si>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</si>
  <si>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</si>
  <si>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</si>
  <si>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</si>
  <si>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</si>
  <si>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</si>
  <si>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</si>
  <si>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</si>
  <si>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</si>
  <si>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</si>
  <si>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</si>
  <si>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</si>
  <si>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</si>
  <si>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</si>
  <si>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</si>
  <si>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</si>
  <si>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</si>
  <si>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</si>
  <si>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</si>
  <si>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</si>
  <si>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</si>
  <si>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</si>
  <si>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</si>
  <si>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</si>
  <si>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</si>
  <si>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</si>
  <si>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EMP0387</t>
  </si>
  <si>
    <t>EMP0388</t>
  </si>
  <si>
    <t>EMP0389</t>
  </si>
  <si>
    <t>EMP0390</t>
  </si>
  <si>
    <t>EMP0391</t>
  </si>
  <si>
    <t>EMP0392</t>
  </si>
  <si>
    <t>EMP0393</t>
  </si>
  <si>
    <t>EMP0395</t>
  </si>
  <si>
    <t>EMP0396</t>
  </si>
  <si>
    <t>EMP0397</t>
  </si>
  <si>
    <t>EMP0398</t>
  </si>
  <si>
    <t>EMP0399</t>
  </si>
  <si>
    <t>EMP0400</t>
  </si>
  <si>
    <t>2025/10/01</t>
  </si>
  <si>
    <t>EMP0401</t>
  </si>
  <si>
    <t>EMP0402</t>
  </si>
  <si>
    <t>EMP0403</t>
  </si>
  <si>
    <t>EMP0404</t>
  </si>
  <si>
    <t>EMP0405</t>
  </si>
  <si>
    <t>02/01/2025</t>
  </si>
  <si>
    <t>EMP0406</t>
  </si>
  <si>
    <t>EMP0407</t>
  </si>
  <si>
    <t>EMP0408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</si>
  <si>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</si>
  <si>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</si>
  <si>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</si>
  <si>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</si>
  <si>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</si>
  <si>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</si>
  <si>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</si>
  <si>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</si>
  <si>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</si>
  <si>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</si>
  <si>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</si>
  <si>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</si>
  <si>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EMP0423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</si>
  <si>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</si>
  <si>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</si>
  <si>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</si>
  <si>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</si>
  <si>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</si>
  <si>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</si>
  <si>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</si>
  <si>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</si>
  <si>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EMP0434</t>
  </si>
  <si>
    <t>EMP0435</t>
  </si>
  <si>
    <t>EMP0436</t>
  </si>
  <si>
    <t>EMP0437</t>
  </si>
  <si>
    <t>EMP0438</t>
  </si>
  <si>
    <t>EMP0439</t>
  </si>
  <si>
    <t>EMP0440</t>
  </si>
  <si>
    <t>EMP0444</t>
  </si>
  <si>
    <t>EMP0445</t>
  </si>
  <si>
    <t>EMP0446</t>
  </si>
  <si>
    <t>EMP0447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</si>
  <si>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</si>
  <si>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</si>
  <si>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</si>
  <si>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</si>
  <si>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</si>
  <si>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</si>
  <si>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</si>
  <si>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</si>
  <si>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Feb 2025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</si>
  <si>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</si>
  <si>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</si>
  <si>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</si>
  <si>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</si>
  <si>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</si>
  <si>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</si>
  <si>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</si>
  <si>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</si>
  <si>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</si>
  <si>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</si>
  <si>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</si>
  <si>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</si>
  <si>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</si>
  <si>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EMP0471</t>
  </si>
  <si>
    <t>EMP0472</t>
  </si>
  <si>
    <t>EMP0474</t>
  </si>
  <si>
    <t>EMP0475</t>
  </si>
  <si>
    <t>EMP0476</t>
  </si>
  <si>
    <t>EMP0477</t>
  </si>
  <si>
    <t>01-10-2025</t>
  </si>
  <si>
    <t>EMP0478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</si>
  <si>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</si>
  <si>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</si>
  <si>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</si>
  <si>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</si>
  <si>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</si>
  <si>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</si>
  <si>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</si>
  <si>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</si>
  <si>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</si>
  <si>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</si>
  <si>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</si>
  <si>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</si>
  <si>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</si>
  <si>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</si>
  <si>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</si>
  <si>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</si>
  <si>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</si>
  <si>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</si>
  <si>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</si>
  <si>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</si>
  <si>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</si>
  <si>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</si>
  <si>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</si>
  <si>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</si>
  <si>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</si>
  <si>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</si>
  <si>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</si>
  <si>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</si>
  <si>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</si>
  <si>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</si>
  <si>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</si>
  <si>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</si>
  <si>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</si>
  <si>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</si>
  <si>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</si>
  <si>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</si>
  <si>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</si>
  <si>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</si>
  <si>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</si>
  <si>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</si>
  <si>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</si>
  <si>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</si>
  <si>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</si>
  <si>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</si>
  <si>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</si>
  <si>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</si>
  <si>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</si>
  <si>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</si>
  <si>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</si>
  <si>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</si>
  <si>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</si>
  <si>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</si>
  <si>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</si>
  <si>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</si>
  <si>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</si>
  <si>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</si>
  <si>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</si>
  <si>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</si>
  <si>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</si>
  <si>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</si>
  <si>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</si>
  <si>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</si>
  <si>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</si>
  <si>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</si>
  <si>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</si>
  <si>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</si>
  <si>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</si>
  <si>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</si>
  <si>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</si>
  <si>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</si>
  <si>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</si>
  <si>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</si>
  <si>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</si>
  <si>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</si>
  <si>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</si>
  <si>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</si>
  <si>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</si>
  <si>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</si>
  <si>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</si>
  <si>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</si>
  <si>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</si>
  <si>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</si>
  <si>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</si>
  <si>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</si>
  <si>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</si>
  <si>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</si>
  <si>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</si>
  <si>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Jun 2025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</si>
  <si>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</si>
  <si>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</si>
  <si>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</si>
  <si>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</si>
  <si>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</si>
  <si>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</si>
  <si>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</si>
  <si>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</si>
  <si>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</si>
  <si>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</si>
  <si>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</si>
  <si>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</si>
  <si>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</si>
  <si>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</si>
  <si>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</si>
  <si>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</si>
  <si>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</si>
  <si>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</si>
  <si>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</si>
  <si>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</si>
  <si>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</si>
  <si>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</si>
  <si>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</si>
  <si>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</si>
  <si>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</si>
  <si>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</si>
  <si>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</si>
  <si>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</si>
  <si>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</si>
  <si>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</si>
  <si>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</si>
  <si>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</si>
  <si>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</si>
  <si>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</si>
  <si>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</si>
  <si>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</si>
  <si>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</si>
  <si>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</si>
  <si>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</si>
  <si>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</si>
  <si>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</si>
  <si>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EMP0612</t>
  </si>
  <si>
    <t>EMP0613</t>
  </si>
  <si>
    <t>EMP0614</t>
  </si>
  <si>
    <t>EMP0615</t>
  </si>
  <si>
    <t>EMP0616</t>
  </si>
  <si>
    <t>EMP0617</t>
  </si>
  <si>
    <t>EMP0618</t>
  </si>
  <si>
    <t>EMP0620</t>
  </si>
  <si>
    <t>EMP0621</t>
  </si>
  <si>
    <t>EMP0622</t>
  </si>
  <si>
    <t>EMP0623</t>
  </si>
  <si>
    <t>EMP0624</t>
  </si>
  <si>
    <t>EMP0625</t>
  </si>
  <si>
    <t>EMP0627</t>
  </si>
  <si>
    <t>EMP0628</t>
  </si>
  <si>
    <t>EMP0629</t>
  </si>
  <si>
    <t>EMP0630</t>
  </si>
  <si>
    <t>EMP0631</t>
  </si>
  <si>
    <t>EMP0632</t>
  </si>
  <si>
    <t>EMP0633</t>
  </si>
  <si>
    <t>2025/07/01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</si>
  <si>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</si>
  <si>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</si>
  <si>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</si>
  <si>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</si>
  <si>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</si>
  <si>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</si>
  <si>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</si>
  <si>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</si>
  <si>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</si>
  <si>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</si>
  <si>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</si>
  <si>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</si>
  <si>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</si>
  <si>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</si>
  <si>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</si>
  <si>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</si>
  <si>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</si>
  <si>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</si>
  <si>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</si>
  <si>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</si>
  <si>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</si>
  <si>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</si>
  <si>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05/01/2025</t>
  </si>
  <si>
    <t>EMP0657</t>
  </si>
  <si>
    <t>EMP0658</t>
  </si>
  <si>
    <t>EMP0659</t>
  </si>
  <si>
    <t>EMP0660</t>
  </si>
  <si>
    <t>EMP0661</t>
  </si>
  <si>
    <t>EMP0662</t>
  </si>
  <si>
    <t>EMP0663</t>
  </si>
  <si>
    <t>2025/05/01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</si>
  <si>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</si>
  <si>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</si>
  <si>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</si>
  <si>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</si>
  <si>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</si>
  <si>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</si>
  <si>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</si>
  <si>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</si>
  <si>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</si>
  <si>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</si>
  <si>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</si>
  <si>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</si>
  <si>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</si>
  <si>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EMP0678</t>
  </si>
  <si>
    <t>EMP0679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</si>
  <si>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</si>
  <si>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</si>
  <si>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</si>
  <si>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</si>
  <si>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</si>
  <si>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</si>
  <si>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</si>
  <si>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</si>
  <si>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</si>
  <si>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</si>
  <si>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</si>
  <si>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</si>
  <si>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</si>
  <si>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</si>
  <si>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</si>
  <si>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</si>
  <si>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</si>
  <si>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</si>
  <si>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</si>
  <si>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</si>
  <si>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</si>
  <si>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</si>
  <si>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</si>
  <si>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</si>
  <si>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</si>
  <si>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</si>
  <si>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</si>
  <si>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</si>
  <si>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</si>
  <si>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</si>
  <si>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</si>
  <si>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</si>
  <si>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</si>
  <si>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</si>
  <si>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</si>
  <si>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</si>
  <si>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</si>
  <si>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</si>
  <si>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</si>
  <si>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</si>
  <si>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</si>
  <si>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</si>
  <si>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</si>
  <si>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</si>
  <si>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</si>
  <si>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</si>
  <si>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</si>
  <si>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</si>
  <si>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</si>
  <si>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</si>
  <si>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</si>
  <si>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</si>
  <si>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</si>
  <si>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</si>
  <si>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</si>
  <si>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</si>
  <si>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</si>
  <si>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</si>
  <si>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</si>
  <si>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</si>
  <si>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</si>
  <si>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</si>
  <si>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</si>
  <si>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</si>
  <si>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</si>
  <si>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</si>
  <si>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Oct 2025</t>
  </si>
  <si>
    <t>EMP0750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</si>
  <si>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</si>
  <si>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</si>
  <si>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</si>
  <si>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</si>
  <si>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</si>
  <si>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</si>
  <si>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</si>
  <si>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</si>
  <si>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</si>
  <si>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</si>
  <si>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</si>
  <si>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</si>
  <si>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</si>
  <si>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</si>
  <si>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</si>
  <si>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</si>
  <si>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</si>
  <si>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Mar 2025</t>
  </si>
  <si>
    <t>EMP0769</t>
  </si>
  <si>
    <t>EMP0770</t>
  </si>
  <si>
    <t>2025/11/01</t>
  </si>
  <si>
    <t>EMP0771</t>
  </si>
  <si>
    <t>EMP0772</t>
  </si>
  <si>
    <t>EMP0773</t>
  </si>
  <si>
    <t>EMP0774</t>
  </si>
  <si>
    <t>EMP0775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</si>
  <si>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</si>
  <si>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</si>
  <si>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</si>
  <si>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</si>
  <si>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</si>
  <si>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</si>
  <si>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</si>
  <si>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</si>
  <si>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</si>
  <si>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</si>
  <si>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</si>
  <si>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</si>
  <si>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</si>
  <si>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</si>
  <si>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EMP0792</t>
  </si>
  <si>
    <t>EMP0793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</si>
  <si>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</si>
  <si>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</si>
  <si>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</si>
  <si>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</si>
  <si>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</si>
  <si>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</si>
  <si>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</si>
  <si>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</si>
  <si>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</si>
  <si>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</si>
  <si>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</si>
  <si>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</si>
  <si>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</si>
  <si>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</si>
  <si>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</si>
  <si>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</si>
  <si>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</si>
  <si>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</si>
  <si>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</si>
  <si>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</si>
  <si>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</si>
  <si>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</si>
  <si>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</si>
  <si>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</si>
  <si>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</si>
  <si>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</si>
  <si>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</si>
  <si>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</si>
  <si>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</si>
  <si>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</si>
  <si>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</si>
  <si>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</si>
  <si>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</si>
  <si>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</si>
  <si>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</si>
  <si>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</si>
  <si>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</si>
  <si>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</si>
  <si>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</si>
  <si>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</si>
  <si>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</si>
  <si>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</si>
  <si>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</si>
  <si>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</si>
  <si>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01-02-2025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</si>
  <si>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</si>
  <si>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</si>
  <si>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</si>
  <si>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</si>
  <si>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</si>
  <si>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</si>
  <si>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</si>
  <si>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</si>
  <si>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</si>
  <si>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</si>
  <si>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</si>
  <si>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</si>
  <si>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</si>
  <si>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</si>
  <si>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</si>
  <si>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</si>
  <si>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</si>
  <si>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</si>
  <si>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</si>
  <si>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</si>
  <si>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</si>
  <si>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</si>
  <si>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</si>
  <si>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</si>
  <si>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</si>
  <si>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</si>
  <si>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</si>
  <si>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Dec 2025</t>
  </si>
  <si>
    <t>EMP0868</t>
  </si>
  <si>
    <t>EMP0869</t>
  </si>
  <si>
    <t>EMP0870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</si>
  <si>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</si>
  <si>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</si>
  <si>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</si>
  <si>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</si>
  <si>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</si>
  <si>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</si>
  <si>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</si>
  <si>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</si>
  <si>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</si>
  <si>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</si>
  <si>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</si>
  <si>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</si>
  <si>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</si>
  <si>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</si>
  <si>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</si>
  <si>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</si>
  <si>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</si>
  <si>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</si>
  <si>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</si>
  <si>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</si>
  <si>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</si>
  <si>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</si>
  <si>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</si>
  <si>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</si>
  <si>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EMP0898</t>
  </si>
  <si>
    <t>EMP0899</t>
  </si>
  <si>
    <t>EMP0900</t>
  </si>
  <si>
    <t>EMP0901</t>
  </si>
  <si>
    <t>EMP0902</t>
  </si>
  <si>
    <t>EMP0903</t>
  </si>
  <si>
    <t>EMP0904</t>
  </si>
  <si>
    <t>01-05-2025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</si>
  <si>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</si>
  <si>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</si>
  <si>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</si>
  <si>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</si>
  <si>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</si>
  <si>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</si>
  <si>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</si>
  <si>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</si>
  <si>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</si>
  <si>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</si>
  <si>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</si>
  <si>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</si>
  <si>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</si>
  <si>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</si>
  <si>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</si>
  <si>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</si>
  <si>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</si>
  <si>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</si>
  <si>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</si>
  <si>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</si>
  <si>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</si>
  <si>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</si>
  <si>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</si>
  <si>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</si>
  <si>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</si>
  <si>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</si>
  <si>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</si>
  <si>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</si>
  <si>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EMP0935</t>
  </si>
  <si>
    <t>EMP0936</t>
  </si>
  <si>
    <t>EMP0937</t>
  </si>
  <si>
    <t>EMP0938</t>
  </si>
  <si>
    <t>EMP0939</t>
  </si>
  <si>
    <t>EMP0940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</si>
  <si>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</si>
  <si>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</si>
  <si>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</si>
  <si>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</si>
  <si>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</si>
  <si>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</si>
  <si>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</si>
  <si>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</si>
  <si>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</si>
  <si>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</si>
  <si>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</si>
  <si>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</si>
  <si>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</si>
  <si>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</si>
  <si>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</si>
  <si>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</si>
  <si>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EMP0959</t>
  </si>
  <si>
    <t>EMP0960</t>
  </si>
  <si>
    <t>Jan 2025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</si>
  <si>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</si>
  <si>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</si>
  <si>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</si>
  <si>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</si>
  <si>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</si>
  <si>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</si>
  <si>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</si>
  <si>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</si>
  <si>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EMP0970</t>
  </si>
  <si>
    <t>11/01/2025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</si>
  <si>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</si>
  <si>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</si>
  <si>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</si>
  <si>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</si>
  <si>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</si>
  <si>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</si>
  <si>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</si>
  <si>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</si>
  <si>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</si>
  <si>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</si>
  <si>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</si>
  <si>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</si>
  <si>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</si>
  <si>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</si>
  <si>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</si>
  <si>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</si>
  <si>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</si>
  <si>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</si>
  <si>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</si>
  <si>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</si>
  <si>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</si>
  <si>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</si>
  <si>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</si>
  <si>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</si>
  <si>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</si>
  <si>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</si>
  <si>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</si>
  <si>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</si>
  <si>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</si>
  <si>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</si>
  <si>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</si>
  <si>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2025-05</t>
  </si>
  <si>
    <t>EMP1002</t>
  </si>
  <si>
    <t>2025-02</t>
  </si>
  <si>
    <t>EMP1003</t>
  </si>
  <si>
    <t>2025-12</t>
  </si>
  <si>
    <t>EMP1004</t>
  </si>
  <si>
    <t>2025-04</t>
  </si>
  <si>
    <t>EMP1005</t>
  </si>
  <si>
    <t>EMP1007</t>
  </si>
  <si>
    <t>2025-03</t>
  </si>
  <si>
    <t>EMP1008</t>
  </si>
  <si>
    <t>2025-09</t>
  </si>
  <si>
    <t>EMP1009</t>
  </si>
  <si>
    <t>EMP1010</t>
  </si>
  <si>
    <t>2025-01</t>
  </si>
  <si>
    <t>EMP1011</t>
  </si>
  <si>
    <t>EMP1012</t>
  </si>
  <si>
    <t>EMP1013</t>
  </si>
  <si>
    <t>EMP1014</t>
  </si>
  <si>
    <t>2025-10</t>
  </si>
  <si>
    <t>EMP1015</t>
  </si>
  <si>
    <t>EMP1016</t>
  </si>
  <si>
    <t>2025-08</t>
  </si>
  <si>
    <t>EMP1017</t>
  </si>
  <si>
    <t>EMP1018</t>
  </si>
  <si>
    <t>EMP1019</t>
  </si>
  <si>
    <t>EMP1020</t>
  </si>
  <si>
    <t>EMP1021</t>
  </si>
  <si>
    <t>2025-06</t>
  </si>
  <si>
    <t>EMP1022</t>
  </si>
  <si>
    <t>2025-11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</si>
  <si>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</si>
  <si>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</si>
  <si>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</si>
  <si>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</si>
  <si>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</si>
  <si>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</si>
  <si>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</si>
  <si>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</si>
  <si>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</si>
  <si>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</si>
  <si>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</si>
  <si>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</si>
  <si>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</si>
  <si>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</si>
  <si>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</si>
  <si>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</si>
  <si>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</si>
  <si>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</si>
  <si>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</si>
  <si>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2025-07</t>
  </si>
  <si>
    <t>EMP1042</t>
  </si>
  <si>
    <t>EMP1043</t>
  </si>
  <si>
    <t>EMP1044</t>
  </si>
  <si>
    <t>EMP1045</t>
  </si>
  <si>
    <t>EMP1046</t>
  </si>
  <si>
    <t>EMP1047</t>
  </si>
  <si>
    <t>EMP1048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</si>
  <si>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</si>
  <si>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</si>
  <si>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</si>
  <si>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</si>
  <si>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</si>
  <si>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</si>
  <si>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</si>
  <si>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</si>
  <si>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</si>
  <si>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</si>
  <si>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</si>
  <si>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</si>
  <si>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</si>
  <si>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</si>
  <si>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</si>
  <si>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</si>
  <si>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</si>
  <si>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</si>
  <si>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</si>
  <si>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</si>
  <si>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</si>
  <si>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</si>
  <si>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</si>
  <si>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</si>
  <si>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</si>
  <si>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</si>
  <si>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</si>
  <si>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</si>
  <si>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</si>
  <si>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</si>
  <si>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</si>
  <si>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</si>
  <si>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</si>
  <si>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</si>
  <si>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</si>
  <si>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</si>
  <si>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</si>
  <si>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</si>
  <si>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</si>
  <si>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</si>
  <si>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</si>
  <si>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</si>
  <si>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</si>
  <si>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</si>
  <si>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</si>
  <si>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</si>
  <si>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</si>
  <si>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</si>
  <si>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</si>
  <si>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</si>
  <si>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</si>
  <si>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</si>
  <si>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</si>
  <si>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</si>
  <si>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</si>
  <si>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</si>
  <si>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</si>
  <si>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</si>
  <si>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</si>
  <si>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</si>
  <si>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</si>
  <si>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</si>
  <si>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</si>
  <si>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</si>
  <si>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</si>
  <si>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</si>
  <si>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</si>
  <si>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</si>
  <si>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</si>
  <si>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</si>
  <si>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</si>
  <si>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</si>
  <si>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</si>
  <si>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</si>
  <si>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</si>
  <si>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</si>
  <si>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</si>
  <si>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</si>
  <si>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</si>
  <si>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</si>
  <si>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</si>
  <si>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</si>
  <si>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</si>
  <si>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</si>
  <si>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</si>
  <si>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</si>
  <si>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</si>
  <si>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</si>
  <si>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</si>
  <si>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</si>
  <si>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</si>
  <si>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</si>
  <si>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</si>
  <si>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</si>
  <si>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</si>
  <si>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</si>
  <si>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</si>
  <si>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</si>
  <si>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</si>
  <si>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</si>
  <si>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</si>
  <si>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</si>
  <si>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</si>
  <si>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</si>
  <si>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</si>
  <si>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</si>
  <si>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</si>
  <si>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</si>
  <si>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</si>
  <si>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</si>
  <si>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</si>
  <si>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</si>
  <si>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</si>
  <si>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</si>
  <si>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</si>
  <si>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</si>
  <si>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</si>
  <si>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</si>
  <si>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</si>
  <si>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</si>
  <si>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</si>
  <si>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</si>
  <si>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</si>
  <si>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</si>
  <si>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</si>
  <si>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</si>
  <si>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</si>
  <si>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</si>
  <si>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</si>
  <si>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</si>
  <si>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</si>
  <si>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</si>
  <si>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2025/03/01</t>
  </si>
  <si>
    <t>EMP1187</t>
  </si>
  <si>
    <t>EMP1188</t>
  </si>
  <si>
    <t>EMP1189</t>
  </si>
  <si>
    <t>EMP1190</t>
  </si>
  <si>
    <t>EMP1191</t>
  </si>
  <si>
    <t>EMP1192</t>
  </si>
  <si>
    <t>EMP1193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</si>
  <si>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</si>
  <si>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</si>
  <si>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</si>
  <si>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</si>
  <si>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</si>
  <si>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</si>
  <si>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</si>
  <si>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</si>
  <si>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</si>
  <si>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</si>
  <si>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</si>
  <si>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</si>
  <si>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</si>
  <si>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</si>
  <si>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</si>
  <si>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</si>
  <si>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</si>
  <si>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</si>
  <si>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</si>
  <si>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</si>
  <si>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</si>
  <si>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</si>
  <si>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</si>
  <si>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</si>
  <si>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</si>
  <si>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</si>
  <si>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</si>
  <si>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</si>
  <si>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</si>
  <si>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</si>
  <si>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</si>
  <si>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</si>
  <si>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</si>
  <si>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</si>
  <si>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</si>
  <si>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</si>
  <si>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01-03-2025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</si>
  <si>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</si>
  <si>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</si>
  <si>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</si>
  <si>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</si>
  <si>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</si>
  <si>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</si>
  <si>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</si>
  <si>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</si>
  <si>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</si>
  <si>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</si>
  <si>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</si>
  <si>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</si>
  <si>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</si>
  <si>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</si>
  <si>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</si>
  <si>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</si>
  <si>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</si>
  <si>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</si>
  <si>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</si>
  <si>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</si>
  <si>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</si>
  <si>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</si>
  <si>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</si>
  <si>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</si>
  <si>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</si>
  <si>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</si>
  <si>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</si>
  <si>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</si>
  <si>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</si>
  <si>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</si>
  <si>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</si>
  <si>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</si>
  <si>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</si>
  <si>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</si>
  <si>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</si>
  <si>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</si>
  <si>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</si>
  <si>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</si>
  <si>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</si>
  <si>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</si>
  <si>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</si>
  <si>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</si>
  <si>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</si>
  <si>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</si>
  <si>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</si>
  <si>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</si>
  <si>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</si>
  <si>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</si>
  <si>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</si>
  <si>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</si>
  <si>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</si>
  <si>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</si>
  <si>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</si>
  <si>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</si>
  <si>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</si>
  <si>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</si>
  <si>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</si>
  <si>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</si>
  <si>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</si>
  <si>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</si>
  <si>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</si>
  <si>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</si>
  <si>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</si>
  <si>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</si>
  <si>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</si>
  <si>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</si>
  <si>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</si>
  <si>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</si>
  <si>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</si>
  <si>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</si>
  <si>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</si>
  <si>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</si>
  <si>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</si>
  <si>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</si>
  <si>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EMP1307</t>
  </si>
  <si>
    <t>EMP1308</t>
  </si>
  <si>
    <t>EMP1309</t>
  </si>
  <si>
    <t>EMP1310</t>
  </si>
  <si>
    <t>Jul 2025</t>
  </si>
  <si>
    <t>EMP1311</t>
  </si>
  <si>
    <t>EMP1312</t>
  </si>
  <si>
    <t>EMP1313</t>
  </si>
  <si>
    <t>EMP1314</t>
  </si>
  <si>
    <t>EMP1315</t>
  </si>
  <si>
    <t>EMP1316</t>
  </si>
  <si>
    <t>EMP1318</t>
  </si>
  <si>
    <t>EMP1319</t>
  </si>
  <si>
    <t>EMP1320</t>
  </si>
  <si>
    <t>EMP1321</t>
  </si>
  <si>
    <t>EMP1322</t>
  </si>
  <si>
    <t>EMP1323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</si>
  <si>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</si>
  <si>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</si>
  <si>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</si>
  <si>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</si>
  <si>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</si>
  <si>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</si>
  <si>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</si>
  <si>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</si>
  <si>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</si>
  <si>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</si>
  <si>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</si>
  <si>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</si>
  <si>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</si>
  <si>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</si>
  <si>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</si>
  <si>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</si>
  <si>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</si>
  <si>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</si>
  <si>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</si>
  <si>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</si>
  <si>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</si>
  <si>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EMP1347</t>
  </si>
  <si>
    <t>EMP1348</t>
  </si>
  <si>
    <t>EMP1349</t>
  </si>
  <si>
    <t>EMP1350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</si>
  <si>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</si>
  <si>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</si>
  <si>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</si>
  <si>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</si>
  <si>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</si>
  <si>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</si>
  <si>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</si>
  <si>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</si>
  <si>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</si>
  <si>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</si>
  <si>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</si>
  <si>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</si>
  <si>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</si>
  <si>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</si>
  <si>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</si>
  <si>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</si>
  <si>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</si>
  <si>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</si>
  <si>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</si>
  <si>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</si>
  <si>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</si>
  <si>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</si>
  <si>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</si>
  <si>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</si>
  <si>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</si>
  <si>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</si>
  <si>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</si>
  <si>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</si>
  <si>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</si>
  <si>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</si>
  <si>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</si>
  <si>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</si>
  <si>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</si>
  <si>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</si>
  <si>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</si>
  <si>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</si>
  <si>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</si>
  <si>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</si>
  <si>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</si>
  <si>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</si>
  <si>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</si>
  <si>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</si>
  <si>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</si>
  <si>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</si>
  <si>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</si>
  <si>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</si>
  <si>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</si>
  <si>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</si>
  <si>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</si>
  <si>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</si>
  <si>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</si>
  <si>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</si>
  <si>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</si>
  <si>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</si>
  <si>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</si>
  <si>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</si>
  <si>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</si>
  <si>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</si>
  <si>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</si>
  <si>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</si>
  <si>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</si>
  <si>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</si>
  <si>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</si>
  <si>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</si>
  <si>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</si>
  <si>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</si>
  <si>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</si>
  <si>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</si>
  <si>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</si>
  <si>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</si>
  <si>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</si>
  <si>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</si>
  <si>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</si>
  <si>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</si>
  <si>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</si>
  <si>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</si>
  <si>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</si>
  <si>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</si>
  <si>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</si>
  <si>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</si>
  <si>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</si>
  <si>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</si>
  <si>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</si>
  <si>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</si>
  <si>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</si>
  <si>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</si>
  <si>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</si>
  <si>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</si>
  <si>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</si>
  <si>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</si>
  <si>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</si>
  <si>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</si>
  <si>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</si>
  <si>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</si>
  <si>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</si>
  <si>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</si>
  <si>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</si>
  <si>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</si>
  <si>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</si>
  <si>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</si>
  <si>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</si>
  <si>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</si>
  <si>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</si>
  <si>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</si>
  <si>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</si>
  <si>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</si>
  <si>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</si>
  <si>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</si>
  <si>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</si>
  <si>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</si>
  <si>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</si>
  <si>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</si>
  <si>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</si>
  <si>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</si>
  <si>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</si>
  <si>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</si>
  <si>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</si>
  <si>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</si>
  <si>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</si>
  <si>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</si>
  <si>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</si>
  <si>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</si>
  <si>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</si>
  <si>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</si>
  <si>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</si>
  <si>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</si>
  <si>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</si>
  <si>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</si>
  <si>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EMP1485</t>
  </si>
  <si>
    <t>EMP1486</t>
  </si>
  <si>
    <t>EMP1487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</si>
  <si>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</si>
  <si>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</si>
  <si>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</si>
  <si>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</si>
  <si>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</si>
  <si>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</si>
  <si>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</si>
  <si>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</si>
  <si>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</si>
  <si>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</si>
  <si>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</si>
  <si>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</si>
  <si>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</si>
  <si>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</si>
  <si>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</si>
  <si>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2025/08/01</t>
  </si>
  <si>
    <t>EMP1504</t>
  </si>
  <si>
    <t>EMP1505</t>
  </si>
  <si>
    <t>EMP1506</t>
  </si>
  <si>
    <t>EMP1507</t>
  </si>
  <si>
    <t>EMP1508</t>
  </si>
  <si>
    <t>EMP1509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</si>
  <si>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</si>
  <si>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</si>
  <si>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</si>
  <si>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</si>
  <si>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</si>
  <si>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</si>
  <si>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</si>
  <si>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</si>
  <si>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</si>
  <si>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</si>
  <si>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</si>
  <si>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</si>
  <si>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</si>
  <si>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</si>
  <si>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</si>
  <si>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</si>
  <si>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</si>
  <si>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</si>
  <si>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</si>
  <si>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</si>
  <si>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</si>
  <si>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</si>
  <si>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</si>
  <si>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</si>
  <si>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</si>
  <si>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</si>
  <si>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Sep 2025</t>
  </si>
  <si>
    <t>EMP1538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</si>
  <si>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</si>
  <si>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</si>
  <si>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</si>
  <si>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</si>
  <si>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</si>
  <si>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</si>
  <si>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</si>
  <si>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</si>
  <si>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</si>
  <si>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</si>
  <si>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</si>
  <si>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</si>
  <si>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</si>
  <si>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</si>
  <si>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</si>
  <si>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</si>
  <si>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</si>
  <si>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</si>
  <si>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</si>
  <si>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</si>
  <si>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</si>
  <si>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</si>
  <si>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</si>
  <si>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</si>
  <si>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</si>
  <si>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</si>
  <si>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</si>
  <si>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</si>
  <si>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EMP1569</t>
  </si>
  <si>
    <t>EMP1570</t>
  </si>
  <si>
    <t>EMP1571</t>
  </si>
  <si>
    <t>2025/09/01</t>
  </si>
  <si>
    <t>EMP1572</t>
  </si>
  <si>
    <t>EMP1573</t>
  </si>
  <si>
    <t>EMP1574</t>
  </si>
  <si>
    <t>EMP1575</t>
  </si>
  <si>
    <t>EMP1576</t>
  </si>
  <si>
    <t>EMP1577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</si>
  <si>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</si>
  <si>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</si>
  <si>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</si>
  <si>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</si>
  <si>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</si>
  <si>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</si>
  <si>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</si>
  <si>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</si>
  <si>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</si>
  <si>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</si>
  <si>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</si>
  <si>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</si>
  <si>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</si>
  <si>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</si>
  <si>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</si>
  <si>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</si>
  <si>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</si>
  <si>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</si>
  <si>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</si>
  <si>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</si>
  <si>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</si>
  <si>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</si>
  <si>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</si>
  <si>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</si>
  <si>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</si>
  <si>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</si>
  <si>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</si>
  <si>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</si>
  <si>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</si>
  <si>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</si>
  <si>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</si>
  <si>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</si>
  <si>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</si>
  <si>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</si>
  <si>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</si>
  <si>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</si>
  <si>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</si>
  <si>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</si>
  <si>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</si>
  <si>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</si>
  <si>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</si>
  <si>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</si>
  <si>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</si>
  <si>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</si>
  <si>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</si>
  <si>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</si>
  <si>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</si>
  <si>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</si>
  <si>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</si>
  <si>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</si>
  <si>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</si>
  <si>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</si>
  <si>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</si>
  <si>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</si>
  <si>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</si>
  <si>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</si>
  <si>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</si>
  <si>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</si>
  <si>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12/01/2025</t>
  </si>
  <si>
    <t>EMP1638</t>
  </si>
  <si>
    <t>EMP1639</t>
  </si>
  <si>
    <t>EMP1640</t>
  </si>
  <si>
    <t>EMP1641</t>
  </si>
  <si>
    <t>EMP1642</t>
  </si>
  <si>
    <t>EMP1644</t>
  </si>
  <si>
    <t>EMP1645</t>
  </si>
  <si>
    <t>EMP1646</t>
  </si>
  <si>
    <t>EMP1647</t>
  </si>
  <si>
    <t>EMP1648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</si>
  <si>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</si>
  <si>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</si>
  <si>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</si>
  <si>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</si>
  <si>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</si>
  <si>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</si>
  <si>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</si>
  <si>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</si>
  <si>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</si>
  <si>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</si>
  <si>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</si>
  <si>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</si>
  <si>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</si>
  <si>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</si>
  <si>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</si>
  <si>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</si>
  <si>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</si>
  <si>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</si>
  <si>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</si>
  <si>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</si>
  <si>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</si>
  <si>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</si>
  <si>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</si>
  <si>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</si>
  <si>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</si>
  <si>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</si>
  <si>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</si>
  <si>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</si>
  <si>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</si>
  <si>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</si>
  <si>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</si>
  <si>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</si>
  <si>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</si>
  <si>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</si>
  <si>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</si>
  <si>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</si>
  <si>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</si>
  <si>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</si>
  <si>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</si>
  <si>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</si>
  <si>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</si>
  <si>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</si>
  <si>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EMP1694</t>
  </si>
  <si>
    <t>EMP1695</t>
  </si>
  <si>
    <t>EMP1696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</si>
  <si>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</si>
  <si>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</si>
  <si>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</si>
  <si>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</si>
  <si>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</si>
  <si>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</si>
  <si>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</si>
  <si>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</si>
  <si>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</si>
  <si>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</si>
  <si>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</si>
  <si>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</si>
  <si>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</si>
  <si>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</si>
  <si>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</si>
  <si>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</si>
  <si>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</si>
  <si>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</si>
  <si>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</si>
  <si>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</si>
  <si>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</si>
  <si>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</si>
  <si>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</si>
  <si>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</si>
  <si>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</si>
  <si>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</si>
  <si>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</si>
  <si>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</si>
  <si>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</si>
  <si>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</si>
  <si>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</si>
  <si>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</si>
  <si>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</si>
  <si>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</si>
  <si>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</si>
  <si>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</si>
  <si>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</si>
  <si>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</si>
  <si>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</si>
  <si>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</si>
  <si>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</si>
  <si>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</si>
  <si>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</si>
  <si>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</si>
  <si>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</si>
  <si>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</si>
  <si>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</si>
  <si>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</si>
  <si>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</si>
  <si>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</si>
  <si>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</si>
  <si>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</si>
  <si>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</si>
  <si>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</si>
  <si>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</si>
  <si>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</si>
  <si>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</si>
  <si>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</si>
  <si>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</si>
  <si>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</si>
  <si>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</si>
  <si>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</si>
  <si>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</si>
  <si>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EMP1764</t>
  </si>
  <si>
    <t>EMP1765</t>
  </si>
  <si>
    <t>EMP1766</t>
  </si>
  <si>
    <t>EMP1767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</si>
  <si>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</si>
  <si>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</si>
  <si>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</si>
  <si>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</si>
  <si>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</si>
  <si>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</si>
  <si>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</si>
  <si>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</si>
  <si>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</si>
  <si>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</si>
  <si>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</si>
  <si>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</si>
  <si>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</si>
  <si>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</si>
  <si>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EMP1784</t>
  </si>
  <si>
    <t>EMP1785</t>
  </si>
  <si>
    <t>EMP1786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</si>
  <si>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</si>
  <si>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</si>
  <si>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</si>
  <si>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</si>
  <si>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</si>
  <si>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</si>
  <si>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</si>
  <si>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</si>
  <si>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</si>
  <si>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</si>
  <si>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</si>
  <si>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</si>
  <si>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</si>
  <si>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</si>
  <si>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</si>
  <si>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</si>
  <si>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</si>
  <si>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</si>
  <si>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</si>
  <si>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</si>
  <si>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</si>
  <si>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</si>
  <si>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</si>
  <si>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</si>
  <si>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</si>
  <si>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</si>
  <si>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</si>
  <si>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</si>
  <si>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</si>
  <si>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</si>
  <si>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</si>
  <si>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</si>
  <si>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</si>
  <si>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</si>
  <si>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</si>
  <si>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</si>
  <si>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</si>
  <si>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</si>
  <si>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</si>
  <si>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</si>
  <si>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</si>
  <si>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</si>
  <si>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</si>
  <si>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</si>
  <si>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</si>
  <si>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</si>
  <si>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</si>
  <si>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</si>
  <si>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</si>
  <si>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</si>
  <si>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</si>
  <si>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</si>
  <si>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</si>
  <si>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</si>
  <si>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</si>
  <si>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</si>
  <si>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</si>
  <si>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</si>
  <si>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</si>
  <si>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</si>
  <si>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</si>
  <si>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</si>
  <si>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</si>
  <si>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</si>
  <si>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</si>
  <si>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</si>
  <si>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</si>
  <si>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</si>
  <si>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</si>
  <si>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</si>
  <si>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</si>
  <si>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</si>
  <si>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</si>
  <si>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</si>
  <si>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</si>
  <si>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</si>
  <si>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</si>
  <si>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</si>
  <si>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</si>
  <si>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</si>
  <si>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</si>
  <si>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</si>
  <si>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</si>
  <si>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</si>
  <si>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</si>
  <si>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</si>
  <si>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EMP1876</t>
  </si>
  <si>
    <t>EMP1877</t>
  </si>
  <si>
    <t>EMP1878</t>
  </si>
  <si>
    <t>EMP1879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</si>
  <si>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</si>
  <si>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</si>
  <si>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</si>
  <si>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</si>
  <si>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</si>
  <si>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</si>
  <si>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</si>
  <si>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</si>
  <si>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</si>
  <si>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</si>
  <si>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</si>
  <si>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</si>
  <si>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</si>
  <si>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</si>
  <si>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</si>
  <si>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</si>
  <si>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</si>
  <si>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</si>
  <si>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</si>
  <si>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</si>
  <si>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</si>
  <si>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</si>
  <si>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</si>
  <si>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</si>
  <si>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</si>
  <si>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</si>
  <si>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</si>
  <si>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</si>
  <si>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</si>
  <si>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</si>
  <si>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</si>
  <si>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</si>
  <si>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</si>
  <si>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</si>
  <si>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</si>
  <si>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</si>
  <si>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</si>
  <si>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</si>
  <si>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</si>
  <si>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</si>
  <si>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</si>
  <si>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</si>
  <si>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</si>
  <si>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</si>
  <si>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</si>
  <si>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</si>
  <si>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</si>
  <si>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</si>
  <si>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</si>
  <si>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</si>
  <si>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</si>
  <si>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</si>
  <si>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</si>
  <si>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</si>
  <si>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</si>
  <si>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</si>
  <si>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</si>
  <si>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</si>
  <si>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</si>
  <si>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</si>
  <si>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</si>
  <si>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</si>
  <si>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</si>
  <si>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</si>
  <si>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</si>
  <si>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</si>
  <si>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</si>
  <si>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</si>
  <si>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</si>
  <si>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</si>
  <si>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</si>
  <si>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</si>
  <si>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</si>
  <si>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</si>
  <si>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</si>
  <si>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</si>
  <si>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</si>
  <si>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</si>
  <si>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</si>
  <si>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</si>
  <si>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</si>
  <si>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</si>
  <si>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</si>
  <si>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</si>
  <si>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</si>
  <si>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</si>
  <si>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</si>
  <si>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</si>
  <si>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</si>
  <si>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</si>
  <si>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</si>
  <si>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</si>
  <si>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</si>
  <si>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</si>
  <si>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</si>
  <si>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</si>
  <si>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</si>
  <si>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</si>
  <si>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</si>
  <si>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</si>
  <si>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</si>
  <si>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</si>
  <si>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</si>
  <si>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</si>
  <si>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</si>
  <si>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</si>
  <si>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</si>
  <si>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</si>
  <si>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</si>
  <si>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</si>
  <si>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</si>
  <si>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</si>
  <si>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EMP1996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</si>
  <si>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</si>
  <si>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</si>
  <si>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</si>
  <si>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</si>
  <si>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</si>
  <si>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</si>
  <si>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</si>
  <si>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</si>
  <si>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</si>
  <si>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</si>
  <si>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</si>
  <si>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</si>
  <si>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</si>
  <si>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</si>
  <si>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</si>
  <si>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</si>
  <si>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</si>
  <si>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</si>
  <si>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</si>
  <si>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</si>
  <si>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</si>
  <si>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</si>
  <si>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</si>
  <si>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</si>
  <si>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</si>
  <si>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</si>
  <si>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</si>
  <si>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</si>
  <si>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</si>
  <si>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</si>
  <si>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</si>
  <si>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</si>
  <si>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</si>
  <si>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</si>
  <si>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</si>
  <si>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</si>
  <si>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</si>
  <si>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</si>
  <si>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</si>
  <si>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</si>
  <si>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</si>
  <si>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</si>
  <si>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</si>
  <si>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</si>
  <si>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</si>
  <si>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</si>
  <si>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</si>
  <si>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</si>
  <si>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</si>
  <si>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</si>
  <si>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</si>
  <si>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</si>
  <si>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</si>
  <si>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EMP2053</t>
  </si>
  <si>
    <t>EMP2054</t>
  </si>
  <si>
    <t>EMP2055</t>
  </si>
  <si>
    <t>EMP2056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</si>
  <si>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</si>
  <si>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</si>
  <si>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</si>
  <si>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</si>
  <si>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</si>
  <si>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</si>
  <si>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</si>
  <si>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</si>
  <si>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</si>
  <si>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</si>
  <si>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</si>
  <si>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</si>
  <si>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</si>
  <si>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</si>
  <si>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</si>
  <si>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</si>
  <si>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</si>
  <si>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</si>
  <si>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EMP2077</t>
  </si>
  <si>
    <t>EMP2078</t>
  </si>
  <si>
    <t>EMP2079</t>
  </si>
  <si>
    <t>EMP2080</t>
  </si>
  <si>
    <t>EMP2081</t>
  </si>
  <si>
    <t>EMP2082</t>
  </si>
  <si>
    <t>EMP2083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</si>
  <si>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</si>
  <si>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</si>
  <si>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</si>
  <si>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</si>
  <si>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</si>
  <si>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</si>
  <si>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</si>
  <si>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</si>
  <si>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</si>
  <si>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</si>
  <si>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</si>
  <si>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</si>
  <si>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</si>
  <si>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</si>
  <si>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</si>
  <si>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</si>
  <si>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</si>
  <si>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</si>
  <si>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</si>
  <si>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</si>
  <si>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EMP2106</t>
  </si>
  <si>
    <t>EMP2107</t>
  </si>
  <si>
    <t>EMP2108</t>
  </si>
  <si>
    <t>EMP2109</t>
  </si>
  <si>
    <t>EMP2111</t>
  </si>
  <si>
    <t>EMP2112</t>
  </si>
  <si>
    <t>EMP2113</t>
  </si>
  <si>
    <t>EMP2114</t>
  </si>
  <si>
    <t>EMP2115</t>
  </si>
  <si>
    <t>EMP2116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</si>
  <si>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</si>
  <si>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</si>
  <si>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</si>
  <si>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</si>
  <si>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</si>
  <si>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</si>
  <si>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</si>
  <si>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</si>
  <si>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</si>
  <si>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</si>
  <si>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EMP2129</t>
  </si>
  <si>
    <t>EMP2130</t>
  </si>
  <si>
    <t>EMP2131</t>
  </si>
  <si>
    <t>EMP2132</t>
  </si>
  <si>
    <t>EMP2134</t>
  </si>
  <si>
    <t>EMP2135</t>
  </si>
  <si>
    <t>EMP2137</t>
  </si>
  <si>
    <t>EMP2138</t>
  </si>
  <si>
    <t>EMP2140</t>
  </si>
  <si>
    <t>EMP2141</t>
  </si>
  <si>
    <t>EMP2142</t>
  </si>
  <si>
    <t>EMP2143</t>
  </si>
  <si>
    <t>EMP2144</t>
  </si>
  <si>
    <t>EMP2145</t>
  </si>
  <si>
    <t>EMP2147</t>
  </si>
  <si>
    <t>EMP2148</t>
  </si>
  <si>
    <t>EMP2149</t>
  </si>
  <si>
    <t>EMP2150</t>
  </si>
  <si>
    <t>EMP2152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</si>
  <si>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</si>
  <si>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</si>
  <si>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</si>
  <si>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</si>
  <si>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</si>
  <si>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</si>
  <si>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</si>
  <si>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</si>
  <si>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</si>
  <si>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</si>
  <si>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</si>
  <si>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</si>
  <si>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</si>
  <si>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</si>
  <si>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</si>
  <si>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</si>
  <si>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</si>
  <si>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</si>
  <si>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</si>
  <si>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</si>
  <si>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</si>
  <si>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</si>
  <si>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</si>
  <si>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</si>
  <si>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</si>
  <si>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</si>
  <si>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</si>
  <si>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</si>
  <si>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</si>
  <si>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</si>
  <si>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</si>
  <si>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</si>
  <si>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</si>
  <si>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</si>
  <si>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</si>
  <si>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</si>
  <si>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</si>
  <si>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</si>
  <si>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</si>
  <si>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</si>
  <si>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</si>
  <si>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</si>
  <si>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</si>
  <si>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</si>
  <si>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</si>
  <si>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</si>
  <si>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</si>
  <si>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</si>
  <si>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</si>
  <si>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</si>
  <si>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</si>
  <si>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</si>
  <si>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</si>
  <si>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</si>
  <si>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</si>
  <si>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</si>
  <si>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</si>
  <si>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</si>
  <si>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</si>
  <si>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</si>
  <si>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</si>
  <si>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</si>
  <si>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</si>
  <si>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</si>
  <si>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</si>
  <si>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</si>
  <si>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</si>
  <si>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</si>
  <si>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</si>
  <si>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</si>
  <si>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</si>
  <si>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</si>
  <si>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EMP2229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</si>
  <si>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</si>
  <si>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</si>
  <si>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</si>
  <si>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</si>
  <si>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</si>
  <si>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</si>
  <si>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</si>
  <si>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</si>
  <si>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</si>
  <si>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</si>
  <si>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</si>
  <si>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</si>
  <si>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</si>
  <si>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</si>
  <si>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</si>
  <si>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</si>
  <si>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</si>
  <si>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</si>
  <si>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</si>
  <si>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</si>
  <si>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</si>
  <si>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</si>
  <si>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</si>
  <si>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</si>
  <si>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</si>
  <si>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</si>
  <si>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</si>
  <si>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</si>
  <si>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</si>
  <si>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EMP2262</t>
  </si>
  <si>
    <t>EMP2263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</si>
  <si>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</si>
  <si>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</si>
  <si>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</si>
  <si>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</si>
  <si>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</si>
  <si>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</si>
  <si>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</si>
  <si>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</si>
  <si>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</si>
  <si>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</si>
  <si>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</si>
  <si>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</si>
  <si>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</si>
  <si>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</si>
  <si>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</si>
  <si>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</si>
  <si>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</si>
  <si>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</si>
  <si>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</si>
  <si>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</si>
  <si>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</si>
  <si>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</si>
  <si>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</si>
  <si>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EMP2290</t>
  </si>
  <si>
    <t>EMP2291</t>
  </si>
  <si>
    <t>EMP2292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</si>
  <si>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</si>
  <si>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</si>
  <si>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</si>
  <si>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</si>
  <si>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</si>
  <si>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</si>
  <si>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</si>
  <si>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</si>
  <si>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</si>
  <si>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</si>
  <si>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</si>
  <si>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</si>
  <si>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</si>
  <si>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</si>
  <si>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</si>
  <si>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</si>
  <si>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</si>
  <si>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</si>
  <si>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</si>
  <si>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</si>
  <si>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</si>
  <si>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</si>
  <si>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</si>
  <si>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</si>
  <si>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</si>
  <si>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</si>
  <si>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</si>
  <si>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</si>
  <si>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</si>
  <si>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</si>
  <si>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</si>
  <si>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</si>
  <si>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</si>
  <si>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</si>
  <si>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</si>
  <si>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</si>
  <si>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</si>
  <si>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</si>
  <si>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</si>
  <si>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</si>
  <si>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</si>
  <si>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</si>
  <si>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</si>
  <si>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</si>
  <si>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</si>
  <si>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</si>
  <si>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</si>
  <si>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</si>
  <si>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</si>
  <si>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</si>
  <si>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</si>
  <si>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</si>
  <si>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</si>
  <si>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</si>
  <si>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</si>
  <si>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</si>
  <si>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</si>
  <si>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</si>
  <si>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</si>
  <si>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</si>
  <si>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</si>
  <si>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</si>
  <si>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</si>
  <si>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</si>
  <si>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</si>
  <si>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</si>
  <si>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</si>
  <si>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01-08-2025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</si>
  <si>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</si>
  <si>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</si>
  <si>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</si>
  <si>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</si>
  <si>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</si>
  <si>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</si>
  <si>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</si>
  <si>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</si>
  <si>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</si>
  <si>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</si>
  <si>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</si>
  <si>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</si>
  <si>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</si>
  <si>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</si>
  <si>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</si>
  <si>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</si>
  <si>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</si>
  <si>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</si>
  <si>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</si>
  <si>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</si>
  <si>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</si>
  <si>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</si>
  <si>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EMP2386</t>
  </si>
  <si>
    <t>EMP2387</t>
  </si>
  <si>
    <t>EMP2388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</si>
  <si>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</si>
  <si>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</si>
  <si>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</si>
  <si>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</si>
  <si>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</si>
  <si>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</si>
  <si>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</si>
  <si>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</si>
  <si>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</si>
  <si>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</si>
  <si>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</si>
  <si>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</si>
  <si>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</si>
  <si>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</si>
  <si>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</si>
  <si>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</si>
  <si>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</si>
  <si>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</si>
  <si>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</si>
  <si>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</si>
  <si>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</si>
  <si>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</si>
  <si>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</si>
  <si>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</si>
  <si>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</si>
  <si>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</si>
  <si>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</si>
  <si>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</si>
  <si>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</si>
  <si>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</si>
  <si>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</si>
  <si>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</si>
  <si>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</si>
  <si>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</si>
  <si>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</si>
  <si>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</si>
  <si>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</si>
  <si>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</si>
  <si>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</si>
  <si>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</si>
  <si>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</si>
  <si>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</si>
  <si>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</si>
  <si>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</si>
  <si>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</si>
  <si>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</si>
  <si>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</si>
  <si>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</si>
  <si>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</si>
  <si>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</si>
  <si>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</si>
  <si>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</si>
  <si>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</si>
  <si>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EMP2445</t>
  </si>
  <si>
    <t>EMP2446</t>
  </si>
  <si>
    <t>EMP2447</t>
  </si>
  <si>
    <t>EMP2448</t>
  </si>
  <si>
    <t>EMP2449</t>
  </si>
  <si>
    <t>EMP2452</t>
  </si>
  <si>
    <t>EMP2453</t>
  </si>
  <si>
    <t>EMP2455</t>
  </si>
  <si>
    <t>EMP2456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</si>
  <si>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</si>
  <si>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</si>
  <si>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</si>
  <si>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</si>
  <si>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</si>
  <si>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</si>
  <si>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</si>
  <si>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</si>
  <si>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</si>
  <si>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</si>
  <si>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</si>
  <si>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</si>
  <si>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</si>
  <si>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</si>
  <si>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</si>
  <si>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</si>
  <si>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</si>
  <si>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</si>
  <si>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</si>
  <si>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</si>
  <si>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</si>
  <si>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</si>
  <si>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</si>
  <si>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</si>
  <si>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</si>
  <si>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</si>
  <si>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</si>
  <si>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</si>
  <si>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</si>
  <si>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</si>
  <si>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</si>
  <si>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</si>
  <si>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</si>
  <si>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</si>
  <si>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</si>
  <si>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</si>
  <si>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</si>
  <si>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</si>
  <si>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</si>
  <si>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</si>
  <si>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</si>
  <si>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</si>
  <si>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</si>
  <si>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</si>
  <si>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</si>
  <si>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</si>
  <si>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</si>
  <si>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</si>
  <si>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</si>
  <si>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</si>
  <si>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</si>
  <si>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</si>
  <si>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</si>
  <si>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</si>
  <si>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</si>
  <si>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</si>
  <si>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</si>
  <si>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</si>
  <si>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</si>
  <si>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</si>
  <si>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</si>
  <si>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</si>
  <si>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</si>
  <si>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</si>
  <si>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</si>
  <si>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</si>
  <si>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</si>
  <si>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</si>
  <si>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</si>
  <si>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</si>
  <si>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</si>
  <si>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</si>
  <si>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</si>
  <si>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</si>
  <si>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</si>
  <si>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</si>
  <si>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</si>
  <si>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</si>
  <si>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</si>
  <si>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</si>
  <si>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</si>
  <si>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</si>
  <si>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</si>
  <si>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</si>
  <si>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</si>
  <si>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</si>
  <si>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</si>
  <si>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</si>
  <si>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</si>
  <si>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</si>
  <si>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</si>
  <si>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</si>
  <si>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</si>
  <si>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</si>
  <si>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</si>
  <si>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</si>
  <si>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</si>
  <si>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</si>
  <si>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2025/02/01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</si>
  <si>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</si>
  <si>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</si>
  <si>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</si>
  <si>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</si>
  <si>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</si>
  <si>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</si>
  <si>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</si>
  <si>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</si>
  <si>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</si>
  <si>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</si>
  <si>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</si>
  <si>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</si>
  <si>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</si>
  <si>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</si>
  <si>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</si>
  <si>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</si>
  <si>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</si>
  <si>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</si>
  <si>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</si>
  <si>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</si>
  <si>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</si>
  <si>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</si>
  <si>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</si>
  <si>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</si>
  <si>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</si>
  <si>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</si>
  <si>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</si>
  <si>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</si>
  <si>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</si>
  <si>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</si>
  <si>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</si>
  <si>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</si>
  <si>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</si>
  <si>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</si>
  <si>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</si>
  <si>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</si>
  <si>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</si>
  <si>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</si>
  <si>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</si>
  <si>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</si>
  <si>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</si>
  <si>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</si>
  <si>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</si>
  <si>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</si>
  <si>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</si>
  <si>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</si>
  <si>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</si>
  <si>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</si>
  <si>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</si>
  <si>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</si>
  <si>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</si>
  <si>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</si>
  <si>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</si>
  <si>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</si>
  <si>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</si>
  <si>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</si>
  <si>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</si>
  <si>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</si>
  <si>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</si>
  <si>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</si>
  <si>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</si>
  <si>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</si>
  <si>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</si>
  <si>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</si>
  <si>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</si>
  <si>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</si>
  <si>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</si>
  <si>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</si>
  <si>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</si>
  <si>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</si>
  <si>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</si>
  <si>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</si>
  <si>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</si>
  <si>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</si>
  <si>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</si>
  <si>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</si>
  <si>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</si>
  <si>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</si>
  <si>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</si>
  <si>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</si>
  <si>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</si>
  <si>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</si>
  <si>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</si>
  <si>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</si>
  <si>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</si>
  <si>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</si>
  <si>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</si>
  <si>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</si>
  <si>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</si>
  <si>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</si>
  <si>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</si>
  <si>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</si>
  <si>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</si>
  <si>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</si>
  <si>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</si>
  <si>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</si>
  <si>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</si>
  <si>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</si>
  <si>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</si>
  <si>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</si>
  <si>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2025/06/01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</si>
  <si>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</si>
  <si>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</si>
  <si>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</si>
  <si>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</si>
  <si>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</si>
  <si>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</si>
  <si>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</si>
  <si>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</si>
  <si>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</si>
  <si>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</si>
  <si>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</si>
  <si>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</si>
  <si>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</si>
  <si>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</si>
  <si>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</si>
  <si>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</si>
  <si>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</si>
  <si>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</si>
  <si>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</si>
  <si>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</si>
  <si>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</si>
  <si>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</si>
  <si>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</si>
  <si>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</si>
  <si>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</si>
  <si>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</si>
  <si>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</si>
  <si>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</si>
  <si>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</si>
  <si>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</si>
  <si>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</si>
  <si>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</si>
  <si>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</si>
  <si>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</si>
  <si>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</si>
  <si>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</si>
  <si>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</si>
  <si>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</si>
  <si>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</si>
  <si>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</si>
  <si>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</si>
  <si>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</si>
  <si>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</si>
  <si>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</si>
  <si>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</si>
  <si>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</si>
  <si>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</si>
  <si>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</si>
  <si>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</si>
  <si>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</si>
  <si>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</si>
  <si>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</si>
  <si>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</si>
  <si>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</si>
  <si>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</si>
  <si>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</si>
  <si>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EMP2721</t>
  </si>
  <si>
    <t>EMP2722</t>
  </si>
  <si>
    <t>EMP2724</t>
  </si>
  <si>
    <t>EMP2725</t>
  </si>
  <si>
    <t>EMP2726</t>
  </si>
  <si>
    <t>EMP2727</t>
  </si>
  <si>
    <t>EMP2729</t>
  </si>
  <si>
    <t>EMP2730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</si>
  <si>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</si>
  <si>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</si>
  <si>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</si>
  <si>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</si>
  <si>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</si>
  <si>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</si>
  <si>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</si>
  <si>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</si>
  <si>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</si>
  <si>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</si>
  <si>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</si>
  <si>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</si>
  <si>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</si>
  <si>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</si>
  <si>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</si>
  <si>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</si>
  <si>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</si>
  <si>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</si>
  <si>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</si>
  <si>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</si>
  <si>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</si>
  <si>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EMP2754</t>
  </si>
  <si>
    <t>EMP2755</t>
  </si>
  <si>
    <t>EMP2756</t>
  </si>
  <si>
    <t>EMP2758</t>
  </si>
  <si>
    <t>EMP2759</t>
  </si>
  <si>
    <t>EMP2760</t>
  </si>
  <si>
    <t>EMP2761</t>
  </si>
  <si>
    <t>EMP2762</t>
  </si>
  <si>
    <t>EMP2763</t>
  </si>
  <si>
    <t>EMP2764</t>
  </si>
  <si>
    <t>01-09-2025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</si>
  <si>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</si>
  <si>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</si>
  <si>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</si>
  <si>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</si>
  <si>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</si>
  <si>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</si>
  <si>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</si>
  <si>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</si>
  <si>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</si>
  <si>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</si>
  <si>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</si>
  <si>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</si>
  <si>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</si>
  <si>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</si>
  <si>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</si>
  <si>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</si>
  <si>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</si>
  <si>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</si>
  <si>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</si>
  <si>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</si>
  <si>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</si>
  <si>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</si>
  <si>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</si>
  <si>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</si>
  <si>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</si>
  <si>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</si>
  <si>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</si>
  <si>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</si>
  <si>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</si>
  <si>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</si>
  <si>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</si>
  <si>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</si>
  <si>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</si>
  <si>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</si>
  <si>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</si>
  <si>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</si>
  <si>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</si>
  <si>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</si>
  <si>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</si>
  <si>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</si>
  <si>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</si>
  <si>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</si>
  <si>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</si>
  <si>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</si>
  <si>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</si>
  <si>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</si>
  <si>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</si>
  <si>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</si>
  <si>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</si>
  <si>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</si>
  <si>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</si>
  <si>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</si>
  <si>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</si>
  <si>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</si>
  <si>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</si>
  <si>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</si>
  <si>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</si>
  <si>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</si>
  <si>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04/01/2025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</si>
  <si>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</si>
  <si>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</si>
  <si>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</si>
  <si>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</si>
  <si>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</si>
  <si>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</si>
  <si>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</si>
  <si>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</si>
  <si>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</si>
  <si>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</si>
  <si>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</si>
  <si>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</si>
  <si>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</si>
  <si>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</si>
  <si>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</si>
  <si>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</si>
  <si>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</si>
  <si>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</si>
  <si>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</si>
  <si>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</si>
  <si>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</si>
  <si>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</si>
  <si>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</si>
  <si>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</si>
  <si>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</si>
  <si>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</si>
  <si>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</si>
  <si>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</si>
  <si>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</si>
  <si>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</si>
  <si>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</si>
  <si>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</si>
  <si>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</si>
  <si>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</si>
  <si>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</si>
  <si>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</si>
  <si>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</si>
  <si>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</si>
  <si>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</si>
  <si>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</si>
  <si>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</si>
  <si>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</si>
  <si>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</si>
  <si>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</si>
  <si>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</si>
  <si>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</si>
  <si>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</si>
  <si>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</si>
  <si>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</si>
  <si>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</si>
  <si>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</si>
  <si>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</si>
  <si>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</si>
  <si>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</si>
  <si>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</si>
  <si>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</si>
  <si>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</si>
  <si>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</si>
  <si>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</si>
  <si>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</si>
  <si>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</si>
  <si>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</si>
  <si>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</si>
  <si>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May 2025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</si>
  <si>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</si>
  <si>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</si>
  <si>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</si>
  <si>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</si>
  <si>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</si>
  <si>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</si>
  <si>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</si>
  <si>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</si>
  <si>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</si>
  <si>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</si>
  <si>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</si>
  <si>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</si>
  <si>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</si>
  <si>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</si>
  <si>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</si>
  <si>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</si>
  <si>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</si>
  <si>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</si>
  <si>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</si>
  <si>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</si>
  <si>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</si>
  <si>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</si>
  <si>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</si>
  <si>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</si>
  <si>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</si>
  <si>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</si>
  <si>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</si>
  <si>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</si>
  <si>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</si>
  <si>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</si>
  <si>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</si>
  <si>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</si>
  <si>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</si>
  <si>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</si>
  <si>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</si>
  <si>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</si>
  <si>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</si>
  <si>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</si>
  <si>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</si>
  <si>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</si>
  <si>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</si>
  <si>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</si>
  <si>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</si>
  <si>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</si>
  <si>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</si>
  <si>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</si>
  <si>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</si>
  <si>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</si>
  <si>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</si>
  <si>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</si>
  <si>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</si>
  <si>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</si>
  <si>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</si>
  <si>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</si>
  <si>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</si>
  <si>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</si>
  <si>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</si>
  <si>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</si>
  <si>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</si>
  <si>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</si>
  <si>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</si>
  <si>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</si>
  <si>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</si>
  <si>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</si>
  <si>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</si>
  <si>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</si>
  <si>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</si>
  <si>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</si>
  <si>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</si>
  <si>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</si>
  <si>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</si>
  <si>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</si>
  <si>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</si>
  <si>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</si>
  <si>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</si>
  <si>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</si>
  <si>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</si>
  <si>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</si>
  <si>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</si>
  <si>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</si>
  <si>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</si>
  <si>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</si>
  <si>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</si>
  <si>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</si>
  <si>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</si>
  <si>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</si>
  <si>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</si>
  <si>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</si>
  <si>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</si>
  <si>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</si>
  <si>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</si>
  <si>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</si>
  <si>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</si>
  <si>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</si>
  <si>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</si>
  <si>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</si>
  <si>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</si>
  <si>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</si>
  <si>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</si>
  <si>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</si>
  <si>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</si>
  <si>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</si>
  <si>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</si>
  <si>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</si>
  <si>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</si>
  <si>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</si>
  <si>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</si>
  <si>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</si>
  <si>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</si>
  <si>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</si>
  <si>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</si>
  <si>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</si>
  <si>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</si>
  <si>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</si>
  <si>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</si>
  <si>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</si>
  <si>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</si>
  <si>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01/01/2025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</si>
  <si>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</si>
  <si>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</si>
  <si>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</si>
  <si>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</si>
  <si>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</si>
  <si>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</si>
  <si>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</si>
  <si>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</si>
  <si>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</si>
  <si>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</si>
  <si>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</si>
  <si>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</si>
  <si>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</si>
  <si>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</si>
  <si>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</si>
  <si>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</si>
  <si>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</si>
  <si>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</si>
  <si>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</si>
  <si>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</si>
  <si>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</si>
  <si>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</si>
  <si>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</si>
  <si>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</si>
  <si>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</si>
  <si>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</si>
  <si>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</si>
  <si>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</si>
  <si>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</si>
  <si>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</si>
  <si>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</si>
  <si>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</si>
  <si>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</si>
  <si>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</si>
  <si>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</si>
  <si>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</si>
  <si>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</si>
  <si>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</si>
  <si>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</si>
  <si>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</si>
  <si>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</si>
  <si>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</si>
  <si>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</si>
  <si>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</si>
  <si>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</si>
  <si>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</si>
  <si>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</si>
  <si>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</si>
  <si>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</si>
  <si>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</si>
  <si>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</si>
  <si>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</si>
  <si>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</si>
  <si>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</si>
  <si>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</si>
  <si>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</si>
  <si>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</si>
  <si>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</si>
  <si>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</si>
  <si>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</si>
  <si>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</si>
  <si>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</si>
  <si>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</si>
  <si>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</si>
  <si>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</si>
  <si>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</si>
  <si>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</si>
  <si>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</si>
  <si>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</si>
  <si>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</si>
  <si>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</si>
  <si>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</si>
  <si>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</si>
  <si>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</si>
  <si>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</si>
  <si>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</si>
  <si>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</si>
  <si>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</si>
  <si>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</si>
  <si>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</si>
  <si>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</si>
  <si>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</si>
  <si>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</si>
  <si>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</si>
  <si>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</si>
  <si>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</si>
  <si>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</si>
  <si>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</si>
  <si>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</si>
  <si>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</si>
  <si>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</si>
  <si>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</si>
  <si>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</si>
  <si>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</si>
  <si>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EMP3109</t>
  </si>
  <si>
    <t>EMP3110</t>
  </si>
  <si>
    <t>EMP3111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</si>
  <si>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</si>
  <si>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</si>
  <si>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</si>
  <si>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</si>
  <si>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</si>
  <si>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</si>
  <si>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</si>
  <si>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</si>
  <si>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</si>
  <si>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</si>
  <si>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</si>
  <si>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</si>
  <si>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</si>
  <si>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</si>
  <si>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03/01/2025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</si>
  <si>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</si>
  <si>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</si>
  <si>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</si>
  <si>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</si>
  <si>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</si>
  <si>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</si>
  <si>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</si>
  <si>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</si>
  <si>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</si>
  <si>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</si>
  <si>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</si>
  <si>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</si>
  <si>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</si>
  <si>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</si>
  <si>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</si>
  <si>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</si>
  <si>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</si>
  <si>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</si>
  <si>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</si>
  <si>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</si>
  <si>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</si>
  <si>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</si>
  <si>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</si>
  <si>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</si>
  <si>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</si>
  <si>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</si>
  <si>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</si>
  <si>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</si>
  <si>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</si>
  <si>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</si>
  <si>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</si>
  <si>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</si>
  <si>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</si>
  <si>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</si>
  <si>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</si>
  <si>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</si>
  <si>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</si>
  <si>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</si>
  <si>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</si>
  <si>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</si>
  <si>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</si>
  <si>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</si>
  <si>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</si>
  <si>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</si>
  <si>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</si>
  <si>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</si>
  <si>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</si>
  <si>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</si>
  <si>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</si>
  <si>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</si>
  <si>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</si>
  <si>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</si>
  <si>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</si>
  <si>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</si>
  <si>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</si>
  <si>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</si>
  <si>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</si>
  <si>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</si>
  <si>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</si>
  <si>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</si>
  <si>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</si>
  <si>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</si>
  <si>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</si>
  <si>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</si>
  <si>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</si>
  <si>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</si>
  <si>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</si>
  <si>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</si>
  <si>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</si>
  <si>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</si>
  <si>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</si>
  <si>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</si>
  <si>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</si>
  <si>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</si>
  <si>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</si>
  <si>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</si>
  <si>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</si>
  <si>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</si>
  <si>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</si>
  <si>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</si>
  <si>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</si>
  <si>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</si>
  <si>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</si>
  <si>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</si>
  <si>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</si>
  <si>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</si>
  <si>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</si>
  <si>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</si>
  <si>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</si>
  <si>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</si>
  <si>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</si>
  <si>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</si>
  <si>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</si>
  <si>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</si>
  <si>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</si>
  <si>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</si>
  <si>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EMP3227</t>
  </si>
  <si>
    <t>EMP3228</t>
  </si>
  <si>
    <t>EMP3229</t>
  </si>
  <si>
    <t>EMP3230</t>
  </si>
  <si>
    <t>EMP3231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</si>
  <si>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</si>
  <si>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</si>
  <si>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</si>
  <si>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</si>
  <si>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</si>
  <si>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</si>
  <si>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</si>
  <si>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</si>
  <si>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</si>
  <si>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EMP3243</t>
  </si>
  <si>
    <t>EMP3245</t>
  </si>
  <si>
    <t>EMP3246</t>
  </si>
  <si>
    <t>EMP3247</t>
  </si>
  <si>
    <t>EMP3248</t>
  </si>
  <si>
    <t>EMP3249</t>
  </si>
  <si>
    <t>EMP3251</t>
  </si>
  <si>
    <t>EMP3252</t>
  </si>
  <si>
    <t>EMP3254</t>
  </si>
  <si>
    <t>EMP3255</t>
  </si>
  <si>
    <t>EMP3256</t>
  </si>
  <si>
    <t>EMP3257</t>
  </si>
  <si>
    <t>EMP3258</t>
  </si>
  <si>
    <t>EMP3259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</si>
  <si>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</si>
  <si>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</si>
  <si>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</si>
  <si>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</si>
  <si>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</si>
  <si>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</si>
  <si>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</si>
  <si>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</si>
  <si>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</si>
  <si>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</si>
  <si>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</si>
  <si>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</si>
  <si>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</si>
  <si>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</si>
  <si>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</si>
  <si>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2025/12/01</t>
  </si>
  <si>
    <t>EMP3276</t>
  </si>
  <si>
    <t>EMP3277</t>
  </si>
  <si>
    <t>EMP3278</t>
  </si>
  <si>
    <t>EMP3279</t>
  </si>
  <si>
    <t>EMP3280</t>
  </si>
  <si>
    <t>EMP3281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</si>
  <si>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</si>
  <si>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</si>
  <si>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</si>
  <si>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</si>
  <si>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</si>
  <si>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</si>
  <si>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</si>
  <si>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</si>
  <si>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</si>
  <si>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</si>
  <si>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</si>
  <si>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</si>
  <si>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</si>
  <si>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</si>
  <si>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</si>
  <si>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</si>
  <si>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</si>
  <si>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</si>
  <si>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</si>
  <si>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</si>
  <si>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EMP3306</t>
  </si>
  <si>
    <t>EMP3307</t>
  </si>
  <si>
    <t>EMP3308</t>
  </si>
  <si>
    <t>EMP3310</t>
  </si>
  <si>
    <t>EMP3311</t>
  </si>
  <si>
    <t>EMP3312</t>
  </si>
  <si>
    <t>EMP3313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</si>
  <si>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</si>
  <si>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</si>
  <si>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</si>
  <si>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</si>
  <si>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</si>
  <si>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</si>
  <si>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</si>
  <si>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</si>
  <si>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</si>
  <si>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</si>
  <si>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</si>
  <si>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</si>
  <si>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</si>
  <si>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</si>
  <si>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</si>
  <si>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</si>
  <si>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</si>
  <si>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</si>
  <si>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</si>
  <si>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</si>
  <si>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</si>
  <si>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</si>
  <si>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</si>
  <si>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</si>
  <si>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</si>
  <si>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</si>
  <si>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</si>
  <si>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</si>
  <si>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</si>
  <si>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</si>
  <si>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</si>
  <si>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</si>
  <si>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</si>
  <si>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</si>
  <si>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</si>
  <si>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</si>
  <si>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</si>
  <si>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</si>
  <si>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</si>
  <si>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</si>
  <si>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</si>
  <si>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</si>
  <si>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</si>
  <si>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</si>
  <si>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</si>
  <si>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</si>
  <si>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</si>
  <si>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</si>
  <si>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</si>
  <si>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</si>
  <si>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</si>
  <si>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</si>
  <si>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</si>
  <si>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</si>
  <si>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</si>
  <si>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</si>
  <si>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</si>
  <si>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</si>
  <si>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</si>
  <si>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EMP3376</t>
  </si>
  <si>
    <t>EMP3377</t>
  </si>
  <si>
    <t>EMP3378</t>
  </si>
  <si>
    <t>EMP3379</t>
  </si>
  <si>
    <t>EMP3380</t>
  </si>
  <si>
    <t>EMP3381</t>
  </si>
  <si>
    <t>EMP3382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</si>
  <si>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</si>
  <si>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</si>
  <si>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</si>
  <si>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</si>
  <si>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</si>
  <si>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</si>
  <si>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</si>
  <si>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</si>
  <si>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</si>
  <si>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</si>
  <si>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</si>
  <si>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</si>
  <si>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</si>
  <si>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</si>
  <si>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</si>
  <si>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</si>
  <si>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</si>
  <si>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</si>
  <si>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</si>
  <si>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</si>
  <si>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</si>
  <si>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</si>
  <si>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</si>
  <si>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</si>
  <si>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</si>
  <si>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</si>
  <si>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</si>
  <si>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</si>
  <si>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</si>
  <si>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</si>
  <si>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</si>
  <si>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EMP3416</t>
  </si>
  <si>
    <t>EMP3417</t>
  </si>
  <si>
    <t>EMP3418</t>
  </si>
  <si>
    <t>EMP3419</t>
  </si>
  <si>
    <t>EMP3420</t>
  </si>
  <si>
    <t>EMP3421</t>
  </si>
  <si>
    <t>EMP3422</t>
  </si>
  <si>
    <t>EMP3424</t>
  </si>
  <si>
    <t>EMP3425</t>
  </si>
  <si>
    <t>EMP3426</t>
  </si>
  <si>
    <t>EMP3427</t>
  </si>
  <si>
    <t>EMP3429</t>
  </si>
  <si>
    <t>EMP3430</t>
  </si>
  <si>
    <t>EMP3431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</si>
  <si>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</si>
  <si>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</si>
  <si>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</si>
  <si>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</si>
  <si>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</si>
  <si>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</si>
  <si>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</si>
  <si>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</si>
  <si>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</si>
  <si>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</si>
  <si>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</si>
  <si>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</si>
  <si>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</si>
  <si>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</si>
  <si>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</si>
  <si>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</si>
  <si>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</si>
  <si>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</si>
  <si>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</si>
  <si>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</si>
  <si>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</si>
  <si>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</si>
  <si>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</si>
  <si>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</si>
  <si>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</si>
  <si>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</si>
  <si>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</si>
  <si>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</si>
  <si>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</si>
  <si>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</si>
  <si>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</si>
  <si>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</si>
  <si>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</si>
  <si>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</si>
  <si>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</si>
  <si>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</si>
  <si>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</si>
  <si>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</si>
  <si>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</si>
  <si>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</si>
  <si>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</si>
  <si>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</si>
  <si>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</si>
  <si>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</si>
  <si>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</si>
  <si>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</si>
  <si>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</si>
  <si>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</si>
  <si>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</si>
  <si>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</si>
  <si>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</si>
  <si>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</si>
  <si>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</si>
  <si>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</si>
  <si>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</si>
  <si>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</si>
  <si>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</si>
  <si>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</si>
  <si>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</si>
  <si>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</si>
  <si>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</si>
  <si>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</si>
  <si>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</si>
  <si>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EMP3498</t>
  </si>
  <si>
    <t>EMP3499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</si>
  <si>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</si>
  <si>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</si>
  <si>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</si>
  <si>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</si>
  <si>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</si>
  <si>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</si>
  <si>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</si>
  <si>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</si>
  <si>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</si>
  <si>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</si>
  <si>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</si>
  <si>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</si>
  <si>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</si>
  <si>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</si>
  <si>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</si>
  <si>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</si>
  <si>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</si>
  <si>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01-11-2025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</si>
  <si>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</si>
  <si>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</si>
  <si>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</si>
  <si>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</si>
  <si>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</si>
  <si>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</si>
  <si>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</si>
  <si>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</si>
  <si>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</si>
  <si>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</si>
  <si>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</si>
  <si>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</si>
  <si>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</si>
  <si>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</si>
  <si>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</si>
  <si>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</si>
  <si>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</si>
  <si>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</si>
  <si>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</si>
  <si>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</si>
  <si>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</si>
  <si>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</si>
  <si>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</si>
  <si>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</si>
  <si>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</si>
  <si>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</si>
  <si>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</si>
  <si>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</si>
  <si>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</si>
  <si>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</si>
  <si>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</si>
  <si>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</si>
  <si>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</si>
  <si>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</si>
  <si>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</si>
  <si>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</si>
  <si>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</si>
  <si>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</si>
  <si>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</si>
  <si>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</si>
  <si>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</si>
  <si>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</si>
  <si>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</si>
  <si>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</si>
  <si>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</si>
  <si>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</si>
  <si>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</si>
  <si>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</si>
  <si>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</si>
  <si>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</si>
  <si>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</si>
  <si>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</si>
  <si>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</si>
  <si>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</si>
  <si>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</si>
  <si>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</si>
  <si>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</si>
  <si>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</si>
  <si>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</si>
  <si>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EMP3581</t>
  </si>
  <si>
    <t>EMP3582</t>
  </si>
  <si>
    <t>EMP3584</t>
  </si>
  <si>
    <t>EMP3585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</si>
  <si>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</si>
  <si>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</si>
  <si>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</si>
  <si>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</si>
  <si>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</si>
  <si>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</si>
  <si>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</si>
  <si>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</si>
  <si>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</si>
  <si>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</si>
  <si>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</si>
  <si>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</si>
  <si>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</si>
  <si>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</si>
  <si>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</si>
  <si>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</si>
  <si>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</si>
  <si>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</si>
  <si>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</si>
  <si>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</si>
  <si>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</si>
  <si>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</si>
  <si>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</si>
  <si>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</si>
  <si>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</si>
  <si>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</si>
  <si>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</si>
  <si>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</si>
  <si>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</si>
  <si>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</si>
  <si>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</si>
  <si>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</si>
  <si>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</si>
  <si>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</si>
  <si>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</si>
  <si>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EMP3623</t>
  </si>
  <si>
    <t>EMP3624</t>
  </si>
  <si>
    <t>EMP3625</t>
  </si>
  <si>
    <t>EMP3626</t>
  </si>
  <si>
    <t>EMP3627</t>
  </si>
  <si>
    <t>EMP3628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</si>
  <si>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</si>
  <si>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</si>
  <si>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</si>
  <si>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</si>
  <si>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</si>
  <si>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</si>
  <si>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</si>
  <si>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</si>
  <si>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</si>
  <si>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</si>
  <si>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2025/01/01</t>
  </si>
  <si>
    <t>EMP3640</t>
  </si>
  <si>
    <t>EMP3641</t>
  </si>
  <si>
    <t>EMP3642</t>
  </si>
  <si>
    <t>EMP3643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</si>
  <si>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</si>
  <si>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</si>
  <si>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</si>
  <si>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</si>
  <si>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</si>
  <si>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</si>
  <si>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</si>
  <si>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</si>
  <si>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</si>
  <si>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</si>
  <si>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</si>
  <si>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</si>
  <si>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</si>
  <si>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</si>
  <si>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</si>
  <si>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</si>
  <si>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</si>
  <si>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</si>
  <si>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</si>
  <si>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</si>
  <si>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</si>
  <si>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06/01/2025</t>
  </si>
  <si>
    <t>EMP3667</t>
  </si>
  <si>
    <t>EMP3668</t>
  </si>
  <si>
    <t>EMP3669</t>
  </si>
  <si>
    <t>EMP3670</t>
  </si>
  <si>
    <t>EMP3671</t>
  </si>
  <si>
    <t>EMP3672</t>
  </si>
  <si>
    <t>EMP3673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</si>
  <si>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</si>
  <si>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</si>
  <si>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</si>
  <si>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</si>
  <si>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</si>
  <si>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</si>
  <si>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</si>
  <si>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</si>
  <si>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</si>
  <si>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</si>
  <si>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</si>
  <si>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</si>
  <si>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</si>
  <si>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</si>
  <si>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</si>
  <si>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</si>
  <si>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</si>
  <si>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</si>
  <si>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</si>
  <si>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</si>
  <si>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</si>
  <si>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</si>
  <si>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</si>
  <si>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</si>
  <si>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</si>
  <si>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</si>
  <si>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</si>
  <si>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</si>
  <si>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</si>
  <si>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</si>
  <si>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</si>
  <si>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</si>
  <si>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</si>
  <si>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</si>
  <si>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</si>
  <si>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</si>
  <si>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</si>
  <si>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</si>
  <si>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</si>
  <si>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</si>
  <si>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</si>
  <si>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</si>
  <si>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</si>
  <si>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</si>
  <si>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</si>
  <si>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</si>
  <si>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</si>
  <si>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</si>
  <si>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</si>
  <si>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</si>
  <si>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</si>
  <si>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</si>
  <si>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EMP3729</t>
  </si>
  <si>
    <t>EMP3730</t>
  </si>
  <si>
    <t>EMP3731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</si>
  <si>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</si>
  <si>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</si>
  <si>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</si>
  <si>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</si>
  <si>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</si>
  <si>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</si>
  <si>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</si>
  <si>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</si>
  <si>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</si>
  <si>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</si>
  <si>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</si>
  <si>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</si>
  <si>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</si>
  <si>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</si>
  <si>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</si>
  <si>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</si>
  <si>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</si>
  <si>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</si>
  <si>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</si>
  <si>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</si>
  <si>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</si>
  <si>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</si>
  <si>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</si>
  <si>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</si>
  <si>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</si>
  <si>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</si>
  <si>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</si>
  <si>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</si>
  <si>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</si>
  <si>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</si>
  <si>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</si>
  <si>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</si>
  <si>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</si>
  <si>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</si>
  <si>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</si>
  <si>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</si>
  <si>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</si>
  <si>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</si>
  <si>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</si>
  <si>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</si>
  <si>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</si>
  <si>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</si>
  <si>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EMP3777</t>
  </si>
  <si>
    <t>EMP3778</t>
  </si>
  <si>
    <t>EMP3779</t>
  </si>
  <si>
    <t>EMP3780</t>
  </si>
  <si>
    <t>EMP3782</t>
  </si>
  <si>
    <t>EMP3783</t>
  </si>
  <si>
    <t>EMP3785</t>
  </si>
  <si>
    <t>EMP3787</t>
  </si>
  <si>
    <t>EMP3788</t>
  </si>
  <si>
    <t>EMP3789</t>
  </si>
  <si>
    <t>EMP3790</t>
  </si>
  <si>
    <t>EMP3791</t>
  </si>
  <si>
    <t>EMP3793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</si>
  <si>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</si>
  <si>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</si>
  <si>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</si>
  <si>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</si>
  <si>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</si>
  <si>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</si>
  <si>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</si>
  <si>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</si>
  <si>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</si>
  <si>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</si>
  <si>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</si>
  <si>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</si>
  <si>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</si>
  <si>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</si>
  <si>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</si>
  <si>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</si>
  <si>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</si>
  <si>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</si>
  <si>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</si>
  <si>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</si>
  <si>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</si>
  <si>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</si>
  <si>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</si>
  <si>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</si>
  <si>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</si>
  <si>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</si>
  <si>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</si>
  <si>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</si>
  <si>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</si>
  <si>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</si>
  <si>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</si>
  <si>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</si>
  <si>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</si>
  <si>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</si>
  <si>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</si>
  <si>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</si>
  <si>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</si>
  <si>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</si>
  <si>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</si>
  <si>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</si>
  <si>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</si>
  <si>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</si>
  <si>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</si>
  <si>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</si>
  <si>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</si>
  <si>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</si>
  <si>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</si>
  <si>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</si>
  <si>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</si>
  <si>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</si>
  <si>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</si>
  <si>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</si>
  <si>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</si>
  <si>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</si>
  <si>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</si>
  <si>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</si>
  <si>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</si>
  <si>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</si>
  <si>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</si>
  <si>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</si>
  <si>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EMP3859</t>
  </si>
  <si>
    <t>EMP3860</t>
  </si>
  <si>
    <t>EMP3861</t>
  </si>
  <si>
    <t>EMP3862</t>
  </si>
  <si>
    <t>EMP3863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</si>
  <si>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</si>
  <si>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</si>
  <si>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</si>
  <si>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</si>
  <si>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</si>
  <si>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</si>
  <si>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</si>
  <si>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</si>
  <si>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</si>
  <si>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</si>
  <si>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</si>
  <si>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</si>
  <si>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</si>
  <si>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</si>
  <si>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</si>
  <si>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</si>
  <si>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</si>
  <si>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</si>
  <si>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</si>
  <si>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</si>
  <si>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</si>
  <si>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</si>
  <si>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</si>
  <si>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</si>
  <si>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</si>
  <si>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</si>
  <si>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</si>
  <si>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</si>
  <si>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</si>
  <si>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</si>
  <si>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</si>
  <si>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</si>
  <si>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</si>
  <si>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</si>
  <si>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</si>
  <si>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</si>
  <si>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</si>
  <si>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</si>
  <si>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</si>
  <si>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</si>
  <si>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</si>
  <si>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</si>
  <si>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</si>
  <si>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</si>
  <si>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</si>
  <si>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</si>
  <si>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</si>
  <si>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</si>
  <si>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</si>
  <si>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</si>
  <si>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</si>
  <si>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</si>
  <si>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</si>
  <si>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</si>
  <si>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</si>
  <si>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</si>
  <si>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</si>
  <si>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</si>
  <si>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EMP3928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</si>
  <si>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</si>
  <si>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</si>
  <si>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</si>
  <si>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</si>
  <si>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</si>
  <si>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</si>
  <si>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</si>
  <si>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</si>
  <si>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</si>
  <si>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</si>
  <si>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</si>
  <si>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</si>
  <si>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</si>
  <si>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</si>
  <si>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</si>
  <si>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</si>
  <si>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</si>
  <si>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</si>
  <si>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</si>
  <si>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</si>
  <si>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</si>
  <si>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</si>
  <si>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</si>
  <si>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</si>
  <si>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</si>
  <si>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</si>
  <si>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</si>
  <si>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</si>
  <si>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</si>
  <si>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</si>
  <si>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</si>
  <si>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</si>
  <si>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</si>
  <si>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</si>
  <si>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</si>
  <si>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</si>
  <si>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</si>
  <si>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</si>
  <si>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</si>
  <si>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</si>
  <si>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</si>
  <si>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</si>
  <si>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</si>
  <si>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</si>
  <si>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</si>
  <si>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</si>
  <si>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</si>
  <si>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</si>
  <si>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</si>
  <si>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</si>
  <si>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</si>
  <si>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</si>
  <si>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</si>
  <si>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</si>
  <si>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</si>
  <si>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</si>
  <si>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</si>
  <si>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</si>
  <si>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</si>
  <si>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</si>
  <si>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</si>
  <si>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</si>
  <si>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</si>
  <si>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</si>
  <si>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</si>
  <si>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</si>
  <si>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EMP3998</t>
  </si>
  <si>
    <t>EMP3999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</si>
  <si>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</si>
  <si>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</si>
  <si>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</si>
  <si>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</si>
  <si>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</si>
  <si>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</si>
  <si>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</si>
  <si>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</si>
  <si>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</si>
  <si>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</si>
  <si>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</si>
  <si>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</si>
  <si>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</si>
  <si>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</si>
  <si>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</si>
  <si>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</si>
  <si>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</si>
  <si>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</si>
  <si>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</si>
  <si>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EMP4022</t>
  </si>
  <si>
    <t>EMP4023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</si>
  <si>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</si>
  <si>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</si>
  <si>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</si>
  <si>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</si>
  <si>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</si>
  <si>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</si>
  <si>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</si>
  <si>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</si>
  <si>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</si>
  <si>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</si>
  <si>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</si>
  <si>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</si>
  <si>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</si>
  <si>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</si>
  <si>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</si>
  <si>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</si>
  <si>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</si>
  <si>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</si>
  <si>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</si>
  <si>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</si>
  <si>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</si>
  <si>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</si>
  <si>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</si>
  <si>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</si>
  <si>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</si>
  <si>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</si>
  <si>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</si>
  <si>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</si>
  <si>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</si>
  <si>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</si>
  <si>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</si>
  <si>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</si>
  <si>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</si>
  <si>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</si>
  <si>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</si>
  <si>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</si>
  <si>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</si>
  <si>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</si>
  <si>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</si>
  <si>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</si>
  <si>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</si>
  <si>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</si>
  <si>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</si>
  <si>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</si>
  <si>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</si>
  <si>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</si>
  <si>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EMP4073</t>
  </si>
  <si>
    <t>EMP4074</t>
  </si>
  <si>
    <t>EMP4075</t>
  </si>
  <si>
    <t>EMP4076</t>
  </si>
  <si>
    <t>EMP4077</t>
  </si>
  <si>
    <t>EMP4078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</si>
  <si>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</si>
  <si>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</si>
  <si>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</si>
  <si>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</si>
  <si>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</si>
  <si>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</si>
  <si>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</si>
  <si>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</si>
  <si>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</si>
  <si>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</si>
  <si>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</si>
  <si>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</si>
  <si>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</si>
  <si>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</si>
  <si>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</si>
  <si>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</si>
  <si>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</si>
  <si>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</si>
  <si>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</si>
  <si>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</si>
  <si>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</si>
  <si>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</si>
  <si>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</si>
  <si>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</si>
  <si>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</si>
  <si>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</si>
  <si>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</si>
  <si>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</si>
  <si>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</si>
  <si>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</si>
  <si>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</si>
  <si>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</si>
  <si>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</si>
  <si>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</si>
  <si>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</si>
  <si>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</si>
  <si>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</si>
  <si>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</si>
  <si>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</si>
  <si>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</si>
  <si>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</si>
  <si>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</si>
  <si>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</si>
  <si>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</si>
  <si>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</si>
  <si>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</si>
  <si>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</si>
  <si>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</si>
  <si>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</si>
  <si>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</si>
  <si>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</si>
  <si>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</si>
  <si>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</si>
  <si>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</si>
  <si>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</si>
  <si>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</si>
  <si>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</si>
  <si>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</si>
  <si>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</si>
  <si>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</si>
  <si>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</si>
  <si>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</si>
  <si>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</si>
  <si>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</si>
  <si>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</si>
  <si>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</si>
  <si>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</si>
  <si>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</si>
  <si>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</si>
  <si>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</si>
  <si>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</si>
  <si>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</si>
  <si>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</si>
  <si>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</si>
  <si>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</si>
  <si>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</si>
  <si>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</si>
  <si>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</si>
  <si>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</si>
  <si>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</si>
  <si>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</si>
  <si>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</si>
  <si>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</si>
  <si>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</si>
  <si>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</si>
  <si>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</si>
  <si>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</si>
  <si>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</si>
  <si>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</si>
  <si>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</si>
  <si>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</si>
  <si>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</si>
  <si>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</si>
  <si>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</si>
  <si>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</si>
  <si>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</si>
  <si>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</si>
  <si>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</si>
  <si>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</si>
  <si>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</si>
  <si>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</si>
  <si>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</si>
  <si>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</si>
  <si>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</si>
  <si>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</si>
  <si>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</si>
  <si>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</si>
  <si>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</si>
  <si>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</si>
  <si>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</si>
  <si>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</si>
  <si>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</si>
  <si>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</si>
  <si>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</si>
  <si>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</si>
  <si>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</si>
  <si>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</si>
  <si>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</si>
  <si>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</si>
  <si>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</si>
  <si>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</si>
  <si>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</si>
  <si>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</si>
  <si>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</si>
  <si>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</si>
  <si>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</si>
  <si>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</si>
  <si>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</si>
  <si>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</si>
  <si>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</si>
  <si>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</si>
  <si>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</si>
  <si>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</si>
  <si>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</si>
  <si>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</si>
  <si>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</si>
  <si>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</si>
  <si>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</si>
  <si>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</si>
  <si>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</si>
  <si>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Apr 2025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</si>
  <si>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</si>
  <si>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</si>
  <si>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</si>
  <si>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</si>
  <si>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</si>
  <si>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</si>
  <si>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</si>
  <si>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</si>
  <si>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</si>
  <si>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</si>
  <si>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</si>
  <si>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</si>
  <si>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</si>
  <si>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</si>
  <si>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</si>
  <si>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</si>
  <si>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</si>
  <si>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</si>
  <si>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</si>
  <si>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</si>
  <si>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</si>
  <si>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</si>
  <si>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</si>
  <si>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</si>
  <si>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</si>
  <si>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</si>
  <si>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</si>
  <si>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</si>
  <si>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</si>
  <si>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</si>
  <si>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</si>
  <si>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</si>
  <si>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</si>
  <si>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</si>
  <si>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</si>
  <si>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</si>
  <si>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</si>
  <si>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</si>
  <si>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</si>
  <si>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</si>
  <si>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</si>
  <si>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</si>
  <si>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</si>
  <si>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</si>
  <si>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</si>
  <si>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</si>
  <si>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</si>
  <si>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</si>
  <si>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</si>
  <si>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</si>
  <si>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</si>
  <si>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</si>
  <si>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</si>
  <si>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</si>
  <si>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</si>
  <si>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</si>
  <si>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</si>
  <si>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</si>
  <si>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</si>
  <si>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</si>
  <si>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</si>
  <si>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</si>
  <si>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</si>
  <si>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</si>
  <si>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</si>
  <si>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</si>
  <si>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</si>
  <si>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</si>
  <si>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</si>
  <si>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</si>
  <si>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</si>
  <si>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</si>
  <si>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</si>
  <si>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</si>
  <si>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</si>
  <si>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</si>
  <si>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</si>
  <si>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</si>
  <si>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</si>
  <si>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</si>
  <si>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</si>
  <si>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</si>
  <si>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</si>
  <si>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</si>
  <si>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</si>
  <si>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</si>
  <si>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</si>
  <si>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</si>
  <si>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</si>
  <si>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</si>
  <si>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</si>
  <si>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</si>
  <si>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</si>
  <si>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</si>
  <si>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</si>
  <si>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</si>
  <si>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</si>
  <si>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</si>
  <si>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</si>
  <si>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</si>
  <si>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</si>
  <si>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</si>
  <si>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</si>
  <si>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Aug 2025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</si>
  <si>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</si>
  <si>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</si>
  <si>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</si>
  <si>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</si>
  <si>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</si>
  <si>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</si>
  <si>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</si>
  <si>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</si>
  <si>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</si>
  <si>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</si>
  <si>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</si>
  <si>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</si>
  <si>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</si>
  <si>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</si>
  <si>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</si>
  <si>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</si>
  <si>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</si>
  <si>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</si>
  <si>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</si>
  <si>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</si>
  <si>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</si>
  <si>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</si>
  <si>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</si>
  <si>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</si>
  <si>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</si>
  <si>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</si>
  <si>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</si>
  <si>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</si>
  <si>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</si>
  <si>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</si>
  <si>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</si>
  <si>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</si>
  <si>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</si>
  <si>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</si>
  <si>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</si>
  <si>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</si>
  <si>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</si>
  <si>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</si>
  <si>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</si>
  <si>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</si>
  <si>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</si>
  <si>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</si>
  <si>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</si>
  <si>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</si>
  <si>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</si>
  <si>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</si>
  <si>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</si>
  <si>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</si>
  <si>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</si>
  <si>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</si>
  <si>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</si>
  <si>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</si>
  <si>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</si>
  <si>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</si>
  <si>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</si>
  <si>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</si>
  <si>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</si>
  <si>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</si>
  <si>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</si>
  <si>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</si>
  <si>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</si>
  <si>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</si>
  <si>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</si>
  <si>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</si>
  <si>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</si>
  <si>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</si>
  <si>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</si>
  <si>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</si>
  <si>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</si>
  <si>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</si>
  <si>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</si>
  <si>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</si>
  <si>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</si>
  <si>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</si>
  <si>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</si>
  <si>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</si>
  <si>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</si>
  <si>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</si>
  <si>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</si>
  <si>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</si>
  <si>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</si>
  <si>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</si>
  <si>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</si>
  <si>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</si>
  <si>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</si>
  <si>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</si>
  <si>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</si>
  <si>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</si>
  <si>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</si>
  <si>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</si>
  <si>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</si>
  <si>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</si>
  <si>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</si>
  <si>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</si>
  <si>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</si>
  <si>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</si>
  <si>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</si>
  <si>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</si>
  <si>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</si>
  <si>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</si>
  <si>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</si>
  <si>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</si>
  <si>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</si>
  <si>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</si>
  <si>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</si>
  <si>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</si>
  <si>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</si>
  <si>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</si>
  <si>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</si>
  <si>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</si>
  <si>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</si>
  <si>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</si>
  <si>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</si>
  <si>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</si>
  <si>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</si>
  <si>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</si>
  <si>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</si>
  <si>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</si>
  <si>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</si>
  <si>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</si>
  <si>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</si>
  <si>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</si>
  <si>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</si>
  <si>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</si>
  <si>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</si>
  <si>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</si>
  <si>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</si>
  <si>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</si>
  <si>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</si>
  <si>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</si>
  <si>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</si>
  <si>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</si>
  <si>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</si>
  <si>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</si>
  <si>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</si>
  <si>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</si>
  <si>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</si>
  <si>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</si>
  <si>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</si>
  <si>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</si>
  <si>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</si>
  <si>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</si>
  <si>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</si>
  <si>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</si>
  <si>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</si>
  <si>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</si>
  <si>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</si>
  <si>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</si>
  <si>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</si>
  <si>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</si>
  <si>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</si>
  <si>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</si>
  <si>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</si>
  <si>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</si>
  <si>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</si>
  <si>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</si>
  <si>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</si>
  <si>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</si>
  <si>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</si>
  <si>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</si>
  <si>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</si>
  <si>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</si>
  <si>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</si>
  <si>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</si>
  <si>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</si>
  <si>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</si>
  <si>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</si>
  <si>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</si>
  <si>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</si>
  <si>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</si>
  <si>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</si>
  <si>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</si>
  <si>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</si>
  <si>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</si>
  <si>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</si>
  <si>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</si>
  <si>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</si>
  <si>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</si>
  <si>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</si>
  <si>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</si>
  <si>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</si>
  <si>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</si>
  <si>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</si>
  <si>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</si>
  <si>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</si>
  <si>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</si>
  <si>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</si>
  <si>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</si>
  <si>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</si>
  <si>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</si>
  <si>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</si>
  <si>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</si>
  <si>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</si>
  <si>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</si>
  <si>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</si>
  <si>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</si>
  <si>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</si>
  <si>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</si>
  <si>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</si>
  <si>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</si>
  <si>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</si>
  <si>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</si>
  <si>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</si>
  <si>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</si>
  <si>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</si>
  <si>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</si>
  <si>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</si>
  <si>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</si>
  <si>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</si>
  <si>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</si>
  <si>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</si>
  <si>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</si>
  <si>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</si>
  <si>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</si>
  <si>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</si>
  <si>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</si>
  <si>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</si>
  <si>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</si>
  <si>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</si>
  <si>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</si>
  <si>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</si>
  <si>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</si>
  <si>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</si>
  <si>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</si>
  <si>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</si>
  <si>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</si>
  <si>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</si>
  <si>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</si>
  <si>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</si>
  <si>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</si>
  <si>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</si>
  <si>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</si>
  <si>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</si>
  <si>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</si>
  <si>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</si>
  <si>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</si>
  <si>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</si>
  <si>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</si>
  <si>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</si>
  <si>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</si>
  <si>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</si>
  <si>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</si>
  <si>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</si>
  <si>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</si>
  <si>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</si>
  <si>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</si>
  <si>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</si>
  <si>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</si>
  <si>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</si>
  <si>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</si>
  <si>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</si>
  <si>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</si>
  <si>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</si>
  <si>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</si>
  <si>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</si>
  <si>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</si>
  <si>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</si>
  <si>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</si>
  <si>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</si>
  <si>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</si>
  <si>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</si>
  <si>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</si>
  <si>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</si>
  <si>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</si>
  <si>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</si>
  <si>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</si>
  <si>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</si>
  <si>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</si>
  <si>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</si>
  <si>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</si>
  <si>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</si>
  <si>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</si>
  <si>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</si>
  <si>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</si>
  <si>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</si>
  <si>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</si>
  <si>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</si>
  <si>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</si>
  <si>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</si>
  <si>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</si>
  <si>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</si>
  <si>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</si>
  <si>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</si>
  <si>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</si>
  <si>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</si>
  <si>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</si>
  <si>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</si>
  <si>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</si>
  <si>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</si>
  <si>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</si>
  <si>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</si>
  <si>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</si>
  <si>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</si>
  <si>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</si>
  <si>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</si>
  <si>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</si>
  <si>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</si>
  <si>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</si>
  <si>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</si>
  <si>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</si>
  <si>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</si>
  <si>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</si>
  <si>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</si>
  <si>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</si>
  <si>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</si>
  <si>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</si>
  <si>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</si>
  <si>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</si>
  <si>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</si>
  <si>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</si>
  <si>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EMP4651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</si>
  <si>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</si>
  <si>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</si>
  <si>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</si>
  <si>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</si>
  <si>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</si>
  <si>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</si>
  <si>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</si>
  <si>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</si>
  <si>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</si>
  <si>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</si>
  <si>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</si>
  <si>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</si>
  <si>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</si>
  <si>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</si>
  <si>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</si>
  <si>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</si>
  <si>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</si>
  <si>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</si>
  <si>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</si>
  <si>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</si>
  <si>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</si>
  <si>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</si>
  <si>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</si>
  <si>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</si>
  <si>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</si>
  <si>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</si>
  <si>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</si>
  <si>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</si>
  <si>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</si>
  <si>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</si>
  <si>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</si>
  <si>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</si>
  <si>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</si>
  <si>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</si>
  <si>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</si>
  <si>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</si>
  <si>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</si>
  <si>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</si>
  <si>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</si>
  <si>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</si>
  <si>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</si>
  <si>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</si>
  <si>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</si>
  <si>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</si>
  <si>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</si>
  <si>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</si>
  <si>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</si>
  <si>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</si>
  <si>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</si>
  <si>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</si>
  <si>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</si>
  <si>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</si>
  <si>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</si>
  <si>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</si>
  <si>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</si>
  <si>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</si>
  <si>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</si>
  <si>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</si>
  <si>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</si>
  <si>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</si>
  <si>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</si>
  <si>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</si>
  <si>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</si>
  <si>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</si>
  <si>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</si>
  <si>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</si>
  <si>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</si>
  <si>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</si>
  <si>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</si>
  <si>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</si>
  <si>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</si>
  <si>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</si>
  <si>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</si>
  <si>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</si>
  <si>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</si>
  <si>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</si>
  <si>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</si>
  <si>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</si>
  <si>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</si>
  <si>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</si>
  <si>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</si>
  <si>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</si>
  <si>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</si>
  <si>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</si>
  <si>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</si>
  <si>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</si>
  <si>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</si>
  <si>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</si>
  <si>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</si>
  <si>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</si>
  <si>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</si>
  <si>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</si>
  <si>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</si>
  <si>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</si>
  <si>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</si>
  <si>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</si>
  <si>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</si>
  <si>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</si>
  <si>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</si>
  <si>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</si>
  <si>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</si>
  <si>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</si>
  <si>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</si>
  <si>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</si>
  <si>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</si>
  <si>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</si>
  <si>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</si>
  <si>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</si>
  <si>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</si>
  <si>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</si>
  <si>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</si>
  <si>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</si>
  <si>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</si>
  <si>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</si>
  <si>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</si>
  <si>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</si>
  <si>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</si>
  <si>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</si>
  <si>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</si>
  <si>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</si>
  <si>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</si>
  <si>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</si>
  <si>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</si>
  <si>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</si>
  <si>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</si>
  <si>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</si>
  <si>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</si>
  <si>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</si>
  <si>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</si>
  <si>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</si>
  <si>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</si>
  <si>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</si>
  <si>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</si>
  <si>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</si>
  <si>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</si>
  <si>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</si>
  <si>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</si>
  <si>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</si>
  <si>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</si>
  <si>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</si>
  <si>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</si>
  <si>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</si>
  <si>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</si>
  <si>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</si>
  <si>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</si>
  <si>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</si>
  <si>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</si>
  <si>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</si>
  <si>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</si>
  <si>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</si>
  <si>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</si>
  <si>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</si>
  <si>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</si>
  <si>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</si>
  <si>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</si>
  <si>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</si>
  <si>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</si>
  <si>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</si>
  <si>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</si>
  <si>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</si>
  <si>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</si>
  <si>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</si>
  <si>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</si>
  <si>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</si>
  <si>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</si>
  <si>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</si>
  <si>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</si>
  <si>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</si>
  <si>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</si>
  <si>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</si>
  <si>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</si>
  <si>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</si>
  <si>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</si>
  <si>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</si>
  <si>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</si>
  <si>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</si>
  <si>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</si>
  <si>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</si>
  <si>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</si>
  <si>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</si>
  <si>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</si>
  <si>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</si>
  <si>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</si>
  <si>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</si>
  <si>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</si>
  <si>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</si>
  <si>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</si>
  <si>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</si>
  <si>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</si>
  <si>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</si>
  <si>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</si>
  <si>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</si>
  <si>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</si>
  <si>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</si>
  <si>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</si>
  <si>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</si>
  <si>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</si>
  <si>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EMP4855</t>
  </si>
  <si>
    <t>EMP4856</t>
  </si>
  <si>
    <t>EMP4857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</si>
  <si>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</si>
  <si>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</si>
  <si>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</si>
  <si>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</si>
  <si>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</si>
  <si>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</si>
  <si>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</si>
  <si>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</si>
  <si>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</si>
  <si>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</si>
  <si>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</si>
  <si>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</si>
  <si>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</si>
  <si>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</si>
  <si>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</si>
  <si>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</si>
  <si>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</si>
  <si>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</si>
  <si>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</si>
  <si>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</si>
  <si>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</si>
  <si>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</si>
  <si>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</si>
  <si>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</si>
  <si>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</si>
  <si>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</si>
  <si>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EMP4887</t>
  </si>
  <si>
    <t>EMP4888</t>
  </si>
  <si>
    <t>EMP4889</t>
  </si>
  <si>
    <t>EMP4890</t>
  </si>
  <si>
    <t>EMP4891</t>
  </si>
  <si>
    <t>EMP4892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</si>
  <si>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</si>
  <si>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</si>
  <si>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</si>
  <si>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</si>
  <si>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</si>
  <si>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</si>
  <si>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</si>
  <si>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</si>
  <si>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</si>
  <si>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</si>
  <si>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</si>
  <si>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</si>
  <si>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</si>
  <si>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</si>
  <si>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</si>
  <si>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</si>
  <si>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</si>
  <si>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</si>
  <si>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</si>
  <si>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</si>
  <si>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</si>
  <si>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</si>
  <si>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</si>
  <si>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</si>
  <si>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</si>
  <si>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</si>
  <si>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</si>
  <si>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</si>
  <si>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</si>
  <si>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</si>
  <si>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</si>
  <si>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</si>
  <si>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</si>
  <si>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</si>
  <si>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</si>
  <si>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</si>
  <si>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</si>
  <si>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</si>
  <si>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</si>
  <si>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</si>
  <si>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</si>
  <si>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</si>
  <si>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</si>
  <si>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</si>
  <si>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</si>
  <si>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</si>
  <si>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</si>
  <si>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</si>
  <si>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</si>
  <si>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</si>
  <si>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</si>
  <si>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</si>
  <si>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</si>
  <si>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</si>
  <si>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</si>
  <si>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</si>
  <si>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</si>
  <si>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</si>
  <si>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</si>
  <si>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</si>
  <si>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</si>
  <si>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</si>
  <si>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</si>
  <si>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</si>
  <si>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</si>
  <si>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</si>
  <si>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</si>
  <si>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</si>
  <si>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</si>
  <si>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</si>
  <si>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</si>
  <si>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</si>
  <si>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</si>
  <si>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</si>
  <si>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</si>
  <si>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</si>
  <si>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</si>
  <si>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</si>
  <si>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</si>
  <si>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</si>
  <si>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</si>
  <si>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</si>
  <si>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</si>
  <si>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</si>
  <si>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</si>
  <si>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</si>
  <si>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</si>
  <si>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</si>
  <si>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</si>
  <si>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</si>
  <si>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</si>
  <si>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</si>
  <si>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</si>
  <si>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</si>
  <si>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</si>
  <si>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</si>
  <si>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</si>
  <si>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</si>
  <si>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</si>
  <si>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EMP4997</t>
  </si>
  <si>
    <t>EMP4998</t>
  </si>
  <si>
    <t>EMP4999</t>
  </si>
  <si>
    <t>EMP5000</t>
  </si>
  <si>
    <t>Duplicate_Flag</t>
  </si>
  <si>
    <t>Validation</t>
  </si>
  <si>
    <t>marketing</t>
  </si>
  <si>
    <t>Validation Audit</t>
  </si>
  <si>
    <t>Audit built from the cleaned model logic and raw source. Raw_Data and Clean_Data were left untouched.</t>
  </si>
  <si>
    <t>Audit Metric</t>
  </si>
  <si>
    <t>Result</t>
  </si>
  <si>
    <t>Status</t>
  </si>
  <si>
    <t>ISSUELOG</t>
  </si>
  <si>
    <t>Raw rows</t>
  </si>
  <si>
    <t>RESOLVED</t>
  </si>
  <si>
    <t>Issue Type</t>
  </si>
  <si>
    <t>Original Value</t>
  </si>
  <si>
    <t>Resolution</t>
  </si>
  <si>
    <t>Clean rows</t>
  </si>
  <si>
    <t>Gross Salary mismatch</t>
  </si>
  <si>
    <t>Recomputed from Basic + Allowances + Overtime</t>
  </si>
  <si>
    <t>Duplicate Employee IDs found</t>
  </si>
  <si>
    <t>Net Salary mismatch</t>
  </si>
  <si>
    <t>Recomputed from Gross - Deductions</t>
  </si>
  <si>
    <t>Duplicate rows removed</t>
  </si>
  <si>
    <t>Missing Deductions</t>
  </si>
  <si>
    <t>Filled with department average</t>
  </si>
  <si>
    <t>Missing Department fixed</t>
  </si>
  <si>
    <t>Missing Basic Pay fixed</t>
  </si>
  <si>
    <t>Missing Deductions fixed</t>
  </si>
  <si>
    <t>Gross salary mismatches corrected</t>
  </si>
  <si>
    <t>Missing Department</t>
  </si>
  <si>
    <t>Filled with mode/department logic: Marketing</t>
  </si>
  <si>
    <t>Net salary mismatches corrected</t>
  </si>
  <si>
    <t>Missing Basic Pay</t>
  </si>
  <si>
    <t>Post-clean missing cells</t>
  </si>
  <si>
    <t>PASS</t>
  </si>
  <si>
    <t>Post-clean duplicate IDs</t>
  </si>
  <si>
    <t>Post-clean formula mismatches</t>
  </si>
  <si>
    <t>Post-clean negative net salaries</t>
  </si>
  <si>
    <t>Overall audit result</t>
  </si>
  <si>
    <t>TDS Analysis</t>
  </si>
  <si>
    <t>Indicative slab model for project analysis; linked to the cleaned payroll logic.</t>
  </si>
  <si>
    <t>Annual Gross From</t>
  </si>
  <si>
    <t>Annual Gross To</t>
  </si>
  <si>
    <t>Rate</t>
  </si>
  <si>
    <t>Above</t>
  </si>
  <si>
    <t>Monthly Gross</t>
  </si>
  <si>
    <t>Annual Gross</t>
  </si>
  <si>
    <t>TDS Rate</t>
  </si>
  <si>
    <t>Annual TDS</t>
  </si>
  <si>
    <t>Monthly TDS</t>
  </si>
  <si>
    <t>Monthly Net After TDS</t>
  </si>
  <si>
    <t>Department Analysis</t>
  </si>
  <si>
    <t>Summary built from the cleaned payroll model.</t>
  </si>
  <si>
    <t>Employees</t>
  </si>
  <si>
    <t>Avg Basic</t>
  </si>
  <si>
    <t>Avg Allowances</t>
  </si>
  <si>
    <t>Avg Deductions</t>
  </si>
  <si>
    <t>Avg Gross</t>
  </si>
  <si>
    <t>Avg Net</t>
  </si>
  <si>
    <t>Total Payroll</t>
  </si>
  <si>
    <t>Designation Analysis</t>
  </si>
  <si>
    <t>Monthly Analysis</t>
  </si>
  <si>
    <t>Monthly trend summary built from the cleaned payroll model.</t>
  </si>
  <si>
    <t>Total Gross</t>
  </si>
  <si>
    <t>Total Net</t>
  </si>
  <si>
    <t>Departments</t>
  </si>
  <si>
    <t>Designations</t>
  </si>
  <si>
    <t>Months</t>
  </si>
  <si>
    <t>Dec-25</t>
  </si>
  <si>
    <t>All</t>
  </si>
  <si>
    <t>Jan-25</t>
  </si>
  <si>
    <t>Apr-25</t>
  </si>
  <si>
    <t>Feb-25</t>
  </si>
  <si>
    <t>May-25</t>
  </si>
  <si>
    <t>Mar-25</t>
  </si>
  <si>
    <t>Jun-25</t>
  </si>
  <si>
    <t>Jul-25</t>
  </si>
  <si>
    <t>Aug-25</t>
  </si>
  <si>
    <t>Sep-25</t>
  </si>
  <si>
    <t>Oct-25</t>
  </si>
  <si>
    <t>Nov-25</t>
  </si>
  <si>
    <t>PAYROLL INSIGHTS DASHBOARD</t>
  </si>
  <si>
    <t>TOTAL EMPLOYEES</t>
  </si>
  <si>
    <t>Total Net Salary</t>
  </si>
  <si>
    <t>TOTAL GROSS SALARY</t>
  </si>
  <si>
    <t>TOTAL DEDUCTIONS</t>
  </si>
  <si>
    <t>AVERAGE SALARY</t>
  </si>
  <si>
    <t>Monthly payroll Trend</t>
  </si>
  <si>
    <t>Department-wise Net Salary</t>
  </si>
  <si>
    <t>Designation-wise Net Salary</t>
  </si>
  <si>
    <t>Select Department</t>
  </si>
  <si>
    <t>Salary Component Breakdown.</t>
  </si>
  <si>
    <t>Designation Summary</t>
  </si>
  <si>
    <t>Department Summary</t>
  </si>
  <si>
    <t>(Multiple Items)</t>
  </si>
  <si>
    <t>Sum of Net Salary</t>
  </si>
  <si>
    <t>Sum of Gross Salary</t>
  </si>
  <si>
    <t>Row Labels</t>
  </si>
  <si>
    <t>Grand Total</t>
  </si>
  <si>
    <t>Monthly Salary Summary</t>
  </si>
  <si>
    <t>Salary Component Breakdown.Summary</t>
  </si>
  <si>
    <t>Sum of Basic Pay</t>
  </si>
  <si>
    <t>Sum of Allowances</t>
  </si>
  <si>
    <t>Sum of Deductions</t>
  </si>
  <si>
    <t>Apr-2025</t>
  </si>
  <si>
    <t>Aug-2025</t>
  </si>
  <si>
    <t>Dec-2025</t>
  </si>
  <si>
    <t>Feb-2025</t>
  </si>
  <si>
    <t>Jan-2025</t>
  </si>
  <si>
    <t>Jul-2025</t>
  </si>
  <si>
    <t>Jun-2025</t>
  </si>
  <si>
    <t>Mar-2025</t>
  </si>
  <si>
    <t>May-2025</t>
  </si>
  <si>
    <t>Nov-2025</t>
  </si>
  <si>
    <t>Oct-2025</t>
  </si>
  <si>
    <t>Sep-2025</t>
  </si>
  <si>
    <t>Formula1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</si>
</sst>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\ h:mm:ss"/>
    <numFmt numFmtId="165" formatCode="\₹#,##0.00;[Red]\(\₹#,##0.00\)"/>
    <numFmt numFmtId="166" formatCode="0.0%"/>
    <numFmt numFmtId="167" formatCode="_(* #,##0.00_);_(* \(#,##0.00\);_(* &quot;-&quot;??_);_(@_)"/>
  </numFmts>
  <fonts count="28">
    <font>
      <sz val="11.0"/>
      <color rgb="FF000000"/>
      <name val="Arial"/>
      <scheme val="minor"/>
    </font>
    <font>
      <sz val="11.0"/>
      <color rgb="FF000000"/>
      <name val="Arial"/>
    </font>
    <font>
      <b/>
      <sz val="14.0"/>
      <color rgb="FF000000"/>
      <name val="Calibri"/>
    </font>
    <font>
      <sz val="11.0"/>
      <color rgb="FF000000"/>
      <name val="Calibri"/>
    </font>
    <font>
      <sz val="11.0"/>
      <name val="Calibri"/>
    </font>
    <font>
      <b/>
      <sz val="11.0"/>
      <color rgb="FF3F3F3F"/>
      <name val="Calibri"/>
    </font>
    <font>
      <b/>
      <sz val="14.0"/>
      <color/>
      <name val="Calibri"/>
    </font>
    <font>
      <sz val="14.0"/>
      <color/>
      <name val="Calibri"/>
    </font>
    <font>
      <b/>
      <sz val="16.0"/>
      <color rgb="FFFFFFFF"/>
      <name val="Calibri"/>
    </font>
    <font/>
    <font>
      <i/>
      <sz val="9.0"/>
      <color rgb="FF666666"/>
      <name val="Calibri"/>
    </font>
    <font>
      <b/>
      <sz val="11.0"/>
      <color rgb="FF000000"/>
      <name val="Calibri"/>
    </font>
    <font>
      <b/>
      <sz val="11.0"/>
      <color rgb="FF006100"/>
      <name val="Calibri"/>
    </font>
    <font>
      <sz val="10.0"/>
      <color rgb="FF000000"/>
      <name val="Calibri"/>
    </font>
    <font>
      <b/>
      <sz val="11.0"/>
      <name val="Calibri"/>
    </font>
    <font>
      <b/>
      <sz val="11.0"/>
      <color rgb="FF1F4E78"/>
      <name val="Calibri"/>
    </font>
    <font>
      <b/>
      <sz val="72.0"/>
      <color/>
      <name val="Calibri"/>
    </font>
    <font>
      <sz val="22.0"/>
      <color rgb="FF000000"/>
      <name val="Calibri"/>
    </font>
    <font>
      <sz val="20.0"/>
      <color rgb="FF000000"/>
      <name val="Calibri"/>
    </font>
    <font>
      <b/>
      <sz val="20.0"/>
      <color/>
      <name val="Calibri"/>
    </font>
    <font>
      <b/>
      <sz val="48.0"/>
      <color rgb="FF000000"/>
      <name val="Calibri"/>
    </font>
    <font>
      <b/>
      <sz val="20.0"/>
      <color rgb="FF000000"/>
      <name val="Calibri"/>
    </font>
    <font>
      <b/>
      <sz val="48.0"/>
      <color/>
      <name val="Calibri"/>
    </font>
    <font>
      <b/>
      <sz val="26.0"/>
      <color rgb="FF000000"/>
      <name val="Calibri"/>
    </font>
    <font>
      <sz val="18.0"/>
      <color rgb="FF000000"/>
      <name val="Calibri"/>
    </font>
    <font>
      <b/>
      <sz val="72.0"/>
      <color rgb="FF002060"/>
      <name val="Calibri"/>
    </font>
    <font>
      <b/>
      <sz val="36.0"/>
      <color rgb="FF000000"/>
      <name val="Calibri"/>
    </font>
    <font>
      <sz val="48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DE7F6"/>
        <bgColor rgb="FFEDE7F6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rgb="FF366092"/>
        <bgColor rgb="FF366092"/>
      </patternFill>
    </fill>
    <fill>
      <patternFill patternType="solid">
        <fgColor rgb="FF4904C4"/>
        <bgColor rgb="FF4904C4"/>
      </patternFill>
    </fill>
    <fill>
      <patternFill patternType="solid">
        <fgColor rgb="FF2B8133"/>
        <bgColor rgb="FF2B8133"/>
      </patternFill>
    </fill>
    <fill>
      <patternFill patternType="solid">
        <fgColor rgb="FF00B0F0"/>
        <bgColor rgb="FF00B0F0"/>
      </patternFill>
    </fill>
    <fill>
      <patternFill patternType="solid">
        <fgColor rgb="FF17365D"/>
        <bgColor rgb="FF17365D"/>
      </patternFill>
    </fill>
    <fill>
      <patternFill patternType="solid">
        <fgColor rgb="FFE20000"/>
        <bgColor rgb="FFE2000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/>
    </border>
    <border>
      <left style="thin">
        <color rgb="FF3F3F3F"/>
      </left>
      <right style="thin">
        <color rgb="FF3F3F3F"/>
      </right>
      <top style="medium">
        <color rgb="FF000000"/>
      </top>
      <bottom style="medium">
        <color rgb="FF000000"/>
      </bottom>
    </border>
    <border>
      <left style="thin">
        <color rgb="FF3F3F3F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D0D7DE"/>
      </top>
      <bottom style="thin">
        <color rgb="FFD0D7DE"/>
      </bottom>
    </border>
    <border>
      <left/>
      <right/>
      <top style="thin">
        <color rgb="FFD0D7DE"/>
      </top>
      <bottom/>
    </border>
    <border>
      <bottom style="thin">
        <color rgb="FFD0D7DE"/>
      </bottom>
    </border>
    <border>
      <left/>
      <right/>
      <top/>
      <bottom style="thin">
        <color rgb="FFD0D7DE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/>
    </border>
    <border>
      <right/>
    </border>
    <border>
      <right style="medium">
        <color rgb="FF000000"/>
      </right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95B3D7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Border="1" applyFont="1"/>
    <xf borderId="1" fillId="0" fontId="4" numFmtId="164" xfId="0" applyBorder="1" applyFont="1" applyNumberFormat="1"/>
    <xf borderId="1" fillId="0" fontId="1" numFmtId="0" xfId="0" applyBorder="1" applyFont="1"/>
    <xf borderId="2" fillId="2" fontId="5" numFmtId="0" xfId="0" applyBorder="1" applyFill="1" applyFont="1"/>
    <xf borderId="2" fillId="2" fontId="5" numFmtId="2" xfId="0" applyBorder="1" applyFont="1" applyNumberFormat="1"/>
    <xf borderId="2" fillId="2" fontId="5" numFmtId="0" xfId="0" applyAlignment="1" applyBorder="1" applyFont="1">
      <alignment horizontal="right"/>
    </xf>
    <xf borderId="2" fillId="2" fontId="5" numFmtId="49" xfId="0" applyBorder="1" applyFont="1" applyNumberFormat="1"/>
    <xf borderId="1" fillId="0" fontId="2" numFmtId="0" xfId="0" applyBorder="1" applyFont="1"/>
    <xf borderId="3" fillId="0" fontId="6" numFmtId="0" xfId="0" applyBorder="1" applyFont="1"/>
    <xf borderId="4" fillId="0" fontId="7" numFmtId="0" xfId="0" applyBorder="1" applyFont="1"/>
    <xf borderId="5" fillId="2" fontId="5" numFmtId="0" xfId="0" applyBorder="1" applyFont="1"/>
    <xf borderId="5" fillId="2" fontId="5" numFmtId="2" xfId="0" applyBorder="1" applyFont="1" applyNumberFormat="1"/>
    <xf borderId="6" fillId="2" fontId="5" numFmtId="2" xfId="0" applyBorder="1" applyFont="1" applyNumberFormat="1"/>
    <xf borderId="5" fillId="2" fontId="5" numFmtId="0" xfId="0" applyAlignment="1" applyBorder="1" applyFont="1">
      <alignment horizontal="right"/>
    </xf>
    <xf borderId="5" fillId="2" fontId="5" numFmtId="49" xfId="0" applyBorder="1" applyFont="1" applyNumberFormat="1"/>
    <xf borderId="6" fillId="2" fontId="5" numFmtId="0" xfId="0" applyBorder="1" applyFont="1"/>
    <xf borderId="7" fillId="2" fontId="5" numFmtId="0" xfId="0" applyBorder="1" applyFont="1"/>
    <xf borderId="2" fillId="2" fontId="5" numFmtId="0" xfId="0" applyBorder="1" applyFont="1"/>
    <xf borderId="7" fillId="2" fontId="5" numFmtId="2" xfId="0" applyBorder="1" applyFont="1" applyNumberFormat="1"/>
    <xf borderId="2" fillId="2" fontId="5" numFmtId="2" xfId="0" applyBorder="1" applyFont="1" applyNumberFormat="1"/>
    <xf borderId="7" fillId="2" fontId="5" numFmtId="49" xfId="0" applyBorder="1" applyFont="1" applyNumberFormat="1"/>
    <xf borderId="7" fillId="2" fontId="5" numFmtId="0" xfId="0" applyAlignment="1" applyBorder="1" applyFont="1">
      <alignment horizontal="right"/>
    </xf>
    <xf borderId="8" fillId="3" fontId="8" numFmtId="0" xfId="0" applyAlignment="1" applyBorder="1" applyFill="1" applyFont="1">
      <alignment horizontal="left" vertical="center"/>
    </xf>
    <xf borderId="9" fillId="0" fontId="9" numFmtId="0" xfId="0" applyBorder="1" applyFont="1"/>
    <xf borderId="10" fillId="0" fontId="9" numFmtId="0" xfId="0" applyBorder="1" applyFont="1"/>
    <xf borderId="0" fillId="0" fontId="10" numFmtId="0" xfId="0" applyFont="1"/>
    <xf borderId="11" fillId="4" fontId="11" numFmtId="0" xfId="0" applyAlignment="1" applyBorder="1" applyFill="1" applyFont="1">
      <alignment horizontal="center"/>
    </xf>
    <xf borderId="12" fillId="5" fontId="11" numFmtId="0" xfId="0" applyAlignment="1" applyBorder="1" applyFill="1" applyFont="1">
      <alignment horizontal="center"/>
    </xf>
    <xf borderId="13" fillId="0" fontId="1" numFmtId="0" xfId="0" applyBorder="1" applyFont="1"/>
    <xf borderId="14" fillId="6" fontId="12" numFmtId="0" xfId="0" applyBorder="1" applyFill="1" applyFont="1"/>
    <xf borderId="15" fillId="4" fontId="11" numFmtId="0" xfId="0" applyAlignment="1" applyBorder="1" applyFont="1">
      <alignment horizontal="center"/>
    </xf>
    <xf borderId="16" fillId="4" fontId="11" numFmtId="0" xfId="0" applyAlignment="1" applyBorder="1" applyFont="1">
      <alignment horizontal="center"/>
    </xf>
    <xf borderId="17" fillId="4" fontId="11" numFmtId="0" xfId="0" applyAlignment="1" applyBorder="1" applyFont="1">
      <alignment horizontal="center"/>
    </xf>
    <xf borderId="18" fillId="0" fontId="13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shrinkToFit="0" vertical="top" wrapText="1"/>
    </xf>
    <xf borderId="1" fillId="0" fontId="13" numFmtId="165" xfId="0" applyAlignment="1" applyBorder="1" applyFont="1" applyNumberFormat="1">
      <alignment shrinkToFit="0" vertical="top" wrapText="1"/>
    </xf>
    <xf borderId="19" fillId="0" fontId="13" numFmtId="0" xfId="0" applyAlignment="1" applyBorder="1" applyFont="1">
      <alignment shrinkToFit="0" vertical="top" wrapText="1"/>
    </xf>
    <xf borderId="14" fillId="7" fontId="12" numFmtId="0" xfId="0" applyBorder="1" applyFill="1" applyFont="1"/>
    <xf borderId="0" fillId="0" fontId="14" numFmtId="0" xfId="0" applyFont="1"/>
    <xf borderId="0" fillId="0" fontId="15" numFmtId="0" xfId="0" applyFont="1"/>
    <xf borderId="20" fillId="0" fontId="13" numFmtId="0" xfId="0" applyAlignment="1" applyBorder="1" applyFont="1">
      <alignment shrinkToFit="0" vertical="top" wrapText="1"/>
    </xf>
    <xf borderId="21" fillId="0" fontId="13" numFmtId="0" xfId="0" applyAlignment="1" applyBorder="1" applyFont="1">
      <alignment shrinkToFit="0" vertical="top" wrapText="1"/>
    </xf>
    <xf borderId="21" fillId="0" fontId="13" numFmtId="165" xfId="0" applyAlignment="1" applyBorder="1" applyFont="1" applyNumberFormat="1">
      <alignment shrinkToFit="0" vertical="top" wrapText="1"/>
    </xf>
    <xf borderId="22" fillId="0" fontId="13" numFmtId="0" xfId="0" applyAlignment="1" applyBorder="1" applyFont="1">
      <alignment shrinkToFit="0" vertical="top" wrapText="1"/>
    </xf>
    <xf borderId="0" fillId="0" fontId="1" numFmtId="165" xfId="0" applyFont="1" applyNumberFormat="1"/>
    <xf borderId="0" fillId="0" fontId="1" numFmtId="166" xfId="0" applyFont="1" applyNumberFormat="1"/>
    <xf borderId="11" fillId="8" fontId="11" numFmtId="0" xfId="0" applyAlignment="1" applyBorder="1" applyFill="1" applyFont="1">
      <alignment horizontal="center"/>
    </xf>
    <xf borderId="23" fillId="9" fontId="4" numFmtId="0" xfId="0" applyBorder="1" applyFill="1" applyFont="1"/>
    <xf borderId="23" fillId="9" fontId="1" numFmtId="165" xfId="0" applyBorder="1" applyFont="1" applyNumberFormat="1"/>
    <xf borderId="23" fillId="9" fontId="1" numFmtId="166" xfId="0" applyBorder="1" applyFont="1" applyNumberFormat="1"/>
    <xf borderId="23" fillId="8" fontId="4" numFmtId="0" xfId="0" applyBorder="1" applyFont="1"/>
    <xf borderId="23" fillId="8" fontId="1" numFmtId="165" xfId="0" applyBorder="1" applyFont="1" applyNumberFormat="1"/>
    <xf borderId="23" fillId="8" fontId="1" numFmtId="166" xfId="0" applyBorder="1" applyFont="1" applyNumberFormat="1"/>
    <xf borderId="23" fillId="10" fontId="4" numFmtId="0" xfId="0" applyBorder="1" applyFill="1" applyFont="1"/>
    <xf borderId="23" fillId="10" fontId="1" numFmtId="165" xfId="0" applyBorder="1" applyFont="1" applyNumberFormat="1"/>
    <xf borderId="23" fillId="11" fontId="4" numFmtId="0" xfId="0" applyBorder="1" applyFill="1" applyFont="1"/>
    <xf borderId="23" fillId="11" fontId="1" numFmtId="165" xfId="0" applyBorder="1" applyFont="1" applyNumberFormat="1"/>
    <xf borderId="23" fillId="12" fontId="1" numFmtId="17" xfId="0" applyBorder="1" applyFill="1" applyFont="1" applyNumberFormat="1"/>
    <xf borderId="23" fillId="12" fontId="4" numFmtId="0" xfId="0" applyBorder="1" applyFont="1"/>
    <xf borderId="23" fillId="12" fontId="1" numFmtId="165" xfId="0" applyBorder="1" applyFont="1" applyNumberFormat="1"/>
    <xf borderId="23" fillId="11" fontId="1" numFmtId="17" xfId="0" applyBorder="1" applyFont="1" applyNumberFormat="1"/>
    <xf borderId="23" fillId="4" fontId="11" numFmtId="0" xfId="0" applyBorder="1" applyFont="1"/>
    <xf borderId="24" fillId="13" fontId="16" numFmtId="0" xfId="0" applyAlignment="1" applyBorder="1" applyFill="1" applyFont="1">
      <alignment horizontal="center"/>
    </xf>
    <xf borderId="25" fillId="0" fontId="9" numFmtId="0" xfId="0" applyBorder="1" applyFont="1"/>
    <xf borderId="26" fillId="0" fontId="9" numFmtId="0" xfId="0" applyBorder="1" applyFont="1"/>
    <xf borderId="0" fillId="0" fontId="3" numFmtId="0" xfId="0" applyFont="1"/>
    <xf borderId="27" fillId="0" fontId="9" numFmtId="0" xfId="0" applyBorder="1" applyFont="1"/>
    <xf borderId="28" fillId="0" fontId="9" numFmtId="0" xfId="0" applyBorder="1" applyFont="1"/>
    <xf borderId="29" fillId="0" fontId="9" numFmtId="0" xfId="0" applyBorder="1" applyFont="1"/>
    <xf borderId="30" fillId="0" fontId="16" numFmtId="0" xfId="0" applyBorder="1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24" fillId="14" fontId="16" numFmtId="0" xfId="0" applyAlignment="1" applyBorder="1" applyFill="1" applyFont="1">
      <alignment horizontal="center"/>
    </xf>
    <xf borderId="31" fillId="15" fontId="16" numFmtId="167" xfId="0" applyAlignment="1" applyBorder="1" applyFill="1" applyFont="1" applyNumberFormat="1">
      <alignment horizontal="center"/>
    </xf>
    <xf borderId="32" fillId="0" fontId="9" numFmtId="0" xfId="0" applyBorder="1" applyFont="1"/>
    <xf borderId="31" fillId="16" fontId="16" numFmtId="167" xfId="0" applyAlignment="1" applyBorder="1" applyFill="1" applyFont="1" applyNumberFormat="1">
      <alignment horizontal="center"/>
    </xf>
    <xf borderId="33" fillId="0" fontId="9" numFmtId="0" xfId="0" applyBorder="1" applyFont="1"/>
    <xf borderId="24" fillId="17" fontId="16" numFmtId="167" xfId="0" applyAlignment="1" applyBorder="1" applyFill="1" applyFont="1" applyNumberFormat="1">
      <alignment horizontal="center"/>
    </xf>
    <xf borderId="31" fillId="18" fontId="16" numFmtId="167" xfId="0" applyAlignment="1" applyBorder="1" applyFill="1" applyFont="1" applyNumberFormat="1">
      <alignment horizontal="center"/>
    </xf>
    <xf borderId="34" fillId="0" fontId="9" numFmtId="0" xfId="0" applyBorder="1" applyFont="1"/>
    <xf borderId="35" fillId="0" fontId="9" numFmtId="0" xfId="0" applyBorder="1" applyFont="1"/>
    <xf borderId="0" fillId="0" fontId="19" numFmtId="0" xfId="0" applyAlignment="1" applyFont="1">
      <alignment horizontal="center"/>
    </xf>
    <xf borderId="30" fillId="0" fontId="9" numFmtId="0" xfId="0" applyBorder="1" applyFont="1"/>
    <xf borderId="36" fillId="0" fontId="9" numFmtId="0" xfId="0" applyBorder="1" applyFont="1"/>
    <xf borderId="0" fillId="0" fontId="16" numFmtId="167" xfId="0" applyFont="1" applyNumberFormat="1"/>
    <xf borderId="0" fillId="0" fontId="19" numFmtId="0" xfId="0" applyFont="1"/>
    <xf borderId="0" fillId="0" fontId="19" numFmtId="167" xfId="0" applyAlignment="1" applyFont="1" applyNumberFormat="1">
      <alignment horizontal="center"/>
    </xf>
    <xf borderId="37" fillId="0" fontId="9" numFmtId="0" xfId="0" applyBorder="1" applyFont="1"/>
    <xf borderId="38" fillId="0" fontId="9" numFmtId="0" xfId="0" applyBorder="1" applyFont="1"/>
    <xf borderId="39" fillId="0" fontId="9" numFmtId="0" xfId="0" applyBorder="1" applyFont="1"/>
    <xf borderId="40" fillId="0" fontId="9" numFmtId="0" xfId="0" applyBorder="1" applyFont="1"/>
    <xf borderId="41" fillId="0" fontId="9" numFmtId="0" xfId="0" applyBorder="1" applyFont="1"/>
    <xf borderId="42" fillId="0" fontId="9" numFmtId="0" xfId="0" applyBorder="1" applyFont="1"/>
    <xf borderId="43" fillId="0" fontId="9" numFmtId="0" xfId="0" applyBorder="1" applyFont="1"/>
    <xf borderId="44" fillId="0" fontId="9" numFmtId="0" xfId="0" applyBorder="1" applyFont="1"/>
    <xf borderId="45" fillId="0" fontId="9" numFmtId="0" xfId="0" applyBorder="1" applyFont="1"/>
    <xf borderId="22" fillId="0" fontId="20" numFmtId="0" xfId="0" applyAlignment="1" applyBorder="1" applyFont="1">
      <alignment horizontal="center" vertical="center"/>
    </xf>
    <xf borderId="20" fillId="0" fontId="9" numFmtId="0" xfId="0" applyBorder="1" applyFont="1"/>
    <xf borderId="0" fillId="0" fontId="21" numFmtId="0" xfId="0" applyAlignment="1" applyFont="1">
      <alignment horizontal="center" vertical="center"/>
    </xf>
    <xf borderId="30" fillId="0" fontId="22" numFmtId="0" xfId="0" applyAlignment="1" applyBorder="1" applyFont="1">
      <alignment horizontal="center"/>
    </xf>
    <xf borderId="31" fillId="0" fontId="20" numFmtId="167" xfId="0" applyAlignment="1" applyBorder="1" applyFont="1" applyNumberFormat="1">
      <alignment horizontal="center"/>
    </xf>
    <xf borderId="31" fillId="0" fontId="22" numFmtId="0" xfId="0" applyAlignment="1" applyBorder="1" applyFont="1">
      <alignment horizontal="center"/>
    </xf>
    <xf borderId="0" fillId="0" fontId="21" numFmtId="2" xfId="0" applyFont="1" applyNumberFormat="1"/>
    <xf borderId="30" fillId="0" fontId="20" numFmtId="2" xfId="0" applyAlignment="1" applyBorder="1" applyFont="1" applyNumberFormat="1">
      <alignment horizontal="center"/>
    </xf>
    <xf borderId="0" fillId="0" fontId="20" numFmtId="2" xfId="0" applyFont="1" applyNumberFormat="1"/>
    <xf borderId="46" fillId="0" fontId="9" numFmtId="0" xfId="0" applyBorder="1" applyFont="1"/>
    <xf borderId="47" fillId="0" fontId="9" numFmtId="0" xfId="0" applyBorder="1" applyFont="1"/>
    <xf borderId="0" fillId="0" fontId="21" numFmtId="0" xfId="0" applyAlignment="1" applyFont="1">
      <alignment vertical="center"/>
    </xf>
    <xf borderId="23" fillId="0" fontId="19" numFmtId="0" xfId="0" applyBorder="1" applyFont="1"/>
    <xf borderId="0" fillId="0" fontId="21" numFmtId="2" xfId="0" applyAlignment="1" applyFont="1" applyNumberFormat="1">
      <alignment horizontal="center"/>
    </xf>
    <xf borderId="23" fillId="0" fontId="19" numFmtId="0" xfId="0" applyAlignment="1" applyBorder="1" applyFont="1">
      <alignment horizontal="center"/>
    </xf>
    <xf borderId="0" fillId="0" fontId="23" numFmtId="0" xfId="0" applyFont="1"/>
    <xf borderId="0" fillId="0" fontId="24" numFmtId="0" xfId="0" applyFont="1"/>
    <xf borderId="0" fillId="0" fontId="18" numFmtId="167" xfId="0" applyFont="1" applyNumberFormat="1"/>
    <xf borderId="31" fillId="0" fontId="25" numFmtId="0" xfId="0" applyAlignment="1" applyBorder="1" applyFont="1">
      <alignment horizontal="center"/>
    </xf>
    <xf borderId="48" fillId="0" fontId="23" numFmtId="0" xfId="0" applyBorder="1" applyFont="1"/>
    <xf borderId="0" fillId="0" fontId="25" numFmtId="0" xfId="0" applyFont="1"/>
    <xf borderId="49" fillId="0" fontId="20" numFmtId="0" xfId="0" applyBorder="1" applyFont="1"/>
    <xf borderId="50" fillId="0" fontId="20" numFmtId="0" xfId="0" applyBorder="1" applyFont="1"/>
    <xf borderId="0" fillId="0" fontId="20" numFmtId="0" xfId="0" applyFont="1"/>
    <xf borderId="1" fillId="0" fontId="20" numFmtId="0" xfId="0" applyBorder="1" applyFont="1"/>
    <xf borderId="1" fillId="0" fontId="20" numFmtId="0" xfId="0" applyAlignment="1" applyBorder="1" applyFont="1">
      <alignment horizontal="left"/>
    </xf>
    <xf borderId="51" fillId="0" fontId="20" numFmtId="0" xfId="0" applyAlignment="1" applyBorder="1" applyFont="1">
      <alignment horizontal="left"/>
    </xf>
    <xf borderId="52" fillId="0" fontId="20" numFmtId="0" xfId="0" applyBorder="1" applyFont="1"/>
    <xf borderId="53" fillId="0" fontId="20" numFmtId="0" xfId="0" applyBorder="1" applyFont="1"/>
    <xf borderId="52" fillId="0" fontId="26" numFmtId="0" xfId="0" applyBorder="1" applyFont="1"/>
    <xf borderId="53" fillId="0" fontId="26" numFmtId="0" xfId="0" applyBorder="1" applyFont="1"/>
    <xf borderId="0" fillId="0" fontId="26" numFmtId="0" xfId="0" applyFont="1"/>
    <xf borderId="54" fillId="0" fontId="26" numFmtId="0" xfId="0" applyBorder="1" applyFont="1"/>
    <xf borderId="55" fillId="0" fontId="26" numFmtId="0" xfId="0" applyBorder="1" applyFont="1"/>
    <xf borderId="56" fillId="0" fontId="26" numFmtId="0" xfId="0" applyBorder="1" applyFont="1"/>
    <xf borderId="57" fillId="0" fontId="26" numFmtId="0" xfId="0" applyAlignment="1" applyBorder="1" applyFont="1">
      <alignment horizontal="left"/>
    </xf>
    <xf borderId="1" fillId="0" fontId="26" numFmtId="0" xfId="0" applyBorder="1" applyFont="1"/>
    <xf borderId="58" fillId="0" fontId="26" numFmtId="0" xfId="0" applyBorder="1" applyFont="1"/>
    <xf borderId="59" fillId="0" fontId="20" numFmtId="0" xfId="0" applyBorder="1" applyFont="1"/>
    <xf borderId="52" fillId="0" fontId="26" numFmtId="0" xfId="0" applyAlignment="1" applyBorder="1" applyFont="1">
      <alignment horizontal="left"/>
    </xf>
    <xf borderId="59" fillId="0" fontId="26" numFmtId="0" xfId="0" applyBorder="1" applyFont="1"/>
    <xf borderId="0" fillId="0" fontId="2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none"/>
      </fill>
      <border/>
    </dxf>
  </dxfs>
  <tableStyles count="1">
    <tableStyle count="4" pivot="0" name="Clean_Data-style">
      <tableStyleElement dxfId="1" type="headerRow"/>
      <tableStyleElement dxfId="2" type="firstRowStripe"/>
      <tableStyleElement dxfId="3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Net Salary by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Avg Net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Department_Analysis!$A$5:$A$11</c:f>
            </c:strRef>
          </c:cat>
          <c:val>
            <c:numRef>
              <c:f>Department_Analysis!$G$5:$G$11</c:f>
              <c:numCache/>
            </c:numRef>
          </c:val>
        </c:ser>
        <c:axId val="1545313332"/>
        <c:axId val="388536087"/>
      </c:barChart>
      <c:catAx>
        <c:axId val="15453133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88536087"/>
      </c:catAx>
      <c:valAx>
        <c:axId val="3885360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531333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Salary Components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Avg Basic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Department_Analysis!$A$5:$A$11</c:f>
            </c:strRef>
          </c:cat>
          <c:val>
            <c:numRef>
              <c:f>Department_Analysis!$C$5:$C$11</c:f>
              <c:numCache/>
            </c:numRef>
          </c:val>
        </c:ser>
        <c:ser>
          <c:idx val="1"/>
          <c:order val="1"/>
          <c:tx>
            <c:v>Avg Allowances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Department_Analysis!$A$5:$A$11</c:f>
            </c:strRef>
          </c:cat>
          <c:val>
            <c:numRef>
              <c:f>Department_Analysis!$D$5:$D$11</c:f>
              <c:numCache/>
            </c:numRef>
          </c:val>
        </c:ser>
        <c:ser>
          <c:idx val="2"/>
          <c:order val="2"/>
          <c:tx>
            <c:v>Avg Deductions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Department_Analysis!$A$5:$A$11</c:f>
            </c:strRef>
          </c:cat>
          <c:val>
            <c:numRef>
              <c:f>Department_Analysis!$E$5:$E$11</c:f>
              <c:numCache/>
            </c:numRef>
          </c:val>
        </c:ser>
        <c:overlap val="100"/>
        <c:axId val="1221386781"/>
        <c:axId val="984518450"/>
      </c:barChart>
      <c:catAx>
        <c:axId val="1221386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84518450"/>
      </c:catAx>
      <c:valAx>
        <c:axId val="984518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13867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Net Salary by Designation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Avg Net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Designation_Analysis!$A$5:$A$11</c:f>
            </c:strRef>
          </c:cat>
          <c:val>
            <c:numRef>
              <c:f>Designation_Analysis!$G$5:$G$11</c:f>
              <c:numCache/>
            </c:numRef>
          </c:val>
        </c:ser>
        <c:axId val="568147332"/>
        <c:axId val="1804727075"/>
      </c:barChart>
      <c:catAx>
        <c:axId val="5681473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4727075"/>
      </c:catAx>
      <c:valAx>
        <c:axId val="18047270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814733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Headcount Share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Designation_Analysis!$B$4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Designation_Analysis!$A$5:$A$11</c:f>
            </c:strRef>
          </c:cat>
          <c:val>
            <c:numRef>
              <c:f>Designation_Analysis!$B$5:$B$11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Total Net Salary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 Net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Monthly_Analysis_Final!$A$5:$A$16</c:f>
            </c:strRef>
          </c:cat>
          <c:val>
            <c:numRef>
              <c:f>Monthly_Analysis_Final!$D$5:$D$16</c:f>
              <c:numCache/>
            </c:numRef>
          </c:val>
          <c:smooth val="0"/>
        </c:ser>
        <c:axId val="2046298741"/>
        <c:axId val="1123404344"/>
      </c:lineChart>
      <c:catAx>
        <c:axId val="2046298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3404344"/>
      </c:catAx>
      <c:valAx>
        <c:axId val="1123404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4629874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Net Salary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Net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Monthly_Analysis_Final!$A$5:$A$16</c:f>
            </c:strRef>
          </c:cat>
          <c:val>
            <c:numRef>
              <c:f>Monthly_Analysis_Final!$E$5:$E$16</c:f>
              <c:numCache/>
            </c:numRef>
          </c:val>
        </c:ser>
        <c:axId val="208061412"/>
        <c:axId val="1291182352"/>
      </c:barChart>
      <c:catAx>
        <c:axId val="208061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1182352"/>
      </c:catAx>
      <c:valAx>
        <c:axId val="1291182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06141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1100686142765213"/>
          <c:y val="0.07002187379499143"/>
          <c:w val="0.7198728000247595"/>
          <c:h val="0.8303501863287116"/>
        </c:manualLayout>
      </c:layout>
      <c:barChart>
        <c:barDir val="bar"/>
        <c:ser>
          <c:idx val="0"/>
          <c:order val="0"/>
          <c:tx>
            <c:v>Sum of Net Salary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DASHBOARD!$S$87:$S$89</c:f>
            </c:strRef>
          </c:cat>
          <c:val>
            <c:numRef>
              <c:f>DASHBOARD!$T$87:$T$89</c:f>
              <c:numCache/>
            </c:numRef>
          </c:val>
        </c:ser>
        <c:ser>
          <c:idx val="1"/>
          <c:order val="1"/>
          <c:tx>
            <c:v>Sum of Gross Salary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DASHBOARD!$S$87:$S$89</c:f>
            </c:strRef>
          </c:cat>
          <c:val>
            <c:numRef>
              <c:f>DASHBOARD!$U$87:$U$89</c:f>
              <c:numCache/>
            </c:numRef>
          </c:val>
        </c:ser>
        <c:axId val="1972544980"/>
        <c:axId val="680710934"/>
      </c:barChart>
      <c:catAx>
        <c:axId val="19725449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710934"/>
      </c:catAx>
      <c:valAx>
        <c:axId val="6807109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544980"/>
        <c:crosses val="max"/>
      </c:valAx>
    </c:plotArea>
    <c:legend>
      <c:legendPos val="r"/>
      <c:layout>
        <c:manualLayout>
          <c:xMode val="edge"/>
          <c:yMode val="edge"/>
          <c:x val="0.8087415593194053"/>
          <c:y val="0.396184867319942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706222973503906"/>
          <c:y val="0.10131348428085621"/>
          <c:w val="0.7223390478960365"/>
          <c:h val="0.822971961198711"/>
        </c:manualLayout>
      </c:layout>
      <c:barChart>
        <c:barDir val="col"/>
        <c:ser>
          <c:idx val="0"/>
          <c:order val="0"/>
          <c:tx>
            <c:v>Sum of Net Salary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DASHBOARD!$N$87:$N$88</c:f>
            </c:strRef>
          </c:cat>
          <c:val>
            <c:numRef>
              <c:f>DASHBOARD!$O$87:$O$88</c:f>
              <c:numCache/>
            </c:numRef>
          </c:val>
        </c:ser>
        <c:ser>
          <c:idx val="1"/>
          <c:order val="1"/>
          <c:tx>
            <c:v>Sum of Gross Salary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DASHBOARD!$N$87:$N$88</c:f>
            </c:strRef>
          </c:cat>
          <c:val>
            <c:numRef>
              <c:f>DASHBOARD!$P$87:$P$88</c:f>
              <c:numCache/>
            </c:numRef>
          </c:val>
        </c:ser>
        <c:axId val="97286300"/>
        <c:axId val="46241472"/>
      </c:barChart>
      <c:catAx>
        <c:axId val="97286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3200">
                <a:solidFill>
                  <a:srgbClr val="000000"/>
                </a:solidFill>
                <a:latin typeface="+mn-lt"/>
              </a:defRPr>
            </a:pPr>
          </a:p>
        </c:txPr>
        <c:crossAx val="46241472"/>
      </c:catAx>
      <c:valAx>
        <c:axId val="46241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86300"/>
      </c:valAx>
    </c:plotArea>
    <c:legend>
      <c:legendPos val="r"/>
      <c:layout>
        <c:manualLayout>
          <c:xMode val="edge"/>
          <c:yMode val="edge"/>
          <c:x val="0.8739767400934508"/>
          <c:y val="0.3563139407574053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DASHBOARD!$O$86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DASHBOARD!$N$87:$N$88</c:f>
            </c:strRef>
          </c:cat>
          <c:val>
            <c:numRef>
              <c:f>DASHBOARD!$O$87:$O$88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063868445015802"/>
          <c:y val="0.13560829034301747"/>
        </c:manualLayout>
      </c:layout>
      <c:overlay val="0"/>
      <c:txPr>
        <a:bodyPr/>
        <a:lstStyle/>
        <a:p>
          <a:pPr lvl="0">
            <a:defRPr b="1" i="0" sz="4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Sum of Basic Pay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DASHBOARD!$R$104:$R$105</c:f>
            </c:strRef>
          </c:cat>
          <c:val>
            <c:numRef>
              <c:f>DASHBOARD!$S$104:$S$105</c:f>
              <c:numCache/>
            </c:numRef>
          </c:val>
        </c:ser>
        <c:ser>
          <c:idx val="1"/>
          <c:order val="1"/>
          <c:tx>
            <c:v>Sum of Allowances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DASHBOARD!$R$104:$R$105</c:f>
            </c:strRef>
          </c:cat>
          <c:val>
            <c:numRef>
              <c:f>DASHBOARD!$T$104:$T$105</c:f>
              <c:numCache/>
            </c:numRef>
          </c:val>
        </c:ser>
        <c:ser>
          <c:idx val="2"/>
          <c:order val="2"/>
          <c:tx>
            <c:v>Sum of Deductions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DASHBOARD!$R$104:$R$105</c:f>
            </c:strRef>
          </c:cat>
          <c:val>
            <c:numRef>
              <c:f>DASHBOARD!$U$104:$U$105</c:f>
              <c:numCache/>
            </c:numRef>
          </c:val>
        </c:ser>
        <c:overlap val="100"/>
        <c:axId val="1109694254"/>
        <c:axId val="1653869573"/>
      </c:barChart>
      <c:catAx>
        <c:axId val="1109694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3200">
                <a:solidFill>
                  <a:srgbClr val="000000"/>
                </a:solidFill>
                <a:latin typeface="+mn-lt"/>
              </a:defRPr>
            </a:pPr>
          </a:p>
        </c:txPr>
        <c:crossAx val="1653869573"/>
      </c:catAx>
      <c:valAx>
        <c:axId val="1653869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4000">
                <a:solidFill>
                  <a:srgbClr val="000000"/>
                </a:solidFill>
                <a:latin typeface="+mn-lt"/>
              </a:defRPr>
            </a:pPr>
          </a:p>
        </c:txPr>
        <c:crossAx val="1109694254"/>
      </c:valAx>
    </c:plotArea>
    <c:legend>
      <c:legendPos val="r"/>
      <c:overlay val="0"/>
      <c:txPr>
        <a:bodyPr/>
        <a:lstStyle/>
        <a:p>
          <a:pPr lvl="0">
            <a:defRPr b="1" i="0" sz="3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905246893729882"/>
          <c:y val="0.17919095639360869"/>
          <c:w val="0.928233491671184"/>
          <c:h val="0.6738872772482387"/>
        </c:manualLayout>
      </c:layout>
      <c:lineChart>
        <c:ser>
          <c:idx val="0"/>
          <c:order val="0"/>
          <c:tx>
            <c:v>Sum of Net Salary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DASHBOARD!$N$104:$N$128</c:f>
            </c:strRef>
          </c:cat>
          <c:val>
            <c:numRef>
              <c:f>DASHBOARD!$O$104:$O$128</c:f>
              <c:numCache/>
            </c:numRef>
          </c:val>
          <c:smooth val="0"/>
        </c:ser>
        <c:ser>
          <c:idx val="1"/>
          <c:order val="1"/>
          <c:tx>
            <c:v>Sum of Gross Salary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DASHBOARD!$N$104:$N$128</c:f>
            </c:strRef>
          </c:cat>
          <c:val>
            <c:numRef>
              <c:f>DASHBOARD!$P$104:$P$128</c:f>
              <c:numCache/>
            </c:numRef>
          </c:val>
          <c:smooth val="0"/>
        </c:ser>
        <c:axId val="1955312366"/>
        <c:axId val="618003133"/>
      </c:lineChart>
      <c:catAx>
        <c:axId val="1955312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003133"/>
      </c:catAx>
      <c:valAx>
        <c:axId val="618003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312366"/>
      </c:valAx>
    </c:plotArea>
    <c:legend>
      <c:legendPos val="r"/>
      <c:layout>
        <c:manualLayout>
          <c:xMode val="edge"/>
          <c:yMode val="edge"/>
          <c:x val="0.37685422198537893"/>
          <c:y val="0.00889729244370769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7</xdr:row>
      <xdr:rowOff>142875</xdr:rowOff>
    </xdr:from>
    <xdr:ext cx="5038725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</xdr:colOff>
      <xdr:row>23</xdr:row>
      <xdr:rowOff>133350</xdr:rowOff>
    </xdr:from>
    <xdr:ext cx="5038725" cy="287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5038725" cy="28765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19</xdr:row>
      <xdr:rowOff>0</xdr:rowOff>
    </xdr:from>
    <xdr:ext cx="4314825" cy="2876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14</xdr:row>
      <xdr:rowOff>161925</xdr:rowOff>
    </xdr:from>
    <xdr:ext cx="5038725" cy="28765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142875</xdr:rowOff>
    </xdr:from>
    <xdr:ext cx="5038725" cy="28765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50</xdr:row>
      <xdr:rowOff>0</xdr:rowOff>
    </xdr:from>
    <xdr:ext cx="23745825" cy="89725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381000</xdr:colOff>
      <xdr:row>51</xdr:row>
      <xdr:rowOff>95250</xdr:rowOff>
    </xdr:from>
    <xdr:ext cx="37852350" cy="96774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304800</xdr:colOff>
      <xdr:row>50</xdr:row>
      <xdr:rowOff>228600</xdr:rowOff>
    </xdr:from>
    <xdr:ext cx="29108400" cy="90868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990600</xdr:colOff>
      <xdr:row>83</xdr:row>
      <xdr:rowOff>104775</xdr:rowOff>
    </xdr:from>
    <xdr:ext cx="29898975" cy="114109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190500</xdr:colOff>
      <xdr:row>21</xdr:row>
      <xdr:rowOff>0</xdr:rowOff>
    </xdr:from>
    <xdr:ext cx="103317675" cy="87058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totalsRowCount="1" ref="A2:N4747" displayName="Table_1" name="Table_1" id="1">
  <tableColumns count="14">
    <tableColumn name="Employee ID" id="1"/>
    <tableColumn name="Department" id="2"/>
    <tableColumn name="Designation" id="3"/>
    <tableColumn name="Basic Pay" id="4"/>
    <tableColumn name="Allowances" id="5"/>
    <tableColumn name="Overtime Amount" id="6"/>
    <tableColumn name="Deductions" id="7"/>
    <tableColumn name="Gross Salary" id="8"/>
    <tableColumn name="Net Salary" id="9"/>
    <tableColumn name="Pay Month" id="10"/>
    <tableColumn name="Experience" id="11"/>
    <tableColumn name="Destination" id="12"/>
    <tableColumn name="Duplicate_Flag" id="13"/>
    <tableColumn name="Validation" id="14"/>
  </tableColumns>
  <tableStyleInfo name="Clean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7.29"/>
    <col customWidth="1" min="3" max="3" width="15.0"/>
    <col customWidth="1" min="4" max="4" width="12.0"/>
    <col customWidth="1" min="5" max="5" width="14.43"/>
    <col customWidth="1" min="6" max="6" width="22.29"/>
    <col customWidth="1" min="7" max="7" width="14.29"/>
    <col customWidth="1" min="8" max="8" width="15.29"/>
    <col customWidth="1" min="9" max="9" width="13.0"/>
    <col customWidth="1" min="10" max="10" width="17.29"/>
    <col customWidth="1" min="11" max="11" width="14.0"/>
    <col customWidth="1" min="12" max="12" width="17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>
      <c r="A3" s="3" t="s">
        <v>12</v>
      </c>
      <c r="B3" s="3" t="s">
        <v>13</v>
      </c>
      <c r="C3" s="3" t="s">
        <v>14</v>
      </c>
      <c r="D3" s="3">
        <v>18180.08</v>
      </c>
      <c r="E3" s="3">
        <v>5454.02</v>
      </c>
      <c r="F3" s="3">
        <v>1000.01</v>
      </c>
      <c r="G3" s="3">
        <v>1217.4</v>
      </c>
      <c r="H3" s="3">
        <v>24634.11</v>
      </c>
      <c r="I3" s="3">
        <v>23416.71</v>
      </c>
      <c r="J3" s="4">
        <v>45992.0</v>
      </c>
      <c r="K3" s="3">
        <v>14.0</v>
      </c>
      <c r="L3" s="3" t="s">
        <v>15</v>
      </c>
    </row>
    <row r="4">
      <c r="A4" s="3" t="s">
        <v>16</v>
      </c>
      <c r="B4" s="3" t="s">
        <v>17</v>
      </c>
      <c r="C4" s="3" t="s">
        <v>18</v>
      </c>
      <c r="D4" s="3">
        <v>84257.36</v>
      </c>
      <c r="E4" s="3">
        <v>25277.21</v>
      </c>
      <c r="F4" s="3">
        <v>9190.23</v>
      </c>
      <c r="G4" s="3">
        <v>14926.0</v>
      </c>
      <c r="H4" s="3">
        <v>118724.8</v>
      </c>
      <c r="I4" s="3">
        <v>103798.8</v>
      </c>
      <c r="J4" s="4">
        <v>45658.0</v>
      </c>
      <c r="K4" s="3">
        <v>2.0</v>
      </c>
      <c r="L4" s="3" t="s">
        <v>19</v>
      </c>
    </row>
    <row r="5">
      <c r="A5" s="3" t="s">
        <v>20</v>
      </c>
      <c r="B5" s="3" t="s">
        <v>17</v>
      </c>
      <c r="C5" s="3" t="s">
        <v>14</v>
      </c>
      <c r="D5" s="3">
        <v>19574.19</v>
      </c>
      <c r="E5" s="3">
        <v>5872.26</v>
      </c>
      <c r="F5" s="3">
        <v>1978.38</v>
      </c>
      <c r="G5" s="3">
        <v>155.83</v>
      </c>
      <c r="H5" s="3">
        <v>27424.83</v>
      </c>
      <c r="I5" s="3">
        <v>27269.0</v>
      </c>
      <c r="J5" s="4">
        <v>45748.0</v>
      </c>
      <c r="K5" s="3">
        <v>4.0</v>
      </c>
      <c r="L5" s="3" t="s">
        <v>21</v>
      </c>
    </row>
    <row r="6">
      <c r="A6" s="3" t="s">
        <v>22</v>
      </c>
      <c r="B6" s="3" t="s">
        <v>13</v>
      </c>
      <c r="C6" s="3" t="s">
        <v>18</v>
      </c>
      <c r="D6" s="3">
        <v>83234.45</v>
      </c>
      <c r="E6" s="3">
        <v>24970.33</v>
      </c>
      <c r="F6" s="3">
        <v>6983.7</v>
      </c>
      <c r="G6" s="3">
        <v>11216.9</v>
      </c>
      <c r="H6" s="3">
        <v>115188.48</v>
      </c>
      <c r="I6" s="3">
        <v>103971.58</v>
      </c>
      <c r="J6" s="4">
        <v>45778.0</v>
      </c>
      <c r="K6" s="3">
        <v>17.0</v>
      </c>
      <c r="L6" s="3" t="s">
        <v>23</v>
      </c>
    </row>
    <row r="7">
      <c r="A7" s="3" t="s">
        <v>24</v>
      </c>
      <c r="B7" s="3" t="s">
        <v>25</v>
      </c>
      <c r="C7" s="3" t="s">
        <v>26</v>
      </c>
      <c r="D7" s="3">
        <v>90233.96</v>
      </c>
      <c r="E7" s="3">
        <v>27070.19</v>
      </c>
      <c r="F7" s="3">
        <v>14542.45</v>
      </c>
      <c r="G7" s="3">
        <v>18898.76</v>
      </c>
      <c r="H7" s="3">
        <v>131846.6</v>
      </c>
      <c r="I7" s="3">
        <v>112947.84</v>
      </c>
      <c r="J7" s="4">
        <v>45809.0</v>
      </c>
      <c r="K7" s="3">
        <v>23.0</v>
      </c>
      <c r="L7" s="3" t="s">
        <v>27</v>
      </c>
    </row>
    <row r="8">
      <c r="A8" s="3" t="s">
        <v>28</v>
      </c>
      <c r="B8" s="3" t="s">
        <v>29</v>
      </c>
      <c r="C8" s="3" t="s">
        <v>30</v>
      </c>
      <c r="D8" s="3">
        <v>23894.76</v>
      </c>
      <c r="E8" s="3">
        <v>7168.43</v>
      </c>
      <c r="F8" s="3">
        <v>3648.7</v>
      </c>
      <c r="G8" s="3">
        <v>732.69</v>
      </c>
      <c r="H8" s="3">
        <v>34711.89</v>
      </c>
      <c r="I8" s="3">
        <v>33979.2</v>
      </c>
      <c r="J8" s="4">
        <v>45839.0</v>
      </c>
      <c r="K8" s="3">
        <v>2.0</v>
      </c>
      <c r="L8" s="3" t="s">
        <v>31</v>
      </c>
    </row>
    <row r="9">
      <c r="A9" s="3" t="s">
        <v>32</v>
      </c>
      <c r="B9" s="3" t="s">
        <v>17</v>
      </c>
      <c r="C9" s="3" t="s">
        <v>33</v>
      </c>
      <c r="D9" s="3">
        <v>33474.94</v>
      </c>
      <c r="E9" s="3">
        <v>10042.48</v>
      </c>
      <c r="F9" s="3">
        <v>4041.94</v>
      </c>
      <c r="G9" s="3">
        <v>8105.57</v>
      </c>
      <c r="H9" s="3">
        <v>47559.36</v>
      </c>
      <c r="I9" s="3">
        <v>39453.79</v>
      </c>
      <c r="J9" s="4">
        <v>45992.0</v>
      </c>
      <c r="K9" s="3">
        <v>25.0</v>
      </c>
      <c r="L9" s="3" t="s">
        <v>34</v>
      </c>
    </row>
    <row r="10">
      <c r="A10" s="3" t="s">
        <v>35</v>
      </c>
      <c r="B10" s="3" t="s">
        <v>36</v>
      </c>
      <c r="C10" s="3" t="s">
        <v>37</v>
      </c>
      <c r="D10" s="3">
        <v>47246.87</v>
      </c>
      <c r="E10" s="3">
        <v>14174.06</v>
      </c>
      <c r="F10" s="3">
        <v>8715.11</v>
      </c>
      <c r="G10" s="3">
        <v>1116.92</v>
      </c>
      <c r="H10" s="3">
        <v>46129.95</v>
      </c>
      <c r="I10" s="3">
        <v>51129.95</v>
      </c>
      <c r="J10" s="4">
        <v>45778.0</v>
      </c>
      <c r="K10" s="3">
        <v>18.0</v>
      </c>
      <c r="L10" s="3" t="s">
        <v>38</v>
      </c>
    </row>
    <row r="11">
      <c r="A11" s="3" t="s">
        <v>39</v>
      </c>
      <c r="B11" s="3" t="s">
        <v>25</v>
      </c>
      <c r="C11" s="3" t="s">
        <v>18</v>
      </c>
      <c r="D11" s="3">
        <v>81081.51</v>
      </c>
      <c r="E11" s="3">
        <v>24324.45</v>
      </c>
      <c r="F11" s="3">
        <v>13973.7</v>
      </c>
      <c r="G11" s="3">
        <v>14043.78</v>
      </c>
      <c r="H11" s="3">
        <v>119379.66</v>
      </c>
      <c r="I11" s="3">
        <v>105335.88</v>
      </c>
      <c r="J11" s="4">
        <v>45992.0</v>
      </c>
      <c r="K11" s="3">
        <v>4.0</v>
      </c>
      <c r="L11" s="3" t="s">
        <v>40</v>
      </c>
    </row>
    <row r="12">
      <c r="A12" s="3" t="s">
        <v>41</v>
      </c>
      <c r="B12" s="3" t="s">
        <v>17</v>
      </c>
      <c r="C12" s="3" t="s">
        <v>14</v>
      </c>
      <c r="D12" s="3">
        <v>22761.1</v>
      </c>
      <c r="E12" s="3">
        <v>6828.33</v>
      </c>
      <c r="F12" s="3">
        <v>3519.18</v>
      </c>
      <c r="G12" s="3">
        <v>6727.42</v>
      </c>
      <c r="H12" s="3">
        <v>33108.61</v>
      </c>
      <c r="I12" s="3">
        <v>26381.19</v>
      </c>
      <c r="J12" s="4">
        <v>45748.0</v>
      </c>
      <c r="K12" s="3">
        <v>18.0</v>
      </c>
      <c r="L12" s="3" t="s">
        <v>42</v>
      </c>
    </row>
    <row r="13">
      <c r="A13" s="3" t="s">
        <v>43</v>
      </c>
      <c r="B13" s="3" t="s">
        <v>25</v>
      </c>
      <c r="C13" s="3" t="s">
        <v>14</v>
      </c>
      <c r="D13" s="3">
        <v>20736.91</v>
      </c>
      <c r="E13" s="3">
        <v>6221.07</v>
      </c>
      <c r="F13" s="3">
        <v>1880.47</v>
      </c>
      <c r="G13" s="3">
        <v>5189.06</v>
      </c>
      <c r="H13" s="3">
        <v>28838.45</v>
      </c>
      <c r="I13" s="3">
        <v>23649.39</v>
      </c>
      <c r="J13" s="4">
        <v>45717.0</v>
      </c>
      <c r="K13" s="3">
        <v>18.0</v>
      </c>
      <c r="L13" s="3" t="s">
        <v>15</v>
      </c>
    </row>
    <row r="14">
      <c r="A14" s="3" t="s">
        <v>44</v>
      </c>
      <c r="B14" s="3" t="s">
        <v>29</v>
      </c>
      <c r="C14" s="3" t="s">
        <v>33</v>
      </c>
      <c r="D14" s="3">
        <v>27095.07</v>
      </c>
      <c r="E14" s="3">
        <v>8128.52</v>
      </c>
      <c r="F14" s="3">
        <v>1446.76</v>
      </c>
      <c r="G14" s="3">
        <v>7613.62</v>
      </c>
      <c r="H14" s="3">
        <v>36670.35</v>
      </c>
      <c r="I14" s="3">
        <v>29056.73</v>
      </c>
      <c r="J14" s="4">
        <v>45962.0</v>
      </c>
      <c r="K14" s="3">
        <v>14.0</v>
      </c>
      <c r="L14" s="3" t="s">
        <v>19</v>
      </c>
    </row>
    <row r="15">
      <c r="A15" s="3" t="s">
        <v>45</v>
      </c>
      <c r="B15" s="3" t="s">
        <v>17</v>
      </c>
      <c r="C15" s="3" t="s">
        <v>37</v>
      </c>
      <c r="D15" s="3">
        <v>56429.61</v>
      </c>
      <c r="E15" s="3">
        <v>16928.88</v>
      </c>
      <c r="F15" s="3">
        <v>6028.26</v>
      </c>
      <c r="G15" s="3">
        <v>4144.38</v>
      </c>
      <c r="H15" s="3">
        <v>79386.75</v>
      </c>
      <c r="I15" s="3">
        <v>75242.37</v>
      </c>
      <c r="J15" s="4">
        <v>45870.0</v>
      </c>
      <c r="K15" s="3">
        <v>10.0</v>
      </c>
      <c r="L15" s="3" t="s">
        <v>21</v>
      </c>
    </row>
    <row r="16">
      <c r="A16" s="3" t="s">
        <v>46</v>
      </c>
      <c r="B16" s="3" t="s">
        <v>36</v>
      </c>
      <c r="C16" s="3" t="s">
        <v>33</v>
      </c>
      <c r="D16" s="3">
        <v>34895.23</v>
      </c>
      <c r="E16" s="3">
        <v>10468.57</v>
      </c>
      <c r="F16" s="3">
        <v>4466.59</v>
      </c>
      <c r="G16" s="3">
        <v>5830.47</v>
      </c>
      <c r="H16" s="3">
        <v>49830.39</v>
      </c>
      <c r="I16" s="3">
        <v>43999.92</v>
      </c>
      <c r="J16" s="4">
        <v>45962.0</v>
      </c>
      <c r="K16" s="3">
        <v>18.0</v>
      </c>
      <c r="L16" s="3" t="s">
        <v>23</v>
      </c>
    </row>
    <row r="17">
      <c r="A17" s="3" t="s">
        <v>47</v>
      </c>
      <c r="B17" s="3" t="s">
        <v>29</v>
      </c>
      <c r="C17" s="3" t="s">
        <v>26</v>
      </c>
      <c r="D17" s="3">
        <v>117659.29</v>
      </c>
      <c r="E17" s="3">
        <v>35297.79</v>
      </c>
      <c r="F17" s="3">
        <v>1316.32</v>
      </c>
      <c r="G17" s="3">
        <v>29007.81</v>
      </c>
      <c r="H17" s="3">
        <v>154273.4</v>
      </c>
      <c r="I17" s="3">
        <v>125265.59</v>
      </c>
      <c r="J17" s="4">
        <v>45809.0</v>
      </c>
      <c r="K17" s="3">
        <v>6.0</v>
      </c>
      <c r="L17" s="3" t="s">
        <v>27</v>
      </c>
    </row>
    <row r="18">
      <c r="A18" s="3" t="s">
        <v>48</v>
      </c>
      <c r="B18" s="3" t="s">
        <v>36</v>
      </c>
      <c r="C18" s="3" t="s">
        <v>33</v>
      </c>
      <c r="D18" s="3">
        <v>25661.89</v>
      </c>
      <c r="E18" s="3">
        <v>7698.57</v>
      </c>
      <c r="F18" s="3">
        <v>4686.56</v>
      </c>
      <c r="G18" s="3">
        <v>4366.47</v>
      </c>
      <c r="H18" s="3">
        <v>38047.02</v>
      </c>
      <c r="I18" s="3">
        <v>33680.55</v>
      </c>
      <c r="J18" s="4">
        <v>45992.0</v>
      </c>
      <c r="K18" s="3">
        <v>17.0</v>
      </c>
      <c r="L18" s="3" t="s">
        <v>31</v>
      </c>
    </row>
    <row r="19">
      <c r="A19" s="3" t="s">
        <v>49</v>
      </c>
      <c r="B19" s="3" t="s">
        <v>29</v>
      </c>
      <c r="C19" s="3" t="s">
        <v>30</v>
      </c>
      <c r="D19" s="3">
        <v>27767.86</v>
      </c>
      <c r="E19" s="3">
        <v>8330.36</v>
      </c>
      <c r="F19" s="3">
        <v>2197.17</v>
      </c>
      <c r="G19" s="3">
        <v>7618.51</v>
      </c>
      <c r="H19" s="3">
        <v>38295.39</v>
      </c>
      <c r="I19" s="3">
        <v>30676.88</v>
      </c>
      <c r="J19" s="4">
        <v>45870.0</v>
      </c>
      <c r="K19" s="3">
        <v>22.0</v>
      </c>
      <c r="L19" s="3" t="s">
        <v>34</v>
      </c>
    </row>
    <row r="20">
      <c r="A20" s="3" t="s">
        <v>50</v>
      </c>
      <c r="B20" s="3" t="s">
        <v>51</v>
      </c>
      <c r="C20" s="3" t="s">
        <v>33</v>
      </c>
      <c r="D20" s="3">
        <v>26396.3</v>
      </c>
      <c r="E20" s="3">
        <v>7918.89</v>
      </c>
      <c r="F20" s="3">
        <v>3932.99</v>
      </c>
      <c r="G20" s="3">
        <v>4268.1</v>
      </c>
      <c r="H20" s="3">
        <v>38248.18</v>
      </c>
      <c r="I20" s="3">
        <v>33980.08</v>
      </c>
      <c r="J20" s="4">
        <v>45992.0</v>
      </c>
      <c r="K20" s="3">
        <v>9.0</v>
      </c>
      <c r="L20" s="3" t="s">
        <v>38</v>
      </c>
    </row>
    <row r="21" ht="15.75" customHeight="1">
      <c r="A21" s="3" t="s">
        <v>52</v>
      </c>
      <c r="B21" s="3" t="s">
        <v>53</v>
      </c>
      <c r="C21" s="3" t="s">
        <v>54</v>
      </c>
      <c r="D21" s="3">
        <v>47569.52</v>
      </c>
      <c r="E21" s="3">
        <v>14270.86</v>
      </c>
      <c r="F21" s="3">
        <v>3799.86</v>
      </c>
      <c r="G21" s="3">
        <v>3129.89</v>
      </c>
      <c r="H21" s="3">
        <v>65640.24</v>
      </c>
      <c r="I21" s="3">
        <v>62510.35</v>
      </c>
      <c r="J21" s="4">
        <v>45717.0</v>
      </c>
      <c r="K21" s="3">
        <v>25.0</v>
      </c>
      <c r="L21" s="3" t="s">
        <v>40</v>
      </c>
    </row>
    <row r="22" ht="15.75" customHeight="1">
      <c r="A22" s="3" t="s">
        <v>55</v>
      </c>
      <c r="B22" s="3" t="s">
        <v>53</v>
      </c>
      <c r="C22" s="3" t="s">
        <v>54</v>
      </c>
      <c r="D22" s="3">
        <v>36272.73</v>
      </c>
      <c r="E22" s="3">
        <v>10881.82</v>
      </c>
      <c r="F22" s="3">
        <v>341.81</v>
      </c>
      <c r="G22" s="3">
        <v>1193.18</v>
      </c>
      <c r="H22" s="3">
        <v>47496.36</v>
      </c>
      <c r="I22" s="3">
        <v>46303.18</v>
      </c>
      <c r="J22" s="4">
        <v>45962.0</v>
      </c>
      <c r="K22" s="3">
        <v>9.0</v>
      </c>
      <c r="L22" s="3" t="s">
        <v>42</v>
      </c>
    </row>
    <row r="23" ht="15.75" customHeight="1">
      <c r="A23" s="3" t="s">
        <v>56</v>
      </c>
      <c r="B23" s="3" t="s">
        <v>51</v>
      </c>
      <c r="C23" s="3" t="s">
        <v>26</v>
      </c>
      <c r="D23" s="3">
        <v>114497.32</v>
      </c>
      <c r="E23" s="3">
        <v>34349.2</v>
      </c>
      <c r="F23" s="3">
        <v>13657.45</v>
      </c>
      <c r="G23" s="3">
        <v>13216.45</v>
      </c>
      <c r="H23" s="3">
        <v>162503.97</v>
      </c>
      <c r="I23" s="3">
        <v>149287.52</v>
      </c>
      <c r="J23" s="3" t="s">
        <v>57</v>
      </c>
      <c r="K23" s="3">
        <v>21.0</v>
      </c>
      <c r="L23" s="3" t="s">
        <v>15</v>
      </c>
    </row>
    <row r="24" ht="15.75" customHeight="1">
      <c r="A24" s="3" t="s">
        <v>58</v>
      </c>
      <c r="B24" s="3" t="s">
        <v>36</v>
      </c>
      <c r="C24" s="3" t="s">
        <v>37</v>
      </c>
      <c r="D24" s="3">
        <v>49525.45</v>
      </c>
      <c r="E24" s="3">
        <v>14857.63</v>
      </c>
      <c r="F24" s="3">
        <v>5479.75</v>
      </c>
      <c r="G24" s="3">
        <v>14002.29</v>
      </c>
      <c r="H24" s="3">
        <v>69862.83</v>
      </c>
      <c r="I24" s="3">
        <v>55860.54</v>
      </c>
      <c r="J24" s="4">
        <v>45962.0</v>
      </c>
      <c r="K24" s="3">
        <v>10.0</v>
      </c>
      <c r="L24" s="3" t="s">
        <v>19</v>
      </c>
    </row>
    <row r="25" ht="15.75" customHeight="1">
      <c r="A25" s="3" t="s">
        <v>59</v>
      </c>
      <c r="B25" s="3" t="s">
        <v>13</v>
      </c>
      <c r="C25" s="3" t="s">
        <v>14</v>
      </c>
      <c r="D25" s="3">
        <v>22908.31</v>
      </c>
      <c r="E25" s="3">
        <v>6872.49</v>
      </c>
      <c r="F25" s="3">
        <v>2460.22</v>
      </c>
      <c r="G25" s="5"/>
      <c r="H25" s="3">
        <v>32241.02</v>
      </c>
      <c r="I25" s="3">
        <v>30407.27</v>
      </c>
      <c r="J25" s="4">
        <v>45962.0</v>
      </c>
      <c r="K25" s="3">
        <v>11.0</v>
      </c>
      <c r="L25" s="3" t="s">
        <v>21</v>
      </c>
    </row>
    <row r="26" ht="15.75" customHeight="1">
      <c r="A26" s="3" t="s">
        <v>60</v>
      </c>
      <c r="B26" s="3" t="s">
        <v>29</v>
      </c>
      <c r="C26" s="3" t="s">
        <v>14</v>
      </c>
      <c r="D26" s="3">
        <v>20113.2</v>
      </c>
      <c r="E26" s="3">
        <v>6033.96</v>
      </c>
      <c r="F26" s="3">
        <v>636.21</v>
      </c>
      <c r="G26" s="3">
        <v>19.58</v>
      </c>
      <c r="H26" s="3">
        <v>26783.37</v>
      </c>
      <c r="I26" s="3">
        <v>26763.79</v>
      </c>
      <c r="J26" s="3" t="s">
        <v>61</v>
      </c>
      <c r="K26" s="3">
        <v>15.0</v>
      </c>
      <c r="L26" s="3" t="s">
        <v>23</v>
      </c>
    </row>
    <row r="27" ht="15.75" customHeight="1">
      <c r="A27" s="3" t="s">
        <v>62</v>
      </c>
      <c r="B27" s="3" t="s">
        <v>13</v>
      </c>
      <c r="C27" s="3" t="s">
        <v>33</v>
      </c>
      <c r="D27" s="3">
        <v>34718.88</v>
      </c>
      <c r="E27" s="3">
        <v>10415.66</v>
      </c>
      <c r="F27" s="3">
        <v>5290.89</v>
      </c>
      <c r="G27" s="3">
        <v>5287.84</v>
      </c>
      <c r="H27" s="3">
        <v>50425.43</v>
      </c>
      <c r="I27" s="3">
        <v>45137.59</v>
      </c>
      <c r="J27" s="4">
        <v>45689.0</v>
      </c>
      <c r="K27" s="3">
        <v>19.0</v>
      </c>
      <c r="L27" s="3" t="s">
        <v>27</v>
      </c>
    </row>
    <row r="28" ht="15.75" customHeight="1">
      <c r="A28" s="3" t="s">
        <v>63</v>
      </c>
      <c r="B28" s="3" t="s">
        <v>25</v>
      </c>
      <c r="C28" s="3" t="s">
        <v>18</v>
      </c>
      <c r="D28" s="3">
        <v>72759.56</v>
      </c>
      <c r="E28" s="3">
        <v>21827.87</v>
      </c>
      <c r="F28" s="3">
        <v>9297.94</v>
      </c>
      <c r="G28" s="3">
        <v>13292.52</v>
      </c>
      <c r="H28" s="3">
        <v>103885.37</v>
      </c>
      <c r="I28" s="3">
        <v>90592.85</v>
      </c>
      <c r="J28" s="4">
        <v>45717.0</v>
      </c>
      <c r="K28" s="3">
        <v>12.0</v>
      </c>
      <c r="L28" s="3" t="s">
        <v>31</v>
      </c>
    </row>
    <row r="29" ht="15.75" customHeight="1">
      <c r="A29" s="3" t="s">
        <v>64</v>
      </c>
      <c r="B29" s="3" t="s">
        <v>29</v>
      </c>
      <c r="C29" s="3" t="s">
        <v>26</v>
      </c>
      <c r="D29" s="3">
        <v>95815.77</v>
      </c>
      <c r="E29" s="3">
        <v>28744.73</v>
      </c>
      <c r="F29" s="3">
        <v>18272.06</v>
      </c>
      <c r="G29" s="3">
        <v>26515.12</v>
      </c>
      <c r="H29" s="3">
        <v>142832.56</v>
      </c>
      <c r="I29" s="3">
        <v>116317.44</v>
      </c>
      <c r="J29" s="4">
        <v>45658.0</v>
      </c>
      <c r="K29" s="3">
        <v>12.0</v>
      </c>
      <c r="L29" s="3" t="s">
        <v>34</v>
      </c>
    </row>
    <row r="30" ht="15.75" customHeight="1">
      <c r="A30" s="3" t="s">
        <v>65</v>
      </c>
      <c r="B30" s="3" t="s">
        <v>53</v>
      </c>
      <c r="C30" s="3" t="s">
        <v>33</v>
      </c>
      <c r="D30" s="3">
        <v>29886.06</v>
      </c>
      <c r="E30" s="3">
        <v>8965.82</v>
      </c>
      <c r="F30" s="3">
        <v>668.66</v>
      </c>
      <c r="G30" s="3">
        <v>3254.42</v>
      </c>
      <c r="H30" s="3">
        <v>39520.54</v>
      </c>
      <c r="I30" s="3">
        <v>36266.12</v>
      </c>
      <c r="J30" s="4">
        <v>45778.0</v>
      </c>
      <c r="K30" s="3">
        <v>13.0</v>
      </c>
      <c r="L30" s="3" t="s">
        <v>38</v>
      </c>
    </row>
    <row r="31" ht="15.75" customHeight="1">
      <c r="A31" s="3" t="s">
        <v>66</v>
      </c>
      <c r="B31" s="3" t="s">
        <v>51</v>
      </c>
      <c r="C31" s="3" t="s">
        <v>14</v>
      </c>
      <c r="D31" s="3">
        <v>19734.28</v>
      </c>
      <c r="E31" s="3">
        <v>5920.28</v>
      </c>
      <c r="F31" s="3">
        <v>2239.28</v>
      </c>
      <c r="G31" s="3">
        <v>466.26</v>
      </c>
      <c r="H31" s="3">
        <v>27893.84</v>
      </c>
      <c r="I31" s="3">
        <v>27427.58</v>
      </c>
      <c r="J31" s="4">
        <v>45992.0</v>
      </c>
      <c r="K31" s="3">
        <v>9.0</v>
      </c>
      <c r="L31" s="3" t="s">
        <v>40</v>
      </c>
    </row>
    <row r="32" ht="15.75" customHeight="1">
      <c r="A32" s="3" t="s">
        <v>67</v>
      </c>
      <c r="B32" s="3" t="s">
        <v>36</v>
      </c>
      <c r="C32" s="3" t="s">
        <v>26</v>
      </c>
      <c r="D32" s="3">
        <v>92491.65</v>
      </c>
      <c r="E32" s="3">
        <v>27747.49</v>
      </c>
      <c r="F32" s="3">
        <v>14069.87</v>
      </c>
      <c r="G32" s="3">
        <v>21249.99</v>
      </c>
      <c r="H32" s="3">
        <v>134309.01</v>
      </c>
      <c r="I32" s="3">
        <v>113059.02</v>
      </c>
      <c r="J32" s="4">
        <v>45717.0</v>
      </c>
      <c r="K32" s="3">
        <v>13.0</v>
      </c>
      <c r="L32" s="3" t="s">
        <v>42</v>
      </c>
    </row>
    <row r="33" ht="15.75" customHeight="1">
      <c r="A33" s="3" t="s">
        <v>68</v>
      </c>
      <c r="B33" s="3" t="s">
        <v>13</v>
      </c>
      <c r="C33" s="3" t="s">
        <v>54</v>
      </c>
      <c r="D33" s="3">
        <v>48255.88</v>
      </c>
      <c r="E33" s="3">
        <v>14476.76</v>
      </c>
      <c r="F33" s="3">
        <v>1593.67</v>
      </c>
      <c r="G33" s="3">
        <v>7639.01</v>
      </c>
      <c r="H33" s="3">
        <v>64326.31</v>
      </c>
      <c r="I33" s="3">
        <v>56687.3</v>
      </c>
      <c r="J33" s="4">
        <v>45931.0</v>
      </c>
      <c r="K33" s="3">
        <v>17.0</v>
      </c>
      <c r="L33" s="3" t="s">
        <v>15</v>
      </c>
    </row>
    <row r="34" ht="15.75" customHeight="1">
      <c r="A34" s="3" t="s">
        <v>69</v>
      </c>
      <c r="B34" s="3" t="s">
        <v>36</v>
      </c>
      <c r="C34" s="3" t="s">
        <v>30</v>
      </c>
      <c r="D34" s="3">
        <v>30174.44</v>
      </c>
      <c r="E34" s="3">
        <v>9052.33</v>
      </c>
      <c r="F34" s="3">
        <v>4557.94</v>
      </c>
      <c r="G34" s="3">
        <v>6244.91</v>
      </c>
      <c r="H34" s="3">
        <v>43784.71</v>
      </c>
      <c r="I34" s="3">
        <v>37539.8</v>
      </c>
      <c r="J34" s="4">
        <v>45992.0</v>
      </c>
      <c r="K34" s="3">
        <v>5.0</v>
      </c>
      <c r="L34" s="3" t="s">
        <v>19</v>
      </c>
    </row>
    <row r="35" ht="15.75" customHeight="1">
      <c r="A35" s="3" t="s">
        <v>70</v>
      </c>
      <c r="B35" s="3" t="s">
        <v>29</v>
      </c>
      <c r="C35" s="3" t="s">
        <v>54</v>
      </c>
      <c r="D35" s="3">
        <v>48932.09</v>
      </c>
      <c r="E35" s="3">
        <v>14679.63</v>
      </c>
      <c r="F35" s="3">
        <v>6359.98</v>
      </c>
      <c r="G35" s="3">
        <v>6431.15</v>
      </c>
      <c r="H35" s="3">
        <v>69971.7</v>
      </c>
      <c r="I35" s="3">
        <v>63540.55</v>
      </c>
      <c r="J35" s="4">
        <v>45901.0</v>
      </c>
      <c r="K35" s="3">
        <v>20.0</v>
      </c>
      <c r="L35" s="3" t="s">
        <v>21</v>
      </c>
    </row>
    <row r="36" ht="15.75" customHeight="1">
      <c r="A36" s="3" t="s">
        <v>71</v>
      </c>
      <c r="B36" s="3" t="s">
        <v>36</v>
      </c>
      <c r="C36" s="3" t="s">
        <v>14</v>
      </c>
      <c r="D36" s="3">
        <v>19784.92</v>
      </c>
      <c r="E36" s="3">
        <v>5935.48</v>
      </c>
      <c r="F36" s="3">
        <v>253.35</v>
      </c>
      <c r="G36" s="3">
        <v>124.85</v>
      </c>
      <c r="H36" s="3">
        <v>25973.75</v>
      </c>
      <c r="I36" s="3">
        <v>25848.9</v>
      </c>
      <c r="J36" s="4">
        <v>45901.0</v>
      </c>
      <c r="K36" s="3">
        <v>3.0</v>
      </c>
      <c r="L36" s="3" t="s">
        <v>23</v>
      </c>
    </row>
    <row r="37" ht="15.75" customHeight="1">
      <c r="A37" s="3" t="s">
        <v>72</v>
      </c>
      <c r="B37" s="3" t="s">
        <v>51</v>
      </c>
      <c r="C37" s="3" t="s">
        <v>37</v>
      </c>
      <c r="D37" s="3">
        <v>48963.91</v>
      </c>
      <c r="E37" s="3">
        <v>14689.17</v>
      </c>
      <c r="F37" s="3">
        <v>695.22</v>
      </c>
      <c r="G37" s="3">
        <v>9270.38</v>
      </c>
      <c r="H37" s="3">
        <v>64348.3</v>
      </c>
      <c r="I37" s="3">
        <v>55077.92</v>
      </c>
      <c r="J37" s="4">
        <v>45748.0</v>
      </c>
      <c r="K37" s="3">
        <v>8.0</v>
      </c>
      <c r="L37" s="3" t="s">
        <v>27</v>
      </c>
    </row>
    <row r="38" ht="15.75" customHeight="1">
      <c r="A38" s="3" t="s">
        <v>73</v>
      </c>
      <c r="B38" s="3" t="s">
        <v>36</v>
      </c>
      <c r="C38" s="3" t="s">
        <v>30</v>
      </c>
      <c r="D38" s="3">
        <v>26745.26</v>
      </c>
      <c r="E38" s="3">
        <v>8023.58</v>
      </c>
      <c r="F38" s="3">
        <v>3869.25</v>
      </c>
      <c r="G38" s="3">
        <v>7079.87</v>
      </c>
      <c r="H38" s="3">
        <v>38638.09</v>
      </c>
      <c r="I38" s="3">
        <v>31558.22</v>
      </c>
      <c r="J38" s="4">
        <v>45931.0</v>
      </c>
      <c r="K38" s="3">
        <v>25.0</v>
      </c>
      <c r="L38" s="3" t="s">
        <v>34</v>
      </c>
    </row>
    <row r="39" ht="15.75" customHeight="1">
      <c r="A39" s="3" t="s">
        <v>74</v>
      </c>
      <c r="B39" s="3" t="s">
        <v>36</v>
      </c>
      <c r="C39" s="3" t="s">
        <v>30</v>
      </c>
      <c r="D39" s="3">
        <v>28904.65</v>
      </c>
      <c r="E39" s="3">
        <v>8671.4</v>
      </c>
      <c r="F39" s="3">
        <v>4668.08</v>
      </c>
      <c r="G39" s="3">
        <v>1651.12</v>
      </c>
      <c r="H39" s="3">
        <v>42244.13</v>
      </c>
      <c r="I39" s="3">
        <v>40593.01</v>
      </c>
      <c r="J39" s="4">
        <v>45689.0</v>
      </c>
      <c r="K39" s="3">
        <v>5.0</v>
      </c>
      <c r="L39" s="3" t="s">
        <v>38</v>
      </c>
    </row>
    <row r="40" ht="15.75" customHeight="1">
      <c r="A40" s="3" t="s">
        <v>75</v>
      </c>
      <c r="B40" s="3" t="s">
        <v>13</v>
      </c>
      <c r="C40" s="3" t="s">
        <v>54</v>
      </c>
      <c r="D40" s="3">
        <v>39960.17</v>
      </c>
      <c r="E40" s="3">
        <v>11988.05</v>
      </c>
      <c r="F40" s="3">
        <v>3285.54</v>
      </c>
      <c r="G40" s="3">
        <v>10355.72</v>
      </c>
      <c r="H40" s="3">
        <v>55233.76</v>
      </c>
      <c r="I40" s="3">
        <v>44878.04</v>
      </c>
      <c r="J40" s="4">
        <v>45658.0</v>
      </c>
      <c r="K40" s="3">
        <v>13.0</v>
      </c>
      <c r="L40" s="3" t="s">
        <v>40</v>
      </c>
    </row>
    <row r="41" ht="15.75" customHeight="1">
      <c r="A41" s="3" t="s">
        <v>76</v>
      </c>
      <c r="B41" s="3" t="s">
        <v>13</v>
      </c>
      <c r="C41" s="3" t="s">
        <v>18</v>
      </c>
      <c r="D41" s="3">
        <v>90588.3</v>
      </c>
      <c r="E41" s="3">
        <v>27176.49</v>
      </c>
      <c r="F41" s="3">
        <v>1783.1</v>
      </c>
      <c r="G41" s="3">
        <v>10941.83</v>
      </c>
      <c r="H41" s="3">
        <v>119547.89</v>
      </c>
      <c r="I41" s="3">
        <v>108606.06</v>
      </c>
      <c r="J41" s="4">
        <v>45809.0</v>
      </c>
      <c r="K41" s="3">
        <v>12.0</v>
      </c>
      <c r="L41" s="3" t="s">
        <v>42</v>
      </c>
    </row>
    <row r="42" ht="15.75" customHeight="1">
      <c r="A42" s="3" t="s">
        <v>77</v>
      </c>
      <c r="B42" s="3" t="s">
        <v>25</v>
      </c>
      <c r="C42" s="3" t="s">
        <v>26</v>
      </c>
      <c r="D42" s="3">
        <v>93933.69</v>
      </c>
      <c r="E42" s="3">
        <v>28180.11</v>
      </c>
      <c r="F42" s="3">
        <v>3599.35</v>
      </c>
      <c r="G42" s="5"/>
      <c r="H42" s="3">
        <v>125713.15</v>
      </c>
      <c r="I42" s="3">
        <v>110600.56</v>
      </c>
      <c r="J42" s="4">
        <v>45717.0</v>
      </c>
      <c r="K42" s="3">
        <v>6.0</v>
      </c>
      <c r="L42" s="3" t="s">
        <v>15</v>
      </c>
    </row>
    <row r="43" ht="15.75" customHeight="1">
      <c r="A43" s="3" t="s">
        <v>78</v>
      </c>
      <c r="B43" s="3" t="s">
        <v>36</v>
      </c>
      <c r="C43" s="3" t="s">
        <v>30</v>
      </c>
      <c r="D43" s="3">
        <v>24451.2</v>
      </c>
      <c r="E43" s="3">
        <v>7335.36</v>
      </c>
      <c r="F43" s="3">
        <v>1221.61</v>
      </c>
      <c r="G43" s="3">
        <v>6772.49</v>
      </c>
      <c r="H43" s="3">
        <v>33008.17</v>
      </c>
      <c r="I43" s="3">
        <v>26235.68</v>
      </c>
      <c r="J43" s="4">
        <v>45870.0</v>
      </c>
      <c r="K43" s="3">
        <v>14.0</v>
      </c>
      <c r="L43" s="3" t="s">
        <v>19</v>
      </c>
    </row>
    <row r="44" ht="15.75" customHeight="1">
      <c r="A44" s="3" t="s">
        <v>79</v>
      </c>
      <c r="B44" s="3" t="s">
        <v>25</v>
      </c>
      <c r="C44" s="3" t="s">
        <v>26</v>
      </c>
      <c r="D44" s="3">
        <v>120814.81</v>
      </c>
      <c r="E44" s="3">
        <v>36244.44</v>
      </c>
      <c r="F44" s="3">
        <v>2365.76</v>
      </c>
      <c r="G44" s="3">
        <v>23636.63</v>
      </c>
      <c r="H44" s="3">
        <v>159425.01</v>
      </c>
      <c r="I44" s="3">
        <v>135788.38</v>
      </c>
      <c r="J44" s="4">
        <v>45901.0</v>
      </c>
      <c r="K44" s="3">
        <v>5.0</v>
      </c>
      <c r="L44" s="3" t="s">
        <v>21</v>
      </c>
    </row>
    <row r="45" ht="15.75" customHeight="1">
      <c r="A45" s="3" t="s">
        <v>80</v>
      </c>
      <c r="B45" s="3" t="s">
        <v>25</v>
      </c>
      <c r="C45" s="3" t="s">
        <v>14</v>
      </c>
      <c r="D45" s="3">
        <v>24976.77</v>
      </c>
      <c r="E45" s="3">
        <v>7493.03</v>
      </c>
      <c r="F45" s="3">
        <v>4627.53</v>
      </c>
      <c r="G45" s="3">
        <v>6359.3</v>
      </c>
      <c r="H45" s="3">
        <v>37097.33</v>
      </c>
      <c r="I45" s="3">
        <v>30738.03</v>
      </c>
      <c r="J45" s="4">
        <v>45717.0</v>
      </c>
      <c r="K45" s="3">
        <v>14.0</v>
      </c>
      <c r="L45" s="3" t="s">
        <v>23</v>
      </c>
    </row>
    <row r="46" ht="15.75" customHeight="1">
      <c r="A46" s="3" t="s">
        <v>81</v>
      </c>
      <c r="B46" s="3" t="s">
        <v>36</v>
      </c>
      <c r="C46" s="3" t="s">
        <v>54</v>
      </c>
      <c r="D46" s="3">
        <v>41739.02</v>
      </c>
      <c r="E46" s="3">
        <v>12521.71</v>
      </c>
      <c r="F46" s="3">
        <v>7217.93</v>
      </c>
      <c r="G46" s="3">
        <v>11300.12</v>
      </c>
      <c r="H46" s="3">
        <v>61478.66</v>
      </c>
      <c r="I46" s="3">
        <v>50178.54</v>
      </c>
      <c r="J46" s="4">
        <v>45717.0</v>
      </c>
      <c r="K46" s="3">
        <v>10.0</v>
      </c>
      <c r="L46" s="3" t="s">
        <v>27</v>
      </c>
    </row>
    <row r="47" ht="15.75" customHeight="1">
      <c r="A47" s="3" t="s">
        <v>82</v>
      </c>
      <c r="B47" s="3" t="s">
        <v>36</v>
      </c>
      <c r="C47" s="3" t="s">
        <v>14</v>
      </c>
      <c r="D47" s="3">
        <v>25094.22</v>
      </c>
      <c r="E47" s="3">
        <v>7528.27</v>
      </c>
      <c r="F47" s="3">
        <v>1331.01</v>
      </c>
      <c r="G47" s="3">
        <v>5902.69</v>
      </c>
      <c r="H47" s="3">
        <v>33953.5</v>
      </c>
      <c r="I47" s="3">
        <v>28050.81</v>
      </c>
      <c r="J47" s="4">
        <v>45870.0</v>
      </c>
      <c r="K47" s="3">
        <v>12.0</v>
      </c>
      <c r="L47" s="3" t="s">
        <v>31</v>
      </c>
    </row>
    <row r="48" ht="15.75" customHeight="1">
      <c r="A48" s="3" t="s">
        <v>83</v>
      </c>
      <c r="B48" s="3" t="s">
        <v>29</v>
      </c>
      <c r="C48" s="3" t="s">
        <v>54</v>
      </c>
      <c r="D48" s="3">
        <v>44752.28</v>
      </c>
      <c r="E48" s="3">
        <v>13425.68</v>
      </c>
      <c r="F48" s="3">
        <v>6538.36</v>
      </c>
      <c r="G48" s="3">
        <v>10517.16</v>
      </c>
      <c r="H48" s="3">
        <v>64716.32</v>
      </c>
      <c r="I48" s="3">
        <v>54199.16</v>
      </c>
      <c r="J48" s="3" t="s">
        <v>84</v>
      </c>
      <c r="K48" s="3">
        <v>13.0</v>
      </c>
      <c r="L48" s="3" t="s">
        <v>34</v>
      </c>
    </row>
    <row r="49" ht="15.75" customHeight="1">
      <c r="A49" s="3" t="s">
        <v>85</v>
      </c>
      <c r="B49" s="3" t="s">
        <v>13</v>
      </c>
      <c r="C49" s="3" t="s">
        <v>54</v>
      </c>
      <c r="D49" s="3">
        <v>37167.16</v>
      </c>
      <c r="E49" s="3">
        <v>11150.15</v>
      </c>
      <c r="F49" s="3">
        <v>2205.56</v>
      </c>
      <c r="G49" s="3">
        <v>10801.25</v>
      </c>
      <c r="H49" s="3">
        <v>50522.87</v>
      </c>
      <c r="I49" s="3">
        <v>39721.62</v>
      </c>
      <c r="J49" s="4">
        <v>45931.0</v>
      </c>
      <c r="K49" s="3">
        <v>21.0</v>
      </c>
      <c r="L49" s="3" t="s">
        <v>38</v>
      </c>
    </row>
    <row r="50" ht="15.75" customHeight="1">
      <c r="A50" s="3" t="s">
        <v>86</v>
      </c>
      <c r="B50" s="3" t="s">
        <v>13</v>
      </c>
      <c r="C50" s="3" t="s">
        <v>37</v>
      </c>
      <c r="D50" s="3">
        <v>46097.24</v>
      </c>
      <c r="E50" s="3">
        <v>13829.17</v>
      </c>
      <c r="F50" s="3">
        <v>2891.26</v>
      </c>
      <c r="G50" s="3">
        <v>693.43</v>
      </c>
      <c r="H50" s="3">
        <v>62817.67</v>
      </c>
      <c r="I50" s="3">
        <v>62124.24</v>
      </c>
      <c r="J50" s="4">
        <v>45870.0</v>
      </c>
      <c r="K50" s="3">
        <v>16.0</v>
      </c>
      <c r="L50" s="3" t="s">
        <v>40</v>
      </c>
    </row>
    <row r="51" ht="15.75" customHeight="1">
      <c r="A51" s="3" t="s">
        <v>87</v>
      </c>
      <c r="B51" s="3" t="s">
        <v>53</v>
      </c>
      <c r="C51" s="3" t="s">
        <v>26</v>
      </c>
      <c r="D51" s="3">
        <v>109120.54</v>
      </c>
      <c r="E51" s="3">
        <v>32736.16</v>
      </c>
      <c r="F51" s="3">
        <v>1241.35</v>
      </c>
      <c r="G51" s="3">
        <v>16624.36</v>
      </c>
      <c r="H51" s="3">
        <v>143098.05</v>
      </c>
      <c r="I51" s="3">
        <v>126473.69</v>
      </c>
      <c r="J51" s="4">
        <v>45717.0</v>
      </c>
      <c r="K51" s="3">
        <v>13.0</v>
      </c>
      <c r="L51" s="3" t="s">
        <v>42</v>
      </c>
    </row>
    <row r="52" ht="15.75" customHeight="1">
      <c r="A52" s="3" t="s">
        <v>88</v>
      </c>
      <c r="B52" s="3" t="s">
        <v>17</v>
      </c>
      <c r="C52" s="3" t="s">
        <v>37</v>
      </c>
      <c r="D52" s="3">
        <v>46223.3</v>
      </c>
      <c r="E52" s="3">
        <v>13866.99</v>
      </c>
      <c r="F52" s="3">
        <v>7967.23</v>
      </c>
      <c r="G52" s="3">
        <v>5599.15</v>
      </c>
      <c r="H52" s="3">
        <v>68057.52</v>
      </c>
      <c r="I52" s="3">
        <v>62458.37</v>
      </c>
      <c r="J52" s="4">
        <v>45931.0</v>
      </c>
      <c r="K52" s="3">
        <v>19.0</v>
      </c>
      <c r="L52" s="3" t="s">
        <v>15</v>
      </c>
    </row>
    <row r="53" ht="15.75" customHeight="1">
      <c r="A53" s="3" t="s">
        <v>89</v>
      </c>
      <c r="B53" s="3" t="s">
        <v>51</v>
      </c>
      <c r="C53" s="3" t="s">
        <v>37</v>
      </c>
      <c r="D53" s="3">
        <v>55701.34</v>
      </c>
      <c r="E53" s="3">
        <v>16710.4</v>
      </c>
      <c r="F53" s="3">
        <v>6900.08</v>
      </c>
      <c r="G53" s="3">
        <v>7005.42</v>
      </c>
      <c r="H53" s="3">
        <v>79311.82</v>
      </c>
      <c r="I53" s="3">
        <v>72306.4</v>
      </c>
      <c r="J53" s="4">
        <v>45931.0</v>
      </c>
      <c r="K53" s="3">
        <v>25.0</v>
      </c>
      <c r="L53" s="3" t="s">
        <v>19</v>
      </c>
    </row>
    <row r="54" ht="15.75" customHeight="1">
      <c r="A54" s="3" t="s">
        <v>90</v>
      </c>
      <c r="B54" s="3" t="s">
        <v>53</v>
      </c>
      <c r="C54" s="3" t="s">
        <v>37</v>
      </c>
      <c r="D54" s="3">
        <v>50694.66</v>
      </c>
      <c r="E54" s="3">
        <v>15208.4</v>
      </c>
      <c r="F54" s="3">
        <v>2643.89</v>
      </c>
      <c r="G54" s="3">
        <v>10185.46</v>
      </c>
      <c r="H54" s="3">
        <v>68546.95</v>
      </c>
      <c r="I54" s="3">
        <v>58361.49</v>
      </c>
      <c r="J54" s="4">
        <v>45809.0</v>
      </c>
      <c r="K54" s="3">
        <v>12.0</v>
      </c>
      <c r="L54" s="3" t="s">
        <v>21</v>
      </c>
    </row>
    <row r="55" ht="15.75" customHeight="1">
      <c r="A55" s="3" t="s">
        <v>91</v>
      </c>
      <c r="B55" s="5"/>
      <c r="C55" s="3" t="s">
        <v>33</v>
      </c>
      <c r="D55" s="3">
        <v>28957.86</v>
      </c>
      <c r="E55" s="3">
        <v>8687.36</v>
      </c>
      <c r="F55" s="3">
        <v>3890.14</v>
      </c>
      <c r="G55" s="3">
        <v>2606.18</v>
      </c>
      <c r="H55" s="3">
        <v>41535.36</v>
      </c>
      <c r="I55" s="3">
        <v>38929.18</v>
      </c>
      <c r="J55" s="4">
        <v>45809.0</v>
      </c>
      <c r="K55" s="3">
        <v>5.0</v>
      </c>
      <c r="L55" s="3" t="s">
        <v>23</v>
      </c>
    </row>
    <row r="56" ht="15.75" customHeight="1">
      <c r="A56" s="3" t="s">
        <v>92</v>
      </c>
      <c r="B56" s="3" t="s">
        <v>25</v>
      </c>
      <c r="C56" s="3" t="s">
        <v>14</v>
      </c>
      <c r="D56" s="5"/>
      <c r="E56" s="3">
        <v>5420.12</v>
      </c>
      <c r="F56" s="3">
        <v>2244.51</v>
      </c>
      <c r="G56" s="3">
        <v>3051.49</v>
      </c>
      <c r="H56" s="3">
        <v>25731.7</v>
      </c>
      <c r="I56" s="3">
        <v>22680.21</v>
      </c>
      <c r="J56" s="4">
        <v>45689.0</v>
      </c>
      <c r="K56" s="3">
        <v>2.0</v>
      </c>
      <c r="L56" s="3" t="s">
        <v>27</v>
      </c>
    </row>
    <row r="57" ht="15.75" customHeight="1">
      <c r="A57" s="3" t="s">
        <v>93</v>
      </c>
      <c r="B57" s="3" t="s">
        <v>17</v>
      </c>
      <c r="C57" s="3" t="s">
        <v>37</v>
      </c>
      <c r="D57" s="3">
        <v>48836.78</v>
      </c>
      <c r="E57" s="3">
        <v>14651.03</v>
      </c>
      <c r="F57" s="3">
        <v>2590.31</v>
      </c>
      <c r="G57" s="3">
        <v>13673.21</v>
      </c>
      <c r="H57" s="3">
        <v>66078.12</v>
      </c>
      <c r="I57" s="3">
        <v>52404.91</v>
      </c>
      <c r="J57" s="4">
        <v>45689.0</v>
      </c>
      <c r="K57" s="3">
        <v>24.0</v>
      </c>
      <c r="L57" s="3" t="s">
        <v>31</v>
      </c>
    </row>
    <row r="58" ht="15.75" customHeight="1">
      <c r="A58" s="3" t="s">
        <v>94</v>
      </c>
      <c r="B58" s="3" t="s">
        <v>51</v>
      </c>
      <c r="C58" s="3" t="s">
        <v>33</v>
      </c>
      <c r="D58" s="3">
        <v>27849.87</v>
      </c>
      <c r="E58" s="3">
        <v>8354.96</v>
      </c>
      <c r="F58" s="3">
        <v>2440.68</v>
      </c>
      <c r="G58" s="3">
        <v>4538.56</v>
      </c>
      <c r="H58" s="3">
        <v>38645.51</v>
      </c>
      <c r="I58" s="3">
        <v>34106.95</v>
      </c>
      <c r="J58" s="4">
        <v>45778.0</v>
      </c>
      <c r="K58" s="3">
        <v>16.0</v>
      </c>
      <c r="L58" s="3" t="s">
        <v>34</v>
      </c>
    </row>
    <row r="59" ht="15.75" customHeight="1">
      <c r="A59" s="3" t="s">
        <v>95</v>
      </c>
      <c r="B59" s="3" t="s">
        <v>53</v>
      </c>
      <c r="C59" s="3" t="s">
        <v>26</v>
      </c>
      <c r="D59" s="3">
        <v>113543.15</v>
      </c>
      <c r="E59" s="3">
        <v>34062.94</v>
      </c>
      <c r="F59" s="3">
        <v>177.65</v>
      </c>
      <c r="G59" s="3">
        <v>27832.97</v>
      </c>
      <c r="H59" s="3">
        <v>147783.74</v>
      </c>
      <c r="I59" s="3">
        <v>119950.77</v>
      </c>
      <c r="J59" s="4">
        <v>45778.0</v>
      </c>
      <c r="K59" s="3">
        <v>6.0</v>
      </c>
      <c r="L59" s="3" t="s">
        <v>38</v>
      </c>
    </row>
    <row r="60" ht="15.75" customHeight="1">
      <c r="A60" s="3" t="s">
        <v>96</v>
      </c>
      <c r="B60" s="3" t="s">
        <v>13</v>
      </c>
      <c r="C60" s="3" t="s">
        <v>14</v>
      </c>
      <c r="D60" s="3">
        <v>24760.3</v>
      </c>
      <c r="E60" s="3">
        <v>7428.09</v>
      </c>
      <c r="F60" s="3">
        <v>665.02</v>
      </c>
      <c r="G60" s="3">
        <v>857.41</v>
      </c>
      <c r="H60" s="3">
        <v>32853.41</v>
      </c>
      <c r="I60" s="3">
        <v>31996.0</v>
      </c>
      <c r="J60" s="4">
        <v>45689.0</v>
      </c>
      <c r="K60" s="3">
        <v>25.0</v>
      </c>
      <c r="L60" s="3" t="s">
        <v>40</v>
      </c>
    </row>
    <row r="61" ht="15.75" customHeight="1">
      <c r="A61" s="3" t="s">
        <v>97</v>
      </c>
      <c r="B61" s="3" t="s">
        <v>13</v>
      </c>
      <c r="C61" s="3" t="s">
        <v>37</v>
      </c>
      <c r="D61" s="3">
        <v>47798.06</v>
      </c>
      <c r="E61" s="3">
        <v>14339.42</v>
      </c>
      <c r="F61" s="3">
        <v>2693.48</v>
      </c>
      <c r="G61" s="3">
        <v>3020.31</v>
      </c>
      <c r="H61" s="3">
        <v>64830.96</v>
      </c>
      <c r="I61" s="3">
        <v>61810.65</v>
      </c>
      <c r="J61" s="4">
        <v>45809.0</v>
      </c>
      <c r="K61" s="3">
        <v>18.0</v>
      </c>
      <c r="L61" s="3" t="s">
        <v>42</v>
      </c>
    </row>
    <row r="62" ht="15.75" customHeight="1">
      <c r="A62" s="3" t="s">
        <v>98</v>
      </c>
      <c r="B62" s="3" t="s">
        <v>51</v>
      </c>
      <c r="C62" s="3" t="s">
        <v>18</v>
      </c>
      <c r="D62" s="3">
        <v>81490.19</v>
      </c>
      <c r="E62" s="3">
        <v>24447.06</v>
      </c>
      <c r="F62" s="3">
        <v>4302.42</v>
      </c>
      <c r="G62" s="3">
        <v>11943.17</v>
      </c>
      <c r="H62" s="3">
        <v>110239.67</v>
      </c>
      <c r="I62" s="3">
        <v>98296.5</v>
      </c>
      <c r="J62" s="4">
        <v>45658.0</v>
      </c>
      <c r="K62" s="3">
        <v>11.0</v>
      </c>
      <c r="L62" s="3" t="s">
        <v>15</v>
      </c>
    </row>
    <row r="63" ht="15.75" customHeight="1">
      <c r="A63" s="3" t="s">
        <v>99</v>
      </c>
      <c r="B63" s="3" t="s">
        <v>17</v>
      </c>
      <c r="C63" s="3" t="s">
        <v>18</v>
      </c>
      <c r="D63" s="3">
        <v>76012.97</v>
      </c>
      <c r="E63" s="3">
        <v>22803.89</v>
      </c>
      <c r="F63" s="3">
        <v>4206.26</v>
      </c>
      <c r="G63" s="3">
        <v>80.86</v>
      </c>
      <c r="H63" s="3">
        <v>103023.12</v>
      </c>
      <c r="I63" s="3">
        <v>102942.26</v>
      </c>
      <c r="J63" s="4">
        <v>45717.0</v>
      </c>
      <c r="K63" s="3">
        <v>4.0</v>
      </c>
      <c r="L63" s="3" t="s">
        <v>19</v>
      </c>
    </row>
    <row r="64" ht="15.75" customHeight="1">
      <c r="A64" s="3" t="s">
        <v>100</v>
      </c>
      <c r="B64" s="3" t="s">
        <v>13</v>
      </c>
      <c r="C64" s="3" t="s">
        <v>33</v>
      </c>
      <c r="D64" s="3">
        <v>26615.82</v>
      </c>
      <c r="E64" s="3">
        <v>7984.75</v>
      </c>
      <c r="F64" s="3">
        <v>2351.96</v>
      </c>
      <c r="G64" s="3">
        <v>5634.58</v>
      </c>
      <c r="H64" s="3">
        <v>36952.53</v>
      </c>
      <c r="I64" s="3">
        <v>31317.95</v>
      </c>
      <c r="J64" s="4">
        <v>45901.0</v>
      </c>
      <c r="K64" s="3">
        <v>24.0</v>
      </c>
      <c r="L64" s="3" t="s">
        <v>21</v>
      </c>
    </row>
    <row r="65" ht="15.75" customHeight="1">
      <c r="A65" s="3" t="s">
        <v>101</v>
      </c>
      <c r="B65" s="3" t="s">
        <v>17</v>
      </c>
      <c r="C65" s="3" t="s">
        <v>14</v>
      </c>
      <c r="D65" s="3">
        <v>18541.76</v>
      </c>
      <c r="E65" s="3">
        <v>5562.53</v>
      </c>
      <c r="F65" s="3">
        <v>3274.87</v>
      </c>
      <c r="G65" s="3">
        <v>5028.13</v>
      </c>
      <c r="H65" s="3">
        <v>27379.16</v>
      </c>
      <c r="I65" s="3">
        <v>22351.03</v>
      </c>
      <c r="J65" s="4">
        <v>45901.0</v>
      </c>
      <c r="K65" s="3">
        <v>22.0</v>
      </c>
      <c r="L65" s="3" t="s">
        <v>23</v>
      </c>
    </row>
    <row r="66" ht="15.75" customHeight="1">
      <c r="A66" s="3" t="s">
        <v>102</v>
      </c>
      <c r="B66" s="3" t="s">
        <v>17</v>
      </c>
      <c r="C66" s="3" t="s">
        <v>26</v>
      </c>
      <c r="D66" s="3">
        <v>103291.78</v>
      </c>
      <c r="E66" s="3">
        <v>30987.53</v>
      </c>
      <c r="F66" s="3">
        <v>11414.26</v>
      </c>
      <c r="G66" s="3">
        <v>13318.03</v>
      </c>
      <c r="H66" s="3">
        <v>145693.57</v>
      </c>
      <c r="I66" s="3">
        <v>132375.54</v>
      </c>
      <c r="J66" s="4">
        <v>45658.0</v>
      </c>
      <c r="K66" s="3">
        <v>7.0</v>
      </c>
      <c r="L66" s="3" t="s">
        <v>27</v>
      </c>
    </row>
    <row r="67" ht="15.75" customHeight="1">
      <c r="A67" s="3" t="s">
        <v>103</v>
      </c>
      <c r="B67" s="3" t="s">
        <v>29</v>
      </c>
      <c r="C67" s="3" t="s">
        <v>33</v>
      </c>
      <c r="D67" s="3">
        <v>33989.81</v>
      </c>
      <c r="E67" s="3">
        <v>10196.94</v>
      </c>
      <c r="F67" s="3">
        <v>5412.01</v>
      </c>
      <c r="G67" s="3">
        <v>8776.54</v>
      </c>
      <c r="H67" s="3">
        <v>49598.76</v>
      </c>
      <c r="I67" s="3">
        <v>40822.22</v>
      </c>
      <c r="J67" s="4">
        <v>45809.0</v>
      </c>
      <c r="K67" s="3">
        <v>20.0</v>
      </c>
      <c r="L67" s="3" t="s">
        <v>31</v>
      </c>
    </row>
    <row r="68" ht="15.75" customHeight="1">
      <c r="A68" s="3" t="s">
        <v>104</v>
      </c>
      <c r="B68" s="3" t="s">
        <v>51</v>
      </c>
      <c r="C68" s="3" t="s">
        <v>18</v>
      </c>
      <c r="D68" s="3">
        <v>71487.77</v>
      </c>
      <c r="E68" s="3">
        <v>21446.33</v>
      </c>
      <c r="F68" s="3">
        <v>1469.7</v>
      </c>
      <c r="G68" s="3">
        <v>16730.63</v>
      </c>
      <c r="H68" s="3">
        <v>94403.8</v>
      </c>
      <c r="I68" s="3">
        <v>77673.17</v>
      </c>
      <c r="J68" s="4">
        <v>45839.0</v>
      </c>
      <c r="K68" s="3">
        <v>24.0</v>
      </c>
      <c r="L68" s="3" t="s">
        <v>34</v>
      </c>
    </row>
    <row r="69" ht="15.75" customHeight="1">
      <c r="A69" s="3" t="s">
        <v>105</v>
      </c>
      <c r="B69" s="3" t="s">
        <v>53</v>
      </c>
      <c r="C69" s="3" t="s">
        <v>18</v>
      </c>
      <c r="D69" s="3">
        <v>69018.39</v>
      </c>
      <c r="E69" s="3">
        <v>20705.52</v>
      </c>
      <c r="F69" s="3">
        <v>12835.78</v>
      </c>
      <c r="G69" s="3">
        <v>17902.11</v>
      </c>
      <c r="H69" s="3">
        <v>102559.69</v>
      </c>
      <c r="I69" s="3">
        <v>84657.58</v>
      </c>
      <c r="J69" s="4">
        <v>45717.0</v>
      </c>
      <c r="K69" s="3">
        <v>15.0</v>
      </c>
      <c r="L69" s="3" t="s">
        <v>38</v>
      </c>
    </row>
    <row r="70" ht="15.75" customHeight="1">
      <c r="A70" s="3" t="s">
        <v>106</v>
      </c>
      <c r="B70" s="3" t="s">
        <v>36</v>
      </c>
      <c r="C70" s="3" t="s">
        <v>14</v>
      </c>
      <c r="D70" s="3">
        <v>19291.4</v>
      </c>
      <c r="E70" s="3">
        <v>5787.42</v>
      </c>
      <c r="F70" s="3">
        <v>3566.93</v>
      </c>
      <c r="G70" s="3">
        <v>4528.0</v>
      </c>
      <c r="H70" s="3">
        <v>28645.75</v>
      </c>
      <c r="I70" s="3">
        <v>24117.75</v>
      </c>
      <c r="J70" s="4">
        <v>45839.0</v>
      </c>
      <c r="K70" s="3">
        <v>2.0</v>
      </c>
      <c r="L70" s="3" t="s">
        <v>40</v>
      </c>
    </row>
    <row r="71" ht="15.75" customHeight="1">
      <c r="A71" s="3" t="s">
        <v>107</v>
      </c>
      <c r="B71" s="3" t="s">
        <v>25</v>
      </c>
      <c r="C71" s="3" t="s">
        <v>18</v>
      </c>
      <c r="D71" s="3">
        <v>87465.66</v>
      </c>
      <c r="E71" s="3">
        <v>26239.7</v>
      </c>
      <c r="F71" s="3">
        <v>14182.54</v>
      </c>
      <c r="G71" s="3">
        <v>7000.9</v>
      </c>
      <c r="H71" s="3">
        <v>127887.9</v>
      </c>
      <c r="I71" s="3">
        <v>120887.0</v>
      </c>
      <c r="J71" s="4">
        <v>45992.0</v>
      </c>
      <c r="K71" s="3">
        <v>11.0</v>
      </c>
      <c r="L71" s="3" t="s">
        <v>42</v>
      </c>
    </row>
    <row r="72" ht="15.75" customHeight="1">
      <c r="A72" s="3" t="s">
        <v>108</v>
      </c>
      <c r="B72" s="3" t="s">
        <v>17</v>
      </c>
      <c r="C72" s="3" t="s">
        <v>54</v>
      </c>
      <c r="D72" s="3">
        <v>47210.33</v>
      </c>
      <c r="E72" s="3">
        <v>14163.1</v>
      </c>
      <c r="F72" s="3">
        <v>8106.89</v>
      </c>
      <c r="G72" s="3">
        <v>3150.35</v>
      </c>
      <c r="H72" s="3">
        <v>69480.32</v>
      </c>
      <c r="I72" s="3">
        <v>66329.97</v>
      </c>
      <c r="J72" s="4">
        <v>45870.0</v>
      </c>
      <c r="K72" s="3">
        <v>10.0</v>
      </c>
      <c r="L72" s="3" t="s">
        <v>15</v>
      </c>
    </row>
    <row r="73" ht="15.75" customHeight="1">
      <c r="A73" s="3" t="s">
        <v>109</v>
      </c>
      <c r="B73" s="3" t="s">
        <v>29</v>
      </c>
      <c r="C73" s="3" t="s">
        <v>33</v>
      </c>
      <c r="D73" s="3">
        <v>33205.36</v>
      </c>
      <c r="E73" s="3">
        <v>9961.61</v>
      </c>
      <c r="F73" s="3">
        <v>5786.52</v>
      </c>
      <c r="G73" s="3">
        <v>2220.68</v>
      </c>
      <c r="H73" s="3">
        <v>48953.49</v>
      </c>
      <c r="I73" s="3">
        <v>46732.81</v>
      </c>
      <c r="J73" s="4">
        <v>45962.0</v>
      </c>
      <c r="K73" s="3">
        <v>7.0</v>
      </c>
      <c r="L73" s="3" t="s">
        <v>19</v>
      </c>
    </row>
    <row r="74" ht="15.75" customHeight="1">
      <c r="A74" s="3" t="s">
        <v>110</v>
      </c>
      <c r="B74" s="3" t="s">
        <v>51</v>
      </c>
      <c r="C74" s="3" t="s">
        <v>54</v>
      </c>
      <c r="D74" s="3">
        <v>39595.67</v>
      </c>
      <c r="E74" s="3">
        <v>11878.7</v>
      </c>
      <c r="F74" s="3">
        <v>6844.93</v>
      </c>
      <c r="G74" s="3">
        <v>11485.39</v>
      </c>
      <c r="H74" s="3">
        <v>58319.3</v>
      </c>
      <c r="I74" s="3">
        <v>46833.91</v>
      </c>
      <c r="J74" s="4">
        <v>45778.0</v>
      </c>
      <c r="K74" s="3">
        <v>23.0</v>
      </c>
      <c r="L74" s="3" t="s">
        <v>21</v>
      </c>
    </row>
    <row r="75" ht="15.75" customHeight="1">
      <c r="A75" s="3" t="s">
        <v>111</v>
      </c>
      <c r="B75" s="3" t="s">
        <v>29</v>
      </c>
      <c r="C75" s="3" t="s">
        <v>18</v>
      </c>
      <c r="D75" s="5"/>
      <c r="E75" s="3">
        <v>23473.37</v>
      </c>
      <c r="F75" s="3">
        <v>10633.72</v>
      </c>
      <c r="G75" s="3">
        <v>19803.57</v>
      </c>
      <c r="H75" s="3">
        <v>112351.64</v>
      </c>
      <c r="I75" s="3">
        <v>92548.07</v>
      </c>
      <c r="J75" s="4">
        <v>45809.0</v>
      </c>
      <c r="K75" s="3">
        <v>11.0</v>
      </c>
      <c r="L75" s="3" t="s">
        <v>23</v>
      </c>
    </row>
    <row r="76" ht="15.75" customHeight="1">
      <c r="A76" s="3" t="s">
        <v>112</v>
      </c>
      <c r="B76" s="3" t="s">
        <v>17</v>
      </c>
      <c r="C76" s="3" t="s">
        <v>14</v>
      </c>
      <c r="D76" s="3">
        <v>24314.68</v>
      </c>
      <c r="E76" s="3">
        <v>7294.4</v>
      </c>
      <c r="F76" s="3">
        <v>1270.27</v>
      </c>
      <c r="G76" s="3">
        <v>4235.06</v>
      </c>
      <c r="H76" s="3">
        <v>32879.35</v>
      </c>
      <c r="I76" s="3">
        <v>28644.29</v>
      </c>
      <c r="J76" s="4">
        <v>45778.0</v>
      </c>
      <c r="K76" s="3">
        <v>14.0</v>
      </c>
      <c r="L76" s="3" t="s">
        <v>27</v>
      </c>
    </row>
    <row r="77" ht="15.75" customHeight="1">
      <c r="A77" s="3" t="s">
        <v>113</v>
      </c>
      <c r="B77" s="3" t="s">
        <v>17</v>
      </c>
      <c r="C77" s="3" t="s">
        <v>14</v>
      </c>
      <c r="D77" s="3">
        <v>22295.31</v>
      </c>
      <c r="E77" s="3">
        <v>6688.59</v>
      </c>
      <c r="F77" s="3">
        <v>1541.44</v>
      </c>
      <c r="G77" s="3">
        <v>5260.1</v>
      </c>
      <c r="H77" s="3">
        <v>30525.34</v>
      </c>
      <c r="I77" s="3">
        <v>25265.24</v>
      </c>
      <c r="J77" s="4">
        <v>45839.0</v>
      </c>
      <c r="K77" s="3">
        <v>6.0</v>
      </c>
      <c r="L77" s="3" t="s">
        <v>31</v>
      </c>
    </row>
    <row r="78" ht="15.75" customHeight="1">
      <c r="A78" s="3" t="s">
        <v>114</v>
      </c>
      <c r="B78" s="3" t="s">
        <v>53</v>
      </c>
      <c r="C78" s="3" t="s">
        <v>37</v>
      </c>
      <c r="D78" s="3">
        <v>47081.62</v>
      </c>
      <c r="E78" s="3">
        <v>14124.49</v>
      </c>
      <c r="F78" s="3">
        <v>8470.03</v>
      </c>
      <c r="G78" s="3">
        <v>2684.76</v>
      </c>
      <c r="H78" s="3">
        <v>69676.14</v>
      </c>
      <c r="I78" s="3">
        <v>66991.38</v>
      </c>
      <c r="J78" s="4">
        <v>45658.0</v>
      </c>
      <c r="K78" s="3">
        <v>8.0</v>
      </c>
      <c r="L78" s="3" t="s">
        <v>34</v>
      </c>
    </row>
    <row r="79" ht="15.75" customHeight="1">
      <c r="A79" s="3" t="s">
        <v>115</v>
      </c>
      <c r="B79" s="3" t="s">
        <v>13</v>
      </c>
      <c r="C79" s="3" t="s">
        <v>54</v>
      </c>
      <c r="D79" s="3">
        <v>35023.68</v>
      </c>
      <c r="E79" s="3">
        <v>10507.1</v>
      </c>
      <c r="F79" s="3">
        <v>6483.41</v>
      </c>
      <c r="G79" s="3">
        <v>5657.57</v>
      </c>
      <c r="H79" s="3">
        <v>52014.19</v>
      </c>
      <c r="I79" s="3">
        <v>46356.62</v>
      </c>
      <c r="J79" s="4">
        <v>45992.0</v>
      </c>
      <c r="K79" s="3">
        <v>24.0</v>
      </c>
      <c r="L79" s="3" t="s">
        <v>38</v>
      </c>
    </row>
    <row r="80" ht="15.75" customHeight="1">
      <c r="A80" s="3" t="s">
        <v>116</v>
      </c>
      <c r="B80" s="3" t="s">
        <v>13</v>
      </c>
      <c r="C80" s="3" t="s">
        <v>18</v>
      </c>
      <c r="D80" s="3">
        <v>82436.34</v>
      </c>
      <c r="E80" s="3">
        <v>24730.9</v>
      </c>
      <c r="F80" s="3">
        <v>6005.02</v>
      </c>
      <c r="G80" s="3">
        <v>1730.52</v>
      </c>
      <c r="H80" s="3">
        <v>113172.26</v>
      </c>
      <c r="I80" s="3">
        <v>111441.74</v>
      </c>
      <c r="J80" s="4">
        <v>45962.0</v>
      </c>
      <c r="K80" s="3">
        <v>20.0</v>
      </c>
      <c r="L80" s="3" t="s">
        <v>40</v>
      </c>
    </row>
    <row r="81" ht="15.75" customHeight="1">
      <c r="A81" s="3" t="s">
        <v>117</v>
      </c>
      <c r="B81" s="3" t="s">
        <v>29</v>
      </c>
      <c r="C81" s="3" t="s">
        <v>37</v>
      </c>
      <c r="D81" s="3">
        <v>50650.48</v>
      </c>
      <c r="E81" s="3">
        <v>15195.14</v>
      </c>
      <c r="F81" s="3">
        <v>8590.48</v>
      </c>
      <c r="G81" s="3">
        <v>10936.77</v>
      </c>
      <c r="H81" s="3">
        <v>74436.1</v>
      </c>
      <c r="I81" s="3">
        <v>63499.33</v>
      </c>
      <c r="J81" s="4">
        <v>45778.0</v>
      </c>
      <c r="K81" s="3">
        <v>12.0</v>
      </c>
      <c r="L81" s="3" t="s">
        <v>42</v>
      </c>
    </row>
    <row r="82" ht="15.75" customHeight="1">
      <c r="A82" s="3" t="s">
        <v>118</v>
      </c>
      <c r="B82" s="3" t="s">
        <v>53</v>
      </c>
      <c r="C82" s="3" t="s">
        <v>33</v>
      </c>
      <c r="D82" s="3">
        <v>31668.93</v>
      </c>
      <c r="E82" s="3">
        <v>9500.68</v>
      </c>
      <c r="F82" s="3">
        <v>2065.97</v>
      </c>
      <c r="G82" s="3">
        <v>6623.95</v>
      </c>
      <c r="H82" s="3">
        <v>43235.58</v>
      </c>
      <c r="I82" s="3">
        <v>36611.63</v>
      </c>
      <c r="J82" s="4">
        <v>45901.0</v>
      </c>
      <c r="K82" s="3">
        <v>18.0</v>
      </c>
      <c r="L82" s="3" t="s">
        <v>15</v>
      </c>
    </row>
    <row r="83" ht="15.75" customHeight="1">
      <c r="A83" s="3" t="s">
        <v>119</v>
      </c>
      <c r="B83" s="3" t="s">
        <v>51</v>
      </c>
      <c r="C83" s="3" t="s">
        <v>30</v>
      </c>
      <c r="D83" s="3">
        <v>25699.93</v>
      </c>
      <c r="E83" s="3">
        <v>7709.98</v>
      </c>
      <c r="F83" s="3">
        <v>4833.46</v>
      </c>
      <c r="G83" s="3">
        <v>5222.11</v>
      </c>
      <c r="H83" s="3">
        <v>38243.37</v>
      </c>
      <c r="I83" s="3">
        <v>33021.26</v>
      </c>
      <c r="J83" s="4">
        <v>45717.0</v>
      </c>
      <c r="K83" s="3">
        <v>20.0</v>
      </c>
      <c r="L83" s="3" t="s">
        <v>19</v>
      </c>
    </row>
    <row r="84" ht="15.75" customHeight="1">
      <c r="A84" s="3" t="s">
        <v>120</v>
      </c>
      <c r="B84" s="3" t="s">
        <v>53</v>
      </c>
      <c r="C84" s="3" t="s">
        <v>37</v>
      </c>
      <c r="D84" s="3">
        <v>50417.1</v>
      </c>
      <c r="E84" s="3">
        <v>15125.13</v>
      </c>
      <c r="F84" s="3">
        <v>5525.08</v>
      </c>
      <c r="G84" s="3">
        <v>6.14</v>
      </c>
      <c r="H84" s="3">
        <v>71067.31</v>
      </c>
      <c r="I84" s="3">
        <v>71061.17</v>
      </c>
      <c r="J84" s="4">
        <v>45778.0</v>
      </c>
      <c r="K84" s="3">
        <v>19.0</v>
      </c>
      <c r="L84" s="3" t="s">
        <v>21</v>
      </c>
    </row>
    <row r="85" ht="15.75" customHeight="1">
      <c r="A85" s="3" t="s">
        <v>121</v>
      </c>
      <c r="B85" s="3" t="s">
        <v>51</v>
      </c>
      <c r="C85" s="3" t="s">
        <v>54</v>
      </c>
      <c r="D85" s="3">
        <v>46000.62</v>
      </c>
      <c r="E85" s="3">
        <v>13800.19</v>
      </c>
      <c r="F85" s="3">
        <v>5581.36</v>
      </c>
      <c r="G85" s="3">
        <v>4447.1</v>
      </c>
      <c r="H85" s="3">
        <v>65382.17</v>
      </c>
      <c r="I85" s="3">
        <v>60935.07</v>
      </c>
      <c r="J85" s="3" t="s">
        <v>122</v>
      </c>
      <c r="K85" s="3">
        <v>6.0</v>
      </c>
      <c r="L85" s="3" t="s">
        <v>23</v>
      </c>
    </row>
    <row r="86" ht="15.75" customHeight="1">
      <c r="A86" s="3" t="s">
        <v>123</v>
      </c>
      <c r="B86" s="3" t="s">
        <v>36</v>
      </c>
      <c r="C86" s="3" t="s">
        <v>18</v>
      </c>
      <c r="D86" s="3">
        <v>70556.24</v>
      </c>
      <c r="E86" s="3">
        <v>21166.87</v>
      </c>
      <c r="F86" s="3">
        <v>6677.25</v>
      </c>
      <c r="G86" s="3">
        <v>19075.18</v>
      </c>
      <c r="H86" s="3">
        <v>98400.36</v>
      </c>
      <c r="I86" s="3">
        <v>79325.18</v>
      </c>
      <c r="J86" s="4">
        <v>45992.0</v>
      </c>
      <c r="K86" s="3">
        <v>9.0</v>
      </c>
      <c r="L86" s="3" t="s">
        <v>27</v>
      </c>
    </row>
    <row r="87" ht="15.75" customHeight="1">
      <c r="A87" s="3" t="s">
        <v>124</v>
      </c>
      <c r="B87" s="3" t="s">
        <v>51</v>
      </c>
      <c r="C87" s="3" t="s">
        <v>18</v>
      </c>
      <c r="D87" s="3">
        <v>67204.68</v>
      </c>
      <c r="E87" s="3">
        <v>20161.4</v>
      </c>
      <c r="F87" s="3">
        <v>6928.16</v>
      </c>
      <c r="G87" s="3">
        <v>12760.98</v>
      </c>
      <c r="H87" s="3">
        <v>94294.24</v>
      </c>
      <c r="I87" s="3">
        <v>81533.26</v>
      </c>
      <c r="J87" s="4">
        <v>45809.0</v>
      </c>
      <c r="K87" s="3">
        <v>8.0</v>
      </c>
      <c r="L87" s="3" t="s">
        <v>31</v>
      </c>
    </row>
    <row r="88" ht="15.75" customHeight="1">
      <c r="A88" s="3" t="s">
        <v>125</v>
      </c>
      <c r="B88" s="3" t="s">
        <v>17</v>
      </c>
      <c r="C88" s="3" t="s">
        <v>26</v>
      </c>
      <c r="D88" s="3">
        <v>124271.99</v>
      </c>
      <c r="E88" s="3">
        <v>37281.6</v>
      </c>
      <c r="F88" s="3">
        <v>5837.52</v>
      </c>
      <c r="G88" s="3">
        <v>11572.93</v>
      </c>
      <c r="H88" s="3">
        <v>167391.11</v>
      </c>
      <c r="I88" s="3">
        <v>155818.18</v>
      </c>
      <c r="J88" s="4">
        <v>45748.0</v>
      </c>
      <c r="K88" s="3">
        <v>18.0</v>
      </c>
      <c r="L88" s="3" t="s">
        <v>34</v>
      </c>
    </row>
    <row r="89" ht="15.75" customHeight="1">
      <c r="A89" s="3" t="s">
        <v>126</v>
      </c>
      <c r="B89" s="3" t="s">
        <v>51</v>
      </c>
      <c r="C89" s="3" t="s">
        <v>14</v>
      </c>
      <c r="D89" s="3">
        <v>18332.74</v>
      </c>
      <c r="E89" s="3">
        <v>5499.82</v>
      </c>
      <c r="F89" s="3">
        <v>3607.65</v>
      </c>
      <c r="G89" s="3">
        <v>3361.9</v>
      </c>
      <c r="H89" s="3">
        <v>27440.21</v>
      </c>
      <c r="I89" s="3">
        <v>24078.31</v>
      </c>
      <c r="J89" s="4">
        <v>45689.0</v>
      </c>
      <c r="K89" s="3">
        <v>6.0</v>
      </c>
      <c r="L89" s="3" t="s">
        <v>38</v>
      </c>
    </row>
    <row r="90" ht="15.75" customHeight="1">
      <c r="A90" s="3" t="s">
        <v>127</v>
      </c>
      <c r="B90" s="3" t="s">
        <v>36</v>
      </c>
      <c r="C90" s="3" t="s">
        <v>54</v>
      </c>
      <c r="D90" s="3">
        <v>47405.92</v>
      </c>
      <c r="E90" s="3">
        <v>14221.78</v>
      </c>
      <c r="F90" s="3">
        <v>5458.04</v>
      </c>
      <c r="G90" s="3">
        <v>10216.15</v>
      </c>
      <c r="H90" s="3">
        <v>67085.74</v>
      </c>
      <c r="I90" s="3">
        <v>56869.59</v>
      </c>
      <c r="J90" s="4">
        <v>45839.0</v>
      </c>
      <c r="K90" s="3">
        <v>25.0</v>
      </c>
      <c r="L90" s="3" t="s">
        <v>40</v>
      </c>
    </row>
    <row r="91" ht="15.75" customHeight="1">
      <c r="A91" s="3" t="s">
        <v>128</v>
      </c>
      <c r="B91" s="3" t="s">
        <v>36</v>
      </c>
      <c r="C91" s="3" t="s">
        <v>54</v>
      </c>
      <c r="D91" s="3">
        <v>38415.78</v>
      </c>
      <c r="E91" s="3">
        <v>11524.73</v>
      </c>
      <c r="F91" s="3">
        <v>5040.6</v>
      </c>
      <c r="G91" s="3">
        <v>63.9</v>
      </c>
      <c r="H91" s="3">
        <v>54981.11</v>
      </c>
      <c r="I91" s="3">
        <v>54917.21</v>
      </c>
      <c r="J91" s="4">
        <v>45689.0</v>
      </c>
      <c r="K91" s="3">
        <v>19.0</v>
      </c>
      <c r="L91" s="3" t="s">
        <v>42</v>
      </c>
    </row>
    <row r="92" ht="15.75" customHeight="1">
      <c r="A92" s="3" t="s">
        <v>129</v>
      </c>
      <c r="B92" s="3" t="s">
        <v>25</v>
      </c>
      <c r="C92" s="3" t="s">
        <v>54</v>
      </c>
      <c r="D92" s="3">
        <v>38063.78</v>
      </c>
      <c r="E92" s="3">
        <v>11419.13</v>
      </c>
      <c r="F92" s="3">
        <v>6121.49</v>
      </c>
      <c r="G92" s="3">
        <v>7946.71</v>
      </c>
      <c r="H92" s="3">
        <v>55604.4</v>
      </c>
      <c r="I92" s="3">
        <v>47657.69</v>
      </c>
      <c r="J92" s="4">
        <v>45870.0</v>
      </c>
      <c r="K92" s="3">
        <v>8.0</v>
      </c>
      <c r="L92" s="3" t="s">
        <v>15</v>
      </c>
    </row>
    <row r="93" ht="15.75" customHeight="1">
      <c r="A93" s="3" t="s">
        <v>130</v>
      </c>
      <c r="B93" s="3" t="s">
        <v>17</v>
      </c>
      <c r="C93" s="3" t="s">
        <v>37</v>
      </c>
      <c r="D93" s="3">
        <v>49485.57</v>
      </c>
      <c r="E93" s="3">
        <v>14845.67</v>
      </c>
      <c r="F93" s="3">
        <v>8396.08</v>
      </c>
      <c r="G93" s="3">
        <v>6776.48</v>
      </c>
      <c r="H93" s="3">
        <v>72727.32</v>
      </c>
      <c r="I93" s="3">
        <v>65950.84</v>
      </c>
      <c r="J93" s="4">
        <v>45870.0</v>
      </c>
      <c r="K93" s="3">
        <v>4.0</v>
      </c>
      <c r="L93" s="3" t="s">
        <v>19</v>
      </c>
    </row>
    <row r="94" ht="15.75" customHeight="1">
      <c r="A94" s="3" t="s">
        <v>131</v>
      </c>
      <c r="B94" s="3" t="s">
        <v>13</v>
      </c>
      <c r="C94" s="3" t="s">
        <v>37</v>
      </c>
      <c r="D94" s="3">
        <v>62782.06</v>
      </c>
      <c r="E94" s="3">
        <v>18834.62</v>
      </c>
      <c r="F94" s="3">
        <v>7476.74</v>
      </c>
      <c r="G94" s="3">
        <v>17893.63</v>
      </c>
      <c r="H94" s="3">
        <v>89093.42</v>
      </c>
      <c r="I94" s="3">
        <v>71199.79</v>
      </c>
      <c r="J94" s="4">
        <v>45870.0</v>
      </c>
      <c r="K94" s="3">
        <v>21.0</v>
      </c>
      <c r="L94" s="3" t="s">
        <v>21</v>
      </c>
    </row>
    <row r="95" ht="15.75" customHeight="1">
      <c r="A95" s="3" t="s">
        <v>132</v>
      </c>
      <c r="B95" s="3" t="s">
        <v>53</v>
      </c>
      <c r="C95" s="3" t="s">
        <v>26</v>
      </c>
      <c r="D95" s="3">
        <v>115893.86</v>
      </c>
      <c r="E95" s="3">
        <v>34768.16</v>
      </c>
      <c r="F95" s="3">
        <v>11700.14</v>
      </c>
      <c r="G95" s="3">
        <v>28877.36</v>
      </c>
      <c r="H95" s="3">
        <v>162362.16</v>
      </c>
      <c r="I95" s="3">
        <v>133484.8</v>
      </c>
      <c r="J95" s="4">
        <v>45901.0</v>
      </c>
      <c r="K95" s="3">
        <v>12.0</v>
      </c>
      <c r="L95" s="3" t="s">
        <v>23</v>
      </c>
    </row>
    <row r="96" ht="15.75" customHeight="1">
      <c r="A96" s="3" t="s">
        <v>133</v>
      </c>
      <c r="B96" s="3" t="s">
        <v>36</v>
      </c>
      <c r="C96" s="3" t="s">
        <v>30</v>
      </c>
      <c r="D96" s="3">
        <v>28544.17</v>
      </c>
      <c r="E96" s="3">
        <v>8563.25</v>
      </c>
      <c r="F96" s="3">
        <v>2709.84</v>
      </c>
      <c r="G96" s="3">
        <v>2219.52</v>
      </c>
      <c r="H96" s="3">
        <v>39817.26</v>
      </c>
      <c r="I96" s="3">
        <v>37597.74</v>
      </c>
      <c r="J96" s="3" t="s">
        <v>134</v>
      </c>
      <c r="K96" s="3">
        <v>4.0</v>
      </c>
      <c r="L96" s="3" t="s">
        <v>27</v>
      </c>
    </row>
    <row r="97" ht="15.75" customHeight="1">
      <c r="A97" s="3" t="s">
        <v>135</v>
      </c>
      <c r="B97" s="3" t="s">
        <v>25</v>
      </c>
      <c r="C97" s="3" t="s">
        <v>18</v>
      </c>
      <c r="D97" s="3">
        <v>72210.1</v>
      </c>
      <c r="E97" s="3">
        <v>21663.03</v>
      </c>
      <c r="F97" s="3">
        <v>11231.2</v>
      </c>
      <c r="G97" s="3">
        <v>10497.84</v>
      </c>
      <c r="H97" s="3">
        <v>105104.33</v>
      </c>
      <c r="I97" s="3">
        <v>94606.49</v>
      </c>
      <c r="J97" s="4">
        <v>45748.0</v>
      </c>
      <c r="K97" s="3">
        <v>19.0</v>
      </c>
      <c r="L97" s="3" t="s">
        <v>31</v>
      </c>
    </row>
    <row r="98" ht="15.75" customHeight="1">
      <c r="A98" s="3" t="s">
        <v>136</v>
      </c>
      <c r="B98" s="3" t="s">
        <v>29</v>
      </c>
      <c r="C98" s="3" t="s">
        <v>54</v>
      </c>
      <c r="D98" s="3">
        <v>36084.77</v>
      </c>
      <c r="E98" s="3">
        <v>10825.43</v>
      </c>
      <c r="F98" s="3">
        <v>2062.09</v>
      </c>
      <c r="G98" s="3">
        <v>2941.43</v>
      </c>
      <c r="H98" s="3">
        <v>48972.29</v>
      </c>
      <c r="I98" s="3">
        <v>46030.86</v>
      </c>
      <c r="J98" s="4">
        <v>45809.0</v>
      </c>
      <c r="K98" s="3">
        <v>16.0</v>
      </c>
      <c r="L98" s="3" t="s">
        <v>34</v>
      </c>
    </row>
    <row r="99" ht="15.75" customHeight="1">
      <c r="A99" s="3" t="s">
        <v>137</v>
      </c>
      <c r="B99" s="3" t="s">
        <v>51</v>
      </c>
      <c r="C99" s="3" t="s">
        <v>14</v>
      </c>
      <c r="D99" s="3">
        <v>20987.05</v>
      </c>
      <c r="E99" s="3">
        <v>6296.11</v>
      </c>
      <c r="F99" s="3">
        <v>1388.84</v>
      </c>
      <c r="G99" s="3">
        <v>2933.51</v>
      </c>
      <c r="H99" s="3">
        <v>28672.0</v>
      </c>
      <c r="I99" s="3">
        <v>25738.49</v>
      </c>
      <c r="J99" s="4">
        <v>45658.0</v>
      </c>
      <c r="K99" s="3">
        <v>12.0</v>
      </c>
      <c r="L99" s="3" t="s">
        <v>40</v>
      </c>
    </row>
    <row r="100" ht="15.75" customHeight="1">
      <c r="A100" s="3" t="s">
        <v>138</v>
      </c>
      <c r="B100" s="3" t="s">
        <v>51</v>
      </c>
      <c r="C100" s="3" t="s">
        <v>26</v>
      </c>
      <c r="D100" s="3">
        <v>105125.17</v>
      </c>
      <c r="E100" s="3">
        <v>31537.55</v>
      </c>
      <c r="F100" s="3">
        <v>19024.26</v>
      </c>
      <c r="G100" s="3">
        <v>18420.43</v>
      </c>
      <c r="H100" s="3">
        <v>155686.98</v>
      </c>
      <c r="I100" s="3">
        <v>137266.55</v>
      </c>
      <c r="J100" s="4">
        <v>45992.0</v>
      </c>
      <c r="K100" s="3">
        <v>3.0</v>
      </c>
      <c r="L100" s="3" t="s">
        <v>42</v>
      </c>
    </row>
    <row r="101" ht="15.75" customHeight="1">
      <c r="A101" s="3" t="s">
        <v>139</v>
      </c>
      <c r="B101" s="3" t="s">
        <v>17</v>
      </c>
      <c r="C101" s="3" t="s">
        <v>26</v>
      </c>
      <c r="D101" s="3">
        <v>121703.64</v>
      </c>
      <c r="E101" s="3">
        <v>36511.09</v>
      </c>
      <c r="F101" s="3">
        <v>14012.72</v>
      </c>
      <c r="G101" s="3">
        <v>17415.05</v>
      </c>
      <c r="H101" s="3">
        <v>172227.45</v>
      </c>
      <c r="I101" s="3">
        <v>154812.4</v>
      </c>
      <c r="J101" s="4">
        <v>45809.0</v>
      </c>
      <c r="K101" s="3">
        <v>20.0</v>
      </c>
      <c r="L101" s="3" t="s">
        <v>15</v>
      </c>
    </row>
    <row r="102" ht="15.75" customHeight="1">
      <c r="A102" s="3" t="s">
        <v>140</v>
      </c>
      <c r="B102" s="3" t="s">
        <v>29</v>
      </c>
      <c r="C102" s="3" t="s">
        <v>26</v>
      </c>
      <c r="D102" s="3">
        <v>104039.52</v>
      </c>
      <c r="E102" s="3">
        <v>31211.86</v>
      </c>
      <c r="F102" s="3">
        <v>18553.19</v>
      </c>
      <c r="G102" s="3">
        <v>26084.64</v>
      </c>
      <c r="H102" s="3">
        <v>153804.57</v>
      </c>
      <c r="I102" s="3">
        <v>127719.93</v>
      </c>
      <c r="J102" s="4">
        <v>45901.0</v>
      </c>
      <c r="K102" s="3">
        <v>16.0</v>
      </c>
      <c r="L102" s="3" t="s">
        <v>19</v>
      </c>
    </row>
    <row r="103" ht="15.75" customHeight="1">
      <c r="A103" s="3" t="s">
        <v>141</v>
      </c>
      <c r="B103" s="3" t="s">
        <v>13</v>
      </c>
      <c r="C103" s="3" t="s">
        <v>18</v>
      </c>
      <c r="D103" s="3">
        <v>79199.44</v>
      </c>
      <c r="E103" s="3">
        <v>23759.83</v>
      </c>
      <c r="F103" s="3">
        <v>9555.45</v>
      </c>
      <c r="G103" s="3">
        <v>5239.96</v>
      </c>
      <c r="H103" s="3">
        <v>112514.72</v>
      </c>
      <c r="I103" s="3">
        <v>107274.76</v>
      </c>
      <c r="J103" s="3" t="s">
        <v>142</v>
      </c>
      <c r="K103" s="3">
        <v>13.0</v>
      </c>
      <c r="L103" s="3" t="s">
        <v>21</v>
      </c>
    </row>
    <row r="104" ht="15.75" customHeight="1">
      <c r="A104" s="3" t="s">
        <v>143</v>
      </c>
      <c r="B104" s="3" t="s">
        <v>29</v>
      </c>
      <c r="C104" s="3" t="s">
        <v>54</v>
      </c>
      <c r="D104" s="3">
        <v>41798.99</v>
      </c>
      <c r="E104" s="3">
        <v>12539.7</v>
      </c>
      <c r="F104" s="3">
        <v>3250.77</v>
      </c>
      <c r="G104" s="3">
        <v>8387.47</v>
      </c>
      <c r="H104" s="3">
        <v>57589.46</v>
      </c>
      <c r="I104" s="3">
        <v>49201.99</v>
      </c>
      <c r="J104" s="4">
        <v>45839.0</v>
      </c>
      <c r="K104" s="3">
        <v>24.0</v>
      </c>
      <c r="L104" s="3" t="s">
        <v>23</v>
      </c>
    </row>
    <row r="105" ht="15.75" customHeight="1">
      <c r="A105" s="3" t="s">
        <v>144</v>
      </c>
      <c r="B105" s="3" t="s">
        <v>13</v>
      </c>
      <c r="C105" s="3" t="s">
        <v>30</v>
      </c>
      <c r="D105" s="3">
        <v>29396.45</v>
      </c>
      <c r="E105" s="3">
        <v>8818.93</v>
      </c>
      <c r="F105" s="3">
        <v>5406.25</v>
      </c>
      <c r="G105" s="3">
        <v>8648.92</v>
      </c>
      <c r="H105" s="3">
        <v>43621.63</v>
      </c>
      <c r="I105" s="3">
        <v>34972.71</v>
      </c>
      <c r="J105" s="4">
        <v>45901.0</v>
      </c>
      <c r="K105" s="3">
        <v>15.0</v>
      </c>
      <c r="L105" s="3" t="s">
        <v>27</v>
      </c>
    </row>
    <row r="106" ht="15.75" customHeight="1">
      <c r="A106" s="3" t="s">
        <v>145</v>
      </c>
      <c r="B106" s="3" t="s">
        <v>17</v>
      </c>
      <c r="C106" s="3" t="s">
        <v>54</v>
      </c>
      <c r="D106" s="3">
        <v>43286.5</v>
      </c>
      <c r="E106" s="3">
        <v>12985.95</v>
      </c>
      <c r="F106" s="3">
        <v>5739.79</v>
      </c>
      <c r="G106" s="3">
        <v>1090.14</v>
      </c>
      <c r="H106" s="3">
        <v>62012.24</v>
      </c>
      <c r="I106" s="3">
        <v>60922.1</v>
      </c>
      <c r="J106" s="4">
        <v>45839.0</v>
      </c>
      <c r="K106" s="3">
        <v>17.0</v>
      </c>
      <c r="L106" s="3" t="s">
        <v>31</v>
      </c>
    </row>
    <row r="107" ht="15.75" customHeight="1">
      <c r="A107" s="3" t="s">
        <v>146</v>
      </c>
      <c r="B107" s="3" t="s">
        <v>51</v>
      </c>
      <c r="C107" s="3" t="s">
        <v>26</v>
      </c>
      <c r="D107" s="3">
        <v>106621.14</v>
      </c>
      <c r="E107" s="3">
        <v>31986.34</v>
      </c>
      <c r="F107" s="3">
        <v>1072.28</v>
      </c>
      <c r="G107" s="3">
        <v>12126.15</v>
      </c>
      <c r="H107" s="3">
        <v>139679.76</v>
      </c>
      <c r="I107" s="3">
        <v>127553.61</v>
      </c>
      <c r="J107" s="4">
        <v>45748.0</v>
      </c>
      <c r="K107" s="3">
        <v>15.0</v>
      </c>
      <c r="L107" s="3" t="s">
        <v>34</v>
      </c>
    </row>
    <row r="108" ht="15.75" customHeight="1">
      <c r="A108" s="3" t="s">
        <v>147</v>
      </c>
      <c r="B108" s="3" t="s">
        <v>36</v>
      </c>
      <c r="C108" s="3" t="s">
        <v>33</v>
      </c>
      <c r="D108" s="3">
        <v>28375.01</v>
      </c>
      <c r="E108" s="3">
        <v>8512.5</v>
      </c>
      <c r="F108" s="3">
        <v>4991.96</v>
      </c>
      <c r="G108" s="3">
        <v>2368.66</v>
      </c>
      <c r="H108" s="3">
        <v>41879.47</v>
      </c>
      <c r="I108" s="3">
        <v>39510.81</v>
      </c>
      <c r="J108" s="4">
        <v>45839.0</v>
      </c>
      <c r="K108" s="3">
        <v>22.0</v>
      </c>
      <c r="L108" s="3" t="s">
        <v>38</v>
      </c>
    </row>
    <row r="109" ht="15.75" customHeight="1">
      <c r="A109" s="3" t="s">
        <v>148</v>
      </c>
      <c r="B109" s="3" t="s">
        <v>29</v>
      </c>
      <c r="C109" s="3" t="s">
        <v>26</v>
      </c>
      <c r="D109" s="3">
        <v>92948.62</v>
      </c>
      <c r="E109" s="3">
        <v>27884.59</v>
      </c>
      <c r="F109" s="3">
        <v>360.33</v>
      </c>
      <c r="G109" s="3">
        <v>15041.48</v>
      </c>
      <c r="H109" s="3">
        <v>121193.54</v>
      </c>
      <c r="I109" s="3">
        <v>106152.06</v>
      </c>
      <c r="J109" s="4">
        <v>45809.0</v>
      </c>
      <c r="K109" s="3">
        <v>21.0</v>
      </c>
      <c r="L109" s="3" t="s">
        <v>40</v>
      </c>
    </row>
    <row r="110" ht="15.75" customHeight="1">
      <c r="A110" s="3" t="s">
        <v>149</v>
      </c>
      <c r="B110" s="3" t="s">
        <v>51</v>
      </c>
      <c r="C110" s="3" t="s">
        <v>18</v>
      </c>
      <c r="D110" s="3">
        <v>66784.08</v>
      </c>
      <c r="E110" s="3">
        <v>20035.22</v>
      </c>
      <c r="F110" s="3">
        <v>12786.29</v>
      </c>
      <c r="G110" s="3">
        <v>806.58</v>
      </c>
      <c r="H110" s="3">
        <v>99605.59</v>
      </c>
      <c r="I110" s="3">
        <v>98799.01</v>
      </c>
      <c r="J110" s="4">
        <v>45658.0</v>
      </c>
      <c r="K110" s="3">
        <v>6.0</v>
      </c>
      <c r="L110" s="3" t="s">
        <v>42</v>
      </c>
    </row>
    <row r="111" ht="15.75" customHeight="1">
      <c r="A111" s="3" t="s">
        <v>150</v>
      </c>
      <c r="B111" s="3" t="s">
        <v>51</v>
      </c>
      <c r="C111" s="3" t="s">
        <v>30</v>
      </c>
      <c r="D111" s="3">
        <v>29385.21</v>
      </c>
      <c r="E111" s="3">
        <v>8815.56</v>
      </c>
      <c r="F111" s="3">
        <v>3651.62</v>
      </c>
      <c r="G111" s="3">
        <v>2102.91</v>
      </c>
      <c r="H111" s="3">
        <v>41852.39</v>
      </c>
      <c r="I111" s="3">
        <v>39749.48</v>
      </c>
      <c r="J111" s="4">
        <v>45870.0</v>
      </c>
      <c r="K111" s="3">
        <v>6.0</v>
      </c>
      <c r="L111" s="3" t="s">
        <v>15</v>
      </c>
    </row>
    <row r="112" ht="15.75" customHeight="1">
      <c r="A112" s="3" t="s">
        <v>151</v>
      </c>
      <c r="B112" s="3" t="s">
        <v>51</v>
      </c>
      <c r="C112" s="3" t="s">
        <v>37</v>
      </c>
      <c r="D112" s="3">
        <v>55930.45</v>
      </c>
      <c r="E112" s="3">
        <v>16779.13</v>
      </c>
      <c r="F112" s="3">
        <v>8366.36</v>
      </c>
      <c r="G112" s="3">
        <v>1921.76</v>
      </c>
      <c r="H112" s="3">
        <v>81075.94</v>
      </c>
      <c r="I112" s="3">
        <v>79154.18</v>
      </c>
      <c r="J112" s="4">
        <v>45717.0</v>
      </c>
      <c r="K112" s="3">
        <v>21.0</v>
      </c>
      <c r="L112" s="3" t="s">
        <v>21</v>
      </c>
    </row>
    <row r="113" ht="15.75" customHeight="1">
      <c r="A113" s="3" t="s">
        <v>152</v>
      </c>
      <c r="B113" s="3" t="s">
        <v>29</v>
      </c>
      <c r="C113" s="3" t="s">
        <v>14</v>
      </c>
      <c r="D113" s="3">
        <v>22166.53</v>
      </c>
      <c r="E113" s="3">
        <v>6649.96</v>
      </c>
      <c r="F113" s="3">
        <v>4118.04</v>
      </c>
      <c r="G113" s="3">
        <v>3829.02</v>
      </c>
      <c r="H113" s="3">
        <v>32934.53</v>
      </c>
      <c r="I113" s="3">
        <v>29105.51</v>
      </c>
      <c r="J113" s="4">
        <v>45839.0</v>
      </c>
      <c r="K113" s="3">
        <v>5.0</v>
      </c>
      <c r="L113" s="3" t="s">
        <v>23</v>
      </c>
    </row>
    <row r="114" ht="15.75" customHeight="1">
      <c r="A114" s="3" t="s">
        <v>153</v>
      </c>
      <c r="B114" s="3" t="s">
        <v>36</v>
      </c>
      <c r="C114" s="3" t="s">
        <v>18</v>
      </c>
      <c r="D114" s="3">
        <v>70156.57</v>
      </c>
      <c r="E114" s="3">
        <v>21046.97</v>
      </c>
      <c r="F114" s="3">
        <v>8307.91</v>
      </c>
      <c r="G114" s="3">
        <v>17481.02</v>
      </c>
      <c r="H114" s="3">
        <v>99511.45</v>
      </c>
      <c r="I114" s="3">
        <v>82030.43</v>
      </c>
      <c r="J114" s="4">
        <v>45748.0</v>
      </c>
      <c r="K114" s="3">
        <v>3.0</v>
      </c>
      <c r="L114" s="3" t="s">
        <v>27</v>
      </c>
    </row>
    <row r="115" ht="15.75" customHeight="1">
      <c r="A115" s="3" t="s">
        <v>154</v>
      </c>
      <c r="B115" s="3" t="s">
        <v>17</v>
      </c>
      <c r="C115" s="3" t="s">
        <v>18</v>
      </c>
      <c r="D115" s="3">
        <v>85084.5</v>
      </c>
      <c r="E115" s="3">
        <v>25525.35</v>
      </c>
      <c r="F115" s="3">
        <v>14469.36</v>
      </c>
      <c r="G115" s="3">
        <v>15325.72</v>
      </c>
      <c r="H115" s="3">
        <v>125079.21</v>
      </c>
      <c r="I115" s="3">
        <v>109753.49</v>
      </c>
      <c r="J115" s="4">
        <v>45689.0</v>
      </c>
      <c r="K115" s="3">
        <v>1.0</v>
      </c>
      <c r="L115" s="3" t="s">
        <v>31</v>
      </c>
    </row>
    <row r="116" ht="15.75" customHeight="1">
      <c r="A116" s="3" t="s">
        <v>155</v>
      </c>
      <c r="B116" s="3" t="s">
        <v>25</v>
      </c>
      <c r="C116" s="3" t="s">
        <v>37</v>
      </c>
      <c r="D116" s="3">
        <v>59087.44</v>
      </c>
      <c r="E116" s="3">
        <v>17726.23</v>
      </c>
      <c r="F116" s="3">
        <v>4103.08</v>
      </c>
      <c r="G116" s="3">
        <v>7593.53</v>
      </c>
      <c r="H116" s="3">
        <v>80916.75</v>
      </c>
      <c r="I116" s="3">
        <v>73323.22</v>
      </c>
      <c r="J116" s="4">
        <v>45809.0</v>
      </c>
      <c r="K116" s="3">
        <v>25.0</v>
      </c>
      <c r="L116" s="3" t="s">
        <v>34</v>
      </c>
    </row>
    <row r="117" ht="15.75" customHeight="1">
      <c r="A117" s="3" t="s">
        <v>156</v>
      </c>
      <c r="B117" s="3" t="s">
        <v>17</v>
      </c>
      <c r="C117" s="3" t="s">
        <v>37</v>
      </c>
      <c r="D117" s="3">
        <v>56655.78</v>
      </c>
      <c r="E117" s="3">
        <v>16996.73</v>
      </c>
      <c r="F117" s="3">
        <v>143.36</v>
      </c>
      <c r="G117" s="3">
        <v>7139.63</v>
      </c>
      <c r="H117" s="3">
        <v>73795.87</v>
      </c>
      <c r="I117" s="3">
        <v>66656.24</v>
      </c>
      <c r="J117" s="4">
        <v>45870.0</v>
      </c>
      <c r="K117" s="3">
        <v>8.0</v>
      </c>
      <c r="L117" s="3" t="s">
        <v>38</v>
      </c>
    </row>
    <row r="118" ht="15.75" customHeight="1">
      <c r="A118" s="3" t="s">
        <v>157</v>
      </c>
      <c r="B118" s="3" t="s">
        <v>17</v>
      </c>
      <c r="C118" s="3" t="s">
        <v>54</v>
      </c>
      <c r="D118" s="3">
        <v>48451.03</v>
      </c>
      <c r="E118" s="3">
        <v>14535.31</v>
      </c>
      <c r="F118" s="3">
        <v>6158.95</v>
      </c>
      <c r="G118" s="3">
        <v>12045.52</v>
      </c>
      <c r="H118" s="3">
        <v>69145.29</v>
      </c>
      <c r="I118" s="3">
        <v>57099.77</v>
      </c>
      <c r="J118" s="4">
        <v>45992.0</v>
      </c>
      <c r="K118" s="3">
        <v>25.0</v>
      </c>
      <c r="L118" s="3" t="s">
        <v>40</v>
      </c>
    </row>
    <row r="119" ht="15.75" customHeight="1">
      <c r="A119" s="3" t="s">
        <v>158</v>
      </c>
      <c r="B119" s="3" t="s">
        <v>51</v>
      </c>
      <c r="C119" s="3" t="s">
        <v>54</v>
      </c>
      <c r="D119" s="3">
        <v>37465.92</v>
      </c>
      <c r="E119" s="3">
        <v>11239.78</v>
      </c>
      <c r="F119" s="3">
        <v>3909.54</v>
      </c>
      <c r="G119" s="3">
        <v>7311.0</v>
      </c>
      <c r="H119" s="3">
        <v>52615.24</v>
      </c>
      <c r="I119" s="3">
        <v>45304.24</v>
      </c>
      <c r="J119" s="4">
        <v>45931.0</v>
      </c>
      <c r="K119" s="3">
        <v>22.0</v>
      </c>
      <c r="L119" s="3" t="s">
        <v>42</v>
      </c>
    </row>
    <row r="120" ht="15.75" customHeight="1">
      <c r="A120" s="3" t="s">
        <v>159</v>
      </c>
      <c r="B120" s="3" t="s">
        <v>25</v>
      </c>
      <c r="C120" s="3" t="s">
        <v>37</v>
      </c>
      <c r="D120" s="3">
        <v>58943.55</v>
      </c>
      <c r="E120" s="3">
        <v>17683.06</v>
      </c>
      <c r="F120" s="3">
        <v>5480.26</v>
      </c>
      <c r="G120" s="3">
        <v>14601.52</v>
      </c>
      <c r="H120" s="3">
        <v>82106.87</v>
      </c>
      <c r="I120" s="3">
        <v>67505.35</v>
      </c>
      <c r="J120" s="4">
        <v>45931.0</v>
      </c>
      <c r="K120" s="3">
        <v>16.0</v>
      </c>
      <c r="L120" s="3" t="s">
        <v>15</v>
      </c>
    </row>
    <row r="121" ht="15.75" customHeight="1">
      <c r="A121" s="3" t="s">
        <v>160</v>
      </c>
      <c r="B121" s="3" t="s">
        <v>29</v>
      </c>
      <c r="C121" s="3" t="s">
        <v>33</v>
      </c>
      <c r="D121" s="3">
        <v>33517.13</v>
      </c>
      <c r="E121" s="3">
        <v>10055.14</v>
      </c>
      <c r="F121" s="3">
        <v>5568.74</v>
      </c>
      <c r="G121" s="3">
        <v>871.41</v>
      </c>
      <c r="H121" s="3">
        <v>49141.01</v>
      </c>
      <c r="I121" s="3">
        <v>48269.6</v>
      </c>
      <c r="J121" s="4">
        <v>45870.0</v>
      </c>
      <c r="K121" s="3">
        <v>7.0</v>
      </c>
      <c r="L121" s="3" t="s">
        <v>19</v>
      </c>
    </row>
    <row r="122" ht="15.75" customHeight="1">
      <c r="A122" s="3" t="s">
        <v>161</v>
      </c>
      <c r="B122" s="3" t="s">
        <v>51</v>
      </c>
      <c r="C122" s="3" t="s">
        <v>26</v>
      </c>
      <c r="D122" s="3">
        <v>106729.5</v>
      </c>
      <c r="E122" s="3">
        <v>32018.85</v>
      </c>
      <c r="F122" s="3">
        <v>13028.08</v>
      </c>
      <c r="G122" s="3">
        <v>12134.8</v>
      </c>
      <c r="H122" s="3">
        <v>151776.43</v>
      </c>
      <c r="I122" s="3">
        <v>139641.63</v>
      </c>
      <c r="J122" s="4">
        <v>45658.0</v>
      </c>
      <c r="K122" s="3">
        <v>4.0</v>
      </c>
      <c r="L122" s="3" t="s">
        <v>21</v>
      </c>
    </row>
    <row r="123" ht="15.75" customHeight="1">
      <c r="A123" s="3" t="s">
        <v>162</v>
      </c>
      <c r="B123" s="3" t="s">
        <v>36</v>
      </c>
      <c r="C123" s="3" t="s">
        <v>26</v>
      </c>
      <c r="D123" s="3">
        <v>101700.51</v>
      </c>
      <c r="E123" s="3">
        <v>30510.15</v>
      </c>
      <c r="F123" s="3">
        <v>9916.82</v>
      </c>
      <c r="G123" s="3">
        <v>10825.76</v>
      </c>
      <c r="H123" s="3">
        <v>142127.48</v>
      </c>
      <c r="I123" s="3">
        <v>131301.72</v>
      </c>
      <c r="J123" s="4">
        <v>45778.0</v>
      </c>
      <c r="K123" s="3">
        <v>1.0</v>
      </c>
      <c r="L123" s="3" t="s">
        <v>23</v>
      </c>
    </row>
    <row r="124" ht="15.75" customHeight="1">
      <c r="A124" s="3" t="s">
        <v>163</v>
      </c>
      <c r="B124" s="5"/>
      <c r="C124" s="3" t="s">
        <v>33</v>
      </c>
      <c r="D124" s="3">
        <v>33803.2</v>
      </c>
      <c r="E124" s="3">
        <v>10140.96</v>
      </c>
      <c r="F124" s="3">
        <v>4740.45</v>
      </c>
      <c r="G124" s="3">
        <v>2801.63</v>
      </c>
      <c r="H124" s="3">
        <v>48684.61</v>
      </c>
      <c r="I124" s="3">
        <v>45882.98</v>
      </c>
      <c r="J124" s="4">
        <v>45658.0</v>
      </c>
      <c r="K124" s="3">
        <v>21.0</v>
      </c>
      <c r="L124" s="3" t="s">
        <v>27</v>
      </c>
    </row>
    <row r="125" ht="15.75" customHeight="1">
      <c r="A125" s="3" t="s">
        <v>164</v>
      </c>
      <c r="B125" s="3" t="s">
        <v>53</v>
      </c>
      <c r="C125" s="3" t="s">
        <v>30</v>
      </c>
      <c r="D125" s="3">
        <v>22753.39</v>
      </c>
      <c r="E125" s="3">
        <v>6826.02</v>
      </c>
      <c r="F125" s="3">
        <v>3276.83</v>
      </c>
      <c r="G125" s="3">
        <v>3335.04</v>
      </c>
      <c r="H125" s="3">
        <v>32856.24</v>
      </c>
      <c r="I125" s="3">
        <v>29521.2</v>
      </c>
      <c r="J125" s="4">
        <v>45748.0</v>
      </c>
      <c r="K125" s="3">
        <v>15.0</v>
      </c>
      <c r="L125" s="3" t="s">
        <v>31</v>
      </c>
    </row>
    <row r="126" ht="15.75" customHeight="1">
      <c r="A126" s="3" t="s">
        <v>165</v>
      </c>
      <c r="B126" s="3" t="s">
        <v>13</v>
      </c>
      <c r="C126" s="3" t="s">
        <v>54</v>
      </c>
      <c r="D126" s="3">
        <v>44042.64</v>
      </c>
      <c r="E126" s="3">
        <v>13212.79</v>
      </c>
      <c r="F126" s="3">
        <v>4323.41</v>
      </c>
      <c r="G126" s="3">
        <v>10476.86</v>
      </c>
      <c r="H126" s="3">
        <v>33565.78</v>
      </c>
      <c r="I126" s="3">
        <v>38565.78</v>
      </c>
      <c r="J126" s="4">
        <v>45689.0</v>
      </c>
      <c r="K126" s="3">
        <v>21.0</v>
      </c>
      <c r="L126" s="3" t="s">
        <v>34</v>
      </c>
    </row>
    <row r="127" ht="15.75" customHeight="1">
      <c r="A127" s="3" t="s">
        <v>166</v>
      </c>
      <c r="B127" s="3" t="s">
        <v>29</v>
      </c>
      <c r="C127" s="3" t="s">
        <v>30</v>
      </c>
      <c r="D127" s="3">
        <v>25558.73</v>
      </c>
      <c r="E127" s="3">
        <v>7667.62</v>
      </c>
      <c r="F127" s="3">
        <v>1243.71</v>
      </c>
      <c r="G127" s="3">
        <v>5090.99</v>
      </c>
      <c r="H127" s="3">
        <v>34470.06</v>
      </c>
      <c r="I127" s="3">
        <v>29379.07</v>
      </c>
      <c r="J127" s="4">
        <v>45809.0</v>
      </c>
      <c r="K127" s="3">
        <v>22.0</v>
      </c>
      <c r="L127" s="3" t="s">
        <v>38</v>
      </c>
    </row>
    <row r="128" ht="15.75" customHeight="1">
      <c r="A128" s="3" t="s">
        <v>167</v>
      </c>
      <c r="B128" s="3" t="s">
        <v>36</v>
      </c>
      <c r="C128" s="3" t="s">
        <v>37</v>
      </c>
      <c r="D128" s="3">
        <v>54556.59</v>
      </c>
      <c r="E128" s="3">
        <v>16366.98</v>
      </c>
      <c r="F128" s="3">
        <v>4642.81</v>
      </c>
      <c r="G128" s="3">
        <v>12208.71</v>
      </c>
      <c r="H128" s="3">
        <v>75566.38</v>
      </c>
      <c r="I128" s="3">
        <v>63357.67</v>
      </c>
      <c r="J128" s="4">
        <v>45809.0</v>
      </c>
      <c r="K128" s="3">
        <v>14.0</v>
      </c>
      <c r="L128" s="3" t="s">
        <v>40</v>
      </c>
    </row>
    <row r="129" ht="15.75" customHeight="1">
      <c r="A129" s="3" t="s">
        <v>168</v>
      </c>
      <c r="B129" s="3" t="s">
        <v>29</v>
      </c>
      <c r="C129" s="3" t="s">
        <v>18</v>
      </c>
      <c r="D129" s="3">
        <v>76797.38</v>
      </c>
      <c r="E129" s="3">
        <v>23039.21</v>
      </c>
      <c r="F129" s="3">
        <v>4709.57</v>
      </c>
      <c r="G129" s="3">
        <v>5311.42</v>
      </c>
      <c r="H129" s="3">
        <v>104546.16</v>
      </c>
      <c r="I129" s="3">
        <v>99234.74</v>
      </c>
      <c r="J129" s="4">
        <v>45992.0</v>
      </c>
      <c r="K129" s="3">
        <v>8.0</v>
      </c>
      <c r="L129" s="3" t="s">
        <v>42</v>
      </c>
    </row>
    <row r="130" ht="15.75" customHeight="1">
      <c r="A130" s="3" t="s">
        <v>169</v>
      </c>
      <c r="B130" s="3" t="s">
        <v>51</v>
      </c>
      <c r="C130" s="3" t="s">
        <v>33</v>
      </c>
      <c r="D130" s="3">
        <v>26195.55</v>
      </c>
      <c r="E130" s="3">
        <v>7858.66</v>
      </c>
      <c r="F130" s="3">
        <v>2807.45</v>
      </c>
      <c r="G130" s="3">
        <v>5989.79</v>
      </c>
      <c r="H130" s="3">
        <v>36861.66</v>
      </c>
      <c r="I130" s="3">
        <v>30871.87</v>
      </c>
      <c r="J130" s="4">
        <v>45717.0</v>
      </c>
      <c r="K130" s="3">
        <v>12.0</v>
      </c>
      <c r="L130" s="3" t="s">
        <v>15</v>
      </c>
    </row>
    <row r="131" ht="15.75" customHeight="1">
      <c r="A131" s="3" t="s">
        <v>170</v>
      </c>
      <c r="B131" s="3" t="s">
        <v>51</v>
      </c>
      <c r="C131" s="3" t="s">
        <v>30</v>
      </c>
      <c r="D131" s="3">
        <v>28499.72</v>
      </c>
      <c r="E131" s="3">
        <v>8549.92</v>
      </c>
      <c r="F131" s="3">
        <v>1576.03</v>
      </c>
      <c r="G131" s="3">
        <v>5040.92</v>
      </c>
      <c r="H131" s="3">
        <v>38625.67</v>
      </c>
      <c r="I131" s="3">
        <v>33584.75</v>
      </c>
      <c r="J131" s="4">
        <v>45901.0</v>
      </c>
      <c r="K131" s="3">
        <v>4.0</v>
      </c>
      <c r="L131" s="3" t="s">
        <v>19</v>
      </c>
    </row>
    <row r="132" ht="15.75" customHeight="1">
      <c r="A132" s="3" t="s">
        <v>171</v>
      </c>
      <c r="B132" s="3" t="s">
        <v>53</v>
      </c>
      <c r="C132" s="3" t="s">
        <v>33</v>
      </c>
      <c r="D132" s="3">
        <v>34805.11</v>
      </c>
      <c r="E132" s="3">
        <v>10441.53</v>
      </c>
      <c r="F132" s="3">
        <v>5795.94</v>
      </c>
      <c r="G132" s="3">
        <v>3093.27</v>
      </c>
      <c r="H132" s="3">
        <v>51042.58</v>
      </c>
      <c r="I132" s="3">
        <v>47949.31</v>
      </c>
      <c r="J132" s="4">
        <v>45809.0</v>
      </c>
      <c r="K132" s="3">
        <v>17.0</v>
      </c>
      <c r="L132" s="3" t="s">
        <v>21</v>
      </c>
    </row>
    <row r="133" ht="15.75" customHeight="1">
      <c r="A133" s="3" t="s">
        <v>172</v>
      </c>
      <c r="B133" s="3" t="s">
        <v>51</v>
      </c>
      <c r="C133" s="3" t="s">
        <v>33</v>
      </c>
      <c r="D133" s="3">
        <v>25141.48</v>
      </c>
      <c r="E133" s="3">
        <v>7542.44</v>
      </c>
      <c r="F133" s="3">
        <v>2685.79</v>
      </c>
      <c r="G133" s="3">
        <v>2068.98</v>
      </c>
      <c r="H133" s="3">
        <v>35369.71</v>
      </c>
      <c r="I133" s="3">
        <v>33300.73</v>
      </c>
      <c r="J133" s="4">
        <v>45658.0</v>
      </c>
      <c r="K133" s="3">
        <v>6.0</v>
      </c>
      <c r="L133" s="3" t="s">
        <v>23</v>
      </c>
    </row>
    <row r="134" ht="15.75" customHeight="1">
      <c r="A134" s="3" t="s">
        <v>173</v>
      </c>
      <c r="B134" s="3" t="s">
        <v>53</v>
      </c>
      <c r="C134" s="3" t="s">
        <v>33</v>
      </c>
      <c r="D134" s="3">
        <v>31974.17</v>
      </c>
      <c r="E134" s="3">
        <v>9592.25</v>
      </c>
      <c r="F134" s="3">
        <v>807.54</v>
      </c>
      <c r="G134" s="3">
        <v>8330.5</v>
      </c>
      <c r="H134" s="3">
        <v>42373.96</v>
      </c>
      <c r="I134" s="3">
        <v>34043.46</v>
      </c>
      <c r="J134" s="4">
        <v>45870.0</v>
      </c>
      <c r="K134" s="3">
        <v>9.0</v>
      </c>
      <c r="L134" s="3" t="s">
        <v>27</v>
      </c>
    </row>
    <row r="135" ht="15.75" customHeight="1">
      <c r="A135" s="3" t="s">
        <v>174</v>
      </c>
      <c r="B135" s="3" t="s">
        <v>17</v>
      </c>
      <c r="C135" s="3" t="s">
        <v>26</v>
      </c>
      <c r="D135" s="3">
        <v>90441.55</v>
      </c>
      <c r="E135" s="3">
        <v>27132.47</v>
      </c>
      <c r="F135" s="3">
        <v>5143.22</v>
      </c>
      <c r="G135" s="3">
        <v>12988.7</v>
      </c>
      <c r="H135" s="3">
        <v>122717.24</v>
      </c>
      <c r="I135" s="3">
        <v>109728.54</v>
      </c>
      <c r="J135" s="4">
        <v>45809.0</v>
      </c>
      <c r="K135" s="3">
        <v>11.0</v>
      </c>
      <c r="L135" s="3" t="s">
        <v>31</v>
      </c>
    </row>
    <row r="136" ht="15.75" customHeight="1">
      <c r="A136" s="3" t="s">
        <v>175</v>
      </c>
      <c r="B136" s="3" t="s">
        <v>51</v>
      </c>
      <c r="C136" s="3" t="s">
        <v>14</v>
      </c>
      <c r="D136" s="3">
        <v>19817.84</v>
      </c>
      <c r="E136" s="3">
        <v>5945.35</v>
      </c>
      <c r="F136" s="3">
        <v>3415.5</v>
      </c>
      <c r="G136" s="3">
        <v>678.29</v>
      </c>
      <c r="H136" s="3">
        <v>29178.69</v>
      </c>
      <c r="I136" s="3">
        <v>28500.4</v>
      </c>
      <c r="J136" s="4">
        <v>45689.0</v>
      </c>
      <c r="K136" s="3">
        <v>8.0</v>
      </c>
      <c r="L136" s="3" t="s">
        <v>34</v>
      </c>
    </row>
    <row r="137" ht="15.75" customHeight="1">
      <c r="A137" s="3" t="s">
        <v>176</v>
      </c>
      <c r="B137" s="3" t="s">
        <v>36</v>
      </c>
      <c r="C137" s="3" t="s">
        <v>54</v>
      </c>
      <c r="D137" s="3">
        <v>36037.15</v>
      </c>
      <c r="E137" s="3">
        <v>10811.15</v>
      </c>
      <c r="F137" s="3">
        <v>4536.69</v>
      </c>
      <c r="G137" s="3">
        <v>579.58</v>
      </c>
      <c r="H137" s="3">
        <v>51384.99</v>
      </c>
      <c r="I137" s="3">
        <v>50805.41</v>
      </c>
      <c r="J137" s="4">
        <v>45717.0</v>
      </c>
      <c r="K137" s="3">
        <v>19.0</v>
      </c>
      <c r="L137" s="3" t="s">
        <v>38</v>
      </c>
    </row>
    <row r="138" ht="15.75" customHeight="1">
      <c r="A138" s="3" t="s">
        <v>177</v>
      </c>
      <c r="B138" s="3" t="s">
        <v>25</v>
      </c>
      <c r="C138" s="3" t="s">
        <v>37</v>
      </c>
      <c r="D138" s="3">
        <v>62084.26</v>
      </c>
      <c r="E138" s="3">
        <v>18625.28</v>
      </c>
      <c r="F138" s="3">
        <v>1057.68</v>
      </c>
      <c r="G138" s="3">
        <v>4622.63</v>
      </c>
      <c r="H138" s="3">
        <v>81767.22</v>
      </c>
      <c r="I138" s="3">
        <v>77144.59</v>
      </c>
      <c r="J138" s="4">
        <v>45901.0</v>
      </c>
      <c r="K138" s="3">
        <v>21.0</v>
      </c>
      <c r="L138" s="3" t="s">
        <v>40</v>
      </c>
    </row>
    <row r="139" ht="15.75" customHeight="1">
      <c r="A139" s="3" t="s">
        <v>178</v>
      </c>
      <c r="B139" s="3" t="s">
        <v>25</v>
      </c>
      <c r="C139" s="3" t="s">
        <v>54</v>
      </c>
      <c r="D139" s="3">
        <v>43488.45</v>
      </c>
      <c r="E139" s="3">
        <v>13046.53</v>
      </c>
      <c r="F139" s="3">
        <v>6877.62</v>
      </c>
      <c r="G139" s="3">
        <v>2944.44</v>
      </c>
      <c r="H139" s="3">
        <v>63412.6</v>
      </c>
      <c r="I139" s="3">
        <v>60468.16</v>
      </c>
      <c r="J139" s="4">
        <v>45901.0</v>
      </c>
      <c r="K139" s="3">
        <v>2.0</v>
      </c>
      <c r="L139" s="3" t="s">
        <v>42</v>
      </c>
    </row>
    <row r="140" ht="15.75" customHeight="1">
      <c r="A140" s="3" t="s">
        <v>179</v>
      </c>
      <c r="B140" s="3" t="s">
        <v>36</v>
      </c>
      <c r="C140" s="3" t="s">
        <v>54</v>
      </c>
      <c r="D140" s="3">
        <v>47719.06</v>
      </c>
      <c r="E140" s="3">
        <v>14315.72</v>
      </c>
      <c r="F140" s="3">
        <v>2837.88</v>
      </c>
      <c r="G140" s="3">
        <v>8425.16</v>
      </c>
      <c r="H140" s="3">
        <v>64872.66</v>
      </c>
      <c r="I140" s="3">
        <v>56447.5</v>
      </c>
      <c r="J140" s="4">
        <v>45839.0</v>
      </c>
      <c r="K140" s="3">
        <v>15.0</v>
      </c>
      <c r="L140" s="3" t="s">
        <v>15</v>
      </c>
    </row>
    <row r="141" ht="15.75" customHeight="1">
      <c r="A141" s="3" t="s">
        <v>180</v>
      </c>
      <c r="B141" s="3" t="s">
        <v>29</v>
      </c>
      <c r="C141" s="3" t="s">
        <v>37</v>
      </c>
      <c r="D141" s="3">
        <v>56178.49</v>
      </c>
      <c r="E141" s="3">
        <v>16853.55</v>
      </c>
      <c r="F141" s="3">
        <v>6849.63</v>
      </c>
      <c r="G141" s="3">
        <v>12473.13</v>
      </c>
      <c r="H141" s="3">
        <v>79881.67</v>
      </c>
      <c r="I141" s="3">
        <v>67408.54</v>
      </c>
      <c r="J141" s="4">
        <v>45748.0</v>
      </c>
      <c r="K141" s="3">
        <v>17.0</v>
      </c>
      <c r="L141" s="3" t="s">
        <v>19</v>
      </c>
    </row>
    <row r="142" ht="15.75" customHeight="1">
      <c r="A142" s="3" t="s">
        <v>181</v>
      </c>
      <c r="B142" s="3" t="s">
        <v>13</v>
      </c>
      <c r="C142" s="3" t="s">
        <v>30</v>
      </c>
      <c r="D142" s="3">
        <v>24328.89</v>
      </c>
      <c r="E142" s="3">
        <v>7298.67</v>
      </c>
      <c r="F142" s="3">
        <v>395.04</v>
      </c>
      <c r="G142" s="3">
        <v>1750.7</v>
      </c>
      <c r="H142" s="3">
        <v>32022.6</v>
      </c>
      <c r="I142" s="3">
        <v>30271.9</v>
      </c>
      <c r="J142" s="4">
        <v>45901.0</v>
      </c>
      <c r="K142" s="3">
        <v>17.0</v>
      </c>
      <c r="L142" s="3" t="s">
        <v>21</v>
      </c>
    </row>
    <row r="143" ht="15.75" customHeight="1">
      <c r="A143" s="3" t="s">
        <v>182</v>
      </c>
      <c r="B143" s="3" t="s">
        <v>17</v>
      </c>
      <c r="C143" s="3" t="s">
        <v>30</v>
      </c>
      <c r="D143" s="3">
        <v>22023.55</v>
      </c>
      <c r="E143" s="3">
        <v>6607.06</v>
      </c>
      <c r="F143" s="3">
        <v>1984.34</v>
      </c>
      <c r="G143" s="3">
        <v>3923.35</v>
      </c>
      <c r="H143" s="3">
        <v>30614.95</v>
      </c>
      <c r="I143" s="3">
        <v>26691.6</v>
      </c>
      <c r="J143" s="4">
        <v>45778.0</v>
      </c>
      <c r="K143" s="3">
        <v>2.0</v>
      </c>
      <c r="L143" s="3" t="s">
        <v>23</v>
      </c>
    </row>
    <row r="144" ht="15.75" customHeight="1">
      <c r="A144" s="3" t="s">
        <v>183</v>
      </c>
      <c r="B144" s="3" t="s">
        <v>17</v>
      </c>
      <c r="C144" s="3" t="s">
        <v>30</v>
      </c>
      <c r="D144" s="3">
        <v>24535.32</v>
      </c>
      <c r="E144" s="3">
        <v>7360.6</v>
      </c>
      <c r="F144" s="3">
        <v>1387.32</v>
      </c>
      <c r="G144" s="3">
        <v>6327.22</v>
      </c>
      <c r="H144" s="3">
        <v>33283.24</v>
      </c>
      <c r="I144" s="3">
        <v>26956.02</v>
      </c>
      <c r="J144" s="4">
        <v>45689.0</v>
      </c>
      <c r="K144" s="3">
        <v>13.0</v>
      </c>
      <c r="L144" s="3" t="s">
        <v>27</v>
      </c>
    </row>
    <row r="145" ht="15.75" customHeight="1">
      <c r="A145" s="3" t="s">
        <v>184</v>
      </c>
      <c r="B145" s="3" t="s">
        <v>13</v>
      </c>
      <c r="C145" s="3" t="s">
        <v>30</v>
      </c>
      <c r="D145" s="3">
        <v>30130.42</v>
      </c>
      <c r="E145" s="3">
        <v>9039.13</v>
      </c>
      <c r="F145" s="3">
        <v>4747.52</v>
      </c>
      <c r="G145" s="3">
        <v>5649.98</v>
      </c>
      <c r="H145" s="3">
        <v>43917.07</v>
      </c>
      <c r="I145" s="3">
        <v>38267.09</v>
      </c>
      <c r="J145" s="4">
        <v>45962.0</v>
      </c>
      <c r="K145" s="3">
        <v>6.0</v>
      </c>
      <c r="L145" s="3" t="s">
        <v>31</v>
      </c>
    </row>
    <row r="146" ht="15.75" customHeight="1">
      <c r="A146" s="3" t="s">
        <v>185</v>
      </c>
      <c r="B146" s="3" t="s">
        <v>25</v>
      </c>
      <c r="C146" s="3" t="s">
        <v>30</v>
      </c>
      <c r="D146" s="3">
        <v>25741.22</v>
      </c>
      <c r="E146" s="3">
        <v>7722.37</v>
      </c>
      <c r="F146" s="3">
        <v>2803.54</v>
      </c>
      <c r="G146" s="3">
        <v>5001.27</v>
      </c>
      <c r="H146" s="3">
        <v>36267.13</v>
      </c>
      <c r="I146" s="3">
        <v>31265.86</v>
      </c>
      <c r="J146" s="4">
        <v>45778.0</v>
      </c>
      <c r="K146" s="3">
        <v>3.0</v>
      </c>
      <c r="L146" s="3" t="s">
        <v>34</v>
      </c>
    </row>
    <row r="147" ht="15.75" customHeight="1">
      <c r="A147" s="3" t="s">
        <v>186</v>
      </c>
      <c r="B147" s="3" t="s">
        <v>25</v>
      </c>
      <c r="C147" s="3" t="s">
        <v>30</v>
      </c>
      <c r="D147" s="3">
        <v>22628.41</v>
      </c>
      <c r="E147" s="3">
        <v>6788.52</v>
      </c>
      <c r="F147" s="3">
        <v>750.91</v>
      </c>
      <c r="G147" s="3">
        <v>2088.23</v>
      </c>
      <c r="H147" s="3">
        <v>30167.84</v>
      </c>
      <c r="I147" s="3">
        <v>28079.61</v>
      </c>
      <c r="J147" s="4">
        <v>45992.0</v>
      </c>
      <c r="K147" s="3">
        <v>13.0</v>
      </c>
      <c r="L147" s="3" t="s">
        <v>38</v>
      </c>
    </row>
    <row r="148" ht="15.75" customHeight="1">
      <c r="A148" s="3" t="s">
        <v>187</v>
      </c>
      <c r="B148" s="3" t="s">
        <v>25</v>
      </c>
      <c r="C148" s="3" t="s">
        <v>37</v>
      </c>
      <c r="D148" s="3">
        <v>61581.47</v>
      </c>
      <c r="E148" s="3">
        <v>18474.44</v>
      </c>
      <c r="F148" s="3">
        <v>5408.74</v>
      </c>
      <c r="G148" s="3">
        <v>8658.93</v>
      </c>
      <c r="H148" s="3">
        <v>85464.65</v>
      </c>
      <c r="I148" s="3">
        <v>76805.72</v>
      </c>
      <c r="J148" s="4">
        <v>45778.0</v>
      </c>
      <c r="K148" s="3">
        <v>1.0</v>
      </c>
      <c r="L148" s="3" t="s">
        <v>40</v>
      </c>
    </row>
    <row r="149" ht="15.75" customHeight="1">
      <c r="A149" s="3" t="s">
        <v>188</v>
      </c>
      <c r="B149" s="3" t="s">
        <v>13</v>
      </c>
      <c r="C149" s="3" t="s">
        <v>54</v>
      </c>
      <c r="D149" s="3">
        <v>48197.47</v>
      </c>
      <c r="E149" s="3">
        <v>14459.24</v>
      </c>
      <c r="F149" s="3">
        <v>4824.3</v>
      </c>
      <c r="G149" s="3">
        <v>7139.9</v>
      </c>
      <c r="H149" s="3">
        <v>67481.01</v>
      </c>
      <c r="I149" s="3">
        <v>60341.11</v>
      </c>
      <c r="J149" s="4">
        <v>45689.0</v>
      </c>
      <c r="K149" s="3">
        <v>18.0</v>
      </c>
      <c r="L149" s="3" t="s">
        <v>42</v>
      </c>
    </row>
    <row r="150" ht="15.75" customHeight="1">
      <c r="A150" s="3" t="s">
        <v>189</v>
      </c>
      <c r="B150" s="3" t="s">
        <v>17</v>
      </c>
      <c r="C150" s="3" t="s">
        <v>30</v>
      </c>
      <c r="D150" s="3">
        <v>30464.82</v>
      </c>
      <c r="E150" s="3">
        <v>9139.45</v>
      </c>
      <c r="F150" s="3">
        <v>5093.47</v>
      </c>
      <c r="G150" s="3">
        <v>5257.0</v>
      </c>
      <c r="H150" s="3">
        <v>44697.74</v>
      </c>
      <c r="I150" s="3">
        <v>39440.74</v>
      </c>
      <c r="J150" s="3" t="s">
        <v>190</v>
      </c>
      <c r="K150" s="3">
        <v>24.0</v>
      </c>
      <c r="L150" s="3" t="s">
        <v>19</v>
      </c>
    </row>
    <row r="151" ht="15.75" customHeight="1">
      <c r="A151" s="3" t="s">
        <v>191</v>
      </c>
      <c r="B151" s="3" t="s">
        <v>25</v>
      </c>
      <c r="C151" s="3" t="s">
        <v>18</v>
      </c>
      <c r="D151" s="3">
        <v>86356.95</v>
      </c>
      <c r="E151" s="3">
        <v>25907.08</v>
      </c>
      <c r="F151" s="3">
        <v>9952.59</v>
      </c>
      <c r="G151" s="3">
        <v>19769.93</v>
      </c>
      <c r="H151" s="3">
        <v>122216.62</v>
      </c>
      <c r="I151" s="3">
        <v>102446.69</v>
      </c>
      <c r="J151" s="4">
        <v>45717.0</v>
      </c>
      <c r="K151" s="3">
        <v>17.0</v>
      </c>
      <c r="L151" s="3" t="s">
        <v>21</v>
      </c>
    </row>
    <row r="152" ht="15.75" customHeight="1">
      <c r="A152" s="3" t="s">
        <v>192</v>
      </c>
      <c r="B152" s="3" t="s">
        <v>36</v>
      </c>
      <c r="C152" s="3" t="s">
        <v>37</v>
      </c>
      <c r="D152" s="3">
        <v>56727.17</v>
      </c>
      <c r="E152" s="3">
        <v>17018.15</v>
      </c>
      <c r="F152" s="3">
        <v>10393.24</v>
      </c>
      <c r="G152" s="3">
        <v>3088.61</v>
      </c>
      <c r="H152" s="3">
        <v>84138.56</v>
      </c>
      <c r="I152" s="3">
        <v>81049.95</v>
      </c>
      <c r="J152" s="4">
        <v>45931.0</v>
      </c>
      <c r="K152" s="3">
        <v>6.0</v>
      </c>
      <c r="L152" s="3" t="s">
        <v>23</v>
      </c>
    </row>
    <row r="153" ht="15.75" customHeight="1">
      <c r="A153" s="3" t="s">
        <v>193</v>
      </c>
      <c r="B153" s="3" t="s">
        <v>36</v>
      </c>
      <c r="C153" s="3" t="s">
        <v>18</v>
      </c>
      <c r="D153" s="3">
        <v>86170.37</v>
      </c>
      <c r="E153" s="3">
        <v>25851.11</v>
      </c>
      <c r="F153" s="3">
        <v>16700.77</v>
      </c>
      <c r="G153" s="3">
        <v>12150.29</v>
      </c>
      <c r="H153" s="3">
        <v>128722.25</v>
      </c>
      <c r="I153" s="3">
        <v>116571.96</v>
      </c>
      <c r="J153" s="4">
        <v>45839.0</v>
      </c>
      <c r="K153" s="3">
        <v>9.0</v>
      </c>
      <c r="L153" s="3" t="s">
        <v>27</v>
      </c>
    </row>
    <row r="154" ht="15.75" customHeight="1">
      <c r="A154" s="3" t="s">
        <v>194</v>
      </c>
      <c r="B154" s="3" t="s">
        <v>29</v>
      </c>
      <c r="C154" s="3" t="s">
        <v>33</v>
      </c>
      <c r="D154" s="3">
        <v>31701.34</v>
      </c>
      <c r="E154" s="3">
        <v>9510.4</v>
      </c>
      <c r="F154" s="3">
        <v>5438.26</v>
      </c>
      <c r="G154" s="3">
        <v>3136.57</v>
      </c>
      <c r="H154" s="3">
        <v>46650.0</v>
      </c>
      <c r="I154" s="3">
        <v>43513.43</v>
      </c>
      <c r="J154" s="4">
        <v>45992.0</v>
      </c>
      <c r="K154" s="3">
        <v>11.0</v>
      </c>
      <c r="L154" s="3" t="s">
        <v>31</v>
      </c>
    </row>
    <row r="155" ht="15.75" customHeight="1">
      <c r="A155" s="3" t="s">
        <v>195</v>
      </c>
      <c r="B155" s="3" t="s">
        <v>36</v>
      </c>
      <c r="C155" s="3" t="s">
        <v>33</v>
      </c>
      <c r="D155" s="3">
        <v>31625.84</v>
      </c>
      <c r="E155" s="3">
        <v>9487.75</v>
      </c>
      <c r="F155" s="3">
        <v>2532.93</v>
      </c>
      <c r="G155" s="3">
        <v>7215.43</v>
      </c>
      <c r="H155" s="3">
        <v>43646.52</v>
      </c>
      <c r="I155" s="3">
        <v>36431.09</v>
      </c>
      <c r="J155" s="4">
        <v>45658.0</v>
      </c>
      <c r="K155" s="3">
        <v>2.0</v>
      </c>
      <c r="L155" s="3" t="s">
        <v>34</v>
      </c>
    </row>
    <row r="156" ht="15.75" customHeight="1">
      <c r="A156" s="3" t="s">
        <v>196</v>
      </c>
      <c r="B156" s="3" t="s">
        <v>36</v>
      </c>
      <c r="C156" s="3" t="s">
        <v>14</v>
      </c>
      <c r="D156" s="3">
        <v>20264.52</v>
      </c>
      <c r="E156" s="3">
        <v>6079.36</v>
      </c>
      <c r="F156" s="3">
        <v>1310.2</v>
      </c>
      <c r="G156" s="3">
        <v>5898.1</v>
      </c>
      <c r="H156" s="3">
        <v>27654.08</v>
      </c>
      <c r="I156" s="3">
        <v>21755.98</v>
      </c>
      <c r="J156" s="3" t="s">
        <v>197</v>
      </c>
      <c r="K156" s="3">
        <v>16.0</v>
      </c>
      <c r="L156" s="3" t="s">
        <v>38</v>
      </c>
    </row>
    <row r="157" ht="15.75" customHeight="1">
      <c r="A157" s="3" t="s">
        <v>198</v>
      </c>
      <c r="B157" s="3" t="s">
        <v>25</v>
      </c>
      <c r="C157" s="3" t="s">
        <v>37</v>
      </c>
      <c r="D157" s="3">
        <v>59848.69</v>
      </c>
      <c r="E157" s="3">
        <v>17954.61</v>
      </c>
      <c r="F157" s="3">
        <v>13.78</v>
      </c>
      <c r="G157" s="3">
        <v>15609.15</v>
      </c>
      <c r="H157" s="3">
        <v>77817.08</v>
      </c>
      <c r="I157" s="3">
        <v>62207.93</v>
      </c>
      <c r="J157" s="4">
        <v>45870.0</v>
      </c>
      <c r="K157" s="3">
        <v>13.0</v>
      </c>
      <c r="L157" s="3" t="s">
        <v>40</v>
      </c>
    </row>
    <row r="158" ht="15.75" customHeight="1">
      <c r="A158" s="3" t="s">
        <v>199</v>
      </c>
      <c r="B158" s="3" t="s">
        <v>36</v>
      </c>
      <c r="C158" s="3" t="s">
        <v>14</v>
      </c>
      <c r="D158" s="3">
        <v>19350.59</v>
      </c>
      <c r="E158" s="3">
        <v>5805.18</v>
      </c>
      <c r="F158" s="3">
        <v>1400.13</v>
      </c>
      <c r="G158" s="3">
        <v>4391.29</v>
      </c>
      <c r="H158" s="3">
        <v>26555.9</v>
      </c>
      <c r="I158" s="3">
        <v>22164.61</v>
      </c>
      <c r="J158" s="4">
        <v>45962.0</v>
      </c>
      <c r="K158" s="3">
        <v>12.0</v>
      </c>
      <c r="L158" s="3" t="s">
        <v>42</v>
      </c>
    </row>
    <row r="159" ht="15.75" customHeight="1">
      <c r="A159" s="3" t="s">
        <v>200</v>
      </c>
      <c r="B159" s="3" t="s">
        <v>36</v>
      </c>
      <c r="C159" s="3" t="s">
        <v>26</v>
      </c>
      <c r="D159" s="3">
        <v>91858.02</v>
      </c>
      <c r="E159" s="3">
        <v>27557.41</v>
      </c>
      <c r="F159" s="3">
        <v>4906.25</v>
      </c>
      <c r="G159" s="3">
        <v>3610.38</v>
      </c>
      <c r="H159" s="3">
        <v>124321.68</v>
      </c>
      <c r="I159" s="3">
        <v>120711.3</v>
      </c>
      <c r="J159" s="4">
        <v>45778.0</v>
      </c>
      <c r="K159" s="3">
        <v>2.0</v>
      </c>
      <c r="L159" s="3" t="s">
        <v>15</v>
      </c>
    </row>
    <row r="160" ht="15.75" customHeight="1">
      <c r="A160" s="3" t="s">
        <v>201</v>
      </c>
      <c r="B160" s="3" t="s">
        <v>36</v>
      </c>
      <c r="C160" s="3" t="s">
        <v>18</v>
      </c>
      <c r="D160" s="3">
        <v>77602.51</v>
      </c>
      <c r="E160" s="3">
        <v>23280.75</v>
      </c>
      <c r="F160" s="3">
        <v>448.07</v>
      </c>
      <c r="G160" s="3">
        <v>14667.39</v>
      </c>
      <c r="H160" s="3">
        <v>101331.33</v>
      </c>
      <c r="I160" s="3">
        <v>86663.94</v>
      </c>
      <c r="J160" s="4">
        <v>45748.0</v>
      </c>
      <c r="K160" s="3">
        <v>18.0</v>
      </c>
      <c r="L160" s="3" t="s">
        <v>19</v>
      </c>
    </row>
    <row r="161" ht="15.75" customHeight="1">
      <c r="A161" s="3" t="s">
        <v>202</v>
      </c>
      <c r="B161" s="3" t="s">
        <v>13</v>
      </c>
      <c r="C161" s="3" t="s">
        <v>30</v>
      </c>
      <c r="D161" s="3">
        <v>24734.6</v>
      </c>
      <c r="E161" s="3">
        <v>7420.38</v>
      </c>
      <c r="F161" s="3">
        <v>67.65</v>
      </c>
      <c r="G161" s="3">
        <v>3027.45</v>
      </c>
      <c r="H161" s="3">
        <v>32222.63</v>
      </c>
      <c r="I161" s="3">
        <v>29195.18</v>
      </c>
      <c r="J161" s="4">
        <v>45748.0</v>
      </c>
      <c r="K161" s="3">
        <v>13.0</v>
      </c>
      <c r="L161" s="3" t="s">
        <v>21</v>
      </c>
    </row>
    <row r="162" ht="15.75" customHeight="1">
      <c r="A162" s="3" t="s">
        <v>203</v>
      </c>
      <c r="B162" s="3" t="s">
        <v>25</v>
      </c>
      <c r="C162" s="3" t="s">
        <v>14</v>
      </c>
      <c r="D162" s="3">
        <v>21322.42</v>
      </c>
      <c r="E162" s="3">
        <v>6396.73</v>
      </c>
      <c r="F162" s="3">
        <v>500.93</v>
      </c>
      <c r="G162" s="3">
        <v>5322.99</v>
      </c>
      <c r="H162" s="3">
        <v>28220.08</v>
      </c>
      <c r="I162" s="3">
        <v>22897.09</v>
      </c>
      <c r="J162" s="4">
        <v>45870.0</v>
      </c>
      <c r="K162" s="3">
        <v>21.0</v>
      </c>
      <c r="L162" s="3" t="s">
        <v>23</v>
      </c>
    </row>
    <row r="163" ht="15.75" customHeight="1">
      <c r="A163" s="3" t="s">
        <v>204</v>
      </c>
      <c r="B163" s="3" t="s">
        <v>13</v>
      </c>
      <c r="C163" s="3" t="s">
        <v>33</v>
      </c>
      <c r="D163" s="3">
        <v>30088.72</v>
      </c>
      <c r="E163" s="3">
        <v>9026.62</v>
      </c>
      <c r="F163" s="3">
        <v>1645.4</v>
      </c>
      <c r="G163" s="3">
        <v>7534.73</v>
      </c>
      <c r="H163" s="3">
        <v>40760.74</v>
      </c>
      <c r="I163" s="3">
        <v>33226.01</v>
      </c>
      <c r="J163" s="4">
        <v>45870.0</v>
      </c>
      <c r="K163" s="3">
        <v>16.0</v>
      </c>
      <c r="L163" s="3" t="s">
        <v>27</v>
      </c>
    </row>
    <row r="164" ht="15.75" customHeight="1">
      <c r="A164" s="3" t="s">
        <v>205</v>
      </c>
      <c r="B164" s="3" t="s">
        <v>51</v>
      </c>
      <c r="C164" s="3" t="s">
        <v>54</v>
      </c>
      <c r="D164" s="3">
        <v>42717.71</v>
      </c>
      <c r="E164" s="3">
        <v>12815.31</v>
      </c>
      <c r="F164" s="3">
        <v>3277.18</v>
      </c>
      <c r="G164" s="3">
        <v>11814.03</v>
      </c>
      <c r="H164" s="3">
        <v>58810.2</v>
      </c>
      <c r="I164" s="3">
        <v>46996.17</v>
      </c>
      <c r="J164" s="4">
        <v>45901.0</v>
      </c>
      <c r="K164" s="3">
        <v>10.0</v>
      </c>
      <c r="L164" s="3" t="s">
        <v>31</v>
      </c>
    </row>
    <row r="165" ht="15.75" customHeight="1">
      <c r="A165" s="3" t="s">
        <v>206</v>
      </c>
      <c r="B165" s="3" t="s">
        <v>13</v>
      </c>
      <c r="C165" s="3" t="s">
        <v>30</v>
      </c>
      <c r="D165" s="3">
        <v>29603.44</v>
      </c>
      <c r="E165" s="3">
        <v>8881.03</v>
      </c>
      <c r="F165" s="3">
        <v>1635.57</v>
      </c>
      <c r="G165" s="3">
        <v>7016.07</v>
      </c>
      <c r="H165" s="3">
        <v>40120.04</v>
      </c>
      <c r="I165" s="3">
        <v>33103.97</v>
      </c>
      <c r="J165" s="4">
        <v>45839.0</v>
      </c>
      <c r="K165" s="3">
        <v>9.0</v>
      </c>
      <c r="L165" s="3" t="s">
        <v>34</v>
      </c>
    </row>
    <row r="166" ht="15.75" customHeight="1">
      <c r="A166" s="3" t="s">
        <v>207</v>
      </c>
      <c r="B166" s="3" t="s">
        <v>29</v>
      </c>
      <c r="C166" s="3" t="s">
        <v>26</v>
      </c>
      <c r="D166" s="3">
        <v>108278.56</v>
      </c>
      <c r="E166" s="3">
        <v>32483.57</v>
      </c>
      <c r="F166" s="3">
        <v>17769.58</v>
      </c>
      <c r="G166" s="3">
        <v>9187.62</v>
      </c>
      <c r="H166" s="3">
        <v>158531.71</v>
      </c>
      <c r="I166" s="3">
        <v>149344.09</v>
      </c>
      <c r="J166" s="4">
        <v>45778.0</v>
      </c>
      <c r="K166" s="3">
        <v>6.0</v>
      </c>
      <c r="L166" s="3" t="s">
        <v>38</v>
      </c>
    </row>
    <row r="167" ht="15.75" customHeight="1">
      <c r="A167" s="3" t="s">
        <v>208</v>
      </c>
      <c r="B167" s="3" t="s">
        <v>25</v>
      </c>
      <c r="C167" s="3" t="s">
        <v>37</v>
      </c>
      <c r="D167" s="3">
        <v>55438.62</v>
      </c>
      <c r="E167" s="3">
        <v>16631.59</v>
      </c>
      <c r="F167" s="3">
        <v>7317.24</v>
      </c>
      <c r="G167" s="3">
        <v>14390.66</v>
      </c>
      <c r="H167" s="3">
        <v>79387.45</v>
      </c>
      <c r="I167" s="3">
        <v>64996.79</v>
      </c>
      <c r="J167" s="4">
        <v>45870.0</v>
      </c>
      <c r="K167" s="3">
        <v>25.0</v>
      </c>
      <c r="L167" s="3" t="s">
        <v>40</v>
      </c>
    </row>
    <row r="168" ht="15.75" customHeight="1">
      <c r="A168" s="3" t="s">
        <v>209</v>
      </c>
      <c r="B168" s="3" t="s">
        <v>29</v>
      </c>
      <c r="C168" s="3" t="s">
        <v>26</v>
      </c>
      <c r="D168" s="3">
        <v>96791.49</v>
      </c>
      <c r="E168" s="3">
        <v>29037.45</v>
      </c>
      <c r="F168" s="3">
        <v>13502.38</v>
      </c>
      <c r="G168" s="3">
        <v>16603.54</v>
      </c>
      <c r="H168" s="3">
        <v>139331.32</v>
      </c>
      <c r="I168" s="3">
        <v>122727.78</v>
      </c>
      <c r="J168" s="4">
        <v>45748.0</v>
      </c>
      <c r="K168" s="3">
        <v>9.0</v>
      </c>
      <c r="L168" s="3" t="s">
        <v>15</v>
      </c>
    </row>
    <row r="169" ht="15.75" customHeight="1">
      <c r="A169" s="3" t="s">
        <v>210</v>
      </c>
      <c r="B169" s="3" t="s">
        <v>25</v>
      </c>
      <c r="C169" s="3" t="s">
        <v>26</v>
      </c>
      <c r="D169" s="3">
        <v>104787.9</v>
      </c>
      <c r="E169" s="3">
        <v>31436.37</v>
      </c>
      <c r="F169" s="3">
        <v>6668.21</v>
      </c>
      <c r="G169" s="3">
        <v>14868.66</v>
      </c>
      <c r="H169" s="3">
        <v>142892.48</v>
      </c>
      <c r="I169" s="3">
        <v>128023.82</v>
      </c>
      <c r="J169" s="4">
        <v>45839.0</v>
      </c>
      <c r="K169" s="3">
        <v>9.0</v>
      </c>
      <c r="L169" s="3" t="s">
        <v>19</v>
      </c>
    </row>
    <row r="170" ht="15.75" customHeight="1">
      <c r="A170" s="3" t="s">
        <v>211</v>
      </c>
      <c r="B170" s="3" t="s">
        <v>36</v>
      </c>
      <c r="C170" s="3" t="s">
        <v>18</v>
      </c>
      <c r="D170" s="3">
        <v>85602.24</v>
      </c>
      <c r="E170" s="3">
        <v>25680.67</v>
      </c>
      <c r="F170" s="3">
        <v>11162.86</v>
      </c>
      <c r="G170" s="3">
        <v>3906.17</v>
      </c>
      <c r="H170" s="3">
        <v>122445.77</v>
      </c>
      <c r="I170" s="3">
        <v>118539.6</v>
      </c>
      <c r="J170" s="4">
        <v>45658.0</v>
      </c>
      <c r="K170" s="3">
        <v>20.0</v>
      </c>
      <c r="L170" s="3" t="s">
        <v>21</v>
      </c>
    </row>
    <row r="171" ht="15.75" customHeight="1">
      <c r="A171" s="3" t="s">
        <v>212</v>
      </c>
      <c r="B171" s="3" t="s">
        <v>51</v>
      </c>
      <c r="C171" s="3" t="s">
        <v>37</v>
      </c>
      <c r="D171" s="3">
        <v>62376.36</v>
      </c>
      <c r="E171" s="3">
        <v>18712.91</v>
      </c>
      <c r="F171" s="3">
        <v>4141.72</v>
      </c>
      <c r="G171" s="3">
        <v>1878.11</v>
      </c>
      <c r="H171" s="3">
        <v>85230.99</v>
      </c>
      <c r="I171" s="3">
        <v>83352.88</v>
      </c>
      <c r="J171" s="4">
        <v>45870.0</v>
      </c>
      <c r="K171" s="3">
        <v>25.0</v>
      </c>
      <c r="L171" s="3" t="s">
        <v>23</v>
      </c>
    </row>
    <row r="172" ht="15.75" customHeight="1">
      <c r="A172" s="3" t="s">
        <v>213</v>
      </c>
      <c r="B172" s="3" t="s">
        <v>17</v>
      </c>
      <c r="C172" s="3" t="s">
        <v>37</v>
      </c>
      <c r="D172" s="3">
        <v>61387.95</v>
      </c>
      <c r="E172" s="3">
        <v>18416.38</v>
      </c>
      <c r="F172" s="3">
        <v>188.43</v>
      </c>
      <c r="G172" s="3">
        <v>2654.82</v>
      </c>
      <c r="H172" s="3">
        <v>79992.76</v>
      </c>
      <c r="I172" s="3">
        <v>77337.94</v>
      </c>
      <c r="J172" s="4">
        <v>45962.0</v>
      </c>
      <c r="K172" s="3">
        <v>8.0</v>
      </c>
      <c r="L172" s="3" t="s">
        <v>27</v>
      </c>
    </row>
    <row r="173" ht="15.75" customHeight="1">
      <c r="A173" s="3" t="s">
        <v>214</v>
      </c>
      <c r="B173" s="3" t="s">
        <v>51</v>
      </c>
      <c r="C173" s="3" t="s">
        <v>14</v>
      </c>
      <c r="D173" s="3">
        <v>21380.33</v>
      </c>
      <c r="E173" s="3">
        <v>6414.1</v>
      </c>
      <c r="F173" s="3">
        <v>4144.38</v>
      </c>
      <c r="G173" s="3">
        <v>2171.57</v>
      </c>
      <c r="H173" s="3">
        <v>31938.81</v>
      </c>
      <c r="I173" s="3">
        <v>29767.24</v>
      </c>
      <c r="J173" s="4">
        <v>45992.0</v>
      </c>
      <c r="K173" s="3">
        <v>3.0</v>
      </c>
      <c r="L173" s="3" t="s">
        <v>31</v>
      </c>
    </row>
    <row r="174" ht="15.75" customHeight="1">
      <c r="A174" s="3" t="s">
        <v>215</v>
      </c>
      <c r="B174" s="3" t="s">
        <v>36</v>
      </c>
      <c r="C174" s="3" t="s">
        <v>18</v>
      </c>
      <c r="D174" s="3">
        <v>67088.2</v>
      </c>
      <c r="E174" s="3">
        <v>20126.46</v>
      </c>
      <c r="F174" s="3">
        <v>4408.57</v>
      </c>
      <c r="G174" s="3">
        <v>13572.43</v>
      </c>
      <c r="H174" s="3">
        <v>91623.23</v>
      </c>
      <c r="I174" s="3">
        <v>78050.8</v>
      </c>
      <c r="J174" s="4">
        <v>45901.0</v>
      </c>
      <c r="K174" s="3">
        <v>3.0</v>
      </c>
      <c r="L174" s="3" t="s">
        <v>34</v>
      </c>
    </row>
    <row r="175" ht="15.75" customHeight="1">
      <c r="A175" s="3" t="s">
        <v>216</v>
      </c>
      <c r="B175" s="3" t="s">
        <v>36</v>
      </c>
      <c r="C175" s="3" t="s">
        <v>33</v>
      </c>
      <c r="D175" s="3">
        <v>31267.99</v>
      </c>
      <c r="E175" s="3">
        <v>9380.4</v>
      </c>
      <c r="F175" s="3">
        <v>5549.68</v>
      </c>
      <c r="G175" s="3">
        <v>4577.14</v>
      </c>
      <c r="H175" s="3">
        <v>46198.07</v>
      </c>
      <c r="I175" s="3">
        <v>41620.93</v>
      </c>
      <c r="J175" s="4">
        <v>45901.0</v>
      </c>
      <c r="K175" s="3">
        <v>23.0</v>
      </c>
      <c r="L175" s="3" t="s">
        <v>38</v>
      </c>
    </row>
    <row r="176" ht="15.75" customHeight="1">
      <c r="A176" s="3" t="s">
        <v>217</v>
      </c>
      <c r="B176" s="3" t="s">
        <v>17</v>
      </c>
      <c r="C176" s="3" t="s">
        <v>37</v>
      </c>
      <c r="D176" s="3">
        <v>46231.57</v>
      </c>
      <c r="E176" s="3">
        <v>13869.47</v>
      </c>
      <c r="F176" s="3">
        <v>5835.91</v>
      </c>
      <c r="G176" s="3">
        <v>12772.8</v>
      </c>
      <c r="H176" s="3">
        <v>65936.95</v>
      </c>
      <c r="I176" s="3">
        <v>53164.15</v>
      </c>
      <c r="J176" s="4">
        <v>45748.0</v>
      </c>
      <c r="K176" s="3">
        <v>23.0</v>
      </c>
      <c r="L176" s="3" t="s">
        <v>40</v>
      </c>
    </row>
    <row r="177" ht="15.75" customHeight="1">
      <c r="A177" s="3" t="s">
        <v>218</v>
      </c>
      <c r="B177" s="3" t="s">
        <v>13</v>
      </c>
      <c r="C177" s="3" t="s">
        <v>14</v>
      </c>
      <c r="D177" s="3">
        <v>21124.59</v>
      </c>
      <c r="E177" s="3">
        <v>6337.38</v>
      </c>
      <c r="F177" s="3">
        <v>415.91</v>
      </c>
      <c r="G177" s="3">
        <v>4016.3</v>
      </c>
      <c r="H177" s="3">
        <v>27877.88</v>
      </c>
      <c r="I177" s="3">
        <v>23861.58</v>
      </c>
      <c r="J177" s="4">
        <v>45689.0</v>
      </c>
      <c r="K177" s="3">
        <v>18.0</v>
      </c>
      <c r="L177" s="3" t="s">
        <v>42</v>
      </c>
    </row>
    <row r="178" ht="15.75" customHeight="1">
      <c r="A178" s="3" t="s">
        <v>219</v>
      </c>
      <c r="B178" s="3" t="s">
        <v>36</v>
      </c>
      <c r="C178" s="3" t="s">
        <v>30</v>
      </c>
      <c r="D178" s="3">
        <v>28107.21</v>
      </c>
      <c r="E178" s="3">
        <v>8432.16</v>
      </c>
      <c r="F178" s="3">
        <v>5078.55</v>
      </c>
      <c r="G178" s="3">
        <v>387.8</v>
      </c>
      <c r="H178" s="3">
        <v>41617.92</v>
      </c>
      <c r="I178" s="3">
        <v>41230.12</v>
      </c>
      <c r="J178" s="4">
        <v>45658.0</v>
      </c>
      <c r="K178" s="3">
        <v>21.0</v>
      </c>
      <c r="L178" s="3" t="s">
        <v>15</v>
      </c>
    </row>
    <row r="179" ht="15.75" customHeight="1">
      <c r="A179" s="3" t="s">
        <v>220</v>
      </c>
      <c r="B179" s="3" t="s">
        <v>13</v>
      </c>
      <c r="C179" s="3" t="s">
        <v>26</v>
      </c>
      <c r="D179" s="3">
        <v>96482.05</v>
      </c>
      <c r="E179" s="3">
        <v>28944.62</v>
      </c>
      <c r="F179" s="3">
        <v>3378.21</v>
      </c>
      <c r="G179" s="3">
        <v>17641.51</v>
      </c>
      <c r="H179" s="3">
        <v>78840.54</v>
      </c>
      <c r="I179" s="3">
        <v>83840.54</v>
      </c>
      <c r="J179" s="4">
        <v>45839.0</v>
      </c>
      <c r="K179" s="3">
        <v>19.0</v>
      </c>
      <c r="L179" s="3" t="s">
        <v>21</v>
      </c>
    </row>
    <row r="180" ht="15.75" customHeight="1">
      <c r="A180" s="3" t="s">
        <v>221</v>
      </c>
      <c r="B180" s="3" t="s">
        <v>53</v>
      </c>
      <c r="C180" s="3" t="s">
        <v>18</v>
      </c>
      <c r="D180" s="3">
        <v>71261.57</v>
      </c>
      <c r="E180" s="3">
        <v>21378.47</v>
      </c>
      <c r="F180" s="3">
        <v>13009.93</v>
      </c>
      <c r="G180" s="3">
        <v>3059.64</v>
      </c>
      <c r="H180" s="3">
        <v>105649.97</v>
      </c>
      <c r="I180" s="3">
        <v>102590.33</v>
      </c>
      <c r="J180" s="4">
        <v>45870.0</v>
      </c>
      <c r="K180" s="3">
        <v>12.0</v>
      </c>
      <c r="L180" s="3" t="s">
        <v>23</v>
      </c>
    </row>
    <row r="181" ht="15.75" customHeight="1">
      <c r="A181" s="3" t="s">
        <v>222</v>
      </c>
      <c r="B181" s="3" t="s">
        <v>13</v>
      </c>
      <c r="C181" s="3" t="s">
        <v>33</v>
      </c>
      <c r="D181" s="3">
        <v>29595.7</v>
      </c>
      <c r="E181" s="3">
        <v>8878.71</v>
      </c>
      <c r="F181" s="3">
        <v>3947.12</v>
      </c>
      <c r="G181" s="3">
        <v>7981.15</v>
      </c>
      <c r="H181" s="3">
        <v>42421.53</v>
      </c>
      <c r="I181" s="3">
        <v>34440.38</v>
      </c>
      <c r="J181" s="4">
        <v>45870.0</v>
      </c>
      <c r="K181" s="3">
        <v>15.0</v>
      </c>
      <c r="L181" s="3" t="s">
        <v>27</v>
      </c>
    </row>
    <row r="182" ht="15.75" customHeight="1">
      <c r="A182" s="3" t="s">
        <v>223</v>
      </c>
      <c r="B182" s="3" t="s">
        <v>29</v>
      </c>
      <c r="C182" s="3" t="s">
        <v>18</v>
      </c>
      <c r="D182" s="3">
        <v>79211.55</v>
      </c>
      <c r="E182" s="3">
        <v>23763.47</v>
      </c>
      <c r="F182" s="3">
        <v>1170.14</v>
      </c>
      <c r="G182" s="3">
        <v>22462.07</v>
      </c>
      <c r="H182" s="3">
        <v>104145.16</v>
      </c>
      <c r="I182" s="3">
        <v>81683.09</v>
      </c>
      <c r="J182" s="4">
        <v>45931.0</v>
      </c>
      <c r="K182" s="3">
        <v>22.0</v>
      </c>
      <c r="L182" s="3" t="s">
        <v>31</v>
      </c>
    </row>
    <row r="183" ht="15.75" customHeight="1">
      <c r="A183" s="3" t="s">
        <v>224</v>
      </c>
      <c r="B183" s="3" t="s">
        <v>29</v>
      </c>
      <c r="C183" s="3" t="s">
        <v>18</v>
      </c>
      <c r="D183" s="3">
        <v>90012.76</v>
      </c>
      <c r="E183" s="3">
        <v>27003.83</v>
      </c>
      <c r="F183" s="3">
        <v>12427.4</v>
      </c>
      <c r="G183" s="3">
        <v>12336.32</v>
      </c>
      <c r="H183" s="3">
        <v>129443.99</v>
      </c>
      <c r="I183" s="3">
        <v>117107.67</v>
      </c>
      <c r="J183" s="4">
        <v>45778.0</v>
      </c>
      <c r="K183" s="3">
        <v>18.0</v>
      </c>
      <c r="L183" s="3" t="s">
        <v>34</v>
      </c>
    </row>
    <row r="184" ht="15.75" customHeight="1">
      <c r="A184" s="3" t="s">
        <v>225</v>
      </c>
      <c r="B184" s="3" t="s">
        <v>51</v>
      </c>
      <c r="C184" s="3" t="s">
        <v>54</v>
      </c>
      <c r="D184" s="3">
        <v>46946.7</v>
      </c>
      <c r="E184" s="3">
        <v>14084.01</v>
      </c>
      <c r="F184" s="3">
        <v>1001.4</v>
      </c>
      <c r="G184" s="3">
        <v>5371.14</v>
      </c>
      <c r="H184" s="3">
        <v>62032.11</v>
      </c>
      <c r="I184" s="3">
        <v>56660.97</v>
      </c>
      <c r="J184" s="4">
        <v>45809.0</v>
      </c>
      <c r="K184" s="3">
        <v>3.0</v>
      </c>
      <c r="L184" s="3" t="s">
        <v>38</v>
      </c>
    </row>
    <row r="185" ht="15.75" customHeight="1">
      <c r="A185" s="3" t="s">
        <v>226</v>
      </c>
      <c r="B185" s="3" t="s">
        <v>53</v>
      </c>
      <c r="C185" s="3" t="s">
        <v>33</v>
      </c>
      <c r="D185" s="3">
        <v>34926.92</v>
      </c>
      <c r="E185" s="3">
        <v>10478.08</v>
      </c>
      <c r="F185" s="3">
        <v>2062.3</v>
      </c>
      <c r="G185" s="5"/>
      <c r="H185" s="3">
        <v>47467.3</v>
      </c>
      <c r="I185" s="3">
        <v>37220.32</v>
      </c>
      <c r="J185" s="4">
        <v>45962.0</v>
      </c>
      <c r="K185" s="3">
        <v>3.0</v>
      </c>
      <c r="L185" s="3" t="s">
        <v>40</v>
      </c>
    </row>
    <row r="186" ht="15.75" customHeight="1">
      <c r="A186" s="3" t="s">
        <v>227</v>
      </c>
      <c r="B186" s="3" t="s">
        <v>36</v>
      </c>
      <c r="C186" s="3" t="s">
        <v>33</v>
      </c>
      <c r="D186" s="3">
        <v>25080.98</v>
      </c>
      <c r="E186" s="3">
        <v>7524.29</v>
      </c>
      <c r="F186" s="3">
        <v>4339.35</v>
      </c>
      <c r="G186" s="3">
        <v>5856.25</v>
      </c>
      <c r="H186" s="3">
        <v>36944.62</v>
      </c>
      <c r="I186" s="3">
        <v>31088.37</v>
      </c>
      <c r="J186" s="4">
        <v>45658.0</v>
      </c>
      <c r="K186" s="3">
        <v>3.0</v>
      </c>
      <c r="L186" s="3" t="s">
        <v>42</v>
      </c>
    </row>
    <row r="187" ht="15.75" customHeight="1">
      <c r="A187" s="3" t="s">
        <v>228</v>
      </c>
      <c r="B187" s="3" t="s">
        <v>53</v>
      </c>
      <c r="C187" s="3" t="s">
        <v>18</v>
      </c>
      <c r="D187" s="3">
        <v>77914.91</v>
      </c>
      <c r="E187" s="3">
        <v>23374.47</v>
      </c>
      <c r="F187" s="3">
        <v>14089.44</v>
      </c>
      <c r="G187" s="3">
        <v>6689.64</v>
      </c>
      <c r="H187" s="3">
        <v>115378.82</v>
      </c>
      <c r="I187" s="3">
        <v>108689.18</v>
      </c>
      <c r="J187" s="4">
        <v>45748.0</v>
      </c>
      <c r="K187" s="3">
        <v>18.0</v>
      </c>
      <c r="L187" s="3" t="s">
        <v>15</v>
      </c>
    </row>
    <row r="188" ht="15.75" customHeight="1">
      <c r="A188" s="3" t="s">
        <v>229</v>
      </c>
      <c r="B188" s="3" t="s">
        <v>53</v>
      </c>
      <c r="C188" s="3" t="s">
        <v>26</v>
      </c>
      <c r="D188" s="3">
        <v>102683.55</v>
      </c>
      <c r="E188" s="3">
        <v>30805.06</v>
      </c>
      <c r="F188" s="3">
        <v>13074.04</v>
      </c>
      <c r="G188" s="3">
        <v>19126.59</v>
      </c>
      <c r="H188" s="3">
        <v>146562.65</v>
      </c>
      <c r="I188" s="3">
        <v>127436.06</v>
      </c>
      <c r="J188" s="4">
        <v>45962.0</v>
      </c>
      <c r="K188" s="3">
        <v>21.0</v>
      </c>
      <c r="L188" s="3" t="s">
        <v>19</v>
      </c>
    </row>
    <row r="189" ht="15.75" customHeight="1">
      <c r="A189" s="3" t="s">
        <v>230</v>
      </c>
      <c r="B189" s="3" t="s">
        <v>25</v>
      </c>
      <c r="C189" s="3" t="s">
        <v>18</v>
      </c>
      <c r="D189" s="3">
        <v>84954.24</v>
      </c>
      <c r="E189" s="3">
        <v>25486.27</v>
      </c>
      <c r="F189" s="3">
        <v>11568.31</v>
      </c>
      <c r="G189" s="3">
        <v>3485.99</v>
      </c>
      <c r="H189" s="3">
        <v>122008.82</v>
      </c>
      <c r="I189" s="3">
        <v>118522.83</v>
      </c>
      <c r="J189" s="4">
        <v>45689.0</v>
      </c>
      <c r="K189" s="3">
        <v>20.0</v>
      </c>
      <c r="L189" s="3" t="s">
        <v>21</v>
      </c>
    </row>
    <row r="190" ht="15.75" customHeight="1">
      <c r="A190" s="3" t="s">
        <v>231</v>
      </c>
      <c r="B190" s="3" t="s">
        <v>13</v>
      </c>
      <c r="C190" s="3" t="s">
        <v>18</v>
      </c>
      <c r="D190" s="3">
        <v>66024.99</v>
      </c>
      <c r="E190" s="3">
        <v>19807.5</v>
      </c>
      <c r="F190" s="3">
        <v>10413.6</v>
      </c>
      <c r="G190" s="3">
        <v>660.87</v>
      </c>
      <c r="H190" s="3">
        <v>96246.09</v>
      </c>
      <c r="I190" s="3">
        <v>95585.22</v>
      </c>
      <c r="J190" s="4">
        <v>45809.0</v>
      </c>
      <c r="K190" s="3">
        <v>16.0</v>
      </c>
      <c r="L190" s="3" t="s">
        <v>23</v>
      </c>
    </row>
    <row r="191" ht="15.75" customHeight="1">
      <c r="A191" s="3" t="s">
        <v>232</v>
      </c>
      <c r="B191" s="3" t="s">
        <v>13</v>
      </c>
      <c r="C191" s="3" t="s">
        <v>30</v>
      </c>
      <c r="D191" s="3">
        <v>22793.17</v>
      </c>
      <c r="E191" s="3">
        <v>6837.95</v>
      </c>
      <c r="F191" s="3">
        <v>1345.3</v>
      </c>
      <c r="G191" s="3">
        <v>5111.24</v>
      </c>
      <c r="H191" s="3">
        <v>30976.42</v>
      </c>
      <c r="I191" s="3">
        <v>25865.18</v>
      </c>
      <c r="J191" s="4">
        <v>45717.0</v>
      </c>
      <c r="K191" s="3">
        <v>3.0</v>
      </c>
      <c r="L191" s="3" t="s">
        <v>27</v>
      </c>
    </row>
    <row r="192" ht="15.75" customHeight="1">
      <c r="A192" s="3" t="s">
        <v>233</v>
      </c>
      <c r="B192" s="3" t="s">
        <v>51</v>
      </c>
      <c r="C192" s="3" t="s">
        <v>30</v>
      </c>
      <c r="D192" s="3">
        <v>28921.31</v>
      </c>
      <c r="E192" s="3">
        <v>8676.39</v>
      </c>
      <c r="F192" s="3">
        <v>5069.68</v>
      </c>
      <c r="G192" s="3">
        <v>3174.32</v>
      </c>
      <c r="H192" s="3">
        <v>42667.38</v>
      </c>
      <c r="I192" s="3">
        <v>39493.06</v>
      </c>
      <c r="J192" s="4">
        <v>45901.0</v>
      </c>
      <c r="K192" s="3">
        <v>23.0</v>
      </c>
      <c r="L192" s="3" t="s">
        <v>31</v>
      </c>
    </row>
    <row r="193" ht="15.75" customHeight="1">
      <c r="A193" s="3" t="s">
        <v>234</v>
      </c>
      <c r="B193" s="3" t="s">
        <v>29</v>
      </c>
      <c r="C193" s="3" t="s">
        <v>26</v>
      </c>
      <c r="D193" s="3">
        <v>95923.6</v>
      </c>
      <c r="E193" s="3">
        <v>28777.08</v>
      </c>
      <c r="F193" s="3">
        <v>17535.77</v>
      </c>
      <c r="G193" s="3">
        <v>27170.97</v>
      </c>
      <c r="H193" s="3">
        <v>142236.45</v>
      </c>
      <c r="I193" s="3">
        <v>115065.48</v>
      </c>
      <c r="J193" s="4">
        <v>45778.0</v>
      </c>
      <c r="K193" s="3">
        <v>18.0</v>
      </c>
      <c r="L193" s="3" t="s">
        <v>34</v>
      </c>
    </row>
    <row r="194" ht="15.75" customHeight="1">
      <c r="A194" s="3" t="s">
        <v>235</v>
      </c>
      <c r="B194" s="3" t="s">
        <v>13</v>
      </c>
      <c r="C194" s="3" t="s">
        <v>26</v>
      </c>
      <c r="D194" s="3">
        <v>102193.75</v>
      </c>
      <c r="E194" s="3">
        <v>30658.12</v>
      </c>
      <c r="F194" s="3">
        <v>2353.92</v>
      </c>
      <c r="G194" s="3">
        <v>29520.5</v>
      </c>
      <c r="H194" s="3">
        <v>135205.79</v>
      </c>
      <c r="I194" s="3">
        <v>105685.29</v>
      </c>
      <c r="J194" s="4">
        <v>45717.0</v>
      </c>
      <c r="K194" s="3">
        <v>5.0</v>
      </c>
      <c r="L194" s="3" t="s">
        <v>38</v>
      </c>
    </row>
    <row r="195" ht="15.75" customHeight="1">
      <c r="A195" s="3" t="s">
        <v>236</v>
      </c>
      <c r="B195" s="3" t="s">
        <v>25</v>
      </c>
      <c r="C195" s="3" t="s">
        <v>30</v>
      </c>
      <c r="D195" s="3">
        <v>29569.24</v>
      </c>
      <c r="E195" s="3">
        <v>8870.77</v>
      </c>
      <c r="F195" s="3">
        <v>4282.91</v>
      </c>
      <c r="G195" s="3">
        <v>8692.84</v>
      </c>
      <c r="H195" s="3">
        <v>42722.92</v>
      </c>
      <c r="I195" s="3">
        <v>34030.08</v>
      </c>
      <c r="J195" s="4">
        <v>45901.0</v>
      </c>
      <c r="K195" s="3">
        <v>25.0</v>
      </c>
      <c r="L195" s="3" t="s">
        <v>40</v>
      </c>
    </row>
    <row r="196" ht="15.75" customHeight="1">
      <c r="A196" s="3" t="s">
        <v>237</v>
      </c>
      <c r="B196" s="3" t="s">
        <v>29</v>
      </c>
      <c r="C196" s="3" t="s">
        <v>14</v>
      </c>
      <c r="D196" s="3">
        <v>23692.91</v>
      </c>
      <c r="E196" s="3">
        <v>7107.87</v>
      </c>
      <c r="F196" s="3">
        <v>65.95</v>
      </c>
      <c r="G196" s="3">
        <v>3813.89</v>
      </c>
      <c r="H196" s="3">
        <v>30866.73</v>
      </c>
      <c r="I196" s="3">
        <v>27052.84</v>
      </c>
      <c r="J196" s="4">
        <v>45870.0</v>
      </c>
      <c r="K196" s="3">
        <v>20.0</v>
      </c>
      <c r="L196" s="3" t="s">
        <v>42</v>
      </c>
    </row>
    <row r="197" ht="15.75" customHeight="1">
      <c r="A197" s="3" t="s">
        <v>238</v>
      </c>
      <c r="B197" s="3" t="s">
        <v>29</v>
      </c>
      <c r="C197" s="3" t="s">
        <v>18</v>
      </c>
      <c r="D197" s="3">
        <v>84474.3</v>
      </c>
      <c r="E197" s="3">
        <v>25342.29</v>
      </c>
      <c r="F197" s="3">
        <v>4429.18</v>
      </c>
      <c r="G197" s="3">
        <v>9656.06</v>
      </c>
      <c r="H197" s="3">
        <v>114245.77</v>
      </c>
      <c r="I197" s="3">
        <v>104589.71</v>
      </c>
      <c r="J197" s="4">
        <v>45962.0</v>
      </c>
      <c r="K197" s="3">
        <v>13.0</v>
      </c>
      <c r="L197" s="3" t="s">
        <v>15</v>
      </c>
    </row>
    <row r="198" ht="15.75" customHeight="1">
      <c r="A198" s="3" t="s">
        <v>239</v>
      </c>
      <c r="B198" s="3" t="s">
        <v>29</v>
      </c>
      <c r="C198" s="3" t="s">
        <v>14</v>
      </c>
      <c r="D198" s="3">
        <v>22858.82</v>
      </c>
      <c r="E198" s="3">
        <v>6857.65</v>
      </c>
      <c r="F198" s="3">
        <v>2155.48</v>
      </c>
      <c r="G198" s="3">
        <v>4248.63</v>
      </c>
      <c r="H198" s="3">
        <v>31871.95</v>
      </c>
      <c r="I198" s="3">
        <v>27623.32</v>
      </c>
      <c r="J198" s="4">
        <v>45901.0</v>
      </c>
      <c r="K198" s="3">
        <v>22.0</v>
      </c>
      <c r="L198" s="3" t="s">
        <v>19</v>
      </c>
    </row>
    <row r="199" ht="15.75" customHeight="1">
      <c r="A199" s="3" t="s">
        <v>240</v>
      </c>
      <c r="B199" s="3" t="s">
        <v>29</v>
      </c>
      <c r="C199" s="3" t="s">
        <v>37</v>
      </c>
      <c r="D199" s="3">
        <v>48984.61</v>
      </c>
      <c r="E199" s="3">
        <v>14695.38</v>
      </c>
      <c r="F199" s="3">
        <v>619.33</v>
      </c>
      <c r="G199" s="3">
        <v>12106.87</v>
      </c>
      <c r="H199" s="3">
        <v>64299.32</v>
      </c>
      <c r="I199" s="3">
        <v>52192.45</v>
      </c>
      <c r="J199" s="4">
        <v>45992.0</v>
      </c>
      <c r="K199" s="3">
        <v>20.0</v>
      </c>
      <c r="L199" s="3" t="s">
        <v>21</v>
      </c>
    </row>
    <row r="200" ht="15.75" customHeight="1">
      <c r="A200" s="3" t="s">
        <v>241</v>
      </c>
      <c r="B200" s="3" t="s">
        <v>29</v>
      </c>
      <c r="C200" s="3" t="s">
        <v>18</v>
      </c>
      <c r="D200" s="3">
        <v>75615.69</v>
      </c>
      <c r="E200" s="3">
        <v>22684.71</v>
      </c>
      <c r="F200" s="3">
        <v>2113.87</v>
      </c>
      <c r="G200" s="3">
        <v>21465.67</v>
      </c>
      <c r="H200" s="3">
        <v>100414.27</v>
      </c>
      <c r="I200" s="3">
        <v>78948.6</v>
      </c>
      <c r="J200" s="4">
        <v>45778.0</v>
      </c>
      <c r="K200" s="3">
        <v>4.0</v>
      </c>
      <c r="L200" s="3" t="s">
        <v>23</v>
      </c>
    </row>
    <row r="201" ht="15.75" customHeight="1">
      <c r="A201" s="3" t="s">
        <v>242</v>
      </c>
      <c r="B201" s="3" t="s">
        <v>36</v>
      </c>
      <c r="C201" s="3" t="s">
        <v>14</v>
      </c>
      <c r="D201" s="3">
        <v>18699.78</v>
      </c>
      <c r="E201" s="3">
        <v>5609.93</v>
      </c>
      <c r="F201" s="3">
        <v>3318.31</v>
      </c>
      <c r="G201" s="3">
        <v>761.07</v>
      </c>
      <c r="H201" s="3">
        <v>27628.02</v>
      </c>
      <c r="I201" s="3">
        <v>26866.95</v>
      </c>
      <c r="J201" s="4">
        <v>45870.0</v>
      </c>
      <c r="K201" s="3">
        <v>2.0</v>
      </c>
      <c r="L201" s="3" t="s">
        <v>27</v>
      </c>
    </row>
    <row r="202" ht="15.75" customHeight="1">
      <c r="A202" s="3" t="s">
        <v>243</v>
      </c>
      <c r="B202" s="3" t="s">
        <v>29</v>
      </c>
      <c r="C202" s="3" t="s">
        <v>18</v>
      </c>
      <c r="D202" s="3">
        <v>89683.9</v>
      </c>
      <c r="E202" s="3">
        <v>26905.17</v>
      </c>
      <c r="F202" s="3">
        <v>12492.68</v>
      </c>
      <c r="G202" s="3">
        <v>14533.97</v>
      </c>
      <c r="H202" s="3">
        <v>129081.75</v>
      </c>
      <c r="I202" s="3">
        <v>114547.78</v>
      </c>
      <c r="J202" s="4">
        <v>45931.0</v>
      </c>
      <c r="K202" s="3">
        <v>21.0</v>
      </c>
      <c r="L202" s="3" t="s">
        <v>31</v>
      </c>
    </row>
    <row r="203" ht="15.75" customHeight="1">
      <c r="A203" s="3" t="s">
        <v>244</v>
      </c>
      <c r="B203" s="3" t="s">
        <v>13</v>
      </c>
      <c r="C203" s="3" t="s">
        <v>18</v>
      </c>
      <c r="D203" s="3">
        <v>69017.6</v>
      </c>
      <c r="E203" s="3">
        <v>20705.28</v>
      </c>
      <c r="F203" s="3">
        <v>5726.87</v>
      </c>
      <c r="G203" s="5"/>
      <c r="H203" s="3">
        <v>95449.75</v>
      </c>
      <c r="I203" s="3">
        <v>93399.48</v>
      </c>
      <c r="J203" s="4">
        <v>45870.0</v>
      </c>
      <c r="K203" s="3">
        <v>23.0</v>
      </c>
      <c r="L203" s="3" t="s">
        <v>34</v>
      </c>
    </row>
    <row r="204" ht="15.75" customHeight="1">
      <c r="A204" s="3" t="s">
        <v>245</v>
      </c>
      <c r="B204" s="3" t="s">
        <v>36</v>
      </c>
      <c r="C204" s="3" t="s">
        <v>54</v>
      </c>
      <c r="D204" s="3">
        <v>48307.77</v>
      </c>
      <c r="E204" s="3">
        <v>14492.33</v>
      </c>
      <c r="F204" s="3">
        <v>8264.98</v>
      </c>
      <c r="G204" s="3">
        <v>1439.88</v>
      </c>
      <c r="H204" s="3">
        <v>71065.08</v>
      </c>
      <c r="I204" s="3">
        <v>69625.2</v>
      </c>
      <c r="J204" s="4">
        <v>45962.0</v>
      </c>
      <c r="K204" s="3">
        <v>6.0</v>
      </c>
      <c r="L204" s="3" t="s">
        <v>40</v>
      </c>
    </row>
    <row r="205" ht="15.75" customHeight="1">
      <c r="A205" s="3" t="s">
        <v>246</v>
      </c>
      <c r="B205" s="3" t="s">
        <v>29</v>
      </c>
      <c r="C205" s="3" t="s">
        <v>37</v>
      </c>
      <c r="D205" s="3">
        <v>61230.53</v>
      </c>
      <c r="E205" s="3">
        <v>18369.16</v>
      </c>
      <c r="F205" s="3">
        <v>7896.62</v>
      </c>
      <c r="G205" s="3">
        <v>1112.25</v>
      </c>
      <c r="H205" s="3">
        <v>87496.31</v>
      </c>
      <c r="I205" s="3">
        <v>86384.06</v>
      </c>
      <c r="J205" s="4">
        <v>45778.0</v>
      </c>
      <c r="K205" s="3">
        <v>23.0</v>
      </c>
      <c r="L205" s="3" t="s">
        <v>42</v>
      </c>
    </row>
    <row r="206" ht="15.75" customHeight="1">
      <c r="A206" s="3" t="s">
        <v>247</v>
      </c>
      <c r="B206" s="3" t="s">
        <v>13</v>
      </c>
      <c r="C206" s="3" t="s">
        <v>18</v>
      </c>
      <c r="D206" s="3">
        <v>80525.79</v>
      </c>
      <c r="E206" s="3">
        <v>24157.74</v>
      </c>
      <c r="F206" s="3">
        <v>343.97</v>
      </c>
      <c r="G206" s="3">
        <v>19007.18</v>
      </c>
      <c r="H206" s="3">
        <v>105027.5</v>
      </c>
      <c r="I206" s="3">
        <v>86020.32</v>
      </c>
      <c r="J206" s="4">
        <v>45748.0</v>
      </c>
      <c r="K206" s="3">
        <v>8.0</v>
      </c>
      <c r="L206" s="3" t="s">
        <v>19</v>
      </c>
    </row>
    <row r="207" ht="15.75" customHeight="1">
      <c r="A207" s="3" t="s">
        <v>248</v>
      </c>
      <c r="B207" s="3" t="s">
        <v>51</v>
      </c>
      <c r="C207" s="3" t="s">
        <v>26</v>
      </c>
      <c r="D207" s="3">
        <v>110324.81</v>
      </c>
      <c r="E207" s="3">
        <v>33097.44</v>
      </c>
      <c r="F207" s="3">
        <v>1513.88</v>
      </c>
      <c r="G207" s="3">
        <v>25324.75</v>
      </c>
      <c r="H207" s="3">
        <v>144936.13</v>
      </c>
      <c r="I207" s="3">
        <v>119611.38</v>
      </c>
      <c r="J207" s="4">
        <v>45748.0</v>
      </c>
      <c r="K207" s="3">
        <v>12.0</v>
      </c>
      <c r="L207" s="3" t="s">
        <v>21</v>
      </c>
    </row>
    <row r="208" ht="15.75" customHeight="1">
      <c r="A208" s="3" t="s">
        <v>249</v>
      </c>
      <c r="B208" s="3" t="s">
        <v>53</v>
      </c>
      <c r="C208" s="3" t="s">
        <v>30</v>
      </c>
      <c r="D208" s="5"/>
      <c r="E208" s="3">
        <v>8746.46</v>
      </c>
      <c r="F208" s="3">
        <v>1358.61</v>
      </c>
      <c r="G208" s="3">
        <v>6772.98</v>
      </c>
      <c r="H208" s="3">
        <v>39259.94</v>
      </c>
      <c r="I208" s="3">
        <v>32486.96</v>
      </c>
      <c r="J208" s="4">
        <v>45931.0</v>
      </c>
      <c r="K208" s="3">
        <v>3.0</v>
      </c>
      <c r="L208" s="3" t="s">
        <v>23</v>
      </c>
    </row>
    <row r="209" ht="15.75" customHeight="1">
      <c r="A209" s="3" t="s">
        <v>250</v>
      </c>
      <c r="B209" s="3" t="s">
        <v>17</v>
      </c>
      <c r="C209" s="3" t="s">
        <v>33</v>
      </c>
      <c r="D209" s="3">
        <v>33584.06</v>
      </c>
      <c r="E209" s="3">
        <v>10075.22</v>
      </c>
      <c r="F209" s="3">
        <v>971.84</v>
      </c>
      <c r="G209" s="3">
        <v>1309.7</v>
      </c>
      <c r="H209" s="3">
        <v>44631.12</v>
      </c>
      <c r="I209" s="3">
        <v>43321.42</v>
      </c>
      <c r="J209" s="4">
        <v>45778.0</v>
      </c>
      <c r="K209" s="3">
        <v>24.0</v>
      </c>
      <c r="L209" s="3" t="s">
        <v>27</v>
      </c>
    </row>
    <row r="210" ht="15.75" customHeight="1">
      <c r="A210" s="3" t="s">
        <v>251</v>
      </c>
      <c r="B210" s="3" t="s">
        <v>25</v>
      </c>
      <c r="C210" s="3" t="s">
        <v>30</v>
      </c>
      <c r="D210" s="3">
        <v>22967.35</v>
      </c>
      <c r="E210" s="3">
        <v>6890.2</v>
      </c>
      <c r="F210" s="3">
        <v>3980.0</v>
      </c>
      <c r="G210" s="3">
        <v>908.15</v>
      </c>
      <c r="H210" s="3">
        <v>33837.55</v>
      </c>
      <c r="I210" s="3">
        <v>32929.4</v>
      </c>
      <c r="J210" s="4">
        <v>45809.0</v>
      </c>
      <c r="K210" s="3">
        <v>4.0</v>
      </c>
      <c r="L210" s="3" t="s">
        <v>31</v>
      </c>
    </row>
    <row r="211" ht="15.75" customHeight="1">
      <c r="A211" s="3" t="s">
        <v>252</v>
      </c>
      <c r="B211" s="3" t="s">
        <v>25</v>
      </c>
      <c r="C211" s="3" t="s">
        <v>26</v>
      </c>
      <c r="D211" s="3">
        <v>98565.54</v>
      </c>
      <c r="E211" s="3">
        <v>29569.66</v>
      </c>
      <c r="F211" s="3">
        <v>6382.54</v>
      </c>
      <c r="G211" s="3">
        <v>5152.4</v>
      </c>
      <c r="H211" s="3">
        <v>134517.74</v>
      </c>
      <c r="I211" s="3">
        <v>129365.34</v>
      </c>
      <c r="J211" s="4">
        <v>45658.0</v>
      </c>
      <c r="K211" s="3">
        <v>17.0</v>
      </c>
      <c r="L211" s="3" t="s">
        <v>34</v>
      </c>
    </row>
    <row r="212" ht="15.75" customHeight="1">
      <c r="A212" s="3" t="s">
        <v>253</v>
      </c>
      <c r="B212" s="3" t="s">
        <v>51</v>
      </c>
      <c r="C212" s="3" t="s">
        <v>18</v>
      </c>
      <c r="D212" s="3">
        <v>75944.97</v>
      </c>
      <c r="E212" s="3">
        <v>22783.49</v>
      </c>
      <c r="F212" s="3">
        <v>1726.22</v>
      </c>
      <c r="G212" s="3">
        <v>1448.07</v>
      </c>
      <c r="H212" s="3">
        <v>100454.68</v>
      </c>
      <c r="I212" s="3">
        <v>99006.61</v>
      </c>
      <c r="J212" s="4">
        <v>45870.0</v>
      </c>
      <c r="K212" s="3">
        <v>1.0</v>
      </c>
      <c r="L212" s="3" t="s">
        <v>38</v>
      </c>
    </row>
    <row r="213" ht="15.75" customHeight="1">
      <c r="A213" s="3" t="s">
        <v>254</v>
      </c>
      <c r="B213" s="3" t="s">
        <v>25</v>
      </c>
      <c r="C213" s="3" t="s">
        <v>33</v>
      </c>
      <c r="D213" s="3">
        <v>30132.38</v>
      </c>
      <c r="E213" s="3">
        <v>9039.71</v>
      </c>
      <c r="F213" s="3">
        <v>657.21</v>
      </c>
      <c r="G213" s="3">
        <v>4554.56</v>
      </c>
      <c r="H213" s="3">
        <v>39829.3</v>
      </c>
      <c r="I213" s="3">
        <v>35274.74</v>
      </c>
      <c r="J213" s="4">
        <v>45931.0</v>
      </c>
      <c r="K213" s="3">
        <v>4.0</v>
      </c>
      <c r="L213" s="3" t="s">
        <v>40</v>
      </c>
    </row>
    <row r="214" ht="15.75" customHeight="1">
      <c r="A214" s="3" t="s">
        <v>255</v>
      </c>
      <c r="B214" s="3" t="s">
        <v>17</v>
      </c>
      <c r="C214" s="3" t="s">
        <v>18</v>
      </c>
      <c r="D214" s="3">
        <v>85363.9</v>
      </c>
      <c r="E214" s="3">
        <v>25609.17</v>
      </c>
      <c r="F214" s="3">
        <v>14801.77</v>
      </c>
      <c r="G214" s="3">
        <v>13353.93</v>
      </c>
      <c r="H214" s="3">
        <v>125774.84</v>
      </c>
      <c r="I214" s="3">
        <v>112420.91</v>
      </c>
      <c r="J214" s="4">
        <v>45870.0</v>
      </c>
      <c r="K214" s="3">
        <v>11.0</v>
      </c>
      <c r="L214" s="3" t="s">
        <v>42</v>
      </c>
    </row>
    <row r="215" ht="15.75" customHeight="1">
      <c r="A215" s="3" t="s">
        <v>256</v>
      </c>
      <c r="B215" s="3" t="s">
        <v>13</v>
      </c>
      <c r="C215" s="3" t="s">
        <v>14</v>
      </c>
      <c r="D215" s="3">
        <v>18437.94</v>
      </c>
      <c r="E215" s="3">
        <v>5531.38</v>
      </c>
      <c r="F215" s="3">
        <v>1766.29</v>
      </c>
      <c r="G215" s="3">
        <v>2221.5</v>
      </c>
      <c r="H215" s="3">
        <v>25735.61</v>
      </c>
      <c r="I215" s="3">
        <v>23514.11</v>
      </c>
      <c r="J215" s="4">
        <v>45962.0</v>
      </c>
      <c r="K215" s="3">
        <v>10.0</v>
      </c>
      <c r="L215" s="3" t="s">
        <v>15</v>
      </c>
    </row>
    <row r="216" ht="15.75" customHeight="1">
      <c r="A216" s="3" t="s">
        <v>257</v>
      </c>
      <c r="B216" s="3" t="s">
        <v>17</v>
      </c>
      <c r="C216" s="3" t="s">
        <v>54</v>
      </c>
      <c r="D216" s="3">
        <v>44973.62</v>
      </c>
      <c r="E216" s="3">
        <v>13492.09</v>
      </c>
      <c r="F216" s="3">
        <v>3989.72</v>
      </c>
      <c r="G216" s="3">
        <v>12132.98</v>
      </c>
      <c r="H216" s="3">
        <v>62455.43</v>
      </c>
      <c r="I216" s="3">
        <v>50322.45</v>
      </c>
      <c r="J216" s="4">
        <v>45809.0</v>
      </c>
      <c r="K216" s="3">
        <v>9.0</v>
      </c>
      <c r="L216" s="3" t="s">
        <v>19</v>
      </c>
    </row>
    <row r="217" ht="15.75" customHeight="1">
      <c r="A217" s="3" t="s">
        <v>258</v>
      </c>
      <c r="B217" s="3" t="s">
        <v>53</v>
      </c>
      <c r="C217" s="3" t="s">
        <v>30</v>
      </c>
      <c r="D217" s="3">
        <v>22578.0</v>
      </c>
      <c r="E217" s="3">
        <v>6773.4</v>
      </c>
      <c r="F217" s="3">
        <v>1241.86</v>
      </c>
      <c r="G217" s="3">
        <v>4288.08</v>
      </c>
      <c r="H217" s="3">
        <v>30593.26</v>
      </c>
      <c r="I217" s="3">
        <v>26305.18</v>
      </c>
      <c r="J217" s="4">
        <v>45901.0</v>
      </c>
      <c r="K217" s="3">
        <v>21.0</v>
      </c>
      <c r="L217" s="3" t="s">
        <v>21</v>
      </c>
    </row>
    <row r="218" ht="15.75" customHeight="1">
      <c r="A218" s="3" t="s">
        <v>259</v>
      </c>
      <c r="B218" s="3" t="s">
        <v>13</v>
      </c>
      <c r="C218" s="3" t="s">
        <v>33</v>
      </c>
      <c r="D218" s="3">
        <v>28809.04</v>
      </c>
      <c r="E218" s="3">
        <v>8642.71</v>
      </c>
      <c r="F218" s="3">
        <v>3442.06</v>
      </c>
      <c r="G218" s="3">
        <v>2548.72</v>
      </c>
      <c r="H218" s="3">
        <v>40893.81</v>
      </c>
      <c r="I218" s="3">
        <v>38345.09</v>
      </c>
      <c r="J218" s="4">
        <v>45901.0</v>
      </c>
      <c r="K218" s="3">
        <v>13.0</v>
      </c>
      <c r="L218" s="3" t="s">
        <v>23</v>
      </c>
    </row>
    <row r="219" ht="15.75" customHeight="1">
      <c r="A219" s="3" t="s">
        <v>260</v>
      </c>
      <c r="B219" s="3" t="s">
        <v>53</v>
      </c>
      <c r="C219" s="3" t="s">
        <v>54</v>
      </c>
      <c r="D219" s="3">
        <v>36388.5</v>
      </c>
      <c r="E219" s="3">
        <v>10916.55</v>
      </c>
      <c r="F219" s="3">
        <v>5107.34</v>
      </c>
      <c r="G219" s="3">
        <v>9309.55</v>
      </c>
      <c r="H219" s="3">
        <v>52412.39</v>
      </c>
      <c r="I219" s="3">
        <v>43102.84</v>
      </c>
      <c r="J219" s="4">
        <v>45962.0</v>
      </c>
      <c r="K219" s="3">
        <v>4.0</v>
      </c>
      <c r="L219" s="3" t="s">
        <v>27</v>
      </c>
    </row>
    <row r="220" ht="15.75" customHeight="1">
      <c r="A220" s="3" t="s">
        <v>261</v>
      </c>
      <c r="B220" s="3" t="s">
        <v>25</v>
      </c>
      <c r="C220" s="3" t="s">
        <v>37</v>
      </c>
      <c r="D220" s="3">
        <v>57975.12</v>
      </c>
      <c r="E220" s="3">
        <v>17392.54</v>
      </c>
      <c r="F220" s="3">
        <v>2493.2</v>
      </c>
      <c r="G220" s="3">
        <v>7853.69</v>
      </c>
      <c r="H220" s="3">
        <v>77860.86</v>
      </c>
      <c r="I220" s="3">
        <v>70007.17</v>
      </c>
      <c r="J220" s="4">
        <v>45748.0</v>
      </c>
      <c r="K220" s="3">
        <v>21.0</v>
      </c>
      <c r="L220" s="3" t="s">
        <v>31</v>
      </c>
    </row>
    <row r="221" ht="15.75" customHeight="1">
      <c r="A221" s="3" t="s">
        <v>262</v>
      </c>
      <c r="B221" s="3" t="s">
        <v>36</v>
      </c>
      <c r="C221" s="3" t="s">
        <v>33</v>
      </c>
      <c r="D221" s="3">
        <v>33274.19</v>
      </c>
      <c r="E221" s="3">
        <v>9982.26</v>
      </c>
      <c r="F221" s="3">
        <v>2653.48</v>
      </c>
      <c r="G221" s="3">
        <v>7283.18</v>
      </c>
      <c r="H221" s="3">
        <v>45909.93</v>
      </c>
      <c r="I221" s="3">
        <v>38626.75</v>
      </c>
      <c r="J221" s="4">
        <v>45809.0</v>
      </c>
      <c r="K221" s="3">
        <v>17.0</v>
      </c>
      <c r="L221" s="3" t="s">
        <v>34</v>
      </c>
    </row>
    <row r="222" ht="15.75" customHeight="1">
      <c r="A222" s="3" t="s">
        <v>263</v>
      </c>
      <c r="B222" s="3" t="s">
        <v>36</v>
      </c>
      <c r="C222" s="3" t="s">
        <v>33</v>
      </c>
      <c r="D222" s="3">
        <v>31651.08</v>
      </c>
      <c r="E222" s="3">
        <v>9495.32</v>
      </c>
      <c r="F222" s="3">
        <v>2369.41</v>
      </c>
      <c r="G222" s="3">
        <v>1449.36</v>
      </c>
      <c r="H222" s="3">
        <v>43515.81</v>
      </c>
      <c r="I222" s="3">
        <v>42066.45</v>
      </c>
      <c r="J222" s="4">
        <v>45870.0</v>
      </c>
      <c r="K222" s="3">
        <v>2.0</v>
      </c>
      <c r="L222" s="3" t="s">
        <v>38</v>
      </c>
    </row>
    <row r="223" ht="15.75" customHeight="1">
      <c r="A223" s="3" t="s">
        <v>264</v>
      </c>
      <c r="B223" s="3" t="s">
        <v>17</v>
      </c>
      <c r="C223" s="3" t="s">
        <v>14</v>
      </c>
      <c r="D223" s="3">
        <v>23988.76</v>
      </c>
      <c r="E223" s="3">
        <v>7196.63</v>
      </c>
      <c r="F223" s="3">
        <v>447.29</v>
      </c>
      <c r="G223" s="3">
        <v>694.94</v>
      </c>
      <c r="H223" s="3">
        <v>31632.68</v>
      </c>
      <c r="I223" s="3">
        <v>30937.74</v>
      </c>
      <c r="J223" s="4">
        <v>45992.0</v>
      </c>
      <c r="K223" s="3">
        <v>7.0</v>
      </c>
      <c r="L223" s="3" t="s">
        <v>40</v>
      </c>
    </row>
    <row r="224" ht="15.75" customHeight="1">
      <c r="A224" s="3" t="s">
        <v>265</v>
      </c>
      <c r="B224" s="3" t="s">
        <v>29</v>
      </c>
      <c r="C224" s="3" t="s">
        <v>26</v>
      </c>
      <c r="D224" s="3">
        <v>94684.16</v>
      </c>
      <c r="E224" s="3">
        <v>28405.25</v>
      </c>
      <c r="F224" s="3">
        <v>1135.85</v>
      </c>
      <c r="G224" s="3">
        <v>27173.16</v>
      </c>
      <c r="H224" s="3">
        <v>124225.26</v>
      </c>
      <c r="I224" s="3">
        <v>97052.1</v>
      </c>
      <c r="J224" s="4">
        <v>45901.0</v>
      </c>
      <c r="K224" s="3">
        <v>11.0</v>
      </c>
      <c r="L224" s="3" t="s">
        <v>42</v>
      </c>
    </row>
    <row r="225" ht="15.75" customHeight="1">
      <c r="A225" s="3" t="s">
        <v>266</v>
      </c>
      <c r="B225" s="3" t="s">
        <v>29</v>
      </c>
      <c r="C225" s="3" t="s">
        <v>18</v>
      </c>
      <c r="D225" s="3">
        <v>68178.01</v>
      </c>
      <c r="E225" s="3">
        <v>20453.4</v>
      </c>
      <c r="F225" s="3">
        <v>4821.52</v>
      </c>
      <c r="G225" s="3">
        <v>13608.48</v>
      </c>
      <c r="H225" s="3">
        <v>93452.93</v>
      </c>
      <c r="I225" s="3">
        <v>79844.45</v>
      </c>
      <c r="J225" s="4">
        <v>45839.0</v>
      </c>
      <c r="K225" s="3">
        <v>23.0</v>
      </c>
      <c r="L225" s="3" t="s">
        <v>15</v>
      </c>
    </row>
    <row r="226" ht="15.75" customHeight="1">
      <c r="A226" s="3" t="s">
        <v>267</v>
      </c>
      <c r="B226" s="3" t="s">
        <v>25</v>
      </c>
      <c r="C226" s="3" t="s">
        <v>18</v>
      </c>
      <c r="D226" s="5"/>
      <c r="E226" s="3">
        <v>19901.28</v>
      </c>
      <c r="F226" s="3">
        <v>3816.13</v>
      </c>
      <c r="G226" s="3">
        <v>6218.13</v>
      </c>
      <c r="H226" s="3">
        <v>90055.01</v>
      </c>
      <c r="I226" s="3">
        <v>83836.88</v>
      </c>
      <c r="J226" s="4">
        <v>45689.0</v>
      </c>
      <c r="K226" s="3">
        <v>15.0</v>
      </c>
      <c r="L226" s="3" t="s">
        <v>19</v>
      </c>
    </row>
    <row r="227" ht="15.75" customHeight="1">
      <c r="A227" s="3" t="s">
        <v>268</v>
      </c>
      <c r="B227" s="3" t="s">
        <v>53</v>
      </c>
      <c r="C227" s="3" t="s">
        <v>37</v>
      </c>
      <c r="D227" s="3">
        <v>48829.3</v>
      </c>
      <c r="E227" s="3">
        <v>14648.79</v>
      </c>
      <c r="F227" s="3">
        <v>6413.59</v>
      </c>
      <c r="G227" s="3">
        <v>3284.92</v>
      </c>
      <c r="H227" s="3">
        <v>69891.68</v>
      </c>
      <c r="I227" s="3">
        <v>66606.76</v>
      </c>
      <c r="J227" s="4">
        <v>45689.0</v>
      </c>
      <c r="K227" s="3">
        <v>15.0</v>
      </c>
      <c r="L227" s="3" t="s">
        <v>21</v>
      </c>
    </row>
    <row r="228" ht="15.75" customHeight="1">
      <c r="A228" s="3" t="s">
        <v>269</v>
      </c>
      <c r="B228" s="3" t="s">
        <v>29</v>
      </c>
      <c r="C228" s="3" t="s">
        <v>26</v>
      </c>
      <c r="D228" s="3">
        <v>110025.56</v>
      </c>
      <c r="E228" s="3">
        <v>33007.67</v>
      </c>
      <c r="F228" s="3">
        <v>2528.06</v>
      </c>
      <c r="G228" s="3">
        <v>9194.89</v>
      </c>
      <c r="H228" s="3">
        <v>145561.29</v>
      </c>
      <c r="I228" s="3">
        <v>136366.4</v>
      </c>
      <c r="J228" s="4">
        <v>45748.0</v>
      </c>
      <c r="K228" s="3">
        <v>19.0</v>
      </c>
      <c r="L228" s="3" t="s">
        <v>23</v>
      </c>
    </row>
    <row r="229" ht="15.75" customHeight="1">
      <c r="A229" s="3" t="s">
        <v>270</v>
      </c>
      <c r="B229" s="3" t="s">
        <v>25</v>
      </c>
      <c r="C229" s="3" t="s">
        <v>54</v>
      </c>
      <c r="D229" s="3">
        <v>46832.17</v>
      </c>
      <c r="E229" s="3">
        <v>14049.65</v>
      </c>
      <c r="F229" s="3">
        <v>9128.03</v>
      </c>
      <c r="G229" s="3">
        <v>11498.61</v>
      </c>
      <c r="H229" s="3">
        <v>70009.85</v>
      </c>
      <c r="I229" s="3">
        <v>58511.24</v>
      </c>
      <c r="J229" s="4">
        <v>45931.0</v>
      </c>
      <c r="K229" s="3">
        <v>8.0</v>
      </c>
      <c r="L229" s="3" t="s">
        <v>27</v>
      </c>
    </row>
    <row r="230" ht="15.75" customHeight="1">
      <c r="A230" s="3" t="s">
        <v>271</v>
      </c>
      <c r="B230" s="3" t="s">
        <v>13</v>
      </c>
      <c r="C230" s="3" t="s">
        <v>18</v>
      </c>
      <c r="D230" s="3">
        <v>79475.23</v>
      </c>
      <c r="E230" s="3">
        <v>23842.57</v>
      </c>
      <c r="F230" s="3">
        <v>9680.0</v>
      </c>
      <c r="G230" s="3">
        <v>15684.39</v>
      </c>
      <c r="H230" s="3">
        <v>112997.8</v>
      </c>
      <c r="I230" s="3">
        <v>97313.41</v>
      </c>
      <c r="J230" s="4">
        <v>45992.0</v>
      </c>
      <c r="K230" s="3">
        <v>20.0</v>
      </c>
      <c r="L230" s="3" t="s">
        <v>31</v>
      </c>
    </row>
    <row r="231" ht="15.75" customHeight="1">
      <c r="A231" s="3" t="s">
        <v>272</v>
      </c>
      <c r="B231" s="3" t="s">
        <v>29</v>
      </c>
      <c r="C231" s="3" t="s">
        <v>14</v>
      </c>
      <c r="D231" s="3">
        <v>19299.0</v>
      </c>
      <c r="E231" s="3">
        <v>5789.7</v>
      </c>
      <c r="F231" s="3">
        <v>2712.28</v>
      </c>
      <c r="G231" s="3">
        <v>1788.93</v>
      </c>
      <c r="H231" s="3">
        <v>27800.98</v>
      </c>
      <c r="I231" s="3">
        <v>26012.05</v>
      </c>
      <c r="J231" s="4">
        <v>45809.0</v>
      </c>
      <c r="K231" s="3">
        <v>14.0</v>
      </c>
      <c r="L231" s="3" t="s">
        <v>34</v>
      </c>
    </row>
    <row r="232" ht="15.75" customHeight="1">
      <c r="A232" s="3" t="s">
        <v>273</v>
      </c>
      <c r="B232" s="3" t="s">
        <v>29</v>
      </c>
      <c r="C232" s="3" t="s">
        <v>14</v>
      </c>
      <c r="D232" s="3">
        <v>19306.12</v>
      </c>
      <c r="E232" s="3">
        <v>5791.84</v>
      </c>
      <c r="F232" s="3">
        <v>553.13</v>
      </c>
      <c r="G232" s="3">
        <v>3807.23</v>
      </c>
      <c r="H232" s="3">
        <v>25651.09</v>
      </c>
      <c r="I232" s="3">
        <v>21843.86</v>
      </c>
      <c r="J232" s="4">
        <v>45689.0</v>
      </c>
      <c r="K232" s="3">
        <v>6.0</v>
      </c>
      <c r="L232" s="3" t="s">
        <v>38</v>
      </c>
    </row>
    <row r="233" ht="15.75" customHeight="1">
      <c r="A233" s="3" t="s">
        <v>274</v>
      </c>
      <c r="B233" s="3" t="s">
        <v>51</v>
      </c>
      <c r="C233" s="3" t="s">
        <v>18</v>
      </c>
      <c r="D233" s="3">
        <v>81462.47</v>
      </c>
      <c r="E233" s="3">
        <v>24438.74</v>
      </c>
      <c r="F233" s="3">
        <v>499.48</v>
      </c>
      <c r="G233" s="3">
        <v>18234.03</v>
      </c>
      <c r="H233" s="3">
        <v>106400.69</v>
      </c>
      <c r="I233" s="3">
        <v>88166.66</v>
      </c>
      <c r="J233" s="4">
        <v>45748.0</v>
      </c>
      <c r="K233" s="3">
        <v>16.0</v>
      </c>
      <c r="L233" s="3" t="s">
        <v>40</v>
      </c>
    </row>
    <row r="234" ht="15.75" customHeight="1">
      <c r="A234" s="3" t="s">
        <v>275</v>
      </c>
      <c r="B234" s="3" t="s">
        <v>36</v>
      </c>
      <c r="C234" s="3" t="s">
        <v>54</v>
      </c>
      <c r="D234" s="3">
        <v>41351.04</v>
      </c>
      <c r="E234" s="3">
        <v>12405.31</v>
      </c>
      <c r="F234" s="3">
        <v>1301.81</v>
      </c>
      <c r="G234" s="3">
        <v>3865.96</v>
      </c>
      <c r="H234" s="3">
        <v>55058.16</v>
      </c>
      <c r="I234" s="3">
        <v>51192.2</v>
      </c>
      <c r="J234" s="3" t="s">
        <v>276</v>
      </c>
      <c r="K234" s="3">
        <v>6.0</v>
      </c>
      <c r="L234" s="3" t="s">
        <v>42</v>
      </c>
    </row>
    <row r="235" ht="15.75" customHeight="1">
      <c r="A235" s="3" t="s">
        <v>277</v>
      </c>
      <c r="B235" s="3" t="s">
        <v>25</v>
      </c>
      <c r="C235" s="3" t="s">
        <v>37</v>
      </c>
      <c r="D235" s="3">
        <v>55732.03</v>
      </c>
      <c r="E235" s="3">
        <v>16719.61</v>
      </c>
      <c r="F235" s="3">
        <v>9846.09</v>
      </c>
      <c r="G235" s="3">
        <v>2601.24</v>
      </c>
      <c r="H235" s="3">
        <v>82297.73</v>
      </c>
      <c r="I235" s="3">
        <v>79696.49</v>
      </c>
      <c r="J235" s="4">
        <v>45931.0</v>
      </c>
      <c r="K235" s="3">
        <v>7.0</v>
      </c>
      <c r="L235" s="3" t="s">
        <v>15</v>
      </c>
    </row>
    <row r="236" ht="15.75" customHeight="1">
      <c r="A236" s="3" t="s">
        <v>278</v>
      </c>
      <c r="B236" s="3" t="s">
        <v>17</v>
      </c>
      <c r="C236" s="3" t="s">
        <v>18</v>
      </c>
      <c r="D236" s="3">
        <v>67121.12</v>
      </c>
      <c r="E236" s="3">
        <v>20136.34</v>
      </c>
      <c r="F236" s="3">
        <v>5948.45</v>
      </c>
      <c r="G236" s="3">
        <v>8538.1</v>
      </c>
      <c r="H236" s="3">
        <v>93205.91</v>
      </c>
      <c r="I236" s="3">
        <v>84667.81</v>
      </c>
      <c r="J236" s="4">
        <v>45931.0</v>
      </c>
      <c r="K236" s="3">
        <v>21.0</v>
      </c>
      <c r="L236" s="3" t="s">
        <v>19</v>
      </c>
    </row>
    <row r="237" ht="15.75" customHeight="1">
      <c r="A237" s="3" t="s">
        <v>279</v>
      </c>
      <c r="B237" s="3" t="s">
        <v>36</v>
      </c>
      <c r="C237" s="3" t="s">
        <v>54</v>
      </c>
      <c r="D237" s="3">
        <v>38824.34</v>
      </c>
      <c r="E237" s="3">
        <v>11647.3</v>
      </c>
      <c r="F237" s="3">
        <v>5862.03</v>
      </c>
      <c r="G237" s="3">
        <v>1325.67</v>
      </c>
      <c r="H237" s="3">
        <v>56333.67</v>
      </c>
      <c r="I237" s="3">
        <v>55008.0</v>
      </c>
      <c r="J237" s="4">
        <v>45839.0</v>
      </c>
      <c r="K237" s="3">
        <v>3.0</v>
      </c>
      <c r="L237" s="3" t="s">
        <v>21</v>
      </c>
    </row>
    <row r="238" ht="15.75" customHeight="1">
      <c r="A238" s="3" t="s">
        <v>280</v>
      </c>
      <c r="B238" s="3" t="s">
        <v>17</v>
      </c>
      <c r="C238" s="3" t="s">
        <v>33</v>
      </c>
      <c r="D238" s="3">
        <v>31782.18</v>
      </c>
      <c r="E238" s="3">
        <v>9534.65</v>
      </c>
      <c r="F238" s="3">
        <v>3770.22</v>
      </c>
      <c r="G238" s="3">
        <v>5024.13</v>
      </c>
      <c r="H238" s="3">
        <v>45087.05</v>
      </c>
      <c r="I238" s="3">
        <v>40062.92</v>
      </c>
      <c r="J238" s="4">
        <v>45778.0</v>
      </c>
      <c r="K238" s="3">
        <v>3.0</v>
      </c>
      <c r="L238" s="3" t="s">
        <v>23</v>
      </c>
    </row>
    <row r="239" ht="15.75" customHeight="1">
      <c r="A239" s="3" t="s">
        <v>281</v>
      </c>
      <c r="B239" s="5"/>
      <c r="C239" s="3" t="s">
        <v>30</v>
      </c>
      <c r="D239" s="3">
        <v>25478.32</v>
      </c>
      <c r="E239" s="3">
        <v>7643.5</v>
      </c>
      <c r="F239" s="3">
        <v>3053.96</v>
      </c>
      <c r="G239" s="3">
        <v>58.76</v>
      </c>
      <c r="H239" s="3">
        <v>36175.78</v>
      </c>
      <c r="I239" s="3">
        <v>36117.02</v>
      </c>
      <c r="J239" s="4">
        <v>45778.0</v>
      </c>
      <c r="K239" s="3">
        <v>19.0</v>
      </c>
      <c r="L239" s="3" t="s">
        <v>27</v>
      </c>
    </row>
    <row r="240" ht="15.75" customHeight="1">
      <c r="A240" s="3" t="s">
        <v>282</v>
      </c>
      <c r="B240" s="3" t="s">
        <v>51</v>
      </c>
      <c r="C240" s="3" t="s">
        <v>26</v>
      </c>
      <c r="D240" s="3">
        <v>94940.45</v>
      </c>
      <c r="E240" s="3">
        <v>28482.13</v>
      </c>
      <c r="F240" s="3">
        <v>4851.83</v>
      </c>
      <c r="G240" s="3">
        <v>9345.63</v>
      </c>
      <c r="H240" s="3">
        <v>128274.41</v>
      </c>
      <c r="I240" s="3">
        <v>118928.78</v>
      </c>
      <c r="J240" s="4">
        <v>45658.0</v>
      </c>
      <c r="K240" s="3">
        <v>22.0</v>
      </c>
      <c r="L240" s="3" t="s">
        <v>31</v>
      </c>
    </row>
    <row r="241" ht="15.75" customHeight="1">
      <c r="A241" s="3" t="s">
        <v>283</v>
      </c>
      <c r="B241" s="3" t="s">
        <v>36</v>
      </c>
      <c r="C241" s="3" t="s">
        <v>18</v>
      </c>
      <c r="D241" s="3">
        <v>76197.03</v>
      </c>
      <c r="E241" s="3">
        <v>22859.11</v>
      </c>
      <c r="F241" s="3">
        <v>1968.71</v>
      </c>
      <c r="G241" s="3">
        <v>12174.36</v>
      </c>
      <c r="H241" s="3">
        <v>101024.85</v>
      </c>
      <c r="I241" s="3">
        <v>88850.49</v>
      </c>
      <c r="J241" s="4">
        <v>45748.0</v>
      </c>
      <c r="K241" s="3">
        <v>17.0</v>
      </c>
      <c r="L241" s="3" t="s">
        <v>34</v>
      </c>
    </row>
    <row r="242" ht="15.75" customHeight="1">
      <c r="A242" s="3" t="s">
        <v>284</v>
      </c>
      <c r="B242" s="3" t="s">
        <v>53</v>
      </c>
      <c r="C242" s="3" t="s">
        <v>37</v>
      </c>
      <c r="D242" s="3">
        <v>60000.38</v>
      </c>
      <c r="E242" s="3">
        <v>18000.11</v>
      </c>
      <c r="F242" s="3">
        <v>9674.46</v>
      </c>
      <c r="G242" s="3">
        <v>1297.37</v>
      </c>
      <c r="H242" s="3">
        <v>87674.95</v>
      </c>
      <c r="I242" s="3">
        <v>86377.58</v>
      </c>
      <c r="J242" s="4">
        <v>45992.0</v>
      </c>
      <c r="K242" s="3">
        <v>10.0</v>
      </c>
      <c r="L242" s="3" t="s">
        <v>38</v>
      </c>
    </row>
    <row r="243" ht="15.75" customHeight="1">
      <c r="A243" s="3" t="s">
        <v>285</v>
      </c>
      <c r="B243" s="3" t="s">
        <v>17</v>
      </c>
      <c r="C243" s="3" t="s">
        <v>54</v>
      </c>
      <c r="D243" s="3">
        <v>35262.38</v>
      </c>
      <c r="E243" s="3">
        <v>10578.71</v>
      </c>
      <c r="F243" s="3">
        <v>6496.48</v>
      </c>
      <c r="G243" s="3">
        <v>9120.02</v>
      </c>
      <c r="H243" s="3">
        <v>52337.57</v>
      </c>
      <c r="I243" s="3">
        <v>43217.55</v>
      </c>
      <c r="J243" s="4">
        <v>45931.0</v>
      </c>
      <c r="K243" s="3">
        <v>22.0</v>
      </c>
      <c r="L243" s="3" t="s">
        <v>40</v>
      </c>
    </row>
    <row r="244" ht="15.75" customHeight="1">
      <c r="A244" s="3" t="s">
        <v>286</v>
      </c>
      <c r="B244" s="3" t="s">
        <v>36</v>
      </c>
      <c r="C244" s="3" t="s">
        <v>37</v>
      </c>
      <c r="D244" s="3">
        <v>52279.61</v>
      </c>
      <c r="E244" s="3">
        <v>15683.88</v>
      </c>
      <c r="F244" s="3">
        <v>6693.27</v>
      </c>
      <c r="G244" s="3">
        <v>4540.72</v>
      </c>
      <c r="H244" s="3">
        <v>74656.76</v>
      </c>
      <c r="I244" s="3">
        <v>70116.04</v>
      </c>
      <c r="J244" s="4">
        <v>45839.0</v>
      </c>
      <c r="K244" s="3">
        <v>1.0</v>
      </c>
      <c r="L244" s="3" t="s">
        <v>42</v>
      </c>
    </row>
    <row r="245" ht="15.75" customHeight="1">
      <c r="A245" s="3" t="s">
        <v>287</v>
      </c>
      <c r="B245" s="3" t="s">
        <v>17</v>
      </c>
      <c r="C245" s="3" t="s">
        <v>33</v>
      </c>
      <c r="D245" s="3">
        <v>26718.73</v>
      </c>
      <c r="E245" s="3">
        <v>8015.62</v>
      </c>
      <c r="F245" s="3">
        <v>5063.81</v>
      </c>
      <c r="G245" s="5"/>
      <c r="H245" s="3">
        <v>39798.16</v>
      </c>
      <c r="I245" s="3">
        <v>36110.2</v>
      </c>
      <c r="J245" s="4">
        <v>45992.0</v>
      </c>
      <c r="K245" s="3">
        <v>22.0</v>
      </c>
      <c r="L245" s="3" t="s">
        <v>15</v>
      </c>
    </row>
    <row r="246" ht="15.75" customHeight="1">
      <c r="A246" s="3" t="s">
        <v>288</v>
      </c>
      <c r="B246" s="3" t="s">
        <v>29</v>
      </c>
      <c r="C246" s="3" t="s">
        <v>14</v>
      </c>
      <c r="D246" s="3">
        <v>21144.32</v>
      </c>
      <c r="E246" s="3">
        <v>6343.3</v>
      </c>
      <c r="F246" s="3">
        <v>447.68</v>
      </c>
      <c r="G246" s="3">
        <v>2763.63</v>
      </c>
      <c r="H246" s="3">
        <v>27935.3</v>
      </c>
      <c r="I246" s="3">
        <v>25171.67</v>
      </c>
      <c r="J246" s="4">
        <v>45839.0</v>
      </c>
      <c r="K246" s="3">
        <v>14.0</v>
      </c>
      <c r="L246" s="3" t="s">
        <v>19</v>
      </c>
    </row>
    <row r="247" ht="15.75" customHeight="1">
      <c r="A247" s="3" t="s">
        <v>289</v>
      </c>
      <c r="B247" s="3" t="s">
        <v>53</v>
      </c>
      <c r="C247" s="3" t="s">
        <v>14</v>
      </c>
      <c r="D247" s="3">
        <v>20849.52</v>
      </c>
      <c r="E247" s="3">
        <v>6254.86</v>
      </c>
      <c r="F247" s="3">
        <v>1293.82</v>
      </c>
      <c r="G247" s="5"/>
      <c r="H247" s="3">
        <v>28398.2</v>
      </c>
      <c r="I247" s="3">
        <v>26274.59</v>
      </c>
      <c r="J247" s="4">
        <v>45809.0</v>
      </c>
      <c r="K247" s="3">
        <v>12.0</v>
      </c>
      <c r="L247" s="3" t="s">
        <v>21</v>
      </c>
    </row>
    <row r="248" ht="15.75" customHeight="1">
      <c r="A248" s="3" t="s">
        <v>290</v>
      </c>
      <c r="B248" s="3" t="s">
        <v>25</v>
      </c>
      <c r="C248" s="3" t="s">
        <v>30</v>
      </c>
      <c r="D248" s="3">
        <v>22672.14</v>
      </c>
      <c r="E248" s="3">
        <v>6801.64</v>
      </c>
      <c r="F248" s="3">
        <v>2871.31</v>
      </c>
      <c r="G248" s="3">
        <v>3608.98</v>
      </c>
      <c r="H248" s="3">
        <v>32345.09</v>
      </c>
      <c r="I248" s="3">
        <v>28736.11</v>
      </c>
      <c r="J248" s="4">
        <v>45748.0</v>
      </c>
      <c r="K248" s="3">
        <v>8.0</v>
      </c>
      <c r="L248" s="3" t="s">
        <v>23</v>
      </c>
    </row>
    <row r="249" ht="15.75" customHeight="1">
      <c r="A249" s="3" t="s">
        <v>291</v>
      </c>
      <c r="B249" s="3" t="s">
        <v>25</v>
      </c>
      <c r="C249" s="3" t="s">
        <v>33</v>
      </c>
      <c r="D249" s="3">
        <v>28511.0</v>
      </c>
      <c r="E249" s="3">
        <v>8553.3</v>
      </c>
      <c r="F249" s="3">
        <v>5463.98</v>
      </c>
      <c r="G249" s="3">
        <v>5520.67</v>
      </c>
      <c r="H249" s="3">
        <v>42528.28</v>
      </c>
      <c r="I249" s="3">
        <v>37007.61</v>
      </c>
      <c r="J249" s="4">
        <v>45717.0</v>
      </c>
      <c r="K249" s="3">
        <v>15.0</v>
      </c>
      <c r="L249" s="3" t="s">
        <v>27</v>
      </c>
    </row>
    <row r="250" ht="15.75" customHeight="1">
      <c r="A250" s="3" t="s">
        <v>292</v>
      </c>
      <c r="B250" s="3" t="s">
        <v>51</v>
      </c>
      <c r="C250" s="3" t="s">
        <v>14</v>
      </c>
      <c r="D250" s="3">
        <v>19054.4</v>
      </c>
      <c r="E250" s="3">
        <v>5716.32</v>
      </c>
      <c r="F250" s="3">
        <v>751.78</v>
      </c>
      <c r="G250" s="3">
        <v>3443.51</v>
      </c>
      <c r="H250" s="3">
        <v>25522.5</v>
      </c>
      <c r="I250" s="3">
        <v>22078.99</v>
      </c>
      <c r="J250" s="4">
        <v>45962.0</v>
      </c>
      <c r="K250" s="3">
        <v>2.0</v>
      </c>
      <c r="L250" s="3" t="s">
        <v>31</v>
      </c>
    </row>
    <row r="251" ht="15.75" customHeight="1">
      <c r="A251" s="3" t="s">
        <v>293</v>
      </c>
      <c r="B251" s="3" t="s">
        <v>17</v>
      </c>
      <c r="C251" s="3" t="s">
        <v>30</v>
      </c>
      <c r="D251" s="3">
        <v>30371.37</v>
      </c>
      <c r="E251" s="3">
        <v>9111.41</v>
      </c>
      <c r="F251" s="3">
        <v>3814.33</v>
      </c>
      <c r="G251" s="3">
        <v>4227.27</v>
      </c>
      <c r="H251" s="3">
        <v>43297.11</v>
      </c>
      <c r="I251" s="3">
        <v>39069.84</v>
      </c>
      <c r="J251" s="4">
        <v>45931.0</v>
      </c>
      <c r="K251" s="3">
        <v>12.0</v>
      </c>
      <c r="L251" s="3" t="s">
        <v>34</v>
      </c>
    </row>
    <row r="252" ht="15.75" customHeight="1">
      <c r="A252" s="3" t="s">
        <v>294</v>
      </c>
      <c r="B252" s="3" t="s">
        <v>25</v>
      </c>
      <c r="C252" s="3" t="s">
        <v>37</v>
      </c>
      <c r="D252" s="3">
        <v>53080.29</v>
      </c>
      <c r="E252" s="3">
        <v>15924.09</v>
      </c>
      <c r="F252" s="3">
        <v>9810.88</v>
      </c>
      <c r="G252" s="3">
        <v>8989.02</v>
      </c>
      <c r="H252" s="3">
        <v>78815.26</v>
      </c>
      <c r="I252" s="3">
        <v>69826.24</v>
      </c>
      <c r="J252" s="4">
        <v>45962.0</v>
      </c>
      <c r="K252" s="3">
        <v>1.0</v>
      </c>
      <c r="L252" s="3" t="s">
        <v>38</v>
      </c>
    </row>
    <row r="253" ht="15.75" customHeight="1">
      <c r="A253" s="3" t="s">
        <v>295</v>
      </c>
      <c r="B253" s="3" t="s">
        <v>53</v>
      </c>
      <c r="C253" s="3" t="s">
        <v>33</v>
      </c>
      <c r="D253" s="3">
        <v>33642.47</v>
      </c>
      <c r="E253" s="3">
        <v>10092.74</v>
      </c>
      <c r="F253" s="3">
        <v>4220.23</v>
      </c>
      <c r="G253" s="3">
        <v>1523.57</v>
      </c>
      <c r="H253" s="3">
        <v>47955.44</v>
      </c>
      <c r="I253" s="3">
        <v>46431.87</v>
      </c>
      <c r="J253" s="4">
        <v>45689.0</v>
      </c>
      <c r="K253" s="3">
        <v>24.0</v>
      </c>
      <c r="L253" s="3" t="s">
        <v>40</v>
      </c>
    </row>
    <row r="254" ht="15.75" customHeight="1">
      <c r="A254" s="3" t="s">
        <v>296</v>
      </c>
      <c r="B254" s="3" t="s">
        <v>36</v>
      </c>
      <c r="C254" s="3" t="s">
        <v>54</v>
      </c>
      <c r="D254" s="3">
        <v>43839.39</v>
      </c>
      <c r="E254" s="3">
        <v>13151.82</v>
      </c>
      <c r="F254" s="3">
        <v>6982.12</v>
      </c>
      <c r="G254" s="3">
        <v>7778.24</v>
      </c>
      <c r="H254" s="3">
        <v>63973.33</v>
      </c>
      <c r="I254" s="3">
        <v>56195.09</v>
      </c>
      <c r="J254" s="4">
        <v>45809.0</v>
      </c>
      <c r="K254" s="3">
        <v>24.0</v>
      </c>
      <c r="L254" s="3" t="s">
        <v>42</v>
      </c>
    </row>
    <row r="255" ht="15.75" customHeight="1">
      <c r="A255" s="3" t="s">
        <v>297</v>
      </c>
      <c r="B255" s="3" t="s">
        <v>53</v>
      </c>
      <c r="C255" s="3" t="s">
        <v>14</v>
      </c>
      <c r="D255" s="3">
        <v>20234.94</v>
      </c>
      <c r="E255" s="3">
        <v>6070.48</v>
      </c>
      <c r="F255" s="3">
        <v>1828.89</v>
      </c>
      <c r="G255" s="3">
        <v>345.35</v>
      </c>
      <c r="H255" s="3">
        <v>28134.31</v>
      </c>
      <c r="I255" s="3">
        <v>27788.96</v>
      </c>
      <c r="J255" s="4">
        <v>45778.0</v>
      </c>
      <c r="K255" s="3">
        <v>24.0</v>
      </c>
      <c r="L255" s="3" t="s">
        <v>15</v>
      </c>
    </row>
    <row r="256" ht="15.75" customHeight="1">
      <c r="A256" s="3" t="s">
        <v>298</v>
      </c>
      <c r="B256" s="3" t="s">
        <v>17</v>
      </c>
      <c r="C256" s="3" t="s">
        <v>18</v>
      </c>
      <c r="D256" s="3">
        <v>87470.5</v>
      </c>
      <c r="E256" s="3">
        <v>26241.15</v>
      </c>
      <c r="F256" s="3">
        <v>14962.59</v>
      </c>
      <c r="G256" s="3">
        <v>16138.53</v>
      </c>
      <c r="H256" s="3">
        <v>128674.24</v>
      </c>
      <c r="I256" s="3">
        <v>112535.71</v>
      </c>
      <c r="J256" s="4">
        <v>45901.0</v>
      </c>
      <c r="K256" s="3">
        <v>1.0</v>
      </c>
      <c r="L256" s="3" t="s">
        <v>19</v>
      </c>
    </row>
    <row r="257" ht="15.75" customHeight="1">
      <c r="A257" s="3" t="s">
        <v>299</v>
      </c>
      <c r="B257" s="3" t="s">
        <v>36</v>
      </c>
      <c r="C257" s="3" t="s">
        <v>54</v>
      </c>
      <c r="D257" s="3">
        <v>43124.61</v>
      </c>
      <c r="E257" s="3">
        <v>12937.38</v>
      </c>
      <c r="F257" s="3">
        <v>8230.17</v>
      </c>
      <c r="G257" s="3">
        <v>9559.7</v>
      </c>
      <c r="H257" s="3">
        <v>64292.16</v>
      </c>
      <c r="I257" s="3">
        <v>54732.46</v>
      </c>
      <c r="J257" s="4">
        <v>45658.0</v>
      </c>
      <c r="K257" s="3">
        <v>10.0</v>
      </c>
      <c r="L257" s="3" t="s">
        <v>21</v>
      </c>
    </row>
    <row r="258" ht="15.75" customHeight="1">
      <c r="A258" s="3" t="s">
        <v>300</v>
      </c>
      <c r="B258" s="3" t="s">
        <v>36</v>
      </c>
      <c r="C258" s="3" t="s">
        <v>26</v>
      </c>
      <c r="D258" s="3">
        <v>110579.64</v>
      </c>
      <c r="E258" s="3">
        <v>33173.89</v>
      </c>
      <c r="F258" s="3">
        <v>4163.09</v>
      </c>
      <c r="G258" s="3">
        <v>20070.4</v>
      </c>
      <c r="H258" s="3">
        <v>147916.62</v>
      </c>
      <c r="I258" s="3">
        <v>127846.22</v>
      </c>
      <c r="J258" s="4">
        <v>45901.0</v>
      </c>
      <c r="K258" s="3">
        <v>2.0</v>
      </c>
      <c r="L258" s="3" t="s">
        <v>23</v>
      </c>
    </row>
    <row r="259" ht="15.75" customHeight="1">
      <c r="A259" s="3" t="s">
        <v>301</v>
      </c>
      <c r="B259" s="3" t="s">
        <v>51</v>
      </c>
      <c r="C259" s="3" t="s">
        <v>14</v>
      </c>
      <c r="D259" s="3">
        <v>21243.77</v>
      </c>
      <c r="E259" s="3">
        <v>6373.13</v>
      </c>
      <c r="F259" s="3">
        <v>3445.6</v>
      </c>
      <c r="G259" s="3">
        <v>5336.71</v>
      </c>
      <c r="H259" s="3">
        <v>31062.5</v>
      </c>
      <c r="I259" s="3">
        <v>25725.79</v>
      </c>
      <c r="J259" s="4">
        <v>45992.0</v>
      </c>
      <c r="K259" s="3">
        <v>8.0</v>
      </c>
      <c r="L259" s="3" t="s">
        <v>27</v>
      </c>
    </row>
    <row r="260" ht="15.75" customHeight="1">
      <c r="A260" s="3" t="s">
        <v>302</v>
      </c>
      <c r="B260" s="3" t="s">
        <v>17</v>
      </c>
      <c r="C260" s="3" t="s">
        <v>37</v>
      </c>
      <c r="D260" s="3">
        <v>56630.29</v>
      </c>
      <c r="E260" s="3">
        <v>16989.09</v>
      </c>
      <c r="F260" s="3">
        <v>443.33</v>
      </c>
      <c r="G260" s="3">
        <v>12021.85</v>
      </c>
      <c r="H260" s="3">
        <v>74062.71</v>
      </c>
      <c r="I260" s="3">
        <v>62040.86</v>
      </c>
      <c r="J260" s="4">
        <v>45870.0</v>
      </c>
      <c r="K260" s="3">
        <v>3.0</v>
      </c>
      <c r="L260" s="3" t="s">
        <v>31</v>
      </c>
    </row>
    <row r="261" ht="15.75" customHeight="1">
      <c r="A261" s="3" t="s">
        <v>303</v>
      </c>
      <c r="B261" s="3" t="s">
        <v>53</v>
      </c>
      <c r="C261" s="3" t="s">
        <v>37</v>
      </c>
      <c r="D261" s="3">
        <v>55976.5</v>
      </c>
      <c r="E261" s="3">
        <v>16792.95</v>
      </c>
      <c r="F261" s="3">
        <v>4073.95</v>
      </c>
      <c r="G261" s="3">
        <v>15414.87</v>
      </c>
      <c r="H261" s="3">
        <v>76843.4</v>
      </c>
      <c r="I261" s="3">
        <v>61428.53</v>
      </c>
      <c r="J261" s="4">
        <v>45839.0</v>
      </c>
      <c r="K261" s="3">
        <v>10.0</v>
      </c>
      <c r="L261" s="3" t="s">
        <v>34</v>
      </c>
    </row>
    <row r="262" ht="15.75" customHeight="1">
      <c r="A262" s="3" t="s">
        <v>304</v>
      </c>
      <c r="B262" s="3" t="s">
        <v>36</v>
      </c>
      <c r="C262" s="3" t="s">
        <v>26</v>
      </c>
      <c r="D262" s="3">
        <v>102181.22</v>
      </c>
      <c r="E262" s="3">
        <v>30654.37</v>
      </c>
      <c r="F262" s="3">
        <v>12218.54</v>
      </c>
      <c r="G262" s="3">
        <v>24193.25</v>
      </c>
      <c r="H262" s="3">
        <v>145054.13</v>
      </c>
      <c r="I262" s="3">
        <v>120860.88</v>
      </c>
      <c r="J262" s="4">
        <v>45962.0</v>
      </c>
      <c r="K262" s="3">
        <v>24.0</v>
      </c>
      <c r="L262" s="3" t="s">
        <v>38</v>
      </c>
    </row>
    <row r="263" ht="15.75" customHeight="1">
      <c r="A263" s="3" t="s">
        <v>305</v>
      </c>
      <c r="B263" s="3" t="s">
        <v>29</v>
      </c>
      <c r="C263" s="3" t="s">
        <v>14</v>
      </c>
      <c r="D263" s="3">
        <v>20373.77</v>
      </c>
      <c r="E263" s="3">
        <v>6112.13</v>
      </c>
      <c r="F263" s="3">
        <v>2273.56</v>
      </c>
      <c r="G263" s="3">
        <v>2362.73</v>
      </c>
      <c r="H263" s="3">
        <v>28759.46</v>
      </c>
      <c r="I263" s="3">
        <v>26396.73</v>
      </c>
      <c r="J263" s="4">
        <v>45778.0</v>
      </c>
      <c r="K263" s="3">
        <v>4.0</v>
      </c>
      <c r="L263" s="3" t="s">
        <v>40</v>
      </c>
    </row>
    <row r="264" ht="15.75" customHeight="1">
      <c r="A264" s="3" t="s">
        <v>306</v>
      </c>
      <c r="B264" s="3" t="s">
        <v>13</v>
      </c>
      <c r="C264" s="3" t="s">
        <v>26</v>
      </c>
      <c r="D264" s="3">
        <v>113636.31</v>
      </c>
      <c r="E264" s="3">
        <v>34090.89</v>
      </c>
      <c r="F264" s="3">
        <v>20598.69</v>
      </c>
      <c r="G264" s="3">
        <v>29770.88</v>
      </c>
      <c r="H264" s="3">
        <v>168325.89</v>
      </c>
      <c r="I264" s="3">
        <v>138555.01</v>
      </c>
      <c r="J264" s="4">
        <v>45809.0</v>
      </c>
      <c r="K264" s="3">
        <v>11.0</v>
      </c>
      <c r="L264" s="3" t="s">
        <v>42</v>
      </c>
    </row>
    <row r="265" ht="15.75" customHeight="1">
      <c r="A265" s="3" t="s">
        <v>307</v>
      </c>
      <c r="B265" s="3" t="s">
        <v>17</v>
      </c>
      <c r="C265" s="3" t="s">
        <v>37</v>
      </c>
      <c r="D265" s="3">
        <v>56945.02</v>
      </c>
      <c r="E265" s="3">
        <v>17083.51</v>
      </c>
      <c r="F265" s="3">
        <v>10440.83</v>
      </c>
      <c r="G265" s="3">
        <v>5299.85</v>
      </c>
      <c r="H265" s="3">
        <v>84469.36</v>
      </c>
      <c r="I265" s="3">
        <v>79169.51</v>
      </c>
      <c r="J265" s="4">
        <v>45962.0</v>
      </c>
      <c r="K265" s="3">
        <v>24.0</v>
      </c>
      <c r="L265" s="3" t="s">
        <v>15</v>
      </c>
    </row>
    <row r="266" ht="15.75" customHeight="1">
      <c r="A266" s="3" t="s">
        <v>308</v>
      </c>
      <c r="B266" s="3" t="s">
        <v>13</v>
      </c>
      <c r="C266" s="3" t="s">
        <v>18</v>
      </c>
      <c r="D266" s="3">
        <v>75190.91</v>
      </c>
      <c r="E266" s="3">
        <v>22557.27</v>
      </c>
      <c r="F266" s="3">
        <v>8948.34</v>
      </c>
      <c r="G266" s="3">
        <v>21158.77</v>
      </c>
      <c r="H266" s="3">
        <v>106696.52</v>
      </c>
      <c r="I266" s="3">
        <v>85537.75</v>
      </c>
      <c r="J266" s="4">
        <v>45778.0</v>
      </c>
      <c r="K266" s="3">
        <v>19.0</v>
      </c>
      <c r="L266" s="3" t="s">
        <v>19</v>
      </c>
    </row>
    <row r="267" ht="15.75" customHeight="1">
      <c r="A267" s="3" t="s">
        <v>309</v>
      </c>
      <c r="B267" s="3" t="s">
        <v>53</v>
      </c>
      <c r="C267" s="3" t="s">
        <v>54</v>
      </c>
      <c r="D267" s="3">
        <v>44008.91</v>
      </c>
      <c r="E267" s="3">
        <v>13202.67</v>
      </c>
      <c r="F267" s="3">
        <v>2891.18</v>
      </c>
      <c r="G267" s="3">
        <v>1687.22</v>
      </c>
      <c r="H267" s="3">
        <v>60102.76</v>
      </c>
      <c r="I267" s="3">
        <v>58415.54</v>
      </c>
      <c r="J267" s="4">
        <v>45992.0</v>
      </c>
      <c r="K267" s="3">
        <v>8.0</v>
      </c>
      <c r="L267" s="3" t="s">
        <v>21</v>
      </c>
    </row>
    <row r="268" ht="15.75" customHeight="1">
      <c r="A268" s="3" t="s">
        <v>310</v>
      </c>
      <c r="B268" s="3" t="s">
        <v>25</v>
      </c>
      <c r="C268" s="3" t="s">
        <v>18</v>
      </c>
      <c r="D268" s="3">
        <v>90926.27</v>
      </c>
      <c r="E268" s="3">
        <v>27277.88</v>
      </c>
      <c r="F268" s="3">
        <v>16593.1</v>
      </c>
      <c r="G268" s="3">
        <v>2549.2</v>
      </c>
      <c r="H268" s="3">
        <v>134797.25</v>
      </c>
      <c r="I268" s="3">
        <v>132248.05</v>
      </c>
      <c r="J268" s="4">
        <v>45962.0</v>
      </c>
      <c r="K268" s="3">
        <v>3.0</v>
      </c>
      <c r="L268" s="3" t="s">
        <v>23</v>
      </c>
    </row>
    <row r="269" ht="15.75" customHeight="1">
      <c r="A269" s="3" t="s">
        <v>311</v>
      </c>
      <c r="B269" s="3" t="s">
        <v>36</v>
      </c>
      <c r="C269" s="3" t="s">
        <v>37</v>
      </c>
      <c r="D269" s="3">
        <v>51512.91</v>
      </c>
      <c r="E269" s="3">
        <v>15453.87</v>
      </c>
      <c r="F269" s="3">
        <v>3735.69</v>
      </c>
      <c r="G269" s="3">
        <v>2785.76</v>
      </c>
      <c r="H269" s="3">
        <v>70702.47</v>
      </c>
      <c r="I269" s="3">
        <v>67916.71</v>
      </c>
      <c r="J269" s="4">
        <v>45748.0</v>
      </c>
      <c r="K269" s="3">
        <v>14.0</v>
      </c>
      <c r="L269" s="3" t="s">
        <v>27</v>
      </c>
    </row>
    <row r="270" ht="15.75" customHeight="1">
      <c r="A270" s="3" t="s">
        <v>312</v>
      </c>
      <c r="B270" s="3" t="s">
        <v>29</v>
      </c>
      <c r="C270" s="3" t="s">
        <v>26</v>
      </c>
      <c r="D270" s="3">
        <v>107505.75</v>
      </c>
      <c r="E270" s="3">
        <v>32251.72</v>
      </c>
      <c r="F270" s="3">
        <v>4870.94</v>
      </c>
      <c r="G270" s="3">
        <v>4436.72</v>
      </c>
      <c r="H270" s="3">
        <v>144628.41</v>
      </c>
      <c r="I270" s="3">
        <v>140191.69</v>
      </c>
      <c r="J270" s="4">
        <v>45689.0</v>
      </c>
      <c r="K270" s="3">
        <v>2.0</v>
      </c>
      <c r="L270" s="3" t="s">
        <v>31</v>
      </c>
    </row>
    <row r="271" ht="15.75" customHeight="1">
      <c r="A271" s="3" t="s">
        <v>313</v>
      </c>
      <c r="B271" s="3" t="s">
        <v>29</v>
      </c>
      <c r="C271" s="3" t="s">
        <v>26</v>
      </c>
      <c r="D271" s="3">
        <v>118372.33</v>
      </c>
      <c r="E271" s="3">
        <v>35511.7</v>
      </c>
      <c r="F271" s="3">
        <v>12019.28</v>
      </c>
      <c r="G271" s="3">
        <v>19168.18</v>
      </c>
      <c r="H271" s="3">
        <v>165903.31</v>
      </c>
      <c r="I271" s="3">
        <v>146735.13</v>
      </c>
      <c r="J271" s="4">
        <v>45992.0</v>
      </c>
      <c r="K271" s="3">
        <v>18.0</v>
      </c>
      <c r="L271" s="3" t="s">
        <v>34</v>
      </c>
    </row>
    <row r="272" ht="15.75" customHeight="1">
      <c r="A272" s="3" t="s">
        <v>314</v>
      </c>
      <c r="B272" s="3" t="s">
        <v>53</v>
      </c>
      <c r="C272" s="3" t="s">
        <v>14</v>
      </c>
      <c r="D272" s="3">
        <v>22765.89</v>
      </c>
      <c r="E272" s="3">
        <v>6829.77</v>
      </c>
      <c r="F272" s="3">
        <v>3990.37</v>
      </c>
      <c r="G272" s="3">
        <v>4221.01</v>
      </c>
      <c r="H272" s="3">
        <v>33586.03</v>
      </c>
      <c r="I272" s="3">
        <v>29365.02</v>
      </c>
      <c r="J272" s="4">
        <v>45931.0</v>
      </c>
      <c r="K272" s="3">
        <v>2.0</v>
      </c>
      <c r="L272" s="3" t="s">
        <v>38</v>
      </c>
    </row>
    <row r="273" ht="15.75" customHeight="1">
      <c r="A273" s="3" t="s">
        <v>315</v>
      </c>
      <c r="B273" s="3" t="s">
        <v>36</v>
      </c>
      <c r="C273" s="3" t="s">
        <v>30</v>
      </c>
      <c r="D273" s="3">
        <v>23427.78</v>
      </c>
      <c r="E273" s="3">
        <v>7028.33</v>
      </c>
      <c r="F273" s="3">
        <v>3895.31</v>
      </c>
      <c r="G273" s="3">
        <v>5419.53</v>
      </c>
      <c r="H273" s="3">
        <v>34351.42</v>
      </c>
      <c r="I273" s="3">
        <v>28931.89</v>
      </c>
      <c r="J273" s="4">
        <v>45717.0</v>
      </c>
      <c r="K273" s="3">
        <v>23.0</v>
      </c>
      <c r="L273" s="3" t="s">
        <v>40</v>
      </c>
    </row>
    <row r="274" ht="15.75" customHeight="1">
      <c r="A274" s="3" t="s">
        <v>316</v>
      </c>
      <c r="B274" s="3" t="s">
        <v>13</v>
      </c>
      <c r="C274" s="3" t="s">
        <v>54</v>
      </c>
      <c r="D274" s="3">
        <v>35611.69</v>
      </c>
      <c r="E274" s="3">
        <v>10683.51</v>
      </c>
      <c r="F274" s="3">
        <v>2594.66</v>
      </c>
      <c r="G274" s="3">
        <v>7687.7</v>
      </c>
      <c r="H274" s="3">
        <v>48889.86</v>
      </c>
      <c r="I274" s="3">
        <v>41202.16</v>
      </c>
      <c r="J274" s="4">
        <v>45870.0</v>
      </c>
      <c r="K274" s="3">
        <v>11.0</v>
      </c>
      <c r="L274" s="3" t="s">
        <v>42</v>
      </c>
    </row>
    <row r="275" ht="15.75" customHeight="1">
      <c r="A275" s="3" t="s">
        <v>317</v>
      </c>
      <c r="B275" s="3" t="s">
        <v>53</v>
      </c>
      <c r="C275" s="3" t="s">
        <v>33</v>
      </c>
      <c r="D275" s="3">
        <v>32523.91</v>
      </c>
      <c r="E275" s="3">
        <v>9757.17</v>
      </c>
      <c r="F275" s="3">
        <v>5098.45</v>
      </c>
      <c r="G275" s="5"/>
      <c r="H275" s="3">
        <v>47379.53</v>
      </c>
      <c r="I275" s="3">
        <v>45096.32</v>
      </c>
      <c r="J275" s="4">
        <v>45748.0</v>
      </c>
      <c r="K275" s="3">
        <v>12.0</v>
      </c>
      <c r="L275" s="3" t="s">
        <v>15</v>
      </c>
    </row>
    <row r="276" ht="15.75" customHeight="1">
      <c r="A276" s="3" t="s">
        <v>318</v>
      </c>
      <c r="B276" s="3" t="s">
        <v>29</v>
      </c>
      <c r="C276" s="3" t="s">
        <v>26</v>
      </c>
      <c r="D276" s="5"/>
      <c r="E276" s="3">
        <v>35471.2</v>
      </c>
      <c r="F276" s="3">
        <v>21376.7</v>
      </c>
      <c r="G276" s="3">
        <v>6881.99</v>
      </c>
      <c r="H276" s="3">
        <v>175085.23</v>
      </c>
      <c r="I276" s="3">
        <v>168203.24</v>
      </c>
      <c r="J276" s="4">
        <v>45962.0</v>
      </c>
      <c r="K276" s="3">
        <v>21.0</v>
      </c>
      <c r="L276" s="3" t="s">
        <v>19</v>
      </c>
    </row>
    <row r="277" ht="15.75" customHeight="1">
      <c r="A277" s="3" t="s">
        <v>319</v>
      </c>
      <c r="B277" s="3" t="s">
        <v>53</v>
      </c>
      <c r="C277" s="3" t="s">
        <v>54</v>
      </c>
      <c r="D277" s="3">
        <v>41463.52</v>
      </c>
      <c r="E277" s="3">
        <v>12439.06</v>
      </c>
      <c r="F277" s="3">
        <v>2336.65</v>
      </c>
      <c r="G277" s="3">
        <v>4750.13</v>
      </c>
      <c r="H277" s="3">
        <v>56239.23</v>
      </c>
      <c r="I277" s="3">
        <v>51489.1</v>
      </c>
      <c r="J277" s="4">
        <v>45901.0</v>
      </c>
      <c r="K277" s="3">
        <v>2.0</v>
      </c>
      <c r="L277" s="3" t="s">
        <v>21</v>
      </c>
    </row>
    <row r="278" ht="15.75" customHeight="1">
      <c r="A278" s="3" t="s">
        <v>320</v>
      </c>
      <c r="B278" s="3" t="s">
        <v>36</v>
      </c>
      <c r="C278" s="3" t="s">
        <v>30</v>
      </c>
      <c r="D278" s="3">
        <v>29188.64</v>
      </c>
      <c r="E278" s="3">
        <v>8756.59</v>
      </c>
      <c r="F278" s="3">
        <v>4677.53</v>
      </c>
      <c r="G278" s="3">
        <v>1211.9</v>
      </c>
      <c r="H278" s="3">
        <v>42622.76</v>
      </c>
      <c r="I278" s="3">
        <v>41410.86</v>
      </c>
      <c r="J278" s="4">
        <v>45778.0</v>
      </c>
      <c r="K278" s="3">
        <v>1.0</v>
      </c>
      <c r="L278" s="3" t="s">
        <v>23</v>
      </c>
    </row>
    <row r="279" ht="15.75" customHeight="1">
      <c r="A279" s="3" t="s">
        <v>321</v>
      </c>
      <c r="B279" s="3" t="s">
        <v>17</v>
      </c>
      <c r="C279" s="3" t="s">
        <v>18</v>
      </c>
      <c r="D279" s="3">
        <v>77495.36</v>
      </c>
      <c r="E279" s="3">
        <v>23248.61</v>
      </c>
      <c r="F279" s="3">
        <v>5753.44</v>
      </c>
      <c r="G279" s="3">
        <v>21721.02</v>
      </c>
      <c r="H279" s="3">
        <v>106497.41</v>
      </c>
      <c r="I279" s="3">
        <v>84776.39</v>
      </c>
      <c r="J279" s="4">
        <v>45992.0</v>
      </c>
      <c r="K279" s="3">
        <v>16.0</v>
      </c>
      <c r="L279" s="3" t="s">
        <v>27</v>
      </c>
    </row>
    <row r="280" ht="15.75" customHeight="1">
      <c r="A280" s="3" t="s">
        <v>322</v>
      </c>
      <c r="B280" s="3" t="s">
        <v>36</v>
      </c>
      <c r="C280" s="3" t="s">
        <v>37</v>
      </c>
      <c r="D280" s="3">
        <v>47652.28</v>
      </c>
      <c r="E280" s="3">
        <v>14295.68</v>
      </c>
      <c r="F280" s="3">
        <v>4169.31</v>
      </c>
      <c r="G280" s="3">
        <v>13529.62</v>
      </c>
      <c r="H280" s="3">
        <v>66117.27</v>
      </c>
      <c r="I280" s="3">
        <v>52587.65</v>
      </c>
      <c r="J280" s="4">
        <v>45748.0</v>
      </c>
      <c r="K280" s="3">
        <v>17.0</v>
      </c>
      <c r="L280" s="3" t="s">
        <v>34</v>
      </c>
    </row>
    <row r="281" ht="15.75" customHeight="1">
      <c r="A281" s="3" t="s">
        <v>323</v>
      </c>
      <c r="B281" s="3" t="s">
        <v>25</v>
      </c>
      <c r="C281" s="3" t="s">
        <v>54</v>
      </c>
      <c r="D281" s="3">
        <v>47384.82</v>
      </c>
      <c r="E281" s="3">
        <v>14215.45</v>
      </c>
      <c r="F281" s="3">
        <v>8818.05</v>
      </c>
      <c r="G281" s="3">
        <v>5897.94</v>
      </c>
      <c r="H281" s="3">
        <v>70418.32</v>
      </c>
      <c r="I281" s="3">
        <v>64520.38</v>
      </c>
      <c r="J281" s="4">
        <v>45839.0</v>
      </c>
      <c r="K281" s="3">
        <v>17.0</v>
      </c>
      <c r="L281" s="3" t="s">
        <v>38</v>
      </c>
    </row>
    <row r="282" ht="15.75" customHeight="1">
      <c r="A282" s="3" t="s">
        <v>324</v>
      </c>
      <c r="B282" s="3" t="s">
        <v>53</v>
      </c>
      <c r="C282" s="3" t="s">
        <v>33</v>
      </c>
      <c r="D282" s="3">
        <v>27357.78</v>
      </c>
      <c r="E282" s="3">
        <v>8207.33</v>
      </c>
      <c r="F282" s="3">
        <v>5441.6</v>
      </c>
      <c r="G282" s="3">
        <v>3077.03</v>
      </c>
      <c r="H282" s="3">
        <v>41006.71</v>
      </c>
      <c r="I282" s="3">
        <v>37929.68</v>
      </c>
      <c r="J282" s="4">
        <v>45658.0</v>
      </c>
      <c r="K282" s="3">
        <v>19.0</v>
      </c>
      <c r="L282" s="3" t="s">
        <v>40</v>
      </c>
    </row>
    <row r="283" ht="15.75" customHeight="1">
      <c r="A283" s="3" t="s">
        <v>325</v>
      </c>
      <c r="B283" s="3" t="s">
        <v>29</v>
      </c>
      <c r="C283" s="3" t="s">
        <v>14</v>
      </c>
      <c r="D283" s="3">
        <v>24042.07</v>
      </c>
      <c r="E283" s="3">
        <v>7212.62</v>
      </c>
      <c r="F283" s="3">
        <v>3125.28</v>
      </c>
      <c r="G283" s="3">
        <v>5707.93</v>
      </c>
      <c r="H283" s="3">
        <v>34379.97</v>
      </c>
      <c r="I283" s="3">
        <v>28672.04</v>
      </c>
      <c r="J283" s="4">
        <v>45717.0</v>
      </c>
      <c r="K283" s="3">
        <v>1.0</v>
      </c>
      <c r="L283" s="3" t="s">
        <v>42</v>
      </c>
    </row>
    <row r="284" ht="15.75" customHeight="1">
      <c r="A284" s="3" t="s">
        <v>326</v>
      </c>
      <c r="B284" s="3" t="s">
        <v>17</v>
      </c>
      <c r="C284" s="3" t="s">
        <v>33</v>
      </c>
      <c r="D284" s="3">
        <v>34173.96</v>
      </c>
      <c r="E284" s="3">
        <v>10252.19</v>
      </c>
      <c r="F284" s="3">
        <v>3229.13</v>
      </c>
      <c r="G284" s="3">
        <v>8520.7</v>
      </c>
      <c r="H284" s="3">
        <v>47655.28</v>
      </c>
      <c r="I284" s="3">
        <v>39134.58</v>
      </c>
      <c r="J284" s="4">
        <v>45992.0</v>
      </c>
      <c r="K284" s="3">
        <v>20.0</v>
      </c>
      <c r="L284" s="3" t="s">
        <v>15</v>
      </c>
    </row>
    <row r="285" ht="15.75" customHeight="1">
      <c r="A285" s="3" t="s">
        <v>327</v>
      </c>
      <c r="B285" s="3" t="s">
        <v>36</v>
      </c>
      <c r="C285" s="3" t="s">
        <v>54</v>
      </c>
      <c r="D285" s="3">
        <v>43614.88</v>
      </c>
      <c r="E285" s="3">
        <v>13084.46</v>
      </c>
      <c r="F285" s="3">
        <v>7901.77</v>
      </c>
      <c r="G285" s="3">
        <v>248.66</v>
      </c>
      <c r="H285" s="3">
        <v>64601.11</v>
      </c>
      <c r="I285" s="3">
        <v>64352.45</v>
      </c>
      <c r="J285" s="4">
        <v>45748.0</v>
      </c>
      <c r="K285" s="3">
        <v>4.0</v>
      </c>
      <c r="L285" s="3" t="s">
        <v>19</v>
      </c>
    </row>
    <row r="286" ht="15.75" customHeight="1">
      <c r="A286" s="3" t="s">
        <v>328</v>
      </c>
      <c r="B286" s="3" t="s">
        <v>25</v>
      </c>
      <c r="C286" s="3" t="s">
        <v>30</v>
      </c>
      <c r="D286" s="3">
        <v>26829.48</v>
      </c>
      <c r="E286" s="3">
        <v>8048.84</v>
      </c>
      <c r="F286" s="3">
        <v>3902.27</v>
      </c>
      <c r="G286" s="3">
        <v>4247.95</v>
      </c>
      <c r="H286" s="3">
        <v>38780.59</v>
      </c>
      <c r="I286" s="3">
        <v>34532.64</v>
      </c>
      <c r="J286" s="4">
        <v>45689.0</v>
      </c>
      <c r="K286" s="3">
        <v>16.0</v>
      </c>
      <c r="L286" s="3" t="s">
        <v>21</v>
      </c>
    </row>
    <row r="287" ht="15.75" customHeight="1">
      <c r="A287" s="3" t="s">
        <v>329</v>
      </c>
      <c r="B287" s="3" t="s">
        <v>25</v>
      </c>
      <c r="C287" s="3" t="s">
        <v>33</v>
      </c>
      <c r="D287" s="3">
        <v>27376.4</v>
      </c>
      <c r="E287" s="3">
        <v>8212.92</v>
      </c>
      <c r="F287" s="3">
        <v>667.15</v>
      </c>
      <c r="G287" s="3">
        <v>1958.28</v>
      </c>
      <c r="H287" s="3">
        <v>36256.47</v>
      </c>
      <c r="I287" s="3">
        <v>34298.19</v>
      </c>
      <c r="J287" s="4">
        <v>45962.0</v>
      </c>
      <c r="K287" s="3">
        <v>17.0</v>
      </c>
      <c r="L287" s="3" t="s">
        <v>23</v>
      </c>
    </row>
    <row r="288" ht="15.75" customHeight="1">
      <c r="A288" s="3" t="s">
        <v>330</v>
      </c>
      <c r="B288" s="3" t="s">
        <v>25</v>
      </c>
      <c r="C288" s="3" t="s">
        <v>37</v>
      </c>
      <c r="D288" s="3">
        <v>53228.05</v>
      </c>
      <c r="E288" s="3">
        <v>15968.42</v>
      </c>
      <c r="F288" s="3">
        <v>1180.15</v>
      </c>
      <c r="G288" s="3">
        <v>14453.76</v>
      </c>
      <c r="H288" s="3">
        <v>70376.62</v>
      </c>
      <c r="I288" s="3">
        <v>55922.86</v>
      </c>
      <c r="J288" s="4">
        <v>45931.0</v>
      </c>
      <c r="K288" s="3">
        <v>21.0</v>
      </c>
      <c r="L288" s="3" t="s">
        <v>27</v>
      </c>
    </row>
    <row r="289" ht="15.75" customHeight="1">
      <c r="A289" s="3" t="s">
        <v>331</v>
      </c>
      <c r="B289" s="3" t="s">
        <v>53</v>
      </c>
      <c r="C289" s="3" t="s">
        <v>14</v>
      </c>
      <c r="D289" s="3">
        <v>22550.08</v>
      </c>
      <c r="E289" s="3">
        <v>6765.02</v>
      </c>
      <c r="F289" s="3">
        <v>2593.47</v>
      </c>
      <c r="G289" s="3">
        <v>4860.97</v>
      </c>
      <c r="H289" s="3">
        <v>31908.57</v>
      </c>
      <c r="I289" s="3">
        <v>27047.6</v>
      </c>
      <c r="J289" s="4">
        <v>45778.0</v>
      </c>
      <c r="K289" s="3">
        <v>22.0</v>
      </c>
      <c r="L289" s="3" t="s">
        <v>31</v>
      </c>
    </row>
    <row r="290" ht="15.75" customHeight="1">
      <c r="A290" s="3" t="s">
        <v>332</v>
      </c>
      <c r="B290" s="3" t="s">
        <v>36</v>
      </c>
      <c r="C290" s="3" t="s">
        <v>14</v>
      </c>
      <c r="D290" s="3">
        <v>22426.63</v>
      </c>
      <c r="E290" s="3">
        <v>6727.99</v>
      </c>
      <c r="F290" s="3">
        <v>1079.01</v>
      </c>
      <c r="G290" s="3">
        <v>2802.66</v>
      </c>
      <c r="H290" s="3">
        <v>30233.63</v>
      </c>
      <c r="I290" s="3">
        <v>27430.97</v>
      </c>
      <c r="J290" s="4">
        <v>45962.0</v>
      </c>
      <c r="K290" s="3">
        <v>6.0</v>
      </c>
      <c r="L290" s="3" t="s">
        <v>34</v>
      </c>
    </row>
    <row r="291" ht="15.75" customHeight="1">
      <c r="A291" s="3" t="s">
        <v>333</v>
      </c>
      <c r="B291" s="3" t="s">
        <v>13</v>
      </c>
      <c r="C291" s="3" t="s">
        <v>14</v>
      </c>
      <c r="D291" s="3">
        <v>21769.09</v>
      </c>
      <c r="E291" s="3">
        <v>6530.73</v>
      </c>
      <c r="F291" s="3">
        <v>1570.0</v>
      </c>
      <c r="G291" s="3">
        <v>6226.42</v>
      </c>
      <c r="H291" s="3">
        <v>29869.82</v>
      </c>
      <c r="I291" s="3">
        <v>23643.4</v>
      </c>
      <c r="J291" s="4">
        <v>45901.0</v>
      </c>
      <c r="K291" s="3">
        <v>5.0</v>
      </c>
      <c r="L291" s="3" t="s">
        <v>38</v>
      </c>
    </row>
    <row r="292" ht="15.75" customHeight="1">
      <c r="A292" s="3" t="s">
        <v>334</v>
      </c>
      <c r="B292" s="3" t="s">
        <v>53</v>
      </c>
      <c r="C292" s="3" t="s">
        <v>26</v>
      </c>
      <c r="D292" s="3">
        <v>125579.93</v>
      </c>
      <c r="E292" s="3">
        <v>37673.98</v>
      </c>
      <c r="F292" s="3">
        <v>13918.07</v>
      </c>
      <c r="G292" s="3">
        <v>14709.95</v>
      </c>
      <c r="H292" s="3">
        <v>177171.98</v>
      </c>
      <c r="I292" s="3">
        <v>162462.03</v>
      </c>
      <c r="J292" s="4">
        <v>45870.0</v>
      </c>
      <c r="K292" s="3">
        <v>4.0</v>
      </c>
      <c r="L292" s="3" t="s">
        <v>40</v>
      </c>
    </row>
    <row r="293" ht="15.75" customHeight="1">
      <c r="A293" s="3" t="s">
        <v>335</v>
      </c>
      <c r="B293" s="3" t="s">
        <v>17</v>
      </c>
      <c r="C293" s="3" t="s">
        <v>18</v>
      </c>
      <c r="D293" s="3">
        <v>75058.91</v>
      </c>
      <c r="E293" s="3">
        <v>22517.67</v>
      </c>
      <c r="F293" s="3">
        <v>5603.93</v>
      </c>
      <c r="G293" s="3">
        <v>16827.83</v>
      </c>
      <c r="H293" s="3">
        <v>103180.51</v>
      </c>
      <c r="I293" s="3">
        <v>86352.68</v>
      </c>
      <c r="J293" s="4">
        <v>45809.0</v>
      </c>
      <c r="K293" s="3">
        <v>5.0</v>
      </c>
      <c r="L293" s="3" t="s">
        <v>42</v>
      </c>
    </row>
    <row r="294" ht="15.75" customHeight="1">
      <c r="A294" s="3" t="s">
        <v>336</v>
      </c>
      <c r="B294" s="3" t="s">
        <v>25</v>
      </c>
      <c r="C294" s="3" t="s">
        <v>14</v>
      </c>
      <c r="D294" s="3">
        <v>20482.58</v>
      </c>
      <c r="E294" s="3">
        <v>6144.77</v>
      </c>
      <c r="F294" s="3">
        <v>3002.5</v>
      </c>
      <c r="G294" s="3">
        <v>3860.5</v>
      </c>
      <c r="H294" s="3">
        <v>29629.85</v>
      </c>
      <c r="I294" s="3">
        <v>25769.35</v>
      </c>
      <c r="J294" s="4">
        <v>45931.0</v>
      </c>
      <c r="K294" s="3">
        <v>7.0</v>
      </c>
      <c r="L294" s="3" t="s">
        <v>15</v>
      </c>
    </row>
    <row r="295" ht="15.75" customHeight="1">
      <c r="A295" s="3" t="s">
        <v>337</v>
      </c>
      <c r="B295" s="3" t="s">
        <v>13</v>
      </c>
      <c r="C295" s="3" t="s">
        <v>26</v>
      </c>
      <c r="D295" s="3">
        <v>101970.67</v>
      </c>
      <c r="E295" s="3">
        <v>30591.2</v>
      </c>
      <c r="F295" s="3">
        <v>904.19</v>
      </c>
      <c r="G295" s="3">
        <v>16703.22</v>
      </c>
      <c r="H295" s="3">
        <v>133466.06</v>
      </c>
      <c r="I295" s="3">
        <v>116762.84</v>
      </c>
      <c r="J295" s="4">
        <v>45962.0</v>
      </c>
      <c r="K295" s="3">
        <v>8.0</v>
      </c>
      <c r="L295" s="3" t="s">
        <v>19</v>
      </c>
    </row>
    <row r="296" ht="15.75" customHeight="1">
      <c r="A296" s="3" t="s">
        <v>338</v>
      </c>
      <c r="B296" s="3" t="s">
        <v>51</v>
      </c>
      <c r="C296" s="3" t="s">
        <v>26</v>
      </c>
      <c r="D296" s="3">
        <v>118049.13</v>
      </c>
      <c r="E296" s="3">
        <v>35414.74</v>
      </c>
      <c r="F296" s="3">
        <v>10969.67</v>
      </c>
      <c r="G296" s="3">
        <v>24627.03</v>
      </c>
      <c r="H296" s="3">
        <v>164433.54</v>
      </c>
      <c r="I296" s="3">
        <v>139806.51</v>
      </c>
      <c r="J296" s="4">
        <v>45962.0</v>
      </c>
      <c r="K296" s="3">
        <v>25.0</v>
      </c>
      <c r="L296" s="3" t="s">
        <v>21</v>
      </c>
    </row>
    <row r="297" ht="15.75" customHeight="1">
      <c r="A297" s="3" t="s">
        <v>339</v>
      </c>
      <c r="B297" s="3" t="s">
        <v>51</v>
      </c>
      <c r="C297" s="3" t="s">
        <v>26</v>
      </c>
      <c r="D297" s="3">
        <v>94854.69</v>
      </c>
      <c r="E297" s="3">
        <v>28456.41</v>
      </c>
      <c r="F297" s="3">
        <v>13584.05</v>
      </c>
      <c r="G297" s="3">
        <v>26851.61</v>
      </c>
      <c r="H297" s="3">
        <v>136895.15</v>
      </c>
      <c r="I297" s="3">
        <v>110043.54</v>
      </c>
      <c r="J297" s="4">
        <v>45658.0</v>
      </c>
      <c r="K297" s="3">
        <v>25.0</v>
      </c>
      <c r="L297" s="3" t="s">
        <v>23</v>
      </c>
    </row>
    <row r="298" ht="15.75" customHeight="1">
      <c r="A298" s="3" t="s">
        <v>340</v>
      </c>
      <c r="B298" s="3" t="s">
        <v>29</v>
      </c>
      <c r="C298" s="3" t="s">
        <v>30</v>
      </c>
      <c r="D298" s="3">
        <v>22385.5</v>
      </c>
      <c r="E298" s="3">
        <v>6715.65</v>
      </c>
      <c r="F298" s="3">
        <v>893.05</v>
      </c>
      <c r="G298" s="3">
        <v>281.43</v>
      </c>
      <c r="H298" s="3">
        <v>29994.2</v>
      </c>
      <c r="I298" s="3">
        <v>29712.77</v>
      </c>
      <c r="J298" s="4">
        <v>45778.0</v>
      </c>
      <c r="K298" s="3">
        <v>8.0</v>
      </c>
      <c r="L298" s="3" t="s">
        <v>27</v>
      </c>
    </row>
    <row r="299" ht="15.75" customHeight="1">
      <c r="A299" s="3" t="s">
        <v>341</v>
      </c>
      <c r="B299" s="3" t="s">
        <v>51</v>
      </c>
      <c r="C299" s="3" t="s">
        <v>33</v>
      </c>
      <c r="D299" s="3">
        <v>28569.74</v>
      </c>
      <c r="E299" s="3">
        <v>8570.92</v>
      </c>
      <c r="F299" s="3">
        <v>4461.69</v>
      </c>
      <c r="G299" s="3">
        <v>7420.69</v>
      </c>
      <c r="H299" s="3">
        <v>41602.35</v>
      </c>
      <c r="I299" s="3">
        <v>34181.66</v>
      </c>
      <c r="J299" s="4">
        <v>45809.0</v>
      </c>
      <c r="K299" s="3">
        <v>25.0</v>
      </c>
      <c r="L299" s="3" t="s">
        <v>34</v>
      </c>
    </row>
    <row r="300" ht="15.75" customHeight="1">
      <c r="A300" s="3" t="s">
        <v>342</v>
      </c>
      <c r="B300" s="3" t="s">
        <v>29</v>
      </c>
      <c r="C300" s="3" t="s">
        <v>14</v>
      </c>
      <c r="D300" s="3">
        <v>23755.27</v>
      </c>
      <c r="E300" s="3">
        <v>7126.58</v>
      </c>
      <c r="F300" s="3">
        <v>2075.98</v>
      </c>
      <c r="G300" s="3">
        <v>2850.79</v>
      </c>
      <c r="H300" s="3">
        <v>32957.83</v>
      </c>
      <c r="I300" s="3">
        <v>30107.04</v>
      </c>
      <c r="J300" s="4">
        <v>45870.0</v>
      </c>
      <c r="K300" s="3">
        <v>11.0</v>
      </c>
      <c r="L300" s="3" t="s">
        <v>38</v>
      </c>
    </row>
    <row r="301" ht="15.75" customHeight="1">
      <c r="A301" s="3" t="s">
        <v>343</v>
      </c>
      <c r="B301" s="3" t="s">
        <v>36</v>
      </c>
      <c r="C301" s="3" t="s">
        <v>33</v>
      </c>
      <c r="D301" s="3">
        <v>34737.24</v>
      </c>
      <c r="E301" s="3">
        <v>10421.17</v>
      </c>
      <c r="F301" s="3">
        <v>3447.35</v>
      </c>
      <c r="G301" s="3">
        <v>5184.78</v>
      </c>
      <c r="H301" s="3">
        <v>48605.76</v>
      </c>
      <c r="I301" s="3">
        <v>43420.98</v>
      </c>
      <c r="J301" s="3" t="s">
        <v>344</v>
      </c>
      <c r="K301" s="3">
        <v>8.0</v>
      </c>
      <c r="L301" s="3" t="s">
        <v>40</v>
      </c>
    </row>
    <row r="302" ht="15.75" customHeight="1">
      <c r="A302" s="3" t="s">
        <v>345</v>
      </c>
      <c r="B302" s="3" t="s">
        <v>29</v>
      </c>
      <c r="C302" s="3" t="s">
        <v>26</v>
      </c>
      <c r="D302" s="3">
        <v>92974.01</v>
      </c>
      <c r="E302" s="3">
        <v>27892.2</v>
      </c>
      <c r="F302" s="3">
        <v>7893.49</v>
      </c>
      <c r="G302" s="3">
        <v>12010.58</v>
      </c>
      <c r="H302" s="3">
        <v>128759.7</v>
      </c>
      <c r="I302" s="3">
        <v>116749.12</v>
      </c>
      <c r="J302" s="4">
        <v>45717.0</v>
      </c>
      <c r="K302" s="3">
        <v>21.0</v>
      </c>
      <c r="L302" s="3" t="s">
        <v>42</v>
      </c>
    </row>
    <row r="303" ht="15.75" customHeight="1">
      <c r="A303" s="3" t="s">
        <v>346</v>
      </c>
      <c r="B303" s="3" t="s">
        <v>53</v>
      </c>
      <c r="C303" s="3" t="s">
        <v>33</v>
      </c>
      <c r="D303" s="3">
        <v>28212.11</v>
      </c>
      <c r="E303" s="3">
        <v>8463.63</v>
      </c>
      <c r="F303" s="3">
        <v>451.78</v>
      </c>
      <c r="G303" s="3">
        <v>5593.78</v>
      </c>
      <c r="H303" s="3">
        <v>37127.52</v>
      </c>
      <c r="I303" s="3">
        <v>31533.74</v>
      </c>
      <c r="J303" s="4">
        <v>45778.0</v>
      </c>
      <c r="K303" s="3">
        <v>15.0</v>
      </c>
      <c r="L303" s="3" t="s">
        <v>15</v>
      </c>
    </row>
    <row r="304" ht="15.75" customHeight="1">
      <c r="A304" s="3" t="s">
        <v>347</v>
      </c>
      <c r="B304" s="3" t="s">
        <v>36</v>
      </c>
      <c r="C304" s="3" t="s">
        <v>37</v>
      </c>
      <c r="D304" s="3">
        <v>57917.93</v>
      </c>
      <c r="E304" s="3">
        <v>17375.38</v>
      </c>
      <c r="F304" s="3">
        <v>1930.34</v>
      </c>
      <c r="G304" s="3">
        <v>7713.08</v>
      </c>
      <c r="H304" s="3">
        <v>50204.85</v>
      </c>
      <c r="I304" s="3">
        <v>55204.85</v>
      </c>
      <c r="J304" s="4">
        <v>45870.0</v>
      </c>
      <c r="K304" s="3">
        <v>23.0</v>
      </c>
      <c r="L304" s="3" t="s">
        <v>19</v>
      </c>
    </row>
    <row r="305" ht="15.75" customHeight="1">
      <c r="A305" s="3" t="s">
        <v>348</v>
      </c>
      <c r="B305" s="3" t="s">
        <v>17</v>
      </c>
      <c r="C305" s="3" t="s">
        <v>18</v>
      </c>
      <c r="D305" s="3">
        <v>87620.97</v>
      </c>
      <c r="E305" s="3">
        <v>26286.29</v>
      </c>
      <c r="F305" s="3">
        <v>6178.32</v>
      </c>
      <c r="G305" s="3">
        <v>26237.68</v>
      </c>
      <c r="H305" s="3">
        <v>120085.58</v>
      </c>
      <c r="I305" s="3">
        <v>93847.9</v>
      </c>
      <c r="J305" s="4">
        <v>45778.0</v>
      </c>
      <c r="K305" s="3">
        <v>12.0</v>
      </c>
      <c r="L305" s="3" t="s">
        <v>21</v>
      </c>
    </row>
    <row r="306" ht="15.75" customHeight="1">
      <c r="A306" s="3" t="s">
        <v>349</v>
      </c>
      <c r="B306" s="3" t="s">
        <v>13</v>
      </c>
      <c r="C306" s="3" t="s">
        <v>26</v>
      </c>
      <c r="D306" s="3">
        <v>124124.56</v>
      </c>
      <c r="E306" s="3">
        <v>37237.37</v>
      </c>
      <c r="F306" s="3">
        <v>1862.89</v>
      </c>
      <c r="G306" s="3">
        <v>23739.29</v>
      </c>
      <c r="H306" s="3">
        <v>163224.82</v>
      </c>
      <c r="I306" s="3">
        <v>139485.53</v>
      </c>
      <c r="J306" s="4">
        <v>45809.0</v>
      </c>
      <c r="K306" s="3">
        <v>17.0</v>
      </c>
      <c r="L306" s="3" t="s">
        <v>23</v>
      </c>
    </row>
    <row r="307" ht="15.75" customHeight="1">
      <c r="A307" s="3" t="s">
        <v>350</v>
      </c>
      <c r="B307" s="3" t="s">
        <v>53</v>
      </c>
      <c r="C307" s="3" t="s">
        <v>26</v>
      </c>
      <c r="D307" s="3">
        <v>116996.33</v>
      </c>
      <c r="E307" s="3">
        <v>35098.9</v>
      </c>
      <c r="F307" s="3">
        <v>3743.57</v>
      </c>
      <c r="G307" s="3">
        <v>1093.0</v>
      </c>
      <c r="H307" s="3">
        <v>155838.8</v>
      </c>
      <c r="I307" s="3">
        <v>154745.8</v>
      </c>
      <c r="J307" s="4">
        <v>45931.0</v>
      </c>
      <c r="K307" s="3">
        <v>17.0</v>
      </c>
      <c r="L307" s="3" t="s">
        <v>27</v>
      </c>
    </row>
    <row r="308" ht="15.75" customHeight="1">
      <c r="A308" s="3" t="s">
        <v>351</v>
      </c>
      <c r="B308" s="3" t="s">
        <v>13</v>
      </c>
      <c r="C308" s="3" t="s">
        <v>26</v>
      </c>
      <c r="D308" s="3">
        <v>105774.22</v>
      </c>
      <c r="E308" s="3">
        <v>31732.27</v>
      </c>
      <c r="F308" s="3">
        <v>2670.38</v>
      </c>
      <c r="G308" s="3">
        <v>7488.67</v>
      </c>
      <c r="H308" s="3">
        <v>140176.87</v>
      </c>
      <c r="I308" s="3">
        <v>132688.2</v>
      </c>
      <c r="J308" s="4">
        <v>45962.0</v>
      </c>
      <c r="K308" s="3">
        <v>10.0</v>
      </c>
      <c r="L308" s="3" t="s">
        <v>31</v>
      </c>
    </row>
    <row r="309" ht="15.75" customHeight="1">
      <c r="A309" s="3" t="s">
        <v>352</v>
      </c>
      <c r="B309" s="3" t="s">
        <v>29</v>
      </c>
      <c r="C309" s="3" t="s">
        <v>33</v>
      </c>
      <c r="D309" s="3">
        <v>28828.54</v>
      </c>
      <c r="E309" s="3">
        <v>8648.56</v>
      </c>
      <c r="F309" s="3">
        <v>3270.57</v>
      </c>
      <c r="G309" s="3">
        <v>5233.2</v>
      </c>
      <c r="H309" s="3">
        <v>40747.67</v>
      </c>
      <c r="I309" s="3">
        <v>35514.47</v>
      </c>
      <c r="J309" s="4">
        <v>45962.0</v>
      </c>
      <c r="K309" s="3">
        <v>8.0</v>
      </c>
      <c r="L309" s="3" t="s">
        <v>34</v>
      </c>
    </row>
    <row r="310" ht="15.75" customHeight="1">
      <c r="A310" s="3" t="s">
        <v>353</v>
      </c>
      <c r="B310" s="3" t="s">
        <v>36</v>
      </c>
      <c r="C310" s="3" t="s">
        <v>33</v>
      </c>
      <c r="D310" s="3">
        <v>28720.13</v>
      </c>
      <c r="E310" s="3">
        <v>8616.04</v>
      </c>
      <c r="F310" s="3">
        <v>4383.18</v>
      </c>
      <c r="G310" s="3">
        <v>4944.93</v>
      </c>
      <c r="H310" s="3">
        <v>41719.35</v>
      </c>
      <c r="I310" s="3">
        <v>36774.42</v>
      </c>
      <c r="J310" s="4">
        <v>45901.0</v>
      </c>
      <c r="K310" s="3">
        <v>6.0</v>
      </c>
      <c r="L310" s="3" t="s">
        <v>38</v>
      </c>
    </row>
    <row r="311" ht="15.75" customHeight="1">
      <c r="A311" s="3" t="s">
        <v>354</v>
      </c>
      <c r="B311" s="3" t="s">
        <v>29</v>
      </c>
      <c r="C311" s="3" t="s">
        <v>54</v>
      </c>
      <c r="D311" s="3">
        <v>39401.4</v>
      </c>
      <c r="E311" s="3">
        <v>11820.42</v>
      </c>
      <c r="F311" s="3">
        <v>2196.15</v>
      </c>
      <c r="G311" s="3">
        <v>11353.75</v>
      </c>
      <c r="H311" s="3">
        <v>53417.97</v>
      </c>
      <c r="I311" s="3">
        <v>42064.22</v>
      </c>
      <c r="J311" s="4">
        <v>45658.0</v>
      </c>
      <c r="K311" s="3">
        <v>15.0</v>
      </c>
      <c r="L311" s="3" t="s">
        <v>40</v>
      </c>
    </row>
    <row r="312" ht="15.75" customHeight="1">
      <c r="A312" s="3" t="s">
        <v>355</v>
      </c>
      <c r="B312" s="3" t="s">
        <v>13</v>
      </c>
      <c r="C312" s="3" t="s">
        <v>30</v>
      </c>
      <c r="D312" s="3">
        <v>26391.59</v>
      </c>
      <c r="E312" s="3">
        <v>7917.48</v>
      </c>
      <c r="F312" s="3">
        <v>2042.64</v>
      </c>
      <c r="G312" s="3">
        <v>4447.03</v>
      </c>
      <c r="H312" s="3">
        <v>36351.71</v>
      </c>
      <c r="I312" s="3">
        <v>31904.68</v>
      </c>
      <c r="J312" s="4">
        <v>45778.0</v>
      </c>
      <c r="K312" s="3">
        <v>1.0</v>
      </c>
      <c r="L312" s="3" t="s">
        <v>42</v>
      </c>
    </row>
    <row r="313" ht="15.75" customHeight="1">
      <c r="A313" s="3" t="s">
        <v>356</v>
      </c>
      <c r="B313" s="3" t="s">
        <v>25</v>
      </c>
      <c r="C313" s="3" t="s">
        <v>33</v>
      </c>
      <c r="D313" s="3">
        <v>32040.38</v>
      </c>
      <c r="E313" s="3">
        <v>9612.11</v>
      </c>
      <c r="F313" s="3">
        <v>1374.98</v>
      </c>
      <c r="G313" s="3">
        <v>5881.43</v>
      </c>
      <c r="H313" s="3">
        <v>43027.47</v>
      </c>
      <c r="I313" s="3">
        <v>37146.04</v>
      </c>
      <c r="J313" s="4">
        <v>45992.0</v>
      </c>
      <c r="K313" s="3">
        <v>23.0</v>
      </c>
      <c r="L313" s="3" t="s">
        <v>15</v>
      </c>
    </row>
    <row r="314" ht="15.75" customHeight="1">
      <c r="A314" s="3" t="s">
        <v>357</v>
      </c>
      <c r="B314" s="3" t="s">
        <v>36</v>
      </c>
      <c r="C314" s="3" t="s">
        <v>30</v>
      </c>
      <c r="D314" s="3">
        <v>23079.21</v>
      </c>
      <c r="E314" s="3">
        <v>6923.76</v>
      </c>
      <c r="F314" s="3">
        <v>3936.51</v>
      </c>
      <c r="G314" s="3">
        <v>3129.84</v>
      </c>
      <c r="H314" s="3">
        <v>33939.48</v>
      </c>
      <c r="I314" s="3">
        <v>30809.64</v>
      </c>
      <c r="J314" s="4">
        <v>45992.0</v>
      </c>
      <c r="K314" s="3">
        <v>8.0</v>
      </c>
      <c r="L314" s="3" t="s">
        <v>19</v>
      </c>
    </row>
    <row r="315" ht="15.75" customHeight="1">
      <c r="A315" s="3" t="s">
        <v>358</v>
      </c>
      <c r="B315" s="3" t="s">
        <v>36</v>
      </c>
      <c r="C315" s="3" t="s">
        <v>14</v>
      </c>
      <c r="D315" s="3">
        <v>23835.7</v>
      </c>
      <c r="E315" s="3">
        <v>7150.71</v>
      </c>
      <c r="F315" s="3">
        <v>4612.5</v>
      </c>
      <c r="G315" s="3">
        <v>7054.71</v>
      </c>
      <c r="H315" s="3">
        <v>35598.91</v>
      </c>
      <c r="I315" s="3">
        <v>28544.2</v>
      </c>
      <c r="J315" s="4">
        <v>45962.0</v>
      </c>
      <c r="K315" s="3">
        <v>21.0</v>
      </c>
      <c r="L315" s="3" t="s">
        <v>21</v>
      </c>
    </row>
    <row r="316" ht="15.75" customHeight="1">
      <c r="A316" s="3" t="s">
        <v>359</v>
      </c>
      <c r="B316" s="3" t="s">
        <v>29</v>
      </c>
      <c r="C316" s="3" t="s">
        <v>18</v>
      </c>
      <c r="D316" s="3">
        <v>66688.42</v>
      </c>
      <c r="E316" s="3">
        <v>20006.53</v>
      </c>
      <c r="F316" s="3">
        <v>7231.31</v>
      </c>
      <c r="G316" s="3">
        <v>17832.45</v>
      </c>
      <c r="H316" s="3">
        <v>93926.26</v>
      </c>
      <c r="I316" s="3">
        <v>76093.81</v>
      </c>
      <c r="J316" s="4">
        <v>45717.0</v>
      </c>
      <c r="K316" s="3">
        <v>12.0</v>
      </c>
      <c r="L316" s="3" t="s">
        <v>23</v>
      </c>
    </row>
    <row r="317" ht="15.75" customHeight="1">
      <c r="A317" s="3" t="s">
        <v>360</v>
      </c>
      <c r="B317" s="3" t="s">
        <v>13</v>
      </c>
      <c r="C317" s="3" t="s">
        <v>18</v>
      </c>
      <c r="D317" s="3">
        <v>89110.44</v>
      </c>
      <c r="E317" s="3">
        <v>26733.13</v>
      </c>
      <c r="F317" s="3">
        <v>11365.15</v>
      </c>
      <c r="G317" s="3">
        <v>21217.99</v>
      </c>
      <c r="H317" s="3">
        <v>127208.72</v>
      </c>
      <c r="I317" s="3">
        <v>105990.73</v>
      </c>
      <c r="J317" s="4">
        <v>45901.0</v>
      </c>
      <c r="K317" s="3">
        <v>18.0</v>
      </c>
      <c r="L317" s="3" t="s">
        <v>27</v>
      </c>
    </row>
    <row r="318" ht="15.75" customHeight="1">
      <c r="A318" s="3" t="s">
        <v>361</v>
      </c>
      <c r="B318" s="3" t="s">
        <v>17</v>
      </c>
      <c r="C318" s="3" t="s">
        <v>33</v>
      </c>
      <c r="D318" s="3">
        <v>30540.21</v>
      </c>
      <c r="E318" s="3">
        <v>9162.06</v>
      </c>
      <c r="F318" s="3">
        <v>2253.32</v>
      </c>
      <c r="G318" s="3">
        <v>7363.2</v>
      </c>
      <c r="H318" s="3">
        <v>41955.59</v>
      </c>
      <c r="I318" s="3">
        <v>34592.39</v>
      </c>
      <c r="J318" s="4">
        <v>45901.0</v>
      </c>
      <c r="K318" s="3">
        <v>24.0</v>
      </c>
      <c r="L318" s="3" t="s">
        <v>34</v>
      </c>
    </row>
    <row r="319" ht="15.75" customHeight="1">
      <c r="A319" s="3" t="s">
        <v>362</v>
      </c>
      <c r="B319" s="3" t="s">
        <v>51</v>
      </c>
      <c r="C319" s="3" t="s">
        <v>37</v>
      </c>
      <c r="D319" s="3">
        <v>60916.44</v>
      </c>
      <c r="E319" s="3">
        <v>18274.93</v>
      </c>
      <c r="F319" s="3">
        <v>801.03</v>
      </c>
      <c r="G319" s="3">
        <v>7276.35</v>
      </c>
      <c r="H319" s="3">
        <v>79992.4</v>
      </c>
      <c r="I319" s="3">
        <v>72716.05</v>
      </c>
      <c r="J319" s="4">
        <v>45992.0</v>
      </c>
      <c r="K319" s="3">
        <v>17.0</v>
      </c>
      <c r="L319" s="3" t="s">
        <v>38</v>
      </c>
    </row>
    <row r="320" ht="15.75" customHeight="1">
      <c r="A320" s="3" t="s">
        <v>363</v>
      </c>
      <c r="B320" s="3" t="s">
        <v>13</v>
      </c>
      <c r="C320" s="3" t="s">
        <v>54</v>
      </c>
      <c r="D320" s="3">
        <v>42359.74</v>
      </c>
      <c r="E320" s="3">
        <v>12707.92</v>
      </c>
      <c r="F320" s="3">
        <v>6516.32</v>
      </c>
      <c r="G320" s="3">
        <v>10462.93</v>
      </c>
      <c r="H320" s="3">
        <v>61583.98</v>
      </c>
      <c r="I320" s="3">
        <v>51121.05</v>
      </c>
      <c r="J320" s="4">
        <v>45689.0</v>
      </c>
      <c r="K320" s="3">
        <v>21.0</v>
      </c>
      <c r="L320" s="3" t="s">
        <v>40</v>
      </c>
    </row>
    <row r="321" ht="15.75" customHeight="1">
      <c r="A321" s="3" t="s">
        <v>364</v>
      </c>
      <c r="B321" s="3" t="s">
        <v>51</v>
      </c>
      <c r="C321" s="3" t="s">
        <v>33</v>
      </c>
      <c r="D321" s="3">
        <v>31423.39</v>
      </c>
      <c r="E321" s="3">
        <v>9427.02</v>
      </c>
      <c r="F321" s="3">
        <v>2827.94</v>
      </c>
      <c r="G321" s="3">
        <v>6411.4</v>
      </c>
      <c r="H321" s="3">
        <v>43678.35</v>
      </c>
      <c r="I321" s="3">
        <v>37266.95</v>
      </c>
      <c r="J321" s="4">
        <v>45809.0</v>
      </c>
      <c r="K321" s="3">
        <v>1.0</v>
      </c>
      <c r="L321" s="3" t="s">
        <v>42</v>
      </c>
    </row>
    <row r="322" ht="15.75" customHeight="1">
      <c r="A322" s="3" t="s">
        <v>365</v>
      </c>
      <c r="B322" s="3" t="s">
        <v>51</v>
      </c>
      <c r="C322" s="3" t="s">
        <v>26</v>
      </c>
      <c r="D322" s="3">
        <v>118089.47</v>
      </c>
      <c r="E322" s="3">
        <v>35426.84</v>
      </c>
      <c r="F322" s="3">
        <v>15110.59</v>
      </c>
      <c r="G322" s="3">
        <v>6446.38</v>
      </c>
      <c r="H322" s="3">
        <v>168626.9</v>
      </c>
      <c r="I322" s="3">
        <v>162180.52</v>
      </c>
      <c r="J322" s="4">
        <v>45717.0</v>
      </c>
      <c r="K322" s="3">
        <v>14.0</v>
      </c>
      <c r="L322" s="3" t="s">
        <v>15</v>
      </c>
    </row>
    <row r="323" ht="15.75" customHeight="1">
      <c r="A323" s="3" t="s">
        <v>366</v>
      </c>
      <c r="B323" s="3" t="s">
        <v>36</v>
      </c>
      <c r="C323" s="3" t="s">
        <v>37</v>
      </c>
      <c r="D323" s="3">
        <v>61392.82</v>
      </c>
      <c r="E323" s="3">
        <v>18417.85</v>
      </c>
      <c r="F323" s="3">
        <v>680.39</v>
      </c>
      <c r="G323" s="3">
        <v>2286.78</v>
      </c>
      <c r="H323" s="3">
        <v>80491.06</v>
      </c>
      <c r="I323" s="3">
        <v>78204.28</v>
      </c>
      <c r="J323" s="4">
        <v>45717.0</v>
      </c>
      <c r="K323" s="3">
        <v>21.0</v>
      </c>
      <c r="L323" s="3" t="s">
        <v>19</v>
      </c>
    </row>
    <row r="324" ht="15.75" customHeight="1">
      <c r="A324" s="3" t="s">
        <v>367</v>
      </c>
      <c r="B324" s="3" t="s">
        <v>29</v>
      </c>
      <c r="C324" s="3" t="s">
        <v>30</v>
      </c>
      <c r="D324" s="3">
        <v>23425.31</v>
      </c>
      <c r="E324" s="3">
        <v>7027.59</v>
      </c>
      <c r="F324" s="3">
        <v>4379.3</v>
      </c>
      <c r="G324" s="3">
        <v>1584.51</v>
      </c>
      <c r="H324" s="3">
        <v>34832.2</v>
      </c>
      <c r="I324" s="3">
        <v>33247.69</v>
      </c>
      <c r="J324" s="4">
        <v>45901.0</v>
      </c>
      <c r="K324" s="3">
        <v>13.0</v>
      </c>
      <c r="L324" s="3" t="s">
        <v>21</v>
      </c>
    </row>
    <row r="325" ht="15.75" customHeight="1">
      <c r="A325" s="3" t="s">
        <v>368</v>
      </c>
      <c r="B325" s="3" t="s">
        <v>29</v>
      </c>
      <c r="C325" s="3" t="s">
        <v>26</v>
      </c>
      <c r="D325" s="3">
        <v>92838.96</v>
      </c>
      <c r="E325" s="3">
        <v>27851.69</v>
      </c>
      <c r="F325" s="3">
        <v>3644.89</v>
      </c>
      <c r="G325" s="3">
        <v>26636.01</v>
      </c>
      <c r="H325" s="3">
        <v>124335.54</v>
      </c>
      <c r="I325" s="3">
        <v>97699.53</v>
      </c>
      <c r="J325" s="4">
        <v>45778.0</v>
      </c>
      <c r="K325" s="3">
        <v>8.0</v>
      </c>
      <c r="L325" s="3" t="s">
        <v>23</v>
      </c>
    </row>
    <row r="326" ht="15.75" customHeight="1">
      <c r="A326" s="3" t="s">
        <v>369</v>
      </c>
      <c r="B326" s="3" t="s">
        <v>51</v>
      </c>
      <c r="C326" s="3" t="s">
        <v>18</v>
      </c>
      <c r="D326" s="3">
        <v>72873.44</v>
      </c>
      <c r="E326" s="3">
        <v>21862.03</v>
      </c>
      <c r="F326" s="3">
        <v>7775.28</v>
      </c>
      <c r="G326" s="3">
        <v>10987.27</v>
      </c>
      <c r="H326" s="3">
        <v>102510.75</v>
      </c>
      <c r="I326" s="3">
        <v>91523.48</v>
      </c>
      <c r="J326" s="4">
        <v>45717.0</v>
      </c>
      <c r="K326" s="3">
        <v>22.0</v>
      </c>
      <c r="L326" s="3" t="s">
        <v>27</v>
      </c>
    </row>
    <row r="327" ht="15.75" customHeight="1">
      <c r="A327" s="3" t="s">
        <v>370</v>
      </c>
      <c r="B327" s="3" t="s">
        <v>53</v>
      </c>
      <c r="C327" s="3" t="s">
        <v>37</v>
      </c>
      <c r="D327" s="3">
        <v>47775.5</v>
      </c>
      <c r="E327" s="3">
        <v>14332.65</v>
      </c>
      <c r="F327" s="3">
        <v>6294.26</v>
      </c>
      <c r="G327" s="3">
        <v>10328.58</v>
      </c>
      <c r="H327" s="3">
        <v>68402.41</v>
      </c>
      <c r="I327" s="3">
        <v>58073.83</v>
      </c>
      <c r="J327" s="4">
        <v>45931.0</v>
      </c>
      <c r="K327" s="3">
        <v>15.0</v>
      </c>
      <c r="L327" s="3" t="s">
        <v>31</v>
      </c>
    </row>
    <row r="328" ht="15.75" customHeight="1">
      <c r="A328" s="3" t="s">
        <v>371</v>
      </c>
      <c r="B328" s="3" t="s">
        <v>29</v>
      </c>
      <c r="C328" s="3" t="s">
        <v>26</v>
      </c>
      <c r="D328" s="3">
        <v>123261.47</v>
      </c>
      <c r="E328" s="3">
        <v>36978.44</v>
      </c>
      <c r="F328" s="3">
        <v>1015.53</v>
      </c>
      <c r="G328" s="3">
        <v>31941.28</v>
      </c>
      <c r="H328" s="3">
        <v>161255.44</v>
      </c>
      <c r="I328" s="3">
        <v>129314.16</v>
      </c>
      <c r="J328" s="4">
        <v>45689.0</v>
      </c>
      <c r="K328" s="3">
        <v>11.0</v>
      </c>
      <c r="L328" s="3" t="s">
        <v>34</v>
      </c>
    </row>
    <row r="329" ht="15.75" customHeight="1">
      <c r="A329" s="3" t="s">
        <v>372</v>
      </c>
      <c r="B329" s="3" t="s">
        <v>17</v>
      </c>
      <c r="C329" s="3" t="s">
        <v>18</v>
      </c>
      <c r="D329" s="3">
        <v>85046.58</v>
      </c>
      <c r="E329" s="3">
        <v>25513.97</v>
      </c>
      <c r="F329" s="3">
        <v>4501.62</v>
      </c>
      <c r="G329" s="3">
        <v>5378.56</v>
      </c>
      <c r="H329" s="3">
        <v>115062.17</v>
      </c>
      <c r="I329" s="3">
        <v>109683.61</v>
      </c>
      <c r="J329" s="4">
        <v>45931.0</v>
      </c>
      <c r="K329" s="3">
        <v>9.0</v>
      </c>
      <c r="L329" s="3" t="s">
        <v>38</v>
      </c>
    </row>
    <row r="330" ht="15.75" customHeight="1">
      <c r="A330" s="3" t="s">
        <v>373</v>
      </c>
      <c r="B330" s="3" t="s">
        <v>36</v>
      </c>
      <c r="C330" s="3" t="s">
        <v>37</v>
      </c>
      <c r="D330" s="5"/>
      <c r="E330" s="3">
        <v>16950.55</v>
      </c>
      <c r="F330" s="3">
        <v>5628.01</v>
      </c>
      <c r="G330" s="3">
        <v>10630.78</v>
      </c>
      <c r="H330" s="3">
        <v>79080.4</v>
      </c>
      <c r="I330" s="3">
        <v>68449.62</v>
      </c>
      <c r="J330" s="4">
        <v>45778.0</v>
      </c>
      <c r="K330" s="3">
        <v>2.0</v>
      </c>
      <c r="L330" s="3" t="s">
        <v>40</v>
      </c>
    </row>
    <row r="331" ht="15.75" customHeight="1">
      <c r="A331" s="3" t="s">
        <v>374</v>
      </c>
      <c r="B331" s="3" t="s">
        <v>13</v>
      </c>
      <c r="C331" s="3" t="s">
        <v>33</v>
      </c>
      <c r="D331" s="3">
        <v>29829.45</v>
      </c>
      <c r="E331" s="3">
        <v>8948.83</v>
      </c>
      <c r="F331" s="3">
        <v>4800.68</v>
      </c>
      <c r="G331" s="3">
        <v>6129.87</v>
      </c>
      <c r="H331" s="3">
        <v>43578.96</v>
      </c>
      <c r="I331" s="3">
        <v>37449.09</v>
      </c>
      <c r="J331" s="4">
        <v>45778.0</v>
      </c>
      <c r="K331" s="3">
        <v>4.0</v>
      </c>
      <c r="L331" s="3" t="s">
        <v>42</v>
      </c>
    </row>
    <row r="332" ht="15.75" customHeight="1">
      <c r="A332" s="3" t="s">
        <v>375</v>
      </c>
      <c r="B332" s="3" t="s">
        <v>36</v>
      </c>
      <c r="C332" s="3" t="s">
        <v>14</v>
      </c>
      <c r="D332" s="3">
        <v>22958.02</v>
      </c>
      <c r="E332" s="3">
        <v>6887.41</v>
      </c>
      <c r="F332" s="3">
        <v>725.84</v>
      </c>
      <c r="G332" s="3">
        <v>2862.56</v>
      </c>
      <c r="H332" s="3">
        <v>30571.27</v>
      </c>
      <c r="I332" s="3">
        <v>27708.71</v>
      </c>
      <c r="J332" s="4">
        <v>45870.0</v>
      </c>
      <c r="K332" s="3">
        <v>5.0</v>
      </c>
      <c r="L332" s="3" t="s">
        <v>15</v>
      </c>
    </row>
    <row r="333" ht="15.75" customHeight="1">
      <c r="A333" s="3" t="s">
        <v>376</v>
      </c>
      <c r="B333" s="3" t="s">
        <v>51</v>
      </c>
      <c r="C333" s="3" t="s">
        <v>33</v>
      </c>
      <c r="D333" s="3">
        <v>31066.6</v>
      </c>
      <c r="E333" s="3">
        <v>9319.98</v>
      </c>
      <c r="F333" s="3">
        <v>1942.18</v>
      </c>
      <c r="G333" s="3">
        <v>6695.13</v>
      </c>
      <c r="H333" s="3">
        <v>42328.76</v>
      </c>
      <c r="I333" s="3">
        <v>35633.63</v>
      </c>
      <c r="J333" s="4">
        <v>45992.0</v>
      </c>
      <c r="K333" s="3">
        <v>3.0</v>
      </c>
      <c r="L333" s="3" t="s">
        <v>19</v>
      </c>
    </row>
    <row r="334" ht="15.75" customHeight="1">
      <c r="A334" s="3" t="s">
        <v>377</v>
      </c>
      <c r="B334" s="3" t="s">
        <v>25</v>
      </c>
      <c r="C334" s="3" t="s">
        <v>33</v>
      </c>
      <c r="D334" s="3">
        <v>34753.74</v>
      </c>
      <c r="E334" s="3">
        <v>10426.12</v>
      </c>
      <c r="F334" s="3">
        <v>908.92</v>
      </c>
      <c r="G334" s="3">
        <v>3863.3</v>
      </c>
      <c r="H334" s="3">
        <v>46088.78</v>
      </c>
      <c r="I334" s="3">
        <v>42225.48</v>
      </c>
      <c r="J334" s="4">
        <v>45901.0</v>
      </c>
      <c r="K334" s="3">
        <v>6.0</v>
      </c>
      <c r="L334" s="3" t="s">
        <v>21</v>
      </c>
    </row>
    <row r="335" ht="15.75" customHeight="1">
      <c r="A335" s="3" t="s">
        <v>378</v>
      </c>
      <c r="B335" s="3" t="s">
        <v>17</v>
      </c>
      <c r="C335" s="3" t="s">
        <v>33</v>
      </c>
      <c r="D335" s="3">
        <v>27417.38</v>
      </c>
      <c r="E335" s="3">
        <v>8225.21</v>
      </c>
      <c r="F335" s="3">
        <v>671.85</v>
      </c>
      <c r="G335" s="3">
        <v>3698.02</v>
      </c>
      <c r="H335" s="3">
        <v>36314.44</v>
      </c>
      <c r="I335" s="3">
        <v>32616.42</v>
      </c>
      <c r="J335" s="4">
        <v>45717.0</v>
      </c>
      <c r="K335" s="3">
        <v>10.0</v>
      </c>
      <c r="L335" s="3" t="s">
        <v>23</v>
      </c>
    </row>
    <row r="336" ht="15.75" customHeight="1">
      <c r="A336" s="3" t="s">
        <v>379</v>
      </c>
      <c r="B336" s="3" t="s">
        <v>17</v>
      </c>
      <c r="C336" s="3" t="s">
        <v>14</v>
      </c>
      <c r="D336" s="3">
        <v>20089.53</v>
      </c>
      <c r="E336" s="3">
        <v>6026.86</v>
      </c>
      <c r="F336" s="3">
        <v>1543.48</v>
      </c>
      <c r="G336" s="3">
        <v>3708.79</v>
      </c>
      <c r="H336" s="3">
        <v>27659.87</v>
      </c>
      <c r="I336" s="3">
        <v>23951.08</v>
      </c>
      <c r="J336" s="4">
        <v>45748.0</v>
      </c>
      <c r="K336" s="3">
        <v>22.0</v>
      </c>
      <c r="L336" s="3" t="s">
        <v>27</v>
      </c>
    </row>
    <row r="337" ht="15.75" customHeight="1">
      <c r="A337" s="3" t="s">
        <v>380</v>
      </c>
      <c r="B337" s="3" t="s">
        <v>25</v>
      </c>
      <c r="C337" s="3" t="s">
        <v>30</v>
      </c>
      <c r="D337" s="3">
        <v>29158.61</v>
      </c>
      <c r="E337" s="3">
        <v>8747.58</v>
      </c>
      <c r="F337" s="3">
        <v>5445.38</v>
      </c>
      <c r="G337" s="3">
        <v>6308.13</v>
      </c>
      <c r="H337" s="3">
        <v>43351.57</v>
      </c>
      <c r="I337" s="3">
        <v>37043.44</v>
      </c>
      <c r="J337" s="4">
        <v>45748.0</v>
      </c>
      <c r="K337" s="3">
        <v>16.0</v>
      </c>
      <c r="L337" s="3" t="s">
        <v>31</v>
      </c>
    </row>
    <row r="338" ht="15.75" customHeight="1">
      <c r="A338" s="3" t="s">
        <v>381</v>
      </c>
      <c r="B338" s="3" t="s">
        <v>25</v>
      </c>
      <c r="C338" s="3" t="s">
        <v>30</v>
      </c>
      <c r="D338" s="3">
        <v>26384.74</v>
      </c>
      <c r="E338" s="3">
        <v>7915.42</v>
      </c>
      <c r="F338" s="3">
        <v>2716.18</v>
      </c>
      <c r="G338" s="3">
        <v>3947.89</v>
      </c>
      <c r="H338" s="3">
        <v>37016.34</v>
      </c>
      <c r="I338" s="3">
        <v>33068.45</v>
      </c>
      <c r="J338" s="4">
        <v>45778.0</v>
      </c>
      <c r="K338" s="3">
        <v>13.0</v>
      </c>
      <c r="L338" s="3" t="s">
        <v>34</v>
      </c>
    </row>
    <row r="339" ht="15.75" customHeight="1">
      <c r="A339" s="3" t="s">
        <v>382</v>
      </c>
      <c r="B339" s="3" t="s">
        <v>36</v>
      </c>
      <c r="C339" s="3" t="s">
        <v>14</v>
      </c>
      <c r="D339" s="3">
        <v>18648.35</v>
      </c>
      <c r="E339" s="3">
        <v>5594.5</v>
      </c>
      <c r="F339" s="3">
        <v>1466.66</v>
      </c>
      <c r="G339" s="3">
        <v>2557.98</v>
      </c>
      <c r="H339" s="3">
        <v>25709.51</v>
      </c>
      <c r="I339" s="3">
        <v>23151.53</v>
      </c>
      <c r="J339" s="4">
        <v>45748.0</v>
      </c>
      <c r="K339" s="3">
        <v>8.0</v>
      </c>
      <c r="L339" s="3" t="s">
        <v>38</v>
      </c>
    </row>
    <row r="340" ht="15.75" customHeight="1">
      <c r="A340" s="3" t="s">
        <v>383</v>
      </c>
      <c r="B340" s="3" t="s">
        <v>51</v>
      </c>
      <c r="C340" s="3" t="s">
        <v>37</v>
      </c>
      <c r="D340" s="3">
        <v>51352.11</v>
      </c>
      <c r="E340" s="3">
        <v>15405.63</v>
      </c>
      <c r="F340" s="3">
        <v>519.07</v>
      </c>
      <c r="G340" s="3">
        <v>7624.16</v>
      </c>
      <c r="H340" s="3">
        <v>67276.81</v>
      </c>
      <c r="I340" s="3">
        <v>59652.65</v>
      </c>
      <c r="J340" s="4">
        <v>45962.0</v>
      </c>
      <c r="K340" s="3">
        <v>7.0</v>
      </c>
      <c r="L340" s="3" t="s">
        <v>40</v>
      </c>
    </row>
    <row r="341" ht="15.75" customHeight="1">
      <c r="A341" s="3" t="s">
        <v>384</v>
      </c>
      <c r="B341" s="3" t="s">
        <v>13</v>
      </c>
      <c r="C341" s="3" t="s">
        <v>54</v>
      </c>
      <c r="D341" s="3">
        <v>39000.48</v>
      </c>
      <c r="E341" s="3">
        <v>11700.14</v>
      </c>
      <c r="F341" s="3">
        <v>63.78</v>
      </c>
      <c r="G341" s="3">
        <v>1257.73</v>
      </c>
      <c r="H341" s="3">
        <v>50764.4</v>
      </c>
      <c r="I341" s="3">
        <v>49506.67</v>
      </c>
      <c r="J341" s="4">
        <v>45717.0</v>
      </c>
      <c r="K341" s="3">
        <v>6.0</v>
      </c>
      <c r="L341" s="3" t="s">
        <v>42</v>
      </c>
    </row>
    <row r="342" ht="15.75" customHeight="1">
      <c r="A342" s="3" t="s">
        <v>385</v>
      </c>
      <c r="B342" s="5"/>
      <c r="C342" s="3" t="s">
        <v>18</v>
      </c>
      <c r="D342" s="3">
        <v>74510.22</v>
      </c>
      <c r="E342" s="3">
        <v>22353.07</v>
      </c>
      <c r="F342" s="3">
        <v>6009.31</v>
      </c>
      <c r="G342" s="3">
        <v>1011.31</v>
      </c>
      <c r="H342" s="3">
        <v>102872.6</v>
      </c>
      <c r="I342" s="3">
        <v>101861.29</v>
      </c>
      <c r="J342" s="4">
        <v>45658.0</v>
      </c>
      <c r="K342" s="3">
        <v>18.0</v>
      </c>
      <c r="L342" s="3" t="s">
        <v>15</v>
      </c>
    </row>
    <row r="343" ht="15.75" customHeight="1">
      <c r="A343" s="3" t="s">
        <v>386</v>
      </c>
      <c r="B343" s="3" t="s">
        <v>53</v>
      </c>
      <c r="C343" s="3" t="s">
        <v>37</v>
      </c>
      <c r="D343" s="3">
        <v>48503.8</v>
      </c>
      <c r="E343" s="3">
        <v>14551.14</v>
      </c>
      <c r="F343" s="3">
        <v>5366.68</v>
      </c>
      <c r="G343" s="3">
        <v>1069.97</v>
      </c>
      <c r="H343" s="3">
        <v>68421.62</v>
      </c>
      <c r="I343" s="3">
        <v>67351.65</v>
      </c>
      <c r="J343" s="4">
        <v>45901.0</v>
      </c>
      <c r="K343" s="3">
        <v>23.0</v>
      </c>
      <c r="L343" s="3" t="s">
        <v>19</v>
      </c>
    </row>
    <row r="344" ht="15.75" customHeight="1">
      <c r="A344" s="3" t="s">
        <v>387</v>
      </c>
      <c r="B344" s="3" t="s">
        <v>36</v>
      </c>
      <c r="C344" s="3" t="s">
        <v>26</v>
      </c>
      <c r="D344" s="3">
        <v>109794.86</v>
      </c>
      <c r="E344" s="3">
        <v>32938.46</v>
      </c>
      <c r="F344" s="3">
        <v>18122.99</v>
      </c>
      <c r="G344" s="3">
        <v>20528.62</v>
      </c>
      <c r="H344" s="3">
        <v>160856.31</v>
      </c>
      <c r="I344" s="3">
        <v>140327.69</v>
      </c>
      <c r="J344" s="4">
        <v>45931.0</v>
      </c>
      <c r="K344" s="3">
        <v>11.0</v>
      </c>
      <c r="L344" s="3" t="s">
        <v>21</v>
      </c>
    </row>
    <row r="345" ht="15.75" customHeight="1">
      <c r="A345" s="3" t="s">
        <v>388</v>
      </c>
      <c r="B345" s="3" t="s">
        <v>17</v>
      </c>
      <c r="C345" s="3" t="s">
        <v>30</v>
      </c>
      <c r="D345" s="3">
        <v>30580.73</v>
      </c>
      <c r="E345" s="3">
        <v>9174.22</v>
      </c>
      <c r="F345" s="3">
        <v>2409.17</v>
      </c>
      <c r="G345" s="3">
        <v>7292.56</v>
      </c>
      <c r="H345" s="3">
        <v>42164.12</v>
      </c>
      <c r="I345" s="3">
        <v>34871.56</v>
      </c>
      <c r="J345" s="4">
        <v>45809.0</v>
      </c>
      <c r="K345" s="3">
        <v>18.0</v>
      </c>
      <c r="L345" s="3" t="s">
        <v>23</v>
      </c>
    </row>
    <row r="346" ht="15.75" customHeight="1">
      <c r="A346" s="3" t="s">
        <v>389</v>
      </c>
      <c r="B346" s="3" t="s">
        <v>53</v>
      </c>
      <c r="C346" s="3" t="s">
        <v>33</v>
      </c>
      <c r="D346" s="3">
        <v>32549.65</v>
      </c>
      <c r="E346" s="3">
        <v>9764.9</v>
      </c>
      <c r="F346" s="3">
        <v>1295.85</v>
      </c>
      <c r="G346" s="3">
        <v>4971.53</v>
      </c>
      <c r="H346" s="3">
        <v>43610.4</v>
      </c>
      <c r="I346" s="3">
        <v>38638.87</v>
      </c>
      <c r="J346" s="4">
        <v>45901.0</v>
      </c>
      <c r="K346" s="3">
        <v>18.0</v>
      </c>
      <c r="L346" s="3" t="s">
        <v>27</v>
      </c>
    </row>
    <row r="347" ht="15.75" customHeight="1">
      <c r="A347" s="3" t="s">
        <v>390</v>
      </c>
      <c r="B347" s="3" t="s">
        <v>17</v>
      </c>
      <c r="C347" s="3" t="s">
        <v>14</v>
      </c>
      <c r="D347" s="3">
        <v>18280.18</v>
      </c>
      <c r="E347" s="3">
        <v>5484.05</v>
      </c>
      <c r="F347" s="3">
        <v>2608.92</v>
      </c>
      <c r="G347" s="3">
        <v>4408.99</v>
      </c>
      <c r="H347" s="3">
        <v>26373.15</v>
      </c>
      <c r="I347" s="3">
        <v>21964.16</v>
      </c>
      <c r="J347" s="4">
        <v>45901.0</v>
      </c>
      <c r="K347" s="3">
        <v>10.0</v>
      </c>
      <c r="L347" s="3" t="s">
        <v>31</v>
      </c>
    </row>
    <row r="348" ht="15.75" customHeight="1">
      <c r="A348" s="3" t="s">
        <v>391</v>
      </c>
      <c r="B348" s="3" t="s">
        <v>36</v>
      </c>
      <c r="C348" s="3" t="s">
        <v>30</v>
      </c>
      <c r="D348" s="3">
        <v>27335.09</v>
      </c>
      <c r="E348" s="3">
        <v>8200.53</v>
      </c>
      <c r="F348" s="3">
        <v>2818.28</v>
      </c>
      <c r="G348" s="3">
        <v>2689.49</v>
      </c>
      <c r="H348" s="3">
        <v>38353.9</v>
      </c>
      <c r="I348" s="3">
        <v>35664.41</v>
      </c>
      <c r="J348" s="4">
        <v>45931.0</v>
      </c>
      <c r="K348" s="3">
        <v>15.0</v>
      </c>
      <c r="L348" s="3" t="s">
        <v>34</v>
      </c>
    </row>
    <row r="349" ht="15.75" customHeight="1">
      <c r="A349" s="3" t="s">
        <v>392</v>
      </c>
      <c r="B349" s="3" t="s">
        <v>29</v>
      </c>
      <c r="C349" s="3" t="s">
        <v>30</v>
      </c>
      <c r="D349" s="3">
        <v>25458.0</v>
      </c>
      <c r="E349" s="3">
        <v>7637.4</v>
      </c>
      <c r="F349" s="3">
        <v>3138.97</v>
      </c>
      <c r="G349" s="3">
        <v>6435.29</v>
      </c>
      <c r="H349" s="3">
        <v>36234.37</v>
      </c>
      <c r="I349" s="3">
        <v>29799.08</v>
      </c>
      <c r="J349" s="4">
        <v>45931.0</v>
      </c>
      <c r="K349" s="3">
        <v>6.0</v>
      </c>
      <c r="L349" s="3" t="s">
        <v>38</v>
      </c>
    </row>
    <row r="350" ht="15.75" customHeight="1">
      <c r="A350" s="3" t="s">
        <v>393</v>
      </c>
      <c r="B350" s="3" t="s">
        <v>29</v>
      </c>
      <c r="C350" s="3" t="s">
        <v>37</v>
      </c>
      <c r="D350" s="3">
        <v>59909.21</v>
      </c>
      <c r="E350" s="3">
        <v>17972.76</v>
      </c>
      <c r="F350" s="3">
        <v>6378.41</v>
      </c>
      <c r="G350" s="3">
        <v>12738.01</v>
      </c>
      <c r="H350" s="3">
        <v>84260.38</v>
      </c>
      <c r="I350" s="3">
        <v>71522.37</v>
      </c>
      <c r="J350" s="4">
        <v>45778.0</v>
      </c>
      <c r="K350" s="3">
        <v>18.0</v>
      </c>
      <c r="L350" s="3" t="s">
        <v>40</v>
      </c>
    </row>
    <row r="351" ht="15.75" customHeight="1">
      <c r="A351" s="3" t="s">
        <v>394</v>
      </c>
      <c r="B351" s="3" t="s">
        <v>36</v>
      </c>
      <c r="C351" s="3" t="s">
        <v>26</v>
      </c>
      <c r="D351" s="3">
        <v>90598.93</v>
      </c>
      <c r="E351" s="3">
        <v>27179.68</v>
      </c>
      <c r="F351" s="3">
        <v>6001.99</v>
      </c>
      <c r="G351" s="3">
        <v>2979.02</v>
      </c>
      <c r="H351" s="3">
        <v>123780.6</v>
      </c>
      <c r="I351" s="3">
        <v>120801.58</v>
      </c>
      <c r="J351" s="4">
        <v>45839.0</v>
      </c>
      <c r="K351" s="3">
        <v>18.0</v>
      </c>
      <c r="L351" s="3" t="s">
        <v>42</v>
      </c>
    </row>
    <row r="352" ht="15.75" customHeight="1">
      <c r="A352" s="3" t="s">
        <v>395</v>
      </c>
      <c r="B352" s="3" t="s">
        <v>53</v>
      </c>
      <c r="C352" s="3" t="s">
        <v>33</v>
      </c>
      <c r="D352" s="3">
        <v>32967.55</v>
      </c>
      <c r="E352" s="3">
        <v>9890.27</v>
      </c>
      <c r="F352" s="3">
        <v>4782.43</v>
      </c>
      <c r="G352" s="3">
        <v>6804.93</v>
      </c>
      <c r="H352" s="3">
        <v>47640.25</v>
      </c>
      <c r="I352" s="3">
        <v>40835.32</v>
      </c>
      <c r="J352" s="4">
        <v>45658.0</v>
      </c>
      <c r="K352" s="3">
        <v>23.0</v>
      </c>
      <c r="L352" s="3" t="s">
        <v>15</v>
      </c>
    </row>
    <row r="353" ht="15.75" customHeight="1">
      <c r="A353" s="3" t="s">
        <v>396</v>
      </c>
      <c r="B353" s="3" t="s">
        <v>53</v>
      </c>
      <c r="C353" s="3" t="s">
        <v>54</v>
      </c>
      <c r="D353" s="3">
        <v>38717.43</v>
      </c>
      <c r="E353" s="3">
        <v>11615.23</v>
      </c>
      <c r="F353" s="3">
        <v>5076.56</v>
      </c>
      <c r="G353" s="3">
        <v>11290.66</v>
      </c>
      <c r="H353" s="3">
        <v>55409.22</v>
      </c>
      <c r="I353" s="3">
        <v>44118.56</v>
      </c>
      <c r="J353" s="4">
        <v>45931.0</v>
      </c>
      <c r="K353" s="3">
        <v>8.0</v>
      </c>
      <c r="L353" s="3" t="s">
        <v>19</v>
      </c>
    </row>
    <row r="354" ht="15.75" customHeight="1">
      <c r="A354" s="3" t="s">
        <v>397</v>
      </c>
      <c r="B354" s="3" t="s">
        <v>53</v>
      </c>
      <c r="C354" s="3" t="s">
        <v>30</v>
      </c>
      <c r="D354" s="3">
        <v>28348.32</v>
      </c>
      <c r="E354" s="3">
        <v>8504.5</v>
      </c>
      <c r="F354" s="3">
        <v>3308.38</v>
      </c>
      <c r="G354" s="3">
        <v>1450.12</v>
      </c>
      <c r="H354" s="3">
        <v>40161.2</v>
      </c>
      <c r="I354" s="3">
        <v>38711.08</v>
      </c>
      <c r="J354" s="4">
        <v>45962.0</v>
      </c>
      <c r="K354" s="3">
        <v>14.0</v>
      </c>
      <c r="L354" s="3" t="s">
        <v>21</v>
      </c>
    </row>
    <row r="355" ht="15.75" customHeight="1">
      <c r="A355" s="3" t="s">
        <v>398</v>
      </c>
      <c r="B355" s="3" t="s">
        <v>13</v>
      </c>
      <c r="C355" s="3" t="s">
        <v>37</v>
      </c>
      <c r="D355" s="3">
        <v>58942.91</v>
      </c>
      <c r="E355" s="3">
        <v>17682.87</v>
      </c>
      <c r="F355" s="3">
        <v>4481.9</v>
      </c>
      <c r="G355" s="3">
        <v>14529.33</v>
      </c>
      <c r="H355" s="3">
        <v>81107.68</v>
      </c>
      <c r="I355" s="3">
        <v>66578.35</v>
      </c>
      <c r="J355" s="4">
        <v>45748.0</v>
      </c>
      <c r="K355" s="3">
        <v>3.0</v>
      </c>
      <c r="L355" s="3" t="s">
        <v>23</v>
      </c>
    </row>
    <row r="356" ht="15.75" customHeight="1">
      <c r="A356" s="3" t="s">
        <v>399</v>
      </c>
      <c r="B356" s="3" t="s">
        <v>17</v>
      </c>
      <c r="C356" s="3" t="s">
        <v>37</v>
      </c>
      <c r="D356" s="3">
        <v>62067.69</v>
      </c>
      <c r="E356" s="3">
        <v>18620.31</v>
      </c>
      <c r="F356" s="3">
        <v>1364.19</v>
      </c>
      <c r="G356" s="3">
        <v>352.62</v>
      </c>
      <c r="H356" s="3">
        <v>82052.19</v>
      </c>
      <c r="I356" s="3">
        <v>81699.57</v>
      </c>
      <c r="J356" s="4">
        <v>45809.0</v>
      </c>
      <c r="K356" s="3">
        <v>20.0</v>
      </c>
      <c r="L356" s="3" t="s">
        <v>27</v>
      </c>
    </row>
    <row r="357" ht="15.75" customHeight="1">
      <c r="A357" s="3" t="s">
        <v>400</v>
      </c>
      <c r="B357" s="3" t="s">
        <v>36</v>
      </c>
      <c r="C357" s="3" t="s">
        <v>30</v>
      </c>
      <c r="D357" s="3">
        <v>25634.05</v>
      </c>
      <c r="E357" s="3">
        <v>7690.21</v>
      </c>
      <c r="F357" s="3">
        <v>1045.31</v>
      </c>
      <c r="G357" s="3">
        <v>3859.1</v>
      </c>
      <c r="H357" s="3">
        <v>34369.57</v>
      </c>
      <c r="I357" s="3">
        <v>30510.47</v>
      </c>
      <c r="J357" s="4">
        <v>45931.0</v>
      </c>
      <c r="K357" s="3">
        <v>14.0</v>
      </c>
      <c r="L357" s="3" t="s">
        <v>31</v>
      </c>
    </row>
    <row r="358" ht="15.75" customHeight="1">
      <c r="A358" s="3" t="s">
        <v>401</v>
      </c>
      <c r="B358" s="3" t="s">
        <v>36</v>
      </c>
      <c r="C358" s="3" t="s">
        <v>26</v>
      </c>
      <c r="D358" s="3">
        <v>120541.57</v>
      </c>
      <c r="E358" s="3">
        <v>36162.47</v>
      </c>
      <c r="F358" s="3">
        <v>17536.44</v>
      </c>
      <c r="G358" s="3">
        <v>25522.58</v>
      </c>
      <c r="H358" s="3">
        <v>174240.48</v>
      </c>
      <c r="I358" s="3">
        <v>148717.9</v>
      </c>
      <c r="J358" s="4">
        <v>45901.0</v>
      </c>
      <c r="K358" s="3">
        <v>14.0</v>
      </c>
      <c r="L358" s="3" t="s">
        <v>34</v>
      </c>
    </row>
    <row r="359" ht="15.75" customHeight="1">
      <c r="A359" s="3" t="s">
        <v>402</v>
      </c>
      <c r="B359" s="3" t="s">
        <v>51</v>
      </c>
      <c r="C359" s="3" t="s">
        <v>54</v>
      </c>
      <c r="D359" s="3">
        <v>47769.74</v>
      </c>
      <c r="E359" s="3">
        <v>14330.92</v>
      </c>
      <c r="F359" s="3">
        <v>3270.57</v>
      </c>
      <c r="G359" s="3">
        <v>5077.26</v>
      </c>
      <c r="H359" s="3">
        <v>65371.23</v>
      </c>
      <c r="I359" s="3">
        <v>60293.97</v>
      </c>
      <c r="J359" s="4">
        <v>45992.0</v>
      </c>
      <c r="K359" s="3">
        <v>14.0</v>
      </c>
      <c r="L359" s="3" t="s">
        <v>40</v>
      </c>
    </row>
    <row r="360" ht="15.75" customHeight="1">
      <c r="A360" s="3" t="s">
        <v>403</v>
      </c>
      <c r="B360" s="3" t="s">
        <v>13</v>
      </c>
      <c r="C360" s="3" t="s">
        <v>18</v>
      </c>
      <c r="D360" s="3">
        <v>85894.97</v>
      </c>
      <c r="E360" s="3">
        <v>25768.49</v>
      </c>
      <c r="F360" s="3">
        <v>4541.48</v>
      </c>
      <c r="G360" s="3">
        <v>12476.59</v>
      </c>
      <c r="H360" s="3">
        <v>116204.94</v>
      </c>
      <c r="I360" s="3">
        <v>103728.35</v>
      </c>
      <c r="J360" s="4">
        <v>45748.0</v>
      </c>
      <c r="K360" s="3">
        <v>1.0</v>
      </c>
      <c r="L360" s="3" t="s">
        <v>42</v>
      </c>
    </row>
    <row r="361" ht="15.75" customHeight="1">
      <c r="A361" s="3" t="s">
        <v>404</v>
      </c>
      <c r="B361" s="3" t="s">
        <v>29</v>
      </c>
      <c r="C361" s="3" t="s">
        <v>37</v>
      </c>
      <c r="D361" s="3">
        <v>50372.98</v>
      </c>
      <c r="E361" s="3">
        <v>15111.89</v>
      </c>
      <c r="F361" s="3">
        <v>9485.09</v>
      </c>
      <c r="G361" s="3">
        <v>14843.81</v>
      </c>
      <c r="H361" s="3">
        <v>74969.96</v>
      </c>
      <c r="I361" s="3">
        <v>60126.15</v>
      </c>
      <c r="J361" s="4">
        <v>45778.0</v>
      </c>
      <c r="K361" s="3">
        <v>5.0</v>
      </c>
      <c r="L361" s="3" t="s">
        <v>15</v>
      </c>
    </row>
    <row r="362" ht="15.75" customHeight="1">
      <c r="A362" s="3" t="s">
        <v>405</v>
      </c>
      <c r="B362" s="3" t="s">
        <v>13</v>
      </c>
      <c r="C362" s="3" t="s">
        <v>30</v>
      </c>
      <c r="D362" s="3">
        <v>28074.11</v>
      </c>
      <c r="E362" s="3">
        <v>8422.23</v>
      </c>
      <c r="F362" s="3">
        <v>2745.67</v>
      </c>
      <c r="G362" s="3">
        <v>4041.02</v>
      </c>
      <c r="H362" s="3">
        <v>39242.01</v>
      </c>
      <c r="I362" s="3">
        <v>35200.99</v>
      </c>
      <c r="J362" s="4">
        <v>45901.0</v>
      </c>
      <c r="K362" s="3">
        <v>15.0</v>
      </c>
      <c r="L362" s="3" t="s">
        <v>19</v>
      </c>
    </row>
    <row r="363" ht="15.75" customHeight="1">
      <c r="A363" s="3" t="s">
        <v>406</v>
      </c>
      <c r="B363" s="3" t="s">
        <v>25</v>
      </c>
      <c r="C363" s="3" t="s">
        <v>18</v>
      </c>
      <c r="D363" s="3">
        <v>72109.9</v>
      </c>
      <c r="E363" s="3">
        <v>21632.97</v>
      </c>
      <c r="F363" s="3">
        <v>1757.67</v>
      </c>
      <c r="G363" s="3">
        <v>14637.35</v>
      </c>
      <c r="H363" s="3">
        <v>95500.54</v>
      </c>
      <c r="I363" s="3">
        <v>80863.19</v>
      </c>
      <c r="J363" s="4">
        <v>45839.0</v>
      </c>
      <c r="K363" s="3">
        <v>21.0</v>
      </c>
      <c r="L363" s="3" t="s">
        <v>21</v>
      </c>
    </row>
    <row r="364" ht="15.75" customHeight="1">
      <c r="A364" s="3" t="s">
        <v>407</v>
      </c>
      <c r="B364" s="3" t="s">
        <v>36</v>
      </c>
      <c r="C364" s="3" t="s">
        <v>26</v>
      </c>
      <c r="D364" s="3">
        <v>102424.85</v>
      </c>
      <c r="E364" s="3">
        <v>30727.46</v>
      </c>
      <c r="F364" s="3">
        <v>15836.2</v>
      </c>
      <c r="G364" s="3">
        <v>4500.84</v>
      </c>
      <c r="H364" s="3">
        <v>148988.51</v>
      </c>
      <c r="I364" s="3">
        <v>144487.67</v>
      </c>
      <c r="J364" s="4">
        <v>45658.0</v>
      </c>
      <c r="K364" s="3">
        <v>19.0</v>
      </c>
      <c r="L364" s="3" t="s">
        <v>23</v>
      </c>
    </row>
    <row r="365" ht="15.75" customHeight="1">
      <c r="A365" s="3" t="s">
        <v>408</v>
      </c>
      <c r="B365" s="3" t="s">
        <v>29</v>
      </c>
      <c r="C365" s="3" t="s">
        <v>18</v>
      </c>
      <c r="D365" s="3">
        <v>67054.77</v>
      </c>
      <c r="E365" s="3">
        <v>20116.43</v>
      </c>
      <c r="F365" s="3">
        <v>12391.85</v>
      </c>
      <c r="G365" s="3">
        <v>13195.82</v>
      </c>
      <c r="H365" s="3">
        <v>99563.05</v>
      </c>
      <c r="I365" s="3">
        <v>86367.23</v>
      </c>
      <c r="J365" s="4">
        <v>45992.0</v>
      </c>
      <c r="K365" s="3">
        <v>8.0</v>
      </c>
      <c r="L365" s="3" t="s">
        <v>27</v>
      </c>
    </row>
    <row r="366" ht="15.75" customHeight="1">
      <c r="A366" s="3" t="s">
        <v>409</v>
      </c>
      <c r="B366" s="3" t="s">
        <v>36</v>
      </c>
      <c r="C366" s="3" t="s">
        <v>30</v>
      </c>
      <c r="D366" s="3">
        <v>23778.2</v>
      </c>
      <c r="E366" s="3">
        <v>7133.46</v>
      </c>
      <c r="F366" s="3">
        <v>2561.28</v>
      </c>
      <c r="G366" s="3">
        <v>6655.69</v>
      </c>
      <c r="H366" s="3">
        <v>33472.94</v>
      </c>
      <c r="I366" s="3">
        <v>26817.25</v>
      </c>
      <c r="J366" s="4">
        <v>45992.0</v>
      </c>
      <c r="K366" s="3">
        <v>10.0</v>
      </c>
      <c r="L366" s="3" t="s">
        <v>31</v>
      </c>
    </row>
    <row r="367" ht="15.75" customHeight="1">
      <c r="A367" s="3" t="s">
        <v>410</v>
      </c>
      <c r="B367" s="3" t="s">
        <v>29</v>
      </c>
      <c r="C367" s="3" t="s">
        <v>30</v>
      </c>
      <c r="D367" s="3">
        <v>22961.19</v>
      </c>
      <c r="E367" s="3">
        <v>6888.36</v>
      </c>
      <c r="F367" s="3">
        <v>3402.35</v>
      </c>
      <c r="G367" s="5"/>
      <c r="H367" s="3">
        <v>33251.9</v>
      </c>
      <c r="I367" s="3">
        <v>31603.64</v>
      </c>
      <c r="J367" s="4">
        <v>45658.0</v>
      </c>
      <c r="K367" s="3">
        <v>13.0</v>
      </c>
      <c r="L367" s="3" t="s">
        <v>34</v>
      </c>
    </row>
    <row r="368" ht="15.75" customHeight="1">
      <c r="A368" s="3" t="s">
        <v>411</v>
      </c>
      <c r="B368" s="3" t="s">
        <v>13</v>
      </c>
      <c r="C368" s="3" t="s">
        <v>37</v>
      </c>
      <c r="D368" s="3">
        <v>49062.09</v>
      </c>
      <c r="E368" s="3">
        <v>14718.63</v>
      </c>
      <c r="F368" s="3">
        <v>2284.69</v>
      </c>
      <c r="G368" s="3">
        <v>1474.78</v>
      </c>
      <c r="H368" s="3">
        <v>66065.41</v>
      </c>
      <c r="I368" s="3">
        <v>64590.63</v>
      </c>
      <c r="J368" s="4">
        <v>45809.0</v>
      </c>
      <c r="K368" s="3">
        <v>18.0</v>
      </c>
      <c r="L368" s="3" t="s">
        <v>38</v>
      </c>
    </row>
    <row r="369" ht="15.75" customHeight="1">
      <c r="A369" s="3" t="s">
        <v>412</v>
      </c>
      <c r="B369" s="3" t="s">
        <v>13</v>
      </c>
      <c r="C369" s="3" t="s">
        <v>54</v>
      </c>
      <c r="D369" s="3">
        <v>36407.63</v>
      </c>
      <c r="E369" s="3">
        <v>10922.29</v>
      </c>
      <c r="F369" s="3">
        <v>5612.35</v>
      </c>
      <c r="G369" s="5"/>
      <c r="H369" s="3">
        <v>52942.27</v>
      </c>
      <c r="I369" s="3">
        <v>52885.68</v>
      </c>
      <c r="J369" s="4">
        <v>45901.0</v>
      </c>
      <c r="K369" s="3">
        <v>12.0</v>
      </c>
      <c r="L369" s="3" t="s">
        <v>40</v>
      </c>
    </row>
    <row r="370" ht="15.75" customHeight="1">
      <c r="A370" s="3" t="s">
        <v>413</v>
      </c>
      <c r="B370" s="3" t="s">
        <v>51</v>
      </c>
      <c r="C370" s="3" t="s">
        <v>54</v>
      </c>
      <c r="D370" s="3">
        <v>44140.5</v>
      </c>
      <c r="E370" s="3">
        <v>13242.15</v>
      </c>
      <c r="F370" s="3">
        <v>7774.44</v>
      </c>
      <c r="G370" s="3">
        <v>6299.29</v>
      </c>
      <c r="H370" s="3">
        <v>65157.09</v>
      </c>
      <c r="I370" s="3">
        <v>58857.8</v>
      </c>
      <c r="J370" s="4">
        <v>45962.0</v>
      </c>
      <c r="K370" s="3">
        <v>16.0</v>
      </c>
      <c r="L370" s="3" t="s">
        <v>42</v>
      </c>
    </row>
    <row r="371" ht="15.75" customHeight="1">
      <c r="A371" s="3" t="s">
        <v>414</v>
      </c>
      <c r="B371" s="3" t="s">
        <v>51</v>
      </c>
      <c r="C371" s="3" t="s">
        <v>26</v>
      </c>
      <c r="D371" s="3">
        <v>124700.91</v>
      </c>
      <c r="E371" s="3">
        <v>37410.27</v>
      </c>
      <c r="F371" s="3">
        <v>8009.98</v>
      </c>
      <c r="G371" s="3">
        <v>24163.22</v>
      </c>
      <c r="H371" s="3">
        <v>170121.16</v>
      </c>
      <c r="I371" s="3">
        <v>145957.94</v>
      </c>
      <c r="J371" s="4">
        <v>45689.0</v>
      </c>
      <c r="K371" s="3">
        <v>19.0</v>
      </c>
      <c r="L371" s="3" t="s">
        <v>15</v>
      </c>
    </row>
    <row r="372" ht="15.75" customHeight="1">
      <c r="A372" s="3" t="s">
        <v>415</v>
      </c>
      <c r="B372" s="3" t="s">
        <v>13</v>
      </c>
      <c r="C372" s="3" t="s">
        <v>37</v>
      </c>
      <c r="D372" s="3">
        <v>49179.96</v>
      </c>
      <c r="E372" s="3">
        <v>14753.99</v>
      </c>
      <c r="F372" s="3">
        <v>7265.71</v>
      </c>
      <c r="G372" s="3">
        <v>12545.8</v>
      </c>
      <c r="H372" s="3">
        <v>71199.66</v>
      </c>
      <c r="I372" s="3">
        <v>58653.86</v>
      </c>
      <c r="J372" s="4">
        <v>45658.0</v>
      </c>
      <c r="K372" s="3">
        <v>6.0</v>
      </c>
      <c r="L372" s="3" t="s">
        <v>19</v>
      </c>
    </row>
    <row r="373" ht="15.75" customHeight="1">
      <c r="A373" s="3" t="s">
        <v>416</v>
      </c>
      <c r="B373" s="3" t="s">
        <v>51</v>
      </c>
      <c r="C373" s="3" t="s">
        <v>54</v>
      </c>
      <c r="D373" s="3">
        <v>47351.43</v>
      </c>
      <c r="E373" s="3">
        <v>14205.43</v>
      </c>
      <c r="F373" s="3">
        <v>1664.77</v>
      </c>
      <c r="G373" s="3">
        <v>13063.81</v>
      </c>
      <c r="H373" s="3">
        <v>63221.63</v>
      </c>
      <c r="I373" s="3">
        <v>50157.82</v>
      </c>
      <c r="J373" s="4">
        <v>45839.0</v>
      </c>
      <c r="K373" s="3">
        <v>17.0</v>
      </c>
      <c r="L373" s="3" t="s">
        <v>21</v>
      </c>
    </row>
    <row r="374" ht="15.75" customHeight="1">
      <c r="A374" s="3" t="s">
        <v>417</v>
      </c>
      <c r="B374" s="3" t="s">
        <v>25</v>
      </c>
      <c r="C374" s="3" t="s">
        <v>54</v>
      </c>
      <c r="D374" s="3">
        <v>37608.36</v>
      </c>
      <c r="E374" s="3">
        <v>11282.51</v>
      </c>
      <c r="F374" s="3">
        <v>5633.76</v>
      </c>
      <c r="G374" s="3">
        <v>9841.63</v>
      </c>
      <c r="H374" s="3">
        <v>54524.63</v>
      </c>
      <c r="I374" s="3">
        <v>44683.0</v>
      </c>
      <c r="J374" s="4">
        <v>45778.0</v>
      </c>
      <c r="K374" s="3">
        <v>13.0</v>
      </c>
      <c r="L374" s="3" t="s">
        <v>23</v>
      </c>
    </row>
    <row r="375" ht="15.75" customHeight="1">
      <c r="A375" s="3" t="s">
        <v>418</v>
      </c>
      <c r="B375" s="3" t="s">
        <v>17</v>
      </c>
      <c r="C375" s="3" t="s">
        <v>14</v>
      </c>
      <c r="D375" s="3">
        <v>20148.42</v>
      </c>
      <c r="E375" s="3">
        <v>6044.53</v>
      </c>
      <c r="F375" s="3">
        <v>2429.02</v>
      </c>
      <c r="G375" s="3">
        <v>5612.07</v>
      </c>
      <c r="H375" s="3">
        <v>28621.97</v>
      </c>
      <c r="I375" s="3">
        <v>23009.9</v>
      </c>
      <c r="J375" s="4">
        <v>45809.0</v>
      </c>
      <c r="K375" s="3">
        <v>23.0</v>
      </c>
      <c r="L375" s="3" t="s">
        <v>27</v>
      </c>
    </row>
    <row r="376" ht="15.75" customHeight="1">
      <c r="A376" s="3" t="s">
        <v>419</v>
      </c>
      <c r="B376" s="3" t="s">
        <v>25</v>
      </c>
      <c r="C376" s="3" t="s">
        <v>37</v>
      </c>
      <c r="D376" s="3">
        <v>53424.37</v>
      </c>
      <c r="E376" s="3">
        <v>16027.31</v>
      </c>
      <c r="F376" s="3">
        <v>2060.17</v>
      </c>
      <c r="G376" s="3">
        <v>1805.42</v>
      </c>
      <c r="H376" s="3">
        <v>71511.85</v>
      </c>
      <c r="I376" s="3">
        <v>69706.43</v>
      </c>
      <c r="J376" s="4">
        <v>45717.0</v>
      </c>
      <c r="K376" s="3">
        <v>14.0</v>
      </c>
      <c r="L376" s="3" t="s">
        <v>34</v>
      </c>
    </row>
    <row r="377" ht="15.75" customHeight="1">
      <c r="A377" s="3" t="s">
        <v>420</v>
      </c>
      <c r="B377" s="3" t="s">
        <v>13</v>
      </c>
      <c r="C377" s="3" t="s">
        <v>54</v>
      </c>
      <c r="D377" s="3">
        <v>44075.99</v>
      </c>
      <c r="E377" s="3">
        <v>13222.8</v>
      </c>
      <c r="F377" s="3">
        <v>6334.59</v>
      </c>
      <c r="G377" s="3">
        <v>186.23</v>
      </c>
      <c r="H377" s="3">
        <v>63633.38</v>
      </c>
      <c r="I377" s="3">
        <v>63447.15</v>
      </c>
      <c r="J377" s="4">
        <v>45809.0</v>
      </c>
      <c r="K377" s="3">
        <v>3.0</v>
      </c>
      <c r="L377" s="3" t="s">
        <v>38</v>
      </c>
    </row>
    <row r="378" ht="15.75" customHeight="1">
      <c r="A378" s="3" t="s">
        <v>421</v>
      </c>
      <c r="B378" s="3" t="s">
        <v>25</v>
      </c>
      <c r="C378" s="3" t="s">
        <v>33</v>
      </c>
      <c r="D378" s="3">
        <v>30677.81</v>
      </c>
      <c r="E378" s="3">
        <v>9203.34</v>
      </c>
      <c r="F378" s="3">
        <v>4646.36</v>
      </c>
      <c r="G378" s="3">
        <v>1615.14</v>
      </c>
      <c r="H378" s="3">
        <v>44527.51</v>
      </c>
      <c r="I378" s="3">
        <v>42912.37</v>
      </c>
      <c r="J378" s="4">
        <v>45962.0</v>
      </c>
      <c r="K378" s="3">
        <v>17.0</v>
      </c>
      <c r="L378" s="3" t="s">
        <v>40</v>
      </c>
    </row>
    <row r="379" ht="15.75" customHeight="1">
      <c r="A379" s="3" t="s">
        <v>422</v>
      </c>
      <c r="B379" s="3" t="s">
        <v>36</v>
      </c>
      <c r="C379" s="3" t="s">
        <v>26</v>
      </c>
      <c r="D379" s="3">
        <v>105397.32</v>
      </c>
      <c r="E379" s="3">
        <v>31619.2</v>
      </c>
      <c r="F379" s="3">
        <v>6912.52</v>
      </c>
      <c r="G379" s="3">
        <v>12674.02</v>
      </c>
      <c r="H379" s="3">
        <v>143929.04</v>
      </c>
      <c r="I379" s="3">
        <v>131255.02</v>
      </c>
      <c r="J379" s="4">
        <v>45689.0</v>
      </c>
      <c r="K379" s="3">
        <v>11.0</v>
      </c>
      <c r="L379" s="3" t="s">
        <v>42</v>
      </c>
    </row>
    <row r="380" ht="15.75" customHeight="1">
      <c r="A380" s="3" t="s">
        <v>423</v>
      </c>
      <c r="B380" s="3" t="s">
        <v>51</v>
      </c>
      <c r="C380" s="3" t="s">
        <v>30</v>
      </c>
      <c r="D380" s="3">
        <v>26201.6</v>
      </c>
      <c r="E380" s="3">
        <v>7860.48</v>
      </c>
      <c r="F380" s="3">
        <v>4904.02</v>
      </c>
      <c r="G380" s="3">
        <v>53.69</v>
      </c>
      <c r="H380" s="3">
        <v>38966.1</v>
      </c>
      <c r="I380" s="3">
        <v>38912.41</v>
      </c>
      <c r="J380" s="4">
        <v>45839.0</v>
      </c>
      <c r="K380" s="3">
        <v>21.0</v>
      </c>
      <c r="L380" s="3" t="s">
        <v>15</v>
      </c>
    </row>
    <row r="381" ht="15.75" customHeight="1">
      <c r="A381" s="3" t="s">
        <v>424</v>
      </c>
      <c r="B381" s="3" t="s">
        <v>51</v>
      </c>
      <c r="C381" s="3" t="s">
        <v>54</v>
      </c>
      <c r="D381" s="5"/>
      <c r="E381" s="3">
        <v>13665.78</v>
      </c>
      <c r="F381" s="3">
        <v>8691.75</v>
      </c>
      <c r="G381" s="3">
        <v>4126.32</v>
      </c>
      <c r="H381" s="3">
        <v>67910.12</v>
      </c>
      <c r="I381" s="3">
        <v>63783.8</v>
      </c>
      <c r="J381" s="4">
        <v>45992.0</v>
      </c>
      <c r="K381" s="3">
        <v>5.0</v>
      </c>
      <c r="L381" s="3" t="s">
        <v>19</v>
      </c>
    </row>
    <row r="382" ht="15.75" customHeight="1">
      <c r="A382" s="3" t="s">
        <v>425</v>
      </c>
      <c r="B382" s="3" t="s">
        <v>53</v>
      </c>
      <c r="C382" s="3" t="s">
        <v>14</v>
      </c>
      <c r="D382" s="3">
        <v>19883.18</v>
      </c>
      <c r="E382" s="3">
        <v>5964.95</v>
      </c>
      <c r="F382" s="3">
        <v>1429.81</v>
      </c>
      <c r="G382" s="3">
        <v>1409.53</v>
      </c>
      <c r="H382" s="3">
        <v>27277.94</v>
      </c>
      <c r="I382" s="3">
        <v>25868.41</v>
      </c>
      <c r="J382" s="4">
        <v>45962.0</v>
      </c>
      <c r="K382" s="3">
        <v>12.0</v>
      </c>
      <c r="L382" s="3" t="s">
        <v>21</v>
      </c>
    </row>
    <row r="383" ht="15.75" customHeight="1">
      <c r="A383" s="3" t="s">
        <v>426</v>
      </c>
      <c r="B383" s="3" t="s">
        <v>25</v>
      </c>
      <c r="C383" s="3" t="s">
        <v>33</v>
      </c>
      <c r="D383" s="3">
        <v>31902.9</v>
      </c>
      <c r="E383" s="3">
        <v>9570.87</v>
      </c>
      <c r="F383" s="3">
        <v>4075.35</v>
      </c>
      <c r="G383" s="3">
        <v>9002.7</v>
      </c>
      <c r="H383" s="3">
        <v>45549.12</v>
      </c>
      <c r="I383" s="3">
        <v>36546.42</v>
      </c>
      <c r="J383" s="4">
        <v>45809.0</v>
      </c>
      <c r="K383" s="3">
        <v>12.0</v>
      </c>
      <c r="L383" s="3" t="s">
        <v>27</v>
      </c>
    </row>
    <row r="384" ht="15.75" customHeight="1">
      <c r="A384" s="3" t="s">
        <v>427</v>
      </c>
      <c r="B384" s="3" t="s">
        <v>53</v>
      </c>
      <c r="C384" s="3" t="s">
        <v>30</v>
      </c>
      <c r="D384" s="5"/>
      <c r="E384" s="3">
        <v>7178.5</v>
      </c>
      <c r="F384" s="3">
        <v>639.22</v>
      </c>
      <c r="G384" s="3">
        <v>1099.64</v>
      </c>
      <c r="H384" s="3">
        <v>31746.05</v>
      </c>
      <c r="I384" s="3">
        <v>30646.41</v>
      </c>
      <c r="J384" s="4">
        <v>45992.0</v>
      </c>
      <c r="K384" s="3">
        <v>13.0</v>
      </c>
      <c r="L384" s="3" t="s">
        <v>31</v>
      </c>
    </row>
    <row r="385" ht="15.75" customHeight="1">
      <c r="A385" s="3" t="s">
        <v>428</v>
      </c>
      <c r="B385" s="3" t="s">
        <v>53</v>
      </c>
      <c r="C385" s="3" t="s">
        <v>33</v>
      </c>
      <c r="D385" s="3">
        <v>29158.46</v>
      </c>
      <c r="E385" s="3">
        <v>8747.54</v>
      </c>
      <c r="F385" s="3">
        <v>3202.97</v>
      </c>
      <c r="G385" s="3">
        <v>4118.59</v>
      </c>
      <c r="H385" s="3">
        <v>41108.97</v>
      </c>
      <c r="I385" s="3">
        <v>36990.38</v>
      </c>
      <c r="J385" s="4">
        <v>45901.0</v>
      </c>
      <c r="K385" s="3">
        <v>20.0</v>
      </c>
      <c r="L385" s="3" t="s">
        <v>34</v>
      </c>
    </row>
    <row r="386" ht="15.75" customHeight="1">
      <c r="A386" s="3" t="s">
        <v>429</v>
      </c>
      <c r="B386" s="3" t="s">
        <v>25</v>
      </c>
      <c r="C386" s="3" t="s">
        <v>18</v>
      </c>
      <c r="D386" s="3">
        <v>86465.69</v>
      </c>
      <c r="E386" s="3">
        <v>25939.71</v>
      </c>
      <c r="F386" s="3">
        <v>13174.94</v>
      </c>
      <c r="G386" s="3">
        <v>17647.87</v>
      </c>
      <c r="H386" s="3">
        <v>125580.34</v>
      </c>
      <c r="I386" s="3">
        <v>107932.47</v>
      </c>
      <c r="J386" s="4">
        <v>45931.0</v>
      </c>
      <c r="K386" s="3">
        <v>7.0</v>
      </c>
      <c r="L386" s="3" t="s">
        <v>38</v>
      </c>
    </row>
    <row r="387" ht="15.75" customHeight="1">
      <c r="A387" s="3" t="s">
        <v>430</v>
      </c>
      <c r="B387" s="3" t="s">
        <v>25</v>
      </c>
      <c r="C387" s="3" t="s">
        <v>26</v>
      </c>
      <c r="D387" s="3">
        <v>92947.33</v>
      </c>
      <c r="E387" s="3">
        <v>27884.2</v>
      </c>
      <c r="F387" s="3">
        <v>8304.81</v>
      </c>
      <c r="G387" s="3">
        <v>19623.95</v>
      </c>
      <c r="H387" s="3">
        <v>129136.34</v>
      </c>
      <c r="I387" s="3">
        <v>109512.39</v>
      </c>
      <c r="J387" s="4">
        <v>45689.0</v>
      </c>
      <c r="K387" s="3">
        <v>17.0</v>
      </c>
      <c r="L387" s="3" t="s">
        <v>40</v>
      </c>
    </row>
    <row r="388" ht="15.75" customHeight="1">
      <c r="A388" s="3" t="s">
        <v>431</v>
      </c>
      <c r="B388" s="3" t="s">
        <v>53</v>
      </c>
      <c r="C388" s="3" t="s">
        <v>14</v>
      </c>
      <c r="D388" s="3">
        <v>18444.66</v>
      </c>
      <c r="E388" s="3">
        <v>5533.4</v>
      </c>
      <c r="F388" s="3">
        <v>2020.24</v>
      </c>
      <c r="G388" s="3">
        <v>2797.06</v>
      </c>
      <c r="H388" s="3">
        <v>25998.3</v>
      </c>
      <c r="I388" s="3">
        <v>23201.24</v>
      </c>
      <c r="J388" s="3" t="s">
        <v>432</v>
      </c>
      <c r="K388" s="3">
        <v>21.0</v>
      </c>
      <c r="L388" s="3" t="s">
        <v>42</v>
      </c>
    </row>
    <row r="389" ht="15.75" customHeight="1">
      <c r="A389" s="3" t="s">
        <v>433</v>
      </c>
      <c r="B389" s="3" t="s">
        <v>53</v>
      </c>
      <c r="C389" s="3" t="s">
        <v>30</v>
      </c>
      <c r="D389" s="3">
        <v>23447.93</v>
      </c>
      <c r="E389" s="3">
        <v>7034.38</v>
      </c>
      <c r="F389" s="3">
        <v>4007.19</v>
      </c>
      <c r="G389" s="3">
        <v>3108.07</v>
      </c>
      <c r="H389" s="3">
        <v>34489.5</v>
      </c>
      <c r="I389" s="3">
        <v>31381.43</v>
      </c>
      <c r="J389" s="4">
        <v>45962.0</v>
      </c>
      <c r="K389" s="3">
        <v>8.0</v>
      </c>
      <c r="L389" s="3" t="s">
        <v>15</v>
      </c>
    </row>
    <row r="390" ht="15.75" customHeight="1">
      <c r="A390" s="3" t="s">
        <v>434</v>
      </c>
      <c r="B390" s="3" t="s">
        <v>51</v>
      </c>
      <c r="C390" s="3" t="s">
        <v>18</v>
      </c>
      <c r="D390" s="3">
        <v>80161.84</v>
      </c>
      <c r="E390" s="3">
        <v>24048.55</v>
      </c>
      <c r="F390" s="3">
        <v>1458.01</v>
      </c>
      <c r="G390" s="3">
        <v>12273.79</v>
      </c>
      <c r="H390" s="3">
        <v>105668.4</v>
      </c>
      <c r="I390" s="3">
        <v>93394.61</v>
      </c>
      <c r="J390" s="4">
        <v>45658.0</v>
      </c>
      <c r="K390" s="3">
        <v>12.0</v>
      </c>
      <c r="L390" s="3" t="s">
        <v>19</v>
      </c>
    </row>
    <row r="391" ht="15.75" customHeight="1">
      <c r="A391" s="3" t="s">
        <v>435</v>
      </c>
      <c r="B391" s="3" t="s">
        <v>36</v>
      </c>
      <c r="C391" s="3" t="s">
        <v>30</v>
      </c>
      <c r="D391" s="3">
        <v>26516.58</v>
      </c>
      <c r="E391" s="3">
        <v>7954.97</v>
      </c>
      <c r="F391" s="3">
        <v>2422.55</v>
      </c>
      <c r="G391" s="3">
        <v>459.29</v>
      </c>
      <c r="H391" s="3">
        <v>36894.1</v>
      </c>
      <c r="I391" s="3">
        <v>36434.81</v>
      </c>
      <c r="J391" s="4">
        <v>45870.0</v>
      </c>
      <c r="K391" s="3">
        <v>20.0</v>
      </c>
      <c r="L391" s="3" t="s">
        <v>21</v>
      </c>
    </row>
    <row r="392" ht="15.75" customHeight="1">
      <c r="A392" s="3" t="s">
        <v>436</v>
      </c>
      <c r="B392" s="3" t="s">
        <v>13</v>
      </c>
      <c r="C392" s="3" t="s">
        <v>26</v>
      </c>
      <c r="D392" s="3">
        <v>101094.1</v>
      </c>
      <c r="E392" s="3">
        <v>30328.23</v>
      </c>
      <c r="F392" s="3">
        <v>440.17</v>
      </c>
      <c r="G392" s="3">
        <v>7717.24</v>
      </c>
      <c r="H392" s="3">
        <v>131862.5</v>
      </c>
      <c r="I392" s="3">
        <v>124145.26</v>
      </c>
      <c r="J392" s="4">
        <v>45658.0</v>
      </c>
      <c r="K392" s="3">
        <v>11.0</v>
      </c>
      <c r="L392" s="3" t="s">
        <v>23</v>
      </c>
    </row>
    <row r="393" ht="15.75" customHeight="1">
      <c r="A393" s="3" t="s">
        <v>437</v>
      </c>
      <c r="B393" s="3" t="s">
        <v>13</v>
      </c>
      <c r="C393" s="3" t="s">
        <v>30</v>
      </c>
      <c r="D393" s="3">
        <v>27089.14</v>
      </c>
      <c r="E393" s="3">
        <v>8126.74</v>
      </c>
      <c r="F393" s="3">
        <v>245.37</v>
      </c>
      <c r="G393" s="3">
        <v>2799.9</v>
      </c>
      <c r="H393" s="3">
        <v>35461.25</v>
      </c>
      <c r="I393" s="3">
        <v>32661.35</v>
      </c>
      <c r="J393" s="3" t="s">
        <v>438</v>
      </c>
      <c r="K393" s="3">
        <v>5.0</v>
      </c>
      <c r="L393" s="3" t="s">
        <v>27</v>
      </c>
    </row>
    <row r="394" ht="15.75" customHeight="1">
      <c r="A394" s="3" t="s">
        <v>439</v>
      </c>
      <c r="B394" s="3" t="s">
        <v>53</v>
      </c>
      <c r="C394" s="3" t="s">
        <v>14</v>
      </c>
      <c r="D394" s="3">
        <v>24729.0</v>
      </c>
      <c r="E394" s="3">
        <v>7418.7</v>
      </c>
      <c r="F394" s="3">
        <v>341.35</v>
      </c>
      <c r="G394" s="3">
        <v>6927.4</v>
      </c>
      <c r="H394" s="3">
        <v>32489.05</v>
      </c>
      <c r="I394" s="3">
        <v>25561.65</v>
      </c>
      <c r="J394" s="4">
        <v>45658.0</v>
      </c>
      <c r="K394" s="3">
        <v>24.0</v>
      </c>
      <c r="L394" s="3" t="s">
        <v>31</v>
      </c>
    </row>
    <row r="395" ht="15.75" customHeight="1">
      <c r="A395" s="3" t="s">
        <v>440</v>
      </c>
      <c r="B395" s="3" t="s">
        <v>29</v>
      </c>
      <c r="C395" s="3" t="s">
        <v>54</v>
      </c>
      <c r="D395" s="3">
        <v>37519.74</v>
      </c>
      <c r="E395" s="3">
        <v>11255.92</v>
      </c>
      <c r="F395" s="3">
        <v>1016.25</v>
      </c>
      <c r="G395" s="3">
        <v>7220.96</v>
      </c>
      <c r="H395" s="3">
        <v>49791.91</v>
      </c>
      <c r="I395" s="3">
        <v>42570.95</v>
      </c>
      <c r="J395" s="4">
        <v>45992.0</v>
      </c>
      <c r="K395" s="3">
        <v>23.0</v>
      </c>
      <c r="L395" s="3" t="s">
        <v>34</v>
      </c>
    </row>
    <row r="396" ht="15.75" customHeight="1">
      <c r="A396" s="3" t="s">
        <v>441</v>
      </c>
      <c r="B396" s="3" t="s">
        <v>13</v>
      </c>
      <c r="C396" s="3" t="s">
        <v>54</v>
      </c>
      <c r="D396" s="3">
        <v>40242.45</v>
      </c>
      <c r="E396" s="3">
        <v>12072.73</v>
      </c>
      <c r="F396" s="3">
        <v>7173.89</v>
      </c>
      <c r="G396" s="3">
        <v>5415.07</v>
      </c>
      <c r="H396" s="3">
        <v>59489.07</v>
      </c>
      <c r="I396" s="3">
        <v>54074.0</v>
      </c>
      <c r="J396" s="4">
        <v>45839.0</v>
      </c>
      <c r="K396" s="3">
        <v>18.0</v>
      </c>
      <c r="L396" s="3" t="s">
        <v>38</v>
      </c>
    </row>
    <row r="397" ht="15.75" customHeight="1">
      <c r="A397" s="3" t="s">
        <v>442</v>
      </c>
      <c r="B397" s="3" t="s">
        <v>25</v>
      </c>
      <c r="C397" s="3" t="s">
        <v>33</v>
      </c>
      <c r="D397" s="3">
        <v>26186.33</v>
      </c>
      <c r="E397" s="3">
        <v>7855.9</v>
      </c>
      <c r="F397" s="3">
        <v>5199.8</v>
      </c>
      <c r="G397" s="3">
        <v>3087.83</v>
      </c>
      <c r="H397" s="3">
        <v>39242.03</v>
      </c>
      <c r="I397" s="3">
        <v>36154.2</v>
      </c>
      <c r="J397" s="4">
        <v>45717.0</v>
      </c>
      <c r="K397" s="3">
        <v>25.0</v>
      </c>
      <c r="L397" s="3" t="s">
        <v>42</v>
      </c>
    </row>
    <row r="398" ht="15.75" customHeight="1">
      <c r="A398" s="3" t="s">
        <v>443</v>
      </c>
      <c r="B398" s="3" t="s">
        <v>13</v>
      </c>
      <c r="C398" s="3" t="s">
        <v>30</v>
      </c>
      <c r="D398" s="3">
        <v>29346.43</v>
      </c>
      <c r="E398" s="3">
        <v>8803.93</v>
      </c>
      <c r="F398" s="3">
        <v>4438.23</v>
      </c>
      <c r="G398" s="3">
        <v>8614.56</v>
      </c>
      <c r="H398" s="3">
        <v>42588.59</v>
      </c>
      <c r="I398" s="3">
        <v>33974.03</v>
      </c>
      <c r="J398" s="4">
        <v>45870.0</v>
      </c>
      <c r="K398" s="3">
        <v>5.0</v>
      </c>
      <c r="L398" s="3" t="s">
        <v>15</v>
      </c>
    </row>
    <row r="399" ht="15.75" customHeight="1">
      <c r="A399" s="3" t="s">
        <v>444</v>
      </c>
      <c r="B399" s="3" t="s">
        <v>13</v>
      </c>
      <c r="C399" s="3" t="s">
        <v>18</v>
      </c>
      <c r="D399" s="3">
        <v>79155.58</v>
      </c>
      <c r="E399" s="3">
        <v>23746.67</v>
      </c>
      <c r="F399" s="3">
        <v>8421.1</v>
      </c>
      <c r="G399" s="3">
        <v>19552.07</v>
      </c>
      <c r="H399" s="3">
        <v>111323.35</v>
      </c>
      <c r="I399" s="3">
        <v>91771.28</v>
      </c>
      <c r="J399" s="4">
        <v>45748.0</v>
      </c>
      <c r="K399" s="3">
        <v>3.0</v>
      </c>
      <c r="L399" s="3" t="s">
        <v>19</v>
      </c>
    </row>
    <row r="400" ht="15.75" customHeight="1">
      <c r="A400" s="3" t="s">
        <v>445</v>
      </c>
      <c r="B400" s="3" t="s">
        <v>36</v>
      </c>
      <c r="C400" s="3" t="s">
        <v>33</v>
      </c>
      <c r="D400" s="3">
        <v>26551.21</v>
      </c>
      <c r="E400" s="3">
        <v>7965.36</v>
      </c>
      <c r="F400" s="3">
        <v>1000.88</v>
      </c>
      <c r="G400" s="3">
        <v>6971.35</v>
      </c>
      <c r="H400" s="3">
        <v>35517.45</v>
      </c>
      <c r="I400" s="3">
        <v>28546.1</v>
      </c>
      <c r="J400" s="4">
        <v>45689.0</v>
      </c>
      <c r="K400" s="3">
        <v>23.0</v>
      </c>
      <c r="L400" s="3" t="s">
        <v>21</v>
      </c>
    </row>
    <row r="401" ht="15.75" customHeight="1">
      <c r="A401" s="3" t="s">
        <v>446</v>
      </c>
      <c r="B401" s="3" t="s">
        <v>17</v>
      </c>
      <c r="C401" s="3" t="s">
        <v>26</v>
      </c>
      <c r="D401" s="5"/>
      <c r="E401" s="3">
        <v>34130.14</v>
      </c>
      <c r="F401" s="3">
        <v>13991.61</v>
      </c>
      <c r="G401" s="3">
        <v>31953.93</v>
      </c>
      <c r="H401" s="3">
        <v>161888.87</v>
      </c>
      <c r="I401" s="3">
        <v>129934.94</v>
      </c>
      <c r="J401" s="4">
        <v>45658.0</v>
      </c>
      <c r="K401" s="3">
        <v>5.0</v>
      </c>
      <c r="L401" s="3" t="s">
        <v>23</v>
      </c>
    </row>
    <row r="402" ht="15.75" customHeight="1">
      <c r="A402" s="3" t="s">
        <v>447</v>
      </c>
      <c r="B402" s="3" t="s">
        <v>51</v>
      </c>
      <c r="C402" s="3" t="s">
        <v>30</v>
      </c>
      <c r="D402" s="3">
        <v>22592.16</v>
      </c>
      <c r="E402" s="3">
        <v>6777.65</v>
      </c>
      <c r="F402" s="3">
        <v>2683.7</v>
      </c>
      <c r="G402" s="3">
        <v>3025.82</v>
      </c>
      <c r="H402" s="3">
        <v>32053.51</v>
      </c>
      <c r="I402" s="3">
        <v>29027.69</v>
      </c>
      <c r="J402" s="4">
        <v>45962.0</v>
      </c>
      <c r="K402" s="3">
        <v>21.0</v>
      </c>
      <c r="L402" s="3" t="s">
        <v>27</v>
      </c>
    </row>
    <row r="403" ht="15.75" customHeight="1">
      <c r="A403" s="3" t="s">
        <v>448</v>
      </c>
      <c r="B403" s="3" t="s">
        <v>13</v>
      </c>
      <c r="C403" s="3" t="s">
        <v>26</v>
      </c>
      <c r="D403" s="3">
        <v>91752.35</v>
      </c>
      <c r="E403" s="3">
        <v>27525.71</v>
      </c>
      <c r="F403" s="3">
        <v>13589.28</v>
      </c>
      <c r="G403" s="3">
        <v>11072.64</v>
      </c>
      <c r="H403" s="3">
        <v>132867.34</v>
      </c>
      <c r="I403" s="3">
        <v>121794.7</v>
      </c>
      <c r="J403" s="4">
        <v>45748.0</v>
      </c>
      <c r="K403" s="3">
        <v>3.0</v>
      </c>
      <c r="L403" s="3" t="s">
        <v>31</v>
      </c>
    </row>
    <row r="404" ht="15.75" customHeight="1">
      <c r="A404" s="3" t="s">
        <v>449</v>
      </c>
      <c r="B404" s="3" t="s">
        <v>53</v>
      </c>
      <c r="C404" s="3" t="s">
        <v>30</v>
      </c>
      <c r="D404" s="3">
        <v>28638.59</v>
      </c>
      <c r="E404" s="3">
        <v>8591.58</v>
      </c>
      <c r="F404" s="3">
        <v>4445.07</v>
      </c>
      <c r="G404" s="3">
        <v>1203.99</v>
      </c>
      <c r="H404" s="3">
        <v>41675.24</v>
      </c>
      <c r="I404" s="3">
        <v>40471.25</v>
      </c>
      <c r="J404" s="4">
        <v>45778.0</v>
      </c>
      <c r="K404" s="3">
        <v>6.0</v>
      </c>
      <c r="L404" s="3" t="s">
        <v>34</v>
      </c>
    </row>
    <row r="405" ht="15.75" customHeight="1">
      <c r="A405" s="3" t="s">
        <v>450</v>
      </c>
      <c r="B405" s="3" t="s">
        <v>51</v>
      </c>
      <c r="C405" s="3" t="s">
        <v>26</v>
      </c>
      <c r="D405" s="3">
        <v>122990.29</v>
      </c>
      <c r="E405" s="3">
        <v>36897.09</v>
      </c>
      <c r="F405" s="3">
        <v>14171.2</v>
      </c>
      <c r="G405" s="3">
        <v>21307.14</v>
      </c>
      <c r="H405" s="3">
        <v>174058.58</v>
      </c>
      <c r="I405" s="3">
        <v>152751.44</v>
      </c>
      <c r="J405" s="4">
        <v>45962.0</v>
      </c>
      <c r="K405" s="3">
        <v>6.0</v>
      </c>
      <c r="L405" s="3" t="s">
        <v>38</v>
      </c>
    </row>
    <row r="406" ht="15.75" customHeight="1">
      <c r="A406" s="3" t="s">
        <v>451</v>
      </c>
      <c r="B406" s="3" t="s">
        <v>25</v>
      </c>
      <c r="C406" s="3" t="s">
        <v>33</v>
      </c>
      <c r="D406" s="3">
        <v>27369.04</v>
      </c>
      <c r="E406" s="3">
        <v>8210.71</v>
      </c>
      <c r="F406" s="3">
        <v>4796.47</v>
      </c>
      <c r="G406" s="3">
        <v>8093.26</v>
      </c>
      <c r="H406" s="3">
        <v>40376.22</v>
      </c>
      <c r="I406" s="3">
        <v>32282.96</v>
      </c>
      <c r="J406" s="4">
        <v>45901.0</v>
      </c>
      <c r="K406" s="3">
        <v>12.0</v>
      </c>
      <c r="L406" s="3" t="s">
        <v>40</v>
      </c>
    </row>
    <row r="407" ht="15.75" customHeight="1">
      <c r="A407" s="3" t="s">
        <v>452</v>
      </c>
      <c r="B407" s="3" t="s">
        <v>51</v>
      </c>
      <c r="C407" s="3" t="s">
        <v>54</v>
      </c>
      <c r="D407" s="3">
        <v>39207.01</v>
      </c>
      <c r="E407" s="3">
        <v>11762.1</v>
      </c>
      <c r="F407" s="3">
        <v>477.99</v>
      </c>
      <c r="G407" s="3">
        <v>11156.59</v>
      </c>
      <c r="H407" s="3">
        <v>51447.1</v>
      </c>
      <c r="I407" s="3">
        <v>40290.51</v>
      </c>
      <c r="J407" s="4">
        <v>45992.0</v>
      </c>
      <c r="K407" s="3">
        <v>8.0</v>
      </c>
      <c r="L407" s="3" t="s">
        <v>42</v>
      </c>
    </row>
    <row r="408" ht="15.75" customHeight="1">
      <c r="A408" s="3" t="s">
        <v>453</v>
      </c>
      <c r="B408" s="3" t="s">
        <v>51</v>
      </c>
      <c r="C408" s="3" t="s">
        <v>18</v>
      </c>
      <c r="D408" s="3">
        <v>82647.5</v>
      </c>
      <c r="E408" s="3">
        <v>24794.25</v>
      </c>
      <c r="F408" s="3">
        <v>9187.93</v>
      </c>
      <c r="G408" s="3">
        <v>1162.46</v>
      </c>
      <c r="H408" s="3">
        <v>116629.68</v>
      </c>
      <c r="I408" s="3">
        <v>115467.22</v>
      </c>
      <c r="J408" s="4">
        <v>45809.0</v>
      </c>
      <c r="K408" s="3">
        <v>22.0</v>
      </c>
      <c r="L408" s="3" t="s">
        <v>15</v>
      </c>
    </row>
    <row r="409" ht="15.75" customHeight="1">
      <c r="A409" s="3" t="s">
        <v>454</v>
      </c>
      <c r="B409" s="3" t="s">
        <v>51</v>
      </c>
      <c r="C409" s="3" t="s">
        <v>33</v>
      </c>
      <c r="D409" s="3">
        <v>28764.6</v>
      </c>
      <c r="E409" s="3">
        <v>8629.38</v>
      </c>
      <c r="F409" s="3">
        <v>4340.1</v>
      </c>
      <c r="G409" s="3">
        <v>4086.17</v>
      </c>
      <c r="H409" s="3">
        <v>41734.08</v>
      </c>
      <c r="I409" s="3">
        <v>37647.91</v>
      </c>
      <c r="J409" s="4">
        <v>45748.0</v>
      </c>
      <c r="K409" s="3">
        <v>11.0</v>
      </c>
      <c r="L409" s="3" t="s">
        <v>21</v>
      </c>
    </row>
    <row r="410" ht="15.75" customHeight="1">
      <c r="A410" s="3" t="s">
        <v>455</v>
      </c>
      <c r="B410" s="3" t="s">
        <v>36</v>
      </c>
      <c r="C410" s="3" t="s">
        <v>54</v>
      </c>
      <c r="D410" s="3">
        <v>42802.01</v>
      </c>
      <c r="E410" s="3">
        <v>12840.6</v>
      </c>
      <c r="F410" s="3">
        <v>1147.89</v>
      </c>
      <c r="G410" s="3">
        <v>3118.45</v>
      </c>
      <c r="H410" s="3">
        <v>56790.5</v>
      </c>
      <c r="I410" s="3">
        <v>53672.05</v>
      </c>
      <c r="J410" s="4">
        <v>45748.0</v>
      </c>
      <c r="K410" s="3">
        <v>20.0</v>
      </c>
      <c r="L410" s="3" t="s">
        <v>27</v>
      </c>
    </row>
    <row r="411" ht="15.75" customHeight="1">
      <c r="A411" s="3" t="s">
        <v>456</v>
      </c>
      <c r="B411" s="3" t="s">
        <v>29</v>
      </c>
      <c r="C411" s="3" t="s">
        <v>18</v>
      </c>
      <c r="D411" s="3">
        <v>67055.83</v>
      </c>
      <c r="E411" s="3">
        <v>20116.75</v>
      </c>
      <c r="F411" s="3">
        <v>6032.17</v>
      </c>
      <c r="G411" s="3">
        <v>7464.87</v>
      </c>
      <c r="H411" s="3">
        <v>93204.75</v>
      </c>
      <c r="I411" s="3">
        <v>85739.88</v>
      </c>
      <c r="J411" s="4">
        <v>45901.0</v>
      </c>
      <c r="K411" s="3">
        <v>16.0</v>
      </c>
      <c r="L411" s="3" t="s">
        <v>31</v>
      </c>
    </row>
    <row r="412" ht="15.75" customHeight="1">
      <c r="A412" s="3" t="s">
        <v>457</v>
      </c>
      <c r="B412" s="3" t="s">
        <v>13</v>
      </c>
      <c r="C412" s="3" t="s">
        <v>26</v>
      </c>
      <c r="D412" s="3">
        <v>96857.34</v>
      </c>
      <c r="E412" s="3">
        <v>29057.2</v>
      </c>
      <c r="F412" s="3">
        <v>5200.5</v>
      </c>
      <c r="G412" s="3">
        <v>19575.02</v>
      </c>
      <c r="H412" s="3">
        <v>131115.04</v>
      </c>
      <c r="I412" s="3">
        <v>111540.02</v>
      </c>
      <c r="J412" s="4">
        <v>45931.0</v>
      </c>
      <c r="K412" s="3">
        <v>18.0</v>
      </c>
      <c r="L412" s="3" t="s">
        <v>34</v>
      </c>
    </row>
    <row r="413" ht="15.75" customHeight="1">
      <c r="A413" s="3" t="s">
        <v>458</v>
      </c>
      <c r="B413" s="3" t="s">
        <v>17</v>
      </c>
      <c r="C413" s="3" t="s">
        <v>26</v>
      </c>
      <c r="D413" s="3">
        <v>92620.24</v>
      </c>
      <c r="E413" s="3">
        <v>27786.07</v>
      </c>
      <c r="F413" s="3">
        <v>14905.39</v>
      </c>
      <c r="G413" s="3">
        <v>16326.64</v>
      </c>
      <c r="H413" s="3">
        <v>135311.7</v>
      </c>
      <c r="I413" s="3">
        <v>118985.06</v>
      </c>
      <c r="J413" s="4">
        <v>45962.0</v>
      </c>
      <c r="K413" s="3">
        <v>8.0</v>
      </c>
      <c r="L413" s="3" t="s">
        <v>38</v>
      </c>
    </row>
    <row r="414" ht="15.75" customHeight="1">
      <c r="A414" s="3" t="s">
        <v>459</v>
      </c>
      <c r="B414" s="3" t="s">
        <v>53</v>
      </c>
      <c r="C414" s="3" t="s">
        <v>30</v>
      </c>
      <c r="D414" s="3">
        <v>26218.67</v>
      </c>
      <c r="E414" s="3">
        <v>7865.6</v>
      </c>
      <c r="F414" s="3">
        <v>4559.29</v>
      </c>
      <c r="G414" s="3">
        <v>2618.96</v>
      </c>
      <c r="H414" s="3">
        <v>38643.56</v>
      </c>
      <c r="I414" s="3">
        <v>36024.6</v>
      </c>
      <c r="J414" s="4">
        <v>45658.0</v>
      </c>
      <c r="K414" s="3">
        <v>11.0</v>
      </c>
      <c r="L414" s="3" t="s">
        <v>40</v>
      </c>
    </row>
    <row r="415" ht="15.75" customHeight="1">
      <c r="A415" s="3" t="s">
        <v>460</v>
      </c>
      <c r="B415" s="3" t="s">
        <v>51</v>
      </c>
      <c r="C415" s="3" t="s">
        <v>30</v>
      </c>
      <c r="D415" s="3">
        <v>30466.28</v>
      </c>
      <c r="E415" s="3">
        <v>9139.88</v>
      </c>
      <c r="F415" s="3">
        <v>714.84</v>
      </c>
      <c r="G415" s="3">
        <v>9135.97</v>
      </c>
      <c r="H415" s="3">
        <v>40321.0</v>
      </c>
      <c r="I415" s="3">
        <v>31185.03</v>
      </c>
      <c r="J415" s="4">
        <v>45870.0</v>
      </c>
      <c r="K415" s="3">
        <v>6.0</v>
      </c>
      <c r="L415" s="3" t="s">
        <v>42</v>
      </c>
    </row>
    <row r="416" ht="15.75" customHeight="1">
      <c r="A416" s="3" t="s">
        <v>461</v>
      </c>
      <c r="B416" s="3" t="s">
        <v>51</v>
      </c>
      <c r="C416" s="3" t="s">
        <v>18</v>
      </c>
      <c r="D416" s="3">
        <v>80714.44</v>
      </c>
      <c r="E416" s="3">
        <v>24214.33</v>
      </c>
      <c r="F416" s="3">
        <v>3301.43</v>
      </c>
      <c r="G416" s="3">
        <v>22159.18</v>
      </c>
      <c r="H416" s="3">
        <v>108230.2</v>
      </c>
      <c r="I416" s="3">
        <v>86071.02</v>
      </c>
      <c r="J416" s="4">
        <v>45901.0</v>
      </c>
      <c r="K416" s="3">
        <v>25.0</v>
      </c>
      <c r="L416" s="3" t="s">
        <v>15</v>
      </c>
    </row>
    <row r="417" ht="15.75" customHeight="1">
      <c r="A417" s="3" t="s">
        <v>462</v>
      </c>
      <c r="B417" s="3" t="s">
        <v>29</v>
      </c>
      <c r="C417" s="3" t="s">
        <v>26</v>
      </c>
      <c r="D417" s="3">
        <v>100190.13</v>
      </c>
      <c r="E417" s="3">
        <v>30057.04</v>
      </c>
      <c r="F417" s="3">
        <v>9342.74</v>
      </c>
      <c r="G417" s="3">
        <v>19498.64</v>
      </c>
      <c r="H417" s="3">
        <v>139589.91</v>
      </c>
      <c r="I417" s="3">
        <v>120091.27</v>
      </c>
      <c r="J417" s="4">
        <v>45778.0</v>
      </c>
      <c r="K417" s="3">
        <v>11.0</v>
      </c>
      <c r="L417" s="3" t="s">
        <v>19</v>
      </c>
    </row>
    <row r="418" ht="15.75" customHeight="1">
      <c r="A418" s="3" t="s">
        <v>463</v>
      </c>
      <c r="B418" s="3" t="s">
        <v>36</v>
      </c>
      <c r="C418" s="3" t="s">
        <v>26</v>
      </c>
      <c r="D418" s="3">
        <v>120230.32</v>
      </c>
      <c r="E418" s="3">
        <v>36069.1</v>
      </c>
      <c r="F418" s="3">
        <v>21986.05</v>
      </c>
      <c r="G418" s="3">
        <v>13370.99</v>
      </c>
      <c r="H418" s="3">
        <v>178285.47</v>
      </c>
      <c r="I418" s="3">
        <v>164914.48</v>
      </c>
      <c r="J418" s="4">
        <v>45839.0</v>
      </c>
      <c r="K418" s="3">
        <v>4.0</v>
      </c>
      <c r="L418" s="3" t="s">
        <v>23</v>
      </c>
    </row>
    <row r="419" ht="15.75" customHeight="1">
      <c r="A419" s="3" t="s">
        <v>464</v>
      </c>
      <c r="B419" s="3" t="s">
        <v>17</v>
      </c>
      <c r="C419" s="3" t="s">
        <v>37</v>
      </c>
      <c r="D419" s="3">
        <v>60553.53</v>
      </c>
      <c r="E419" s="3">
        <v>18166.06</v>
      </c>
      <c r="F419" s="3">
        <v>8977.09</v>
      </c>
      <c r="G419" s="3">
        <v>294.65</v>
      </c>
      <c r="H419" s="3">
        <v>87696.68</v>
      </c>
      <c r="I419" s="3">
        <v>87402.03</v>
      </c>
      <c r="J419" s="4">
        <v>45901.0</v>
      </c>
      <c r="K419" s="3">
        <v>7.0</v>
      </c>
      <c r="L419" s="3" t="s">
        <v>27</v>
      </c>
    </row>
    <row r="420" ht="15.75" customHeight="1">
      <c r="A420" s="3" t="s">
        <v>465</v>
      </c>
      <c r="B420" s="3" t="s">
        <v>53</v>
      </c>
      <c r="C420" s="3" t="s">
        <v>37</v>
      </c>
      <c r="D420" s="3">
        <v>57960.21</v>
      </c>
      <c r="E420" s="3">
        <v>17388.06</v>
      </c>
      <c r="F420" s="3">
        <v>3421.88</v>
      </c>
      <c r="G420" s="3">
        <v>3411.4</v>
      </c>
      <c r="H420" s="3">
        <v>78770.15</v>
      </c>
      <c r="I420" s="3">
        <v>75358.75</v>
      </c>
      <c r="J420" s="4">
        <v>45748.0</v>
      </c>
      <c r="K420" s="3">
        <v>19.0</v>
      </c>
      <c r="L420" s="3" t="s">
        <v>31</v>
      </c>
    </row>
    <row r="421" ht="15.75" customHeight="1">
      <c r="A421" s="3" t="s">
        <v>466</v>
      </c>
      <c r="B421" s="3" t="s">
        <v>36</v>
      </c>
      <c r="C421" s="3" t="s">
        <v>37</v>
      </c>
      <c r="D421" s="3">
        <v>60000.53</v>
      </c>
      <c r="E421" s="3">
        <v>18000.16</v>
      </c>
      <c r="F421" s="3">
        <v>5991.67</v>
      </c>
      <c r="G421" s="3">
        <v>11783.05</v>
      </c>
      <c r="H421" s="3">
        <v>83992.36</v>
      </c>
      <c r="I421" s="3">
        <v>72209.31</v>
      </c>
      <c r="J421" s="4">
        <v>45962.0</v>
      </c>
      <c r="K421" s="3">
        <v>25.0</v>
      </c>
      <c r="L421" s="3" t="s">
        <v>34</v>
      </c>
    </row>
    <row r="422" ht="15.75" customHeight="1">
      <c r="A422" s="3" t="s">
        <v>467</v>
      </c>
      <c r="B422" s="3" t="s">
        <v>29</v>
      </c>
      <c r="C422" s="3" t="s">
        <v>33</v>
      </c>
      <c r="D422" s="3">
        <v>32633.61</v>
      </c>
      <c r="E422" s="3">
        <v>9790.08</v>
      </c>
      <c r="F422" s="3">
        <v>3189.09</v>
      </c>
      <c r="G422" s="3">
        <v>7083.69</v>
      </c>
      <c r="H422" s="3">
        <v>45612.78</v>
      </c>
      <c r="I422" s="3">
        <v>38529.09</v>
      </c>
      <c r="J422" s="4">
        <v>45992.0</v>
      </c>
      <c r="K422" s="3">
        <v>1.0</v>
      </c>
      <c r="L422" s="3" t="s">
        <v>38</v>
      </c>
    </row>
    <row r="423" ht="15.75" customHeight="1">
      <c r="A423" s="3" t="s">
        <v>468</v>
      </c>
      <c r="B423" s="3" t="s">
        <v>36</v>
      </c>
      <c r="C423" s="3" t="s">
        <v>54</v>
      </c>
      <c r="D423" s="3">
        <v>37355.27</v>
      </c>
      <c r="E423" s="3">
        <v>11206.58</v>
      </c>
      <c r="F423" s="3">
        <v>5939.3</v>
      </c>
      <c r="G423" s="3">
        <v>1896.89</v>
      </c>
      <c r="H423" s="3">
        <v>54501.15</v>
      </c>
      <c r="I423" s="3">
        <v>52604.26</v>
      </c>
      <c r="J423" s="4">
        <v>45992.0</v>
      </c>
      <c r="K423" s="3">
        <v>12.0</v>
      </c>
      <c r="L423" s="3" t="s">
        <v>40</v>
      </c>
    </row>
    <row r="424" ht="15.75" customHeight="1">
      <c r="A424" s="3" t="s">
        <v>469</v>
      </c>
      <c r="B424" s="3" t="s">
        <v>53</v>
      </c>
      <c r="C424" s="3" t="s">
        <v>54</v>
      </c>
      <c r="D424" s="3">
        <v>37576.67</v>
      </c>
      <c r="E424" s="3">
        <v>11273.0</v>
      </c>
      <c r="F424" s="3">
        <v>6683.87</v>
      </c>
      <c r="G424" s="3">
        <v>11163.92</v>
      </c>
      <c r="H424" s="3">
        <v>55533.54</v>
      </c>
      <c r="I424" s="3">
        <v>44369.62</v>
      </c>
      <c r="J424" s="4">
        <v>45658.0</v>
      </c>
      <c r="K424" s="3">
        <v>17.0</v>
      </c>
      <c r="L424" s="3" t="s">
        <v>42</v>
      </c>
    </row>
    <row r="425" ht="15.75" customHeight="1">
      <c r="A425" s="3" t="s">
        <v>470</v>
      </c>
      <c r="B425" s="3" t="s">
        <v>13</v>
      </c>
      <c r="C425" s="3" t="s">
        <v>37</v>
      </c>
      <c r="D425" s="3">
        <v>61429.53</v>
      </c>
      <c r="E425" s="3">
        <v>18428.86</v>
      </c>
      <c r="F425" s="3">
        <v>8099.91</v>
      </c>
      <c r="G425" s="5"/>
      <c r="H425" s="3">
        <v>87958.3</v>
      </c>
      <c r="I425" s="3">
        <v>87668.38</v>
      </c>
      <c r="J425" s="4">
        <v>45901.0</v>
      </c>
      <c r="K425" s="3">
        <v>23.0</v>
      </c>
      <c r="L425" s="3" t="s">
        <v>23</v>
      </c>
    </row>
    <row r="426" ht="15.75" customHeight="1">
      <c r="A426" s="3" t="s">
        <v>471</v>
      </c>
      <c r="B426" s="3" t="s">
        <v>53</v>
      </c>
      <c r="C426" s="3" t="s">
        <v>54</v>
      </c>
      <c r="D426" s="3">
        <v>35165.91</v>
      </c>
      <c r="E426" s="3">
        <v>10549.77</v>
      </c>
      <c r="F426" s="3">
        <v>3723.49</v>
      </c>
      <c r="G426" s="3">
        <v>2898.45</v>
      </c>
      <c r="H426" s="3">
        <v>49439.17</v>
      </c>
      <c r="I426" s="3">
        <v>46540.72</v>
      </c>
      <c r="J426" s="4">
        <v>45778.0</v>
      </c>
      <c r="K426" s="3">
        <v>16.0</v>
      </c>
      <c r="L426" s="3" t="s">
        <v>27</v>
      </c>
    </row>
    <row r="427" ht="15.75" customHeight="1">
      <c r="A427" s="3" t="s">
        <v>472</v>
      </c>
      <c r="B427" s="3" t="s">
        <v>17</v>
      </c>
      <c r="C427" s="3" t="s">
        <v>37</v>
      </c>
      <c r="D427" s="3">
        <v>59636.83</v>
      </c>
      <c r="E427" s="3">
        <v>17891.05</v>
      </c>
      <c r="F427" s="3">
        <v>8039.44</v>
      </c>
      <c r="G427" s="3">
        <v>14423.19</v>
      </c>
      <c r="H427" s="3">
        <v>85567.32</v>
      </c>
      <c r="I427" s="3">
        <v>71144.13</v>
      </c>
      <c r="J427" s="4">
        <v>45717.0</v>
      </c>
      <c r="K427" s="3">
        <v>6.0</v>
      </c>
      <c r="L427" s="3" t="s">
        <v>31</v>
      </c>
    </row>
    <row r="428" ht="15.75" customHeight="1">
      <c r="A428" s="3" t="s">
        <v>473</v>
      </c>
      <c r="B428" s="3" t="s">
        <v>17</v>
      </c>
      <c r="C428" s="3" t="s">
        <v>14</v>
      </c>
      <c r="D428" s="3">
        <v>21775.57</v>
      </c>
      <c r="E428" s="3">
        <v>6532.67</v>
      </c>
      <c r="F428" s="3">
        <v>1049.45</v>
      </c>
      <c r="G428" s="3">
        <v>4048.82</v>
      </c>
      <c r="H428" s="3">
        <v>29357.69</v>
      </c>
      <c r="I428" s="3">
        <v>25308.87</v>
      </c>
      <c r="J428" s="4">
        <v>45778.0</v>
      </c>
      <c r="K428" s="3">
        <v>11.0</v>
      </c>
      <c r="L428" s="3" t="s">
        <v>34</v>
      </c>
    </row>
    <row r="429" ht="15.75" customHeight="1">
      <c r="A429" s="3" t="s">
        <v>474</v>
      </c>
      <c r="B429" s="3" t="s">
        <v>36</v>
      </c>
      <c r="C429" s="3" t="s">
        <v>37</v>
      </c>
      <c r="D429" s="3">
        <v>49377.74</v>
      </c>
      <c r="E429" s="3">
        <v>14813.32</v>
      </c>
      <c r="F429" s="3">
        <v>6885.59</v>
      </c>
      <c r="G429" s="3">
        <v>4443.62</v>
      </c>
      <c r="H429" s="3">
        <v>71076.65</v>
      </c>
      <c r="I429" s="3">
        <v>66633.03</v>
      </c>
      <c r="J429" s="4">
        <v>45689.0</v>
      </c>
      <c r="K429" s="3">
        <v>18.0</v>
      </c>
      <c r="L429" s="3" t="s">
        <v>40</v>
      </c>
    </row>
    <row r="430" ht="15.75" customHeight="1">
      <c r="A430" s="3" t="s">
        <v>475</v>
      </c>
      <c r="B430" s="3" t="s">
        <v>13</v>
      </c>
      <c r="C430" s="3" t="s">
        <v>26</v>
      </c>
      <c r="D430" s="3">
        <v>113396.2</v>
      </c>
      <c r="E430" s="3">
        <v>34018.86</v>
      </c>
      <c r="F430" s="3">
        <v>718.58</v>
      </c>
      <c r="G430" s="3">
        <v>13787.11</v>
      </c>
      <c r="H430" s="3">
        <v>148133.64</v>
      </c>
      <c r="I430" s="3">
        <v>134346.53</v>
      </c>
      <c r="J430" s="4">
        <v>45839.0</v>
      </c>
      <c r="K430" s="3">
        <v>22.0</v>
      </c>
      <c r="L430" s="3" t="s">
        <v>42</v>
      </c>
    </row>
    <row r="431" ht="15.75" customHeight="1">
      <c r="A431" s="3" t="s">
        <v>476</v>
      </c>
      <c r="B431" s="3" t="s">
        <v>53</v>
      </c>
      <c r="C431" s="3" t="s">
        <v>54</v>
      </c>
      <c r="D431" s="3">
        <v>35785.61</v>
      </c>
      <c r="E431" s="3">
        <v>10735.68</v>
      </c>
      <c r="F431" s="3">
        <v>67.64</v>
      </c>
      <c r="G431" s="3">
        <v>1839.92</v>
      </c>
      <c r="H431" s="3">
        <v>46588.93</v>
      </c>
      <c r="I431" s="3">
        <v>44749.01</v>
      </c>
      <c r="J431" s="4">
        <v>45870.0</v>
      </c>
      <c r="K431" s="3">
        <v>12.0</v>
      </c>
      <c r="L431" s="3" t="s">
        <v>15</v>
      </c>
    </row>
    <row r="432" ht="15.75" customHeight="1">
      <c r="A432" s="3" t="s">
        <v>477</v>
      </c>
      <c r="B432" s="3" t="s">
        <v>25</v>
      </c>
      <c r="C432" s="3" t="s">
        <v>54</v>
      </c>
      <c r="D432" s="3">
        <v>44028.7</v>
      </c>
      <c r="E432" s="3">
        <v>13208.61</v>
      </c>
      <c r="F432" s="3">
        <v>2917.08</v>
      </c>
      <c r="G432" s="3">
        <v>12909.16</v>
      </c>
      <c r="H432" s="3">
        <v>60154.39</v>
      </c>
      <c r="I432" s="3">
        <v>47245.23</v>
      </c>
      <c r="J432" s="4">
        <v>45689.0</v>
      </c>
      <c r="K432" s="3">
        <v>18.0</v>
      </c>
      <c r="L432" s="3" t="s">
        <v>19</v>
      </c>
    </row>
    <row r="433" ht="15.75" customHeight="1">
      <c r="A433" s="3" t="s">
        <v>478</v>
      </c>
      <c r="B433" s="3" t="s">
        <v>53</v>
      </c>
      <c r="C433" s="3" t="s">
        <v>14</v>
      </c>
      <c r="D433" s="3">
        <v>19654.32</v>
      </c>
      <c r="E433" s="3">
        <v>5896.3</v>
      </c>
      <c r="F433" s="3">
        <v>3542.78</v>
      </c>
      <c r="G433" s="3">
        <v>4081.93</v>
      </c>
      <c r="H433" s="3">
        <v>29093.4</v>
      </c>
      <c r="I433" s="3">
        <v>25011.47</v>
      </c>
      <c r="J433" s="4">
        <v>45931.0</v>
      </c>
      <c r="K433" s="3">
        <v>15.0</v>
      </c>
      <c r="L433" s="3" t="s">
        <v>21</v>
      </c>
    </row>
    <row r="434" ht="15.75" customHeight="1">
      <c r="A434" s="3" t="s">
        <v>479</v>
      </c>
      <c r="B434" s="3" t="s">
        <v>36</v>
      </c>
      <c r="C434" s="3" t="s">
        <v>33</v>
      </c>
      <c r="D434" s="3">
        <v>25465.62</v>
      </c>
      <c r="E434" s="3">
        <v>7639.69</v>
      </c>
      <c r="F434" s="3">
        <v>378.66</v>
      </c>
      <c r="G434" s="3">
        <v>7071.18</v>
      </c>
      <c r="H434" s="3">
        <v>33483.97</v>
      </c>
      <c r="I434" s="3">
        <v>26412.79</v>
      </c>
      <c r="J434" s="4">
        <v>45901.0</v>
      </c>
      <c r="K434" s="3">
        <v>18.0</v>
      </c>
      <c r="L434" s="3" t="s">
        <v>23</v>
      </c>
    </row>
    <row r="435" ht="15.75" customHeight="1">
      <c r="A435" s="3" t="s">
        <v>480</v>
      </c>
      <c r="B435" s="3" t="s">
        <v>53</v>
      </c>
      <c r="C435" s="3" t="s">
        <v>18</v>
      </c>
      <c r="D435" s="3">
        <v>65855.45</v>
      </c>
      <c r="E435" s="3">
        <v>19756.63</v>
      </c>
      <c r="F435" s="3">
        <v>12232.87</v>
      </c>
      <c r="G435" s="3">
        <v>6213.16</v>
      </c>
      <c r="H435" s="3">
        <v>97844.95</v>
      </c>
      <c r="I435" s="3">
        <v>91631.79</v>
      </c>
      <c r="J435" s="4">
        <v>45748.0</v>
      </c>
      <c r="K435" s="3">
        <v>25.0</v>
      </c>
      <c r="L435" s="3" t="s">
        <v>27</v>
      </c>
    </row>
    <row r="436" ht="15.75" customHeight="1">
      <c r="A436" s="3" t="s">
        <v>481</v>
      </c>
      <c r="B436" s="3" t="s">
        <v>53</v>
      </c>
      <c r="C436" s="3" t="s">
        <v>30</v>
      </c>
      <c r="D436" s="3">
        <v>28619.84</v>
      </c>
      <c r="E436" s="3">
        <v>8585.95</v>
      </c>
      <c r="F436" s="3">
        <v>4079.54</v>
      </c>
      <c r="G436" s="3">
        <v>3419.75</v>
      </c>
      <c r="H436" s="3">
        <v>41285.33</v>
      </c>
      <c r="I436" s="3">
        <v>37865.58</v>
      </c>
      <c r="J436" s="3" t="s">
        <v>482</v>
      </c>
      <c r="K436" s="3">
        <v>25.0</v>
      </c>
      <c r="L436" s="3" t="s">
        <v>31</v>
      </c>
    </row>
    <row r="437" ht="15.75" customHeight="1">
      <c r="A437" s="3" t="s">
        <v>483</v>
      </c>
      <c r="B437" s="3" t="s">
        <v>29</v>
      </c>
      <c r="C437" s="3" t="s">
        <v>30</v>
      </c>
      <c r="D437" s="3">
        <v>26962.83</v>
      </c>
      <c r="E437" s="3">
        <v>8088.85</v>
      </c>
      <c r="F437" s="3">
        <v>3055.95</v>
      </c>
      <c r="G437" s="3">
        <v>6871.01</v>
      </c>
      <c r="H437" s="3">
        <v>38107.63</v>
      </c>
      <c r="I437" s="3">
        <v>31236.62</v>
      </c>
      <c r="J437" s="4">
        <v>45962.0</v>
      </c>
      <c r="K437" s="3">
        <v>15.0</v>
      </c>
      <c r="L437" s="3" t="s">
        <v>34</v>
      </c>
    </row>
    <row r="438" ht="15.75" customHeight="1">
      <c r="A438" s="3" t="s">
        <v>484</v>
      </c>
      <c r="B438" s="3" t="s">
        <v>53</v>
      </c>
      <c r="C438" s="3" t="s">
        <v>33</v>
      </c>
      <c r="D438" s="3">
        <v>28838.46</v>
      </c>
      <c r="E438" s="3">
        <v>8651.54</v>
      </c>
      <c r="F438" s="3">
        <v>4266.62</v>
      </c>
      <c r="G438" s="3">
        <v>6839.02</v>
      </c>
      <c r="H438" s="3">
        <v>41756.62</v>
      </c>
      <c r="I438" s="3">
        <v>34917.6</v>
      </c>
      <c r="J438" s="4">
        <v>45992.0</v>
      </c>
      <c r="K438" s="3">
        <v>4.0</v>
      </c>
      <c r="L438" s="3" t="s">
        <v>38</v>
      </c>
    </row>
    <row r="439" ht="15.75" customHeight="1">
      <c r="A439" s="3" t="s">
        <v>485</v>
      </c>
      <c r="B439" s="3" t="s">
        <v>13</v>
      </c>
      <c r="C439" s="3" t="s">
        <v>14</v>
      </c>
      <c r="D439" s="3">
        <v>21605.71</v>
      </c>
      <c r="E439" s="3">
        <v>6481.71</v>
      </c>
      <c r="F439" s="3">
        <v>4210.19</v>
      </c>
      <c r="G439" s="3">
        <v>348.04</v>
      </c>
      <c r="H439" s="3">
        <v>32297.61</v>
      </c>
      <c r="I439" s="3">
        <v>31949.57</v>
      </c>
      <c r="J439" s="4">
        <v>45839.0</v>
      </c>
      <c r="K439" s="3">
        <v>19.0</v>
      </c>
      <c r="L439" s="3" t="s">
        <v>40</v>
      </c>
    </row>
    <row r="440" ht="15.75" customHeight="1">
      <c r="A440" s="3" t="s">
        <v>486</v>
      </c>
      <c r="B440" s="3" t="s">
        <v>51</v>
      </c>
      <c r="C440" s="3" t="s">
        <v>26</v>
      </c>
      <c r="D440" s="3">
        <v>92736.66</v>
      </c>
      <c r="E440" s="3">
        <v>27821.0</v>
      </c>
      <c r="F440" s="3">
        <v>11224.27</v>
      </c>
      <c r="G440" s="3">
        <v>17078.34</v>
      </c>
      <c r="H440" s="3">
        <v>131781.93</v>
      </c>
      <c r="I440" s="3">
        <v>114703.59</v>
      </c>
      <c r="J440" s="3" t="s">
        <v>432</v>
      </c>
      <c r="K440" s="3">
        <v>14.0</v>
      </c>
      <c r="L440" s="3" t="s">
        <v>42</v>
      </c>
    </row>
    <row r="441" ht="15.75" customHeight="1">
      <c r="A441" s="3" t="s">
        <v>487</v>
      </c>
      <c r="B441" s="3" t="s">
        <v>36</v>
      </c>
      <c r="C441" s="3" t="s">
        <v>26</v>
      </c>
      <c r="D441" s="3">
        <v>101749.56</v>
      </c>
      <c r="E441" s="3">
        <v>30524.87</v>
      </c>
      <c r="F441" s="3">
        <v>12904.35</v>
      </c>
      <c r="G441" s="3">
        <v>23917.7</v>
      </c>
      <c r="H441" s="3">
        <v>145178.78</v>
      </c>
      <c r="I441" s="3">
        <v>121261.08</v>
      </c>
      <c r="J441" s="4">
        <v>45870.0</v>
      </c>
      <c r="K441" s="3">
        <v>17.0</v>
      </c>
      <c r="L441" s="3" t="s">
        <v>15</v>
      </c>
    </row>
    <row r="442" ht="15.75" customHeight="1">
      <c r="A442" s="3" t="s">
        <v>488</v>
      </c>
      <c r="B442" s="3" t="s">
        <v>36</v>
      </c>
      <c r="C442" s="3" t="s">
        <v>30</v>
      </c>
      <c r="D442" s="3">
        <v>25131.14</v>
      </c>
      <c r="E442" s="3">
        <v>7539.34</v>
      </c>
      <c r="F442" s="3">
        <v>4730.4</v>
      </c>
      <c r="G442" s="3">
        <v>3255.85</v>
      </c>
      <c r="H442" s="3">
        <v>37400.88</v>
      </c>
      <c r="I442" s="3">
        <v>34145.03</v>
      </c>
      <c r="J442" s="4">
        <v>45962.0</v>
      </c>
      <c r="K442" s="3">
        <v>1.0</v>
      </c>
      <c r="L442" s="3" t="s">
        <v>19</v>
      </c>
    </row>
    <row r="443" ht="15.75" customHeight="1">
      <c r="A443" s="3" t="s">
        <v>489</v>
      </c>
      <c r="B443" s="3" t="s">
        <v>53</v>
      </c>
      <c r="C443" s="3" t="s">
        <v>18</v>
      </c>
      <c r="D443" s="3">
        <v>74881.89</v>
      </c>
      <c r="E443" s="3">
        <v>22464.57</v>
      </c>
      <c r="F443" s="3">
        <v>11564.27</v>
      </c>
      <c r="G443" s="3">
        <v>6635.57</v>
      </c>
      <c r="H443" s="3">
        <v>108910.73</v>
      </c>
      <c r="I443" s="3">
        <v>102275.16</v>
      </c>
      <c r="J443" s="4">
        <v>45748.0</v>
      </c>
      <c r="K443" s="3">
        <v>14.0</v>
      </c>
      <c r="L443" s="3" t="s">
        <v>21</v>
      </c>
    </row>
    <row r="444" ht="15.75" customHeight="1">
      <c r="A444" s="3" t="s">
        <v>490</v>
      </c>
      <c r="B444" s="3" t="s">
        <v>13</v>
      </c>
      <c r="C444" s="3" t="s">
        <v>14</v>
      </c>
      <c r="D444" s="3">
        <v>18590.67</v>
      </c>
      <c r="E444" s="3">
        <v>5577.2</v>
      </c>
      <c r="F444" s="3">
        <v>573.41</v>
      </c>
      <c r="G444" s="3">
        <v>3969.17</v>
      </c>
      <c r="H444" s="3">
        <v>24741.28</v>
      </c>
      <c r="I444" s="3">
        <v>20772.11</v>
      </c>
      <c r="J444" s="4">
        <v>45962.0</v>
      </c>
      <c r="K444" s="3">
        <v>11.0</v>
      </c>
      <c r="L444" s="3" t="s">
        <v>23</v>
      </c>
    </row>
    <row r="445" ht="15.75" customHeight="1">
      <c r="A445" s="3" t="s">
        <v>491</v>
      </c>
      <c r="B445" s="3" t="s">
        <v>51</v>
      </c>
      <c r="C445" s="3" t="s">
        <v>18</v>
      </c>
      <c r="D445" s="3">
        <v>75130.17</v>
      </c>
      <c r="E445" s="3">
        <v>22539.05</v>
      </c>
      <c r="F445" s="3">
        <v>5419.89</v>
      </c>
      <c r="G445" s="3">
        <v>2062.78</v>
      </c>
      <c r="H445" s="3">
        <v>103089.11</v>
      </c>
      <c r="I445" s="3">
        <v>101026.33</v>
      </c>
      <c r="J445" s="4">
        <v>45778.0</v>
      </c>
      <c r="K445" s="3">
        <v>11.0</v>
      </c>
      <c r="L445" s="3" t="s">
        <v>27</v>
      </c>
    </row>
    <row r="446" ht="15.75" customHeight="1">
      <c r="A446" s="3" t="s">
        <v>492</v>
      </c>
      <c r="B446" s="3" t="s">
        <v>36</v>
      </c>
      <c r="C446" s="3" t="s">
        <v>33</v>
      </c>
      <c r="D446" s="3">
        <v>32613.46</v>
      </c>
      <c r="E446" s="3">
        <v>9784.04</v>
      </c>
      <c r="F446" s="3">
        <v>666.82</v>
      </c>
      <c r="G446" s="3">
        <v>854.12</v>
      </c>
      <c r="H446" s="3">
        <v>43064.32</v>
      </c>
      <c r="I446" s="3">
        <v>42210.2</v>
      </c>
      <c r="J446" s="4">
        <v>45839.0</v>
      </c>
      <c r="K446" s="3">
        <v>12.0</v>
      </c>
      <c r="L446" s="3" t="s">
        <v>31</v>
      </c>
    </row>
    <row r="447" ht="15.75" customHeight="1">
      <c r="A447" s="3" t="s">
        <v>493</v>
      </c>
      <c r="B447" s="3" t="s">
        <v>36</v>
      </c>
      <c r="C447" s="3" t="s">
        <v>37</v>
      </c>
      <c r="D447" s="3">
        <v>54985.32</v>
      </c>
      <c r="E447" s="3">
        <v>16495.6</v>
      </c>
      <c r="F447" s="3">
        <v>4487.29</v>
      </c>
      <c r="G447" s="3">
        <v>433.21</v>
      </c>
      <c r="H447" s="3">
        <v>75968.21</v>
      </c>
      <c r="I447" s="3">
        <v>75535.0</v>
      </c>
      <c r="J447" s="4">
        <v>45809.0</v>
      </c>
      <c r="K447" s="3">
        <v>2.0</v>
      </c>
      <c r="L447" s="3" t="s">
        <v>34</v>
      </c>
    </row>
    <row r="448" ht="15.75" customHeight="1">
      <c r="A448" s="3" t="s">
        <v>494</v>
      </c>
      <c r="B448" s="3" t="s">
        <v>53</v>
      </c>
      <c r="C448" s="3" t="s">
        <v>14</v>
      </c>
      <c r="D448" s="3">
        <v>22297.86</v>
      </c>
      <c r="E448" s="3">
        <v>6689.36</v>
      </c>
      <c r="F448" s="3">
        <v>3498.26</v>
      </c>
      <c r="G448" s="3">
        <v>5777.72</v>
      </c>
      <c r="H448" s="3">
        <v>32485.48</v>
      </c>
      <c r="I448" s="3">
        <v>26707.76</v>
      </c>
      <c r="J448" s="4">
        <v>45658.0</v>
      </c>
      <c r="K448" s="3">
        <v>17.0</v>
      </c>
      <c r="L448" s="3" t="s">
        <v>38</v>
      </c>
    </row>
    <row r="449" ht="15.75" customHeight="1">
      <c r="A449" s="3" t="s">
        <v>495</v>
      </c>
      <c r="B449" s="3" t="s">
        <v>29</v>
      </c>
      <c r="C449" s="3" t="s">
        <v>54</v>
      </c>
      <c r="D449" s="3">
        <v>40429.19</v>
      </c>
      <c r="E449" s="3">
        <v>12128.76</v>
      </c>
      <c r="F449" s="3">
        <v>684.87</v>
      </c>
      <c r="G449" s="3">
        <v>10929.66</v>
      </c>
      <c r="H449" s="3">
        <v>53242.82</v>
      </c>
      <c r="I449" s="3">
        <v>42313.16</v>
      </c>
      <c r="J449" s="4">
        <v>45748.0</v>
      </c>
      <c r="K449" s="3">
        <v>24.0</v>
      </c>
      <c r="L449" s="3" t="s">
        <v>40</v>
      </c>
    </row>
    <row r="450" ht="15.75" customHeight="1">
      <c r="A450" s="3" t="s">
        <v>496</v>
      </c>
      <c r="B450" s="3" t="s">
        <v>29</v>
      </c>
      <c r="C450" s="3" t="s">
        <v>54</v>
      </c>
      <c r="D450" s="3">
        <v>37043.09</v>
      </c>
      <c r="E450" s="3">
        <v>11112.93</v>
      </c>
      <c r="F450" s="3">
        <v>1238.78</v>
      </c>
      <c r="G450" s="3">
        <v>3066.74</v>
      </c>
      <c r="H450" s="3">
        <v>49394.8</v>
      </c>
      <c r="I450" s="3">
        <v>46328.06</v>
      </c>
      <c r="J450" s="4">
        <v>45778.0</v>
      </c>
      <c r="K450" s="3">
        <v>20.0</v>
      </c>
      <c r="L450" s="3" t="s">
        <v>15</v>
      </c>
    </row>
    <row r="451" ht="15.75" customHeight="1">
      <c r="A451" s="3" t="s">
        <v>497</v>
      </c>
      <c r="B451" s="3" t="s">
        <v>36</v>
      </c>
      <c r="C451" s="3" t="s">
        <v>26</v>
      </c>
      <c r="D451" s="3">
        <v>92769.17</v>
      </c>
      <c r="E451" s="3">
        <v>27830.75</v>
      </c>
      <c r="F451" s="3">
        <v>4670.0</v>
      </c>
      <c r="G451" s="3">
        <v>6862.79</v>
      </c>
      <c r="H451" s="3">
        <v>125269.92</v>
      </c>
      <c r="I451" s="3">
        <v>118407.13</v>
      </c>
      <c r="J451" s="4">
        <v>45962.0</v>
      </c>
      <c r="K451" s="3">
        <v>2.0</v>
      </c>
      <c r="L451" s="3" t="s">
        <v>19</v>
      </c>
    </row>
    <row r="452" ht="15.75" customHeight="1">
      <c r="A452" s="3" t="s">
        <v>498</v>
      </c>
      <c r="B452" s="3" t="s">
        <v>36</v>
      </c>
      <c r="C452" s="3" t="s">
        <v>33</v>
      </c>
      <c r="D452" s="3">
        <v>33416.13</v>
      </c>
      <c r="E452" s="3">
        <v>10024.84</v>
      </c>
      <c r="F452" s="3">
        <v>2538.89</v>
      </c>
      <c r="G452" s="3">
        <v>8643.4</v>
      </c>
      <c r="H452" s="3">
        <v>45979.86</v>
      </c>
      <c r="I452" s="3">
        <v>37336.46</v>
      </c>
      <c r="J452" s="4">
        <v>45870.0</v>
      </c>
      <c r="K452" s="3">
        <v>25.0</v>
      </c>
      <c r="L452" s="3" t="s">
        <v>23</v>
      </c>
    </row>
    <row r="453" ht="15.75" customHeight="1">
      <c r="A453" s="3" t="s">
        <v>499</v>
      </c>
      <c r="B453" s="3" t="s">
        <v>29</v>
      </c>
      <c r="C453" s="3" t="s">
        <v>54</v>
      </c>
      <c r="D453" s="3">
        <v>46416.66</v>
      </c>
      <c r="E453" s="3">
        <v>13925.0</v>
      </c>
      <c r="F453" s="3">
        <v>7979.1</v>
      </c>
      <c r="G453" s="3">
        <v>13566.09</v>
      </c>
      <c r="H453" s="3">
        <v>68320.76</v>
      </c>
      <c r="I453" s="3">
        <v>54754.67</v>
      </c>
      <c r="J453" s="4">
        <v>45717.0</v>
      </c>
      <c r="K453" s="3">
        <v>9.0</v>
      </c>
      <c r="L453" s="3" t="s">
        <v>27</v>
      </c>
    </row>
    <row r="454" ht="15.75" customHeight="1">
      <c r="A454" s="3" t="s">
        <v>500</v>
      </c>
      <c r="B454" s="3" t="s">
        <v>29</v>
      </c>
      <c r="C454" s="3" t="s">
        <v>33</v>
      </c>
      <c r="D454" s="3">
        <v>31032.11</v>
      </c>
      <c r="E454" s="3">
        <v>9309.63</v>
      </c>
      <c r="F454" s="3">
        <v>4315.28</v>
      </c>
      <c r="G454" s="3">
        <v>4459.4</v>
      </c>
      <c r="H454" s="3">
        <v>44657.02</v>
      </c>
      <c r="I454" s="3">
        <v>40197.62</v>
      </c>
      <c r="J454" s="4">
        <v>45717.0</v>
      </c>
      <c r="K454" s="3">
        <v>17.0</v>
      </c>
      <c r="L454" s="3" t="s">
        <v>31</v>
      </c>
    </row>
    <row r="455" ht="15.75" customHeight="1">
      <c r="A455" s="3" t="s">
        <v>501</v>
      </c>
      <c r="B455" s="3" t="s">
        <v>36</v>
      </c>
      <c r="C455" s="3" t="s">
        <v>33</v>
      </c>
      <c r="D455" s="3">
        <v>27914.48</v>
      </c>
      <c r="E455" s="3">
        <v>8374.34</v>
      </c>
      <c r="F455" s="3">
        <v>3879.88</v>
      </c>
      <c r="G455" s="3">
        <v>4111.86</v>
      </c>
      <c r="H455" s="3">
        <v>40168.7</v>
      </c>
      <c r="I455" s="3">
        <v>36056.84</v>
      </c>
      <c r="J455" s="3" t="s">
        <v>502</v>
      </c>
      <c r="K455" s="3">
        <v>9.0</v>
      </c>
      <c r="L455" s="3" t="s">
        <v>34</v>
      </c>
    </row>
    <row r="456" ht="15.75" customHeight="1">
      <c r="A456" s="3" t="s">
        <v>503</v>
      </c>
      <c r="B456" s="3" t="s">
        <v>25</v>
      </c>
      <c r="C456" s="3" t="s">
        <v>30</v>
      </c>
      <c r="D456" s="3">
        <v>24867.8</v>
      </c>
      <c r="E456" s="3">
        <v>7460.34</v>
      </c>
      <c r="F456" s="3">
        <v>1394.09</v>
      </c>
      <c r="G456" s="3">
        <v>5862.83</v>
      </c>
      <c r="H456" s="3">
        <v>33722.23</v>
      </c>
      <c r="I456" s="3">
        <v>27859.4</v>
      </c>
      <c r="J456" s="4">
        <v>45809.0</v>
      </c>
      <c r="K456" s="3">
        <v>13.0</v>
      </c>
      <c r="L456" s="3" t="s">
        <v>38</v>
      </c>
    </row>
    <row r="457" ht="15.75" customHeight="1">
      <c r="A457" s="3" t="s">
        <v>504</v>
      </c>
      <c r="B457" s="3" t="s">
        <v>17</v>
      </c>
      <c r="C457" s="3" t="s">
        <v>18</v>
      </c>
      <c r="D457" s="3">
        <v>77002.18</v>
      </c>
      <c r="E457" s="3">
        <v>23100.65</v>
      </c>
      <c r="F457" s="3">
        <v>10909.16</v>
      </c>
      <c r="G457" s="3">
        <v>10128.6</v>
      </c>
      <c r="H457" s="3">
        <v>111011.99</v>
      </c>
      <c r="I457" s="3">
        <v>100883.39</v>
      </c>
      <c r="J457" s="4">
        <v>45778.0</v>
      </c>
      <c r="K457" s="3">
        <v>10.0</v>
      </c>
      <c r="L457" s="3" t="s">
        <v>42</v>
      </c>
    </row>
    <row r="458" ht="15.75" customHeight="1">
      <c r="A458" s="3" t="s">
        <v>505</v>
      </c>
      <c r="B458" s="3" t="s">
        <v>25</v>
      </c>
      <c r="C458" s="3" t="s">
        <v>18</v>
      </c>
      <c r="D458" s="3">
        <v>66798.13</v>
      </c>
      <c r="E458" s="3">
        <v>20039.44</v>
      </c>
      <c r="F458" s="3">
        <v>11326.13</v>
      </c>
      <c r="G458" s="3">
        <v>15932.27</v>
      </c>
      <c r="H458" s="3">
        <v>98163.7</v>
      </c>
      <c r="I458" s="3">
        <v>82231.43</v>
      </c>
      <c r="J458" s="4">
        <v>45962.0</v>
      </c>
      <c r="K458" s="3">
        <v>13.0</v>
      </c>
      <c r="L458" s="3" t="s">
        <v>15</v>
      </c>
    </row>
    <row r="459" ht="15.75" customHeight="1">
      <c r="A459" s="3" t="s">
        <v>506</v>
      </c>
      <c r="B459" s="3" t="s">
        <v>36</v>
      </c>
      <c r="C459" s="3" t="s">
        <v>30</v>
      </c>
      <c r="D459" s="3">
        <v>27573.36</v>
      </c>
      <c r="E459" s="3">
        <v>8272.01</v>
      </c>
      <c r="F459" s="3">
        <v>1334.67</v>
      </c>
      <c r="G459" s="3">
        <v>5448.47</v>
      </c>
      <c r="H459" s="3">
        <v>37180.04</v>
      </c>
      <c r="I459" s="3">
        <v>31731.57</v>
      </c>
      <c r="J459" s="4">
        <v>45992.0</v>
      </c>
      <c r="K459" s="3">
        <v>24.0</v>
      </c>
      <c r="L459" s="3" t="s">
        <v>19</v>
      </c>
    </row>
    <row r="460" ht="15.75" customHeight="1">
      <c r="A460" s="3" t="s">
        <v>507</v>
      </c>
      <c r="B460" s="3" t="s">
        <v>36</v>
      </c>
      <c r="C460" s="3" t="s">
        <v>26</v>
      </c>
      <c r="D460" s="3">
        <v>103571.67</v>
      </c>
      <c r="E460" s="3">
        <v>31071.5</v>
      </c>
      <c r="F460" s="3">
        <v>9302.12</v>
      </c>
      <c r="G460" s="3">
        <v>18578.7</v>
      </c>
      <c r="H460" s="3">
        <v>143945.29</v>
      </c>
      <c r="I460" s="3">
        <v>125366.59</v>
      </c>
      <c r="J460" s="4">
        <v>45931.0</v>
      </c>
      <c r="K460" s="3">
        <v>15.0</v>
      </c>
      <c r="L460" s="3" t="s">
        <v>21</v>
      </c>
    </row>
    <row r="461" ht="15.75" customHeight="1">
      <c r="A461" s="3" t="s">
        <v>508</v>
      </c>
      <c r="B461" s="3" t="s">
        <v>36</v>
      </c>
      <c r="C461" s="3" t="s">
        <v>37</v>
      </c>
      <c r="D461" s="3">
        <v>54119.03</v>
      </c>
      <c r="E461" s="3">
        <v>16235.71</v>
      </c>
      <c r="F461" s="3">
        <v>9962.15</v>
      </c>
      <c r="G461" s="3">
        <v>11230.38</v>
      </c>
      <c r="H461" s="3">
        <v>80316.89</v>
      </c>
      <c r="I461" s="3">
        <v>69086.51</v>
      </c>
      <c r="J461" s="4">
        <v>45901.0</v>
      </c>
      <c r="K461" s="3">
        <v>9.0</v>
      </c>
      <c r="L461" s="3" t="s">
        <v>23</v>
      </c>
    </row>
    <row r="462" ht="15.75" customHeight="1">
      <c r="A462" s="3" t="s">
        <v>509</v>
      </c>
      <c r="B462" s="3" t="s">
        <v>17</v>
      </c>
      <c r="C462" s="3" t="s">
        <v>26</v>
      </c>
      <c r="D462" s="3">
        <v>124863.41</v>
      </c>
      <c r="E462" s="3">
        <v>37459.02</v>
      </c>
      <c r="F462" s="3">
        <v>17521.69</v>
      </c>
      <c r="G462" s="3">
        <v>30427.85</v>
      </c>
      <c r="H462" s="3">
        <v>179844.12</v>
      </c>
      <c r="I462" s="3">
        <v>149416.27</v>
      </c>
      <c r="J462" s="4">
        <v>45931.0</v>
      </c>
      <c r="K462" s="3">
        <v>15.0</v>
      </c>
      <c r="L462" s="3" t="s">
        <v>27</v>
      </c>
    </row>
    <row r="463" ht="15.75" customHeight="1">
      <c r="A463" s="3" t="s">
        <v>510</v>
      </c>
      <c r="B463" s="3" t="s">
        <v>13</v>
      </c>
      <c r="C463" s="3" t="s">
        <v>14</v>
      </c>
      <c r="D463" s="3">
        <v>18787.46</v>
      </c>
      <c r="E463" s="3">
        <v>5636.24</v>
      </c>
      <c r="F463" s="3">
        <v>932.73</v>
      </c>
      <c r="G463" s="3">
        <v>3746.37</v>
      </c>
      <c r="H463" s="3">
        <v>25356.43</v>
      </c>
      <c r="I463" s="3">
        <v>21610.06</v>
      </c>
      <c r="J463" s="4">
        <v>45717.0</v>
      </c>
      <c r="K463" s="3">
        <v>17.0</v>
      </c>
      <c r="L463" s="3" t="s">
        <v>31</v>
      </c>
    </row>
    <row r="464" ht="15.75" customHeight="1">
      <c r="A464" s="3" t="s">
        <v>511</v>
      </c>
      <c r="B464" s="3" t="s">
        <v>13</v>
      </c>
      <c r="C464" s="3" t="s">
        <v>37</v>
      </c>
      <c r="D464" s="3">
        <v>45797.34</v>
      </c>
      <c r="E464" s="3">
        <v>13739.2</v>
      </c>
      <c r="F464" s="3">
        <v>9009.33</v>
      </c>
      <c r="G464" s="3">
        <v>9307.92</v>
      </c>
      <c r="H464" s="3">
        <v>68545.87</v>
      </c>
      <c r="I464" s="3">
        <v>59237.95</v>
      </c>
      <c r="J464" s="4">
        <v>45839.0</v>
      </c>
      <c r="K464" s="3">
        <v>11.0</v>
      </c>
      <c r="L464" s="3" t="s">
        <v>34</v>
      </c>
    </row>
    <row r="465" ht="15.75" customHeight="1">
      <c r="A465" s="3" t="s">
        <v>512</v>
      </c>
      <c r="B465" s="3" t="s">
        <v>25</v>
      </c>
      <c r="C465" s="3" t="s">
        <v>33</v>
      </c>
      <c r="D465" s="3">
        <v>34657.17</v>
      </c>
      <c r="E465" s="3">
        <v>10397.15</v>
      </c>
      <c r="F465" s="3">
        <v>2983.67</v>
      </c>
      <c r="G465" s="3">
        <v>109.67</v>
      </c>
      <c r="H465" s="3">
        <v>48037.99</v>
      </c>
      <c r="I465" s="3">
        <v>47928.32</v>
      </c>
      <c r="J465" s="4">
        <v>45778.0</v>
      </c>
      <c r="K465" s="3">
        <v>19.0</v>
      </c>
      <c r="L465" s="3" t="s">
        <v>38</v>
      </c>
    </row>
    <row r="466" ht="15.75" customHeight="1">
      <c r="A466" s="3" t="s">
        <v>513</v>
      </c>
      <c r="B466" s="3" t="s">
        <v>51</v>
      </c>
      <c r="C466" s="3" t="s">
        <v>37</v>
      </c>
      <c r="D466" s="3">
        <v>58443.35</v>
      </c>
      <c r="E466" s="3">
        <v>17533.0</v>
      </c>
      <c r="F466" s="3">
        <v>6522.2</v>
      </c>
      <c r="G466" s="3">
        <v>12056.82</v>
      </c>
      <c r="H466" s="3">
        <v>82498.55</v>
      </c>
      <c r="I466" s="3">
        <v>70441.73</v>
      </c>
      <c r="J466" s="4">
        <v>45748.0</v>
      </c>
      <c r="K466" s="3">
        <v>19.0</v>
      </c>
      <c r="L466" s="3" t="s">
        <v>40</v>
      </c>
    </row>
    <row r="467" ht="15.75" customHeight="1">
      <c r="A467" s="3" t="s">
        <v>514</v>
      </c>
      <c r="B467" s="3" t="s">
        <v>36</v>
      </c>
      <c r="C467" s="3" t="s">
        <v>33</v>
      </c>
      <c r="D467" s="3">
        <v>28911.34</v>
      </c>
      <c r="E467" s="3">
        <v>8673.4</v>
      </c>
      <c r="F467" s="3">
        <v>4465.89</v>
      </c>
      <c r="G467" s="3">
        <v>5105.08</v>
      </c>
      <c r="H467" s="3">
        <v>42050.63</v>
      </c>
      <c r="I467" s="3">
        <v>36945.55</v>
      </c>
      <c r="J467" s="4">
        <v>45901.0</v>
      </c>
      <c r="K467" s="3">
        <v>11.0</v>
      </c>
      <c r="L467" s="3" t="s">
        <v>42</v>
      </c>
    </row>
    <row r="468" ht="15.75" customHeight="1">
      <c r="A468" s="3" t="s">
        <v>515</v>
      </c>
      <c r="B468" s="3" t="s">
        <v>51</v>
      </c>
      <c r="C468" s="3" t="s">
        <v>33</v>
      </c>
      <c r="D468" s="3">
        <v>34977.03</v>
      </c>
      <c r="E468" s="3">
        <v>10493.11</v>
      </c>
      <c r="F468" s="3">
        <v>3377.18</v>
      </c>
      <c r="G468" s="3">
        <v>3100.0</v>
      </c>
      <c r="H468" s="3">
        <v>48847.32</v>
      </c>
      <c r="I468" s="3">
        <v>45747.32</v>
      </c>
      <c r="J468" s="4">
        <v>45689.0</v>
      </c>
      <c r="K468" s="3">
        <v>9.0</v>
      </c>
      <c r="L468" s="3" t="s">
        <v>15</v>
      </c>
    </row>
    <row r="469" ht="15.75" customHeight="1">
      <c r="A469" s="3" t="s">
        <v>516</v>
      </c>
      <c r="B469" s="3" t="s">
        <v>17</v>
      </c>
      <c r="C469" s="3" t="s">
        <v>26</v>
      </c>
      <c r="D469" s="3">
        <v>123864.34</v>
      </c>
      <c r="E469" s="3">
        <v>37159.3</v>
      </c>
      <c r="F469" s="3">
        <v>3509.7</v>
      </c>
      <c r="G469" s="3">
        <v>11589.63</v>
      </c>
      <c r="H469" s="3">
        <v>164533.34</v>
      </c>
      <c r="I469" s="3">
        <v>152943.71</v>
      </c>
      <c r="J469" s="4">
        <v>45870.0</v>
      </c>
      <c r="K469" s="3">
        <v>4.0</v>
      </c>
      <c r="L469" s="3" t="s">
        <v>19</v>
      </c>
    </row>
    <row r="470" ht="15.75" customHeight="1">
      <c r="A470" s="3" t="s">
        <v>517</v>
      </c>
      <c r="B470" s="3" t="s">
        <v>25</v>
      </c>
      <c r="C470" s="3" t="s">
        <v>30</v>
      </c>
      <c r="D470" s="3">
        <v>26585.81</v>
      </c>
      <c r="E470" s="3">
        <v>7975.74</v>
      </c>
      <c r="F470" s="3">
        <v>1851.97</v>
      </c>
      <c r="G470" s="3">
        <v>778.62</v>
      </c>
      <c r="H470" s="3">
        <v>36413.52</v>
      </c>
      <c r="I470" s="3">
        <v>35634.9</v>
      </c>
      <c r="J470" s="4">
        <v>45992.0</v>
      </c>
      <c r="K470" s="3">
        <v>17.0</v>
      </c>
      <c r="L470" s="3" t="s">
        <v>21</v>
      </c>
    </row>
    <row r="471" ht="15.75" customHeight="1">
      <c r="A471" s="3" t="s">
        <v>518</v>
      </c>
      <c r="B471" s="3" t="s">
        <v>13</v>
      </c>
      <c r="C471" s="3" t="s">
        <v>54</v>
      </c>
      <c r="D471" s="3">
        <v>39464.73</v>
      </c>
      <c r="E471" s="3">
        <v>11839.42</v>
      </c>
      <c r="F471" s="3">
        <v>2369.97</v>
      </c>
      <c r="G471" s="3">
        <v>9592.13</v>
      </c>
      <c r="H471" s="3">
        <v>53674.12</v>
      </c>
      <c r="I471" s="3">
        <v>44081.99</v>
      </c>
      <c r="J471" s="4">
        <v>45689.0</v>
      </c>
      <c r="K471" s="3">
        <v>16.0</v>
      </c>
      <c r="L471" s="3" t="s">
        <v>23</v>
      </c>
    </row>
    <row r="472" ht="15.75" customHeight="1">
      <c r="A472" s="3" t="s">
        <v>519</v>
      </c>
      <c r="B472" s="3" t="s">
        <v>17</v>
      </c>
      <c r="C472" s="3" t="s">
        <v>26</v>
      </c>
      <c r="D472" s="3">
        <v>102350.81</v>
      </c>
      <c r="E472" s="3">
        <v>30705.24</v>
      </c>
      <c r="F472" s="3">
        <v>2238.67</v>
      </c>
      <c r="G472" s="3">
        <v>24565.73</v>
      </c>
      <c r="H472" s="3">
        <v>135294.72</v>
      </c>
      <c r="I472" s="3">
        <v>110728.99</v>
      </c>
      <c r="J472" s="4">
        <v>45992.0</v>
      </c>
      <c r="K472" s="3">
        <v>20.0</v>
      </c>
      <c r="L472" s="3" t="s">
        <v>27</v>
      </c>
    </row>
    <row r="473" ht="15.75" customHeight="1">
      <c r="A473" s="3" t="s">
        <v>520</v>
      </c>
      <c r="B473" s="3" t="s">
        <v>51</v>
      </c>
      <c r="C473" s="3" t="s">
        <v>37</v>
      </c>
      <c r="D473" s="3">
        <v>48140.16</v>
      </c>
      <c r="E473" s="3">
        <v>14442.05</v>
      </c>
      <c r="F473" s="3">
        <v>1541.79</v>
      </c>
      <c r="G473" s="3">
        <v>8085.37</v>
      </c>
      <c r="H473" s="3">
        <v>64124.0</v>
      </c>
      <c r="I473" s="3">
        <v>56038.63</v>
      </c>
      <c r="J473" s="4">
        <v>45870.0</v>
      </c>
      <c r="K473" s="3">
        <v>7.0</v>
      </c>
      <c r="L473" s="3" t="s">
        <v>31</v>
      </c>
    </row>
    <row r="474" ht="15.75" customHeight="1">
      <c r="A474" s="3" t="s">
        <v>521</v>
      </c>
      <c r="B474" s="3" t="s">
        <v>51</v>
      </c>
      <c r="C474" s="3" t="s">
        <v>26</v>
      </c>
      <c r="D474" s="3">
        <v>104581.71</v>
      </c>
      <c r="E474" s="3">
        <v>31374.51</v>
      </c>
      <c r="F474" s="3">
        <v>3858.06</v>
      </c>
      <c r="G474" s="3">
        <v>20094.71</v>
      </c>
      <c r="H474" s="3">
        <v>139814.28</v>
      </c>
      <c r="I474" s="3">
        <v>119719.57</v>
      </c>
      <c r="J474" s="4">
        <v>45839.0</v>
      </c>
      <c r="K474" s="3">
        <v>18.0</v>
      </c>
      <c r="L474" s="3" t="s">
        <v>34</v>
      </c>
    </row>
    <row r="475" ht="15.75" customHeight="1">
      <c r="A475" s="3" t="s">
        <v>522</v>
      </c>
      <c r="B475" s="3" t="s">
        <v>36</v>
      </c>
      <c r="C475" s="3" t="s">
        <v>14</v>
      </c>
      <c r="D475" s="3">
        <v>23309.2</v>
      </c>
      <c r="E475" s="3">
        <v>6992.76</v>
      </c>
      <c r="F475" s="3">
        <v>4116.86</v>
      </c>
      <c r="G475" s="3">
        <v>3143.77</v>
      </c>
      <c r="H475" s="3">
        <v>34418.82</v>
      </c>
      <c r="I475" s="3">
        <v>31275.05</v>
      </c>
      <c r="J475" s="4">
        <v>45839.0</v>
      </c>
      <c r="K475" s="3">
        <v>2.0</v>
      </c>
      <c r="L475" s="3" t="s">
        <v>38</v>
      </c>
    </row>
    <row r="476" ht="15.75" customHeight="1">
      <c r="A476" s="3" t="s">
        <v>523</v>
      </c>
      <c r="B476" s="3" t="s">
        <v>36</v>
      </c>
      <c r="C476" s="3" t="s">
        <v>14</v>
      </c>
      <c r="D476" s="3">
        <v>23074.1</v>
      </c>
      <c r="E476" s="3">
        <v>6922.23</v>
      </c>
      <c r="F476" s="3">
        <v>949.66</v>
      </c>
      <c r="G476" s="3">
        <v>5207.77</v>
      </c>
      <c r="H476" s="3">
        <v>30945.99</v>
      </c>
      <c r="I476" s="3">
        <v>25738.22</v>
      </c>
      <c r="J476" s="4">
        <v>45689.0</v>
      </c>
      <c r="K476" s="3">
        <v>21.0</v>
      </c>
      <c r="L476" s="3" t="s">
        <v>40</v>
      </c>
    </row>
    <row r="477" ht="15.75" customHeight="1">
      <c r="A477" s="3" t="s">
        <v>524</v>
      </c>
      <c r="B477" s="3" t="s">
        <v>53</v>
      </c>
      <c r="C477" s="3" t="s">
        <v>14</v>
      </c>
      <c r="D477" s="3">
        <v>23756.42</v>
      </c>
      <c r="E477" s="3">
        <v>7126.93</v>
      </c>
      <c r="F477" s="3">
        <v>2550.91</v>
      </c>
      <c r="G477" s="3">
        <v>2606.98</v>
      </c>
      <c r="H477" s="3">
        <v>33434.26</v>
      </c>
      <c r="I477" s="3">
        <v>30827.28</v>
      </c>
      <c r="J477" s="4">
        <v>45748.0</v>
      </c>
      <c r="K477" s="3">
        <v>20.0</v>
      </c>
      <c r="L477" s="3" t="s">
        <v>42</v>
      </c>
    </row>
    <row r="478" ht="15.75" customHeight="1">
      <c r="A478" s="3" t="s">
        <v>525</v>
      </c>
      <c r="B478" s="3" t="s">
        <v>36</v>
      </c>
      <c r="C478" s="3" t="s">
        <v>14</v>
      </c>
      <c r="D478" s="3">
        <v>19888.94</v>
      </c>
      <c r="E478" s="3">
        <v>5966.68</v>
      </c>
      <c r="F478" s="3">
        <v>3431.39</v>
      </c>
      <c r="G478" s="3">
        <v>3148.71</v>
      </c>
      <c r="H478" s="3">
        <v>29287.01</v>
      </c>
      <c r="I478" s="3">
        <v>26138.3</v>
      </c>
      <c r="J478" s="4">
        <v>45962.0</v>
      </c>
      <c r="K478" s="3">
        <v>17.0</v>
      </c>
      <c r="L478" s="3" t="s">
        <v>15</v>
      </c>
    </row>
    <row r="479" ht="15.75" customHeight="1">
      <c r="A479" s="3" t="s">
        <v>526</v>
      </c>
      <c r="B479" s="3" t="s">
        <v>29</v>
      </c>
      <c r="C479" s="3" t="s">
        <v>37</v>
      </c>
      <c r="D479" s="3">
        <v>51995.51</v>
      </c>
      <c r="E479" s="3">
        <v>15598.65</v>
      </c>
      <c r="F479" s="3">
        <v>4082.11</v>
      </c>
      <c r="G479" s="3">
        <v>1781.87</v>
      </c>
      <c r="H479" s="3">
        <v>71676.27</v>
      </c>
      <c r="I479" s="3">
        <v>69894.4</v>
      </c>
      <c r="J479" s="4">
        <v>45809.0</v>
      </c>
      <c r="K479" s="3">
        <v>6.0</v>
      </c>
      <c r="L479" s="3" t="s">
        <v>19</v>
      </c>
    </row>
    <row r="480" ht="15.75" customHeight="1">
      <c r="A480" s="3" t="s">
        <v>527</v>
      </c>
      <c r="B480" s="3" t="s">
        <v>25</v>
      </c>
      <c r="C480" s="3" t="s">
        <v>54</v>
      </c>
      <c r="D480" s="3">
        <v>43643.08</v>
      </c>
      <c r="E480" s="3">
        <v>13092.92</v>
      </c>
      <c r="F480" s="3">
        <v>7102.81</v>
      </c>
      <c r="G480" s="3">
        <v>9243.45</v>
      </c>
      <c r="H480" s="3">
        <v>63838.81</v>
      </c>
      <c r="I480" s="3">
        <v>54595.36</v>
      </c>
      <c r="J480" s="4">
        <v>45778.0</v>
      </c>
      <c r="K480" s="3">
        <v>8.0</v>
      </c>
      <c r="L480" s="3" t="s">
        <v>21</v>
      </c>
    </row>
    <row r="481" ht="15.75" customHeight="1">
      <c r="A481" s="3" t="s">
        <v>528</v>
      </c>
      <c r="B481" s="3" t="s">
        <v>53</v>
      </c>
      <c r="C481" s="3" t="s">
        <v>37</v>
      </c>
      <c r="D481" s="3">
        <v>46525.54</v>
      </c>
      <c r="E481" s="3">
        <v>13957.66</v>
      </c>
      <c r="F481" s="3">
        <v>1246.4</v>
      </c>
      <c r="G481" s="3">
        <v>1645.07</v>
      </c>
      <c r="H481" s="3">
        <v>61729.6</v>
      </c>
      <c r="I481" s="3">
        <v>60084.53</v>
      </c>
      <c r="J481" s="4">
        <v>45778.0</v>
      </c>
      <c r="K481" s="3">
        <v>22.0</v>
      </c>
      <c r="L481" s="3" t="s">
        <v>23</v>
      </c>
    </row>
    <row r="482" ht="15.75" customHeight="1">
      <c r="A482" s="3" t="s">
        <v>529</v>
      </c>
      <c r="B482" s="3" t="s">
        <v>17</v>
      </c>
      <c r="C482" s="3" t="s">
        <v>30</v>
      </c>
      <c r="D482" s="3">
        <v>25285.09</v>
      </c>
      <c r="E482" s="3">
        <v>7585.53</v>
      </c>
      <c r="F482" s="3">
        <v>714.85</v>
      </c>
      <c r="G482" s="3">
        <v>2946.7</v>
      </c>
      <c r="H482" s="3">
        <v>33585.47</v>
      </c>
      <c r="I482" s="3">
        <v>30638.77</v>
      </c>
      <c r="J482" s="4">
        <v>45931.0</v>
      </c>
      <c r="K482" s="3">
        <v>8.0</v>
      </c>
      <c r="L482" s="3" t="s">
        <v>27</v>
      </c>
    </row>
    <row r="483" ht="15.75" customHeight="1">
      <c r="A483" s="3" t="s">
        <v>530</v>
      </c>
      <c r="B483" s="3" t="s">
        <v>51</v>
      </c>
      <c r="C483" s="3" t="s">
        <v>37</v>
      </c>
      <c r="D483" s="3">
        <v>51906.78</v>
      </c>
      <c r="E483" s="3">
        <v>15572.03</v>
      </c>
      <c r="F483" s="3">
        <v>1928.38</v>
      </c>
      <c r="G483" s="3">
        <v>9896.05</v>
      </c>
      <c r="H483" s="3">
        <v>69407.19</v>
      </c>
      <c r="I483" s="3">
        <v>59511.14</v>
      </c>
      <c r="J483" s="4">
        <v>45992.0</v>
      </c>
      <c r="K483" s="3">
        <v>20.0</v>
      </c>
      <c r="L483" s="3" t="s">
        <v>31</v>
      </c>
    </row>
    <row r="484" ht="15.75" customHeight="1">
      <c r="A484" s="3" t="s">
        <v>531</v>
      </c>
      <c r="B484" s="3" t="s">
        <v>13</v>
      </c>
      <c r="C484" s="3" t="s">
        <v>30</v>
      </c>
      <c r="D484" s="3">
        <v>26883.23</v>
      </c>
      <c r="E484" s="3">
        <v>8064.97</v>
      </c>
      <c r="F484" s="3">
        <v>2632.63</v>
      </c>
      <c r="G484" s="3">
        <v>1131.49</v>
      </c>
      <c r="H484" s="3">
        <v>37580.83</v>
      </c>
      <c r="I484" s="3">
        <v>36449.34</v>
      </c>
      <c r="J484" s="4">
        <v>45809.0</v>
      </c>
      <c r="K484" s="3">
        <v>10.0</v>
      </c>
      <c r="L484" s="3" t="s">
        <v>34</v>
      </c>
    </row>
    <row r="485" ht="15.75" customHeight="1">
      <c r="A485" s="3" t="s">
        <v>532</v>
      </c>
      <c r="B485" s="3" t="s">
        <v>25</v>
      </c>
      <c r="C485" s="3" t="s">
        <v>54</v>
      </c>
      <c r="D485" s="3">
        <v>43671.74</v>
      </c>
      <c r="E485" s="3">
        <v>13101.52</v>
      </c>
      <c r="F485" s="3">
        <v>7559.77</v>
      </c>
      <c r="G485" s="3">
        <v>12470.58</v>
      </c>
      <c r="H485" s="3">
        <v>64333.03</v>
      </c>
      <c r="I485" s="3">
        <v>51862.45</v>
      </c>
      <c r="J485" s="4">
        <v>45870.0</v>
      </c>
      <c r="K485" s="3">
        <v>20.0</v>
      </c>
      <c r="L485" s="3" t="s">
        <v>38</v>
      </c>
    </row>
    <row r="486" ht="15.75" customHeight="1">
      <c r="A486" s="3" t="s">
        <v>533</v>
      </c>
      <c r="B486" s="3" t="s">
        <v>51</v>
      </c>
      <c r="C486" s="3" t="s">
        <v>30</v>
      </c>
      <c r="D486" s="3">
        <v>29173.9</v>
      </c>
      <c r="E486" s="3">
        <v>8752.17</v>
      </c>
      <c r="F486" s="3">
        <v>5623.73</v>
      </c>
      <c r="G486" s="3">
        <v>4423.68</v>
      </c>
      <c r="H486" s="3">
        <v>43549.8</v>
      </c>
      <c r="I486" s="3">
        <v>39126.12</v>
      </c>
      <c r="J486" s="4">
        <v>45870.0</v>
      </c>
      <c r="K486" s="3">
        <v>8.0</v>
      </c>
      <c r="L486" s="3" t="s">
        <v>40</v>
      </c>
    </row>
    <row r="487" ht="15.75" customHeight="1">
      <c r="A487" s="3" t="s">
        <v>534</v>
      </c>
      <c r="B487" s="3" t="s">
        <v>36</v>
      </c>
      <c r="C487" s="3" t="s">
        <v>18</v>
      </c>
      <c r="D487" s="3">
        <v>77784.87</v>
      </c>
      <c r="E487" s="3">
        <v>23335.46</v>
      </c>
      <c r="F487" s="3">
        <v>11047.67</v>
      </c>
      <c r="G487" s="3">
        <v>10357.49</v>
      </c>
      <c r="H487" s="3">
        <v>112168.0</v>
      </c>
      <c r="I487" s="3">
        <v>101810.51</v>
      </c>
      <c r="J487" s="4">
        <v>45717.0</v>
      </c>
      <c r="K487" s="3">
        <v>16.0</v>
      </c>
      <c r="L487" s="3" t="s">
        <v>42</v>
      </c>
    </row>
    <row r="488" ht="15.75" customHeight="1">
      <c r="A488" s="3" t="s">
        <v>535</v>
      </c>
      <c r="B488" s="3" t="s">
        <v>17</v>
      </c>
      <c r="C488" s="3" t="s">
        <v>37</v>
      </c>
      <c r="D488" s="3">
        <v>45555.49</v>
      </c>
      <c r="E488" s="3">
        <v>13666.65</v>
      </c>
      <c r="F488" s="3">
        <v>6934.06</v>
      </c>
      <c r="G488" s="3">
        <v>3991.89</v>
      </c>
      <c r="H488" s="3">
        <v>66156.2</v>
      </c>
      <c r="I488" s="3">
        <v>62164.31</v>
      </c>
      <c r="J488" s="4">
        <v>45778.0</v>
      </c>
      <c r="K488" s="3">
        <v>19.0</v>
      </c>
      <c r="L488" s="3" t="s">
        <v>15</v>
      </c>
    </row>
    <row r="489" ht="15.75" customHeight="1">
      <c r="A489" s="3" t="s">
        <v>536</v>
      </c>
      <c r="B489" s="3" t="s">
        <v>51</v>
      </c>
      <c r="C489" s="3" t="s">
        <v>37</v>
      </c>
      <c r="D489" s="3">
        <v>50196.07</v>
      </c>
      <c r="E489" s="3">
        <v>15058.82</v>
      </c>
      <c r="F489" s="3">
        <v>7838.02</v>
      </c>
      <c r="G489" s="3">
        <v>8518.03</v>
      </c>
      <c r="H489" s="3">
        <v>73092.91</v>
      </c>
      <c r="I489" s="3">
        <v>64574.88</v>
      </c>
      <c r="J489" s="4">
        <v>45870.0</v>
      </c>
      <c r="K489" s="3">
        <v>6.0</v>
      </c>
      <c r="L489" s="3" t="s">
        <v>19</v>
      </c>
    </row>
    <row r="490" ht="15.75" customHeight="1">
      <c r="A490" s="3" t="s">
        <v>537</v>
      </c>
      <c r="B490" s="3" t="s">
        <v>53</v>
      </c>
      <c r="C490" s="3" t="s">
        <v>37</v>
      </c>
      <c r="D490" s="3">
        <v>47037.8</v>
      </c>
      <c r="E490" s="3">
        <v>14111.34</v>
      </c>
      <c r="F490" s="3">
        <v>1074.41</v>
      </c>
      <c r="G490" s="3">
        <v>10937.88</v>
      </c>
      <c r="H490" s="3">
        <v>62223.55</v>
      </c>
      <c r="I490" s="3">
        <v>51285.67</v>
      </c>
      <c r="J490" s="4">
        <v>45809.0</v>
      </c>
      <c r="K490" s="3">
        <v>16.0</v>
      </c>
      <c r="L490" s="3" t="s">
        <v>21</v>
      </c>
    </row>
    <row r="491" ht="15.75" customHeight="1">
      <c r="A491" s="3" t="s">
        <v>538</v>
      </c>
      <c r="B491" s="3" t="s">
        <v>53</v>
      </c>
      <c r="C491" s="3" t="s">
        <v>26</v>
      </c>
      <c r="D491" s="3">
        <v>117244.3</v>
      </c>
      <c r="E491" s="3">
        <v>35173.29</v>
      </c>
      <c r="F491" s="3">
        <v>17821.23</v>
      </c>
      <c r="G491" s="3">
        <v>15524.31</v>
      </c>
      <c r="H491" s="3">
        <v>170238.82</v>
      </c>
      <c r="I491" s="3">
        <v>154714.51</v>
      </c>
      <c r="J491" s="4">
        <v>45748.0</v>
      </c>
      <c r="K491" s="3">
        <v>4.0</v>
      </c>
      <c r="L491" s="3" t="s">
        <v>23</v>
      </c>
    </row>
    <row r="492" ht="15.75" customHeight="1">
      <c r="A492" s="3" t="s">
        <v>539</v>
      </c>
      <c r="B492" s="3" t="s">
        <v>36</v>
      </c>
      <c r="C492" s="3" t="s">
        <v>14</v>
      </c>
      <c r="D492" s="3">
        <v>23299.12</v>
      </c>
      <c r="E492" s="3">
        <v>6989.74</v>
      </c>
      <c r="F492" s="3">
        <v>3046.0</v>
      </c>
      <c r="G492" s="3">
        <v>1730.18</v>
      </c>
      <c r="H492" s="3">
        <v>33334.86</v>
      </c>
      <c r="I492" s="3">
        <v>31604.68</v>
      </c>
      <c r="J492" s="4">
        <v>45658.0</v>
      </c>
      <c r="K492" s="3">
        <v>11.0</v>
      </c>
      <c r="L492" s="3" t="s">
        <v>27</v>
      </c>
    </row>
    <row r="493" ht="15.75" customHeight="1">
      <c r="A493" s="3" t="s">
        <v>540</v>
      </c>
      <c r="B493" s="3" t="s">
        <v>36</v>
      </c>
      <c r="C493" s="3" t="s">
        <v>33</v>
      </c>
      <c r="D493" s="3">
        <v>28485.77</v>
      </c>
      <c r="E493" s="3">
        <v>8545.73</v>
      </c>
      <c r="F493" s="3">
        <v>4653.03</v>
      </c>
      <c r="G493" s="3">
        <v>3752.17</v>
      </c>
      <c r="H493" s="3">
        <v>41684.53</v>
      </c>
      <c r="I493" s="3">
        <v>37932.36</v>
      </c>
      <c r="J493" s="4">
        <v>45689.0</v>
      </c>
      <c r="K493" s="3">
        <v>17.0</v>
      </c>
      <c r="L493" s="3" t="s">
        <v>31</v>
      </c>
    </row>
    <row r="494" ht="15.75" customHeight="1">
      <c r="A494" s="3" t="s">
        <v>541</v>
      </c>
      <c r="B494" s="3" t="s">
        <v>25</v>
      </c>
      <c r="C494" s="3" t="s">
        <v>26</v>
      </c>
      <c r="D494" s="3">
        <v>98530.06</v>
      </c>
      <c r="E494" s="3">
        <v>29559.02</v>
      </c>
      <c r="F494" s="3">
        <v>15975.72</v>
      </c>
      <c r="G494" s="3">
        <v>17378.45</v>
      </c>
      <c r="H494" s="3">
        <v>144064.8</v>
      </c>
      <c r="I494" s="3">
        <v>126686.35</v>
      </c>
      <c r="J494" s="4">
        <v>45809.0</v>
      </c>
      <c r="K494" s="3">
        <v>6.0</v>
      </c>
      <c r="L494" s="3" t="s">
        <v>34</v>
      </c>
    </row>
    <row r="495" ht="15.75" customHeight="1">
      <c r="A495" s="3" t="s">
        <v>542</v>
      </c>
      <c r="B495" s="3" t="s">
        <v>25</v>
      </c>
      <c r="C495" s="3" t="s">
        <v>18</v>
      </c>
      <c r="D495" s="3">
        <v>80866.81</v>
      </c>
      <c r="E495" s="3">
        <v>24260.04</v>
      </c>
      <c r="F495" s="3">
        <v>6924.9</v>
      </c>
      <c r="G495" s="3">
        <v>14947.85</v>
      </c>
      <c r="H495" s="3">
        <v>112051.75</v>
      </c>
      <c r="I495" s="3">
        <v>97103.9</v>
      </c>
      <c r="J495" s="4">
        <v>45748.0</v>
      </c>
      <c r="K495" s="3">
        <v>9.0</v>
      </c>
      <c r="L495" s="3" t="s">
        <v>38</v>
      </c>
    </row>
    <row r="496" ht="15.75" customHeight="1">
      <c r="A496" s="3" t="s">
        <v>543</v>
      </c>
      <c r="B496" s="3" t="s">
        <v>25</v>
      </c>
      <c r="C496" s="3" t="s">
        <v>30</v>
      </c>
      <c r="D496" s="3">
        <v>29087.88</v>
      </c>
      <c r="E496" s="3">
        <v>8726.36</v>
      </c>
      <c r="F496" s="3">
        <v>3316.45</v>
      </c>
      <c r="G496" s="3">
        <v>4644.88</v>
      </c>
      <c r="H496" s="3">
        <v>41130.69</v>
      </c>
      <c r="I496" s="3">
        <v>36485.81</v>
      </c>
      <c r="J496" s="4">
        <v>45931.0</v>
      </c>
      <c r="K496" s="3">
        <v>16.0</v>
      </c>
      <c r="L496" s="3" t="s">
        <v>40</v>
      </c>
    </row>
    <row r="497" ht="15.75" customHeight="1">
      <c r="A497" s="3" t="s">
        <v>544</v>
      </c>
      <c r="B497" s="3" t="s">
        <v>53</v>
      </c>
      <c r="C497" s="3" t="s">
        <v>30</v>
      </c>
      <c r="D497" s="3">
        <v>24848.15</v>
      </c>
      <c r="E497" s="3">
        <v>7454.44</v>
      </c>
      <c r="F497" s="3">
        <v>3498.89</v>
      </c>
      <c r="G497" s="3">
        <v>2156.82</v>
      </c>
      <c r="H497" s="3">
        <v>35801.48</v>
      </c>
      <c r="I497" s="3">
        <v>33644.66</v>
      </c>
      <c r="J497" s="4">
        <v>45778.0</v>
      </c>
      <c r="K497" s="3">
        <v>16.0</v>
      </c>
      <c r="L497" s="3" t="s">
        <v>42</v>
      </c>
    </row>
    <row r="498" ht="15.75" customHeight="1">
      <c r="A498" s="3" t="s">
        <v>545</v>
      </c>
      <c r="B498" s="3" t="s">
        <v>25</v>
      </c>
      <c r="C498" s="3" t="s">
        <v>37</v>
      </c>
      <c r="D498" s="3">
        <v>62738.79</v>
      </c>
      <c r="E498" s="3">
        <v>18821.64</v>
      </c>
      <c r="F498" s="3">
        <v>8523.68</v>
      </c>
      <c r="G498" s="3">
        <v>1792.29</v>
      </c>
      <c r="H498" s="3">
        <v>90084.11</v>
      </c>
      <c r="I498" s="3">
        <v>88291.82</v>
      </c>
      <c r="J498" s="4">
        <v>45839.0</v>
      </c>
      <c r="K498" s="3">
        <v>4.0</v>
      </c>
      <c r="L498" s="3" t="s">
        <v>15</v>
      </c>
    </row>
    <row r="499" ht="15.75" customHeight="1">
      <c r="A499" s="3" t="s">
        <v>546</v>
      </c>
      <c r="B499" s="3" t="s">
        <v>51</v>
      </c>
      <c r="C499" s="3" t="s">
        <v>18</v>
      </c>
      <c r="D499" s="3">
        <v>73374.51</v>
      </c>
      <c r="E499" s="3">
        <v>22012.35</v>
      </c>
      <c r="F499" s="3">
        <v>3632.84</v>
      </c>
      <c r="G499" s="3">
        <v>18568.64</v>
      </c>
      <c r="H499" s="3">
        <v>99019.7</v>
      </c>
      <c r="I499" s="3">
        <v>80451.06</v>
      </c>
      <c r="J499" s="4">
        <v>45839.0</v>
      </c>
      <c r="K499" s="3">
        <v>24.0</v>
      </c>
      <c r="L499" s="3" t="s">
        <v>21</v>
      </c>
    </row>
    <row r="500" ht="15.75" customHeight="1">
      <c r="A500" s="3" t="s">
        <v>547</v>
      </c>
      <c r="B500" s="5"/>
      <c r="C500" s="3" t="s">
        <v>30</v>
      </c>
      <c r="D500" s="3">
        <v>27081.34</v>
      </c>
      <c r="E500" s="3">
        <v>8124.4</v>
      </c>
      <c r="F500" s="3">
        <v>1455.44</v>
      </c>
      <c r="G500" s="3">
        <v>3365.33</v>
      </c>
      <c r="H500" s="3">
        <v>36661.18</v>
      </c>
      <c r="I500" s="3">
        <v>33295.85</v>
      </c>
      <c r="J500" s="4">
        <v>45870.0</v>
      </c>
      <c r="K500" s="3">
        <v>3.0</v>
      </c>
      <c r="L500" s="3" t="s">
        <v>23</v>
      </c>
    </row>
    <row r="501" ht="15.75" customHeight="1">
      <c r="A501" s="3" t="s">
        <v>548</v>
      </c>
      <c r="B501" s="3" t="s">
        <v>17</v>
      </c>
      <c r="C501" s="3" t="s">
        <v>18</v>
      </c>
      <c r="D501" s="3">
        <v>85659.56</v>
      </c>
      <c r="E501" s="3">
        <v>25697.87</v>
      </c>
      <c r="F501" s="3">
        <v>13172.46</v>
      </c>
      <c r="G501" s="3">
        <v>10352.41</v>
      </c>
      <c r="H501" s="3">
        <v>124529.89</v>
      </c>
      <c r="I501" s="3">
        <v>114177.48</v>
      </c>
      <c r="J501" s="4">
        <v>45992.0</v>
      </c>
      <c r="K501" s="3">
        <v>7.0</v>
      </c>
      <c r="L501" s="3" t="s">
        <v>27</v>
      </c>
    </row>
    <row r="502" ht="15.75" customHeight="1">
      <c r="A502" s="3" t="s">
        <v>549</v>
      </c>
      <c r="B502" s="3" t="s">
        <v>29</v>
      </c>
      <c r="C502" s="3" t="s">
        <v>18</v>
      </c>
      <c r="D502" s="3">
        <v>89344.74</v>
      </c>
      <c r="E502" s="3">
        <v>26803.42</v>
      </c>
      <c r="F502" s="3">
        <v>6594.91</v>
      </c>
      <c r="G502" s="3">
        <v>25470.06</v>
      </c>
      <c r="H502" s="3">
        <v>122743.07</v>
      </c>
      <c r="I502" s="3">
        <v>97273.01</v>
      </c>
      <c r="J502" s="4">
        <v>45809.0</v>
      </c>
      <c r="K502" s="3">
        <v>9.0</v>
      </c>
      <c r="L502" s="3" t="s">
        <v>31</v>
      </c>
    </row>
    <row r="503" ht="15.75" customHeight="1">
      <c r="A503" s="3" t="s">
        <v>550</v>
      </c>
      <c r="B503" s="3" t="s">
        <v>53</v>
      </c>
      <c r="C503" s="3" t="s">
        <v>14</v>
      </c>
      <c r="D503" s="3">
        <v>24256.14</v>
      </c>
      <c r="E503" s="3">
        <v>7276.84</v>
      </c>
      <c r="F503" s="3">
        <v>4109.8</v>
      </c>
      <c r="G503" s="3">
        <v>677.78</v>
      </c>
      <c r="H503" s="3">
        <v>35642.78</v>
      </c>
      <c r="I503" s="3">
        <v>34965.0</v>
      </c>
      <c r="J503" s="4">
        <v>45870.0</v>
      </c>
      <c r="K503" s="3">
        <v>3.0</v>
      </c>
      <c r="L503" s="3" t="s">
        <v>34</v>
      </c>
    </row>
    <row r="504" ht="15.75" customHeight="1">
      <c r="A504" s="3" t="s">
        <v>551</v>
      </c>
      <c r="B504" s="3" t="s">
        <v>13</v>
      </c>
      <c r="C504" s="3" t="s">
        <v>18</v>
      </c>
      <c r="D504" s="3">
        <v>83129.51</v>
      </c>
      <c r="E504" s="3">
        <v>24938.85</v>
      </c>
      <c r="F504" s="3">
        <v>14133.78</v>
      </c>
      <c r="G504" s="3">
        <v>19843.29</v>
      </c>
      <c r="H504" s="3">
        <v>122202.14</v>
      </c>
      <c r="I504" s="3">
        <v>102358.85</v>
      </c>
      <c r="J504" s="4">
        <v>45839.0</v>
      </c>
      <c r="K504" s="3">
        <v>15.0</v>
      </c>
      <c r="L504" s="3" t="s">
        <v>38</v>
      </c>
    </row>
    <row r="505" ht="15.75" customHeight="1">
      <c r="A505" s="3" t="s">
        <v>552</v>
      </c>
      <c r="B505" s="3" t="s">
        <v>51</v>
      </c>
      <c r="C505" s="3" t="s">
        <v>54</v>
      </c>
      <c r="D505" s="3">
        <v>46547.87</v>
      </c>
      <c r="E505" s="3">
        <v>13964.36</v>
      </c>
      <c r="F505" s="3">
        <v>4605.59</v>
      </c>
      <c r="G505" s="3">
        <v>4508.61</v>
      </c>
      <c r="H505" s="3">
        <v>65117.82</v>
      </c>
      <c r="I505" s="3">
        <v>60609.21</v>
      </c>
      <c r="J505" s="4">
        <v>45778.0</v>
      </c>
      <c r="K505" s="3">
        <v>23.0</v>
      </c>
      <c r="L505" s="3" t="s">
        <v>40</v>
      </c>
    </row>
    <row r="506" ht="15.75" customHeight="1">
      <c r="A506" s="3" t="s">
        <v>553</v>
      </c>
      <c r="B506" s="3" t="s">
        <v>29</v>
      </c>
      <c r="C506" s="3" t="s">
        <v>37</v>
      </c>
      <c r="D506" s="3">
        <v>55402.81</v>
      </c>
      <c r="E506" s="3">
        <v>16620.84</v>
      </c>
      <c r="F506" s="3">
        <v>6273.17</v>
      </c>
      <c r="G506" s="3">
        <v>8066.73</v>
      </c>
      <c r="H506" s="3">
        <v>78296.82</v>
      </c>
      <c r="I506" s="3">
        <v>70230.09</v>
      </c>
      <c r="J506" s="4">
        <v>45809.0</v>
      </c>
      <c r="K506" s="3">
        <v>15.0</v>
      </c>
      <c r="L506" s="3" t="s">
        <v>42</v>
      </c>
    </row>
    <row r="507" ht="15.75" customHeight="1">
      <c r="A507" s="3" t="s">
        <v>554</v>
      </c>
      <c r="B507" s="3" t="s">
        <v>13</v>
      </c>
      <c r="C507" s="3" t="s">
        <v>26</v>
      </c>
      <c r="D507" s="3">
        <v>91742.73</v>
      </c>
      <c r="E507" s="3">
        <v>27522.82</v>
      </c>
      <c r="F507" s="3">
        <v>1827.05</v>
      </c>
      <c r="G507" s="3">
        <v>21574.86</v>
      </c>
      <c r="H507" s="3">
        <v>121092.6</v>
      </c>
      <c r="I507" s="3">
        <v>99517.74</v>
      </c>
      <c r="J507" s="4">
        <v>45870.0</v>
      </c>
      <c r="K507" s="3">
        <v>20.0</v>
      </c>
      <c r="L507" s="3" t="s">
        <v>15</v>
      </c>
    </row>
    <row r="508" ht="15.75" customHeight="1">
      <c r="A508" s="3" t="s">
        <v>555</v>
      </c>
      <c r="B508" s="3" t="s">
        <v>17</v>
      </c>
      <c r="C508" s="3" t="s">
        <v>14</v>
      </c>
      <c r="D508" s="3">
        <v>24691.92</v>
      </c>
      <c r="E508" s="3">
        <v>7407.58</v>
      </c>
      <c r="F508" s="3">
        <v>780.18</v>
      </c>
      <c r="G508" s="3">
        <v>3381.69</v>
      </c>
      <c r="H508" s="3">
        <v>32879.68</v>
      </c>
      <c r="I508" s="3">
        <v>29497.99</v>
      </c>
      <c r="J508" s="4">
        <v>45839.0</v>
      </c>
      <c r="K508" s="3">
        <v>7.0</v>
      </c>
      <c r="L508" s="3" t="s">
        <v>19</v>
      </c>
    </row>
    <row r="509" ht="15.75" customHeight="1">
      <c r="A509" s="3" t="s">
        <v>556</v>
      </c>
      <c r="B509" s="3" t="s">
        <v>51</v>
      </c>
      <c r="C509" s="3" t="s">
        <v>18</v>
      </c>
      <c r="D509" s="3">
        <v>88644.59</v>
      </c>
      <c r="E509" s="3">
        <v>26593.38</v>
      </c>
      <c r="F509" s="3">
        <v>15639.53</v>
      </c>
      <c r="G509" s="3">
        <v>8027.62</v>
      </c>
      <c r="H509" s="3">
        <v>130877.5</v>
      </c>
      <c r="I509" s="3">
        <v>122849.88</v>
      </c>
      <c r="J509" s="4">
        <v>45778.0</v>
      </c>
      <c r="K509" s="3">
        <v>7.0</v>
      </c>
      <c r="L509" s="3" t="s">
        <v>21</v>
      </c>
    </row>
    <row r="510" ht="15.75" customHeight="1">
      <c r="A510" s="3" t="s">
        <v>557</v>
      </c>
      <c r="B510" s="3" t="s">
        <v>17</v>
      </c>
      <c r="C510" s="3" t="s">
        <v>18</v>
      </c>
      <c r="D510" s="3">
        <v>74371.32</v>
      </c>
      <c r="E510" s="3">
        <v>22311.4</v>
      </c>
      <c r="F510" s="3">
        <v>1225.94</v>
      </c>
      <c r="G510" s="3">
        <v>14826.12</v>
      </c>
      <c r="H510" s="3">
        <v>97908.66</v>
      </c>
      <c r="I510" s="3">
        <v>83082.54</v>
      </c>
      <c r="J510" s="4">
        <v>45962.0</v>
      </c>
      <c r="K510" s="3">
        <v>25.0</v>
      </c>
      <c r="L510" s="3" t="s">
        <v>23</v>
      </c>
    </row>
    <row r="511" ht="15.75" customHeight="1">
      <c r="A511" s="3" t="s">
        <v>558</v>
      </c>
      <c r="B511" s="3" t="s">
        <v>51</v>
      </c>
      <c r="C511" s="3" t="s">
        <v>14</v>
      </c>
      <c r="D511" s="3">
        <v>20853.66</v>
      </c>
      <c r="E511" s="3">
        <v>6256.1</v>
      </c>
      <c r="F511" s="3">
        <v>1274.2</v>
      </c>
      <c r="G511" s="3">
        <v>4375.77</v>
      </c>
      <c r="H511" s="3">
        <v>16477.89</v>
      </c>
      <c r="I511" s="3">
        <v>21477.89</v>
      </c>
      <c r="J511" s="4">
        <v>45748.0</v>
      </c>
      <c r="K511" s="3">
        <v>17.0</v>
      </c>
      <c r="L511" s="3" t="s">
        <v>27</v>
      </c>
    </row>
    <row r="512" ht="15.75" customHeight="1">
      <c r="A512" s="3" t="s">
        <v>559</v>
      </c>
      <c r="B512" s="3" t="s">
        <v>36</v>
      </c>
      <c r="C512" s="3" t="s">
        <v>18</v>
      </c>
      <c r="D512" s="3">
        <v>67371.18</v>
      </c>
      <c r="E512" s="3">
        <v>20211.35</v>
      </c>
      <c r="F512" s="3">
        <v>1282.53</v>
      </c>
      <c r="G512" s="5"/>
      <c r="H512" s="3">
        <v>88865.06</v>
      </c>
      <c r="I512" s="3">
        <v>84551.53</v>
      </c>
      <c r="J512" s="4">
        <v>45689.0</v>
      </c>
      <c r="K512" s="3">
        <v>15.0</v>
      </c>
      <c r="L512" s="3" t="s">
        <v>31</v>
      </c>
    </row>
    <row r="513" ht="15.75" customHeight="1">
      <c r="A513" s="3" t="s">
        <v>560</v>
      </c>
      <c r="B513" s="3" t="s">
        <v>51</v>
      </c>
      <c r="C513" s="3" t="s">
        <v>37</v>
      </c>
      <c r="D513" s="3">
        <v>49071.44</v>
      </c>
      <c r="E513" s="3">
        <v>14721.43</v>
      </c>
      <c r="F513" s="3">
        <v>6673.55</v>
      </c>
      <c r="G513" s="3">
        <v>136.72</v>
      </c>
      <c r="H513" s="3">
        <v>70466.42</v>
      </c>
      <c r="I513" s="3">
        <v>70329.7</v>
      </c>
      <c r="J513" s="4">
        <v>45992.0</v>
      </c>
      <c r="K513" s="3">
        <v>7.0</v>
      </c>
      <c r="L513" s="3" t="s">
        <v>34</v>
      </c>
    </row>
    <row r="514" ht="15.75" customHeight="1">
      <c r="A514" s="3" t="s">
        <v>561</v>
      </c>
      <c r="B514" s="3" t="s">
        <v>29</v>
      </c>
      <c r="C514" s="3" t="s">
        <v>26</v>
      </c>
      <c r="D514" s="3">
        <v>94341.38</v>
      </c>
      <c r="E514" s="3">
        <v>28302.41</v>
      </c>
      <c r="F514" s="3">
        <v>16233.14</v>
      </c>
      <c r="G514" s="3">
        <v>19642.75</v>
      </c>
      <c r="H514" s="3">
        <v>138876.93</v>
      </c>
      <c r="I514" s="3">
        <v>119234.18</v>
      </c>
      <c r="J514" s="4">
        <v>45870.0</v>
      </c>
      <c r="K514" s="3">
        <v>4.0</v>
      </c>
      <c r="L514" s="3" t="s">
        <v>38</v>
      </c>
    </row>
    <row r="515" ht="15.75" customHeight="1">
      <c r="A515" s="3" t="s">
        <v>562</v>
      </c>
      <c r="B515" s="3" t="s">
        <v>17</v>
      </c>
      <c r="C515" s="3" t="s">
        <v>30</v>
      </c>
      <c r="D515" s="3">
        <v>25371.02</v>
      </c>
      <c r="E515" s="3">
        <v>7611.31</v>
      </c>
      <c r="F515" s="3">
        <v>3708.04</v>
      </c>
      <c r="G515" s="3">
        <v>779.6</v>
      </c>
      <c r="H515" s="3">
        <v>36690.37</v>
      </c>
      <c r="I515" s="3">
        <v>35910.77</v>
      </c>
      <c r="J515" s="4">
        <v>45809.0</v>
      </c>
      <c r="K515" s="3">
        <v>5.0</v>
      </c>
      <c r="L515" s="3" t="s">
        <v>40</v>
      </c>
    </row>
    <row r="516" ht="15.75" customHeight="1">
      <c r="A516" s="3" t="s">
        <v>563</v>
      </c>
      <c r="B516" s="3" t="s">
        <v>29</v>
      </c>
      <c r="C516" s="3" t="s">
        <v>33</v>
      </c>
      <c r="D516" s="3">
        <v>26371.29</v>
      </c>
      <c r="E516" s="3">
        <v>7911.39</v>
      </c>
      <c r="F516" s="3">
        <v>4079.43</v>
      </c>
      <c r="G516" s="3">
        <v>5958.52</v>
      </c>
      <c r="H516" s="3">
        <v>38362.11</v>
      </c>
      <c r="I516" s="3">
        <v>32403.59</v>
      </c>
      <c r="J516" s="4">
        <v>45717.0</v>
      </c>
      <c r="K516" s="3">
        <v>23.0</v>
      </c>
      <c r="L516" s="3" t="s">
        <v>42</v>
      </c>
    </row>
    <row r="517" ht="15.75" customHeight="1">
      <c r="A517" s="3" t="s">
        <v>564</v>
      </c>
      <c r="B517" s="3" t="s">
        <v>13</v>
      </c>
      <c r="C517" s="3" t="s">
        <v>18</v>
      </c>
      <c r="D517" s="3">
        <v>68714.18</v>
      </c>
      <c r="E517" s="3">
        <v>20614.25</v>
      </c>
      <c r="F517" s="3">
        <v>7290.69</v>
      </c>
      <c r="G517" s="3">
        <v>174.7</v>
      </c>
      <c r="H517" s="3">
        <v>96619.12</v>
      </c>
      <c r="I517" s="3">
        <v>96444.42</v>
      </c>
      <c r="J517" s="4">
        <v>45962.0</v>
      </c>
      <c r="K517" s="3">
        <v>3.0</v>
      </c>
      <c r="L517" s="3" t="s">
        <v>15</v>
      </c>
    </row>
    <row r="518" ht="15.75" customHeight="1">
      <c r="A518" s="3" t="s">
        <v>565</v>
      </c>
      <c r="B518" s="3" t="s">
        <v>51</v>
      </c>
      <c r="C518" s="3" t="s">
        <v>54</v>
      </c>
      <c r="D518" s="3">
        <v>39916.63</v>
      </c>
      <c r="E518" s="3">
        <v>11974.99</v>
      </c>
      <c r="F518" s="3">
        <v>1700.89</v>
      </c>
      <c r="G518" s="3">
        <v>8960.51</v>
      </c>
      <c r="H518" s="3">
        <v>53592.51</v>
      </c>
      <c r="I518" s="3">
        <v>44632.0</v>
      </c>
      <c r="J518" s="4">
        <v>45839.0</v>
      </c>
      <c r="K518" s="3">
        <v>23.0</v>
      </c>
      <c r="L518" s="3" t="s">
        <v>19</v>
      </c>
    </row>
    <row r="519" ht="15.75" customHeight="1">
      <c r="A519" s="3" t="s">
        <v>566</v>
      </c>
      <c r="B519" s="3" t="s">
        <v>53</v>
      </c>
      <c r="C519" s="3" t="s">
        <v>18</v>
      </c>
      <c r="D519" s="3">
        <v>76501.98</v>
      </c>
      <c r="E519" s="3">
        <v>22950.59</v>
      </c>
      <c r="F519" s="3">
        <v>3323.93</v>
      </c>
      <c r="G519" s="3">
        <v>20577.34</v>
      </c>
      <c r="H519" s="3">
        <v>55924.64</v>
      </c>
      <c r="I519" s="3">
        <v>60924.64</v>
      </c>
      <c r="J519" s="4">
        <v>45717.0</v>
      </c>
      <c r="K519" s="3">
        <v>12.0</v>
      </c>
      <c r="L519" s="3" t="s">
        <v>21</v>
      </c>
    </row>
    <row r="520" ht="15.75" customHeight="1">
      <c r="A520" s="3" t="s">
        <v>567</v>
      </c>
      <c r="B520" s="3" t="s">
        <v>25</v>
      </c>
      <c r="C520" s="3" t="s">
        <v>14</v>
      </c>
      <c r="D520" s="3">
        <v>22244.93</v>
      </c>
      <c r="E520" s="3">
        <v>6673.48</v>
      </c>
      <c r="F520" s="3">
        <v>1708.55</v>
      </c>
      <c r="G520" s="3">
        <v>6428.22</v>
      </c>
      <c r="H520" s="3">
        <v>30626.96</v>
      </c>
      <c r="I520" s="3">
        <v>24198.74</v>
      </c>
      <c r="J520" s="4">
        <v>45809.0</v>
      </c>
      <c r="K520" s="3">
        <v>18.0</v>
      </c>
      <c r="L520" s="3" t="s">
        <v>23</v>
      </c>
    </row>
    <row r="521" ht="15.75" customHeight="1">
      <c r="A521" s="3" t="s">
        <v>568</v>
      </c>
      <c r="B521" s="3" t="s">
        <v>25</v>
      </c>
      <c r="C521" s="3" t="s">
        <v>30</v>
      </c>
      <c r="D521" s="3">
        <v>24180.52</v>
      </c>
      <c r="E521" s="3">
        <v>7254.16</v>
      </c>
      <c r="F521" s="3">
        <v>3117.45</v>
      </c>
      <c r="G521" s="3">
        <v>1800.24</v>
      </c>
      <c r="H521" s="3">
        <v>34552.13</v>
      </c>
      <c r="I521" s="3">
        <v>32751.89</v>
      </c>
      <c r="J521" s="4">
        <v>45931.0</v>
      </c>
      <c r="K521" s="3">
        <v>15.0</v>
      </c>
      <c r="L521" s="3" t="s">
        <v>27</v>
      </c>
    </row>
    <row r="522" ht="15.75" customHeight="1">
      <c r="A522" s="3" t="s">
        <v>569</v>
      </c>
      <c r="B522" s="3" t="s">
        <v>53</v>
      </c>
      <c r="C522" s="3" t="s">
        <v>18</v>
      </c>
      <c r="D522" s="3">
        <v>80797.42</v>
      </c>
      <c r="E522" s="3">
        <v>24239.23</v>
      </c>
      <c r="F522" s="3">
        <v>12587.75</v>
      </c>
      <c r="G522" s="3">
        <v>16736.61</v>
      </c>
      <c r="H522" s="3">
        <v>117624.4</v>
      </c>
      <c r="I522" s="3">
        <v>100887.79</v>
      </c>
      <c r="J522" s="4">
        <v>45962.0</v>
      </c>
      <c r="K522" s="3">
        <v>8.0</v>
      </c>
      <c r="L522" s="3" t="s">
        <v>31</v>
      </c>
    </row>
    <row r="523" ht="15.75" customHeight="1">
      <c r="A523" s="3" t="s">
        <v>570</v>
      </c>
      <c r="B523" s="3" t="s">
        <v>29</v>
      </c>
      <c r="C523" s="3" t="s">
        <v>30</v>
      </c>
      <c r="D523" s="3">
        <v>26556.19</v>
      </c>
      <c r="E523" s="3">
        <v>7966.86</v>
      </c>
      <c r="F523" s="3">
        <v>2706.2</v>
      </c>
      <c r="G523" s="3">
        <v>5957.96</v>
      </c>
      <c r="H523" s="3">
        <v>37229.25</v>
      </c>
      <c r="I523" s="3">
        <v>31271.29</v>
      </c>
      <c r="J523" s="4">
        <v>45778.0</v>
      </c>
      <c r="K523" s="3">
        <v>11.0</v>
      </c>
      <c r="L523" s="3" t="s">
        <v>34</v>
      </c>
    </row>
    <row r="524" ht="15.75" customHeight="1">
      <c r="A524" s="3" t="s">
        <v>571</v>
      </c>
      <c r="B524" s="3" t="s">
        <v>13</v>
      </c>
      <c r="C524" s="3" t="s">
        <v>14</v>
      </c>
      <c r="D524" s="3">
        <v>23643.37</v>
      </c>
      <c r="E524" s="3">
        <v>7093.01</v>
      </c>
      <c r="F524" s="3">
        <v>3753.52</v>
      </c>
      <c r="G524" s="3">
        <v>1697.65</v>
      </c>
      <c r="H524" s="3">
        <v>34489.9</v>
      </c>
      <c r="I524" s="3">
        <v>32792.25</v>
      </c>
      <c r="J524" s="4">
        <v>45839.0</v>
      </c>
      <c r="K524" s="3">
        <v>9.0</v>
      </c>
      <c r="L524" s="3" t="s">
        <v>38</v>
      </c>
    </row>
    <row r="525" ht="15.75" customHeight="1">
      <c r="A525" s="3" t="s">
        <v>572</v>
      </c>
      <c r="B525" s="3" t="s">
        <v>17</v>
      </c>
      <c r="C525" s="3" t="s">
        <v>30</v>
      </c>
      <c r="D525" s="3">
        <v>26396.33</v>
      </c>
      <c r="E525" s="3">
        <v>7918.9</v>
      </c>
      <c r="F525" s="3">
        <v>3135.51</v>
      </c>
      <c r="G525" s="3">
        <v>4183.45</v>
      </c>
      <c r="H525" s="3">
        <v>37450.74</v>
      </c>
      <c r="I525" s="3">
        <v>33267.29</v>
      </c>
      <c r="J525" s="4">
        <v>45658.0</v>
      </c>
      <c r="K525" s="3">
        <v>4.0</v>
      </c>
      <c r="L525" s="3" t="s">
        <v>40</v>
      </c>
    </row>
    <row r="526" ht="15.75" customHeight="1">
      <c r="A526" s="3" t="s">
        <v>573</v>
      </c>
      <c r="B526" s="3" t="s">
        <v>29</v>
      </c>
      <c r="C526" s="3" t="s">
        <v>33</v>
      </c>
      <c r="D526" s="3">
        <v>26319.83</v>
      </c>
      <c r="E526" s="3">
        <v>7895.95</v>
      </c>
      <c r="F526" s="3">
        <v>4531.3</v>
      </c>
      <c r="G526" s="3">
        <v>4487.9</v>
      </c>
      <c r="H526" s="3">
        <v>38747.08</v>
      </c>
      <c r="I526" s="3">
        <v>34259.18</v>
      </c>
      <c r="J526" s="4">
        <v>45809.0</v>
      </c>
      <c r="K526" s="3">
        <v>4.0</v>
      </c>
      <c r="L526" s="3" t="s">
        <v>42</v>
      </c>
    </row>
    <row r="527" ht="15.75" customHeight="1">
      <c r="A527" s="3" t="s">
        <v>574</v>
      </c>
      <c r="B527" s="3" t="s">
        <v>53</v>
      </c>
      <c r="C527" s="3" t="s">
        <v>18</v>
      </c>
      <c r="D527" s="3">
        <v>69492.03</v>
      </c>
      <c r="E527" s="3">
        <v>20847.61</v>
      </c>
      <c r="F527" s="3">
        <v>6546.35</v>
      </c>
      <c r="G527" s="3">
        <v>20584.23</v>
      </c>
      <c r="H527" s="3">
        <v>96885.99</v>
      </c>
      <c r="I527" s="3">
        <v>76301.76</v>
      </c>
      <c r="J527" s="4">
        <v>45689.0</v>
      </c>
      <c r="K527" s="3">
        <v>24.0</v>
      </c>
      <c r="L527" s="3" t="s">
        <v>15</v>
      </c>
    </row>
    <row r="528" ht="15.75" customHeight="1">
      <c r="A528" s="3" t="s">
        <v>575</v>
      </c>
      <c r="B528" s="3" t="s">
        <v>17</v>
      </c>
      <c r="C528" s="3" t="s">
        <v>37</v>
      </c>
      <c r="D528" s="3">
        <v>46215.59</v>
      </c>
      <c r="E528" s="3">
        <v>13864.68</v>
      </c>
      <c r="F528" s="3">
        <v>2423.41</v>
      </c>
      <c r="G528" s="3">
        <v>552.19</v>
      </c>
      <c r="H528" s="3">
        <v>62503.68</v>
      </c>
      <c r="I528" s="3">
        <v>61951.49</v>
      </c>
      <c r="J528" s="4">
        <v>45658.0</v>
      </c>
      <c r="K528" s="3">
        <v>18.0</v>
      </c>
      <c r="L528" s="3" t="s">
        <v>19</v>
      </c>
    </row>
    <row r="529" ht="15.75" customHeight="1">
      <c r="A529" s="3" t="s">
        <v>576</v>
      </c>
      <c r="B529" s="3" t="s">
        <v>25</v>
      </c>
      <c r="C529" s="3" t="s">
        <v>54</v>
      </c>
      <c r="D529" s="3">
        <v>42092.55</v>
      </c>
      <c r="E529" s="3">
        <v>12627.77</v>
      </c>
      <c r="F529" s="3">
        <v>5291.63</v>
      </c>
      <c r="G529" s="3">
        <v>6327.13</v>
      </c>
      <c r="H529" s="3">
        <v>60011.95</v>
      </c>
      <c r="I529" s="3">
        <v>53684.82</v>
      </c>
      <c r="J529" s="4">
        <v>45839.0</v>
      </c>
      <c r="K529" s="3">
        <v>12.0</v>
      </c>
      <c r="L529" s="3" t="s">
        <v>21</v>
      </c>
    </row>
    <row r="530" ht="15.75" customHeight="1">
      <c r="A530" s="3" t="s">
        <v>577</v>
      </c>
      <c r="B530" s="3" t="s">
        <v>36</v>
      </c>
      <c r="C530" s="3" t="s">
        <v>18</v>
      </c>
      <c r="D530" s="3">
        <v>75459.21</v>
      </c>
      <c r="E530" s="3">
        <v>22637.76</v>
      </c>
      <c r="F530" s="3">
        <v>9666.89</v>
      </c>
      <c r="G530" s="3">
        <v>12171.31</v>
      </c>
      <c r="H530" s="3">
        <v>107763.86</v>
      </c>
      <c r="I530" s="3">
        <v>95592.55</v>
      </c>
      <c r="J530" s="4">
        <v>45717.0</v>
      </c>
      <c r="K530" s="3">
        <v>21.0</v>
      </c>
      <c r="L530" s="3" t="s">
        <v>23</v>
      </c>
    </row>
    <row r="531" ht="15.75" customHeight="1">
      <c r="A531" s="3" t="s">
        <v>578</v>
      </c>
      <c r="B531" s="3" t="s">
        <v>29</v>
      </c>
      <c r="C531" s="3" t="s">
        <v>14</v>
      </c>
      <c r="D531" s="3">
        <v>20231.33</v>
      </c>
      <c r="E531" s="3">
        <v>6069.4</v>
      </c>
      <c r="F531" s="3">
        <v>2068.87</v>
      </c>
      <c r="G531" s="5"/>
      <c r="H531" s="3">
        <v>28369.6</v>
      </c>
      <c r="I531" s="3">
        <v>27136.31</v>
      </c>
      <c r="J531" s="4">
        <v>45717.0</v>
      </c>
      <c r="K531" s="3">
        <v>8.0</v>
      </c>
      <c r="L531" s="3" t="s">
        <v>27</v>
      </c>
    </row>
    <row r="532" ht="15.75" customHeight="1">
      <c r="A532" s="3" t="s">
        <v>579</v>
      </c>
      <c r="B532" s="3" t="s">
        <v>53</v>
      </c>
      <c r="C532" s="3" t="s">
        <v>33</v>
      </c>
      <c r="D532" s="3">
        <v>28907.32</v>
      </c>
      <c r="E532" s="3">
        <v>8672.2</v>
      </c>
      <c r="F532" s="3">
        <v>3667.15</v>
      </c>
      <c r="G532" s="3">
        <v>7237.18</v>
      </c>
      <c r="H532" s="3">
        <v>41246.67</v>
      </c>
      <c r="I532" s="3">
        <v>34009.49</v>
      </c>
      <c r="J532" s="4">
        <v>45962.0</v>
      </c>
      <c r="K532" s="3">
        <v>8.0</v>
      </c>
      <c r="L532" s="3" t="s">
        <v>31</v>
      </c>
    </row>
    <row r="533" ht="15.75" customHeight="1">
      <c r="A533" s="3" t="s">
        <v>580</v>
      </c>
      <c r="B533" s="3" t="s">
        <v>13</v>
      </c>
      <c r="C533" s="3" t="s">
        <v>14</v>
      </c>
      <c r="D533" s="3">
        <v>20233.22</v>
      </c>
      <c r="E533" s="3">
        <v>6069.97</v>
      </c>
      <c r="F533" s="3">
        <v>1770.35</v>
      </c>
      <c r="G533" s="3">
        <v>5787.28</v>
      </c>
      <c r="H533" s="3">
        <v>28073.54</v>
      </c>
      <c r="I533" s="3">
        <v>22286.26</v>
      </c>
      <c r="J533" s="4">
        <v>45748.0</v>
      </c>
      <c r="K533" s="3">
        <v>4.0</v>
      </c>
      <c r="L533" s="3" t="s">
        <v>34</v>
      </c>
    </row>
    <row r="534" ht="15.75" customHeight="1">
      <c r="A534" s="3" t="s">
        <v>581</v>
      </c>
      <c r="B534" s="3" t="s">
        <v>17</v>
      </c>
      <c r="C534" s="3" t="s">
        <v>33</v>
      </c>
      <c r="D534" s="3">
        <v>31660.8</v>
      </c>
      <c r="E534" s="3">
        <v>9498.24</v>
      </c>
      <c r="F534" s="3">
        <v>4166.89</v>
      </c>
      <c r="G534" s="3">
        <v>1668.33</v>
      </c>
      <c r="H534" s="3">
        <v>45325.93</v>
      </c>
      <c r="I534" s="3">
        <v>43657.6</v>
      </c>
      <c r="J534" s="4">
        <v>45658.0</v>
      </c>
      <c r="K534" s="3">
        <v>15.0</v>
      </c>
      <c r="L534" s="3" t="s">
        <v>40</v>
      </c>
    </row>
    <row r="535" ht="15.75" customHeight="1">
      <c r="A535" s="3" t="s">
        <v>582</v>
      </c>
      <c r="B535" s="3" t="s">
        <v>13</v>
      </c>
      <c r="C535" s="3" t="s">
        <v>30</v>
      </c>
      <c r="D535" s="3">
        <v>28173.2</v>
      </c>
      <c r="E535" s="3">
        <v>8451.96</v>
      </c>
      <c r="F535" s="3">
        <v>923.14</v>
      </c>
      <c r="G535" s="3">
        <v>8054.85</v>
      </c>
      <c r="H535" s="3">
        <v>37548.3</v>
      </c>
      <c r="I535" s="3">
        <v>29493.45</v>
      </c>
      <c r="J535" s="4">
        <v>45901.0</v>
      </c>
      <c r="K535" s="3">
        <v>1.0</v>
      </c>
      <c r="L535" s="3" t="s">
        <v>42</v>
      </c>
    </row>
    <row r="536" ht="15.75" customHeight="1">
      <c r="A536" s="3" t="s">
        <v>583</v>
      </c>
      <c r="B536" s="3" t="s">
        <v>53</v>
      </c>
      <c r="C536" s="3" t="s">
        <v>26</v>
      </c>
      <c r="D536" s="3">
        <v>119610.25</v>
      </c>
      <c r="E536" s="3">
        <v>35883.07</v>
      </c>
      <c r="F536" s="3">
        <v>6201.72</v>
      </c>
      <c r="G536" s="3">
        <v>13343.82</v>
      </c>
      <c r="H536" s="3">
        <v>161695.04</v>
      </c>
      <c r="I536" s="3">
        <v>148351.22</v>
      </c>
      <c r="J536" s="4">
        <v>45992.0</v>
      </c>
      <c r="K536" s="3">
        <v>21.0</v>
      </c>
      <c r="L536" s="3" t="s">
        <v>15</v>
      </c>
    </row>
    <row r="537" ht="15.75" customHeight="1">
      <c r="A537" s="3" t="s">
        <v>584</v>
      </c>
      <c r="B537" s="3" t="s">
        <v>25</v>
      </c>
      <c r="C537" s="3" t="s">
        <v>26</v>
      </c>
      <c r="D537" s="3">
        <v>99675.52</v>
      </c>
      <c r="E537" s="3">
        <v>29902.66</v>
      </c>
      <c r="F537" s="3">
        <v>17670.77</v>
      </c>
      <c r="G537" s="3">
        <v>23067.81</v>
      </c>
      <c r="H537" s="3">
        <v>147248.95</v>
      </c>
      <c r="I537" s="3">
        <v>124181.14</v>
      </c>
      <c r="J537" s="4">
        <v>45658.0</v>
      </c>
      <c r="K537" s="3">
        <v>15.0</v>
      </c>
      <c r="L537" s="3" t="s">
        <v>19</v>
      </c>
    </row>
    <row r="538" ht="15.75" customHeight="1">
      <c r="A538" s="3" t="s">
        <v>585</v>
      </c>
      <c r="B538" s="3" t="s">
        <v>29</v>
      </c>
      <c r="C538" s="3" t="s">
        <v>26</v>
      </c>
      <c r="D538" s="3">
        <v>105455.68</v>
      </c>
      <c r="E538" s="3">
        <v>31636.7</v>
      </c>
      <c r="F538" s="3">
        <v>11048.68</v>
      </c>
      <c r="G538" s="3">
        <v>8318.86</v>
      </c>
      <c r="H538" s="3">
        <v>148141.06</v>
      </c>
      <c r="I538" s="3">
        <v>139822.2</v>
      </c>
      <c r="J538" s="4">
        <v>45931.0</v>
      </c>
      <c r="K538" s="3">
        <v>19.0</v>
      </c>
      <c r="L538" s="3" t="s">
        <v>21</v>
      </c>
    </row>
    <row r="539" ht="15.75" customHeight="1">
      <c r="A539" s="3" t="s">
        <v>586</v>
      </c>
      <c r="B539" s="3" t="s">
        <v>13</v>
      </c>
      <c r="C539" s="3" t="s">
        <v>14</v>
      </c>
      <c r="D539" s="3">
        <v>21572.26</v>
      </c>
      <c r="E539" s="3">
        <v>6471.68</v>
      </c>
      <c r="F539" s="3">
        <v>2203.74</v>
      </c>
      <c r="G539" s="3">
        <v>358.78</v>
      </c>
      <c r="H539" s="3">
        <v>30247.68</v>
      </c>
      <c r="I539" s="3">
        <v>29888.9</v>
      </c>
      <c r="J539" s="4">
        <v>45931.0</v>
      </c>
      <c r="K539" s="3">
        <v>23.0</v>
      </c>
      <c r="L539" s="3" t="s">
        <v>23</v>
      </c>
    </row>
    <row r="540" ht="15.75" customHeight="1">
      <c r="A540" s="3" t="s">
        <v>587</v>
      </c>
      <c r="B540" s="3" t="s">
        <v>51</v>
      </c>
      <c r="C540" s="3" t="s">
        <v>33</v>
      </c>
      <c r="D540" s="3">
        <v>26573.1</v>
      </c>
      <c r="E540" s="3">
        <v>7971.93</v>
      </c>
      <c r="F540" s="3">
        <v>4109.95</v>
      </c>
      <c r="G540" s="3">
        <v>7129.05</v>
      </c>
      <c r="H540" s="3">
        <v>38654.98</v>
      </c>
      <c r="I540" s="3">
        <v>31525.93</v>
      </c>
      <c r="J540" s="4">
        <v>45962.0</v>
      </c>
      <c r="K540" s="3">
        <v>21.0</v>
      </c>
      <c r="L540" s="3" t="s">
        <v>27</v>
      </c>
    </row>
    <row r="541" ht="15.75" customHeight="1">
      <c r="A541" s="3" t="s">
        <v>588</v>
      </c>
      <c r="B541" s="3" t="s">
        <v>13</v>
      </c>
      <c r="C541" s="3" t="s">
        <v>14</v>
      </c>
      <c r="D541" s="3">
        <v>19644.51</v>
      </c>
      <c r="E541" s="3">
        <v>5893.35</v>
      </c>
      <c r="F541" s="3">
        <v>1999.12</v>
      </c>
      <c r="G541" s="3">
        <v>259.53</v>
      </c>
      <c r="H541" s="3">
        <v>27536.98</v>
      </c>
      <c r="I541" s="3">
        <v>27277.45</v>
      </c>
      <c r="J541" s="4">
        <v>45658.0</v>
      </c>
      <c r="K541" s="3">
        <v>2.0</v>
      </c>
      <c r="L541" s="3" t="s">
        <v>31</v>
      </c>
    </row>
    <row r="542" ht="15.75" customHeight="1">
      <c r="A542" s="3" t="s">
        <v>589</v>
      </c>
      <c r="B542" s="3" t="s">
        <v>51</v>
      </c>
      <c r="C542" s="3" t="s">
        <v>14</v>
      </c>
      <c r="D542" s="3">
        <v>21396.71</v>
      </c>
      <c r="E542" s="3">
        <v>6419.01</v>
      </c>
      <c r="F542" s="3">
        <v>1638.9</v>
      </c>
      <c r="G542" s="3">
        <v>963.4</v>
      </c>
      <c r="H542" s="3">
        <v>29454.62</v>
      </c>
      <c r="I542" s="3">
        <v>28491.22</v>
      </c>
      <c r="J542" s="4">
        <v>45658.0</v>
      </c>
      <c r="K542" s="3">
        <v>15.0</v>
      </c>
      <c r="L542" s="3" t="s">
        <v>34</v>
      </c>
    </row>
    <row r="543" ht="15.75" customHeight="1">
      <c r="A543" s="3" t="s">
        <v>590</v>
      </c>
      <c r="B543" s="3" t="s">
        <v>53</v>
      </c>
      <c r="C543" s="3" t="s">
        <v>26</v>
      </c>
      <c r="D543" s="3">
        <v>122902.12</v>
      </c>
      <c r="E543" s="3">
        <v>36870.64</v>
      </c>
      <c r="F543" s="3">
        <v>18205.88</v>
      </c>
      <c r="G543" s="3">
        <v>15462.41</v>
      </c>
      <c r="H543" s="3">
        <v>177978.64</v>
      </c>
      <c r="I543" s="3">
        <v>162516.23</v>
      </c>
      <c r="J543" s="3" t="s">
        <v>591</v>
      </c>
      <c r="K543" s="3">
        <v>16.0</v>
      </c>
      <c r="L543" s="3" t="s">
        <v>38</v>
      </c>
    </row>
    <row r="544" ht="15.75" customHeight="1">
      <c r="A544" s="3" t="s">
        <v>592</v>
      </c>
      <c r="B544" s="3" t="s">
        <v>51</v>
      </c>
      <c r="C544" s="3" t="s">
        <v>54</v>
      </c>
      <c r="D544" s="3">
        <v>47821.97</v>
      </c>
      <c r="E544" s="3">
        <v>14346.59</v>
      </c>
      <c r="F544" s="3">
        <v>3059.99</v>
      </c>
      <c r="G544" s="3">
        <v>11850.24</v>
      </c>
      <c r="H544" s="3">
        <v>65228.55</v>
      </c>
      <c r="I544" s="3">
        <v>53378.31</v>
      </c>
      <c r="J544" s="4">
        <v>45931.0</v>
      </c>
      <c r="K544" s="3">
        <v>14.0</v>
      </c>
      <c r="L544" s="3" t="s">
        <v>40</v>
      </c>
    </row>
    <row r="545" ht="15.75" customHeight="1">
      <c r="A545" s="3" t="s">
        <v>593</v>
      </c>
      <c r="B545" s="3" t="s">
        <v>29</v>
      </c>
      <c r="C545" s="3" t="s">
        <v>14</v>
      </c>
      <c r="D545" s="3">
        <v>21614.69</v>
      </c>
      <c r="E545" s="3">
        <v>6484.41</v>
      </c>
      <c r="F545" s="3">
        <v>3899.04</v>
      </c>
      <c r="G545" s="3">
        <v>1162.94</v>
      </c>
      <c r="H545" s="3">
        <v>31998.14</v>
      </c>
      <c r="I545" s="3">
        <v>30835.2</v>
      </c>
      <c r="J545" s="4">
        <v>45901.0</v>
      </c>
      <c r="K545" s="3">
        <v>18.0</v>
      </c>
      <c r="L545" s="3" t="s">
        <v>42</v>
      </c>
    </row>
    <row r="546" ht="15.75" customHeight="1">
      <c r="A546" s="3" t="s">
        <v>594</v>
      </c>
      <c r="B546" s="3" t="s">
        <v>17</v>
      </c>
      <c r="C546" s="3" t="s">
        <v>54</v>
      </c>
      <c r="D546" s="3">
        <v>35964.97</v>
      </c>
      <c r="E546" s="3">
        <v>10789.49</v>
      </c>
      <c r="F546" s="3">
        <v>3345.42</v>
      </c>
      <c r="G546" s="5"/>
      <c r="H546" s="3">
        <v>50099.88</v>
      </c>
      <c r="I546" s="3">
        <v>47053.93</v>
      </c>
      <c r="J546" s="4">
        <v>45778.0</v>
      </c>
      <c r="K546" s="3">
        <v>11.0</v>
      </c>
      <c r="L546" s="3" t="s">
        <v>15</v>
      </c>
    </row>
    <row r="547" ht="15.75" customHeight="1">
      <c r="A547" s="3" t="s">
        <v>595</v>
      </c>
      <c r="B547" s="3" t="s">
        <v>29</v>
      </c>
      <c r="C547" s="3" t="s">
        <v>14</v>
      </c>
      <c r="D547" s="3">
        <v>21982.26</v>
      </c>
      <c r="E547" s="3">
        <v>6594.68</v>
      </c>
      <c r="F547" s="3">
        <v>35.04</v>
      </c>
      <c r="G547" s="3">
        <v>1323.36</v>
      </c>
      <c r="H547" s="3">
        <v>28611.98</v>
      </c>
      <c r="I547" s="3">
        <v>27288.62</v>
      </c>
      <c r="J547" s="4">
        <v>45931.0</v>
      </c>
      <c r="K547" s="3">
        <v>14.0</v>
      </c>
      <c r="L547" s="3" t="s">
        <v>19</v>
      </c>
    </row>
    <row r="548" ht="15.75" customHeight="1">
      <c r="A548" s="3" t="s">
        <v>596</v>
      </c>
      <c r="B548" s="3" t="s">
        <v>25</v>
      </c>
      <c r="C548" s="3" t="s">
        <v>33</v>
      </c>
      <c r="D548" s="3">
        <v>32395.76</v>
      </c>
      <c r="E548" s="3">
        <v>9718.73</v>
      </c>
      <c r="F548" s="3">
        <v>1571.74</v>
      </c>
      <c r="G548" s="3">
        <v>3579.15</v>
      </c>
      <c r="H548" s="3">
        <v>43686.23</v>
      </c>
      <c r="I548" s="3">
        <v>40107.08</v>
      </c>
      <c r="J548" s="4">
        <v>45870.0</v>
      </c>
      <c r="K548" s="3">
        <v>6.0</v>
      </c>
      <c r="L548" s="3" t="s">
        <v>21</v>
      </c>
    </row>
    <row r="549" ht="15.75" customHeight="1">
      <c r="A549" s="3" t="s">
        <v>597</v>
      </c>
      <c r="B549" s="3" t="s">
        <v>25</v>
      </c>
      <c r="C549" s="3" t="s">
        <v>26</v>
      </c>
      <c r="D549" s="3">
        <v>97035.21</v>
      </c>
      <c r="E549" s="3">
        <v>29110.56</v>
      </c>
      <c r="F549" s="3">
        <v>17474.94</v>
      </c>
      <c r="G549" s="3">
        <v>22138.07</v>
      </c>
      <c r="H549" s="3">
        <v>143620.71</v>
      </c>
      <c r="I549" s="3">
        <v>121482.64</v>
      </c>
      <c r="J549" s="4">
        <v>45748.0</v>
      </c>
      <c r="K549" s="3">
        <v>9.0</v>
      </c>
      <c r="L549" s="3" t="s">
        <v>23</v>
      </c>
    </row>
    <row r="550" ht="15.75" customHeight="1">
      <c r="A550" s="3" t="s">
        <v>598</v>
      </c>
      <c r="B550" s="3" t="s">
        <v>51</v>
      </c>
      <c r="C550" s="3" t="s">
        <v>14</v>
      </c>
      <c r="D550" s="3">
        <v>24713.26</v>
      </c>
      <c r="E550" s="3">
        <v>7413.98</v>
      </c>
      <c r="F550" s="3">
        <v>118.18</v>
      </c>
      <c r="G550" s="3">
        <v>4015.0</v>
      </c>
      <c r="H550" s="3">
        <v>32245.42</v>
      </c>
      <c r="I550" s="3">
        <v>28230.42</v>
      </c>
      <c r="J550" s="4">
        <v>45962.0</v>
      </c>
      <c r="K550" s="3">
        <v>24.0</v>
      </c>
      <c r="L550" s="3" t="s">
        <v>27</v>
      </c>
    </row>
    <row r="551" ht="15.75" customHeight="1">
      <c r="A551" s="3" t="s">
        <v>599</v>
      </c>
      <c r="B551" s="3" t="s">
        <v>25</v>
      </c>
      <c r="C551" s="3" t="s">
        <v>18</v>
      </c>
      <c r="D551" s="3">
        <v>87807.16</v>
      </c>
      <c r="E551" s="3">
        <v>26342.15</v>
      </c>
      <c r="F551" s="3">
        <v>16700.75</v>
      </c>
      <c r="G551" s="3">
        <v>38.51</v>
      </c>
      <c r="H551" s="3">
        <v>130850.06</v>
      </c>
      <c r="I551" s="3">
        <v>130811.55</v>
      </c>
      <c r="J551" s="4">
        <v>45962.0</v>
      </c>
      <c r="K551" s="3">
        <v>13.0</v>
      </c>
      <c r="L551" s="3" t="s">
        <v>31</v>
      </c>
    </row>
    <row r="552" ht="15.75" customHeight="1">
      <c r="A552" s="3" t="s">
        <v>600</v>
      </c>
      <c r="B552" s="3" t="s">
        <v>36</v>
      </c>
      <c r="C552" s="3" t="s">
        <v>26</v>
      </c>
      <c r="D552" s="3">
        <v>116570.98</v>
      </c>
      <c r="E552" s="3">
        <v>34971.29</v>
      </c>
      <c r="F552" s="3">
        <v>7169.36</v>
      </c>
      <c r="G552" s="3">
        <v>7175.91</v>
      </c>
      <c r="H552" s="3">
        <v>158711.63</v>
      </c>
      <c r="I552" s="3">
        <v>151535.72</v>
      </c>
      <c r="J552" s="4">
        <v>45748.0</v>
      </c>
      <c r="K552" s="3">
        <v>24.0</v>
      </c>
      <c r="L552" s="3" t="s">
        <v>34</v>
      </c>
    </row>
    <row r="553" ht="15.75" customHeight="1">
      <c r="A553" s="3" t="s">
        <v>601</v>
      </c>
      <c r="B553" s="3" t="s">
        <v>36</v>
      </c>
      <c r="C553" s="3" t="s">
        <v>54</v>
      </c>
      <c r="D553" s="3">
        <v>48456.59</v>
      </c>
      <c r="E553" s="3">
        <v>14536.98</v>
      </c>
      <c r="F553" s="3">
        <v>9425.38</v>
      </c>
      <c r="G553" s="3">
        <v>2069.68</v>
      </c>
      <c r="H553" s="3">
        <v>72418.95</v>
      </c>
      <c r="I553" s="3">
        <v>70349.27</v>
      </c>
      <c r="J553" s="4">
        <v>45778.0</v>
      </c>
      <c r="K553" s="3">
        <v>9.0</v>
      </c>
      <c r="L553" s="3" t="s">
        <v>38</v>
      </c>
    </row>
    <row r="554" ht="15.75" customHeight="1">
      <c r="A554" s="3" t="s">
        <v>602</v>
      </c>
      <c r="B554" s="3" t="s">
        <v>17</v>
      </c>
      <c r="C554" s="3" t="s">
        <v>14</v>
      </c>
      <c r="D554" s="3">
        <v>24633.18</v>
      </c>
      <c r="E554" s="3">
        <v>7389.95</v>
      </c>
      <c r="F554" s="3">
        <v>4420.61</v>
      </c>
      <c r="G554" s="3">
        <v>3841.0</v>
      </c>
      <c r="H554" s="3">
        <v>36443.74</v>
      </c>
      <c r="I554" s="3">
        <v>32602.74</v>
      </c>
      <c r="J554" s="4">
        <v>45992.0</v>
      </c>
      <c r="K554" s="3">
        <v>6.0</v>
      </c>
      <c r="L554" s="3" t="s">
        <v>40</v>
      </c>
    </row>
    <row r="555" ht="15.75" customHeight="1">
      <c r="A555" s="3" t="s">
        <v>603</v>
      </c>
      <c r="B555" s="3" t="s">
        <v>29</v>
      </c>
      <c r="C555" s="3" t="s">
        <v>54</v>
      </c>
      <c r="D555" s="3">
        <v>48643.77</v>
      </c>
      <c r="E555" s="3">
        <v>14593.13</v>
      </c>
      <c r="F555" s="3">
        <v>825.99</v>
      </c>
      <c r="G555" s="3">
        <v>1394.77</v>
      </c>
      <c r="H555" s="3">
        <v>64062.89</v>
      </c>
      <c r="I555" s="3">
        <v>62668.12</v>
      </c>
      <c r="J555" s="4">
        <v>45717.0</v>
      </c>
      <c r="K555" s="3">
        <v>17.0</v>
      </c>
      <c r="L555" s="3" t="s">
        <v>42</v>
      </c>
    </row>
    <row r="556" ht="15.75" customHeight="1">
      <c r="A556" s="3" t="s">
        <v>604</v>
      </c>
      <c r="B556" s="3" t="s">
        <v>13</v>
      </c>
      <c r="C556" s="3" t="s">
        <v>26</v>
      </c>
      <c r="D556" s="3">
        <v>104196.65</v>
      </c>
      <c r="E556" s="3">
        <v>31258.99</v>
      </c>
      <c r="F556" s="3">
        <v>12334.71</v>
      </c>
      <c r="G556" s="3">
        <v>1946.9</v>
      </c>
      <c r="H556" s="3">
        <v>147790.35</v>
      </c>
      <c r="I556" s="3">
        <v>145843.45</v>
      </c>
      <c r="J556" s="4">
        <v>45962.0</v>
      </c>
      <c r="K556" s="3">
        <v>24.0</v>
      </c>
      <c r="L556" s="3" t="s">
        <v>15</v>
      </c>
    </row>
    <row r="557" ht="15.75" customHeight="1">
      <c r="A557" s="3" t="s">
        <v>605</v>
      </c>
      <c r="B557" s="3" t="s">
        <v>51</v>
      </c>
      <c r="C557" s="3" t="s">
        <v>30</v>
      </c>
      <c r="D557" s="3">
        <v>24566.75</v>
      </c>
      <c r="E557" s="3">
        <v>7370.02</v>
      </c>
      <c r="F557" s="3">
        <v>4180.84</v>
      </c>
      <c r="G557" s="3">
        <v>6824.95</v>
      </c>
      <c r="H557" s="3">
        <v>36117.61</v>
      </c>
      <c r="I557" s="3">
        <v>29292.66</v>
      </c>
      <c r="J557" s="4">
        <v>45839.0</v>
      </c>
      <c r="K557" s="3">
        <v>15.0</v>
      </c>
      <c r="L557" s="3" t="s">
        <v>19</v>
      </c>
    </row>
    <row r="558" ht="15.75" customHeight="1">
      <c r="A558" s="3" t="s">
        <v>606</v>
      </c>
      <c r="B558" s="3" t="s">
        <v>13</v>
      </c>
      <c r="C558" s="3" t="s">
        <v>26</v>
      </c>
      <c r="D558" s="3">
        <v>116472.7</v>
      </c>
      <c r="E558" s="3">
        <v>34941.81</v>
      </c>
      <c r="F558" s="3">
        <v>7409.01</v>
      </c>
      <c r="G558" s="3">
        <v>9502.63</v>
      </c>
      <c r="H558" s="3">
        <v>158823.52</v>
      </c>
      <c r="I558" s="3">
        <v>149320.89</v>
      </c>
      <c r="J558" s="4">
        <v>45689.0</v>
      </c>
      <c r="K558" s="3">
        <v>10.0</v>
      </c>
      <c r="L558" s="3" t="s">
        <v>21</v>
      </c>
    </row>
    <row r="559" ht="15.75" customHeight="1">
      <c r="A559" s="3" t="s">
        <v>607</v>
      </c>
      <c r="B559" s="3" t="s">
        <v>36</v>
      </c>
      <c r="C559" s="3" t="s">
        <v>54</v>
      </c>
      <c r="D559" s="3">
        <v>39396.47</v>
      </c>
      <c r="E559" s="3">
        <v>11818.94</v>
      </c>
      <c r="F559" s="3">
        <v>951.32</v>
      </c>
      <c r="G559" s="3">
        <v>4234.58</v>
      </c>
      <c r="H559" s="3">
        <v>52166.73</v>
      </c>
      <c r="I559" s="3">
        <v>47932.15</v>
      </c>
      <c r="J559" s="3" t="s">
        <v>142</v>
      </c>
      <c r="K559" s="3">
        <v>20.0</v>
      </c>
      <c r="L559" s="3" t="s">
        <v>27</v>
      </c>
    </row>
    <row r="560" ht="15.75" customHeight="1">
      <c r="A560" s="3" t="s">
        <v>608</v>
      </c>
      <c r="B560" s="3" t="s">
        <v>36</v>
      </c>
      <c r="C560" s="3" t="s">
        <v>33</v>
      </c>
      <c r="D560" s="3">
        <v>29633.47</v>
      </c>
      <c r="E560" s="3">
        <v>8890.04</v>
      </c>
      <c r="F560" s="3">
        <v>5052.4</v>
      </c>
      <c r="G560" s="3">
        <v>803.85</v>
      </c>
      <c r="H560" s="3">
        <v>43575.91</v>
      </c>
      <c r="I560" s="3">
        <v>42772.06</v>
      </c>
      <c r="J560" s="4">
        <v>45962.0</v>
      </c>
      <c r="K560" s="3">
        <v>13.0</v>
      </c>
      <c r="L560" s="3" t="s">
        <v>31</v>
      </c>
    </row>
    <row r="561" ht="15.75" customHeight="1">
      <c r="A561" s="3" t="s">
        <v>609</v>
      </c>
      <c r="B561" s="3" t="s">
        <v>29</v>
      </c>
      <c r="C561" s="3" t="s">
        <v>26</v>
      </c>
      <c r="D561" s="3">
        <v>115369.37</v>
      </c>
      <c r="E561" s="3">
        <v>34610.81</v>
      </c>
      <c r="F561" s="3">
        <v>13920.53</v>
      </c>
      <c r="G561" s="3">
        <v>7442.04</v>
      </c>
      <c r="H561" s="3">
        <v>163900.71</v>
      </c>
      <c r="I561" s="3">
        <v>156458.67</v>
      </c>
      <c r="J561" s="4">
        <v>45809.0</v>
      </c>
      <c r="K561" s="3">
        <v>15.0</v>
      </c>
      <c r="L561" s="3" t="s">
        <v>34</v>
      </c>
    </row>
    <row r="562" ht="15.75" customHeight="1">
      <c r="A562" s="3" t="s">
        <v>610</v>
      </c>
      <c r="B562" s="3" t="s">
        <v>51</v>
      </c>
      <c r="C562" s="3" t="s">
        <v>14</v>
      </c>
      <c r="D562" s="3">
        <v>23120.33</v>
      </c>
      <c r="E562" s="3">
        <v>6936.1</v>
      </c>
      <c r="F562" s="3">
        <v>4477.95</v>
      </c>
      <c r="G562" s="3">
        <v>2748.39</v>
      </c>
      <c r="H562" s="3">
        <v>34534.38</v>
      </c>
      <c r="I562" s="3">
        <v>31785.99</v>
      </c>
      <c r="J562" s="4">
        <v>45658.0</v>
      </c>
      <c r="K562" s="3">
        <v>6.0</v>
      </c>
      <c r="L562" s="3" t="s">
        <v>38</v>
      </c>
    </row>
    <row r="563" ht="15.75" customHeight="1">
      <c r="A563" s="3" t="s">
        <v>611</v>
      </c>
      <c r="B563" s="3" t="s">
        <v>13</v>
      </c>
      <c r="C563" s="3" t="s">
        <v>33</v>
      </c>
      <c r="D563" s="3">
        <v>27601.67</v>
      </c>
      <c r="E563" s="3">
        <v>8280.5</v>
      </c>
      <c r="F563" s="3">
        <v>5468.87</v>
      </c>
      <c r="G563" s="5"/>
      <c r="H563" s="3">
        <v>41351.04</v>
      </c>
      <c r="I563" s="3">
        <v>41093.66</v>
      </c>
      <c r="J563" s="4">
        <v>45839.0</v>
      </c>
      <c r="K563" s="3">
        <v>6.0</v>
      </c>
      <c r="L563" s="3" t="s">
        <v>40</v>
      </c>
    </row>
    <row r="564" ht="15.75" customHeight="1">
      <c r="A564" s="3" t="s">
        <v>612</v>
      </c>
      <c r="B564" s="3" t="s">
        <v>25</v>
      </c>
      <c r="C564" s="3" t="s">
        <v>54</v>
      </c>
      <c r="D564" s="3">
        <v>42783.35</v>
      </c>
      <c r="E564" s="3">
        <v>12835.0</v>
      </c>
      <c r="F564" s="3">
        <v>4707.2</v>
      </c>
      <c r="G564" s="3">
        <v>1215.8</v>
      </c>
      <c r="H564" s="3">
        <v>60325.55</v>
      </c>
      <c r="I564" s="3">
        <v>59109.75</v>
      </c>
      <c r="J564" s="4">
        <v>45689.0</v>
      </c>
      <c r="K564" s="3">
        <v>3.0</v>
      </c>
      <c r="L564" s="3" t="s">
        <v>42</v>
      </c>
    </row>
    <row r="565" ht="15.75" customHeight="1">
      <c r="A565" s="3" t="s">
        <v>613</v>
      </c>
      <c r="B565" s="3" t="s">
        <v>25</v>
      </c>
      <c r="C565" s="3" t="s">
        <v>26</v>
      </c>
      <c r="D565" s="3">
        <v>95032.55</v>
      </c>
      <c r="E565" s="3">
        <v>28509.76</v>
      </c>
      <c r="F565" s="3">
        <v>227.26</v>
      </c>
      <c r="G565" s="3">
        <v>23673.72</v>
      </c>
      <c r="H565" s="3">
        <v>123769.57</v>
      </c>
      <c r="I565" s="3">
        <v>100095.85</v>
      </c>
      <c r="J565" s="4">
        <v>45748.0</v>
      </c>
      <c r="K565" s="3">
        <v>22.0</v>
      </c>
      <c r="L565" s="3" t="s">
        <v>15</v>
      </c>
    </row>
    <row r="566" ht="15.75" customHeight="1">
      <c r="A566" s="3" t="s">
        <v>614</v>
      </c>
      <c r="B566" s="3" t="s">
        <v>51</v>
      </c>
      <c r="C566" s="3" t="s">
        <v>30</v>
      </c>
      <c r="D566" s="3">
        <v>29248.33</v>
      </c>
      <c r="E566" s="3">
        <v>8774.5</v>
      </c>
      <c r="F566" s="3">
        <v>2177.48</v>
      </c>
      <c r="G566" s="3">
        <v>5530.55</v>
      </c>
      <c r="H566" s="3">
        <v>40200.31</v>
      </c>
      <c r="I566" s="3">
        <v>34669.76</v>
      </c>
      <c r="J566" s="4">
        <v>45962.0</v>
      </c>
      <c r="K566" s="3">
        <v>7.0</v>
      </c>
      <c r="L566" s="3" t="s">
        <v>19</v>
      </c>
    </row>
    <row r="567" ht="15.75" customHeight="1">
      <c r="A567" s="3" t="s">
        <v>615</v>
      </c>
      <c r="B567" s="3" t="s">
        <v>17</v>
      </c>
      <c r="C567" s="3" t="s">
        <v>37</v>
      </c>
      <c r="D567" s="3">
        <v>55550.14</v>
      </c>
      <c r="E567" s="3">
        <v>16665.04</v>
      </c>
      <c r="F567" s="3">
        <v>10192.66</v>
      </c>
      <c r="G567" s="3">
        <v>1249.66</v>
      </c>
      <c r="H567" s="3">
        <v>82407.84</v>
      </c>
      <c r="I567" s="3">
        <v>81158.18</v>
      </c>
      <c r="J567" s="4">
        <v>45689.0</v>
      </c>
      <c r="K567" s="3">
        <v>7.0</v>
      </c>
      <c r="L567" s="3" t="s">
        <v>21</v>
      </c>
    </row>
    <row r="568" ht="15.75" customHeight="1">
      <c r="A568" s="3" t="s">
        <v>616</v>
      </c>
      <c r="B568" s="3" t="s">
        <v>51</v>
      </c>
      <c r="C568" s="3" t="s">
        <v>18</v>
      </c>
      <c r="D568" s="3">
        <v>76529.21</v>
      </c>
      <c r="E568" s="3">
        <v>22958.76</v>
      </c>
      <c r="F568" s="3">
        <v>1971.26</v>
      </c>
      <c r="G568" s="3">
        <v>20779.47</v>
      </c>
      <c r="H568" s="3">
        <v>101459.23</v>
      </c>
      <c r="I568" s="3">
        <v>80679.76</v>
      </c>
      <c r="J568" s="4">
        <v>45809.0</v>
      </c>
      <c r="K568" s="3">
        <v>14.0</v>
      </c>
      <c r="L568" s="3" t="s">
        <v>23</v>
      </c>
    </row>
    <row r="569" ht="15.75" customHeight="1">
      <c r="A569" s="3" t="s">
        <v>617</v>
      </c>
      <c r="B569" s="3" t="s">
        <v>17</v>
      </c>
      <c r="C569" s="3" t="s">
        <v>14</v>
      </c>
      <c r="D569" s="3">
        <v>24784.42</v>
      </c>
      <c r="E569" s="3">
        <v>7435.33</v>
      </c>
      <c r="F569" s="3">
        <v>251.01</v>
      </c>
      <c r="G569" s="3">
        <v>6871.22</v>
      </c>
      <c r="H569" s="3">
        <v>32470.76</v>
      </c>
      <c r="I569" s="3">
        <v>25599.54</v>
      </c>
      <c r="J569" s="4">
        <v>45839.0</v>
      </c>
      <c r="K569" s="3">
        <v>1.0</v>
      </c>
      <c r="L569" s="3" t="s">
        <v>27</v>
      </c>
    </row>
    <row r="570" ht="15.75" customHeight="1">
      <c r="A570" s="3" t="s">
        <v>618</v>
      </c>
      <c r="B570" s="3" t="s">
        <v>25</v>
      </c>
      <c r="C570" s="3" t="s">
        <v>18</v>
      </c>
      <c r="D570" s="3">
        <v>75269.97</v>
      </c>
      <c r="E570" s="3">
        <v>22580.99</v>
      </c>
      <c r="F570" s="3">
        <v>443.83</v>
      </c>
      <c r="G570" s="3">
        <v>15427.62</v>
      </c>
      <c r="H570" s="3">
        <v>98294.79</v>
      </c>
      <c r="I570" s="3">
        <v>82867.17</v>
      </c>
      <c r="J570" s="4">
        <v>45717.0</v>
      </c>
      <c r="K570" s="3">
        <v>15.0</v>
      </c>
      <c r="L570" s="3" t="s">
        <v>31</v>
      </c>
    </row>
    <row r="571" ht="15.75" customHeight="1">
      <c r="A571" s="3" t="s">
        <v>619</v>
      </c>
      <c r="B571" s="3" t="s">
        <v>29</v>
      </c>
      <c r="C571" s="3" t="s">
        <v>30</v>
      </c>
      <c r="D571" s="3">
        <v>29993.08</v>
      </c>
      <c r="E571" s="3">
        <v>8997.92</v>
      </c>
      <c r="F571" s="3">
        <v>1649.51</v>
      </c>
      <c r="G571" s="3">
        <v>4013.18</v>
      </c>
      <c r="H571" s="3">
        <v>40640.51</v>
      </c>
      <c r="I571" s="3">
        <v>36627.33</v>
      </c>
      <c r="J571" s="4">
        <v>45717.0</v>
      </c>
      <c r="K571" s="3">
        <v>10.0</v>
      </c>
      <c r="L571" s="3" t="s">
        <v>34</v>
      </c>
    </row>
    <row r="572" ht="15.75" customHeight="1">
      <c r="A572" s="3" t="s">
        <v>620</v>
      </c>
      <c r="B572" s="3" t="s">
        <v>17</v>
      </c>
      <c r="C572" s="3" t="s">
        <v>37</v>
      </c>
      <c r="D572" s="3">
        <v>56145.18</v>
      </c>
      <c r="E572" s="3">
        <v>16843.55</v>
      </c>
      <c r="F572" s="3">
        <v>2759.93</v>
      </c>
      <c r="G572" s="3">
        <v>4970.62</v>
      </c>
      <c r="H572" s="3">
        <v>75748.66</v>
      </c>
      <c r="I572" s="3">
        <v>70778.04</v>
      </c>
      <c r="J572" s="4">
        <v>45839.0</v>
      </c>
      <c r="K572" s="3">
        <v>4.0</v>
      </c>
      <c r="L572" s="3" t="s">
        <v>38</v>
      </c>
    </row>
    <row r="573" ht="15.75" customHeight="1">
      <c r="A573" s="3" t="s">
        <v>621</v>
      </c>
      <c r="B573" s="3" t="s">
        <v>53</v>
      </c>
      <c r="C573" s="3" t="s">
        <v>54</v>
      </c>
      <c r="D573" s="3">
        <v>35853.71</v>
      </c>
      <c r="E573" s="3">
        <v>10756.11</v>
      </c>
      <c r="F573" s="3">
        <v>2006.2</v>
      </c>
      <c r="G573" s="3">
        <v>1476.13</v>
      </c>
      <c r="H573" s="3">
        <v>48616.02</v>
      </c>
      <c r="I573" s="3">
        <v>47139.89</v>
      </c>
      <c r="J573" s="4">
        <v>45748.0</v>
      </c>
      <c r="K573" s="3">
        <v>17.0</v>
      </c>
      <c r="L573" s="3" t="s">
        <v>40</v>
      </c>
    </row>
    <row r="574" ht="15.75" customHeight="1">
      <c r="A574" s="3" t="s">
        <v>622</v>
      </c>
      <c r="B574" s="3" t="s">
        <v>13</v>
      </c>
      <c r="C574" s="3" t="s">
        <v>26</v>
      </c>
      <c r="D574" s="3">
        <v>108929.31</v>
      </c>
      <c r="E574" s="3">
        <v>32678.79</v>
      </c>
      <c r="F574" s="3">
        <v>13741.53</v>
      </c>
      <c r="G574" s="3">
        <v>26213.88</v>
      </c>
      <c r="H574" s="3">
        <v>155349.63</v>
      </c>
      <c r="I574" s="3">
        <v>129135.75</v>
      </c>
      <c r="J574" s="4">
        <v>45658.0</v>
      </c>
      <c r="K574" s="3">
        <v>4.0</v>
      </c>
      <c r="L574" s="3" t="s">
        <v>42</v>
      </c>
    </row>
    <row r="575" ht="15.75" customHeight="1">
      <c r="A575" s="3" t="s">
        <v>623</v>
      </c>
      <c r="B575" s="3" t="s">
        <v>36</v>
      </c>
      <c r="C575" s="3" t="s">
        <v>26</v>
      </c>
      <c r="D575" s="3">
        <v>115681.34</v>
      </c>
      <c r="E575" s="3">
        <v>34704.4</v>
      </c>
      <c r="F575" s="3">
        <v>11098.11</v>
      </c>
      <c r="G575" s="3">
        <v>27119.24</v>
      </c>
      <c r="H575" s="3">
        <v>161483.85</v>
      </c>
      <c r="I575" s="3">
        <v>134364.61</v>
      </c>
      <c r="J575" s="4">
        <v>45809.0</v>
      </c>
      <c r="K575" s="3">
        <v>8.0</v>
      </c>
      <c r="L575" s="3" t="s">
        <v>15</v>
      </c>
    </row>
    <row r="576" ht="15.75" customHeight="1">
      <c r="A576" s="3" t="s">
        <v>624</v>
      </c>
      <c r="B576" s="3" t="s">
        <v>53</v>
      </c>
      <c r="C576" s="3" t="s">
        <v>37</v>
      </c>
      <c r="D576" s="3">
        <v>50788.88</v>
      </c>
      <c r="E576" s="3">
        <v>15236.66</v>
      </c>
      <c r="F576" s="3">
        <v>2747.03</v>
      </c>
      <c r="G576" s="3">
        <v>397.11</v>
      </c>
      <c r="H576" s="3">
        <v>68772.57</v>
      </c>
      <c r="I576" s="3">
        <v>68375.46</v>
      </c>
      <c r="J576" s="4">
        <v>45931.0</v>
      </c>
      <c r="K576" s="3">
        <v>17.0</v>
      </c>
      <c r="L576" s="3" t="s">
        <v>19</v>
      </c>
    </row>
    <row r="577" ht="15.75" customHeight="1">
      <c r="A577" s="3" t="s">
        <v>625</v>
      </c>
      <c r="B577" s="3" t="s">
        <v>51</v>
      </c>
      <c r="C577" s="3" t="s">
        <v>14</v>
      </c>
      <c r="D577" s="3">
        <v>24449.51</v>
      </c>
      <c r="E577" s="3">
        <v>7334.85</v>
      </c>
      <c r="F577" s="3">
        <v>3806.98</v>
      </c>
      <c r="G577" s="3">
        <v>429.76</v>
      </c>
      <c r="H577" s="3">
        <v>35591.34</v>
      </c>
      <c r="I577" s="3">
        <v>35161.58</v>
      </c>
      <c r="J577" s="4">
        <v>45870.0</v>
      </c>
      <c r="K577" s="3">
        <v>2.0</v>
      </c>
      <c r="L577" s="3" t="s">
        <v>21</v>
      </c>
    </row>
    <row r="578" ht="15.75" customHeight="1">
      <c r="A578" s="3" t="s">
        <v>626</v>
      </c>
      <c r="B578" s="3" t="s">
        <v>53</v>
      </c>
      <c r="C578" s="3" t="s">
        <v>33</v>
      </c>
      <c r="D578" s="3">
        <v>32668.42</v>
      </c>
      <c r="E578" s="3">
        <v>9800.53</v>
      </c>
      <c r="F578" s="3">
        <v>6531.11</v>
      </c>
      <c r="G578" s="3">
        <v>9545.51</v>
      </c>
      <c r="H578" s="3">
        <v>49000.06</v>
      </c>
      <c r="I578" s="3">
        <v>39454.55</v>
      </c>
      <c r="J578" s="4">
        <v>45689.0</v>
      </c>
      <c r="K578" s="3">
        <v>5.0</v>
      </c>
      <c r="L578" s="3" t="s">
        <v>23</v>
      </c>
    </row>
    <row r="579" ht="15.75" customHeight="1">
      <c r="A579" s="3" t="s">
        <v>627</v>
      </c>
      <c r="B579" s="3" t="s">
        <v>51</v>
      </c>
      <c r="C579" s="3" t="s">
        <v>18</v>
      </c>
      <c r="D579" s="3">
        <v>71269.97</v>
      </c>
      <c r="E579" s="3">
        <v>21380.99</v>
      </c>
      <c r="F579" s="3">
        <v>7607.21</v>
      </c>
      <c r="G579" s="3">
        <v>16917.44</v>
      </c>
      <c r="H579" s="3">
        <v>100258.17</v>
      </c>
      <c r="I579" s="3">
        <v>83340.73</v>
      </c>
      <c r="J579" s="4">
        <v>45992.0</v>
      </c>
      <c r="K579" s="3">
        <v>8.0</v>
      </c>
      <c r="L579" s="3" t="s">
        <v>27</v>
      </c>
    </row>
    <row r="580" ht="15.75" customHeight="1">
      <c r="A580" s="3" t="s">
        <v>628</v>
      </c>
      <c r="B580" s="3" t="s">
        <v>17</v>
      </c>
      <c r="C580" s="3" t="s">
        <v>26</v>
      </c>
      <c r="D580" s="3">
        <v>125870.11</v>
      </c>
      <c r="E580" s="3">
        <v>37761.03</v>
      </c>
      <c r="F580" s="3">
        <v>5523.47</v>
      </c>
      <c r="G580" s="3">
        <v>31964.91</v>
      </c>
      <c r="H580" s="3">
        <v>169154.61</v>
      </c>
      <c r="I580" s="3">
        <v>137189.7</v>
      </c>
      <c r="J580" s="4">
        <v>45839.0</v>
      </c>
      <c r="K580" s="3">
        <v>13.0</v>
      </c>
      <c r="L580" s="3" t="s">
        <v>31</v>
      </c>
    </row>
    <row r="581" ht="15.75" customHeight="1">
      <c r="A581" s="3" t="s">
        <v>629</v>
      </c>
      <c r="B581" s="3" t="s">
        <v>29</v>
      </c>
      <c r="C581" s="3" t="s">
        <v>26</v>
      </c>
      <c r="D581" s="3">
        <v>125695.51</v>
      </c>
      <c r="E581" s="3">
        <v>37708.65</v>
      </c>
      <c r="F581" s="3">
        <v>4366.96</v>
      </c>
      <c r="G581" s="3">
        <v>8920.02</v>
      </c>
      <c r="H581" s="3">
        <v>167771.12</v>
      </c>
      <c r="I581" s="3">
        <v>158851.1</v>
      </c>
      <c r="J581" s="4">
        <v>45809.0</v>
      </c>
      <c r="K581" s="3">
        <v>10.0</v>
      </c>
      <c r="L581" s="3" t="s">
        <v>34</v>
      </c>
    </row>
    <row r="582" ht="15.75" customHeight="1">
      <c r="A582" s="3" t="s">
        <v>630</v>
      </c>
      <c r="B582" s="3" t="s">
        <v>25</v>
      </c>
      <c r="C582" s="3" t="s">
        <v>18</v>
      </c>
      <c r="D582" s="3">
        <v>83138.29</v>
      </c>
      <c r="E582" s="3">
        <v>24941.49</v>
      </c>
      <c r="F582" s="3">
        <v>15197.35</v>
      </c>
      <c r="G582" s="3">
        <v>703.51</v>
      </c>
      <c r="H582" s="3">
        <v>123277.13</v>
      </c>
      <c r="I582" s="3">
        <v>122573.62</v>
      </c>
      <c r="J582" s="4">
        <v>45992.0</v>
      </c>
      <c r="K582" s="3">
        <v>8.0</v>
      </c>
      <c r="L582" s="3" t="s">
        <v>38</v>
      </c>
    </row>
    <row r="583" ht="15.75" customHeight="1">
      <c r="A583" s="3" t="s">
        <v>631</v>
      </c>
      <c r="B583" s="3" t="s">
        <v>29</v>
      </c>
      <c r="C583" s="3" t="s">
        <v>37</v>
      </c>
      <c r="D583" s="3">
        <v>55144.92</v>
      </c>
      <c r="E583" s="3">
        <v>16543.48</v>
      </c>
      <c r="F583" s="3">
        <v>6210.52</v>
      </c>
      <c r="G583" s="3">
        <v>3114.04</v>
      </c>
      <c r="H583" s="3">
        <v>77898.92</v>
      </c>
      <c r="I583" s="3">
        <v>74784.88</v>
      </c>
      <c r="J583" s="4">
        <v>45870.0</v>
      </c>
      <c r="K583" s="3">
        <v>15.0</v>
      </c>
      <c r="L583" s="3" t="s">
        <v>40</v>
      </c>
    </row>
    <row r="584" ht="15.75" customHeight="1">
      <c r="A584" s="3" t="s">
        <v>632</v>
      </c>
      <c r="B584" s="3" t="s">
        <v>53</v>
      </c>
      <c r="C584" s="3" t="s">
        <v>33</v>
      </c>
      <c r="D584" s="3">
        <v>26755.57</v>
      </c>
      <c r="E584" s="3">
        <v>8026.67</v>
      </c>
      <c r="F584" s="3">
        <v>203.15</v>
      </c>
      <c r="G584" s="3">
        <v>450.84</v>
      </c>
      <c r="H584" s="3">
        <v>34985.39</v>
      </c>
      <c r="I584" s="3">
        <v>34534.55</v>
      </c>
      <c r="J584" s="4">
        <v>45931.0</v>
      </c>
      <c r="K584" s="3">
        <v>19.0</v>
      </c>
      <c r="L584" s="3" t="s">
        <v>42</v>
      </c>
    </row>
    <row r="585" ht="15.75" customHeight="1">
      <c r="A585" s="3" t="s">
        <v>633</v>
      </c>
      <c r="B585" s="3" t="s">
        <v>25</v>
      </c>
      <c r="C585" s="3" t="s">
        <v>30</v>
      </c>
      <c r="D585" s="3">
        <v>24998.68</v>
      </c>
      <c r="E585" s="3">
        <v>7499.6</v>
      </c>
      <c r="F585" s="3">
        <v>887.25</v>
      </c>
      <c r="G585" s="3">
        <v>6017.87</v>
      </c>
      <c r="H585" s="3">
        <v>33385.53</v>
      </c>
      <c r="I585" s="3">
        <v>27367.66</v>
      </c>
      <c r="J585" s="4">
        <v>45809.0</v>
      </c>
      <c r="K585" s="3">
        <v>2.0</v>
      </c>
      <c r="L585" s="3" t="s">
        <v>19</v>
      </c>
    </row>
    <row r="586" ht="15.75" customHeight="1">
      <c r="A586" s="3" t="s">
        <v>634</v>
      </c>
      <c r="B586" s="3" t="s">
        <v>17</v>
      </c>
      <c r="C586" s="3" t="s">
        <v>14</v>
      </c>
      <c r="D586" s="3">
        <v>19063.53</v>
      </c>
      <c r="E586" s="3">
        <v>5719.06</v>
      </c>
      <c r="F586" s="3">
        <v>2686.8</v>
      </c>
      <c r="G586" s="3">
        <v>810.12</v>
      </c>
      <c r="H586" s="3">
        <v>27469.39</v>
      </c>
      <c r="I586" s="3">
        <v>26659.27</v>
      </c>
      <c r="J586" s="4">
        <v>45689.0</v>
      </c>
      <c r="K586" s="3">
        <v>5.0</v>
      </c>
      <c r="L586" s="3" t="s">
        <v>21</v>
      </c>
    </row>
    <row r="587" ht="15.75" customHeight="1">
      <c r="A587" s="3" t="s">
        <v>635</v>
      </c>
      <c r="B587" s="3" t="s">
        <v>25</v>
      </c>
      <c r="C587" s="3" t="s">
        <v>37</v>
      </c>
      <c r="D587" s="3">
        <v>60492.05</v>
      </c>
      <c r="E587" s="3">
        <v>18147.62</v>
      </c>
      <c r="F587" s="3">
        <v>11621.23</v>
      </c>
      <c r="G587" s="3">
        <v>6779.78</v>
      </c>
      <c r="H587" s="3">
        <v>90260.9</v>
      </c>
      <c r="I587" s="3">
        <v>83481.12</v>
      </c>
      <c r="J587" s="4">
        <v>45962.0</v>
      </c>
      <c r="K587" s="3">
        <v>4.0</v>
      </c>
      <c r="L587" s="3" t="s">
        <v>23</v>
      </c>
    </row>
    <row r="588" ht="15.75" customHeight="1">
      <c r="A588" s="3" t="s">
        <v>636</v>
      </c>
      <c r="B588" s="3" t="s">
        <v>36</v>
      </c>
      <c r="C588" s="3" t="s">
        <v>37</v>
      </c>
      <c r="D588" s="3">
        <v>46818.58</v>
      </c>
      <c r="E588" s="3">
        <v>14045.57</v>
      </c>
      <c r="F588" s="3">
        <v>2825.64</v>
      </c>
      <c r="G588" s="3">
        <v>1916.54</v>
      </c>
      <c r="H588" s="3">
        <v>63689.79</v>
      </c>
      <c r="I588" s="3">
        <v>61773.25</v>
      </c>
      <c r="J588" s="4">
        <v>45717.0</v>
      </c>
      <c r="K588" s="3">
        <v>11.0</v>
      </c>
      <c r="L588" s="3" t="s">
        <v>27</v>
      </c>
    </row>
    <row r="589" ht="15.75" customHeight="1">
      <c r="A589" s="3" t="s">
        <v>637</v>
      </c>
      <c r="B589" s="3" t="s">
        <v>13</v>
      </c>
      <c r="C589" s="3" t="s">
        <v>54</v>
      </c>
      <c r="D589" s="3">
        <v>46085.8</v>
      </c>
      <c r="E589" s="3">
        <v>13825.74</v>
      </c>
      <c r="F589" s="3">
        <v>8854.58</v>
      </c>
      <c r="G589" s="3">
        <v>8975.4</v>
      </c>
      <c r="H589" s="3">
        <v>68766.12</v>
      </c>
      <c r="I589" s="3">
        <v>59790.72</v>
      </c>
      <c r="J589" s="4">
        <v>45717.0</v>
      </c>
      <c r="K589" s="3">
        <v>24.0</v>
      </c>
      <c r="L589" s="3" t="s">
        <v>31</v>
      </c>
    </row>
    <row r="590" ht="15.75" customHeight="1">
      <c r="A590" s="3" t="s">
        <v>638</v>
      </c>
      <c r="B590" s="3" t="s">
        <v>13</v>
      </c>
      <c r="C590" s="3" t="s">
        <v>37</v>
      </c>
      <c r="D590" s="3">
        <v>57484.09</v>
      </c>
      <c r="E590" s="3">
        <v>17245.23</v>
      </c>
      <c r="F590" s="3">
        <v>10678.76</v>
      </c>
      <c r="G590" s="3">
        <v>13571.85</v>
      </c>
      <c r="H590" s="3">
        <v>85408.08</v>
      </c>
      <c r="I590" s="3">
        <v>71836.23</v>
      </c>
      <c r="J590" s="4">
        <v>45748.0</v>
      </c>
      <c r="K590" s="3">
        <v>24.0</v>
      </c>
      <c r="L590" s="3" t="s">
        <v>34</v>
      </c>
    </row>
    <row r="591" ht="15.75" customHeight="1">
      <c r="A591" s="3" t="s">
        <v>639</v>
      </c>
      <c r="B591" s="3" t="s">
        <v>13</v>
      </c>
      <c r="C591" s="3" t="s">
        <v>37</v>
      </c>
      <c r="D591" s="3">
        <v>59660.18</v>
      </c>
      <c r="E591" s="3">
        <v>17898.05</v>
      </c>
      <c r="F591" s="3">
        <v>4514.89</v>
      </c>
      <c r="G591" s="3">
        <v>13137.08</v>
      </c>
      <c r="H591" s="3">
        <v>82073.12</v>
      </c>
      <c r="I591" s="3">
        <v>68936.04</v>
      </c>
      <c r="J591" s="4">
        <v>45778.0</v>
      </c>
      <c r="K591" s="3">
        <v>17.0</v>
      </c>
      <c r="L591" s="3" t="s">
        <v>38</v>
      </c>
    </row>
    <row r="592" ht="15.75" customHeight="1">
      <c r="A592" s="3" t="s">
        <v>640</v>
      </c>
      <c r="B592" s="3" t="s">
        <v>25</v>
      </c>
      <c r="C592" s="3" t="s">
        <v>26</v>
      </c>
      <c r="D592" s="3">
        <v>124746.62</v>
      </c>
      <c r="E592" s="3">
        <v>37423.99</v>
      </c>
      <c r="F592" s="3">
        <v>807.93</v>
      </c>
      <c r="G592" s="3">
        <v>22543.79</v>
      </c>
      <c r="H592" s="3">
        <v>162978.54</v>
      </c>
      <c r="I592" s="3">
        <v>140434.75</v>
      </c>
      <c r="J592" s="4">
        <v>45931.0</v>
      </c>
      <c r="K592" s="3">
        <v>3.0</v>
      </c>
      <c r="L592" s="3" t="s">
        <v>42</v>
      </c>
    </row>
    <row r="593" ht="15.75" customHeight="1">
      <c r="A593" s="3" t="s">
        <v>641</v>
      </c>
      <c r="B593" s="3" t="s">
        <v>51</v>
      </c>
      <c r="C593" s="3" t="s">
        <v>18</v>
      </c>
      <c r="D593" s="5"/>
      <c r="E593" s="3">
        <v>23911.29</v>
      </c>
      <c r="F593" s="3">
        <v>14931.61</v>
      </c>
      <c r="G593" s="3">
        <v>3362.96</v>
      </c>
      <c r="H593" s="3">
        <v>118547.21</v>
      </c>
      <c r="I593" s="3">
        <v>115184.25</v>
      </c>
      <c r="J593" s="4">
        <v>45992.0</v>
      </c>
      <c r="K593" s="3">
        <v>6.0</v>
      </c>
      <c r="L593" s="3" t="s">
        <v>15</v>
      </c>
    </row>
    <row r="594" ht="15.75" customHeight="1">
      <c r="A594" s="3" t="s">
        <v>642</v>
      </c>
      <c r="B594" s="3" t="s">
        <v>17</v>
      </c>
      <c r="C594" s="3" t="s">
        <v>30</v>
      </c>
      <c r="D594" s="3">
        <v>25051.93</v>
      </c>
      <c r="E594" s="3">
        <v>7515.58</v>
      </c>
      <c r="F594" s="3">
        <v>1600.91</v>
      </c>
      <c r="G594" s="3">
        <v>4781.31</v>
      </c>
      <c r="H594" s="3">
        <v>34168.42</v>
      </c>
      <c r="I594" s="3">
        <v>29387.11</v>
      </c>
      <c r="J594" s="4">
        <v>45689.0</v>
      </c>
      <c r="K594" s="3">
        <v>18.0</v>
      </c>
      <c r="L594" s="3" t="s">
        <v>19</v>
      </c>
    </row>
    <row r="595" ht="15.75" customHeight="1">
      <c r="A595" s="3" t="s">
        <v>643</v>
      </c>
      <c r="B595" s="3" t="s">
        <v>25</v>
      </c>
      <c r="C595" s="3" t="s">
        <v>18</v>
      </c>
      <c r="D595" s="3">
        <v>82420.64</v>
      </c>
      <c r="E595" s="3">
        <v>24726.19</v>
      </c>
      <c r="F595" s="3">
        <v>12021.64</v>
      </c>
      <c r="G595" s="3">
        <v>8301.81</v>
      </c>
      <c r="H595" s="3">
        <v>119168.47</v>
      </c>
      <c r="I595" s="3">
        <v>110866.66</v>
      </c>
      <c r="J595" s="4">
        <v>45658.0</v>
      </c>
      <c r="K595" s="3">
        <v>11.0</v>
      </c>
      <c r="L595" s="3" t="s">
        <v>21</v>
      </c>
    </row>
    <row r="596" ht="15.75" customHeight="1">
      <c r="A596" s="3" t="s">
        <v>644</v>
      </c>
      <c r="B596" s="3" t="s">
        <v>29</v>
      </c>
      <c r="C596" s="3" t="s">
        <v>30</v>
      </c>
      <c r="D596" s="3">
        <v>24195.96</v>
      </c>
      <c r="E596" s="3">
        <v>7258.79</v>
      </c>
      <c r="F596" s="3">
        <v>328.07</v>
      </c>
      <c r="G596" s="3">
        <v>1863.03</v>
      </c>
      <c r="H596" s="3">
        <v>31782.82</v>
      </c>
      <c r="I596" s="3">
        <v>29919.79</v>
      </c>
      <c r="J596" s="4">
        <v>45689.0</v>
      </c>
      <c r="K596" s="3">
        <v>17.0</v>
      </c>
      <c r="L596" s="3" t="s">
        <v>23</v>
      </c>
    </row>
    <row r="597" ht="15.75" customHeight="1">
      <c r="A597" s="3" t="s">
        <v>645</v>
      </c>
      <c r="B597" s="3" t="s">
        <v>13</v>
      </c>
      <c r="C597" s="3" t="s">
        <v>14</v>
      </c>
      <c r="D597" s="3">
        <v>18346.66</v>
      </c>
      <c r="E597" s="3">
        <v>5504.0</v>
      </c>
      <c r="F597" s="3">
        <v>1607.98</v>
      </c>
      <c r="G597" s="3">
        <v>2309.77</v>
      </c>
      <c r="H597" s="3">
        <v>25458.64</v>
      </c>
      <c r="I597" s="3">
        <v>23148.87</v>
      </c>
      <c r="J597" s="4">
        <v>45717.0</v>
      </c>
      <c r="K597" s="3">
        <v>23.0</v>
      </c>
      <c r="L597" s="3" t="s">
        <v>27</v>
      </c>
    </row>
    <row r="598" ht="15.75" customHeight="1">
      <c r="A598" s="3" t="s">
        <v>646</v>
      </c>
      <c r="B598" s="3" t="s">
        <v>25</v>
      </c>
      <c r="C598" s="3" t="s">
        <v>26</v>
      </c>
      <c r="D598" s="3">
        <v>110810.0</v>
      </c>
      <c r="E598" s="3">
        <v>33243.0</v>
      </c>
      <c r="F598" s="3">
        <v>16804.19</v>
      </c>
      <c r="G598" s="3">
        <v>7499.05</v>
      </c>
      <c r="H598" s="3">
        <v>160857.19</v>
      </c>
      <c r="I598" s="3">
        <v>153358.14</v>
      </c>
      <c r="J598" s="4">
        <v>45870.0</v>
      </c>
      <c r="K598" s="3">
        <v>17.0</v>
      </c>
      <c r="L598" s="3" t="s">
        <v>34</v>
      </c>
    </row>
    <row r="599" ht="15.75" customHeight="1">
      <c r="A599" s="3" t="s">
        <v>647</v>
      </c>
      <c r="B599" s="3" t="s">
        <v>17</v>
      </c>
      <c r="C599" s="3" t="s">
        <v>26</v>
      </c>
      <c r="D599" s="3">
        <v>120447.45</v>
      </c>
      <c r="E599" s="3">
        <v>36134.24</v>
      </c>
      <c r="F599" s="3">
        <v>7104.2</v>
      </c>
      <c r="G599" s="3">
        <v>11516.59</v>
      </c>
      <c r="H599" s="3">
        <v>163685.89</v>
      </c>
      <c r="I599" s="3">
        <v>152169.3</v>
      </c>
      <c r="J599" s="4">
        <v>45689.0</v>
      </c>
      <c r="K599" s="3">
        <v>1.0</v>
      </c>
      <c r="L599" s="3" t="s">
        <v>38</v>
      </c>
    </row>
    <row r="600" ht="15.75" customHeight="1">
      <c r="A600" s="3" t="s">
        <v>648</v>
      </c>
      <c r="B600" s="3" t="s">
        <v>17</v>
      </c>
      <c r="C600" s="3" t="s">
        <v>33</v>
      </c>
      <c r="D600" s="3">
        <v>26701.05</v>
      </c>
      <c r="E600" s="3">
        <v>8010.31</v>
      </c>
      <c r="F600" s="3">
        <v>2005.02</v>
      </c>
      <c r="G600" s="3">
        <v>5863.43</v>
      </c>
      <c r="H600" s="3">
        <v>36716.38</v>
      </c>
      <c r="I600" s="3">
        <v>30852.95</v>
      </c>
      <c r="J600" s="4">
        <v>45901.0</v>
      </c>
      <c r="K600" s="3">
        <v>3.0</v>
      </c>
      <c r="L600" s="3" t="s">
        <v>40</v>
      </c>
    </row>
    <row r="601" ht="15.75" customHeight="1">
      <c r="A601" s="3" t="s">
        <v>649</v>
      </c>
      <c r="B601" s="3" t="s">
        <v>17</v>
      </c>
      <c r="C601" s="3" t="s">
        <v>33</v>
      </c>
      <c r="D601" s="3">
        <v>30940.31</v>
      </c>
      <c r="E601" s="3">
        <v>9282.09</v>
      </c>
      <c r="F601" s="3">
        <v>3797.27</v>
      </c>
      <c r="G601" s="3">
        <v>4480.81</v>
      </c>
      <c r="H601" s="3">
        <v>44019.67</v>
      </c>
      <c r="I601" s="3">
        <v>39538.86</v>
      </c>
      <c r="J601" s="4">
        <v>45658.0</v>
      </c>
      <c r="K601" s="3">
        <v>12.0</v>
      </c>
      <c r="L601" s="3" t="s">
        <v>42</v>
      </c>
    </row>
    <row r="602" ht="15.75" customHeight="1">
      <c r="A602" s="3" t="s">
        <v>650</v>
      </c>
      <c r="B602" s="3" t="s">
        <v>36</v>
      </c>
      <c r="C602" s="3" t="s">
        <v>18</v>
      </c>
      <c r="D602" s="3">
        <v>69289.93</v>
      </c>
      <c r="E602" s="3">
        <v>20786.98</v>
      </c>
      <c r="F602" s="3">
        <v>12330.19</v>
      </c>
      <c r="G602" s="3">
        <v>3265.71</v>
      </c>
      <c r="H602" s="3">
        <v>102407.1</v>
      </c>
      <c r="I602" s="3">
        <v>99141.39</v>
      </c>
      <c r="J602" s="4">
        <v>45689.0</v>
      </c>
      <c r="K602" s="3">
        <v>25.0</v>
      </c>
      <c r="L602" s="3" t="s">
        <v>15</v>
      </c>
    </row>
    <row r="603" ht="15.75" customHeight="1">
      <c r="A603" s="3" t="s">
        <v>651</v>
      </c>
      <c r="B603" s="3" t="s">
        <v>29</v>
      </c>
      <c r="C603" s="3" t="s">
        <v>30</v>
      </c>
      <c r="D603" s="3">
        <v>30574.71</v>
      </c>
      <c r="E603" s="3">
        <v>9172.41</v>
      </c>
      <c r="F603" s="3">
        <v>2502.72</v>
      </c>
      <c r="G603" s="3">
        <v>5082.55</v>
      </c>
      <c r="H603" s="3">
        <v>42249.84</v>
      </c>
      <c r="I603" s="3">
        <v>37167.29</v>
      </c>
      <c r="J603" s="4">
        <v>45992.0</v>
      </c>
      <c r="K603" s="3">
        <v>22.0</v>
      </c>
      <c r="L603" s="3" t="s">
        <v>19</v>
      </c>
    </row>
    <row r="604" ht="15.75" customHeight="1">
      <c r="A604" s="3" t="s">
        <v>652</v>
      </c>
      <c r="B604" s="3" t="s">
        <v>53</v>
      </c>
      <c r="C604" s="3" t="s">
        <v>33</v>
      </c>
      <c r="D604" s="3">
        <v>31605.98</v>
      </c>
      <c r="E604" s="3">
        <v>9481.79</v>
      </c>
      <c r="F604" s="3">
        <v>1879.93</v>
      </c>
      <c r="G604" s="3">
        <v>909.46</v>
      </c>
      <c r="H604" s="3">
        <v>42967.7</v>
      </c>
      <c r="I604" s="3">
        <v>42058.24</v>
      </c>
      <c r="J604" s="3" t="s">
        <v>653</v>
      </c>
      <c r="K604" s="3">
        <v>20.0</v>
      </c>
      <c r="L604" s="3" t="s">
        <v>21</v>
      </c>
    </row>
    <row r="605" ht="15.75" customHeight="1">
      <c r="A605" s="3" t="s">
        <v>654</v>
      </c>
      <c r="B605" s="3" t="s">
        <v>17</v>
      </c>
      <c r="C605" s="3" t="s">
        <v>33</v>
      </c>
      <c r="D605" s="3">
        <v>33238.97</v>
      </c>
      <c r="E605" s="3">
        <v>9971.69</v>
      </c>
      <c r="F605" s="3">
        <v>4155.48</v>
      </c>
      <c r="G605" s="3">
        <v>4789.69</v>
      </c>
      <c r="H605" s="3">
        <v>47366.14</v>
      </c>
      <c r="I605" s="3">
        <v>42576.45</v>
      </c>
      <c r="J605" s="4">
        <v>45689.0</v>
      </c>
      <c r="K605" s="3">
        <v>20.0</v>
      </c>
      <c r="L605" s="3" t="s">
        <v>27</v>
      </c>
    </row>
    <row r="606" ht="15.75" customHeight="1">
      <c r="A606" s="3" t="s">
        <v>655</v>
      </c>
      <c r="B606" s="3" t="s">
        <v>17</v>
      </c>
      <c r="C606" s="3" t="s">
        <v>30</v>
      </c>
      <c r="D606" s="3">
        <v>23503.32</v>
      </c>
      <c r="E606" s="3">
        <v>7051.0</v>
      </c>
      <c r="F606" s="3">
        <v>1371.71</v>
      </c>
      <c r="G606" s="3">
        <v>577.73</v>
      </c>
      <c r="H606" s="3">
        <v>31926.03</v>
      </c>
      <c r="I606" s="3">
        <v>31348.3</v>
      </c>
      <c r="J606" s="4">
        <v>45689.0</v>
      </c>
      <c r="K606" s="3">
        <v>13.0</v>
      </c>
      <c r="L606" s="3" t="s">
        <v>31</v>
      </c>
    </row>
    <row r="607" ht="15.75" customHeight="1">
      <c r="A607" s="3" t="s">
        <v>656</v>
      </c>
      <c r="B607" s="3" t="s">
        <v>29</v>
      </c>
      <c r="C607" s="3" t="s">
        <v>26</v>
      </c>
      <c r="D607" s="3">
        <v>104308.82</v>
      </c>
      <c r="E607" s="3">
        <v>31292.65</v>
      </c>
      <c r="F607" s="3">
        <v>10203.42</v>
      </c>
      <c r="G607" s="3">
        <v>20685.69</v>
      </c>
      <c r="H607" s="3">
        <v>145804.89</v>
      </c>
      <c r="I607" s="3">
        <v>125119.2</v>
      </c>
      <c r="J607" s="4">
        <v>45689.0</v>
      </c>
      <c r="K607" s="3">
        <v>24.0</v>
      </c>
      <c r="L607" s="3" t="s">
        <v>34</v>
      </c>
    </row>
    <row r="608" ht="15.75" customHeight="1">
      <c r="A608" s="3" t="s">
        <v>657</v>
      </c>
      <c r="B608" s="3" t="s">
        <v>13</v>
      </c>
      <c r="C608" s="3" t="s">
        <v>37</v>
      </c>
      <c r="D608" s="3">
        <v>51975.49</v>
      </c>
      <c r="E608" s="3">
        <v>15592.65</v>
      </c>
      <c r="F608" s="3">
        <v>3856.79</v>
      </c>
      <c r="G608" s="3">
        <v>5947.74</v>
      </c>
      <c r="H608" s="3">
        <v>71424.93</v>
      </c>
      <c r="I608" s="3">
        <v>65477.19</v>
      </c>
      <c r="J608" s="4">
        <v>45717.0</v>
      </c>
      <c r="K608" s="3">
        <v>22.0</v>
      </c>
      <c r="L608" s="3" t="s">
        <v>38</v>
      </c>
    </row>
    <row r="609" ht="15.75" customHeight="1">
      <c r="A609" s="3" t="s">
        <v>658</v>
      </c>
      <c r="B609" s="3" t="s">
        <v>36</v>
      </c>
      <c r="C609" s="3" t="s">
        <v>14</v>
      </c>
      <c r="D609" s="3">
        <v>19895.73</v>
      </c>
      <c r="E609" s="3">
        <v>5968.72</v>
      </c>
      <c r="F609" s="3">
        <v>1850.53</v>
      </c>
      <c r="G609" s="3">
        <v>1350.38</v>
      </c>
      <c r="H609" s="3">
        <v>27714.98</v>
      </c>
      <c r="I609" s="3">
        <v>26364.6</v>
      </c>
      <c r="J609" s="4">
        <v>45778.0</v>
      </c>
      <c r="K609" s="3">
        <v>1.0</v>
      </c>
      <c r="L609" s="3" t="s">
        <v>40</v>
      </c>
    </row>
    <row r="610" ht="15.75" customHeight="1">
      <c r="A610" s="3" t="s">
        <v>659</v>
      </c>
      <c r="B610" s="3" t="s">
        <v>53</v>
      </c>
      <c r="C610" s="3" t="s">
        <v>14</v>
      </c>
      <c r="D610" s="3">
        <v>19088.14</v>
      </c>
      <c r="E610" s="3">
        <v>5726.44</v>
      </c>
      <c r="F610" s="3">
        <v>2658.87</v>
      </c>
      <c r="G610" s="3">
        <v>553.76</v>
      </c>
      <c r="H610" s="3">
        <v>27473.45</v>
      </c>
      <c r="I610" s="3">
        <v>26919.69</v>
      </c>
      <c r="J610" s="4">
        <v>45962.0</v>
      </c>
      <c r="K610" s="3">
        <v>11.0</v>
      </c>
      <c r="L610" s="3" t="s">
        <v>42</v>
      </c>
    </row>
    <row r="611" ht="15.75" customHeight="1">
      <c r="A611" s="3" t="s">
        <v>660</v>
      </c>
      <c r="B611" s="3" t="s">
        <v>29</v>
      </c>
      <c r="C611" s="3" t="s">
        <v>26</v>
      </c>
      <c r="D611" s="3">
        <v>109492.16</v>
      </c>
      <c r="E611" s="3">
        <v>32847.65</v>
      </c>
      <c r="F611" s="3">
        <v>21256.93</v>
      </c>
      <c r="G611" s="3">
        <v>19371.13</v>
      </c>
      <c r="H611" s="3">
        <v>163596.74</v>
      </c>
      <c r="I611" s="3">
        <v>144225.61</v>
      </c>
      <c r="J611" s="4">
        <v>45901.0</v>
      </c>
      <c r="K611" s="3">
        <v>16.0</v>
      </c>
      <c r="L611" s="3" t="s">
        <v>15</v>
      </c>
    </row>
    <row r="612" ht="15.75" customHeight="1">
      <c r="A612" s="3" t="s">
        <v>661</v>
      </c>
      <c r="B612" s="3" t="s">
        <v>17</v>
      </c>
      <c r="C612" s="3" t="s">
        <v>26</v>
      </c>
      <c r="D612" s="3">
        <v>103935.82</v>
      </c>
      <c r="E612" s="3">
        <v>31180.75</v>
      </c>
      <c r="F612" s="3">
        <v>10863.0</v>
      </c>
      <c r="G612" s="3">
        <v>30108.99</v>
      </c>
      <c r="H612" s="3">
        <v>145979.57</v>
      </c>
      <c r="I612" s="3">
        <v>115870.58</v>
      </c>
      <c r="J612" s="4">
        <v>45962.0</v>
      </c>
      <c r="K612" s="3">
        <v>23.0</v>
      </c>
      <c r="L612" s="3" t="s">
        <v>19</v>
      </c>
    </row>
    <row r="613" ht="15.75" customHeight="1">
      <c r="A613" s="3" t="s">
        <v>662</v>
      </c>
      <c r="B613" s="3" t="s">
        <v>25</v>
      </c>
      <c r="C613" s="3" t="s">
        <v>54</v>
      </c>
      <c r="D613" s="3">
        <v>43018.0</v>
      </c>
      <c r="E613" s="3">
        <v>12905.4</v>
      </c>
      <c r="F613" s="3">
        <v>2027.37</v>
      </c>
      <c r="G613" s="3">
        <v>3856.81</v>
      </c>
      <c r="H613" s="3">
        <v>57950.77</v>
      </c>
      <c r="I613" s="3">
        <v>54093.96</v>
      </c>
      <c r="J613" s="4">
        <v>45839.0</v>
      </c>
      <c r="K613" s="3">
        <v>24.0</v>
      </c>
      <c r="L613" s="3" t="s">
        <v>21</v>
      </c>
    </row>
    <row r="614" ht="15.75" customHeight="1">
      <c r="A614" s="3" t="s">
        <v>663</v>
      </c>
      <c r="B614" s="3" t="s">
        <v>25</v>
      </c>
      <c r="C614" s="3" t="s">
        <v>18</v>
      </c>
      <c r="D614" s="3">
        <v>65902.94</v>
      </c>
      <c r="E614" s="3">
        <v>19770.88</v>
      </c>
      <c r="F614" s="3">
        <v>7529.01</v>
      </c>
      <c r="G614" s="5"/>
      <c r="H614" s="3">
        <v>93202.83</v>
      </c>
      <c r="I614" s="3">
        <v>82984.89</v>
      </c>
      <c r="J614" s="4">
        <v>45931.0</v>
      </c>
      <c r="K614" s="3">
        <v>24.0</v>
      </c>
      <c r="L614" s="3" t="s">
        <v>23</v>
      </c>
    </row>
    <row r="615" ht="15.75" customHeight="1">
      <c r="A615" s="3" t="s">
        <v>664</v>
      </c>
      <c r="B615" s="3" t="s">
        <v>13</v>
      </c>
      <c r="C615" s="3" t="s">
        <v>37</v>
      </c>
      <c r="D615" s="3">
        <v>47654.06</v>
      </c>
      <c r="E615" s="3">
        <v>14296.22</v>
      </c>
      <c r="F615" s="3">
        <v>9047.17</v>
      </c>
      <c r="G615" s="3">
        <v>6419.57</v>
      </c>
      <c r="H615" s="3">
        <v>70997.45</v>
      </c>
      <c r="I615" s="3">
        <v>64577.88</v>
      </c>
      <c r="J615" s="4">
        <v>45717.0</v>
      </c>
      <c r="K615" s="3">
        <v>17.0</v>
      </c>
      <c r="L615" s="3" t="s">
        <v>27</v>
      </c>
    </row>
    <row r="616" ht="15.75" customHeight="1">
      <c r="A616" s="3" t="s">
        <v>665</v>
      </c>
      <c r="B616" s="3" t="s">
        <v>51</v>
      </c>
      <c r="C616" s="3" t="s">
        <v>26</v>
      </c>
      <c r="D616" s="3">
        <v>96938.14</v>
      </c>
      <c r="E616" s="3">
        <v>29081.44</v>
      </c>
      <c r="F616" s="3">
        <v>827.38</v>
      </c>
      <c r="G616" s="3">
        <v>2279.07</v>
      </c>
      <c r="H616" s="3">
        <v>126846.96</v>
      </c>
      <c r="I616" s="3">
        <v>124567.89</v>
      </c>
      <c r="J616" s="3" t="s">
        <v>84</v>
      </c>
      <c r="K616" s="3">
        <v>19.0</v>
      </c>
      <c r="L616" s="3" t="s">
        <v>31</v>
      </c>
    </row>
    <row r="617" ht="15.75" customHeight="1">
      <c r="A617" s="3" t="s">
        <v>666</v>
      </c>
      <c r="B617" s="3" t="s">
        <v>36</v>
      </c>
      <c r="C617" s="3" t="s">
        <v>30</v>
      </c>
      <c r="D617" s="3">
        <v>30775.97</v>
      </c>
      <c r="E617" s="3">
        <v>9232.79</v>
      </c>
      <c r="F617" s="3">
        <v>3860.7</v>
      </c>
      <c r="G617" s="3">
        <v>7701.15</v>
      </c>
      <c r="H617" s="3">
        <v>43869.46</v>
      </c>
      <c r="I617" s="3">
        <v>36168.31</v>
      </c>
      <c r="J617" s="4">
        <v>45778.0</v>
      </c>
      <c r="K617" s="3">
        <v>18.0</v>
      </c>
      <c r="L617" s="3" t="s">
        <v>34</v>
      </c>
    </row>
    <row r="618" ht="15.75" customHeight="1">
      <c r="A618" s="3" t="s">
        <v>667</v>
      </c>
      <c r="B618" s="3" t="s">
        <v>29</v>
      </c>
      <c r="C618" s="3" t="s">
        <v>18</v>
      </c>
      <c r="D618" s="3">
        <v>88768.52</v>
      </c>
      <c r="E618" s="3">
        <v>26630.56</v>
      </c>
      <c r="F618" s="3">
        <v>1189.71</v>
      </c>
      <c r="G618" s="3">
        <v>10335.3</v>
      </c>
      <c r="H618" s="3">
        <v>116588.79</v>
      </c>
      <c r="I618" s="3">
        <v>106253.49</v>
      </c>
      <c r="J618" s="4">
        <v>45839.0</v>
      </c>
      <c r="K618" s="3">
        <v>9.0</v>
      </c>
      <c r="L618" s="3" t="s">
        <v>38</v>
      </c>
    </row>
    <row r="619" ht="15.75" customHeight="1">
      <c r="A619" s="3" t="s">
        <v>668</v>
      </c>
      <c r="B619" s="3" t="s">
        <v>53</v>
      </c>
      <c r="C619" s="3" t="s">
        <v>33</v>
      </c>
      <c r="D619" s="3">
        <v>33566.24</v>
      </c>
      <c r="E619" s="3">
        <v>10069.87</v>
      </c>
      <c r="F619" s="3">
        <v>3488.8</v>
      </c>
      <c r="G619" s="3">
        <v>9235.7</v>
      </c>
      <c r="H619" s="3">
        <v>47124.91</v>
      </c>
      <c r="I619" s="3">
        <v>37889.21</v>
      </c>
      <c r="J619" s="4">
        <v>45658.0</v>
      </c>
      <c r="K619" s="3">
        <v>10.0</v>
      </c>
      <c r="L619" s="3" t="s">
        <v>40</v>
      </c>
    </row>
    <row r="620" ht="15.75" customHeight="1">
      <c r="A620" s="3" t="s">
        <v>669</v>
      </c>
      <c r="B620" s="3" t="s">
        <v>25</v>
      </c>
      <c r="C620" s="3" t="s">
        <v>18</v>
      </c>
      <c r="D620" s="3">
        <v>81199.51</v>
      </c>
      <c r="E620" s="3">
        <v>24359.85</v>
      </c>
      <c r="F620" s="3">
        <v>8486.36</v>
      </c>
      <c r="G620" s="3">
        <v>10221.24</v>
      </c>
      <c r="H620" s="3">
        <v>114045.72</v>
      </c>
      <c r="I620" s="3">
        <v>103824.48</v>
      </c>
      <c r="J620" s="4">
        <v>45839.0</v>
      </c>
      <c r="K620" s="3">
        <v>17.0</v>
      </c>
      <c r="L620" s="3" t="s">
        <v>42</v>
      </c>
    </row>
    <row r="621" ht="15.75" customHeight="1">
      <c r="A621" s="3" t="s">
        <v>670</v>
      </c>
      <c r="B621" s="3" t="s">
        <v>51</v>
      </c>
      <c r="C621" s="3" t="s">
        <v>30</v>
      </c>
      <c r="D621" s="3">
        <v>26986.03</v>
      </c>
      <c r="E621" s="3">
        <v>8095.81</v>
      </c>
      <c r="F621" s="3">
        <v>3144.83</v>
      </c>
      <c r="G621" s="3">
        <v>7811.09</v>
      </c>
      <c r="H621" s="3">
        <v>38226.67</v>
      </c>
      <c r="I621" s="3">
        <v>30415.58</v>
      </c>
      <c r="J621" s="4">
        <v>45689.0</v>
      </c>
      <c r="K621" s="3">
        <v>16.0</v>
      </c>
      <c r="L621" s="3" t="s">
        <v>15</v>
      </c>
    </row>
    <row r="622" ht="15.75" customHeight="1">
      <c r="A622" s="3" t="s">
        <v>671</v>
      </c>
      <c r="B622" s="3" t="s">
        <v>17</v>
      </c>
      <c r="C622" s="3" t="s">
        <v>37</v>
      </c>
      <c r="D622" s="3">
        <v>59031.8</v>
      </c>
      <c r="E622" s="3">
        <v>17709.54</v>
      </c>
      <c r="F622" s="3">
        <v>9276.8</v>
      </c>
      <c r="G622" s="3">
        <v>15362.59</v>
      </c>
      <c r="H622" s="3">
        <v>86018.14</v>
      </c>
      <c r="I622" s="3">
        <v>70655.55</v>
      </c>
      <c r="J622" s="4">
        <v>45809.0</v>
      </c>
      <c r="K622" s="3">
        <v>11.0</v>
      </c>
      <c r="L622" s="3" t="s">
        <v>19</v>
      </c>
    </row>
    <row r="623" ht="15.75" customHeight="1">
      <c r="A623" s="3" t="s">
        <v>672</v>
      </c>
      <c r="B623" s="3" t="s">
        <v>36</v>
      </c>
      <c r="C623" s="3" t="s">
        <v>33</v>
      </c>
      <c r="D623" s="3">
        <v>28830.43</v>
      </c>
      <c r="E623" s="3">
        <v>8649.13</v>
      </c>
      <c r="F623" s="3">
        <v>2799.92</v>
      </c>
      <c r="G623" s="3">
        <v>5266.99</v>
      </c>
      <c r="H623" s="3">
        <v>40279.48</v>
      </c>
      <c r="I623" s="3">
        <v>35012.49</v>
      </c>
      <c r="J623" s="4">
        <v>45658.0</v>
      </c>
      <c r="K623" s="3">
        <v>10.0</v>
      </c>
      <c r="L623" s="3" t="s">
        <v>21</v>
      </c>
    </row>
    <row r="624" ht="15.75" customHeight="1">
      <c r="A624" s="3" t="s">
        <v>673</v>
      </c>
      <c r="B624" s="3" t="s">
        <v>51</v>
      </c>
      <c r="C624" s="3" t="s">
        <v>33</v>
      </c>
      <c r="D624" s="3">
        <v>29029.74</v>
      </c>
      <c r="E624" s="3">
        <v>8708.92</v>
      </c>
      <c r="F624" s="3">
        <v>3589.5</v>
      </c>
      <c r="G624" s="3">
        <v>5929.15</v>
      </c>
      <c r="H624" s="3">
        <v>41328.16</v>
      </c>
      <c r="I624" s="3">
        <v>35399.01</v>
      </c>
      <c r="J624" s="4">
        <v>45839.0</v>
      </c>
      <c r="K624" s="3">
        <v>4.0</v>
      </c>
      <c r="L624" s="3" t="s">
        <v>23</v>
      </c>
    </row>
    <row r="625" ht="15.75" customHeight="1">
      <c r="A625" s="3" t="s">
        <v>674</v>
      </c>
      <c r="B625" s="3" t="s">
        <v>17</v>
      </c>
      <c r="C625" s="3" t="s">
        <v>54</v>
      </c>
      <c r="D625" s="3">
        <v>47454.04</v>
      </c>
      <c r="E625" s="3">
        <v>14236.21</v>
      </c>
      <c r="F625" s="3">
        <v>3146.15</v>
      </c>
      <c r="G625" s="3">
        <v>3382.23</v>
      </c>
      <c r="H625" s="3">
        <v>64836.4</v>
      </c>
      <c r="I625" s="3">
        <v>61454.17</v>
      </c>
      <c r="J625" s="4">
        <v>45992.0</v>
      </c>
      <c r="K625" s="3">
        <v>5.0</v>
      </c>
      <c r="L625" s="3" t="s">
        <v>27</v>
      </c>
    </row>
    <row r="626" ht="15.75" customHeight="1">
      <c r="A626" s="3" t="s">
        <v>675</v>
      </c>
      <c r="B626" s="3" t="s">
        <v>36</v>
      </c>
      <c r="C626" s="3" t="s">
        <v>33</v>
      </c>
      <c r="D626" s="3">
        <v>33970.31</v>
      </c>
      <c r="E626" s="3">
        <v>10191.09</v>
      </c>
      <c r="F626" s="3">
        <v>137.46</v>
      </c>
      <c r="G626" s="3">
        <v>8330.06</v>
      </c>
      <c r="H626" s="3">
        <v>44298.86</v>
      </c>
      <c r="I626" s="3">
        <v>35968.8</v>
      </c>
      <c r="J626" s="3" t="s">
        <v>676</v>
      </c>
      <c r="K626" s="3">
        <v>16.0</v>
      </c>
      <c r="L626" s="3" t="s">
        <v>31</v>
      </c>
    </row>
    <row r="627" ht="15.75" customHeight="1">
      <c r="A627" s="3" t="s">
        <v>677</v>
      </c>
      <c r="B627" s="3" t="s">
        <v>29</v>
      </c>
      <c r="C627" s="3" t="s">
        <v>33</v>
      </c>
      <c r="D627" s="3">
        <v>33428.47</v>
      </c>
      <c r="E627" s="3">
        <v>10028.54</v>
      </c>
      <c r="F627" s="3">
        <v>5737.9</v>
      </c>
      <c r="G627" s="3">
        <v>6868.07</v>
      </c>
      <c r="H627" s="3">
        <v>49194.91</v>
      </c>
      <c r="I627" s="3">
        <v>42326.84</v>
      </c>
      <c r="J627" s="4">
        <v>45748.0</v>
      </c>
      <c r="K627" s="3">
        <v>1.0</v>
      </c>
      <c r="L627" s="3" t="s">
        <v>34</v>
      </c>
    </row>
    <row r="628" ht="15.75" customHeight="1">
      <c r="A628" s="3" t="s">
        <v>678</v>
      </c>
      <c r="B628" s="3" t="s">
        <v>51</v>
      </c>
      <c r="C628" s="3" t="s">
        <v>33</v>
      </c>
      <c r="D628" s="3">
        <v>34742.19</v>
      </c>
      <c r="E628" s="3">
        <v>10422.66</v>
      </c>
      <c r="F628" s="3">
        <v>3078.93</v>
      </c>
      <c r="G628" s="3">
        <v>8607.27</v>
      </c>
      <c r="H628" s="3">
        <v>48243.78</v>
      </c>
      <c r="I628" s="3">
        <v>39636.51</v>
      </c>
      <c r="J628" s="4">
        <v>45778.0</v>
      </c>
      <c r="K628" s="3">
        <v>7.0</v>
      </c>
      <c r="L628" s="3" t="s">
        <v>38</v>
      </c>
    </row>
    <row r="629" ht="15.75" customHeight="1">
      <c r="A629" s="3" t="s">
        <v>679</v>
      </c>
      <c r="B629" s="3" t="s">
        <v>13</v>
      </c>
      <c r="C629" s="3" t="s">
        <v>54</v>
      </c>
      <c r="D629" s="3">
        <v>43469.71</v>
      </c>
      <c r="E629" s="3">
        <v>13040.91</v>
      </c>
      <c r="F629" s="3">
        <v>776.25</v>
      </c>
      <c r="G629" s="3">
        <v>5760.39</v>
      </c>
      <c r="H629" s="3">
        <v>57286.87</v>
      </c>
      <c r="I629" s="3">
        <v>51526.48</v>
      </c>
      <c r="J629" s="4">
        <v>45839.0</v>
      </c>
      <c r="K629" s="3">
        <v>23.0</v>
      </c>
      <c r="L629" s="3" t="s">
        <v>40</v>
      </c>
    </row>
    <row r="630" ht="15.75" customHeight="1">
      <c r="A630" s="3" t="s">
        <v>680</v>
      </c>
      <c r="B630" s="3" t="s">
        <v>13</v>
      </c>
      <c r="C630" s="3" t="s">
        <v>54</v>
      </c>
      <c r="D630" s="3">
        <v>45632.91</v>
      </c>
      <c r="E630" s="3">
        <v>13689.87</v>
      </c>
      <c r="F630" s="3">
        <v>7914.47</v>
      </c>
      <c r="G630" s="3">
        <v>11239.62</v>
      </c>
      <c r="H630" s="3">
        <v>67237.25</v>
      </c>
      <c r="I630" s="3">
        <v>55997.63</v>
      </c>
      <c r="J630" s="4">
        <v>45901.0</v>
      </c>
      <c r="K630" s="3">
        <v>15.0</v>
      </c>
      <c r="L630" s="3" t="s">
        <v>42</v>
      </c>
    </row>
    <row r="631" ht="15.75" customHeight="1">
      <c r="A631" s="3" t="s">
        <v>681</v>
      </c>
      <c r="B631" s="3" t="s">
        <v>25</v>
      </c>
      <c r="C631" s="3" t="s">
        <v>30</v>
      </c>
      <c r="D631" s="3">
        <v>22577.43</v>
      </c>
      <c r="E631" s="3">
        <v>6773.23</v>
      </c>
      <c r="F631" s="3">
        <v>3204.05</v>
      </c>
      <c r="G631" s="3">
        <v>2732.22</v>
      </c>
      <c r="H631" s="3">
        <v>32554.71</v>
      </c>
      <c r="I631" s="3">
        <v>29822.49</v>
      </c>
      <c r="J631" s="4">
        <v>45901.0</v>
      </c>
      <c r="K631" s="3">
        <v>15.0</v>
      </c>
      <c r="L631" s="3" t="s">
        <v>15</v>
      </c>
    </row>
    <row r="632" ht="15.75" customHeight="1">
      <c r="A632" s="3" t="s">
        <v>682</v>
      </c>
      <c r="B632" s="3" t="s">
        <v>53</v>
      </c>
      <c r="C632" s="3" t="s">
        <v>14</v>
      </c>
      <c r="D632" s="3">
        <v>19250.91</v>
      </c>
      <c r="E632" s="3">
        <v>5775.27</v>
      </c>
      <c r="F632" s="3">
        <v>3369.6</v>
      </c>
      <c r="G632" s="3">
        <v>1159.25</v>
      </c>
      <c r="H632" s="3">
        <v>28395.78</v>
      </c>
      <c r="I632" s="3">
        <v>27236.53</v>
      </c>
      <c r="J632" s="4">
        <v>45658.0</v>
      </c>
      <c r="K632" s="3">
        <v>25.0</v>
      </c>
      <c r="L632" s="3" t="s">
        <v>19</v>
      </c>
    </row>
    <row r="633" ht="15.75" customHeight="1">
      <c r="A633" s="3" t="s">
        <v>683</v>
      </c>
      <c r="B633" s="3" t="s">
        <v>51</v>
      </c>
      <c r="C633" s="3" t="s">
        <v>14</v>
      </c>
      <c r="D633" s="3">
        <v>21286.43</v>
      </c>
      <c r="E633" s="3">
        <v>6385.93</v>
      </c>
      <c r="F633" s="3">
        <v>3908.32</v>
      </c>
      <c r="G633" s="3">
        <v>4499.74</v>
      </c>
      <c r="H633" s="3">
        <v>31580.68</v>
      </c>
      <c r="I633" s="3">
        <v>27080.94</v>
      </c>
      <c r="J633" s="3" t="s">
        <v>684</v>
      </c>
      <c r="K633" s="3">
        <v>12.0</v>
      </c>
      <c r="L633" s="3" t="s">
        <v>21</v>
      </c>
    </row>
    <row r="634" ht="15.75" customHeight="1">
      <c r="A634" s="3" t="s">
        <v>685</v>
      </c>
      <c r="B634" s="3" t="s">
        <v>29</v>
      </c>
      <c r="C634" s="3" t="s">
        <v>26</v>
      </c>
      <c r="D634" s="3">
        <v>106711.86</v>
      </c>
      <c r="E634" s="3">
        <v>32013.56</v>
      </c>
      <c r="F634" s="3">
        <v>8471.69</v>
      </c>
      <c r="G634" s="3">
        <v>29550.87</v>
      </c>
      <c r="H634" s="3">
        <v>147197.11</v>
      </c>
      <c r="I634" s="3">
        <v>117646.24</v>
      </c>
      <c r="J634" s="4">
        <v>45962.0</v>
      </c>
      <c r="K634" s="3">
        <v>7.0</v>
      </c>
      <c r="L634" s="3" t="s">
        <v>23</v>
      </c>
    </row>
    <row r="635" ht="15.75" customHeight="1">
      <c r="A635" s="3" t="s">
        <v>686</v>
      </c>
      <c r="B635" s="3" t="s">
        <v>17</v>
      </c>
      <c r="C635" s="3" t="s">
        <v>30</v>
      </c>
      <c r="D635" s="3">
        <v>25277.71</v>
      </c>
      <c r="E635" s="3">
        <v>7583.31</v>
      </c>
      <c r="F635" s="3">
        <v>3003.21</v>
      </c>
      <c r="G635" s="3">
        <v>1346.67</v>
      </c>
      <c r="H635" s="3">
        <v>35864.23</v>
      </c>
      <c r="I635" s="3">
        <v>34517.56</v>
      </c>
      <c r="J635" s="4">
        <v>45870.0</v>
      </c>
      <c r="K635" s="3">
        <v>11.0</v>
      </c>
      <c r="L635" s="3" t="s">
        <v>27</v>
      </c>
    </row>
    <row r="636" ht="15.75" customHeight="1">
      <c r="A636" s="3" t="s">
        <v>687</v>
      </c>
      <c r="B636" s="3" t="s">
        <v>53</v>
      </c>
      <c r="C636" s="3" t="s">
        <v>37</v>
      </c>
      <c r="D636" s="3">
        <v>51295.68</v>
      </c>
      <c r="E636" s="3">
        <v>15388.7</v>
      </c>
      <c r="F636" s="3">
        <v>1677.51</v>
      </c>
      <c r="G636" s="3">
        <v>13765.07</v>
      </c>
      <c r="H636" s="3">
        <v>68361.89</v>
      </c>
      <c r="I636" s="3">
        <v>54596.82</v>
      </c>
      <c r="J636" s="4">
        <v>45992.0</v>
      </c>
      <c r="K636" s="3">
        <v>9.0</v>
      </c>
      <c r="L636" s="3" t="s">
        <v>31</v>
      </c>
    </row>
    <row r="637" ht="15.75" customHeight="1">
      <c r="A637" s="3" t="s">
        <v>688</v>
      </c>
      <c r="B637" s="3" t="s">
        <v>25</v>
      </c>
      <c r="C637" s="3" t="s">
        <v>18</v>
      </c>
      <c r="D637" s="3">
        <v>67350.19</v>
      </c>
      <c r="E637" s="3">
        <v>20205.06</v>
      </c>
      <c r="F637" s="3">
        <v>369.76</v>
      </c>
      <c r="G637" s="3">
        <v>1003.2</v>
      </c>
      <c r="H637" s="3">
        <v>87925.01</v>
      </c>
      <c r="I637" s="3">
        <v>86921.81</v>
      </c>
      <c r="J637" s="4">
        <v>45931.0</v>
      </c>
      <c r="K637" s="3">
        <v>16.0</v>
      </c>
      <c r="L637" s="3" t="s">
        <v>34</v>
      </c>
    </row>
    <row r="638" ht="15.75" customHeight="1">
      <c r="A638" s="3" t="s">
        <v>689</v>
      </c>
      <c r="B638" s="3" t="s">
        <v>25</v>
      </c>
      <c r="C638" s="3" t="s">
        <v>30</v>
      </c>
      <c r="D638" s="3">
        <v>29542.58</v>
      </c>
      <c r="E638" s="3">
        <v>8862.77</v>
      </c>
      <c r="F638" s="3">
        <v>3825.05</v>
      </c>
      <c r="G638" s="3">
        <v>6006.26</v>
      </c>
      <c r="H638" s="3">
        <v>42230.4</v>
      </c>
      <c r="I638" s="3">
        <v>36224.14</v>
      </c>
      <c r="J638" s="4">
        <v>45778.0</v>
      </c>
      <c r="K638" s="3">
        <v>20.0</v>
      </c>
      <c r="L638" s="3" t="s">
        <v>38</v>
      </c>
    </row>
    <row r="639" ht="15.75" customHeight="1">
      <c r="A639" s="3" t="s">
        <v>690</v>
      </c>
      <c r="B639" s="3" t="s">
        <v>13</v>
      </c>
      <c r="C639" s="3" t="s">
        <v>54</v>
      </c>
      <c r="D639" s="3">
        <v>42185.94</v>
      </c>
      <c r="E639" s="3">
        <v>12655.78</v>
      </c>
      <c r="F639" s="3">
        <v>7295.05</v>
      </c>
      <c r="G639" s="3">
        <v>12239.89</v>
      </c>
      <c r="H639" s="3">
        <v>62136.77</v>
      </c>
      <c r="I639" s="3">
        <v>49896.88</v>
      </c>
      <c r="J639" s="4">
        <v>45962.0</v>
      </c>
      <c r="K639" s="3">
        <v>13.0</v>
      </c>
      <c r="L639" s="3" t="s">
        <v>40</v>
      </c>
    </row>
    <row r="640" ht="15.75" customHeight="1">
      <c r="A640" s="3" t="s">
        <v>691</v>
      </c>
      <c r="B640" s="3" t="s">
        <v>17</v>
      </c>
      <c r="C640" s="3" t="s">
        <v>54</v>
      </c>
      <c r="D640" s="3">
        <v>47761.22</v>
      </c>
      <c r="E640" s="3">
        <v>14328.37</v>
      </c>
      <c r="F640" s="3">
        <v>6183.85</v>
      </c>
      <c r="G640" s="3">
        <v>8613.38</v>
      </c>
      <c r="H640" s="3">
        <v>68273.44</v>
      </c>
      <c r="I640" s="3">
        <v>59660.06</v>
      </c>
      <c r="J640" s="4">
        <v>45658.0</v>
      </c>
      <c r="K640" s="3">
        <v>3.0</v>
      </c>
      <c r="L640" s="3" t="s">
        <v>42</v>
      </c>
    </row>
    <row r="641" ht="15.75" customHeight="1">
      <c r="A641" s="3" t="s">
        <v>692</v>
      </c>
      <c r="B641" s="3" t="s">
        <v>51</v>
      </c>
      <c r="C641" s="3" t="s">
        <v>33</v>
      </c>
      <c r="D641" s="3">
        <v>31083.44</v>
      </c>
      <c r="E641" s="3">
        <v>9325.03</v>
      </c>
      <c r="F641" s="3">
        <v>5862.37</v>
      </c>
      <c r="G641" s="3">
        <v>6646.33</v>
      </c>
      <c r="H641" s="3">
        <v>46270.84</v>
      </c>
      <c r="I641" s="3">
        <v>39624.51</v>
      </c>
      <c r="J641" s="4">
        <v>45992.0</v>
      </c>
      <c r="K641" s="3">
        <v>20.0</v>
      </c>
      <c r="L641" s="3" t="s">
        <v>15</v>
      </c>
    </row>
    <row r="642" ht="15.75" customHeight="1">
      <c r="A642" s="3" t="s">
        <v>693</v>
      </c>
      <c r="B642" s="3" t="s">
        <v>13</v>
      </c>
      <c r="C642" s="3" t="s">
        <v>33</v>
      </c>
      <c r="D642" s="3">
        <v>29238.07</v>
      </c>
      <c r="E642" s="3">
        <v>8771.42</v>
      </c>
      <c r="F642" s="3">
        <v>2201.48</v>
      </c>
      <c r="G642" s="3">
        <v>3058.68</v>
      </c>
      <c r="H642" s="3">
        <v>40210.97</v>
      </c>
      <c r="I642" s="3">
        <v>37152.29</v>
      </c>
      <c r="J642" s="4">
        <v>45778.0</v>
      </c>
      <c r="K642" s="3">
        <v>12.0</v>
      </c>
      <c r="L642" s="3" t="s">
        <v>19</v>
      </c>
    </row>
    <row r="643" ht="15.75" customHeight="1">
      <c r="A643" s="3" t="s">
        <v>694</v>
      </c>
      <c r="B643" s="3" t="s">
        <v>51</v>
      </c>
      <c r="C643" s="3" t="s">
        <v>54</v>
      </c>
      <c r="D643" s="3">
        <v>39230.03</v>
      </c>
      <c r="E643" s="3">
        <v>11769.01</v>
      </c>
      <c r="F643" s="3">
        <v>4084.93</v>
      </c>
      <c r="G643" s="3">
        <v>7339.23</v>
      </c>
      <c r="H643" s="3">
        <v>55083.97</v>
      </c>
      <c r="I643" s="3">
        <v>47744.74</v>
      </c>
      <c r="J643" s="4">
        <v>45931.0</v>
      </c>
      <c r="K643" s="3">
        <v>8.0</v>
      </c>
      <c r="L643" s="3" t="s">
        <v>21</v>
      </c>
    </row>
    <row r="644" ht="15.75" customHeight="1">
      <c r="A644" s="3" t="s">
        <v>695</v>
      </c>
      <c r="B644" s="3" t="s">
        <v>17</v>
      </c>
      <c r="C644" s="3" t="s">
        <v>14</v>
      </c>
      <c r="D644" s="3">
        <v>21682.9</v>
      </c>
      <c r="E644" s="3">
        <v>6504.87</v>
      </c>
      <c r="F644" s="3">
        <v>2872.36</v>
      </c>
      <c r="G644" s="3">
        <v>5485.45</v>
      </c>
      <c r="H644" s="3">
        <v>31060.13</v>
      </c>
      <c r="I644" s="3">
        <v>25574.68</v>
      </c>
      <c r="J644" s="4">
        <v>45809.0</v>
      </c>
      <c r="K644" s="3">
        <v>24.0</v>
      </c>
      <c r="L644" s="3" t="s">
        <v>23</v>
      </c>
    </row>
    <row r="645" ht="15.75" customHeight="1">
      <c r="A645" s="3" t="s">
        <v>696</v>
      </c>
      <c r="B645" s="3" t="s">
        <v>53</v>
      </c>
      <c r="C645" s="3" t="s">
        <v>18</v>
      </c>
      <c r="D645" s="3">
        <v>80438.09</v>
      </c>
      <c r="E645" s="3">
        <v>24131.43</v>
      </c>
      <c r="F645" s="3">
        <v>4547.6</v>
      </c>
      <c r="G645" s="3">
        <v>16515.87</v>
      </c>
      <c r="H645" s="3">
        <v>109117.12</v>
      </c>
      <c r="I645" s="3">
        <v>92601.25</v>
      </c>
      <c r="J645" s="4">
        <v>45870.0</v>
      </c>
      <c r="K645" s="3">
        <v>3.0</v>
      </c>
      <c r="L645" s="3" t="s">
        <v>27</v>
      </c>
    </row>
    <row r="646" ht="15.75" customHeight="1">
      <c r="A646" s="3" t="s">
        <v>697</v>
      </c>
      <c r="B646" s="3" t="s">
        <v>17</v>
      </c>
      <c r="C646" s="3" t="s">
        <v>33</v>
      </c>
      <c r="D646" s="3">
        <v>34883.61</v>
      </c>
      <c r="E646" s="3">
        <v>10465.08</v>
      </c>
      <c r="F646" s="3">
        <v>4469.25</v>
      </c>
      <c r="G646" s="3">
        <v>9015.58</v>
      </c>
      <c r="H646" s="3">
        <v>49817.94</v>
      </c>
      <c r="I646" s="3">
        <v>40802.36</v>
      </c>
      <c r="J646" s="4">
        <v>45778.0</v>
      </c>
      <c r="K646" s="3">
        <v>18.0</v>
      </c>
      <c r="L646" s="3" t="s">
        <v>31</v>
      </c>
    </row>
    <row r="647" ht="15.75" customHeight="1">
      <c r="A647" s="3" t="s">
        <v>698</v>
      </c>
      <c r="B647" s="3" t="s">
        <v>25</v>
      </c>
      <c r="C647" s="3" t="s">
        <v>30</v>
      </c>
      <c r="D647" s="3">
        <v>29917.25</v>
      </c>
      <c r="E647" s="3">
        <v>8975.17</v>
      </c>
      <c r="F647" s="3">
        <v>4819.25</v>
      </c>
      <c r="G647" s="3">
        <v>7201.36</v>
      </c>
      <c r="H647" s="3">
        <v>43711.67</v>
      </c>
      <c r="I647" s="3">
        <v>36510.31</v>
      </c>
      <c r="J647" s="4">
        <v>45931.0</v>
      </c>
      <c r="K647" s="3">
        <v>8.0</v>
      </c>
      <c r="L647" s="3" t="s">
        <v>38</v>
      </c>
    </row>
    <row r="648" ht="15.75" customHeight="1">
      <c r="A648" s="3" t="s">
        <v>699</v>
      </c>
      <c r="B648" s="3" t="s">
        <v>36</v>
      </c>
      <c r="C648" s="3" t="s">
        <v>18</v>
      </c>
      <c r="D648" s="3">
        <v>73309.23</v>
      </c>
      <c r="E648" s="3">
        <v>21992.77</v>
      </c>
      <c r="F648" s="3">
        <v>2051.62</v>
      </c>
      <c r="G648" s="3">
        <v>559.83</v>
      </c>
      <c r="H648" s="3">
        <v>97353.62</v>
      </c>
      <c r="I648" s="3">
        <v>96793.79</v>
      </c>
      <c r="J648" s="4">
        <v>45870.0</v>
      </c>
      <c r="K648" s="3">
        <v>14.0</v>
      </c>
      <c r="L648" s="3" t="s">
        <v>40</v>
      </c>
    </row>
    <row r="649" ht="15.75" customHeight="1">
      <c r="A649" s="3" t="s">
        <v>700</v>
      </c>
      <c r="B649" s="3" t="s">
        <v>13</v>
      </c>
      <c r="C649" s="3" t="s">
        <v>37</v>
      </c>
      <c r="D649" s="3">
        <v>59688.26</v>
      </c>
      <c r="E649" s="3">
        <v>17906.48</v>
      </c>
      <c r="F649" s="3">
        <v>4096.61</v>
      </c>
      <c r="G649" s="3">
        <v>12773.93</v>
      </c>
      <c r="H649" s="3">
        <v>81691.35</v>
      </c>
      <c r="I649" s="3">
        <v>68917.42</v>
      </c>
      <c r="J649" s="4">
        <v>45962.0</v>
      </c>
      <c r="K649" s="3">
        <v>8.0</v>
      </c>
      <c r="L649" s="3" t="s">
        <v>15</v>
      </c>
    </row>
    <row r="650" ht="15.75" customHeight="1">
      <c r="A650" s="3" t="s">
        <v>701</v>
      </c>
      <c r="B650" s="3" t="s">
        <v>53</v>
      </c>
      <c r="C650" s="3" t="s">
        <v>18</v>
      </c>
      <c r="D650" s="3">
        <v>85407.32</v>
      </c>
      <c r="E650" s="3">
        <v>25622.2</v>
      </c>
      <c r="F650" s="3">
        <v>15484.8</v>
      </c>
      <c r="G650" s="3">
        <v>17214.75</v>
      </c>
      <c r="H650" s="3">
        <v>126514.32</v>
      </c>
      <c r="I650" s="3">
        <v>109299.57</v>
      </c>
      <c r="J650" s="4">
        <v>45901.0</v>
      </c>
      <c r="K650" s="3">
        <v>18.0</v>
      </c>
      <c r="L650" s="3" t="s">
        <v>19</v>
      </c>
    </row>
    <row r="651" ht="15.75" customHeight="1">
      <c r="A651" s="3" t="s">
        <v>702</v>
      </c>
      <c r="B651" s="3" t="s">
        <v>29</v>
      </c>
      <c r="C651" s="3" t="s">
        <v>26</v>
      </c>
      <c r="D651" s="3">
        <v>96119.52</v>
      </c>
      <c r="E651" s="3">
        <v>28835.86</v>
      </c>
      <c r="F651" s="3">
        <v>12641.92</v>
      </c>
      <c r="G651" s="3">
        <v>16097.56</v>
      </c>
      <c r="H651" s="3">
        <v>137597.3</v>
      </c>
      <c r="I651" s="3">
        <v>121499.74</v>
      </c>
      <c r="J651" s="4">
        <v>45778.0</v>
      </c>
      <c r="K651" s="3">
        <v>9.0</v>
      </c>
      <c r="L651" s="3" t="s">
        <v>21</v>
      </c>
    </row>
    <row r="652" ht="15.75" customHeight="1">
      <c r="A652" s="3" t="s">
        <v>703</v>
      </c>
      <c r="B652" s="3" t="s">
        <v>17</v>
      </c>
      <c r="C652" s="3" t="s">
        <v>54</v>
      </c>
      <c r="D652" s="3">
        <v>36791.22</v>
      </c>
      <c r="E652" s="3">
        <v>11037.37</v>
      </c>
      <c r="F652" s="3">
        <v>1903.22</v>
      </c>
      <c r="G652" s="3">
        <v>8921.99</v>
      </c>
      <c r="H652" s="3">
        <v>49731.81</v>
      </c>
      <c r="I652" s="3">
        <v>40809.82</v>
      </c>
      <c r="J652" s="4">
        <v>45717.0</v>
      </c>
      <c r="K652" s="3">
        <v>7.0</v>
      </c>
      <c r="L652" s="3" t="s">
        <v>23</v>
      </c>
    </row>
    <row r="653" ht="15.75" customHeight="1">
      <c r="A653" s="3" t="s">
        <v>704</v>
      </c>
      <c r="B653" s="3" t="s">
        <v>13</v>
      </c>
      <c r="C653" s="3" t="s">
        <v>33</v>
      </c>
      <c r="D653" s="3">
        <v>31544.35</v>
      </c>
      <c r="E653" s="3">
        <v>9463.3</v>
      </c>
      <c r="F653" s="3">
        <v>1402.17</v>
      </c>
      <c r="G653" s="3">
        <v>2113.42</v>
      </c>
      <c r="H653" s="3">
        <v>42409.82</v>
      </c>
      <c r="I653" s="3">
        <v>40296.4</v>
      </c>
      <c r="J653" s="4">
        <v>45778.0</v>
      </c>
      <c r="K653" s="3">
        <v>21.0</v>
      </c>
      <c r="L653" s="3" t="s">
        <v>27</v>
      </c>
    </row>
    <row r="654" ht="15.75" customHeight="1">
      <c r="A654" s="3" t="s">
        <v>705</v>
      </c>
      <c r="B654" s="3" t="s">
        <v>36</v>
      </c>
      <c r="C654" s="3" t="s">
        <v>26</v>
      </c>
      <c r="D654" s="3">
        <v>121926.37</v>
      </c>
      <c r="E654" s="3">
        <v>36577.91</v>
      </c>
      <c r="F654" s="3">
        <v>9063.58</v>
      </c>
      <c r="G654" s="3">
        <v>21418.95</v>
      </c>
      <c r="H654" s="3">
        <v>167567.86</v>
      </c>
      <c r="I654" s="3">
        <v>146148.91</v>
      </c>
      <c r="J654" s="4">
        <v>45870.0</v>
      </c>
      <c r="K654" s="3">
        <v>5.0</v>
      </c>
      <c r="L654" s="3" t="s">
        <v>31</v>
      </c>
    </row>
    <row r="655" ht="15.75" customHeight="1">
      <c r="A655" s="3" t="s">
        <v>706</v>
      </c>
      <c r="B655" s="3" t="s">
        <v>25</v>
      </c>
      <c r="C655" s="3" t="s">
        <v>14</v>
      </c>
      <c r="D655" s="3">
        <v>21387.86</v>
      </c>
      <c r="E655" s="3">
        <v>6416.36</v>
      </c>
      <c r="F655" s="3">
        <v>3706.06</v>
      </c>
      <c r="G655" s="3">
        <v>3744.42</v>
      </c>
      <c r="H655" s="3">
        <v>31510.28</v>
      </c>
      <c r="I655" s="3">
        <v>27765.86</v>
      </c>
      <c r="J655" s="4">
        <v>45931.0</v>
      </c>
      <c r="K655" s="3">
        <v>25.0</v>
      </c>
      <c r="L655" s="3" t="s">
        <v>34</v>
      </c>
    </row>
    <row r="656" ht="15.75" customHeight="1">
      <c r="A656" s="3" t="s">
        <v>707</v>
      </c>
      <c r="B656" s="3" t="s">
        <v>17</v>
      </c>
      <c r="C656" s="3" t="s">
        <v>54</v>
      </c>
      <c r="D656" s="3">
        <v>47451.96</v>
      </c>
      <c r="E656" s="3">
        <v>14235.59</v>
      </c>
      <c r="F656" s="3">
        <v>4749.73</v>
      </c>
      <c r="G656" s="3">
        <v>12349.34</v>
      </c>
      <c r="H656" s="3">
        <v>66437.28</v>
      </c>
      <c r="I656" s="3">
        <v>54087.94</v>
      </c>
      <c r="J656" s="4">
        <v>45839.0</v>
      </c>
      <c r="K656" s="3">
        <v>19.0</v>
      </c>
      <c r="L656" s="3" t="s">
        <v>38</v>
      </c>
    </row>
    <row r="657" ht="15.75" customHeight="1">
      <c r="A657" s="3" t="s">
        <v>708</v>
      </c>
      <c r="B657" s="3" t="s">
        <v>53</v>
      </c>
      <c r="C657" s="3" t="s">
        <v>33</v>
      </c>
      <c r="D657" s="3">
        <v>29131.07</v>
      </c>
      <c r="E657" s="3">
        <v>8739.32</v>
      </c>
      <c r="F657" s="3">
        <v>5073.75</v>
      </c>
      <c r="G657" s="3">
        <v>1317.7</v>
      </c>
      <c r="H657" s="3">
        <v>42944.14</v>
      </c>
      <c r="I657" s="3">
        <v>41626.44</v>
      </c>
      <c r="J657" s="4">
        <v>45748.0</v>
      </c>
      <c r="K657" s="3">
        <v>17.0</v>
      </c>
      <c r="L657" s="3" t="s">
        <v>40</v>
      </c>
    </row>
    <row r="658" ht="15.75" customHeight="1">
      <c r="A658" s="3" t="s">
        <v>709</v>
      </c>
      <c r="B658" s="3" t="s">
        <v>29</v>
      </c>
      <c r="C658" s="3" t="s">
        <v>54</v>
      </c>
      <c r="D658" s="3">
        <v>48820.68</v>
      </c>
      <c r="E658" s="3">
        <v>14646.2</v>
      </c>
      <c r="F658" s="3">
        <v>8717.86</v>
      </c>
      <c r="G658" s="3">
        <v>14450.67</v>
      </c>
      <c r="H658" s="3">
        <v>72184.74</v>
      </c>
      <c r="I658" s="3">
        <v>57734.07</v>
      </c>
      <c r="J658" s="4">
        <v>45717.0</v>
      </c>
      <c r="K658" s="3">
        <v>3.0</v>
      </c>
      <c r="L658" s="3" t="s">
        <v>42</v>
      </c>
    </row>
    <row r="659" ht="15.75" customHeight="1">
      <c r="A659" s="3" t="s">
        <v>710</v>
      </c>
      <c r="B659" s="3" t="s">
        <v>29</v>
      </c>
      <c r="C659" s="3" t="s">
        <v>26</v>
      </c>
      <c r="D659" s="3">
        <v>115764.06</v>
      </c>
      <c r="E659" s="3">
        <v>34729.22</v>
      </c>
      <c r="F659" s="3">
        <v>18034.68</v>
      </c>
      <c r="G659" s="3">
        <v>16933.3</v>
      </c>
      <c r="H659" s="3">
        <v>168527.96</v>
      </c>
      <c r="I659" s="3">
        <v>151594.66</v>
      </c>
      <c r="J659" s="4">
        <v>45962.0</v>
      </c>
      <c r="K659" s="3">
        <v>1.0</v>
      </c>
      <c r="L659" s="3" t="s">
        <v>15</v>
      </c>
    </row>
    <row r="660" ht="15.75" customHeight="1">
      <c r="A660" s="3" t="s">
        <v>711</v>
      </c>
      <c r="B660" s="3" t="s">
        <v>51</v>
      </c>
      <c r="C660" s="3" t="s">
        <v>33</v>
      </c>
      <c r="D660" s="3">
        <v>31344.99</v>
      </c>
      <c r="E660" s="3">
        <v>9403.5</v>
      </c>
      <c r="F660" s="3">
        <v>29.55</v>
      </c>
      <c r="G660" s="3">
        <v>2572.12</v>
      </c>
      <c r="H660" s="3">
        <v>40778.04</v>
      </c>
      <c r="I660" s="3">
        <v>38205.92</v>
      </c>
      <c r="J660" s="4">
        <v>45717.0</v>
      </c>
      <c r="K660" s="3">
        <v>13.0</v>
      </c>
      <c r="L660" s="3" t="s">
        <v>19</v>
      </c>
    </row>
    <row r="661" ht="15.75" customHeight="1">
      <c r="A661" s="3" t="s">
        <v>712</v>
      </c>
      <c r="B661" s="3" t="s">
        <v>53</v>
      </c>
      <c r="C661" s="3" t="s">
        <v>26</v>
      </c>
      <c r="D661" s="3">
        <v>95703.66</v>
      </c>
      <c r="E661" s="3">
        <v>28711.1</v>
      </c>
      <c r="F661" s="3">
        <v>15029.51</v>
      </c>
      <c r="G661" s="3">
        <v>22387.55</v>
      </c>
      <c r="H661" s="3">
        <v>139444.27</v>
      </c>
      <c r="I661" s="3">
        <v>117056.72</v>
      </c>
      <c r="J661" s="4">
        <v>45717.0</v>
      </c>
      <c r="K661" s="3">
        <v>18.0</v>
      </c>
      <c r="L661" s="3" t="s">
        <v>21</v>
      </c>
    </row>
    <row r="662" ht="15.75" customHeight="1">
      <c r="A662" s="3" t="s">
        <v>713</v>
      </c>
      <c r="B662" s="5"/>
      <c r="C662" s="3" t="s">
        <v>54</v>
      </c>
      <c r="D662" s="3">
        <v>43868.83</v>
      </c>
      <c r="E662" s="3">
        <v>13160.65</v>
      </c>
      <c r="F662" s="3">
        <v>3539.28</v>
      </c>
      <c r="G662" s="3">
        <v>12704.34</v>
      </c>
      <c r="H662" s="3">
        <v>60568.76</v>
      </c>
      <c r="I662" s="3">
        <v>47864.42</v>
      </c>
      <c r="J662" s="4">
        <v>45839.0</v>
      </c>
      <c r="K662" s="3">
        <v>12.0</v>
      </c>
      <c r="L662" s="3" t="s">
        <v>23</v>
      </c>
    </row>
    <row r="663" ht="15.75" customHeight="1">
      <c r="A663" s="3" t="s">
        <v>714</v>
      </c>
      <c r="B663" s="3" t="s">
        <v>17</v>
      </c>
      <c r="C663" s="3" t="s">
        <v>14</v>
      </c>
      <c r="D663" s="3">
        <v>21843.23</v>
      </c>
      <c r="E663" s="3">
        <v>6552.97</v>
      </c>
      <c r="F663" s="3">
        <v>3191.99</v>
      </c>
      <c r="G663" s="3">
        <v>6225.77</v>
      </c>
      <c r="H663" s="3">
        <v>31588.19</v>
      </c>
      <c r="I663" s="3">
        <v>25362.42</v>
      </c>
      <c r="J663" s="4">
        <v>45809.0</v>
      </c>
      <c r="K663" s="3">
        <v>14.0</v>
      </c>
      <c r="L663" s="3" t="s">
        <v>27</v>
      </c>
    </row>
    <row r="664" ht="15.75" customHeight="1">
      <c r="A664" s="3" t="s">
        <v>715</v>
      </c>
      <c r="B664" s="3" t="s">
        <v>25</v>
      </c>
      <c r="C664" s="3" t="s">
        <v>26</v>
      </c>
      <c r="D664" s="3">
        <v>109117.22</v>
      </c>
      <c r="E664" s="3">
        <v>32735.17</v>
      </c>
      <c r="F664" s="3">
        <v>390.99</v>
      </c>
      <c r="G664" s="3">
        <v>134.99</v>
      </c>
      <c r="H664" s="3">
        <v>142243.38</v>
      </c>
      <c r="I664" s="3">
        <v>142108.39</v>
      </c>
      <c r="J664" s="4">
        <v>45992.0</v>
      </c>
      <c r="K664" s="3">
        <v>4.0</v>
      </c>
      <c r="L664" s="3" t="s">
        <v>31</v>
      </c>
    </row>
    <row r="665" ht="15.75" customHeight="1">
      <c r="A665" s="3" t="s">
        <v>716</v>
      </c>
      <c r="B665" s="3" t="s">
        <v>51</v>
      </c>
      <c r="C665" s="3" t="s">
        <v>30</v>
      </c>
      <c r="D665" s="3">
        <v>28103.02</v>
      </c>
      <c r="E665" s="3">
        <v>8430.91</v>
      </c>
      <c r="F665" s="3">
        <v>1935.45</v>
      </c>
      <c r="G665" s="3">
        <v>1087.0</v>
      </c>
      <c r="H665" s="3">
        <v>38469.38</v>
      </c>
      <c r="I665" s="3">
        <v>37382.38</v>
      </c>
      <c r="J665" s="4">
        <v>45839.0</v>
      </c>
      <c r="K665" s="3">
        <v>25.0</v>
      </c>
      <c r="L665" s="3" t="s">
        <v>34</v>
      </c>
    </row>
    <row r="666" ht="15.75" customHeight="1">
      <c r="A666" s="3" t="s">
        <v>717</v>
      </c>
      <c r="B666" s="3" t="s">
        <v>53</v>
      </c>
      <c r="C666" s="3" t="s">
        <v>37</v>
      </c>
      <c r="D666" s="3">
        <v>50510.07</v>
      </c>
      <c r="E666" s="3">
        <v>15153.02</v>
      </c>
      <c r="F666" s="3">
        <v>659.53</v>
      </c>
      <c r="G666" s="3">
        <v>692.77</v>
      </c>
      <c r="H666" s="3">
        <v>66322.62</v>
      </c>
      <c r="I666" s="3">
        <v>65629.85</v>
      </c>
      <c r="J666" s="4">
        <v>45778.0</v>
      </c>
      <c r="K666" s="3">
        <v>21.0</v>
      </c>
      <c r="L666" s="3" t="s">
        <v>38</v>
      </c>
    </row>
    <row r="667" ht="15.75" customHeight="1">
      <c r="A667" s="3" t="s">
        <v>718</v>
      </c>
      <c r="B667" s="3" t="s">
        <v>36</v>
      </c>
      <c r="C667" s="3" t="s">
        <v>18</v>
      </c>
      <c r="D667" s="3">
        <v>78527.5</v>
      </c>
      <c r="E667" s="3">
        <v>23558.25</v>
      </c>
      <c r="F667" s="3">
        <v>8231.53</v>
      </c>
      <c r="G667" s="3">
        <v>10216.39</v>
      </c>
      <c r="H667" s="3">
        <v>110317.28</v>
      </c>
      <c r="I667" s="3">
        <v>100100.89</v>
      </c>
      <c r="J667" s="4">
        <v>45962.0</v>
      </c>
      <c r="K667" s="3">
        <v>19.0</v>
      </c>
      <c r="L667" s="3" t="s">
        <v>40</v>
      </c>
    </row>
    <row r="668" ht="15.75" customHeight="1">
      <c r="A668" s="3" t="s">
        <v>719</v>
      </c>
      <c r="B668" s="3" t="s">
        <v>25</v>
      </c>
      <c r="C668" s="3" t="s">
        <v>54</v>
      </c>
      <c r="D668" s="3">
        <v>35267.75</v>
      </c>
      <c r="E668" s="3">
        <v>10580.32</v>
      </c>
      <c r="F668" s="3">
        <v>1582.26</v>
      </c>
      <c r="G668" s="3">
        <v>10420.35</v>
      </c>
      <c r="H668" s="3">
        <v>47430.33</v>
      </c>
      <c r="I668" s="3">
        <v>37009.98</v>
      </c>
      <c r="J668" s="4">
        <v>45748.0</v>
      </c>
      <c r="K668" s="3">
        <v>18.0</v>
      </c>
      <c r="L668" s="3" t="s">
        <v>15</v>
      </c>
    </row>
    <row r="669" ht="15.75" customHeight="1">
      <c r="A669" s="3" t="s">
        <v>720</v>
      </c>
      <c r="B669" s="3" t="s">
        <v>13</v>
      </c>
      <c r="C669" s="3" t="s">
        <v>14</v>
      </c>
      <c r="D669" s="3">
        <v>22245.79</v>
      </c>
      <c r="E669" s="3">
        <v>6673.74</v>
      </c>
      <c r="F669" s="3">
        <v>751.84</v>
      </c>
      <c r="G669" s="3">
        <v>2446.53</v>
      </c>
      <c r="H669" s="3">
        <v>29671.37</v>
      </c>
      <c r="I669" s="3">
        <v>27224.84</v>
      </c>
      <c r="J669" s="4">
        <v>45962.0</v>
      </c>
      <c r="K669" s="3">
        <v>6.0</v>
      </c>
      <c r="L669" s="3" t="s">
        <v>19</v>
      </c>
    </row>
    <row r="670" ht="15.75" customHeight="1">
      <c r="A670" s="3" t="s">
        <v>721</v>
      </c>
      <c r="B670" s="3" t="s">
        <v>25</v>
      </c>
      <c r="C670" s="3" t="s">
        <v>14</v>
      </c>
      <c r="D670" s="3">
        <v>20701.39</v>
      </c>
      <c r="E670" s="3">
        <v>6210.42</v>
      </c>
      <c r="F670" s="3">
        <v>2651.11</v>
      </c>
      <c r="G670" s="3">
        <v>4789.78</v>
      </c>
      <c r="H670" s="3">
        <v>29562.92</v>
      </c>
      <c r="I670" s="3">
        <v>24773.14</v>
      </c>
      <c r="J670" s="4">
        <v>45931.0</v>
      </c>
      <c r="K670" s="3">
        <v>1.0</v>
      </c>
      <c r="L670" s="3" t="s">
        <v>21</v>
      </c>
    </row>
    <row r="671" ht="15.75" customHeight="1">
      <c r="A671" s="3" t="s">
        <v>722</v>
      </c>
      <c r="B671" s="3" t="s">
        <v>17</v>
      </c>
      <c r="C671" s="3" t="s">
        <v>37</v>
      </c>
      <c r="D671" s="3">
        <v>62904.24</v>
      </c>
      <c r="E671" s="3">
        <v>18871.27</v>
      </c>
      <c r="F671" s="3">
        <v>8328.14</v>
      </c>
      <c r="G671" s="3">
        <v>12333.65</v>
      </c>
      <c r="H671" s="3">
        <v>90103.65</v>
      </c>
      <c r="I671" s="3">
        <v>77770.0</v>
      </c>
      <c r="J671" s="4">
        <v>45658.0</v>
      </c>
      <c r="K671" s="3">
        <v>11.0</v>
      </c>
      <c r="L671" s="3" t="s">
        <v>23</v>
      </c>
    </row>
    <row r="672" ht="15.75" customHeight="1">
      <c r="A672" s="3" t="s">
        <v>723</v>
      </c>
      <c r="B672" s="3" t="s">
        <v>17</v>
      </c>
      <c r="C672" s="3" t="s">
        <v>18</v>
      </c>
      <c r="D672" s="3">
        <v>68010.54</v>
      </c>
      <c r="E672" s="3">
        <v>20403.16</v>
      </c>
      <c r="F672" s="3">
        <v>6043.61</v>
      </c>
      <c r="G672" s="3">
        <v>2521.73</v>
      </c>
      <c r="H672" s="3">
        <v>94457.31</v>
      </c>
      <c r="I672" s="3">
        <v>91935.58</v>
      </c>
      <c r="J672" s="4">
        <v>45778.0</v>
      </c>
      <c r="K672" s="3">
        <v>5.0</v>
      </c>
      <c r="L672" s="3" t="s">
        <v>27</v>
      </c>
    </row>
    <row r="673" ht="15.75" customHeight="1">
      <c r="A673" s="3" t="s">
        <v>724</v>
      </c>
      <c r="B673" s="3" t="s">
        <v>36</v>
      </c>
      <c r="C673" s="3" t="s">
        <v>18</v>
      </c>
      <c r="D673" s="3">
        <v>68981.3</v>
      </c>
      <c r="E673" s="3">
        <v>20694.39</v>
      </c>
      <c r="F673" s="3">
        <v>9591.05</v>
      </c>
      <c r="G673" s="3">
        <v>13043.91</v>
      </c>
      <c r="H673" s="3">
        <v>99266.74</v>
      </c>
      <c r="I673" s="3">
        <v>86222.83</v>
      </c>
      <c r="J673" s="4">
        <v>45778.0</v>
      </c>
      <c r="K673" s="3">
        <v>22.0</v>
      </c>
      <c r="L673" s="3" t="s">
        <v>31</v>
      </c>
    </row>
    <row r="674" ht="15.75" customHeight="1">
      <c r="A674" s="3" t="s">
        <v>725</v>
      </c>
      <c r="B674" s="3" t="s">
        <v>36</v>
      </c>
      <c r="C674" s="3" t="s">
        <v>18</v>
      </c>
      <c r="D674" s="3">
        <v>67625.48</v>
      </c>
      <c r="E674" s="3">
        <v>20287.64</v>
      </c>
      <c r="F674" s="3">
        <v>7037.23</v>
      </c>
      <c r="G674" s="3">
        <v>12635.1</v>
      </c>
      <c r="H674" s="3">
        <v>94950.35</v>
      </c>
      <c r="I674" s="3">
        <v>82315.25</v>
      </c>
      <c r="J674" s="4">
        <v>45992.0</v>
      </c>
      <c r="K674" s="3">
        <v>1.0</v>
      </c>
      <c r="L674" s="3" t="s">
        <v>34</v>
      </c>
    </row>
    <row r="675" ht="15.75" customHeight="1">
      <c r="A675" s="3" t="s">
        <v>726</v>
      </c>
      <c r="B675" s="3" t="s">
        <v>51</v>
      </c>
      <c r="C675" s="3" t="s">
        <v>54</v>
      </c>
      <c r="D675" s="3">
        <v>46629.14</v>
      </c>
      <c r="E675" s="3">
        <v>13988.74</v>
      </c>
      <c r="F675" s="3">
        <v>978.41</v>
      </c>
      <c r="G675" s="3">
        <v>10054.64</v>
      </c>
      <c r="H675" s="3">
        <v>61596.29</v>
      </c>
      <c r="I675" s="3">
        <v>51541.65</v>
      </c>
      <c r="J675" s="3" t="s">
        <v>482</v>
      </c>
      <c r="K675" s="3">
        <v>2.0</v>
      </c>
      <c r="L675" s="3" t="s">
        <v>38</v>
      </c>
    </row>
    <row r="676" ht="15.75" customHeight="1">
      <c r="A676" s="3" t="s">
        <v>727</v>
      </c>
      <c r="B676" s="3" t="s">
        <v>29</v>
      </c>
      <c r="C676" s="3" t="s">
        <v>14</v>
      </c>
      <c r="D676" s="3">
        <v>23650.27</v>
      </c>
      <c r="E676" s="3">
        <v>7095.08</v>
      </c>
      <c r="F676" s="3">
        <v>2354.33</v>
      </c>
      <c r="G676" s="3">
        <v>4320.92</v>
      </c>
      <c r="H676" s="3">
        <v>33099.68</v>
      </c>
      <c r="I676" s="3">
        <v>28778.76</v>
      </c>
      <c r="J676" s="4">
        <v>45778.0</v>
      </c>
      <c r="K676" s="3">
        <v>11.0</v>
      </c>
      <c r="L676" s="3" t="s">
        <v>40</v>
      </c>
    </row>
    <row r="677" ht="15.75" customHeight="1">
      <c r="A677" s="3" t="s">
        <v>728</v>
      </c>
      <c r="B677" s="3" t="s">
        <v>25</v>
      </c>
      <c r="C677" s="3" t="s">
        <v>37</v>
      </c>
      <c r="D677" s="3">
        <v>62516.16</v>
      </c>
      <c r="E677" s="3">
        <v>18754.85</v>
      </c>
      <c r="F677" s="3">
        <v>4475.18</v>
      </c>
      <c r="G677" s="3">
        <v>7684.92</v>
      </c>
      <c r="H677" s="3">
        <v>85746.19</v>
      </c>
      <c r="I677" s="3">
        <v>78061.27</v>
      </c>
      <c r="J677" s="4">
        <v>45717.0</v>
      </c>
      <c r="K677" s="3">
        <v>12.0</v>
      </c>
      <c r="L677" s="3" t="s">
        <v>42</v>
      </c>
    </row>
    <row r="678" ht="15.75" customHeight="1">
      <c r="A678" s="3" t="s">
        <v>729</v>
      </c>
      <c r="B678" s="3" t="s">
        <v>17</v>
      </c>
      <c r="C678" s="3" t="s">
        <v>37</v>
      </c>
      <c r="D678" s="3">
        <v>53934.38</v>
      </c>
      <c r="E678" s="3">
        <v>16180.31</v>
      </c>
      <c r="F678" s="3">
        <v>2240.37</v>
      </c>
      <c r="G678" s="3">
        <v>15098.24</v>
      </c>
      <c r="H678" s="3">
        <v>72355.06</v>
      </c>
      <c r="I678" s="3">
        <v>57256.82</v>
      </c>
      <c r="J678" s="4">
        <v>45809.0</v>
      </c>
      <c r="K678" s="3">
        <v>25.0</v>
      </c>
      <c r="L678" s="3" t="s">
        <v>15</v>
      </c>
    </row>
    <row r="679" ht="15.75" customHeight="1">
      <c r="A679" s="3" t="s">
        <v>730</v>
      </c>
      <c r="B679" s="3" t="s">
        <v>51</v>
      </c>
      <c r="C679" s="3" t="s">
        <v>14</v>
      </c>
      <c r="D679" s="3">
        <v>18091.8</v>
      </c>
      <c r="E679" s="3">
        <v>5427.54</v>
      </c>
      <c r="F679" s="3">
        <v>322.04</v>
      </c>
      <c r="G679" s="3">
        <v>599.37</v>
      </c>
      <c r="H679" s="3">
        <v>23841.38</v>
      </c>
      <c r="I679" s="3">
        <v>23242.01</v>
      </c>
      <c r="J679" s="4">
        <v>45931.0</v>
      </c>
      <c r="K679" s="3">
        <v>17.0</v>
      </c>
      <c r="L679" s="3" t="s">
        <v>19</v>
      </c>
    </row>
    <row r="680" ht="15.75" customHeight="1">
      <c r="A680" s="3" t="s">
        <v>731</v>
      </c>
      <c r="B680" s="3" t="s">
        <v>13</v>
      </c>
      <c r="C680" s="3" t="s">
        <v>54</v>
      </c>
      <c r="D680" s="3">
        <v>37088.02</v>
      </c>
      <c r="E680" s="3">
        <v>11126.41</v>
      </c>
      <c r="F680" s="3">
        <v>668.2</v>
      </c>
      <c r="G680" s="3">
        <v>5693.44</v>
      </c>
      <c r="H680" s="3">
        <v>48882.63</v>
      </c>
      <c r="I680" s="3">
        <v>43189.19</v>
      </c>
      <c r="J680" s="4">
        <v>45992.0</v>
      </c>
      <c r="K680" s="3">
        <v>22.0</v>
      </c>
      <c r="L680" s="3" t="s">
        <v>21</v>
      </c>
    </row>
    <row r="681" ht="15.75" customHeight="1">
      <c r="A681" s="3" t="s">
        <v>732</v>
      </c>
      <c r="B681" s="3" t="s">
        <v>13</v>
      </c>
      <c r="C681" s="3" t="s">
        <v>14</v>
      </c>
      <c r="D681" s="3">
        <v>24514.41</v>
      </c>
      <c r="E681" s="3">
        <v>7354.32</v>
      </c>
      <c r="F681" s="3">
        <v>3159.11</v>
      </c>
      <c r="G681" s="3">
        <v>3359.1</v>
      </c>
      <c r="H681" s="3">
        <v>35027.84</v>
      </c>
      <c r="I681" s="3">
        <v>31668.74</v>
      </c>
      <c r="J681" s="4">
        <v>45778.0</v>
      </c>
      <c r="K681" s="3">
        <v>11.0</v>
      </c>
      <c r="L681" s="3" t="s">
        <v>23</v>
      </c>
    </row>
    <row r="682" ht="15.75" customHeight="1">
      <c r="A682" s="3" t="s">
        <v>733</v>
      </c>
      <c r="B682" s="3" t="s">
        <v>29</v>
      </c>
      <c r="C682" s="3" t="s">
        <v>54</v>
      </c>
      <c r="D682" s="3">
        <v>35701.12</v>
      </c>
      <c r="E682" s="3">
        <v>10710.34</v>
      </c>
      <c r="F682" s="3">
        <v>5806.28</v>
      </c>
      <c r="G682" s="3">
        <v>9362.34</v>
      </c>
      <c r="H682" s="3">
        <v>52217.74</v>
      </c>
      <c r="I682" s="3">
        <v>42855.4</v>
      </c>
      <c r="J682" s="4">
        <v>45778.0</v>
      </c>
      <c r="K682" s="3">
        <v>16.0</v>
      </c>
      <c r="L682" s="3" t="s">
        <v>27</v>
      </c>
    </row>
    <row r="683" ht="15.75" customHeight="1">
      <c r="A683" s="3" t="s">
        <v>734</v>
      </c>
      <c r="B683" s="3" t="s">
        <v>29</v>
      </c>
      <c r="C683" s="3" t="s">
        <v>26</v>
      </c>
      <c r="D683" s="3">
        <v>114363.6</v>
      </c>
      <c r="E683" s="3">
        <v>34309.08</v>
      </c>
      <c r="F683" s="3">
        <v>9743.67</v>
      </c>
      <c r="G683" s="3">
        <v>3976.46</v>
      </c>
      <c r="H683" s="3">
        <v>158416.35</v>
      </c>
      <c r="I683" s="3">
        <v>154439.89</v>
      </c>
      <c r="J683" s="4">
        <v>45658.0</v>
      </c>
      <c r="K683" s="3">
        <v>10.0</v>
      </c>
      <c r="L683" s="3" t="s">
        <v>31</v>
      </c>
    </row>
    <row r="684" ht="15.75" customHeight="1">
      <c r="A684" s="3" t="s">
        <v>735</v>
      </c>
      <c r="B684" s="3" t="s">
        <v>17</v>
      </c>
      <c r="C684" s="3" t="s">
        <v>26</v>
      </c>
      <c r="D684" s="3">
        <v>94982.2</v>
      </c>
      <c r="E684" s="3">
        <v>28494.66</v>
      </c>
      <c r="F684" s="3">
        <v>12294.47</v>
      </c>
      <c r="G684" s="3">
        <v>9365.08</v>
      </c>
      <c r="H684" s="3">
        <v>135771.33</v>
      </c>
      <c r="I684" s="3">
        <v>126406.25</v>
      </c>
      <c r="J684" s="4">
        <v>45870.0</v>
      </c>
      <c r="K684" s="3">
        <v>13.0</v>
      </c>
      <c r="L684" s="3" t="s">
        <v>34</v>
      </c>
    </row>
    <row r="685" ht="15.75" customHeight="1">
      <c r="A685" s="3" t="s">
        <v>736</v>
      </c>
      <c r="B685" s="3" t="s">
        <v>53</v>
      </c>
      <c r="C685" s="3" t="s">
        <v>33</v>
      </c>
      <c r="D685" s="3">
        <v>33784.76</v>
      </c>
      <c r="E685" s="3">
        <v>10135.43</v>
      </c>
      <c r="F685" s="3">
        <v>628.07</v>
      </c>
      <c r="G685" s="3">
        <v>8260.01</v>
      </c>
      <c r="H685" s="3">
        <v>44548.26</v>
      </c>
      <c r="I685" s="3">
        <v>36288.25</v>
      </c>
      <c r="J685" s="4">
        <v>45717.0</v>
      </c>
      <c r="K685" s="3">
        <v>11.0</v>
      </c>
      <c r="L685" s="3" t="s">
        <v>38</v>
      </c>
    </row>
    <row r="686" ht="15.75" customHeight="1">
      <c r="A686" s="3" t="s">
        <v>737</v>
      </c>
      <c r="B686" s="3" t="s">
        <v>17</v>
      </c>
      <c r="C686" s="3" t="s">
        <v>54</v>
      </c>
      <c r="D686" s="3">
        <v>40603.5</v>
      </c>
      <c r="E686" s="3">
        <v>12181.05</v>
      </c>
      <c r="F686" s="3">
        <v>3707.41</v>
      </c>
      <c r="G686" s="3">
        <v>10179.81</v>
      </c>
      <c r="H686" s="3">
        <v>56491.96</v>
      </c>
      <c r="I686" s="3">
        <v>46312.15</v>
      </c>
      <c r="J686" s="4">
        <v>45992.0</v>
      </c>
      <c r="K686" s="3">
        <v>22.0</v>
      </c>
      <c r="L686" s="3" t="s">
        <v>40</v>
      </c>
    </row>
    <row r="687" ht="15.75" customHeight="1">
      <c r="A687" s="3" t="s">
        <v>738</v>
      </c>
      <c r="B687" s="3" t="s">
        <v>25</v>
      </c>
      <c r="C687" s="3" t="s">
        <v>54</v>
      </c>
      <c r="D687" s="3">
        <v>46198.59</v>
      </c>
      <c r="E687" s="3">
        <v>13859.58</v>
      </c>
      <c r="F687" s="3">
        <v>5995.16</v>
      </c>
      <c r="G687" s="3">
        <v>11044.83</v>
      </c>
      <c r="H687" s="3">
        <v>66053.33</v>
      </c>
      <c r="I687" s="3">
        <v>55008.5</v>
      </c>
      <c r="J687" s="4">
        <v>45689.0</v>
      </c>
      <c r="K687" s="3">
        <v>17.0</v>
      </c>
      <c r="L687" s="3" t="s">
        <v>42</v>
      </c>
    </row>
    <row r="688" ht="15.75" customHeight="1">
      <c r="A688" s="3" t="s">
        <v>739</v>
      </c>
      <c r="B688" s="3" t="s">
        <v>51</v>
      </c>
      <c r="C688" s="3" t="s">
        <v>18</v>
      </c>
      <c r="D688" s="3">
        <v>83886.69</v>
      </c>
      <c r="E688" s="3">
        <v>25166.01</v>
      </c>
      <c r="F688" s="3">
        <v>16468.12</v>
      </c>
      <c r="G688" s="3">
        <v>21248.91</v>
      </c>
      <c r="H688" s="3">
        <v>125520.82</v>
      </c>
      <c r="I688" s="3">
        <v>104271.91</v>
      </c>
      <c r="J688" s="4">
        <v>45689.0</v>
      </c>
      <c r="K688" s="3">
        <v>21.0</v>
      </c>
      <c r="L688" s="3" t="s">
        <v>15</v>
      </c>
    </row>
    <row r="689" ht="15.75" customHeight="1">
      <c r="A689" s="3" t="s">
        <v>740</v>
      </c>
      <c r="B689" s="3" t="s">
        <v>36</v>
      </c>
      <c r="C689" s="3" t="s">
        <v>37</v>
      </c>
      <c r="D689" s="3">
        <v>53688.15</v>
      </c>
      <c r="E689" s="3">
        <v>16106.44</v>
      </c>
      <c r="F689" s="3">
        <v>6109.1</v>
      </c>
      <c r="G689" s="3">
        <v>7057.25</v>
      </c>
      <c r="H689" s="3">
        <v>75903.69</v>
      </c>
      <c r="I689" s="3">
        <v>68846.44</v>
      </c>
      <c r="J689" s="4">
        <v>45931.0</v>
      </c>
      <c r="K689" s="3">
        <v>4.0</v>
      </c>
      <c r="L689" s="3" t="s">
        <v>19</v>
      </c>
    </row>
    <row r="690" ht="15.75" customHeight="1">
      <c r="A690" s="3" t="s">
        <v>741</v>
      </c>
      <c r="B690" s="3" t="s">
        <v>51</v>
      </c>
      <c r="C690" s="3" t="s">
        <v>54</v>
      </c>
      <c r="D690" s="3">
        <v>47885.57</v>
      </c>
      <c r="E690" s="3">
        <v>14365.67</v>
      </c>
      <c r="F690" s="3">
        <v>1081.62</v>
      </c>
      <c r="G690" s="3">
        <v>5908.37</v>
      </c>
      <c r="H690" s="3">
        <v>63332.86</v>
      </c>
      <c r="I690" s="3">
        <v>57424.49</v>
      </c>
      <c r="J690" s="4">
        <v>45658.0</v>
      </c>
      <c r="K690" s="3">
        <v>9.0</v>
      </c>
      <c r="L690" s="3" t="s">
        <v>23</v>
      </c>
    </row>
    <row r="691" ht="15.75" customHeight="1">
      <c r="A691" s="3" t="s">
        <v>742</v>
      </c>
      <c r="B691" s="3" t="s">
        <v>17</v>
      </c>
      <c r="C691" s="3" t="s">
        <v>33</v>
      </c>
      <c r="D691" s="3">
        <v>31549.74</v>
      </c>
      <c r="E691" s="3">
        <v>9464.92</v>
      </c>
      <c r="F691" s="3">
        <v>77.99</v>
      </c>
      <c r="G691" s="3">
        <v>8218.7</v>
      </c>
      <c r="H691" s="3">
        <v>41092.65</v>
      </c>
      <c r="I691" s="3">
        <v>32873.95</v>
      </c>
      <c r="J691" s="4">
        <v>45901.0</v>
      </c>
      <c r="K691" s="3">
        <v>7.0</v>
      </c>
      <c r="L691" s="3" t="s">
        <v>27</v>
      </c>
    </row>
    <row r="692" ht="15.75" customHeight="1">
      <c r="A692" s="3" t="s">
        <v>743</v>
      </c>
      <c r="B692" s="3" t="s">
        <v>25</v>
      </c>
      <c r="C692" s="3" t="s">
        <v>18</v>
      </c>
      <c r="D692" s="3">
        <v>79992.87</v>
      </c>
      <c r="E692" s="3">
        <v>23997.86</v>
      </c>
      <c r="F692" s="3">
        <v>9039.39</v>
      </c>
      <c r="G692" s="3">
        <v>23467.4</v>
      </c>
      <c r="H692" s="3">
        <v>113030.12</v>
      </c>
      <c r="I692" s="3">
        <v>89562.72</v>
      </c>
      <c r="J692" s="4">
        <v>45962.0</v>
      </c>
      <c r="K692" s="3">
        <v>25.0</v>
      </c>
      <c r="L692" s="3" t="s">
        <v>31</v>
      </c>
    </row>
    <row r="693" ht="15.75" customHeight="1">
      <c r="A693" s="3" t="s">
        <v>744</v>
      </c>
      <c r="B693" s="3" t="s">
        <v>25</v>
      </c>
      <c r="C693" s="3" t="s">
        <v>33</v>
      </c>
      <c r="D693" s="3">
        <v>30191.0</v>
      </c>
      <c r="E693" s="3">
        <v>9057.3</v>
      </c>
      <c r="F693" s="3">
        <v>4155.74</v>
      </c>
      <c r="G693" s="3">
        <v>5599.58</v>
      </c>
      <c r="H693" s="3">
        <v>43404.04</v>
      </c>
      <c r="I693" s="3">
        <v>37804.46</v>
      </c>
      <c r="J693" s="4">
        <v>45839.0</v>
      </c>
      <c r="K693" s="3">
        <v>14.0</v>
      </c>
      <c r="L693" s="3" t="s">
        <v>34</v>
      </c>
    </row>
    <row r="694" ht="15.75" customHeight="1">
      <c r="A694" s="3" t="s">
        <v>745</v>
      </c>
      <c r="B694" s="3" t="s">
        <v>13</v>
      </c>
      <c r="C694" s="3" t="s">
        <v>18</v>
      </c>
      <c r="D694" s="3">
        <v>71463.0</v>
      </c>
      <c r="E694" s="3">
        <v>21438.9</v>
      </c>
      <c r="F694" s="3">
        <v>4941.66</v>
      </c>
      <c r="G694" s="3">
        <v>14499.03</v>
      </c>
      <c r="H694" s="3">
        <v>97843.56</v>
      </c>
      <c r="I694" s="3">
        <v>83344.53</v>
      </c>
      <c r="J694" s="4">
        <v>45839.0</v>
      </c>
      <c r="K694" s="3">
        <v>8.0</v>
      </c>
      <c r="L694" s="3" t="s">
        <v>38</v>
      </c>
    </row>
    <row r="695" ht="15.75" customHeight="1">
      <c r="A695" s="3" t="s">
        <v>746</v>
      </c>
      <c r="B695" s="3" t="s">
        <v>51</v>
      </c>
      <c r="C695" s="3" t="s">
        <v>26</v>
      </c>
      <c r="D695" s="3">
        <v>119751.76</v>
      </c>
      <c r="E695" s="3">
        <v>35925.53</v>
      </c>
      <c r="F695" s="3">
        <v>21365.2</v>
      </c>
      <c r="G695" s="3">
        <v>22019.26</v>
      </c>
      <c r="H695" s="3">
        <v>177042.49</v>
      </c>
      <c r="I695" s="3">
        <v>155023.23</v>
      </c>
      <c r="J695" s="4">
        <v>45658.0</v>
      </c>
      <c r="K695" s="3">
        <v>24.0</v>
      </c>
      <c r="L695" s="3" t="s">
        <v>40</v>
      </c>
    </row>
    <row r="696" ht="15.75" customHeight="1">
      <c r="A696" s="3" t="s">
        <v>747</v>
      </c>
      <c r="B696" s="3" t="s">
        <v>13</v>
      </c>
      <c r="C696" s="3" t="s">
        <v>30</v>
      </c>
      <c r="D696" s="3">
        <v>26448.99</v>
      </c>
      <c r="E696" s="3">
        <v>7934.7</v>
      </c>
      <c r="F696" s="3">
        <v>2482.44</v>
      </c>
      <c r="G696" s="3">
        <v>3934.3</v>
      </c>
      <c r="H696" s="3">
        <v>36866.13</v>
      </c>
      <c r="I696" s="3">
        <v>32931.83</v>
      </c>
      <c r="J696" s="4">
        <v>45717.0</v>
      </c>
      <c r="K696" s="3">
        <v>13.0</v>
      </c>
      <c r="L696" s="3" t="s">
        <v>42</v>
      </c>
    </row>
    <row r="697" ht="15.75" customHeight="1">
      <c r="A697" s="3" t="s">
        <v>748</v>
      </c>
      <c r="B697" s="3" t="s">
        <v>17</v>
      </c>
      <c r="C697" s="3" t="s">
        <v>26</v>
      </c>
      <c r="D697" s="3">
        <v>107699.33</v>
      </c>
      <c r="E697" s="3">
        <v>32309.8</v>
      </c>
      <c r="F697" s="3">
        <v>5188.78</v>
      </c>
      <c r="G697" s="3">
        <v>31345.19</v>
      </c>
      <c r="H697" s="3">
        <v>145197.91</v>
      </c>
      <c r="I697" s="3">
        <v>113852.72</v>
      </c>
      <c r="J697" s="4">
        <v>45658.0</v>
      </c>
      <c r="K697" s="3">
        <v>12.0</v>
      </c>
      <c r="L697" s="3" t="s">
        <v>15</v>
      </c>
    </row>
    <row r="698" ht="15.75" customHeight="1">
      <c r="A698" s="3" t="s">
        <v>749</v>
      </c>
      <c r="B698" s="3" t="s">
        <v>53</v>
      </c>
      <c r="C698" s="3" t="s">
        <v>30</v>
      </c>
      <c r="D698" s="3">
        <v>26844.36</v>
      </c>
      <c r="E698" s="3">
        <v>8053.31</v>
      </c>
      <c r="F698" s="3">
        <v>2032.86</v>
      </c>
      <c r="G698" s="3">
        <v>6580.38</v>
      </c>
      <c r="H698" s="3">
        <v>36930.53</v>
      </c>
      <c r="I698" s="3">
        <v>30350.15</v>
      </c>
      <c r="J698" s="4">
        <v>45689.0</v>
      </c>
      <c r="K698" s="3">
        <v>10.0</v>
      </c>
      <c r="L698" s="3" t="s">
        <v>19</v>
      </c>
    </row>
    <row r="699" ht="15.75" customHeight="1">
      <c r="A699" s="3" t="s">
        <v>750</v>
      </c>
      <c r="B699" s="3" t="s">
        <v>36</v>
      </c>
      <c r="C699" s="3" t="s">
        <v>54</v>
      </c>
      <c r="D699" s="3">
        <v>46217.66</v>
      </c>
      <c r="E699" s="3">
        <v>13865.3</v>
      </c>
      <c r="F699" s="3">
        <v>4142.01</v>
      </c>
      <c r="G699" s="3">
        <v>11876.86</v>
      </c>
      <c r="H699" s="3">
        <v>64224.97</v>
      </c>
      <c r="I699" s="3">
        <v>52348.11</v>
      </c>
      <c r="J699" s="4">
        <v>45870.0</v>
      </c>
      <c r="K699" s="3">
        <v>12.0</v>
      </c>
      <c r="L699" s="3" t="s">
        <v>21</v>
      </c>
    </row>
    <row r="700" ht="15.75" customHeight="1">
      <c r="A700" s="3" t="s">
        <v>751</v>
      </c>
      <c r="B700" s="3" t="s">
        <v>29</v>
      </c>
      <c r="C700" s="3" t="s">
        <v>14</v>
      </c>
      <c r="D700" s="3">
        <v>25060.83</v>
      </c>
      <c r="E700" s="3">
        <v>7518.25</v>
      </c>
      <c r="F700" s="3">
        <v>3735.26</v>
      </c>
      <c r="G700" s="3">
        <v>133.59</v>
      </c>
      <c r="H700" s="3">
        <v>24927.24</v>
      </c>
      <c r="I700" s="3">
        <v>29927.24</v>
      </c>
      <c r="J700" s="4">
        <v>45839.0</v>
      </c>
      <c r="K700" s="3">
        <v>3.0</v>
      </c>
      <c r="L700" s="3" t="s">
        <v>23</v>
      </c>
    </row>
    <row r="701" ht="15.75" customHeight="1">
      <c r="A701" s="3" t="s">
        <v>752</v>
      </c>
      <c r="B701" s="3" t="s">
        <v>36</v>
      </c>
      <c r="C701" s="3" t="s">
        <v>14</v>
      </c>
      <c r="D701" s="3">
        <v>22011.34</v>
      </c>
      <c r="E701" s="3">
        <v>6603.4</v>
      </c>
      <c r="F701" s="3">
        <v>0.75</v>
      </c>
      <c r="G701" s="3">
        <v>600.22</v>
      </c>
      <c r="H701" s="3">
        <v>28615.49</v>
      </c>
      <c r="I701" s="3">
        <v>28015.27</v>
      </c>
      <c r="J701" s="4">
        <v>45931.0</v>
      </c>
      <c r="K701" s="3">
        <v>21.0</v>
      </c>
      <c r="L701" s="3" t="s">
        <v>27</v>
      </c>
    </row>
    <row r="702" ht="15.75" customHeight="1">
      <c r="A702" s="3" t="s">
        <v>753</v>
      </c>
      <c r="B702" s="3" t="s">
        <v>53</v>
      </c>
      <c r="C702" s="3" t="s">
        <v>18</v>
      </c>
      <c r="D702" s="3">
        <v>72919.55</v>
      </c>
      <c r="E702" s="3">
        <v>21875.87</v>
      </c>
      <c r="F702" s="3">
        <v>7413.55</v>
      </c>
      <c r="G702" s="3">
        <v>4525.05</v>
      </c>
      <c r="H702" s="3">
        <v>102208.97</v>
      </c>
      <c r="I702" s="3">
        <v>97683.92</v>
      </c>
      <c r="J702" s="4">
        <v>45962.0</v>
      </c>
      <c r="K702" s="3">
        <v>21.0</v>
      </c>
      <c r="L702" s="3" t="s">
        <v>31</v>
      </c>
    </row>
    <row r="703" ht="15.75" customHeight="1">
      <c r="A703" s="3" t="s">
        <v>754</v>
      </c>
      <c r="B703" s="3" t="s">
        <v>36</v>
      </c>
      <c r="C703" s="3" t="s">
        <v>33</v>
      </c>
      <c r="D703" s="3">
        <v>28633.42</v>
      </c>
      <c r="E703" s="3">
        <v>8590.03</v>
      </c>
      <c r="F703" s="3">
        <v>310.82</v>
      </c>
      <c r="G703" s="3">
        <v>1914.87</v>
      </c>
      <c r="H703" s="3">
        <v>37534.27</v>
      </c>
      <c r="I703" s="3">
        <v>35619.4</v>
      </c>
      <c r="J703" s="4">
        <v>45870.0</v>
      </c>
      <c r="K703" s="3">
        <v>21.0</v>
      </c>
      <c r="L703" s="3" t="s">
        <v>34</v>
      </c>
    </row>
    <row r="704" ht="15.75" customHeight="1">
      <c r="A704" s="3" t="s">
        <v>755</v>
      </c>
      <c r="B704" s="3" t="s">
        <v>29</v>
      </c>
      <c r="C704" s="3" t="s">
        <v>37</v>
      </c>
      <c r="D704" s="3">
        <v>58813.5</v>
      </c>
      <c r="E704" s="3">
        <v>17644.05</v>
      </c>
      <c r="F704" s="3">
        <v>7057.05</v>
      </c>
      <c r="G704" s="3">
        <v>12644.75</v>
      </c>
      <c r="H704" s="3">
        <v>83514.6</v>
      </c>
      <c r="I704" s="3">
        <v>70869.85</v>
      </c>
      <c r="J704" s="4">
        <v>45809.0</v>
      </c>
      <c r="K704" s="3">
        <v>16.0</v>
      </c>
      <c r="L704" s="3" t="s">
        <v>38</v>
      </c>
    </row>
    <row r="705" ht="15.75" customHeight="1">
      <c r="A705" s="3" t="s">
        <v>756</v>
      </c>
      <c r="B705" s="3" t="s">
        <v>13</v>
      </c>
      <c r="C705" s="3" t="s">
        <v>54</v>
      </c>
      <c r="D705" s="3">
        <v>36596.33</v>
      </c>
      <c r="E705" s="3">
        <v>10978.9</v>
      </c>
      <c r="F705" s="3">
        <v>5557.66</v>
      </c>
      <c r="G705" s="3">
        <v>2434.54</v>
      </c>
      <c r="H705" s="3">
        <v>53132.89</v>
      </c>
      <c r="I705" s="3">
        <v>50698.35</v>
      </c>
      <c r="J705" s="4">
        <v>45809.0</v>
      </c>
      <c r="K705" s="3">
        <v>1.0</v>
      </c>
      <c r="L705" s="3" t="s">
        <v>40</v>
      </c>
    </row>
    <row r="706" ht="15.75" customHeight="1">
      <c r="A706" s="3" t="s">
        <v>757</v>
      </c>
      <c r="B706" s="3" t="s">
        <v>29</v>
      </c>
      <c r="C706" s="3" t="s">
        <v>26</v>
      </c>
      <c r="D706" s="3">
        <v>112811.8</v>
      </c>
      <c r="E706" s="3">
        <v>33843.54</v>
      </c>
      <c r="F706" s="3">
        <v>18047.92</v>
      </c>
      <c r="G706" s="3">
        <v>18535.79</v>
      </c>
      <c r="H706" s="3">
        <v>164703.26</v>
      </c>
      <c r="I706" s="3">
        <v>146167.47</v>
      </c>
      <c r="J706" s="4">
        <v>45809.0</v>
      </c>
      <c r="K706" s="3">
        <v>13.0</v>
      </c>
      <c r="L706" s="3" t="s">
        <v>42</v>
      </c>
    </row>
    <row r="707" ht="15.75" customHeight="1">
      <c r="A707" s="3" t="s">
        <v>758</v>
      </c>
      <c r="B707" s="3" t="s">
        <v>13</v>
      </c>
      <c r="C707" s="3" t="s">
        <v>18</v>
      </c>
      <c r="D707" s="5"/>
      <c r="E707" s="3">
        <v>22691.84</v>
      </c>
      <c r="F707" s="3">
        <v>3846.86</v>
      </c>
      <c r="G707" s="3">
        <v>4445.82</v>
      </c>
      <c r="H707" s="3">
        <v>102178.18</v>
      </c>
      <c r="I707" s="3">
        <v>97732.36</v>
      </c>
      <c r="J707" s="4">
        <v>45689.0</v>
      </c>
      <c r="K707" s="3">
        <v>18.0</v>
      </c>
      <c r="L707" s="3" t="s">
        <v>19</v>
      </c>
    </row>
    <row r="708" ht="15.75" customHeight="1">
      <c r="A708" s="3" t="s">
        <v>759</v>
      </c>
      <c r="B708" s="3" t="s">
        <v>25</v>
      </c>
      <c r="C708" s="3" t="s">
        <v>54</v>
      </c>
      <c r="D708" s="3">
        <v>38018.25</v>
      </c>
      <c r="E708" s="3">
        <v>11405.48</v>
      </c>
      <c r="F708" s="3">
        <v>6269.62</v>
      </c>
      <c r="G708" s="3">
        <v>2173.64</v>
      </c>
      <c r="H708" s="3">
        <v>55693.35</v>
      </c>
      <c r="I708" s="3">
        <v>53519.71</v>
      </c>
      <c r="J708" s="4">
        <v>45809.0</v>
      </c>
      <c r="K708" s="3">
        <v>21.0</v>
      </c>
      <c r="L708" s="3" t="s">
        <v>21</v>
      </c>
    </row>
    <row r="709" ht="15.75" customHeight="1">
      <c r="A709" s="3" t="s">
        <v>760</v>
      </c>
      <c r="B709" s="3" t="s">
        <v>17</v>
      </c>
      <c r="C709" s="3" t="s">
        <v>26</v>
      </c>
      <c r="D709" s="3">
        <v>104920.93</v>
      </c>
      <c r="E709" s="3">
        <v>31476.28</v>
      </c>
      <c r="F709" s="3">
        <v>19444.5</v>
      </c>
      <c r="G709" s="3">
        <v>26360.32</v>
      </c>
      <c r="H709" s="3">
        <v>155841.71</v>
      </c>
      <c r="I709" s="3">
        <v>129481.39</v>
      </c>
      <c r="J709" s="4">
        <v>45931.0</v>
      </c>
      <c r="K709" s="3">
        <v>15.0</v>
      </c>
      <c r="L709" s="3" t="s">
        <v>23</v>
      </c>
    </row>
    <row r="710" ht="15.75" customHeight="1">
      <c r="A710" s="3" t="s">
        <v>761</v>
      </c>
      <c r="B710" s="3" t="s">
        <v>17</v>
      </c>
      <c r="C710" s="3" t="s">
        <v>26</v>
      </c>
      <c r="D710" s="3">
        <v>122103.16</v>
      </c>
      <c r="E710" s="3">
        <v>36630.95</v>
      </c>
      <c r="F710" s="3">
        <v>11169.7</v>
      </c>
      <c r="G710" s="3">
        <v>21587.21</v>
      </c>
      <c r="H710" s="3">
        <v>169903.81</v>
      </c>
      <c r="I710" s="3">
        <v>148316.6</v>
      </c>
      <c r="J710" s="4">
        <v>45901.0</v>
      </c>
      <c r="K710" s="3">
        <v>20.0</v>
      </c>
      <c r="L710" s="3" t="s">
        <v>27</v>
      </c>
    </row>
    <row r="711" ht="15.75" customHeight="1">
      <c r="A711" s="3" t="s">
        <v>762</v>
      </c>
      <c r="B711" s="3" t="s">
        <v>51</v>
      </c>
      <c r="C711" s="3" t="s">
        <v>54</v>
      </c>
      <c r="D711" s="3">
        <v>35060.73</v>
      </c>
      <c r="E711" s="3">
        <v>10518.22</v>
      </c>
      <c r="F711" s="3">
        <v>5162.44</v>
      </c>
      <c r="G711" s="3">
        <v>5818.96</v>
      </c>
      <c r="H711" s="3">
        <v>50741.39</v>
      </c>
      <c r="I711" s="3">
        <v>44922.43</v>
      </c>
      <c r="J711" s="4">
        <v>45839.0</v>
      </c>
      <c r="K711" s="3">
        <v>17.0</v>
      </c>
      <c r="L711" s="3" t="s">
        <v>31</v>
      </c>
    </row>
    <row r="712" ht="15.75" customHeight="1">
      <c r="A712" s="3" t="s">
        <v>763</v>
      </c>
      <c r="B712" s="3" t="s">
        <v>25</v>
      </c>
      <c r="C712" s="3" t="s">
        <v>37</v>
      </c>
      <c r="D712" s="3">
        <v>53692.78</v>
      </c>
      <c r="E712" s="3">
        <v>16107.83</v>
      </c>
      <c r="F712" s="3">
        <v>5458.76</v>
      </c>
      <c r="G712" s="3">
        <v>14837.93</v>
      </c>
      <c r="H712" s="3">
        <v>75259.37</v>
      </c>
      <c r="I712" s="3">
        <v>60421.44</v>
      </c>
      <c r="J712" s="4">
        <v>45717.0</v>
      </c>
      <c r="K712" s="3">
        <v>5.0</v>
      </c>
      <c r="L712" s="3" t="s">
        <v>34</v>
      </c>
    </row>
    <row r="713" ht="15.75" customHeight="1">
      <c r="A713" s="3" t="s">
        <v>764</v>
      </c>
      <c r="B713" s="3" t="s">
        <v>13</v>
      </c>
      <c r="C713" s="3" t="s">
        <v>37</v>
      </c>
      <c r="D713" s="3">
        <v>48125.7</v>
      </c>
      <c r="E713" s="3">
        <v>14437.71</v>
      </c>
      <c r="F713" s="3">
        <v>7846.84</v>
      </c>
      <c r="G713" s="3">
        <v>1495.08</v>
      </c>
      <c r="H713" s="3">
        <v>70410.25</v>
      </c>
      <c r="I713" s="3">
        <v>68915.17</v>
      </c>
      <c r="J713" s="4">
        <v>45962.0</v>
      </c>
      <c r="K713" s="3">
        <v>6.0</v>
      </c>
      <c r="L713" s="3" t="s">
        <v>38</v>
      </c>
    </row>
    <row r="714" ht="15.75" customHeight="1">
      <c r="A714" s="3" t="s">
        <v>765</v>
      </c>
      <c r="B714" s="3" t="s">
        <v>53</v>
      </c>
      <c r="C714" s="3" t="s">
        <v>37</v>
      </c>
      <c r="D714" s="3">
        <v>60888.53</v>
      </c>
      <c r="E714" s="3">
        <v>18266.56</v>
      </c>
      <c r="F714" s="3">
        <v>6138.9</v>
      </c>
      <c r="G714" s="3">
        <v>7026.46</v>
      </c>
      <c r="H714" s="3">
        <v>85293.99</v>
      </c>
      <c r="I714" s="3">
        <v>78267.53</v>
      </c>
      <c r="J714" s="3" t="s">
        <v>766</v>
      </c>
      <c r="K714" s="3">
        <v>7.0</v>
      </c>
      <c r="L714" s="3" t="s">
        <v>40</v>
      </c>
    </row>
    <row r="715" ht="15.75" customHeight="1">
      <c r="A715" s="3" t="s">
        <v>767</v>
      </c>
      <c r="B715" s="3" t="s">
        <v>13</v>
      </c>
      <c r="C715" s="3" t="s">
        <v>26</v>
      </c>
      <c r="D715" s="3">
        <v>98936.6</v>
      </c>
      <c r="E715" s="3">
        <v>29680.98</v>
      </c>
      <c r="F715" s="3">
        <v>7872.78</v>
      </c>
      <c r="G715" s="3">
        <v>10176.39</v>
      </c>
      <c r="H715" s="3">
        <v>136490.36</v>
      </c>
      <c r="I715" s="3">
        <v>126313.97</v>
      </c>
      <c r="J715" s="4">
        <v>45778.0</v>
      </c>
      <c r="K715" s="3">
        <v>24.0</v>
      </c>
      <c r="L715" s="3" t="s">
        <v>42</v>
      </c>
    </row>
    <row r="716" ht="15.75" customHeight="1">
      <c r="A716" s="3" t="s">
        <v>768</v>
      </c>
      <c r="B716" s="3" t="s">
        <v>53</v>
      </c>
      <c r="C716" s="3" t="s">
        <v>33</v>
      </c>
      <c r="D716" s="5"/>
      <c r="E716" s="3">
        <v>10029.22</v>
      </c>
      <c r="F716" s="3">
        <v>3662.71</v>
      </c>
      <c r="G716" s="3">
        <v>3148.28</v>
      </c>
      <c r="H716" s="3">
        <v>47122.67</v>
      </c>
      <c r="I716" s="3">
        <v>43974.39</v>
      </c>
      <c r="J716" s="4">
        <v>45992.0</v>
      </c>
      <c r="K716" s="3">
        <v>20.0</v>
      </c>
      <c r="L716" s="3" t="s">
        <v>19</v>
      </c>
    </row>
    <row r="717" ht="15.75" customHeight="1">
      <c r="A717" s="3" t="s">
        <v>769</v>
      </c>
      <c r="B717" s="3" t="s">
        <v>53</v>
      </c>
      <c r="C717" s="3" t="s">
        <v>18</v>
      </c>
      <c r="D717" s="3">
        <v>70650.91</v>
      </c>
      <c r="E717" s="3">
        <v>21195.27</v>
      </c>
      <c r="F717" s="3">
        <v>2963.28</v>
      </c>
      <c r="G717" s="3">
        <v>15141.58</v>
      </c>
      <c r="H717" s="3">
        <v>94809.46</v>
      </c>
      <c r="I717" s="3">
        <v>79667.88</v>
      </c>
      <c r="J717" s="4">
        <v>45962.0</v>
      </c>
      <c r="K717" s="3">
        <v>11.0</v>
      </c>
      <c r="L717" s="3" t="s">
        <v>21</v>
      </c>
    </row>
    <row r="718" ht="15.75" customHeight="1">
      <c r="A718" s="3" t="s">
        <v>770</v>
      </c>
      <c r="B718" s="3" t="s">
        <v>29</v>
      </c>
      <c r="C718" s="3" t="s">
        <v>18</v>
      </c>
      <c r="D718" s="3">
        <v>68449.46</v>
      </c>
      <c r="E718" s="3">
        <v>20534.84</v>
      </c>
      <c r="F718" s="3">
        <v>9725.25</v>
      </c>
      <c r="G718" s="3">
        <v>20025.15</v>
      </c>
      <c r="H718" s="3">
        <v>98709.55</v>
      </c>
      <c r="I718" s="3">
        <v>78684.4</v>
      </c>
      <c r="J718" s="4">
        <v>45717.0</v>
      </c>
      <c r="K718" s="3">
        <v>2.0</v>
      </c>
      <c r="L718" s="3" t="s">
        <v>23</v>
      </c>
    </row>
    <row r="719" ht="15.75" customHeight="1">
      <c r="A719" s="3" t="s">
        <v>771</v>
      </c>
      <c r="B719" s="3" t="s">
        <v>53</v>
      </c>
      <c r="C719" s="3" t="s">
        <v>37</v>
      </c>
      <c r="D719" s="3">
        <v>57497.62</v>
      </c>
      <c r="E719" s="3">
        <v>17249.29</v>
      </c>
      <c r="F719" s="3">
        <v>3707.23</v>
      </c>
      <c r="G719" s="3">
        <v>1990.66</v>
      </c>
      <c r="H719" s="3">
        <v>78454.14</v>
      </c>
      <c r="I719" s="3">
        <v>76463.48</v>
      </c>
      <c r="J719" s="4">
        <v>45809.0</v>
      </c>
      <c r="K719" s="3">
        <v>14.0</v>
      </c>
      <c r="L719" s="3" t="s">
        <v>27</v>
      </c>
    </row>
    <row r="720" ht="15.75" customHeight="1">
      <c r="A720" s="3" t="s">
        <v>772</v>
      </c>
      <c r="B720" s="3" t="s">
        <v>53</v>
      </c>
      <c r="C720" s="3" t="s">
        <v>54</v>
      </c>
      <c r="D720" s="3">
        <v>43159.29</v>
      </c>
      <c r="E720" s="3">
        <v>12947.79</v>
      </c>
      <c r="F720" s="3">
        <v>8137.03</v>
      </c>
      <c r="G720" s="3">
        <v>9194.53</v>
      </c>
      <c r="H720" s="3">
        <v>64244.11</v>
      </c>
      <c r="I720" s="3">
        <v>55049.58</v>
      </c>
      <c r="J720" s="4">
        <v>45962.0</v>
      </c>
      <c r="K720" s="3">
        <v>15.0</v>
      </c>
      <c r="L720" s="3" t="s">
        <v>31</v>
      </c>
    </row>
    <row r="721" ht="15.75" customHeight="1">
      <c r="A721" s="3" t="s">
        <v>773</v>
      </c>
      <c r="B721" s="3" t="s">
        <v>13</v>
      </c>
      <c r="C721" s="3" t="s">
        <v>26</v>
      </c>
      <c r="D721" s="3">
        <v>109220.5</v>
      </c>
      <c r="E721" s="3">
        <v>32766.15</v>
      </c>
      <c r="F721" s="3">
        <v>19167.7</v>
      </c>
      <c r="G721" s="3">
        <v>13839.98</v>
      </c>
      <c r="H721" s="3">
        <v>161154.35</v>
      </c>
      <c r="I721" s="3">
        <v>147314.37</v>
      </c>
      <c r="J721" s="4">
        <v>45658.0</v>
      </c>
      <c r="K721" s="3">
        <v>7.0</v>
      </c>
      <c r="L721" s="3" t="s">
        <v>34</v>
      </c>
    </row>
    <row r="722" ht="15.75" customHeight="1">
      <c r="A722" s="3" t="s">
        <v>774</v>
      </c>
      <c r="B722" s="3" t="s">
        <v>53</v>
      </c>
      <c r="C722" s="3" t="s">
        <v>14</v>
      </c>
      <c r="D722" s="3">
        <v>18181.96</v>
      </c>
      <c r="E722" s="3">
        <v>5454.59</v>
      </c>
      <c r="F722" s="3">
        <v>528.46</v>
      </c>
      <c r="G722" s="3">
        <v>3655.96</v>
      </c>
      <c r="H722" s="3">
        <v>24165.01</v>
      </c>
      <c r="I722" s="3">
        <v>20509.05</v>
      </c>
      <c r="J722" s="4">
        <v>45748.0</v>
      </c>
      <c r="K722" s="3">
        <v>12.0</v>
      </c>
      <c r="L722" s="3" t="s">
        <v>38</v>
      </c>
    </row>
    <row r="723" ht="15.75" customHeight="1">
      <c r="A723" s="3" t="s">
        <v>775</v>
      </c>
      <c r="B723" s="3" t="s">
        <v>29</v>
      </c>
      <c r="C723" s="3" t="s">
        <v>26</v>
      </c>
      <c r="D723" s="3">
        <v>118279.16</v>
      </c>
      <c r="E723" s="3">
        <v>35483.75</v>
      </c>
      <c r="F723" s="3">
        <v>23266.28</v>
      </c>
      <c r="G723" s="3">
        <v>24249.25</v>
      </c>
      <c r="H723" s="3">
        <v>177029.19</v>
      </c>
      <c r="I723" s="3">
        <v>152779.94</v>
      </c>
      <c r="J723" s="4">
        <v>45717.0</v>
      </c>
      <c r="K723" s="3">
        <v>17.0</v>
      </c>
      <c r="L723" s="3" t="s">
        <v>40</v>
      </c>
    </row>
    <row r="724" ht="15.75" customHeight="1">
      <c r="A724" s="3" t="s">
        <v>776</v>
      </c>
      <c r="B724" s="3" t="s">
        <v>25</v>
      </c>
      <c r="C724" s="3" t="s">
        <v>14</v>
      </c>
      <c r="D724" s="3">
        <v>22972.28</v>
      </c>
      <c r="E724" s="3">
        <v>6891.68</v>
      </c>
      <c r="F724" s="3">
        <v>1356.01</v>
      </c>
      <c r="G724" s="3">
        <v>5193.53</v>
      </c>
      <c r="H724" s="3">
        <v>31219.97</v>
      </c>
      <c r="I724" s="3">
        <v>26026.44</v>
      </c>
      <c r="J724" s="4">
        <v>45658.0</v>
      </c>
      <c r="K724" s="3">
        <v>10.0</v>
      </c>
      <c r="L724" s="3" t="s">
        <v>42</v>
      </c>
    </row>
    <row r="725" ht="15.75" customHeight="1">
      <c r="A725" s="3" t="s">
        <v>777</v>
      </c>
      <c r="B725" s="3" t="s">
        <v>29</v>
      </c>
      <c r="C725" s="3" t="s">
        <v>26</v>
      </c>
      <c r="D725" s="3">
        <v>106293.4</v>
      </c>
      <c r="E725" s="3">
        <v>31888.02</v>
      </c>
      <c r="F725" s="3">
        <v>13097.66</v>
      </c>
      <c r="G725" s="3">
        <v>21541.19</v>
      </c>
      <c r="H725" s="3">
        <v>151279.08</v>
      </c>
      <c r="I725" s="3">
        <v>129737.89</v>
      </c>
      <c r="J725" s="4">
        <v>45901.0</v>
      </c>
      <c r="K725" s="3">
        <v>4.0</v>
      </c>
      <c r="L725" s="3" t="s">
        <v>15</v>
      </c>
    </row>
    <row r="726" ht="15.75" customHeight="1">
      <c r="A726" s="3" t="s">
        <v>778</v>
      </c>
      <c r="B726" s="3" t="s">
        <v>25</v>
      </c>
      <c r="C726" s="3" t="s">
        <v>30</v>
      </c>
      <c r="D726" s="3">
        <v>28533.23</v>
      </c>
      <c r="E726" s="3">
        <v>8559.97</v>
      </c>
      <c r="F726" s="3">
        <v>3202.97</v>
      </c>
      <c r="G726" s="3">
        <v>2033.81</v>
      </c>
      <c r="H726" s="3">
        <v>40296.17</v>
      </c>
      <c r="I726" s="3">
        <v>38262.36</v>
      </c>
      <c r="J726" s="4">
        <v>45992.0</v>
      </c>
      <c r="K726" s="3">
        <v>15.0</v>
      </c>
      <c r="L726" s="3" t="s">
        <v>19</v>
      </c>
    </row>
    <row r="727" ht="15.75" customHeight="1">
      <c r="A727" s="3" t="s">
        <v>779</v>
      </c>
      <c r="B727" s="3" t="s">
        <v>29</v>
      </c>
      <c r="C727" s="3" t="s">
        <v>18</v>
      </c>
      <c r="D727" s="3">
        <v>82276.83</v>
      </c>
      <c r="E727" s="3">
        <v>24683.05</v>
      </c>
      <c r="F727" s="3">
        <v>15245.65</v>
      </c>
      <c r="G727" s="3">
        <v>9566.03</v>
      </c>
      <c r="H727" s="3">
        <v>122205.53</v>
      </c>
      <c r="I727" s="3">
        <v>112639.5</v>
      </c>
      <c r="J727" s="4">
        <v>45962.0</v>
      </c>
      <c r="K727" s="3">
        <v>14.0</v>
      </c>
      <c r="L727" s="3" t="s">
        <v>21</v>
      </c>
    </row>
    <row r="728" ht="15.75" customHeight="1">
      <c r="A728" s="3" t="s">
        <v>780</v>
      </c>
      <c r="B728" s="3" t="s">
        <v>29</v>
      </c>
      <c r="C728" s="3" t="s">
        <v>37</v>
      </c>
      <c r="D728" s="3">
        <v>45968.44</v>
      </c>
      <c r="E728" s="3">
        <v>13790.53</v>
      </c>
      <c r="F728" s="3">
        <v>6837.07</v>
      </c>
      <c r="G728" s="3">
        <v>2800.68</v>
      </c>
      <c r="H728" s="3">
        <v>66596.04</v>
      </c>
      <c r="I728" s="3">
        <v>63795.36</v>
      </c>
      <c r="J728" s="4">
        <v>45870.0</v>
      </c>
      <c r="K728" s="3">
        <v>11.0</v>
      </c>
      <c r="L728" s="3" t="s">
        <v>23</v>
      </c>
    </row>
    <row r="729" ht="15.75" customHeight="1">
      <c r="A729" s="3" t="s">
        <v>781</v>
      </c>
      <c r="B729" s="3" t="s">
        <v>25</v>
      </c>
      <c r="C729" s="3" t="s">
        <v>30</v>
      </c>
      <c r="D729" s="3">
        <v>30021.08</v>
      </c>
      <c r="E729" s="3">
        <v>9006.32</v>
      </c>
      <c r="F729" s="3">
        <v>4230.75</v>
      </c>
      <c r="G729" s="3">
        <v>5832.79</v>
      </c>
      <c r="H729" s="3">
        <v>43258.15</v>
      </c>
      <c r="I729" s="3">
        <v>37425.36</v>
      </c>
      <c r="J729" s="4">
        <v>45931.0</v>
      </c>
      <c r="K729" s="3">
        <v>9.0</v>
      </c>
      <c r="L729" s="3" t="s">
        <v>27</v>
      </c>
    </row>
    <row r="730" ht="15.75" customHeight="1">
      <c r="A730" s="3" t="s">
        <v>782</v>
      </c>
      <c r="B730" s="3" t="s">
        <v>53</v>
      </c>
      <c r="C730" s="3" t="s">
        <v>18</v>
      </c>
      <c r="D730" s="3">
        <v>80688.06</v>
      </c>
      <c r="E730" s="3">
        <v>24206.42</v>
      </c>
      <c r="F730" s="3">
        <v>12525.16</v>
      </c>
      <c r="G730" s="3">
        <v>23342.0</v>
      </c>
      <c r="H730" s="3">
        <v>117419.64</v>
      </c>
      <c r="I730" s="3">
        <v>94077.64</v>
      </c>
      <c r="J730" s="4">
        <v>45778.0</v>
      </c>
      <c r="K730" s="3">
        <v>5.0</v>
      </c>
      <c r="L730" s="3" t="s">
        <v>31</v>
      </c>
    </row>
    <row r="731" ht="15.75" customHeight="1">
      <c r="A731" s="3" t="s">
        <v>783</v>
      </c>
      <c r="B731" s="3" t="s">
        <v>36</v>
      </c>
      <c r="C731" s="3" t="s">
        <v>30</v>
      </c>
      <c r="D731" s="3">
        <v>30654.39</v>
      </c>
      <c r="E731" s="3">
        <v>9196.32</v>
      </c>
      <c r="F731" s="3">
        <v>456.56</v>
      </c>
      <c r="G731" s="3">
        <v>8851.23</v>
      </c>
      <c r="H731" s="3">
        <v>40307.27</v>
      </c>
      <c r="I731" s="3">
        <v>31456.04</v>
      </c>
      <c r="J731" s="4">
        <v>45992.0</v>
      </c>
      <c r="K731" s="3">
        <v>6.0</v>
      </c>
      <c r="L731" s="3" t="s">
        <v>34</v>
      </c>
    </row>
    <row r="732" ht="15.75" customHeight="1">
      <c r="A732" s="3" t="s">
        <v>784</v>
      </c>
      <c r="B732" s="3" t="s">
        <v>53</v>
      </c>
      <c r="C732" s="3" t="s">
        <v>14</v>
      </c>
      <c r="D732" s="3">
        <v>20715.83</v>
      </c>
      <c r="E732" s="3">
        <v>6214.75</v>
      </c>
      <c r="F732" s="3">
        <v>1775.38</v>
      </c>
      <c r="G732" s="3">
        <v>3459.12</v>
      </c>
      <c r="H732" s="3">
        <v>28705.96</v>
      </c>
      <c r="I732" s="3">
        <v>25246.84</v>
      </c>
      <c r="J732" s="3" t="s">
        <v>785</v>
      </c>
      <c r="K732" s="3">
        <v>13.0</v>
      </c>
      <c r="L732" s="3" t="s">
        <v>38</v>
      </c>
    </row>
    <row r="733" ht="15.75" customHeight="1">
      <c r="A733" s="3" t="s">
        <v>786</v>
      </c>
      <c r="B733" s="3" t="s">
        <v>51</v>
      </c>
      <c r="C733" s="3" t="s">
        <v>37</v>
      </c>
      <c r="D733" s="3">
        <v>60228.26</v>
      </c>
      <c r="E733" s="3">
        <v>18068.48</v>
      </c>
      <c r="F733" s="3">
        <v>68.0</v>
      </c>
      <c r="G733" s="3">
        <v>8425.9</v>
      </c>
      <c r="H733" s="3">
        <v>78364.74</v>
      </c>
      <c r="I733" s="3">
        <v>69938.84</v>
      </c>
      <c r="J733" s="4">
        <v>45717.0</v>
      </c>
      <c r="K733" s="3">
        <v>8.0</v>
      </c>
      <c r="L733" s="3" t="s">
        <v>40</v>
      </c>
    </row>
    <row r="734" ht="15.75" customHeight="1">
      <c r="A734" s="3" t="s">
        <v>787</v>
      </c>
      <c r="B734" s="3" t="s">
        <v>17</v>
      </c>
      <c r="C734" s="3" t="s">
        <v>30</v>
      </c>
      <c r="D734" s="3">
        <v>30171.93</v>
      </c>
      <c r="E734" s="3">
        <v>9051.58</v>
      </c>
      <c r="F734" s="3">
        <v>3601.81</v>
      </c>
      <c r="G734" s="3">
        <v>7002.85</v>
      </c>
      <c r="H734" s="3">
        <v>42825.32</v>
      </c>
      <c r="I734" s="3">
        <v>35822.47</v>
      </c>
      <c r="J734" s="3" t="s">
        <v>788</v>
      </c>
      <c r="K734" s="3">
        <v>22.0</v>
      </c>
      <c r="L734" s="3" t="s">
        <v>42</v>
      </c>
    </row>
    <row r="735" ht="15.75" customHeight="1">
      <c r="A735" s="3" t="s">
        <v>789</v>
      </c>
      <c r="B735" s="3" t="s">
        <v>53</v>
      </c>
      <c r="C735" s="3" t="s">
        <v>26</v>
      </c>
      <c r="D735" s="3">
        <v>113828.05</v>
      </c>
      <c r="E735" s="3">
        <v>34148.42</v>
      </c>
      <c r="F735" s="3">
        <v>11167.69</v>
      </c>
      <c r="G735" s="3">
        <v>19556.01</v>
      </c>
      <c r="H735" s="3">
        <v>159144.16</v>
      </c>
      <c r="I735" s="3">
        <v>139588.15</v>
      </c>
      <c r="J735" s="4">
        <v>45809.0</v>
      </c>
      <c r="K735" s="3">
        <v>21.0</v>
      </c>
      <c r="L735" s="3" t="s">
        <v>15</v>
      </c>
    </row>
    <row r="736" ht="15.75" customHeight="1">
      <c r="A736" s="3" t="s">
        <v>790</v>
      </c>
      <c r="B736" s="3" t="s">
        <v>17</v>
      </c>
      <c r="C736" s="3" t="s">
        <v>26</v>
      </c>
      <c r="D736" s="3">
        <v>115476.54</v>
      </c>
      <c r="E736" s="3">
        <v>34642.96</v>
      </c>
      <c r="F736" s="3">
        <v>12134.16</v>
      </c>
      <c r="G736" s="3">
        <v>33152.89</v>
      </c>
      <c r="H736" s="3">
        <v>162253.66</v>
      </c>
      <c r="I736" s="3">
        <v>129100.77</v>
      </c>
      <c r="J736" s="4">
        <v>45901.0</v>
      </c>
      <c r="K736" s="3">
        <v>7.0</v>
      </c>
      <c r="L736" s="3" t="s">
        <v>19</v>
      </c>
    </row>
    <row r="737" ht="15.75" customHeight="1">
      <c r="A737" s="3" t="s">
        <v>791</v>
      </c>
      <c r="B737" s="3" t="s">
        <v>17</v>
      </c>
      <c r="C737" s="3" t="s">
        <v>26</v>
      </c>
      <c r="D737" s="3">
        <v>108185.05</v>
      </c>
      <c r="E737" s="3">
        <v>32455.51</v>
      </c>
      <c r="F737" s="3">
        <v>8999.51</v>
      </c>
      <c r="G737" s="3">
        <v>17429.78</v>
      </c>
      <c r="H737" s="3">
        <v>149640.07</v>
      </c>
      <c r="I737" s="3">
        <v>132210.29</v>
      </c>
      <c r="J737" s="4">
        <v>45689.0</v>
      </c>
      <c r="K737" s="3">
        <v>12.0</v>
      </c>
      <c r="L737" s="3" t="s">
        <v>21</v>
      </c>
    </row>
    <row r="738" ht="15.75" customHeight="1">
      <c r="A738" s="3" t="s">
        <v>792</v>
      </c>
      <c r="B738" s="3" t="s">
        <v>29</v>
      </c>
      <c r="C738" s="3" t="s">
        <v>30</v>
      </c>
      <c r="D738" s="3">
        <v>29773.89</v>
      </c>
      <c r="E738" s="3">
        <v>8932.17</v>
      </c>
      <c r="F738" s="3">
        <v>3950.01</v>
      </c>
      <c r="G738" s="3">
        <v>2957.14</v>
      </c>
      <c r="H738" s="3">
        <v>42656.07</v>
      </c>
      <c r="I738" s="3">
        <v>39698.93</v>
      </c>
      <c r="J738" s="4">
        <v>45778.0</v>
      </c>
      <c r="K738" s="3">
        <v>16.0</v>
      </c>
      <c r="L738" s="3" t="s">
        <v>23</v>
      </c>
    </row>
    <row r="739" ht="15.75" customHeight="1">
      <c r="A739" s="3" t="s">
        <v>793</v>
      </c>
      <c r="B739" s="3" t="s">
        <v>51</v>
      </c>
      <c r="C739" s="3" t="s">
        <v>26</v>
      </c>
      <c r="D739" s="3">
        <v>112258.1</v>
      </c>
      <c r="E739" s="3">
        <v>33677.43</v>
      </c>
      <c r="F739" s="3">
        <v>10661.31</v>
      </c>
      <c r="G739" s="3">
        <v>18904.31</v>
      </c>
      <c r="H739" s="3">
        <v>156596.84</v>
      </c>
      <c r="I739" s="3">
        <v>137692.53</v>
      </c>
      <c r="J739" s="4">
        <v>45962.0</v>
      </c>
      <c r="K739" s="3">
        <v>2.0</v>
      </c>
      <c r="L739" s="3" t="s">
        <v>27</v>
      </c>
    </row>
    <row r="740" ht="15.75" customHeight="1">
      <c r="A740" s="3" t="s">
        <v>794</v>
      </c>
      <c r="B740" s="3" t="s">
        <v>53</v>
      </c>
      <c r="C740" s="3" t="s">
        <v>30</v>
      </c>
      <c r="D740" s="3">
        <v>30438.29</v>
      </c>
      <c r="E740" s="3">
        <v>9131.49</v>
      </c>
      <c r="F740" s="3">
        <v>4155.14</v>
      </c>
      <c r="G740" s="3">
        <v>2930.63</v>
      </c>
      <c r="H740" s="3">
        <v>43724.92</v>
      </c>
      <c r="I740" s="3">
        <v>40794.29</v>
      </c>
      <c r="J740" s="4">
        <v>45689.0</v>
      </c>
      <c r="K740" s="3">
        <v>3.0</v>
      </c>
      <c r="L740" s="3" t="s">
        <v>34</v>
      </c>
    </row>
    <row r="741" ht="15.75" customHeight="1">
      <c r="A741" s="3" t="s">
        <v>795</v>
      </c>
      <c r="B741" s="3" t="s">
        <v>36</v>
      </c>
      <c r="C741" s="3" t="s">
        <v>33</v>
      </c>
      <c r="D741" s="3">
        <v>30402.37</v>
      </c>
      <c r="E741" s="3">
        <v>9120.71</v>
      </c>
      <c r="F741" s="3">
        <v>1719.73</v>
      </c>
      <c r="G741" s="3">
        <v>8312.03</v>
      </c>
      <c r="H741" s="3">
        <v>41242.81</v>
      </c>
      <c r="I741" s="3">
        <v>32930.78</v>
      </c>
      <c r="J741" s="4">
        <v>45809.0</v>
      </c>
      <c r="K741" s="3">
        <v>15.0</v>
      </c>
      <c r="L741" s="3" t="s">
        <v>38</v>
      </c>
    </row>
    <row r="742" ht="15.75" customHeight="1">
      <c r="A742" s="3" t="s">
        <v>796</v>
      </c>
      <c r="B742" s="3" t="s">
        <v>53</v>
      </c>
      <c r="C742" s="3" t="s">
        <v>26</v>
      </c>
      <c r="D742" s="3">
        <v>108314.48</v>
      </c>
      <c r="E742" s="3">
        <v>32494.34</v>
      </c>
      <c r="F742" s="3">
        <v>10545.6</v>
      </c>
      <c r="G742" s="3">
        <v>9632.43</v>
      </c>
      <c r="H742" s="3">
        <v>151354.42</v>
      </c>
      <c r="I742" s="3">
        <v>141721.99</v>
      </c>
      <c r="J742" s="4">
        <v>45962.0</v>
      </c>
      <c r="K742" s="3">
        <v>3.0</v>
      </c>
      <c r="L742" s="3" t="s">
        <v>40</v>
      </c>
    </row>
    <row r="743" ht="15.75" customHeight="1">
      <c r="A743" s="3" t="s">
        <v>797</v>
      </c>
      <c r="B743" s="3" t="s">
        <v>51</v>
      </c>
      <c r="C743" s="3" t="s">
        <v>33</v>
      </c>
      <c r="D743" s="3">
        <v>30138.95</v>
      </c>
      <c r="E743" s="3">
        <v>9041.68</v>
      </c>
      <c r="F743" s="3">
        <v>5715.62</v>
      </c>
      <c r="G743" s="3">
        <v>1513.53</v>
      </c>
      <c r="H743" s="3">
        <v>44896.25</v>
      </c>
      <c r="I743" s="3">
        <v>43382.72</v>
      </c>
      <c r="J743" s="4">
        <v>45901.0</v>
      </c>
      <c r="K743" s="3">
        <v>8.0</v>
      </c>
      <c r="L743" s="3" t="s">
        <v>42</v>
      </c>
    </row>
    <row r="744" ht="15.75" customHeight="1">
      <c r="A744" s="3" t="s">
        <v>798</v>
      </c>
      <c r="B744" s="3" t="s">
        <v>53</v>
      </c>
      <c r="C744" s="3" t="s">
        <v>14</v>
      </c>
      <c r="D744" s="3">
        <v>22513.92</v>
      </c>
      <c r="E744" s="3">
        <v>6754.18</v>
      </c>
      <c r="F744" s="3">
        <v>949.1</v>
      </c>
      <c r="G744" s="3">
        <v>4251.85</v>
      </c>
      <c r="H744" s="3">
        <v>30217.2</v>
      </c>
      <c r="I744" s="3">
        <v>25965.35</v>
      </c>
      <c r="J744" s="4">
        <v>45748.0</v>
      </c>
      <c r="K744" s="3">
        <v>4.0</v>
      </c>
      <c r="L744" s="3" t="s">
        <v>15</v>
      </c>
    </row>
    <row r="745" ht="15.75" customHeight="1">
      <c r="A745" s="3" t="s">
        <v>799</v>
      </c>
      <c r="B745" s="3" t="s">
        <v>25</v>
      </c>
      <c r="C745" s="3" t="s">
        <v>18</v>
      </c>
      <c r="D745" s="3">
        <v>76029.45</v>
      </c>
      <c r="E745" s="3">
        <v>22808.83</v>
      </c>
      <c r="F745" s="3">
        <v>1580.3</v>
      </c>
      <c r="G745" s="3">
        <v>12265.55</v>
      </c>
      <c r="H745" s="3">
        <v>100418.58</v>
      </c>
      <c r="I745" s="3">
        <v>88153.03</v>
      </c>
      <c r="J745" s="4">
        <v>45992.0</v>
      </c>
      <c r="K745" s="3">
        <v>2.0</v>
      </c>
      <c r="L745" s="3" t="s">
        <v>19</v>
      </c>
    </row>
    <row r="746" ht="15.75" customHeight="1">
      <c r="A746" s="3" t="s">
        <v>800</v>
      </c>
      <c r="B746" s="3" t="s">
        <v>13</v>
      </c>
      <c r="C746" s="3" t="s">
        <v>26</v>
      </c>
      <c r="D746" s="3">
        <v>105668.56</v>
      </c>
      <c r="E746" s="3">
        <v>31700.57</v>
      </c>
      <c r="F746" s="3">
        <v>17261.05</v>
      </c>
      <c r="G746" s="3">
        <v>2286.26</v>
      </c>
      <c r="H746" s="3">
        <v>154630.18</v>
      </c>
      <c r="I746" s="3">
        <v>152343.92</v>
      </c>
      <c r="J746" s="4">
        <v>45962.0</v>
      </c>
      <c r="K746" s="3">
        <v>8.0</v>
      </c>
      <c r="L746" s="3" t="s">
        <v>21</v>
      </c>
    </row>
    <row r="747" ht="15.75" customHeight="1">
      <c r="A747" s="3" t="s">
        <v>801</v>
      </c>
      <c r="B747" s="3" t="s">
        <v>51</v>
      </c>
      <c r="C747" s="3" t="s">
        <v>14</v>
      </c>
      <c r="D747" s="3">
        <v>21306.42</v>
      </c>
      <c r="E747" s="3">
        <v>6391.93</v>
      </c>
      <c r="F747" s="3">
        <v>1413.53</v>
      </c>
      <c r="G747" s="3">
        <v>559.43</v>
      </c>
      <c r="H747" s="3">
        <v>29111.88</v>
      </c>
      <c r="I747" s="3">
        <v>28552.45</v>
      </c>
      <c r="J747" s="4">
        <v>45658.0</v>
      </c>
      <c r="K747" s="3">
        <v>17.0</v>
      </c>
      <c r="L747" s="3" t="s">
        <v>23</v>
      </c>
    </row>
    <row r="748" ht="15.75" customHeight="1">
      <c r="A748" s="3" t="s">
        <v>802</v>
      </c>
      <c r="B748" s="3" t="s">
        <v>51</v>
      </c>
      <c r="C748" s="3" t="s">
        <v>26</v>
      </c>
      <c r="D748" s="3">
        <v>99068.69</v>
      </c>
      <c r="E748" s="3">
        <v>29720.61</v>
      </c>
      <c r="F748" s="3">
        <v>1395.72</v>
      </c>
      <c r="G748" s="3">
        <v>24419.02</v>
      </c>
      <c r="H748" s="3">
        <v>130185.02</v>
      </c>
      <c r="I748" s="3">
        <v>105766.0</v>
      </c>
      <c r="J748" s="4">
        <v>45778.0</v>
      </c>
      <c r="K748" s="3">
        <v>23.0</v>
      </c>
      <c r="L748" s="3" t="s">
        <v>27</v>
      </c>
    </row>
    <row r="749" ht="15.75" customHeight="1">
      <c r="A749" s="3" t="s">
        <v>803</v>
      </c>
      <c r="B749" s="3" t="s">
        <v>36</v>
      </c>
      <c r="C749" s="3" t="s">
        <v>54</v>
      </c>
      <c r="D749" s="3">
        <v>41315.76</v>
      </c>
      <c r="E749" s="3">
        <v>12394.73</v>
      </c>
      <c r="F749" s="3">
        <v>3342.02</v>
      </c>
      <c r="G749" s="3">
        <v>3921.74</v>
      </c>
      <c r="H749" s="3">
        <v>57052.51</v>
      </c>
      <c r="I749" s="3">
        <v>53130.77</v>
      </c>
      <c r="J749" s="4">
        <v>45839.0</v>
      </c>
      <c r="K749" s="3">
        <v>23.0</v>
      </c>
      <c r="L749" s="3" t="s">
        <v>31</v>
      </c>
    </row>
    <row r="750" ht="15.75" customHeight="1">
      <c r="A750" s="3" t="s">
        <v>804</v>
      </c>
      <c r="B750" s="3" t="s">
        <v>13</v>
      </c>
      <c r="C750" s="3" t="s">
        <v>14</v>
      </c>
      <c r="D750" s="3">
        <v>21850.81</v>
      </c>
      <c r="E750" s="3">
        <v>6555.24</v>
      </c>
      <c r="F750" s="3">
        <v>2803.12</v>
      </c>
      <c r="G750" s="3">
        <v>4053.43</v>
      </c>
      <c r="H750" s="3">
        <v>31209.17</v>
      </c>
      <c r="I750" s="3">
        <v>27155.74</v>
      </c>
      <c r="J750" s="4">
        <v>45992.0</v>
      </c>
      <c r="K750" s="3">
        <v>23.0</v>
      </c>
      <c r="L750" s="3" t="s">
        <v>34</v>
      </c>
    </row>
    <row r="751" ht="15.75" customHeight="1">
      <c r="A751" s="3" t="s">
        <v>805</v>
      </c>
      <c r="B751" s="3" t="s">
        <v>53</v>
      </c>
      <c r="C751" s="3" t="s">
        <v>14</v>
      </c>
      <c r="D751" s="3">
        <v>23046.35</v>
      </c>
      <c r="E751" s="3">
        <v>6913.9</v>
      </c>
      <c r="F751" s="3">
        <v>334.58</v>
      </c>
      <c r="G751" s="3">
        <v>6416.43</v>
      </c>
      <c r="H751" s="3">
        <v>30294.83</v>
      </c>
      <c r="I751" s="3">
        <v>23878.4</v>
      </c>
      <c r="J751" s="3" t="s">
        <v>438</v>
      </c>
      <c r="K751" s="3">
        <v>15.0</v>
      </c>
      <c r="L751" s="3" t="s">
        <v>38</v>
      </c>
    </row>
    <row r="752" ht="15.75" customHeight="1">
      <c r="A752" s="3" t="s">
        <v>806</v>
      </c>
      <c r="B752" s="3" t="s">
        <v>29</v>
      </c>
      <c r="C752" s="3" t="s">
        <v>26</v>
      </c>
      <c r="D752" s="3">
        <v>114691.63</v>
      </c>
      <c r="E752" s="3">
        <v>34407.49</v>
      </c>
      <c r="F752" s="3">
        <v>13913.61</v>
      </c>
      <c r="G752" s="3">
        <v>9686.31</v>
      </c>
      <c r="H752" s="3">
        <v>163012.73</v>
      </c>
      <c r="I752" s="3">
        <v>153326.42</v>
      </c>
      <c r="J752" s="4">
        <v>45870.0</v>
      </c>
      <c r="K752" s="3">
        <v>10.0</v>
      </c>
      <c r="L752" s="3" t="s">
        <v>40</v>
      </c>
    </row>
    <row r="753" ht="15.75" customHeight="1">
      <c r="A753" s="3" t="s">
        <v>807</v>
      </c>
      <c r="B753" s="3" t="s">
        <v>36</v>
      </c>
      <c r="C753" s="3" t="s">
        <v>54</v>
      </c>
      <c r="D753" s="3">
        <v>46509.71</v>
      </c>
      <c r="E753" s="3">
        <v>13952.91</v>
      </c>
      <c r="F753" s="3">
        <v>286.68</v>
      </c>
      <c r="G753" s="3">
        <v>2181.17</v>
      </c>
      <c r="H753" s="3">
        <v>60749.3</v>
      </c>
      <c r="I753" s="3">
        <v>58568.13</v>
      </c>
      <c r="J753" s="4">
        <v>45748.0</v>
      </c>
      <c r="K753" s="3">
        <v>23.0</v>
      </c>
      <c r="L753" s="3" t="s">
        <v>42</v>
      </c>
    </row>
    <row r="754" ht="15.75" customHeight="1">
      <c r="A754" s="3" t="s">
        <v>808</v>
      </c>
      <c r="B754" s="3" t="s">
        <v>51</v>
      </c>
      <c r="C754" s="3" t="s">
        <v>33</v>
      </c>
      <c r="D754" s="3">
        <v>31772.89</v>
      </c>
      <c r="E754" s="3">
        <v>9531.87</v>
      </c>
      <c r="F754" s="3">
        <v>5809.16</v>
      </c>
      <c r="G754" s="3">
        <v>7578.0</v>
      </c>
      <c r="H754" s="3">
        <v>47113.92</v>
      </c>
      <c r="I754" s="3">
        <v>39535.92</v>
      </c>
      <c r="J754" s="4">
        <v>45992.0</v>
      </c>
      <c r="K754" s="3">
        <v>6.0</v>
      </c>
      <c r="L754" s="3" t="s">
        <v>19</v>
      </c>
    </row>
    <row r="755" ht="15.75" customHeight="1">
      <c r="A755" s="3" t="s">
        <v>809</v>
      </c>
      <c r="B755" s="3" t="s">
        <v>13</v>
      </c>
      <c r="C755" s="3" t="s">
        <v>33</v>
      </c>
      <c r="D755" s="5"/>
      <c r="E755" s="3">
        <v>10372.18</v>
      </c>
      <c r="F755" s="3">
        <v>77.1</v>
      </c>
      <c r="G755" s="3">
        <v>9073.24</v>
      </c>
      <c r="H755" s="3">
        <v>45023.2</v>
      </c>
      <c r="I755" s="3">
        <v>35949.96</v>
      </c>
      <c r="J755" s="4">
        <v>45717.0</v>
      </c>
      <c r="K755" s="3">
        <v>22.0</v>
      </c>
      <c r="L755" s="3" t="s">
        <v>21</v>
      </c>
    </row>
    <row r="756" ht="15.75" customHeight="1">
      <c r="A756" s="3" t="s">
        <v>810</v>
      </c>
      <c r="B756" s="3" t="s">
        <v>29</v>
      </c>
      <c r="C756" s="3" t="s">
        <v>30</v>
      </c>
      <c r="D756" s="3">
        <v>28585.01</v>
      </c>
      <c r="E756" s="3">
        <v>8575.5</v>
      </c>
      <c r="F756" s="3">
        <v>5165.58</v>
      </c>
      <c r="G756" s="3">
        <v>2948.7</v>
      </c>
      <c r="H756" s="3">
        <v>42326.09</v>
      </c>
      <c r="I756" s="3">
        <v>39377.39</v>
      </c>
      <c r="J756" s="4">
        <v>45839.0</v>
      </c>
      <c r="K756" s="3">
        <v>24.0</v>
      </c>
      <c r="L756" s="3" t="s">
        <v>27</v>
      </c>
    </row>
    <row r="757" ht="15.75" customHeight="1">
      <c r="A757" s="3" t="s">
        <v>811</v>
      </c>
      <c r="B757" s="3" t="s">
        <v>13</v>
      </c>
      <c r="C757" s="3" t="s">
        <v>26</v>
      </c>
      <c r="D757" s="3">
        <v>108451.9</v>
      </c>
      <c r="E757" s="3">
        <v>32535.57</v>
      </c>
      <c r="F757" s="3">
        <v>3491.16</v>
      </c>
      <c r="G757" s="3">
        <v>7183.46</v>
      </c>
      <c r="H757" s="3">
        <v>144478.63</v>
      </c>
      <c r="I757" s="3">
        <v>137295.17</v>
      </c>
      <c r="J757" s="4">
        <v>45778.0</v>
      </c>
      <c r="K757" s="3">
        <v>16.0</v>
      </c>
      <c r="L757" s="3" t="s">
        <v>31</v>
      </c>
    </row>
    <row r="758" ht="15.75" customHeight="1">
      <c r="A758" s="3" t="s">
        <v>812</v>
      </c>
      <c r="B758" s="3" t="s">
        <v>51</v>
      </c>
      <c r="C758" s="3" t="s">
        <v>14</v>
      </c>
      <c r="D758" s="3">
        <v>19305.78</v>
      </c>
      <c r="E758" s="3">
        <v>5791.73</v>
      </c>
      <c r="F758" s="3">
        <v>3087.61</v>
      </c>
      <c r="G758" s="3">
        <v>4936.01</v>
      </c>
      <c r="H758" s="3">
        <v>28185.12</v>
      </c>
      <c r="I758" s="3">
        <v>23249.11</v>
      </c>
      <c r="J758" s="4">
        <v>45901.0</v>
      </c>
      <c r="K758" s="3">
        <v>21.0</v>
      </c>
      <c r="L758" s="3" t="s">
        <v>34</v>
      </c>
    </row>
    <row r="759" ht="15.75" customHeight="1">
      <c r="A759" s="3" t="s">
        <v>813</v>
      </c>
      <c r="B759" s="3" t="s">
        <v>36</v>
      </c>
      <c r="C759" s="3" t="s">
        <v>18</v>
      </c>
      <c r="D759" s="3">
        <v>79291.28</v>
      </c>
      <c r="E759" s="3">
        <v>23787.38</v>
      </c>
      <c r="F759" s="3">
        <v>4609.24</v>
      </c>
      <c r="G759" s="3">
        <v>1602.38</v>
      </c>
      <c r="H759" s="3">
        <v>107687.9</v>
      </c>
      <c r="I759" s="3">
        <v>106085.52</v>
      </c>
      <c r="J759" s="4">
        <v>45689.0</v>
      </c>
      <c r="K759" s="3">
        <v>13.0</v>
      </c>
      <c r="L759" s="3" t="s">
        <v>38</v>
      </c>
    </row>
    <row r="760" ht="15.75" customHeight="1">
      <c r="A760" s="3" t="s">
        <v>814</v>
      </c>
      <c r="B760" s="3" t="s">
        <v>51</v>
      </c>
      <c r="C760" s="3" t="s">
        <v>18</v>
      </c>
      <c r="D760" s="5"/>
      <c r="E760" s="3">
        <v>24028.65</v>
      </c>
      <c r="F760" s="3">
        <v>15242.81</v>
      </c>
      <c r="G760" s="3">
        <v>8581.55</v>
      </c>
      <c r="H760" s="3">
        <v>119366.95</v>
      </c>
      <c r="I760" s="3">
        <v>110785.4</v>
      </c>
      <c r="J760" s="4">
        <v>45962.0</v>
      </c>
      <c r="K760" s="3">
        <v>19.0</v>
      </c>
      <c r="L760" s="3" t="s">
        <v>40</v>
      </c>
    </row>
    <row r="761" ht="15.75" customHeight="1">
      <c r="A761" s="3" t="s">
        <v>815</v>
      </c>
      <c r="B761" s="3" t="s">
        <v>13</v>
      </c>
      <c r="C761" s="3" t="s">
        <v>30</v>
      </c>
      <c r="D761" s="3">
        <v>22880.4</v>
      </c>
      <c r="E761" s="3">
        <v>6864.12</v>
      </c>
      <c r="F761" s="3">
        <v>2834.95</v>
      </c>
      <c r="G761" s="3">
        <v>6178.52</v>
      </c>
      <c r="H761" s="3">
        <v>32579.47</v>
      </c>
      <c r="I761" s="3">
        <v>26400.95</v>
      </c>
      <c r="J761" s="4">
        <v>45809.0</v>
      </c>
      <c r="K761" s="3">
        <v>25.0</v>
      </c>
      <c r="L761" s="3" t="s">
        <v>42</v>
      </c>
    </row>
    <row r="762" ht="15.75" customHeight="1">
      <c r="A762" s="3" t="s">
        <v>816</v>
      </c>
      <c r="B762" s="3" t="s">
        <v>36</v>
      </c>
      <c r="C762" s="3" t="s">
        <v>54</v>
      </c>
      <c r="D762" s="3">
        <v>39596.85</v>
      </c>
      <c r="E762" s="3">
        <v>11879.05</v>
      </c>
      <c r="F762" s="3">
        <v>5222.21</v>
      </c>
      <c r="G762" s="3">
        <v>8237.63</v>
      </c>
      <c r="H762" s="3">
        <v>56698.11</v>
      </c>
      <c r="I762" s="3">
        <v>48460.48</v>
      </c>
      <c r="J762" s="4">
        <v>45717.0</v>
      </c>
      <c r="K762" s="3">
        <v>11.0</v>
      </c>
      <c r="L762" s="3" t="s">
        <v>15</v>
      </c>
    </row>
    <row r="763" ht="15.75" customHeight="1">
      <c r="A763" s="3" t="s">
        <v>817</v>
      </c>
      <c r="B763" s="3" t="s">
        <v>53</v>
      </c>
      <c r="C763" s="3" t="s">
        <v>37</v>
      </c>
      <c r="D763" s="3">
        <v>51560.88</v>
      </c>
      <c r="E763" s="3">
        <v>15468.26</v>
      </c>
      <c r="F763" s="3">
        <v>3262.08</v>
      </c>
      <c r="G763" s="5"/>
      <c r="H763" s="3">
        <v>70291.22</v>
      </c>
      <c r="I763" s="3">
        <v>63666.05</v>
      </c>
      <c r="J763" s="4">
        <v>45658.0</v>
      </c>
      <c r="K763" s="3">
        <v>17.0</v>
      </c>
      <c r="L763" s="3" t="s">
        <v>19</v>
      </c>
    </row>
    <row r="764" ht="15.75" customHeight="1">
      <c r="A764" s="3" t="s">
        <v>818</v>
      </c>
      <c r="B764" s="3" t="s">
        <v>29</v>
      </c>
      <c r="C764" s="3" t="s">
        <v>30</v>
      </c>
      <c r="D764" s="3">
        <v>28913.81</v>
      </c>
      <c r="E764" s="3">
        <v>8674.14</v>
      </c>
      <c r="F764" s="3">
        <v>4118.48</v>
      </c>
      <c r="G764" s="3">
        <v>5558.73</v>
      </c>
      <c r="H764" s="3">
        <v>41706.43</v>
      </c>
      <c r="I764" s="3">
        <v>36147.7</v>
      </c>
      <c r="J764" s="4">
        <v>45778.0</v>
      </c>
      <c r="K764" s="3">
        <v>11.0</v>
      </c>
      <c r="L764" s="3" t="s">
        <v>21</v>
      </c>
    </row>
    <row r="765" ht="15.75" customHeight="1">
      <c r="A765" s="3" t="s">
        <v>819</v>
      </c>
      <c r="B765" s="3" t="s">
        <v>25</v>
      </c>
      <c r="C765" s="3" t="s">
        <v>33</v>
      </c>
      <c r="D765" s="3">
        <v>26343.06</v>
      </c>
      <c r="E765" s="3">
        <v>7902.92</v>
      </c>
      <c r="F765" s="3">
        <v>3861.75</v>
      </c>
      <c r="G765" s="3">
        <v>6937.86</v>
      </c>
      <c r="H765" s="3">
        <v>38107.73</v>
      </c>
      <c r="I765" s="3">
        <v>31169.87</v>
      </c>
      <c r="J765" s="4">
        <v>45870.0</v>
      </c>
      <c r="K765" s="3">
        <v>5.0</v>
      </c>
      <c r="L765" s="3" t="s">
        <v>23</v>
      </c>
    </row>
    <row r="766" ht="15.75" customHeight="1">
      <c r="A766" s="3" t="s">
        <v>820</v>
      </c>
      <c r="B766" s="3" t="s">
        <v>36</v>
      </c>
      <c r="C766" s="3" t="s">
        <v>33</v>
      </c>
      <c r="D766" s="3">
        <v>32747.67</v>
      </c>
      <c r="E766" s="3">
        <v>9824.3</v>
      </c>
      <c r="F766" s="3">
        <v>3189.44</v>
      </c>
      <c r="G766" s="3">
        <v>1069.2</v>
      </c>
      <c r="H766" s="3">
        <v>45761.41</v>
      </c>
      <c r="I766" s="3">
        <v>44692.21</v>
      </c>
      <c r="J766" s="4">
        <v>45962.0</v>
      </c>
      <c r="K766" s="3">
        <v>19.0</v>
      </c>
      <c r="L766" s="3" t="s">
        <v>27</v>
      </c>
    </row>
    <row r="767" ht="15.75" customHeight="1">
      <c r="A767" s="3" t="s">
        <v>821</v>
      </c>
      <c r="B767" s="3" t="s">
        <v>53</v>
      </c>
      <c r="C767" s="3" t="s">
        <v>14</v>
      </c>
      <c r="D767" s="3">
        <v>24060.91</v>
      </c>
      <c r="E767" s="3">
        <v>7218.27</v>
      </c>
      <c r="F767" s="3">
        <v>4132.29</v>
      </c>
      <c r="G767" s="3">
        <v>1010.57</v>
      </c>
      <c r="H767" s="3">
        <v>35411.47</v>
      </c>
      <c r="I767" s="3">
        <v>34400.9</v>
      </c>
      <c r="J767" s="4">
        <v>45901.0</v>
      </c>
      <c r="K767" s="3">
        <v>14.0</v>
      </c>
      <c r="L767" s="3" t="s">
        <v>31</v>
      </c>
    </row>
    <row r="768" ht="15.75" customHeight="1">
      <c r="A768" s="3" t="s">
        <v>822</v>
      </c>
      <c r="B768" s="3" t="s">
        <v>51</v>
      </c>
      <c r="C768" s="3" t="s">
        <v>33</v>
      </c>
      <c r="D768" s="3">
        <v>32335.45</v>
      </c>
      <c r="E768" s="3">
        <v>9700.64</v>
      </c>
      <c r="F768" s="3">
        <v>4052.4</v>
      </c>
      <c r="G768" s="3">
        <v>7056.49</v>
      </c>
      <c r="H768" s="3">
        <v>46088.49</v>
      </c>
      <c r="I768" s="3">
        <v>39032.0</v>
      </c>
      <c r="J768" s="4">
        <v>45658.0</v>
      </c>
      <c r="K768" s="3">
        <v>16.0</v>
      </c>
      <c r="L768" s="3" t="s">
        <v>34</v>
      </c>
    </row>
    <row r="769" ht="15.75" customHeight="1">
      <c r="A769" s="3" t="s">
        <v>823</v>
      </c>
      <c r="B769" s="3" t="s">
        <v>25</v>
      </c>
      <c r="C769" s="3" t="s">
        <v>37</v>
      </c>
      <c r="D769" s="3">
        <v>56369.28</v>
      </c>
      <c r="E769" s="3">
        <v>16910.78</v>
      </c>
      <c r="F769" s="3">
        <v>9161.61</v>
      </c>
      <c r="G769" s="3">
        <v>9789.67</v>
      </c>
      <c r="H769" s="3">
        <v>82441.67</v>
      </c>
      <c r="I769" s="3">
        <v>72652.0</v>
      </c>
      <c r="J769" s="4">
        <v>45931.0</v>
      </c>
      <c r="K769" s="3">
        <v>14.0</v>
      </c>
      <c r="L769" s="3" t="s">
        <v>38</v>
      </c>
    </row>
    <row r="770" ht="15.75" customHeight="1">
      <c r="A770" s="3" t="s">
        <v>824</v>
      </c>
      <c r="B770" s="3" t="s">
        <v>51</v>
      </c>
      <c r="C770" s="3" t="s">
        <v>14</v>
      </c>
      <c r="D770" s="3">
        <v>21971.48</v>
      </c>
      <c r="E770" s="3">
        <v>6591.44</v>
      </c>
      <c r="F770" s="3">
        <v>2388.17</v>
      </c>
      <c r="G770" s="3">
        <v>6583.06</v>
      </c>
      <c r="H770" s="3">
        <v>30951.09</v>
      </c>
      <c r="I770" s="3">
        <v>24368.03</v>
      </c>
      <c r="J770" s="4">
        <v>45870.0</v>
      </c>
      <c r="K770" s="3">
        <v>8.0</v>
      </c>
      <c r="L770" s="3" t="s">
        <v>40</v>
      </c>
    </row>
    <row r="771" ht="15.75" customHeight="1">
      <c r="A771" s="3" t="s">
        <v>825</v>
      </c>
      <c r="B771" s="3" t="s">
        <v>13</v>
      </c>
      <c r="C771" s="3" t="s">
        <v>26</v>
      </c>
      <c r="D771" s="3">
        <v>95350.79</v>
      </c>
      <c r="E771" s="3">
        <v>28605.24</v>
      </c>
      <c r="F771" s="3">
        <v>7485.01</v>
      </c>
      <c r="G771" s="3">
        <v>25499.78</v>
      </c>
      <c r="H771" s="3">
        <v>131441.04</v>
      </c>
      <c r="I771" s="3">
        <v>105941.26</v>
      </c>
      <c r="J771" s="4">
        <v>45931.0</v>
      </c>
      <c r="K771" s="3">
        <v>3.0</v>
      </c>
      <c r="L771" s="3" t="s">
        <v>42</v>
      </c>
    </row>
    <row r="772" ht="15.75" customHeight="1">
      <c r="A772" s="3" t="s">
        <v>826</v>
      </c>
      <c r="B772" s="3" t="s">
        <v>13</v>
      </c>
      <c r="C772" s="3" t="s">
        <v>26</v>
      </c>
      <c r="D772" s="3">
        <v>100475.97</v>
      </c>
      <c r="E772" s="3">
        <v>30142.79</v>
      </c>
      <c r="F772" s="3">
        <v>9338.26</v>
      </c>
      <c r="G772" s="3">
        <v>15385.24</v>
      </c>
      <c r="H772" s="3">
        <v>139957.02</v>
      </c>
      <c r="I772" s="3">
        <v>124571.78</v>
      </c>
      <c r="J772" s="4">
        <v>45839.0</v>
      </c>
      <c r="K772" s="3">
        <v>8.0</v>
      </c>
      <c r="L772" s="3" t="s">
        <v>15</v>
      </c>
    </row>
    <row r="773" ht="15.75" customHeight="1">
      <c r="A773" s="3" t="s">
        <v>827</v>
      </c>
      <c r="B773" s="3" t="s">
        <v>29</v>
      </c>
      <c r="C773" s="3" t="s">
        <v>37</v>
      </c>
      <c r="D773" s="3">
        <v>45190.65</v>
      </c>
      <c r="E773" s="3">
        <v>13557.19</v>
      </c>
      <c r="F773" s="3">
        <v>2159.04</v>
      </c>
      <c r="G773" s="3">
        <v>13069.14</v>
      </c>
      <c r="H773" s="3">
        <v>60906.88</v>
      </c>
      <c r="I773" s="3">
        <v>47837.74</v>
      </c>
      <c r="J773" s="4">
        <v>45931.0</v>
      </c>
      <c r="K773" s="3">
        <v>20.0</v>
      </c>
      <c r="L773" s="3" t="s">
        <v>19</v>
      </c>
    </row>
    <row r="774" ht="15.75" customHeight="1">
      <c r="A774" s="3" t="s">
        <v>828</v>
      </c>
      <c r="B774" s="3" t="s">
        <v>13</v>
      </c>
      <c r="C774" s="3" t="s">
        <v>30</v>
      </c>
      <c r="D774" s="3">
        <v>28663.41</v>
      </c>
      <c r="E774" s="3">
        <v>8599.02</v>
      </c>
      <c r="F774" s="3">
        <v>804.7</v>
      </c>
      <c r="G774" s="3">
        <v>1369.16</v>
      </c>
      <c r="H774" s="3">
        <v>38067.13</v>
      </c>
      <c r="I774" s="3">
        <v>36697.97</v>
      </c>
      <c r="J774" s="4">
        <v>45931.0</v>
      </c>
      <c r="K774" s="3">
        <v>1.0</v>
      </c>
      <c r="L774" s="3" t="s">
        <v>21</v>
      </c>
    </row>
    <row r="775" ht="15.75" customHeight="1">
      <c r="A775" s="3" t="s">
        <v>829</v>
      </c>
      <c r="B775" s="3" t="s">
        <v>53</v>
      </c>
      <c r="C775" s="3" t="s">
        <v>18</v>
      </c>
      <c r="D775" s="3">
        <v>87677.07</v>
      </c>
      <c r="E775" s="3">
        <v>26303.12</v>
      </c>
      <c r="F775" s="3">
        <v>2563.66</v>
      </c>
      <c r="G775" s="3">
        <v>19254.0</v>
      </c>
      <c r="H775" s="3">
        <v>68423.07</v>
      </c>
      <c r="I775" s="3">
        <v>73423.07</v>
      </c>
      <c r="J775" s="4">
        <v>45809.0</v>
      </c>
      <c r="K775" s="3">
        <v>17.0</v>
      </c>
      <c r="L775" s="3" t="s">
        <v>23</v>
      </c>
    </row>
    <row r="776" ht="15.75" customHeight="1">
      <c r="A776" s="3" t="s">
        <v>830</v>
      </c>
      <c r="B776" s="3" t="s">
        <v>17</v>
      </c>
      <c r="C776" s="3" t="s">
        <v>30</v>
      </c>
      <c r="D776" s="3">
        <v>28700.96</v>
      </c>
      <c r="E776" s="3">
        <v>8610.29</v>
      </c>
      <c r="F776" s="3">
        <v>1330.29</v>
      </c>
      <c r="G776" s="3">
        <v>2276.19</v>
      </c>
      <c r="H776" s="3">
        <v>38641.54</v>
      </c>
      <c r="I776" s="3">
        <v>36365.35</v>
      </c>
      <c r="J776" s="4">
        <v>45748.0</v>
      </c>
      <c r="K776" s="3">
        <v>8.0</v>
      </c>
      <c r="L776" s="3" t="s">
        <v>27</v>
      </c>
    </row>
    <row r="777" ht="15.75" customHeight="1">
      <c r="A777" s="3" t="s">
        <v>831</v>
      </c>
      <c r="B777" s="3" t="s">
        <v>17</v>
      </c>
      <c r="C777" s="3" t="s">
        <v>18</v>
      </c>
      <c r="D777" s="3">
        <v>70376.13</v>
      </c>
      <c r="E777" s="3">
        <v>21112.84</v>
      </c>
      <c r="F777" s="3">
        <v>12776.45</v>
      </c>
      <c r="G777" s="3">
        <v>7627.04</v>
      </c>
      <c r="H777" s="3">
        <v>104265.42</v>
      </c>
      <c r="I777" s="3">
        <v>96638.38</v>
      </c>
      <c r="J777" s="4">
        <v>45870.0</v>
      </c>
      <c r="K777" s="3">
        <v>1.0</v>
      </c>
      <c r="L777" s="3" t="s">
        <v>31</v>
      </c>
    </row>
    <row r="778" ht="15.75" customHeight="1">
      <c r="A778" s="3" t="s">
        <v>832</v>
      </c>
      <c r="B778" s="3" t="s">
        <v>36</v>
      </c>
      <c r="C778" s="3" t="s">
        <v>14</v>
      </c>
      <c r="D778" s="3">
        <v>18287.31</v>
      </c>
      <c r="E778" s="3">
        <v>5486.19</v>
      </c>
      <c r="F778" s="3">
        <v>2371.95</v>
      </c>
      <c r="G778" s="3">
        <v>566.31</v>
      </c>
      <c r="H778" s="3">
        <v>26145.45</v>
      </c>
      <c r="I778" s="3">
        <v>25579.14</v>
      </c>
      <c r="J778" s="4">
        <v>45901.0</v>
      </c>
      <c r="K778" s="3">
        <v>9.0</v>
      </c>
      <c r="L778" s="3" t="s">
        <v>34</v>
      </c>
    </row>
    <row r="779" ht="15.75" customHeight="1">
      <c r="A779" s="3" t="s">
        <v>833</v>
      </c>
      <c r="B779" s="3" t="s">
        <v>13</v>
      </c>
      <c r="C779" s="3" t="s">
        <v>26</v>
      </c>
      <c r="D779" s="3">
        <v>99845.83</v>
      </c>
      <c r="E779" s="3">
        <v>29953.75</v>
      </c>
      <c r="F779" s="3">
        <v>14815.32</v>
      </c>
      <c r="G779" s="3">
        <v>17332.18</v>
      </c>
      <c r="H779" s="3">
        <v>144614.9</v>
      </c>
      <c r="I779" s="3">
        <v>127282.72</v>
      </c>
      <c r="J779" s="4">
        <v>45931.0</v>
      </c>
      <c r="K779" s="3">
        <v>18.0</v>
      </c>
      <c r="L779" s="3" t="s">
        <v>38</v>
      </c>
    </row>
    <row r="780" ht="15.75" customHeight="1">
      <c r="A780" s="3" t="s">
        <v>834</v>
      </c>
      <c r="B780" s="3" t="s">
        <v>51</v>
      </c>
      <c r="C780" s="3" t="s">
        <v>54</v>
      </c>
      <c r="D780" s="3">
        <v>44151.45</v>
      </c>
      <c r="E780" s="3">
        <v>13245.43</v>
      </c>
      <c r="F780" s="3">
        <v>3225.68</v>
      </c>
      <c r="G780" s="3">
        <v>8653.73</v>
      </c>
      <c r="H780" s="3">
        <v>60622.56</v>
      </c>
      <c r="I780" s="3">
        <v>51968.83</v>
      </c>
      <c r="J780" s="4">
        <v>45689.0</v>
      </c>
      <c r="K780" s="3">
        <v>10.0</v>
      </c>
      <c r="L780" s="3" t="s">
        <v>40</v>
      </c>
    </row>
    <row r="781" ht="15.75" customHeight="1">
      <c r="A781" s="3" t="s">
        <v>835</v>
      </c>
      <c r="B781" s="3" t="s">
        <v>53</v>
      </c>
      <c r="C781" s="3" t="s">
        <v>30</v>
      </c>
      <c r="D781" s="3">
        <v>25871.11</v>
      </c>
      <c r="E781" s="3">
        <v>7761.33</v>
      </c>
      <c r="F781" s="3">
        <v>1190.02</v>
      </c>
      <c r="G781" s="3">
        <v>3993.53</v>
      </c>
      <c r="H781" s="3">
        <v>34822.46</v>
      </c>
      <c r="I781" s="3">
        <v>30828.93</v>
      </c>
      <c r="J781" s="4">
        <v>45778.0</v>
      </c>
      <c r="K781" s="3">
        <v>3.0</v>
      </c>
      <c r="L781" s="3" t="s">
        <v>19</v>
      </c>
    </row>
    <row r="782" ht="15.75" customHeight="1">
      <c r="A782" s="3" t="s">
        <v>836</v>
      </c>
      <c r="B782" s="3" t="s">
        <v>51</v>
      </c>
      <c r="C782" s="3" t="s">
        <v>30</v>
      </c>
      <c r="D782" s="3">
        <v>23644.77</v>
      </c>
      <c r="E782" s="3">
        <v>7093.43</v>
      </c>
      <c r="F782" s="3">
        <v>1712.94</v>
      </c>
      <c r="G782" s="3">
        <v>5088.14</v>
      </c>
      <c r="H782" s="3">
        <v>32451.14</v>
      </c>
      <c r="I782" s="3">
        <v>27363.0</v>
      </c>
      <c r="J782" s="4">
        <v>45689.0</v>
      </c>
      <c r="K782" s="3">
        <v>14.0</v>
      </c>
      <c r="L782" s="3" t="s">
        <v>21</v>
      </c>
    </row>
    <row r="783" ht="15.75" customHeight="1">
      <c r="A783" s="3" t="s">
        <v>837</v>
      </c>
      <c r="B783" s="3" t="s">
        <v>13</v>
      </c>
      <c r="C783" s="3" t="s">
        <v>30</v>
      </c>
      <c r="D783" s="3">
        <v>25648.6</v>
      </c>
      <c r="E783" s="3">
        <v>7694.58</v>
      </c>
      <c r="F783" s="3">
        <v>1693.96</v>
      </c>
      <c r="G783" s="3">
        <v>872.09</v>
      </c>
      <c r="H783" s="3">
        <v>35037.14</v>
      </c>
      <c r="I783" s="3">
        <v>34165.05</v>
      </c>
      <c r="J783" s="4">
        <v>45962.0</v>
      </c>
      <c r="K783" s="3">
        <v>5.0</v>
      </c>
      <c r="L783" s="3" t="s">
        <v>23</v>
      </c>
    </row>
    <row r="784" ht="15.75" customHeight="1">
      <c r="A784" s="3" t="s">
        <v>838</v>
      </c>
      <c r="B784" s="3" t="s">
        <v>36</v>
      </c>
      <c r="C784" s="3" t="s">
        <v>54</v>
      </c>
      <c r="D784" s="3">
        <v>37949.86</v>
      </c>
      <c r="E784" s="3">
        <v>11384.96</v>
      </c>
      <c r="F784" s="3">
        <v>1223.85</v>
      </c>
      <c r="G784" s="3">
        <v>9487.83</v>
      </c>
      <c r="H784" s="3">
        <v>50558.67</v>
      </c>
      <c r="I784" s="3">
        <v>41070.84</v>
      </c>
      <c r="J784" s="4">
        <v>45658.0</v>
      </c>
      <c r="K784" s="3">
        <v>22.0</v>
      </c>
      <c r="L784" s="3" t="s">
        <v>27</v>
      </c>
    </row>
    <row r="785" ht="15.75" customHeight="1">
      <c r="A785" s="3" t="s">
        <v>839</v>
      </c>
      <c r="B785" s="3" t="s">
        <v>51</v>
      </c>
      <c r="C785" s="3" t="s">
        <v>14</v>
      </c>
      <c r="D785" s="3">
        <v>18920.77</v>
      </c>
      <c r="E785" s="3">
        <v>5676.23</v>
      </c>
      <c r="F785" s="3">
        <v>2241.53</v>
      </c>
      <c r="G785" s="3">
        <v>764.72</v>
      </c>
      <c r="H785" s="3">
        <v>26838.53</v>
      </c>
      <c r="I785" s="3">
        <v>26073.81</v>
      </c>
      <c r="J785" s="4">
        <v>45901.0</v>
      </c>
      <c r="K785" s="3">
        <v>20.0</v>
      </c>
      <c r="L785" s="3" t="s">
        <v>31</v>
      </c>
    </row>
    <row r="786" ht="15.75" customHeight="1">
      <c r="A786" s="3" t="s">
        <v>840</v>
      </c>
      <c r="B786" s="3" t="s">
        <v>17</v>
      </c>
      <c r="C786" s="3" t="s">
        <v>37</v>
      </c>
      <c r="D786" s="3">
        <v>47643.57</v>
      </c>
      <c r="E786" s="3">
        <v>14293.07</v>
      </c>
      <c r="F786" s="3">
        <v>1585.02</v>
      </c>
      <c r="G786" s="3">
        <v>13184.6</v>
      </c>
      <c r="H786" s="3">
        <v>63521.66</v>
      </c>
      <c r="I786" s="3">
        <v>50337.06</v>
      </c>
      <c r="J786" s="4">
        <v>45901.0</v>
      </c>
      <c r="K786" s="3">
        <v>12.0</v>
      </c>
      <c r="L786" s="3" t="s">
        <v>34</v>
      </c>
    </row>
    <row r="787" ht="15.75" customHeight="1">
      <c r="A787" s="3" t="s">
        <v>841</v>
      </c>
      <c r="B787" s="3" t="s">
        <v>36</v>
      </c>
      <c r="C787" s="3" t="s">
        <v>37</v>
      </c>
      <c r="D787" s="3">
        <v>62446.39</v>
      </c>
      <c r="E787" s="3">
        <v>18733.92</v>
      </c>
      <c r="F787" s="3">
        <v>7963.45</v>
      </c>
      <c r="G787" s="3">
        <v>16457.91</v>
      </c>
      <c r="H787" s="3">
        <v>89143.76</v>
      </c>
      <c r="I787" s="3">
        <v>72685.85</v>
      </c>
      <c r="J787" s="4">
        <v>45992.0</v>
      </c>
      <c r="K787" s="3">
        <v>14.0</v>
      </c>
      <c r="L787" s="3" t="s">
        <v>38</v>
      </c>
    </row>
    <row r="788" ht="15.75" customHeight="1">
      <c r="A788" s="3" t="s">
        <v>842</v>
      </c>
      <c r="B788" s="3" t="s">
        <v>13</v>
      </c>
      <c r="C788" s="3" t="s">
        <v>26</v>
      </c>
      <c r="D788" s="3">
        <v>100204.37</v>
      </c>
      <c r="E788" s="3">
        <v>30061.31</v>
      </c>
      <c r="F788" s="3">
        <v>1718.47</v>
      </c>
      <c r="G788" s="3">
        <v>13503.64</v>
      </c>
      <c r="H788" s="3">
        <v>131984.15</v>
      </c>
      <c r="I788" s="3">
        <v>118480.51</v>
      </c>
      <c r="J788" s="4">
        <v>45870.0</v>
      </c>
      <c r="K788" s="3">
        <v>3.0</v>
      </c>
      <c r="L788" s="3" t="s">
        <v>40</v>
      </c>
    </row>
    <row r="789" ht="15.75" customHeight="1">
      <c r="A789" s="3" t="s">
        <v>843</v>
      </c>
      <c r="B789" s="3" t="s">
        <v>25</v>
      </c>
      <c r="C789" s="3" t="s">
        <v>54</v>
      </c>
      <c r="D789" s="3">
        <v>37387.93</v>
      </c>
      <c r="E789" s="3">
        <v>11216.38</v>
      </c>
      <c r="F789" s="3">
        <v>6209.12</v>
      </c>
      <c r="G789" s="3">
        <v>6739.23</v>
      </c>
      <c r="H789" s="3">
        <v>54813.43</v>
      </c>
      <c r="I789" s="3">
        <v>48074.2</v>
      </c>
      <c r="J789" s="4">
        <v>45931.0</v>
      </c>
      <c r="K789" s="3">
        <v>25.0</v>
      </c>
      <c r="L789" s="3" t="s">
        <v>42</v>
      </c>
    </row>
    <row r="790" ht="15.75" customHeight="1">
      <c r="A790" s="3" t="s">
        <v>844</v>
      </c>
      <c r="B790" s="3" t="s">
        <v>25</v>
      </c>
      <c r="C790" s="3" t="s">
        <v>26</v>
      </c>
      <c r="D790" s="3">
        <v>96547.83</v>
      </c>
      <c r="E790" s="3">
        <v>28964.35</v>
      </c>
      <c r="F790" s="3">
        <v>12737.53</v>
      </c>
      <c r="G790" s="3">
        <v>7661.67</v>
      </c>
      <c r="H790" s="3">
        <v>138249.71</v>
      </c>
      <c r="I790" s="3">
        <v>130588.04</v>
      </c>
      <c r="J790" s="4">
        <v>45992.0</v>
      </c>
      <c r="K790" s="3">
        <v>11.0</v>
      </c>
      <c r="L790" s="3" t="s">
        <v>15</v>
      </c>
    </row>
    <row r="791" ht="15.75" customHeight="1">
      <c r="A791" s="3" t="s">
        <v>845</v>
      </c>
      <c r="B791" s="3" t="s">
        <v>13</v>
      </c>
      <c r="C791" s="3" t="s">
        <v>33</v>
      </c>
      <c r="D791" s="3">
        <v>34223.52</v>
      </c>
      <c r="E791" s="3">
        <v>10267.06</v>
      </c>
      <c r="F791" s="3">
        <v>4083.09</v>
      </c>
      <c r="G791" s="3">
        <v>706.81</v>
      </c>
      <c r="H791" s="3">
        <v>48573.67</v>
      </c>
      <c r="I791" s="3">
        <v>47866.86</v>
      </c>
      <c r="J791" s="4">
        <v>45839.0</v>
      </c>
      <c r="K791" s="3">
        <v>23.0</v>
      </c>
      <c r="L791" s="3" t="s">
        <v>19</v>
      </c>
    </row>
    <row r="792" ht="15.75" customHeight="1">
      <c r="A792" s="3" t="s">
        <v>846</v>
      </c>
      <c r="B792" s="3" t="s">
        <v>36</v>
      </c>
      <c r="C792" s="3" t="s">
        <v>30</v>
      </c>
      <c r="D792" s="3">
        <v>22955.42</v>
      </c>
      <c r="E792" s="3">
        <v>6886.63</v>
      </c>
      <c r="F792" s="3">
        <v>929.0</v>
      </c>
      <c r="G792" s="3">
        <v>5919.69</v>
      </c>
      <c r="H792" s="3">
        <v>30771.05</v>
      </c>
      <c r="I792" s="3">
        <v>24851.36</v>
      </c>
      <c r="J792" s="4">
        <v>45901.0</v>
      </c>
      <c r="K792" s="3">
        <v>20.0</v>
      </c>
      <c r="L792" s="3" t="s">
        <v>21</v>
      </c>
    </row>
    <row r="793" ht="15.75" customHeight="1">
      <c r="A793" s="3" t="s">
        <v>847</v>
      </c>
      <c r="B793" s="3" t="s">
        <v>13</v>
      </c>
      <c r="C793" s="3" t="s">
        <v>54</v>
      </c>
      <c r="D793" s="3">
        <v>46571.2</v>
      </c>
      <c r="E793" s="3">
        <v>13971.36</v>
      </c>
      <c r="F793" s="3">
        <v>5639.87</v>
      </c>
      <c r="G793" s="3">
        <v>2478.83</v>
      </c>
      <c r="H793" s="3">
        <v>66182.43</v>
      </c>
      <c r="I793" s="3">
        <v>63703.6</v>
      </c>
      <c r="J793" s="4">
        <v>45931.0</v>
      </c>
      <c r="K793" s="3">
        <v>10.0</v>
      </c>
      <c r="L793" s="3" t="s">
        <v>23</v>
      </c>
    </row>
    <row r="794" ht="15.75" customHeight="1">
      <c r="A794" s="3" t="s">
        <v>848</v>
      </c>
      <c r="B794" s="3" t="s">
        <v>53</v>
      </c>
      <c r="C794" s="3" t="s">
        <v>14</v>
      </c>
      <c r="D794" s="3">
        <v>24319.82</v>
      </c>
      <c r="E794" s="3">
        <v>7295.95</v>
      </c>
      <c r="F794" s="3">
        <v>2584.86</v>
      </c>
      <c r="G794" s="3">
        <v>5489.35</v>
      </c>
      <c r="H794" s="3">
        <v>34200.63</v>
      </c>
      <c r="I794" s="3">
        <v>28711.28</v>
      </c>
      <c r="J794" s="4">
        <v>45689.0</v>
      </c>
      <c r="K794" s="3">
        <v>17.0</v>
      </c>
      <c r="L794" s="3" t="s">
        <v>27</v>
      </c>
    </row>
    <row r="795" ht="15.75" customHeight="1">
      <c r="A795" s="3" t="s">
        <v>849</v>
      </c>
      <c r="B795" s="3" t="s">
        <v>36</v>
      </c>
      <c r="C795" s="3" t="s">
        <v>18</v>
      </c>
      <c r="D795" s="3">
        <v>68388.55</v>
      </c>
      <c r="E795" s="3">
        <v>20516.56</v>
      </c>
      <c r="F795" s="3">
        <v>8254.15</v>
      </c>
      <c r="G795" s="3">
        <v>16977.9</v>
      </c>
      <c r="H795" s="3">
        <v>97159.26</v>
      </c>
      <c r="I795" s="3">
        <v>80181.36</v>
      </c>
      <c r="J795" s="4">
        <v>45962.0</v>
      </c>
      <c r="K795" s="3">
        <v>5.0</v>
      </c>
      <c r="L795" s="3" t="s">
        <v>31</v>
      </c>
    </row>
    <row r="796" ht="15.75" customHeight="1">
      <c r="A796" s="3" t="s">
        <v>850</v>
      </c>
      <c r="B796" s="3" t="s">
        <v>13</v>
      </c>
      <c r="C796" s="3" t="s">
        <v>54</v>
      </c>
      <c r="D796" s="3">
        <v>42308.62</v>
      </c>
      <c r="E796" s="3">
        <v>12692.59</v>
      </c>
      <c r="F796" s="3">
        <v>3134.03</v>
      </c>
      <c r="G796" s="3">
        <v>551.34</v>
      </c>
      <c r="H796" s="3">
        <v>58135.24</v>
      </c>
      <c r="I796" s="3">
        <v>57583.9</v>
      </c>
      <c r="J796" s="4">
        <v>45901.0</v>
      </c>
      <c r="K796" s="3">
        <v>19.0</v>
      </c>
      <c r="L796" s="3" t="s">
        <v>34</v>
      </c>
    </row>
    <row r="797" ht="15.75" customHeight="1">
      <c r="A797" s="3" t="s">
        <v>851</v>
      </c>
      <c r="B797" s="3" t="s">
        <v>36</v>
      </c>
      <c r="C797" s="3" t="s">
        <v>30</v>
      </c>
      <c r="D797" s="3">
        <v>30258.11</v>
      </c>
      <c r="E797" s="3">
        <v>9077.43</v>
      </c>
      <c r="F797" s="3">
        <v>2917.63</v>
      </c>
      <c r="G797" s="3">
        <v>6977.57</v>
      </c>
      <c r="H797" s="3">
        <v>42253.17</v>
      </c>
      <c r="I797" s="3">
        <v>35275.6</v>
      </c>
      <c r="J797" s="4">
        <v>45809.0</v>
      </c>
      <c r="K797" s="3">
        <v>8.0</v>
      </c>
      <c r="L797" s="3" t="s">
        <v>38</v>
      </c>
    </row>
    <row r="798" ht="15.75" customHeight="1">
      <c r="A798" s="3" t="s">
        <v>852</v>
      </c>
      <c r="B798" s="3" t="s">
        <v>53</v>
      </c>
      <c r="C798" s="3" t="s">
        <v>26</v>
      </c>
      <c r="D798" s="3">
        <v>116690.19</v>
      </c>
      <c r="E798" s="3">
        <v>35007.06</v>
      </c>
      <c r="F798" s="3">
        <v>17772.83</v>
      </c>
      <c r="G798" s="3">
        <v>24389.68</v>
      </c>
      <c r="H798" s="3">
        <v>169470.08</v>
      </c>
      <c r="I798" s="3">
        <v>145080.4</v>
      </c>
      <c r="J798" s="4">
        <v>45689.0</v>
      </c>
      <c r="K798" s="3">
        <v>7.0</v>
      </c>
      <c r="L798" s="3" t="s">
        <v>40</v>
      </c>
    </row>
    <row r="799" ht="15.75" customHeight="1">
      <c r="A799" s="3" t="s">
        <v>853</v>
      </c>
      <c r="B799" s="3" t="s">
        <v>36</v>
      </c>
      <c r="C799" s="3" t="s">
        <v>30</v>
      </c>
      <c r="D799" s="3">
        <v>24239.76</v>
      </c>
      <c r="E799" s="3">
        <v>7271.93</v>
      </c>
      <c r="F799" s="3">
        <v>3712.85</v>
      </c>
      <c r="G799" s="3">
        <v>6618.08</v>
      </c>
      <c r="H799" s="3">
        <v>35224.54</v>
      </c>
      <c r="I799" s="3">
        <v>28606.46</v>
      </c>
      <c r="J799" s="3" t="s">
        <v>854</v>
      </c>
      <c r="K799" s="3">
        <v>13.0</v>
      </c>
      <c r="L799" s="3" t="s">
        <v>42</v>
      </c>
    </row>
    <row r="800" ht="15.75" customHeight="1">
      <c r="A800" s="3" t="s">
        <v>855</v>
      </c>
      <c r="B800" s="3" t="s">
        <v>29</v>
      </c>
      <c r="C800" s="3" t="s">
        <v>37</v>
      </c>
      <c r="D800" s="3">
        <v>60781.79</v>
      </c>
      <c r="E800" s="3">
        <v>18234.54</v>
      </c>
      <c r="F800" s="3">
        <v>4967.66</v>
      </c>
      <c r="G800" s="3">
        <v>3446.71</v>
      </c>
      <c r="H800" s="3">
        <v>83983.99</v>
      </c>
      <c r="I800" s="3">
        <v>80537.28</v>
      </c>
      <c r="J800" s="4">
        <v>45992.0</v>
      </c>
      <c r="K800" s="3">
        <v>13.0</v>
      </c>
      <c r="L800" s="3" t="s">
        <v>15</v>
      </c>
    </row>
    <row r="801" ht="15.75" customHeight="1">
      <c r="A801" s="3" t="s">
        <v>856</v>
      </c>
      <c r="B801" s="3" t="s">
        <v>13</v>
      </c>
      <c r="C801" s="3" t="s">
        <v>26</v>
      </c>
      <c r="D801" s="3">
        <v>90256.11</v>
      </c>
      <c r="E801" s="3">
        <v>27076.83</v>
      </c>
      <c r="F801" s="3">
        <v>9432.5</v>
      </c>
      <c r="G801" s="3">
        <v>14073.5</v>
      </c>
      <c r="H801" s="3">
        <v>126765.44</v>
      </c>
      <c r="I801" s="3">
        <v>112691.94</v>
      </c>
      <c r="J801" s="4">
        <v>45839.0</v>
      </c>
      <c r="K801" s="3">
        <v>9.0</v>
      </c>
      <c r="L801" s="3" t="s">
        <v>19</v>
      </c>
    </row>
    <row r="802" ht="15.75" customHeight="1">
      <c r="A802" s="3" t="s">
        <v>857</v>
      </c>
      <c r="B802" s="3" t="s">
        <v>13</v>
      </c>
      <c r="C802" s="3" t="s">
        <v>30</v>
      </c>
      <c r="D802" s="3">
        <v>28052.35</v>
      </c>
      <c r="E802" s="3">
        <v>8415.7</v>
      </c>
      <c r="F802" s="3">
        <v>1772.36</v>
      </c>
      <c r="G802" s="3">
        <v>3048.76</v>
      </c>
      <c r="H802" s="3">
        <v>38240.41</v>
      </c>
      <c r="I802" s="3">
        <v>35191.65</v>
      </c>
      <c r="J802" s="4">
        <v>45717.0</v>
      </c>
      <c r="K802" s="3">
        <v>19.0</v>
      </c>
      <c r="L802" s="3" t="s">
        <v>21</v>
      </c>
    </row>
    <row r="803" ht="15.75" customHeight="1">
      <c r="A803" s="3" t="s">
        <v>858</v>
      </c>
      <c r="B803" s="3" t="s">
        <v>36</v>
      </c>
      <c r="C803" s="3" t="s">
        <v>18</v>
      </c>
      <c r="D803" s="3">
        <v>80219.62</v>
      </c>
      <c r="E803" s="3">
        <v>24065.89</v>
      </c>
      <c r="F803" s="3">
        <v>4192.32</v>
      </c>
      <c r="G803" s="3">
        <v>12901.84</v>
      </c>
      <c r="H803" s="3">
        <v>108477.83</v>
      </c>
      <c r="I803" s="3">
        <v>95575.99</v>
      </c>
      <c r="J803" s="4">
        <v>45931.0</v>
      </c>
      <c r="K803" s="3">
        <v>11.0</v>
      </c>
      <c r="L803" s="3" t="s">
        <v>23</v>
      </c>
    </row>
    <row r="804" ht="15.75" customHeight="1">
      <c r="A804" s="3" t="s">
        <v>859</v>
      </c>
      <c r="B804" s="3" t="s">
        <v>29</v>
      </c>
      <c r="C804" s="3" t="s">
        <v>37</v>
      </c>
      <c r="D804" s="3">
        <v>49960.09</v>
      </c>
      <c r="E804" s="3">
        <v>14988.03</v>
      </c>
      <c r="F804" s="3">
        <v>6800.62</v>
      </c>
      <c r="G804" s="3">
        <v>11315.54</v>
      </c>
      <c r="H804" s="3">
        <v>71748.74</v>
      </c>
      <c r="I804" s="3">
        <v>60433.2</v>
      </c>
      <c r="J804" s="4">
        <v>45839.0</v>
      </c>
      <c r="K804" s="3">
        <v>10.0</v>
      </c>
      <c r="L804" s="3" t="s">
        <v>27</v>
      </c>
    </row>
    <row r="805" ht="15.75" customHeight="1">
      <c r="A805" s="3" t="s">
        <v>860</v>
      </c>
      <c r="B805" s="3" t="s">
        <v>53</v>
      </c>
      <c r="C805" s="3" t="s">
        <v>26</v>
      </c>
      <c r="D805" s="3">
        <v>110072.26</v>
      </c>
      <c r="E805" s="3">
        <v>33021.68</v>
      </c>
      <c r="F805" s="3">
        <v>3934.41</v>
      </c>
      <c r="G805" s="3">
        <v>18462.22</v>
      </c>
      <c r="H805" s="3">
        <v>147028.35</v>
      </c>
      <c r="I805" s="3">
        <v>128566.13</v>
      </c>
      <c r="J805" s="4">
        <v>45870.0</v>
      </c>
      <c r="K805" s="3">
        <v>9.0</v>
      </c>
      <c r="L805" s="3" t="s">
        <v>31</v>
      </c>
    </row>
    <row r="806" ht="15.75" customHeight="1">
      <c r="A806" s="3" t="s">
        <v>861</v>
      </c>
      <c r="B806" s="3" t="s">
        <v>29</v>
      </c>
      <c r="C806" s="3" t="s">
        <v>33</v>
      </c>
      <c r="D806" s="3">
        <v>30776.51</v>
      </c>
      <c r="E806" s="3">
        <v>9232.95</v>
      </c>
      <c r="F806" s="3">
        <v>4765.4</v>
      </c>
      <c r="G806" s="3">
        <v>3675.91</v>
      </c>
      <c r="H806" s="3">
        <v>44774.86</v>
      </c>
      <c r="I806" s="3">
        <v>41098.95</v>
      </c>
      <c r="J806" s="4">
        <v>45717.0</v>
      </c>
      <c r="K806" s="3">
        <v>20.0</v>
      </c>
      <c r="L806" s="3" t="s">
        <v>34</v>
      </c>
    </row>
    <row r="807" ht="15.75" customHeight="1">
      <c r="A807" s="3" t="s">
        <v>862</v>
      </c>
      <c r="B807" s="3" t="s">
        <v>25</v>
      </c>
      <c r="C807" s="3" t="s">
        <v>26</v>
      </c>
      <c r="D807" s="3">
        <v>113734.18</v>
      </c>
      <c r="E807" s="3">
        <v>34120.25</v>
      </c>
      <c r="F807" s="3">
        <v>17010.41</v>
      </c>
      <c r="G807" s="3">
        <v>15237.93</v>
      </c>
      <c r="H807" s="3">
        <v>164864.84</v>
      </c>
      <c r="I807" s="3">
        <v>149626.91</v>
      </c>
      <c r="J807" s="4">
        <v>45992.0</v>
      </c>
      <c r="K807" s="3">
        <v>21.0</v>
      </c>
      <c r="L807" s="3" t="s">
        <v>38</v>
      </c>
    </row>
    <row r="808" ht="15.75" customHeight="1">
      <c r="A808" s="3" t="s">
        <v>863</v>
      </c>
      <c r="B808" s="3" t="s">
        <v>51</v>
      </c>
      <c r="C808" s="3" t="s">
        <v>14</v>
      </c>
      <c r="D808" s="3">
        <v>19544.1</v>
      </c>
      <c r="E808" s="3">
        <v>5863.23</v>
      </c>
      <c r="F808" s="3">
        <v>1565.72</v>
      </c>
      <c r="G808" s="3">
        <v>1984.34</v>
      </c>
      <c r="H808" s="3">
        <v>26973.05</v>
      </c>
      <c r="I808" s="3">
        <v>24988.71</v>
      </c>
      <c r="J808" s="4">
        <v>45901.0</v>
      </c>
      <c r="K808" s="3">
        <v>25.0</v>
      </c>
      <c r="L808" s="3" t="s">
        <v>40</v>
      </c>
    </row>
    <row r="809" ht="15.75" customHeight="1">
      <c r="A809" s="3" t="s">
        <v>864</v>
      </c>
      <c r="B809" s="3" t="s">
        <v>53</v>
      </c>
      <c r="C809" s="3" t="s">
        <v>18</v>
      </c>
      <c r="D809" s="3">
        <v>82798.68</v>
      </c>
      <c r="E809" s="3">
        <v>24839.6</v>
      </c>
      <c r="F809" s="3">
        <v>861.98</v>
      </c>
      <c r="G809" s="3">
        <v>9665.18</v>
      </c>
      <c r="H809" s="3">
        <v>108500.26</v>
      </c>
      <c r="I809" s="3">
        <v>98835.08</v>
      </c>
      <c r="J809" s="4">
        <v>45962.0</v>
      </c>
      <c r="K809" s="3">
        <v>21.0</v>
      </c>
      <c r="L809" s="3" t="s">
        <v>42</v>
      </c>
    </row>
    <row r="810" ht="15.75" customHeight="1">
      <c r="A810" s="3" t="s">
        <v>865</v>
      </c>
      <c r="B810" s="3" t="s">
        <v>17</v>
      </c>
      <c r="C810" s="3" t="s">
        <v>26</v>
      </c>
      <c r="D810" s="3">
        <v>93279.19</v>
      </c>
      <c r="E810" s="3">
        <v>27983.76</v>
      </c>
      <c r="F810" s="3">
        <v>2711.22</v>
      </c>
      <c r="G810" s="3">
        <v>25909.09</v>
      </c>
      <c r="H810" s="3">
        <v>123974.17</v>
      </c>
      <c r="I810" s="3">
        <v>98065.08</v>
      </c>
      <c r="J810" s="4">
        <v>45839.0</v>
      </c>
      <c r="K810" s="3">
        <v>12.0</v>
      </c>
      <c r="L810" s="3" t="s">
        <v>15</v>
      </c>
    </row>
    <row r="811" ht="15.75" customHeight="1">
      <c r="A811" s="3" t="s">
        <v>866</v>
      </c>
      <c r="B811" s="3" t="s">
        <v>17</v>
      </c>
      <c r="C811" s="3" t="s">
        <v>14</v>
      </c>
      <c r="D811" s="3">
        <v>19894.26</v>
      </c>
      <c r="E811" s="3">
        <v>5968.28</v>
      </c>
      <c r="F811" s="3">
        <v>1475.5</v>
      </c>
      <c r="G811" s="3">
        <v>3634.85</v>
      </c>
      <c r="H811" s="3">
        <v>27338.04</v>
      </c>
      <c r="I811" s="3">
        <v>23703.19</v>
      </c>
      <c r="J811" s="4">
        <v>45992.0</v>
      </c>
      <c r="K811" s="3">
        <v>5.0</v>
      </c>
      <c r="L811" s="3" t="s">
        <v>19</v>
      </c>
    </row>
    <row r="812" ht="15.75" customHeight="1">
      <c r="A812" s="3" t="s">
        <v>867</v>
      </c>
      <c r="B812" s="3" t="s">
        <v>36</v>
      </c>
      <c r="C812" s="3" t="s">
        <v>54</v>
      </c>
      <c r="D812" s="3">
        <v>43595.52</v>
      </c>
      <c r="E812" s="3">
        <v>13078.66</v>
      </c>
      <c r="F812" s="3">
        <v>4542.7</v>
      </c>
      <c r="G812" s="3">
        <v>9306.85</v>
      </c>
      <c r="H812" s="3">
        <v>61216.88</v>
      </c>
      <c r="I812" s="3">
        <v>51910.03</v>
      </c>
      <c r="J812" s="4">
        <v>45931.0</v>
      </c>
      <c r="K812" s="3">
        <v>14.0</v>
      </c>
      <c r="L812" s="3" t="s">
        <v>21</v>
      </c>
    </row>
    <row r="813" ht="15.75" customHeight="1">
      <c r="A813" s="3" t="s">
        <v>868</v>
      </c>
      <c r="B813" s="3" t="s">
        <v>17</v>
      </c>
      <c r="C813" s="3" t="s">
        <v>26</v>
      </c>
      <c r="D813" s="3">
        <v>119528.23</v>
      </c>
      <c r="E813" s="3">
        <v>35858.47</v>
      </c>
      <c r="F813" s="3">
        <v>15306.58</v>
      </c>
      <c r="G813" s="3">
        <v>15740.87</v>
      </c>
      <c r="H813" s="3">
        <v>170693.28</v>
      </c>
      <c r="I813" s="3">
        <v>154952.41</v>
      </c>
      <c r="J813" s="4">
        <v>45748.0</v>
      </c>
      <c r="K813" s="3">
        <v>18.0</v>
      </c>
      <c r="L813" s="3" t="s">
        <v>23</v>
      </c>
    </row>
    <row r="814" ht="15.75" customHeight="1">
      <c r="A814" s="3" t="s">
        <v>869</v>
      </c>
      <c r="B814" s="3" t="s">
        <v>25</v>
      </c>
      <c r="C814" s="3" t="s">
        <v>18</v>
      </c>
      <c r="D814" s="3">
        <v>89199.72</v>
      </c>
      <c r="E814" s="3">
        <v>26759.92</v>
      </c>
      <c r="F814" s="3">
        <v>9243.83</v>
      </c>
      <c r="G814" s="3">
        <v>5211.4</v>
      </c>
      <c r="H814" s="3">
        <v>125203.47</v>
      </c>
      <c r="I814" s="3">
        <v>119992.07</v>
      </c>
      <c r="J814" s="4">
        <v>45931.0</v>
      </c>
      <c r="K814" s="3">
        <v>20.0</v>
      </c>
      <c r="L814" s="3" t="s">
        <v>27</v>
      </c>
    </row>
    <row r="815" ht="15.75" customHeight="1">
      <c r="A815" s="3" t="s">
        <v>870</v>
      </c>
      <c r="B815" s="3" t="s">
        <v>53</v>
      </c>
      <c r="C815" s="3" t="s">
        <v>37</v>
      </c>
      <c r="D815" s="5"/>
      <c r="E815" s="3">
        <v>17271.63</v>
      </c>
      <c r="F815" s="3">
        <v>7083.56</v>
      </c>
      <c r="G815" s="3">
        <v>11641.5</v>
      </c>
      <c r="H815" s="3">
        <v>81927.29</v>
      </c>
      <c r="I815" s="3">
        <v>70285.79</v>
      </c>
      <c r="J815" s="4">
        <v>45809.0</v>
      </c>
      <c r="K815" s="3">
        <v>25.0</v>
      </c>
      <c r="L815" s="3" t="s">
        <v>31</v>
      </c>
    </row>
    <row r="816" ht="15.75" customHeight="1">
      <c r="A816" s="3" t="s">
        <v>871</v>
      </c>
      <c r="B816" s="3" t="s">
        <v>51</v>
      </c>
      <c r="C816" s="3" t="s">
        <v>18</v>
      </c>
      <c r="D816" s="3">
        <v>65007.47</v>
      </c>
      <c r="E816" s="3">
        <v>19502.24</v>
      </c>
      <c r="F816" s="3">
        <v>2047.02</v>
      </c>
      <c r="G816" s="3">
        <v>19440.17</v>
      </c>
      <c r="H816" s="3">
        <v>86556.73</v>
      </c>
      <c r="I816" s="3">
        <v>67116.56</v>
      </c>
      <c r="J816" s="4">
        <v>45839.0</v>
      </c>
      <c r="K816" s="3">
        <v>22.0</v>
      </c>
      <c r="L816" s="3" t="s">
        <v>34</v>
      </c>
    </row>
    <row r="817" ht="15.75" customHeight="1">
      <c r="A817" s="3" t="s">
        <v>872</v>
      </c>
      <c r="B817" s="3" t="s">
        <v>29</v>
      </c>
      <c r="C817" s="3" t="s">
        <v>18</v>
      </c>
      <c r="D817" s="3">
        <v>75273.72</v>
      </c>
      <c r="E817" s="3">
        <v>22582.12</v>
      </c>
      <c r="F817" s="3">
        <v>8823.29</v>
      </c>
      <c r="G817" s="3">
        <v>11691.73</v>
      </c>
      <c r="H817" s="3">
        <v>106679.13</v>
      </c>
      <c r="I817" s="3">
        <v>94987.4</v>
      </c>
      <c r="J817" s="4">
        <v>45992.0</v>
      </c>
      <c r="K817" s="3">
        <v>12.0</v>
      </c>
      <c r="L817" s="3" t="s">
        <v>38</v>
      </c>
    </row>
    <row r="818" ht="15.75" customHeight="1">
      <c r="A818" s="3" t="s">
        <v>873</v>
      </c>
      <c r="B818" s="3" t="s">
        <v>13</v>
      </c>
      <c r="C818" s="3" t="s">
        <v>14</v>
      </c>
      <c r="D818" s="3">
        <v>24618.08</v>
      </c>
      <c r="E818" s="3">
        <v>7385.42</v>
      </c>
      <c r="F818" s="3">
        <v>2705.98</v>
      </c>
      <c r="G818" s="3">
        <v>5362.84</v>
      </c>
      <c r="H818" s="3">
        <v>34709.48</v>
      </c>
      <c r="I818" s="3">
        <v>29346.64</v>
      </c>
      <c r="J818" s="4">
        <v>45901.0</v>
      </c>
      <c r="K818" s="3">
        <v>22.0</v>
      </c>
      <c r="L818" s="3" t="s">
        <v>40</v>
      </c>
    </row>
    <row r="819" ht="15.75" customHeight="1">
      <c r="A819" s="3" t="s">
        <v>874</v>
      </c>
      <c r="B819" s="3" t="s">
        <v>53</v>
      </c>
      <c r="C819" s="3" t="s">
        <v>33</v>
      </c>
      <c r="D819" s="3">
        <v>28474.75</v>
      </c>
      <c r="E819" s="3">
        <v>8542.42</v>
      </c>
      <c r="F819" s="3">
        <v>4644.32</v>
      </c>
      <c r="G819" s="3">
        <v>1933.11</v>
      </c>
      <c r="H819" s="3">
        <v>41661.49</v>
      </c>
      <c r="I819" s="3">
        <v>39728.38</v>
      </c>
      <c r="J819" s="3" t="s">
        <v>142</v>
      </c>
      <c r="K819" s="3">
        <v>16.0</v>
      </c>
      <c r="L819" s="3" t="s">
        <v>42</v>
      </c>
    </row>
    <row r="820" ht="15.75" customHeight="1">
      <c r="A820" s="3" t="s">
        <v>875</v>
      </c>
      <c r="B820" s="3" t="s">
        <v>36</v>
      </c>
      <c r="C820" s="3" t="s">
        <v>54</v>
      </c>
      <c r="D820" s="3">
        <v>43048.69</v>
      </c>
      <c r="E820" s="3">
        <v>12914.61</v>
      </c>
      <c r="F820" s="3">
        <v>2248.07</v>
      </c>
      <c r="G820" s="3">
        <v>5257.98</v>
      </c>
      <c r="H820" s="3">
        <v>58211.37</v>
      </c>
      <c r="I820" s="3">
        <v>52953.39</v>
      </c>
      <c r="J820" s="4">
        <v>45689.0</v>
      </c>
      <c r="K820" s="3">
        <v>1.0</v>
      </c>
      <c r="L820" s="3" t="s">
        <v>15</v>
      </c>
    </row>
    <row r="821" ht="15.75" customHeight="1">
      <c r="A821" s="3" t="s">
        <v>876</v>
      </c>
      <c r="B821" s="3" t="s">
        <v>53</v>
      </c>
      <c r="C821" s="3" t="s">
        <v>14</v>
      </c>
      <c r="D821" s="3">
        <v>21622.82</v>
      </c>
      <c r="E821" s="3">
        <v>6486.85</v>
      </c>
      <c r="F821" s="3">
        <v>1470.2</v>
      </c>
      <c r="G821" s="3">
        <v>759.02</v>
      </c>
      <c r="H821" s="3">
        <v>29579.87</v>
      </c>
      <c r="I821" s="3">
        <v>28820.85</v>
      </c>
      <c r="J821" s="4">
        <v>45901.0</v>
      </c>
      <c r="K821" s="3">
        <v>25.0</v>
      </c>
      <c r="L821" s="3" t="s">
        <v>19</v>
      </c>
    </row>
    <row r="822" ht="15.75" customHeight="1">
      <c r="A822" s="3" t="s">
        <v>877</v>
      </c>
      <c r="B822" s="3" t="s">
        <v>29</v>
      </c>
      <c r="C822" s="3" t="s">
        <v>37</v>
      </c>
      <c r="D822" s="3">
        <v>59636.65</v>
      </c>
      <c r="E822" s="3">
        <v>17890.99</v>
      </c>
      <c r="F822" s="3">
        <v>6856.95</v>
      </c>
      <c r="G822" s="3">
        <v>12419.78</v>
      </c>
      <c r="H822" s="3">
        <v>84384.59</v>
      </c>
      <c r="I822" s="3">
        <v>71964.81</v>
      </c>
      <c r="J822" s="4">
        <v>45839.0</v>
      </c>
      <c r="K822" s="3">
        <v>22.0</v>
      </c>
      <c r="L822" s="3" t="s">
        <v>21</v>
      </c>
    </row>
    <row r="823" ht="15.75" customHeight="1">
      <c r="A823" s="3" t="s">
        <v>878</v>
      </c>
      <c r="B823" s="3" t="s">
        <v>53</v>
      </c>
      <c r="C823" s="3" t="s">
        <v>54</v>
      </c>
      <c r="D823" s="3">
        <v>45779.54</v>
      </c>
      <c r="E823" s="3">
        <v>13733.86</v>
      </c>
      <c r="F823" s="3">
        <v>6935.36</v>
      </c>
      <c r="G823" s="3">
        <v>13201.52</v>
      </c>
      <c r="H823" s="3">
        <v>66448.76</v>
      </c>
      <c r="I823" s="3">
        <v>53247.24</v>
      </c>
      <c r="J823" s="4">
        <v>45870.0</v>
      </c>
      <c r="K823" s="3">
        <v>1.0</v>
      </c>
      <c r="L823" s="3" t="s">
        <v>23</v>
      </c>
    </row>
    <row r="824" ht="15.75" customHeight="1">
      <c r="A824" s="3" t="s">
        <v>879</v>
      </c>
      <c r="B824" s="5"/>
      <c r="C824" s="3" t="s">
        <v>54</v>
      </c>
      <c r="D824" s="3">
        <v>47551.33</v>
      </c>
      <c r="E824" s="3">
        <v>14265.4</v>
      </c>
      <c r="F824" s="3">
        <v>8198.07</v>
      </c>
      <c r="G824" s="3">
        <v>6875.5</v>
      </c>
      <c r="H824" s="3">
        <v>70014.8</v>
      </c>
      <c r="I824" s="3">
        <v>63139.3</v>
      </c>
      <c r="J824" s="4">
        <v>45778.0</v>
      </c>
      <c r="K824" s="3">
        <v>10.0</v>
      </c>
      <c r="L824" s="3" t="s">
        <v>27</v>
      </c>
    </row>
    <row r="825" ht="15.75" customHeight="1">
      <c r="A825" s="3" t="s">
        <v>880</v>
      </c>
      <c r="B825" s="3" t="s">
        <v>17</v>
      </c>
      <c r="C825" s="3" t="s">
        <v>54</v>
      </c>
      <c r="D825" s="3">
        <v>43871.27</v>
      </c>
      <c r="E825" s="3">
        <v>13161.38</v>
      </c>
      <c r="F825" s="3">
        <v>8723.35</v>
      </c>
      <c r="G825" s="3">
        <v>8909.11</v>
      </c>
      <c r="H825" s="3">
        <v>65756.0</v>
      </c>
      <c r="I825" s="3">
        <v>56846.89</v>
      </c>
      <c r="J825" s="4">
        <v>45748.0</v>
      </c>
      <c r="K825" s="3">
        <v>5.0</v>
      </c>
      <c r="L825" s="3" t="s">
        <v>31</v>
      </c>
    </row>
    <row r="826" ht="15.75" customHeight="1">
      <c r="A826" s="3" t="s">
        <v>881</v>
      </c>
      <c r="B826" s="3" t="s">
        <v>25</v>
      </c>
      <c r="C826" s="3" t="s">
        <v>33</v>
      </c>
      <c r="D826" s="5"/>
      <c r="E826" s="3">
        <v>8737.28</v>
      </c>
      <c r="F826" s="3">
        <v>2056.73</v>
      </c>
      <c r="G826" s="3">
        <v>4680.14</v>
      </c>
      <c r="H826" s="3">
        <v>39918.27</v>
      </c>
      <c r="I826" s="3">
        <v>35238.13</v>
      </c>
      <c r="J826" s="3" t="s">
        <v>882</v>
      </c>
      <c r="K826" s="3">
        <v>18.0</v>
      </c>
      <c r="L826" s="3" t="s">
        <v>34</v>
      </c>
    </row>
    <row r="827" ht="15.75" customHeight="1">
      <c r="A827" s="3" t="s">
        <v>883</v>
      </c>
      <c r="B827" s="3" t="s">
        <v>25</v>
      </c>
      <c r="C827" s="3" t="s">
        <v>33</v>
      </c>
      <c r="D827" s="3">
        <v>27482.58</v>
      </c>
      <c r="E827" s="3">
        <v>8244.77</v>
      </c>
      <c r="F827" s="3">
        <v>511.23</v>
      </c>
      <c r="G827" s="3">
        <v>5554.49</v>
      </c>
      <c r="H827" s="3">
        <v>36238.58</v>
      </c>
      <c r="I827" s="3">
        <v>30684.09</v>
      </c>
      <c r="J827" s="4">
        <v>45809.0</v>
      </c>
      <c r="K827" s="3">
        <v>15.0</v>
      </c>
      <c r="L827" s="3" t="s">
        <v>38</v>
      </c>
    </row>
    <row r="828" ht="15.75" customHeight="1">
      <c r="A828" s="3" t="s">
        <v>884</v>
      </c>
      <c r="B828" s="3" t="s">
        <v>17</v>
      </c>
      <c r="C828" s="3" t="s">
        <v>37</v>
      </c>
      <c r="D828" s="3">
        <v>61765.13</v>
      </c>
      <c r="E828" s="3">
        <v>18529.54</v>
      </c>
      <c r="F828" s="3">
        <v>5886.9</v>
      </c>
      <c r="G828" s="3">
        <v>6550.89</v>
      </c>
      <c r="H828" s="3">
        <v>86181.57</v>
      </c>
      <c r="I828" s="3">
        <v>79630.68</v>
      </c>
      <c r="J828" s="4">
        <v>45931.0</v>
      </c>
      <c r="K828" s="3">
        <v>21.0</v>
      </c>
      <c r="L828" s="3" t="s">
        <v>40</v>
      </c>
    </row>
    <row r="829" ht="15.75" customHeight="1">
      <c r="A829" s="3" t="s">
        <v>885</v>
      </c>
      <c r="B829" s="3" t="s">
        <v>29</v>
      </c>
      <c r="C829" s="3" t="s">
        <v>30</v>
      </c>
      <c r="D829" s="3">
        <v>30334.64</v>
      </c>
      <c r="E829" s="3">
        <v>9100.39</v>
      </c>
      <c r="F829" s="3">
        <v>4144.36</v>
      </c>
      <c r="G829" s="3">
        <v>8280.7</v>
      </c>
      <c r="H829" s="3">
        <v>43579.39</v>
      </c>
      <c r="I829" s="3">
        <v>35298.69</v>
      </c>
      <c r="J829" s="4">
        <v>45870.0</v>
      </c>
      <c r="K829" s="3">
        <v>9.0</v>
      </c>
      <c r="L829" s="3" t="s">
        <v>42</v>
      </c>
    </row>
    <row r="830" ht="15.75" customHeight="1">
      <c r="A830" s="3" t="s">
        <v>886</v>
      </c>
      <c r="B830" s="3" t="s">
        <v>51</v>
      </c>
      <c r="C830" s="3" t="s">
        <v>26</v>
      </c>
      <c r="D830" s="3">
        <v>98989.04</v>
      </c>
      <c r="E830" s="3">
        <v>29696.71</v>
      </c>
      <c r="F830" s="3">
        <v>12246.86</v>
      </c>
      <c r="G830" s="3">
        <v>4632.56</v>
      </c>
      <c r="H830" s="3">
        <v>140932.61</v>
      </c>
      <c r="I830" s="3">
        <v>136300.05</v>
      </c>
      <c r="J830" s="4">
        <v>45689.0</v>
      </c>
      <c r="K830" s="3">
        <v>22.0</v>
      </c>
      <c r="L830" s="3" t="s">
        <v>19</v>
      </c>
    </row>
    <row r="831" ht="15.75" customHeight="1">
      <c r="A831" s="3" t="s">
        <v>887</v>
      </c>
      <c r="B831" s="3" t="s">
        <v>17</v>
      </c>
      <c r="C831" s="3" t="s">
        <v>14</v>
      </c>
      <c r="D831" s="3">
        <v>22865.85</v>
      </c>
      <c r="E831" s="3">
        <v>6859.75</v>
      </c>
      <c r="F831" s="3">
        <v>3033.95</v>
      </c>
      <c r="G831" s="3">
        <v>4210.7</v>
      </c>
      <c r="H831" s="3">
        <v>32759.55</v>
      </c>
      <c r="I831" s="3">
        <v>28548.85</v>
      </c>
      <c r="J831" s="4">
        <v>45901.0</v>
      </c>
      <c r="K831" s="3">
        <v>7.0</v>
      </c>
      <c r="L831" s="3" t="s">
        <v>21</v>
      </c>
    </row>
    <row r="832" ht="15.75" customHeight="1">
      <c r="A832" s="3" t="s">
        <v>888</v>
      </c>
      <c r="B832" s="3" t="s">
        <v>17</v>
      </c>
      <c r="C832" s="3" t="s">
        <v>26</v>
      </c>
      <c r="D832" s="3">
        <v>107362.51</v>
      </c>
      <c r="E832" s="3">
        <v>32208.75</v>
      </c>
      <c r="F832" s="3">
        <v>13327.28</v>
      </c>
      <c r="G832" s="3">
        <v>15857.67</v>
      </c>
      <c r="H832" s="3">
        <v>152898.54</v>
      </c>
      <c r="I832" s="3">
        <v>137040.87</v>
      </c>
      <c r="J832" s="4">
        <v>45931.0</v>
      </c>
      <c r="K832" s="3">
        <v>15.0</v>
      </c>
      <c r="L832" s="3" t="s">
        <v>23</v>
      </c>
    </row>
    <row r="833" ht="15.75" customHeight="1">
      <c r="A833" s="3" t="s">
        <v>889</v>
      </c>
      <c r="B833" s="3" t="s">
        <v>25</v>
      </c>
      <c r="C833" s="3" t="s">
        <v>33</v>
      </c>
      <c r="D833" s="3">
        <v>29908.05</v>
      </c>
      <c r="E833" s="3">
        <v>8972.41</v>
      </c>
      <c r="F833" s="3">
        <v>5888.27</v>
      </c>
      <c r="G833" s="3">
        <v>8218.79</v>
      </c>
      <c r="H833" s="3">
        <v>44768.73</v>
      </c>
      <c r="I833" s="3">
        <v>36549.94</v>
      </c>
      <c r="J833" s="4">
        <v>45778.0</v>
      </c>
      <c r="K833" s="3">
        <v>10.0</v>
      </c>
      <c r="L833" s="3" t="s">
        <v>27</v>
      </c>
    </row>
    <row r="834" ht="15.75" customHeight="1">
      <c r="A834" s="3" t="s">
        <v>890</v>
      </c>
      <c r="B834" s="3" t="s">
        <v>36</v>
      </c>
      <c r="C834" s="3" t="s">
        <v>30</v>
      </c>
      <c r="D834" s="3">
        <v>28601.49</v>
      </c>
      <c r="E834" s="3">
        <v>8580.45</v>
      </c>
      <c r="F834" s="3">
        <v>733.61</v>
      </c>
      <c r="G834" s="3">
        <v>4511.05</v>
      </c>
      <c r="H834" s="3">
        <v>37915.55</v>
      </c>
      <c r="I834" s="3">
        <v>33404.5</v>
      </c>
      <c r="J834" s="4">
        <v>45839.0</v>
      </c>
      <c r="K834" s="3">
        <v>15.0</v>
      </c>
      <c r="L834" s="3" t="s">
        <v>31</v>
      </c>
    </row>
    <row r="835" ht="15.75" customHeight="1">
      <c r="A835" s="3" t="s">
        <v>891</v>
      </c>
      <c r="B835" s="3" t="s">
        <v>36</v>
      </c>
      <c r="C835" s="3" t="s">
        <v>37</v>
      </c>
      <c r="D835" s="3">
        <v>45586.13</v>
      </c>
      <c r="E835" s="3">
        <v>13675.84</v>
      </c>
      <c r="F835" s="3">
        <v>3166.31</v>
      </c>
      <c r="G835" s="3">
        <v>11766.69</v>
      </c>
      <c r="H835" s="3">
        <v>62428.28</v>
      </c>
      <c r="I835" s="3">
        <v>50661.59</v>
      </c>
      <c r="J835" s="4">
        <v>45717.0</v>
      </c>
      <c r="K835" s="3">
        <v>12.0</v>
      </c>
      <c r="L835" s="3" t="s">
        <v>34</v>
      </c>
    </row>
    <row r="836" ht="15.75" customHeight="1">
      <c r="A836" s="3" t="s">
        <v>892</v>
      </c>
      <c r="B836" s="3" t="s">
        <v>36</v>
      </c>
      <c r="C836" s="3" t="s">
        <v>14</v>
      </c>
      <c r="D836" s="3">
        <v>23027.36</v>
      </c>
      <c r="E836" s="3">
        <v>6908.21</v>
      </c>
      <c r="F836" s="3">
        <v>2118.84</v>
      </c>
      <c r="G836" s="3">
        <v>4761.21</v>
      </c>
      <c r="H836" s="3">
        <v>32054.41</v>
      </c>
      <c r="I836" s="3">
        <v>27293.2</v>
      </c>
      <c r="J836" s="4">
        <v>45658.0</v>
      </c>
      <c r="K836" s="3">
        <v>5.0</v>
      </c>
      <c r="L836" s="3" t="s">
        <v>38</v>
      </c>
    </row>
    <row r="837" ht="15.75" customHeight="1">
      <c r="A837" s="3" t="s">
        <v>893</v>
      </c>
      <c r="B837" s="3" t="s">
        <v>13</v>
      </c>
      <c r="C837" s="3" t="s">
        <v>30</v>
      </c>
      <c r="D837" s="3">
        <v>25338.97</v>
      </c>
      <c r="E837" s="3">
        <v>7601.69</v>
      </c>
      <c r="F837" s="3">
        <v>510.57</v>
      </c>
      <c r="G837" s="3">
        <v>2748.79</v>
      </c>
      <c r="H837" s="3">
        <v>33451.23</v>
      </c>
      <c r="I837" s="3">
        <v>30702.44</v>
      </c>
      <c r="J837" s="4">
        <v>45778.0</v>
      </c>
      <c r="K837" s="3">
        <v>9.0</v>
      </c>
      <c r="L837" s="3" t="s">
        <v>40</v>
      </c>
    </row>
    <row r="838" ht="15.75" customHeight="1">
      <c r="A838" s="3" t="s">
        <v>894</v>
      </c>
      <c r="B838" s="3" t="s">
        <v>29</v>
      </c>
      <c r="C838" s="3" t="s">
        <v>30</v>
      </c>
      <c r="D838" s="3">
        <v>26389.18</v>
      </c>
      <c r="E838" s="3">
        <v>7916.75</v>
      </c>
      <c r="F838" s="3">
        <v>1111.16</v>
      </c>
      <c r="G838" s="3">
        <v>5547.37</v>
      </c>
      <c r="H838" s="3">
        <v>35417.09</v>
      </c>
      <c r="I838" s="3">
        <v>29869.72</v>
      </c>
      <c r="J838" s="4">
        <v>45809.0</v>
      </c>
      <c r="K838" s="3">
        <v>19.0</v>
      </c>
      <c r="L838" s="3" t="s">
        <v>15</v>
      </c>
    </row>
    <row r="839" ht="15.75" customHeight="1">
      <c r="A839" s="3" t="s">
        <v>895</v>
      </c>
      <c r="B839" s="3" t="s">
        <v>29</v>
      </c>
      <c r="C839" s="3" t="s">
        <v>26</v>
      </c>
      <c r="D839" s="3">
        <v>104421.33</v>
      </c>
      <c r="E839" s="3">
        <v>31326.4</v>
      </c>
      <c r="F839" s="3">
        <v>9413.14</v>
      </c>
      <c r="G839" s="3">
        <v>17900.21</v>
      </c>
      <c r="H839" s="3">
        <v>145160.87</v>
      </c>
      <c r="I839" s="3">
        <v>127260.66</v>
      </c>
      <c r="J839" s="4">
        <v>45931.0</v>
      </c>
      <c r="K839" s="3">
        <v>8.0</v>
      </c>
      <c r="L839" s="3" t="s">
        <v>19</v>
      </c>
    </row>
    <row r="840" ht="15.75" customHeight="1">
      <c r="A840" s="3" t="s">
        <v>896</v>
      </c>
      <c r="B840" s="3" t="s">
        <v>13</v>
      </c>
      <c r="C840" s="3" t="s">
        <v>30</v>
      </c>
      <c r="D840" s="3">
        <v>29164.88</v>
      </c>
      <c r="E840" s="3">
        <v>8749.46</v>
      </c>
      <c r="F840" s="3">
        <v>4204.5</v>
      </c>
      <c r="G840" s="3">
        <v>7035.34</v>
      </c>
      <c r="H840" s="3">
        <v>42118.84</v>
      </c>
      <c r="I840" s="3">
        <v>35083.5</v>
      </c>
      <c r="J840" s="4">
        <v>45901.0</v>
      </c>
      <c r="K840" s="3">
        <v>12.0</v>
      </c>
      <c r="L840" s="3" t="s">
        <v>21</v>
      </c>
    </row>
    <row r="841" ht="15.75" customHeight="1">
      <c r="A841" s="3" t="s">
        <v>897</v>
      </c>
      <c r="B841" s="3" t="s">
        <v>36</v>
      </c>
      <c r="C841" s="3" t="s">
        <v>26</v>
      </c>
      <c r="D841" s="3">
        <v>103711.8</v>
      </c>
      <c r="E841" s="3">
        <v>31113.54</v>
      </c>
      <c r="F841" s="3">
        <v>3025.14</v>
      </c>
      <c r="G841" s="3">
        <v>29842.49</v>
      </c>
      <c r="H841" s="3">
        <v>137850.48</v>
      </c>
      <c r="I841" s="3">
        <v>108007.99</v>
      </c>
      <c r="J841" s="4">
        <v>45717.0</v>
      </c>
      <c r="K841" s="3">
        <v>20.0</v>
      </c>
      <c r="L841" s="3" t="s">
        <v>23</v>
      </c>
    </row>
    <row r="842" ht="15.75" customHeight="1">
      <c r="A842" s="3" t="s">
        <v>898</v>
      </c>
      <c r="B842" s="3" t="s">
        <v>36</v>
      </c>
      <c r="C842" s="3" t="s">
        <v>26</v>
      </c>
      <c r="D842" s="3">
        <v>90350.72</v>
      </c>
      <c r="E842" s="3">
        <v>27105.22</v>
      </c>
      <c r="F842" s="3">
        <v>7616.94</v>
      </c>
      <c r="G842" s="3">
        <v>3644.88</v>
      </c>
      <c r="H842" s="3">
        <v>125072.88</v>
      </c>
      <c r="I842" s="3">
        <v>121428.0</v>
      </c>
      <c r="J842" s="4">
        <v>45962.0</v>
      </c>
      <c r="K842" s="3">
        <v>23.0</v>
      </c>
      <c r="L842" s="3" t="s">
        <v>27</v>
      </c>
    </row>
    <row r="843" ht="15.75" customHeight="1">
      <c r="A843" s="3" t="s">
        <v>899</v>
      </c>
      <c r="B843" s="3" t="s">
        <v>53</v>
      </c>
      <c r="C843" s="3" t="s">
        <v>37</v>
      </c>
      <c r="D843" s="3">
        <v>57970.09</v>
      </c>
      <c r="E843" s="3">
        <v>17391.03</v>
      </c>
      <c r="F843" s="3">
        <v>9105.16</v>
      </c>
      <c r="G843" s="3">
        <v>5217.9</v>
      </c>
      <c r="H843" s="3">
        <v>84466.28</v>
      </c>
      <c r="I843" s="3">
        <v>79248.38</v>
      </c>
      <c r="J843" s="4">
        <v>45901.0</v>
      </c>
      <c r="K843" s="3">
        <v>7.0</v>
      </c>
      <c r="L843" s="3" t="s">
        <v>31</v>
      </c>
    </row>
    <row r="844" ht="15.75" customHeight="1">
      <c r="A844" s="3" t="s">
        <v>900</v>
      </c>
      <c r="B844" s="3" t="s">
        <v>25</v>
      </c>
      <c r="C844" s="3" t="s">
        <v>37</v>
      </c>
      <c r="D844" s="3">
        <v>45858.77</v>
      </c>
      <c r="E844" s="3">
        <v>13757.63</v>
      </c>
      <c r="F844" s="3">
        <v>907.77</v>
      </c>
      <c r="G844" s="3">
        <v>2247.2</v>
      </c>
      <c r="H844" s="3">
        <v>60524.17</v>
      </c>
      <c r="I844" s="3">
        <v>58276.97</v>
      </c>
      <c r="J844" s="4">
        <v>45748.0</v>
      </c>
      <c r="K844" s="3">
        <v>12.0</v>
      </c>
      <c r="L844" s="3" t="s">
        <v>34</v>
      </c>
    </row>
    <row r="845" ht="15.75" customHeight="1">
      <c r="A845" s="3" t="s">
        <v>901</v>
      </c>
      <c r="B845" s="3" t="s">
        <v>25</v>
      </c>
      <c r="C845" s="3" t="s">
        <v>33</v>
      </c>
      <c r="D845" s="3">
        <v>29765.39</v>
      </c>
      <c r="E845" s="3">
        <v>8929.62</v>
      </c>
      <c r="F845" s="3">
        <v>3749.62</v>
      </c>
      <c r="G845" s="3">
        <v>4017.03</v>
      </c>
      <c r="H845" s="3">
        <v>42444.63</v>
      </c>
      <c r="I845" s="3">
        <v>38427.6</v>
      </c>
      <c r="J845" s="4">
        <v>45809.0</v>
      </c>
      <c r="K845" s="3">
        <v>14.0</v>
      </c>
      <c r="L845" s="3" t="s">
        <v>38</v>
      </c>
    </row>
    <row r="846" ht="15.75" customHeight="1">
      <c r="A846" s="3" t="s">
        <v>902</v>
      </c>
      <c r="B846" s="3" t="s">
        <v>29</v>
      </c>
      <c r="C846" s="3" t="s">
        <v>33</v>
      </c>
      <c r="D846" s="3">
        <v>28603.07</v>
      </c>
      <c r="E846" s="3">
        <v>8580.92</v>
      </c>
      <c r="F846" s="3">
        <v>3189.19</v>
      </c>
      <c r="G846" s="3">
        <v>6950.68</v>
      </c>
      <c r="H846" s="3">
        <v>40373.18</v>
      </c>
      <c r="I846" s="3">
        <v>33422.5</v>
      </c>
      <c r="J846" s="4">
        <v>45809.0</v>
      </c>
      <c r="K846" s="3">
        <v>7.0</v>
      </c>
      <c r="L846" s="3" t="s">
        <v>40</v>
      </c>
    </row>
    <row r="847" ht="15.75" customHeight="1">
      <c r="A847" s="3" t="s">
        <v>903</v>
      </c>
      <c r="B847" s="3" t="s">
        <v>17</v>
      </c>
      <c r="C847" s="3" t="s">
        <v>54</v>
      </c>
      <c r="D847" s="3">
        <v>36697.32</v>
      </c>
      <c r="E847" s="3">
        <v>11009.2</v>
      </c>
      <c r="F847" s="3">
        <v>6366.02</v>
      </c>
      <c r="G847" s="3">
        <v>10603.14</v>
      </c>
      <c r="H847" s="3">
        <v>54072.54</v>
      </c>
      <c r="I847" s="3">
        <v>43469.4</v>
      </c>
      <c r="J847" s="4">
        <v>45748.0</v>
      </c>
      <c r="K847" s="3">
        <v>6.0</v>
      </c>
      <c r="L847" s="3" t="s">
        <v>42</v>
      </c>
    </row>
    <row r="848" ht="15.75" customHeight="1">
      <c r="A848" s="3" t="s">
        <v>904</v>
      </c>
      <c r="B848" s="3" t="s">
        <v>53</v>
      </c>
      <c r="C848" s="3" t="s">
        <v>37</v>
      </c>
      <c r="D848" s="3">
        <v>56697.58</v>
      </c>
      <c r="E848" s="3">
        <v>17009.27</v>
      </c>
      <c r="F848" s="3">
        <v>6105.63</v>
      </c>
      <c r="G848" s="3">
        <v>16658.43</v>
      </c>
      <c r="H848" s="3">
        <v>79812.48</v>
      </c>
      <c r="I848" s="3">
        <v>63154.05</v>
      </c>
      <c r="J848" s="4">
        <v>45778.0</v>
      </c>
      <c r="K848" s="3">
        <v>7.0</v>
      </c>
      <c r="L848" s="3" t="s">
        <v>15</v>
      </c>
    </row>
    <row r="849" ht="15.75" customHeight="1">
      <c r="A849" s="3" t="s">
        <v>905</v>
      </c>
      <c r="B849" s="3" t="s">
        <v>29</v>
      </c>
      <c r="C849" s="3" t="s">
        <v>33</v>
      </c>
      <c r="D849" s="3">
        <v>31731.93</v>
      </c>
      <c r="E849" s="3">
        <v>9519.58</v>
      </c>
      <c r="F849" s="3">
        <v>3093.82</v>
      </c>
      <c r="G849" s="3">
        <v>7011.42</v>
      </c>
      <c r="H849" s="3">
        <v>44345.33</v>
      </c>
      <c r="I849" s="3">
        <v>37333.91</v>
      </c>
      <c r="J849" s="4">
        <v>45689.0</v>
      </c>
      <c r="K849" s="3">
        <v>8.0</v>
      </c>
      <c r="L849" s="3" t="s">
        <v>19</v>
      </c>
    </row>
    <row r="850" ht="15.75" customHeight="1">
      <c r="A850" s="3" t="s">
        <v>906</v>
      </c>
      <c r="B850" s="3" t="s">
        <v>36</v>
      </c>
      <c r="C850" s="3" t="s">
        <v>37</v>
      </c>
      <c r="D850" s="3">
        <v>50157.42</v>
      </c>
      <c r="E850" s="3">
        <v>15047.23</v>
      </c>
      <c r="F850" s="3">
        <v>6337.01</v>
      </c>
      <c r="G850" s="3">
        <v>2179.57</v>
      </c>
      <c r="H850" s="3">
        <v>71541.66</v>
      </c>
      <c r="I850" s="3">
        <v>69362.09</v>
      </c>
      <c r="J850" s="4">
        <v>45717.0</v>
      </c>
      <c r="K850" s="3">
        <v>7.0</v>
      </c>
      <c r="L850" s="3" t="s">
        <v>21</v>
      </c>
    </row>
    <row r="851" ht="15.75" customHeight="1">
      <c r="A851" s="3" t="s">
        <v>907</v>
      </c>
      <c r="B851" s="3" t="s">
        <v>13</v>
      </c>
      <c r="C851" s="3" t="s">
        <v>26</v>
      </c>
      <c r="D851" s="3">
        <v>123428.4</v>
      </c>
      <c r="E851" s="3">
        <v>37028.52</v>
      </c>
      <c r="F851" s="3">
        <v>10412.83</v>
      </c>
      <c r="G851" s="3">
        <v>22672.94</v>
      </c>
      <c r="H851" s="3">
        <v>170869.75</v>
      </c>
      <c r="I851" s="3">
        <v>148196.81</v>
      </c>
      <c r="J851" s="4">
        <v>45839.0</v>
      </c>
      <c r="K851" s="3">
        <v>20.0</v>
      </c>
      <c r="L851" s="3" t="s">
        <v>23</v>
      </c>
    </row>
    <row r="852" ht="15.75" customHeight="1">
      <c r="A852" s="3" t="s">
        <v>908</v>
      </c>
      <c r="B852" s="3" t="s">
        <v>25</v>
      </c>
      <c r="C852" s="3" t="s">
        <v>14</v>
      </c>
      <c r="D852" s="3">
        <v>18569.61</v>
      </c>
      <c r="E852" s="3">
        <v>5570.88</v>
      </c>
      <c r="F852" s="3">
        <v>1276.2</v>
      </c>
      <c r="G852" s="3">
        <v>1746.37</v>
      </c>
      <c r="H852" s="3">
        <v>25416.69</v>
      </c>
      <c r="I852" s="3">
        <v>23670.32</v>
      </c>
      <c r="J852" s="4">
        <v>45962.0</v>
      </c>
      <c r="K852" s="3">
        <v>11.0</v>
      </c>
      <c r="L852" s="3" t="s">
        <v>27</v>
      </c>
    </row>
    <row r="853" ht="15.75" customHeight="1">
      <c r="A853" s="3" t="s">
        <v>909</v>
      </c>
      <c r="B853" s="3" t="s">
        <v>29</v>
      </c>
      <c r="C853" s="3" t="s">
        <v>18</v>
      </c>
      <c r="D853" s="3">
        <v>71954.28</v>
      </c>
      <c r="E853" s="3">
        <v>21586.28</v>
      </c>
      <c r="F853" s="3">
        <v>9276.98</v>
      </c>
      <c r="G853" s="3">
        <v>5855.24</v>
      </c>
      <c r="H853" s="3">
        <v>102817.54</v>
      </c>
      <c r="I853" s="3">
        <v>96962.3</v>
      </c>
      <c r="J853" s="4">
        <v>45870.0</v>
      </c>
      <c r="K853" s="3">
        <v>19.0</v>
      </c>
      <c r="L853" s="3" t="s">
        <v>31</v>
      </c>
    </row>
    <row r="854" ht="15.75" customHeight="1">
      <c r="A854" s="3" t="s">
        <v>910</v>
      </c>
      <c r="B854" s="3" t="s">
        <v>36</v>
      </c>
      <c r="C854" s="3" t="s">
        <v>30</v>
      </c>
      <c r="D854" s="5"/>
      <c r="E854" s="3">
        <v>7085.46</v>
      </c>
      <c r="F854" s="3">
        <v>109.12</v>
      </c>
      <c r="G854" s="3">
        <v>5156.6</v>
      </c>
      <c r="H854" s="3">
        <v>30812.78</v>
      </c>
      <c r="I854" s="3">
        <v>25656.18</v>
      </c>
      <c r="J854" s="4">
        <v>45962.0</v>
      </c>
      <c r="K854" s="3">
        <v>12.0</v>
      </c>
      <c r="L854" s="3" t="s">
        <v>38</v>
      </c>
    </row>
    <row r="855" ht="15.75" customHeight="1">
      <c r="A855" s="3" t="s">
        <v>911</v>
      </c>
      <c r="B855" s="3" t="s">
        <v>29</v>
      </c>
      <c r="C855" s="3" t="s">
        <v>18</v>
      </c>
      <c r="D855" s="3">
        <v>83218.12</v>
      </c>
      <c r="E855" s="3">
        <v>24965.44</v>
      </c>
      <c r="F855" s="3">
        <v>1332.57</v>
      </c>
      <c r="G855" s="3">
        <v>4166.99</v>
      </c>
      <c r="H855" s="3">
        <v>109516.13</v>
      </c>
      <c r="I855" s="3">
        <v>105349.14</v>
      </c>
      <c r="J855" s="4">
        <v>45689.0</v>
      </c>
      <c r="K855" s="3">
        <v>4.0</v>
      </c>
      <c r="L855" s="3" t="s">
        <v>40</v>
      </c>
    </row>
    <row r="856" ht="15.75" customHeight="1">
      <c r="A856" s="3" t="s">
        <v>912</v>
      </c>
      <c r="B856" s="3" t="s">
        <v>17</v>
      </c>
      <c r="C856" s="3" t="s">
        <v>14</v>
      </c>
      <c r="D856" s="3">
        <v>24744.91</v>
      </c>
      <c r="E856" s="3">
        <v>7423.47</v>
      </c>
      <c r="F856" s="3">
        <v>2341.79</v>
      </c>
      <c r="G856" s="3">
        <v>399.57</v>
      </c>
      <c r="H856" s="3">
        <v>34510.17</v>
      </c>
      <c r="I856" s="3">
        <v>34110.6</v>
      </c>
      <c r="J856" s="4">
        <v>45839.0</v>
      </c>
      <c r="K856" s="3">
        <v>5.0</v>
      </c>
      <c r="L856" s="3" t="s">
        <v>42</v>
      </c>
    </row>
    <row r="857" ht="15.75" customHeight="1">
      <c r="A857" s="3" t="s">
        <v>913</v>
      </c>
      <c r="B857" s="3" t="s">
        <v>53</v>
      </c>
      <c r="C857" s="3" t="s">
        <v>26</v>
      </c>
      <c r="D857" s="3">
        <v>125856.49</v>
      </c>
      <c r="E857" s="3">
        <v>37756.95</v>
      </c>
      <c r="F857" s="3">
        <v>2616.01</v>
      </c>
      <c r="G857" s="3">
        <v>23337.65</v>
      </c>
      <c r="H857" s="3">
        <v>166229.45</v>
      </c>
      <c r="I857" s="3">
        <v>142891.8</v>
      </c>
      <c r="J857" s="4">
        <v>45689.0</v>
      </c>
      <c r="K857" s="3">
        <v>21.0</v>
      </c>
      <c r="L857" s="3" t="s">
        <v>15</v>
      </c>
    </row>
    <row r="858" ht="15.75" customHeight="1">
      <c r="A858" s="3" t="s">
        <v>914</v>
      </c>
      <c r="B858" s="3" t="s">
        <v>13</v>
      </c>
      <c r="C858" s="3" t="s">
        <v>54</v>
      </c>
      <c r="D858" s="3">
        <v>39331.19</v>
      </c>
      <c r="E858" s="3">
        <v>11799.36</v>
      </c>
      <c r="F858" s="3">
        <v>1946.08</v>
      </c>
      <c r="G858" s="3">
        <v>3353.09</v>
      </c>
      <c r="H858" s="3">
        <v>35978.1</v>
      </c>
      <c r="I858" s="3">
        <v>40978.1</v>
      </c>
      <c r="J858" s="4">
        <v>45962.0</v>
      </c>
      <c r="K858" s="3">
        <v>25.0</v>
      </c>
      <c r="L858" s="3" t="s">
        <v>19</v>
      </c>
    </row>
    <row r="859" ht="15.75" customHeight="1">
      <c r="A859" s="3" t="s">
        <v>915</v>
      </c>
      <c r="B859" s="3" t="s">
        <v>51</v>
      </c>
      <c r="C859" s="3" t="s">
        <v>30</v>
      </c>
      <c r="D859" s="3">
        <v>26635.33</v>
      </c>
      <c r="E859" s="3">
        <v>7990.6</v>
      </c>
      <c r="F859" s="3">
        <v>908.84</v>
      </c>
      <c r="G859" s="3">
        <v>280.91</v>
      </c>
      <c r="H859" s="3">
        <v>35534.77</v>
      </c>
      <c r="I859" s="3">
        <v>35253.86</v>
      </c>
      <c r="J859" s="4">
        <v>45809.0</v>
      </c>
      <c r="K859" s="3">
        <v>21.0</v>
      </c>
      <c r="L859" s="3" t="s">
        <v>21</v>
      </c>
    </row>
    <row r="860" ht="15.75" customHeight="1">
      <c r="A860" s="3" t="s">
        <v>916</v>
      </c>
      <c r="B860" s="3" t="s">
        <v>25</v>
      </c>
      <c r="C860" s="3" t="s">
        <v>33</v>
      </c>
      <c r="D860" s="3">
        <v>33642.41</v>
      </c>
      <c r="E860" s="3">
        <v>10092.72</v>
      </c>
      <c r="F860" s="3">
        <v>3143.5</v>
      </c>
      <c r="G860" s="3">
        <v>8789.74</v>
      </c>
      <c r="H860" s="3">
        <v>46878.63</v>
      </c>
      <c r="I860" s="3">
        <v>38088.89</v>
      </c>
      <c r="J860" s="3" t="s">
        <v>917</v>
      </c>
      <c r="K860" s="3">
        <v>6.0</v>
      </c>
      <c r="L860" s="3" t="s">
        <v>23</v>
      </c>
    </row>
    <row r="861" ht="15.75" customHeight="1">
      <c r="A861" s="3" t="s">
        <v>918</v>
      </c>
      <c r="B861" s="3" t="s">
        <v>53</v>
      </c>
      <c r="C861" s="3" t="s">
        <v>54</v>
      </c>
      <c r="D861" s="3">
        <v>36891.61</v>
      </c>
      <c r="E861" s="3">
        <v>11067.48</v>
      </c>
      <c r="F861" s="3">
        <v>6998.24</v>
      </c>
      <c r="G861" s="3">
        <v>5968.56</v>
      </c>
      <c r="H861" s="3">
        <v>54957.33</v>
      </c>
      <c r="I861" s="3">
        <v>48988.77</v>
      </c>
      <c r="J861" s="4">
        <v>45931.0</v>
      </c>
      <c r="K861" s="3">
        <v>2.0</v>
      </c>
      <c r="L861" s="3" t="s">
        <v>27</v>
      </c>
    </row>
    <row r="862" ht="15.75" customHeight="1">
      <c r="A862" s="3" t="s">
        <v>919</v>
      </c>
      <c r="B862" s="3" t="s">
        <v>53</v>
      </c>
      <c r="C862" s="3" t="s">
        <v>54</v>
      </c>
      <c r="D862" s="3">
        <v>43834.67</v>
      </c>
      <c r="E862" s="3">
        <v>13150.4</v>
      </c>
      <c r="F862" s="3">
        <v>5574.46</v>
      </c>
      <c r="G862" s="3">
        <v>7416.62</v>
      </c>
      <c r="H862" s="3">
        <v>62559.53</v>
      </c>
      <c r="I862" s="3">
        <v>55142.91</v>
      </c>
      <c r="J862" s="4">
        <v>45901.0</v>
      </c>
      <c r="K862" s="3">
        <v>8.0</v>
      </c>
      <c r="L862" s="3" t="s">
        <v>31</v>
      </c>
    </row>
    <row r="863" ht="15.75" customHeight="1">
      <c r="A863" s="3" t="s">
        <v>920</v>
      </c>
      <c r="B863" s="3" t="s">
        <v>13</v>
      </c>
      <c r="C863" s="3" t="s">
        <v>18</v>
      </c>
      <c r="D863" s="3">
        <v>78878.39</v>
      </c>
      <c r="E863" s="3">
        <v>23663.52</v>
      </c>
      <c r="F863" s="3">
        <v>14338.88</v>
      </c>
      <c r="G863" s="3">
        <v>11397.57</v>
      </c>
      <c r="H863" s="3">
        <v>116880.79</v>
      </c>
      <c r="I863" s="3">
        <v>105483.22</v>
      </c>
      <c r="J863" s="4">
        <v>45748.0</v>
      </c>
      <c r="K863" s="3">
        <v>20.0</v>
      </c>
      <c r="L863" s="3" t="s">
        <v>34</v>
      </c>
    </row>
    <row r="864" ht="15.75" customHeight="1">
      <c r="A864" s="3" t="s">
        <v>921</v>
      </c>
      <c r="B864" s="3" t="s">
        <v>25</v>
      </c>
      <c r="C864" s="3" t="s">
        <v>14</v>
      </c>
      <c r="D864" s="3">
        <v>21181.39</v>
      </c>
      <c r="E864" s="3">
        <v>6354.42</v>
      </c>
      <c r="F864" s="3">
        <v>1549.56</v>
      </c>
      <c r="G864" s="3">
        <v>1650.92</v>
      </c>
      <c r="H864" s="3">
        <v>29085.37</v>
      </c>
      <c r="I864" s="3">
        <v>27434.45</v>
      </c>
      <c r="J864" s="4">
        <v>45778.0</v>
      </c>
      <c r="K864" s="3">
        <v>18.0</v>
      </c>
      <c r="L864" s="3" t="s">
        <v>38</v>
      </c>
    </row>
    <row r="865" ht="15.75" customHeight="1">
      <c r="A865" s="3" t="s">
        <v>922</v>
      </c>
      <c r="B865" s="3" t="s">
        <v>17</v>
      </c>
      <c r="C865" s="3" t="s">
        <v>14</v>
      </c>
      <c r="D865" s="3">
        <v>21767.88</v>
      </c>
      <c r="E865" s="3">
        <v>6530.36</v>
      </c>
      <c r="F865" s="3">
        <v>3301.29</v>
      </c>
      <c r="G865" s="3">
        <v>890.09</v>
      </c>
      <c r="H865" s="3">
        <v>31599.53</v>
      </c>
      <c r="I865" s="3">
        <v>30709.44</v>
      </c>
      <c r="J865" s="4">
        <v>45778.0</v>
      </c>
      <c r="K865" s="3">
        <v>16.0</v>
      </c>
      <c r="L865" s="3" t="s">
        <v>40</v>
      </c>
    </row>
    <row r="866" ht="15.75" customHeight="1">
      <c r="A866" s="3" t="s">
        <v>923</v>
      </c>
      <c r="B866" s="3" t="s">
        <v>36</v>
      </c>
      <c r="C866" s="3" t="s">
        <v>37</v>
      </c>
      <c r="D866" s="3">
        <v>45149.71</v>
      </c>
      <c r="E866" s="3">
        <v>13544.91</v>
      </c>
      <c r="F866" s="3">
        <v>8326.4</v>
      </c>
      <c r="G866" s="3">
        <v>12826.46</v>
      </c>
      <c r="H866" s="3">
        <v>67021.02</v>
      </c>
      <c r="I866" s="3">
        <v>54194.56</v>
      </c>
      <c r="J866" s="4">
        <v>45870.0</v>
      </c>
      <c r="K866" s="3">
        <v>17.0</v>
      </c>
      <c r="L866" s="3" t="s">
        <v>42</v>
      </c>
    </row>
    <row r="867" ht="15.75" customHeight="1">
      <c r="A867" s="3" t="s">
        <v>924</v>
      </c>
      <c r="B867" s="3" t="s">
        <v>29</v>
      </c>
      <c r="C867" s="3" t="s">
        <v>14</v>
      </c>
      <c r="D867" s="3">
        <v>23514.26</v>
      </c>
      <c r="E867" s="3">
        <v>7054.28</v>
      </c>
      <c r="F867" s="3">
        <v>3752.71</v>
      </c>
      <c r="G867" s="3">
        <v>4211.43</v>
      </c>
      <c r="H867" s="3">
        <v>34321.25</v>
      </c>
      <c r="I867" s="3">
        <v>30109.82</v>
      </c>
      <c r="J867" s="4">
        <v>45658.0</v>
      </c>
      <c r="K867" s="3">
        <v>18.0</v>
      </c>
      <c r="L867" s="3" t="s">
        <v>15</v>
      </c>
    </row>
    <row r="868" ht="15.75" customHeight="1">
      <c r="A868" s="3" t="s">
        <v>925</v>
      </c>
      <c r="B868" s="3" t="s">
        <v>53</v>
      </c>
      <c r="C868" s="3" t="s">
        <v>33</v>
      </c>
      <c r="D868" s="3">
        <v>26885.71</v>
      </c>
      <c r="E868" s="3">
        <v>8065.71</v>
      </c>
      <c r="F868" s="3">
        <v>4743.51</v>
      </c>
      <c r="G868" s="3">
        <v>3525.57</v>
      </c>
      <c r="H868" s="3">
        <v>39694.93</v>
      </c>
      <c r="I868" s="3">
        <v>36169.36</v>
      </c>
      <c r="J868" s="4">
        <v>45748.0</v>
      </c>
      <c r="K868" s="3">
        <v>18.0</v>
      </c>
      <c r="L868" s="3" t="s">
        <v>19</v>
      </c>
    </row>
    <row r="869" ht="15.75" customHeight="1">
      <c r="A869" s="3" t="s">
        <v>926</v>
      </c>
      <c r="B869" s="3" t="s">
        <v>17</v>
      </c>
      <c r="C869" s="3" t="s">
        <v>54</v>
      </c>
      <c r="D869" s="3">
        <v>43754.52</v>
      </c>
      <c r="E869" s="3">
        <v>13126.36</v>
      </c>
      <c r="F869" s="3">
        <v>4520.81</v>
      </c>
      <c r="G869" s="3">
        <v>10500.55</v>
      </c>
      <c r="H869" s="3">
        <v>61401.69</v>
      </c>
      <c r="I869" s="3">
        <v>50901.14</v>
      </c>
      <c r="J869" s="4">
        <v>45931.0</v>
      </c>
      <c r="K869" s="3">
        <v>15.0</v>
      </c>
      <c r="L869" s="3" t="s">
        <v>23</v>
      </c>
    </row>
    <row r="870" ht="15.75" customHeight="1">
      <c r="A870" s="3" t="s">
        <v>927</v>
      </c>
      <c r="B870" s="3" t="s">
        <v>25</v>
      </c>
      <c r="C870" s="3" t="s">
        <v>18</v>
      </c>
      <c r="D870" s="3">
        <v>82800.65</v>
      </c>
      <c r="E870" s="3">
        <v>24840.19</v>
      </c>
      <c r="F870" s="3">
        <v>4714.29</v>
      </c>
      <c r="G870" s="3">
        <v>18454.45</v>
      </c>
      <c r="H870" s="3">
        <v>112355.13</v>
      </c>
      <c r="I870" s="3">
        <v>93900.68</v>
      </c>
      <c r="J870" s="4">
        <v>45778.0</v>
      </c>
      <c r="K870" s="3">
        <v>25.0</v>
      </c>
      <c r="L870" s="3" t="s">
        <v>27</v>
      </c>
    </row>
    <row r="871" ht="15.75" customHeight="1">
      <c r="A871" s="3" t="s">
        <v>928</v>
      </c>
      <c r="B871" s="3" t="s">
        <v>36</v>
      </c>
      <c r="C871" s="3" t="s">
        <v>30</v>
      </c>
      <c r="D871" s="3">
        <v>29510.64</v>
      </c>
      <c r="E871" s="3">
        <v>8853.19</v>
      </c>
      <c r="F871" s="3">
        <v>1076.59</v>
      </c>
      <c r="G871" s="3">
        <v>2563.84</v>
      </c>
      <c r="H871" s="3">
        <v>39440.42</v>
      </c>
      <c r="I871" s="3">
        <v>36876.58</v>
      </c>
      <c r="J871" s="4">
        <v>45962.0</v>
      </c>
      <c r="K871" s="3">
        <v>19.0</v>
      </c>
      <c r="L871" s="3" t="s">
        <v>31</v>
      </c>
    </row>
    <row r="872" ht="15.75" customHeight="1">
      <c r="A872" s="3" t="s">
        <v>929</v>
      </c>
      <c r="B872" s="3" t="s">
        <v>36</v>
      </c>
      <c r="C872" s="3" t="s">
        <v>37</v>
      </c>
      <c r="D872" s="3">
        <v>53149.81</v>
      </c>
      <c r="E872" s="3">
        <v>15944.94</v>
      </c>
      <c r="F872" s="3">
        <v>7446.0</v>
      </c>
      <c r="G872" s="3">
        <v>7844.85</v>
      </c>
      <c r="H872" s="3">
        <v>76540.75</v>
      </c>
      <c r="I872" s="3">
        <v>68695.9</v>
      </c>
      <c r="J872" s="4">
        <v>45809.0</v>
      </c>
      <c r="K872" s="3">
        <v>15.0</v>
      </c>
      <c r="L872" s="3" t="s">
        <v>34</v>
      </c>
    </row>
    <row r="873" ht="15.75" customHeight="1">
      <c r="A873" s="3" t="s">
        <v>930</v>
      </c>
      <c r="B873" s="3" t="s">
        <v>17</v>
      </c>
      <c r="C873" s="3" t="s">
        <v>30</v>
      </c>
      <c r="D873" s="3">
        <v>22436.76</v>
      </c>
      <c r="E873" s="3">
        <v>6731.03</v>
      </c>
      <c r="F873" s="3">
        <v>2400.6</v>
      </c>
      <c r="G873" s="3">
        <v>1251.55</v>
      </c>
      <c r="H873" s="3">
        <v>31568.39</v>
      </c>
      <c r="I873" s="3">
        <v>30316.84</v>
      </c>
      <c r="J873" s="4">
        <v>45689.0</v>
      </c>
      <c r="K873" s="3">
        <v>19.0</v>
      </c>
      <c r="L873" s="3" t="s">
        <v>38</v>
      </c>
    </row>
    <row r="874" ht="15.75" customHeight="1">
      <c r="A874" s="3" t="s">
        <v>931</v>
      </c>
      <c r="B874" s="3" t="s">
        <v>29</v>
      </c>
      <c r="C874" s="3" t="s">
        <v>33</v>
      </c>
      <c r="D874" s="3">
        <v>26250.39</v>
      </c>
      <c r="E874" s="3">
        <v>7875.12</v>
      </c>
      <c r="F874" s="3">
        <v>2301.72</v>
      </c>
      <c r="G874" s="3">
        <v>64.61</v>
      </c>
      <c r="H874" s="3">
        <v>36427.23</v>
      </c>
      <c r="I874" s="3">
        <v>36362.62</v>
      </c>
      <c r="J874" s="4">
        <v>45689.0</v>
      </c>
      <c r="K874" s="3">
        <v>21.0</v>
      </c>
      <c r="L874" s="3" t="s">
        <v>40</v>
      </c>
    </row>
    <row r="875" ht="15.75" customHeight="1">
      <c r="A875" s="3" t="s">
        <v>932</v>
      </c>
      <c r="B875" s="3" t="s">
        <v>51</v>
      </c>
      <c r="C875" s="3" t="s">
        <v>14</v>
      </c>
      <c r="D875" s="3">
        <v>21553.77</v>
      </c>
      <c r="E875" s="3">
        <v>6466.13</v>
      </c>
      <c r="F875" s="3">
        <v>1473.9</v>
      </c>
      <c r="G875" s="3">
        <v>2014.7</v>
      </c>
      <c r="H875" s="3">
        <v>29493.8</v>
      </c>
      <c r="I875" s="3">
        <v>27479.1</v>
      </c>
      <c r="J875" s="4">
        <v>45870.0</v>
      </c>
      <c r="K875" s="3">
        <v>6.0</v>
      </c>
      <c r="L875" s="3" t="s">
        <v>42</v>
      </c>
    </row>
    <row r="876" ht="15.75" customHeight="1">
      <c r="A876" s="3" t="s">
        <v>933</v>
      </c>
      <c r="B876" s="3" t="s">
        <v>29</v>
      </c>
      <c r="C876" s="3" t="s">
        <v>54</v>
      </c>
      <c r="D876" s="3">
        <v>44757.09</v>
      </c>
      <c r="E876" s="3">
        <v>13427.13</v>
      </c>
      <c r="F876" s="3">
        <v>284.09</v>
      </c>
      <c r="G876" s="3">
        <v>1077.17</v>
      </c>
      <c r="H876" s="3">
        <v>58468.31</v>
      </c>
      <c r="I876" s="3">
        <v>57391.14</v>
      </c>
      <c r="J876" s="4">
        <v>45717.0</v>
      </c>
      <c r="K876" s="3">
        <v>1.0</v>
      </c>
      <c r="L876" s="3" t="s">
        <v>15</v>
      </c>
    </row>
    <row r="877" ht="15.75" customHeight="1">
      <c r="A877" s="3" t="s">
        <v>934</v>
      </c>
      <c r="B877" s="3" t="s">
        <v>17</v>
      </c>
      <c r="C877" s="3" t="s">
        <v>33</v>
      </c>
      <c r="D877" s="3">
        <v>32756.53</v>
      </c>
      <c r="E877" s="3">
        <v>9826.96</v>
      </c>
      <c r="F877" s="3">
        <v>467.66</v>
      </c>
      <c r="G877" s="3">
        <v>4620.11</v>
      </c>
      <c r="H877" s="3">
        <v>43051.15</v>
      </c>
      <c r="I877" s="3">
        <v>38431.04</v>
      </c>
      <c r="J877" s="4">
        <v>45748.0</v>
      </c>
      <c r="K877" s="3">
        <v>13.0</v>
      </c>
      <c r="L877" s="3" t="s">
        <v>19</v>
      </c>
    </row>
    <row r="878" ht="15.75" customHeight="1">
      <c r="A878" s="3" t="s">
        <v>935</v>
      </c>
      <c r="B878" s="3" t="s">
        <v>25</v>
      </c>
      <c r="C878" s="3" t="s">
        <v>33</v>
      </c>
      <c r="D878" s="3">
        <v>33172.51</v>
      </c>
      <c r="E878" s="3">
        <v>9951.75</v>
      </c>
      <c r="F878" s="3">
        <v>5495.04</v>
      </c>
      <c r="G878" s="3">
        <v>1213.73</v>
      </c>
      <c r="H878" s="3">
        <v>48619.3</v>
      </c>
      <c r="I878" s="3">
        <v>47405.57</v>
      </c>
      <c r="J878" s="4">
        <v>45992.0</v>
      </c>
      <c r="K878" s="3">
        <v>14.0</v>
      </c>
      <c r="L878" s="3" t="s">
        <v>21</v>
      </c>
    </row>
    <row r="879" ht="15.75" customHeight="1">
      <c r="A879" s="3" t="s">
        <v>936</v>
      </c>
      <c r="B879" s="3" t="s">
        <v>51</v>
      </c>
      <c r="C879" s="3" t="s">
        <v>54</v>
      </c>
      <c r="D879" s="3">
        <v>45797.15</v>
      </c>
      <c r="E879" s="3">
        <v>13739.15</v>
      </c>
      <c r="F879" s="3">
        <v>4057.27</v>
      </c>
      <c r="G879" s="3">
        <v>10134.25</v>
      </c>
      <c r="H879" s="3">
        <v>63593.57</v>
      </c>
      <c r="I879" s="3">
        <v>53459.32</v>
      </c>
      <c r="J879" s="4">
        <v>45658.0</v>
      </c>
      <c r="K879" s="3">
        <v>14.0</v>
      </c>
      <c r="L879" s="3" t="s">
        <v>23</v>
      </c>
    </row>
    <row r="880" ht="15.75" customHeight="1">
      <c r="A880" s="3" t="s">
        <v>937</v>
      </c>
      <c r="B880" s="3" t="s">
        <v>51</v>
      </c>
      <c r="C880" s="3" t="s">
        <v>54</v>
      </c>
      <c r="D880" s="3">
        <v>45294.52</v>
      </c>
      <c r="E880" s="3">
        <v>13588.36</v>
      </c>
      <c r="F880" s="3">
        <v>851.18</v>
      </c>
      <c r="G880" s="3">
        <v>9049.95</v>
      </c>
      <c r="H880" s="3">
        <v>59734.06</v>
      </c>
      <c r="I880" s="3">
        <v>50684.11</v>
      </c>
      <c r="J880" s="4">
        <v>45748.0</v>
      </c>
      <c r="K880" s="3">
        <v>23.0</v>
      </c>
      <c r="L880" s="3" t="s">
        <v>27</v>
      </c>
    </row>
    <row r="881" ht="15.75" customHeight="1">
      <c r="A881" s="3" t="s">
        <v>938</v>
      </c>
      <c r="B881" s="3" t="s">
        <v>36</v>
      </c>
      <c r="C881" s="3" t="s">
        <v>54</v>
      </c>
      <c r="D881" s="3">
        <v>44540.19</v>
      </c>
      <c r="E881" s="3">
        <v>13362.06</v>
      </c>
      <c r="F881" s="3">
        <v>2780.28</v>
      </c>
      <c r="G881" s="3">
        <v>4316.79</v>
      </c>
      <c r="H881" s="3">
        <v>60682.53</v>
      </c>
      <c r="I881" s="3">
        <v>56365.74</v>
      </c>
      <c r="J881" s="4">
        <v>45962.0</v>
      </c>
      <c r="K881" s="3">
        <v>23.0</v>
      </c>
      <c r="L881" s="3" t="s">
        <v>31</v>
      </c>
    </row>
    <row r="882" ht="15.75" customHeight="1">
      <c r="A882" s="3" t="s">
        <v>939</v>
      </c>
      <c r="B882" s="3" t="s">
        <v>13</v>
      </c>
      <c r="C882" s="3" t="s">
        <v>14</v>
      </c>
      <c r="D882" s="3">
        <v>23362.02</v>
      </c>
      <c r="E882" s="3">
        <v>7008.61</v>
      </c>
      <c r="F882" s="3">
        <v>2567.86</v>
      </c>
      <c r="G882" s="3">
        <v>856.04</v>
      </c>
      <c r="H882" s="3">
        <v>32938.49</v>
      </c>
      <c r="I882" s="3">
        <v>32082.45</v>
      </c>
      <c r="J882" s="4">
        <v>45870.0</v>
      </c>
      <c r="K882" s="3">
        <v>2.0</v>
      </c>
      <c r="L882" s="3" t="s">
        <v>34</v>
      </c>
    </row>
    <row r="883" ht="15.75" customHeight="1">
      <c r="A883" s="3" t="s">
        <v>940</v>
      </c>
      <c r="B883" s="3" t="s">
        <v>13</v>
      </c>
      <c r="C883" s="3" t="s">
        <v>33</v>
      </c>
      <c r="D883" s="3">
        <v>26987.24</v>
      </c>
      <c r="E883" s="3">
        <v>8096.17</v>
      </c>
      <c r="F883" s="3">
        <v>4790.34</v>
      </c>
      <c r="G883" s="3">
        <v>6992.32</v>
      </c>
      <c r="H883" s="3">
        <v>19994.92</v>
      </c>
      <c r="I883" s="3">
        <v>24994.92</v>
      </c>
      <c r="J883" s="4">
        <v>45748.0</v>
      </c>
      <c r="K883" s="3">
        <v>2.0</v>
      </c>
      <c r="L883" s="3" t="s">
        <v>38</v>
      </c>
    </row>
    <row r="884" ht="15.75" customHeight="1">
      <c r="A884" s="3" t="s">
        <v>941</v>
      </c>
      <c r="B884" s="3" t="s">
        <v>17</v>
      </c>
      <c r="C884" s="3" t="s">
        <v>30</v>
      </c>
      <c r="D884" s="3">
        <v>27569.6</v>
      </c>
      <c r="E884" s="3">
        <v>8270.88</v>
      </c>
      <c r="F884" s="3">
        <v>1789.34</v>
      </c>
      <c r="G884" s="3">
        <v>1384.22</v>
      </c>
      <c r="H884" s="3">
        <v>37629.82</v>
      </c>
      <c r="I884" s="3">
        <v>36245.6</v>
      </c>
      <c r="J884" s="4">
        <v>45778.0</v>
      </c>
      <c r="K884" s="3">
        <v>14.0</v>
      </c>
      <c r="L884" s="3" t="s">
        <v>40</v>
      </c>
    </row>
    <row r="885" ht="15.75" customHeight="1">
      <c r="A885" s="3" t="s">
        <v>942</v>
      </c>
      <c r="B885" s="3" t="s">
        <v>53</v>
      </c>
      <c r="C885" s="3" t="s">
        <v>14</v>
      </c>
      <c r="D885" s="3">
        <v>20849.82</v>
      </c>
      <c r="E885" s="3">
        <v>6254.95</v>
      </c>
      <c r="F885" s="3">
        <v>1013.67</v>
      </c>
      <c r="G885" s="3">
        <v>6060.01</v>
      </c>
      <c r="H885" s="3">
        <v>28118.44</v>
      </c>
      <c r="I885" s="3">
        <v>22058.43</v>
      </c>
      <c r="J885" s="4">
        <v>45931.0</v>
      </c>
      <c r="K885" s="3">
        <v>15.0</v>
      </c>
      <c r="L885" s="3" t="s">
        <v>42</v>
      </c>
    </row>
    <row r="886" ht="15.75" customHeight="1">
      <c r="A886" s="3" t="s">
        <v>943</v>
      </c>
      <c r="B886" s="3" t="s">
        <v>25</v>
      </c>
      <c r="C886" s="3" t="s">
        <v>18</v>
      </c>
      <c r="D886" s="3">
        <v>77357.04</v>
      </c>
      <c r="E886" s="3">
        <v>23207.11</v>
      </c>
      <c r="F886" s="3">
        <v>9224.24</v>
      </c>
      <c r="G886" s="3">
        <v>8619.09</v>
      </c>
      <c r="H886" s="3">
        <v>109788.39</v>
      </c>
      <c r="I886" s="3">
        <v>101169.3</v>
      </c>
      <c r="J886" s="4">
        <v>45689.0</v>
      </c>
      <c r="K886" s="3">
        <v>21.0</v>
      </c>
      <c r="L886" s="3" t="s">
        <v>15</v>
      </c>
    </row>
    <row r="887" ht="15.75" customHeight="1">
      <c r="A887" s="3" t="s">
        <v>944</v>
      </c>
      <c r="B887" s="3" t="s">
        <v>51</v>
      </c>
      <c r="C887" s="3" t="s">
        <v>30</v>
      </c>
      <c r="D887" s="3">
        <v>26399.29</v>
      </c>
      <c r="E887" s="3">
        <v>7919.79</v>
      </c>
      <c r="F887" s="3">
        <v>3621.69</v>
      </c>
      <c r="G887" s="3">
        <v>2680.23</v>
      </c>
      <c r="H887" s="3">
        <v>37940.77</v>
      </c>
      <c r="I887" s="3">
        <v>35260.54</v>
      </c>
      <c r="J887" s="4">
        <v>45962.0</v>
      </c>
      <c r="K887" s="3">
        <v>1.0</v>
      </c>
      <c r="L887" s="3" t="s">
        <v>19</v>
      </c>
    </row>
    <row r="888" ht="15.75" customHeight="1">
      <c r="A888" s="3" t="s">
        <v>945</v>
      </c>
      <c r="B888" s="3" t="s">
        <v>17</v>
      </c>
      <c r="C888" s="3" t="s">
        <v>14</v>
      </c>
      <c r="D888" s="3">
        <v>20559.73</v>
      </c>
      <c r="E888" s="3">
        <v>6167.92</v>
      </c>
      <c r="F888" s="3">
        <v>632.9</v>
      </c>
      <c r="G888" s="3">
        <v>3308.18</v>
      </c>
      <c r="H888" s="3">
        <v>27360.55</v>
      </c>
      <c r="I888" s="3">
        <v>24052.37</v>
      </c>
      <c r="J888" s="4">
        <v>45689.0</v>
      </c>
      <c r="K888" s="3">
        <v>14.0</v>
      </c>
      <c r="L888" s="3" t="s">
        <v>21</v>
      </c>
    </row>
    <row r="889" ht="15.75" customHeight="1">
      <c r="A889" s="3" t="s">
        <v>946</v>
      </c>
      <c r="B889" s="3" t="s">
        <v>25</v>
      </c>
      <c r="C889" s="3" t="s">
        <v>54</v>
      </c>
      <c r="D889" s="3">
        <v>45264.64</v>
      </c>
      <c r="E889" s="3">
        <v>13579.39</v>
      </c>
      <c r="F889" s="3">
        <v>193.31</v>
      </c>
      <c r="G889" s="3">
        <v>5129.87</v>
      </c>
      <c r="H889" s="3">
        <v>59037.34</v>
      </c>
      <c r="I889" s="3">
        <v>53907.47</v>
      </c>
      <c r="J889" s="4">
        <v>45992.0</v>
      </c>
      <c r="K889" s="3">
        <v>25.0</v>
      </c>
      <c r="L889" s="3" t="s">
        <v>27</v>
      </c>
    </row>
    <row r="890" ht="15.75" customHeight="1">
      <c r="A890" s="3" t="s">
        <v>947</v>
      </c>
      <c r="B890" s="3" t="s">
        <v>51</v>
      </c>
      <c r="C890" s="3" t="s">
        <v>33</v>
      </c>
      <c r="D890" s="3">
        <v>33986.63</v>
      </c>
      <c r="E890" s="3">
        <v>10195.99</v>
      </c>
      <c r="F890" s="3">
        <v>3298.76</v>
      </c>
      <c r="G890" s="3">
        <v>4460.75</v>
      </c>
      <c r="H890" s="3">
        <v>47481.38</v>
      </c>
      <c r="I890" s="3">
        <v>43020.63</v>
      </c>
      <c r="J890" s="4">
        <v>45778.0</v>
      </c>
      <c r="K890" s="3">
        <v>14.0</v>
      </c>
      <c r="L890" s="3" t="s">
        <v>31</v>
      </c>
    </row>
    <row r="891" ht="15.75" customHeight="1">
      <c r="A891" s="3" t="s">
        <v>948</v>
      </c>
      <c r="B891" s="3" t="s">
        <v>53</v>
      </c>
      <c r="C891" s="3" t="s">
        <v>18</v>
      </c>
      <c r="D891" s="3">
        <v>77742.39</v>
      </c>
      <c r="E891" s="3">
        <v>23322.72</v>
      </c>
      <c r="F891" s="3">
        <v>8811.35</v>
      </c>
      <c r="G891" s="3">
        <v>12678.71</v>
      </c>
      <c r="H891" s="3">
        <v>109876.46</v>
      </c>
      <c r="I891" s="3">
        <v>97197.75</v>
      </c>
      <c r="J891" s="4">
        <v>45809.0</v>
      </c>
      <c r="K891" s="3">
        <v>13.0</v>
      </c>
      <c r="L891" s="3" t="s">
        <v>34</v>
      </c>
    </row>
    <row r="892" ht="15.75" customHeight="1">
      <c r="A892" s="3" t="s">
        <v>949</v>
      </c>
      <c r="B892" s="3" t="s">
        <v>13</v>
      </c>
      <c r="C892" s="3" t="s">
        <v>54</v>
      </c>
      <c r="D892" s="3">
        <v>38854.54</v>
      </c>
      <c r="E892" s="3">
        <v>11656.36</v>
      </c>
      <c r="F892" s="3">
        <v>6460.34</v>
      </c>
      <c r="G892" s="3">
        <v>10659.44</v>
      </c>
      <c r="H892" s="3">
        <v>56971.24</v>
      </c>
      <c r="I892" s="3">
        <v>46311.8</v>
      </c>
      <c r="J892" s="4">
        <v>45901.0</v>
      </c>
      <c r="K892" s="3">
        <v>15.0</v>
      </c>
      <c r="L892" s="3" t="s">
        <v>38</v>
      </c>
    </row>
    <row r="893" ht="15.75" customHeight="1">
      <c r="A893" s="3" t="s">
        <v>950</v>
      </c>
      <c r="B893" s="3" t="s">
        <v>51</v>
      </c>
      <c r="C893" s="3" t="s">
        <v>14</v>
      </c>
      <c r="D893" s="3">
        <v>21824.19</v>
      </c>
      <c r="E893" s="3">
        <v>6547.26</v>
      </c>
      <c r="F893" s="3">
        <v>1961.49</v>
      </c>
      <c r="G893" s="3">
        <v>5364.94</v>
      </c>
      <c r="H893" s="3">
        <v>30332.94</v>
      </c>
      <c r="I893" s="3">
        <v>24968.0</v>
      </c>
      <c r="J893" s="4">
        <v>45901.0</v>
      </c>
      <c r="K893" s="3">
        <v>18.0</v>
      </c>
      <c r="L893" s="3" t="s">
        <v>40</v>
      </c>
    </row>
    <row r="894" ht="15.75" customHeight="1">
      <c r="A894" s="3" t="s">
        <v>951</v>
      </c>
      <c r="B894" s="3" t="s">
        <v>29</v>
      </c>
      <c r="C894" s="3" t="s">
        <v>54</v>
      </c>
      <c r="D894" s="3">
        <v>35010.08</v>
      </c>
      <c r="E894" s="3">
        <v>10503.02</v>
      </c>
      <c r="F894" s="3">
        <v>4467.47</v>
      </c>
      <c r="G894" s="3">
        <v>3981.1</v>
      </c>
      <c r="H894" s="3">
        <v>49980.57</v>
      </c>
      <c r="I894" s="3">
        <v>45999.47</v>
      </c>
      <c r="J894" s="4">
        <v>45717.0</v>
      </c>
      <c r="K894" s="3">
        <v>19.0</v>
      </c>
      <c r="L894" s="3" t="s">
        <v>42</v>
      </c>
    </row>
    <row r="895" ht="15.75" customHeight="1">
      <c r="A895" s="3" t="s">
        <v>952</v>
      </c>
      <c r="B895" s="3" t="s">
        <v>17</v>
      </c>
      <c r="C895" s="3" t="s">
        <v>18</v>
      </c>
      <c r="D895" s="3">
        <v>90146.24</v>
      </c>
      <c r="E895" s="3">
        <v>27043.87</v>
      </c>
      <c r="F895" s="3">
        <v>14766.85</v>
      </c>
      <c r="G895" s="3">
        <v>5134.81</v>
      </c>
      <c r="H895" s="3">
        <v>131956.96</v>
      </c>
      <c r="I895" s="3">
        <v>126822.15</v>
      </c>
      <c r="J895" s="4">
        <v>45962.0</v>
      </c>
      <c r="K895" s="3">
        <v>16.0</v>
      </c>
      <c r="L895" s="3" t="s">
        <v>19</v>
      </c>
    </row>
    <row r="896" ht="15.75" customHeight="1">
      <c r="A896" s="3" t="s">
        <v>953</v>
      </c>
      <c r="B896" s="3" t="s">
        <v>36</v>
      </c>
      <c r="C896" s="3" t="s">
        <v>26</v>
      </c>
      <c r="D896" s="3">
        <v>109852.84</v>
      </c>
      <c r="E896" s="3">
        <v>32955.85</v>
      </c>
      <c r="F896" s="3">
        <v>13468.82</v>
      </c>
      <c r="G896" s="3">
        <v>10631.56</v>
      </c>
      <c r="H896" s="3">
        <v>156277.51</v>
      </c>
      <c r="I896" s="3">
        <v>145645.95</v>
      </c>
      <c r="J896" s="4">
        <v>45962.0</v>
      </c>
      <c r="K896" s="3">
        <v>10.0</v>
      </c>
      <c r="L896" s="3" t="s">
        <v>21</v>
      </c>
    </row>
    <row r="897" ht="15.75" customHeight="1">
      <c r="A897" s="3" t="s">
        <v>954</v>
      </c>
      <c r="B897" s="3" t="s">
        <v>29</v>
      </c>
      <c r="C897" s="3" t="s">
        <v>14</v>
      </c>
      <c r="D897" s="3">
        <v>18693.05</v>
      </c>
      <c r="E897" s="3">
        <v>5607.91</v>
      </c>
      <c r="F897" s="3">
        <v>2463.34</v>
      </c>
      <c r="G897" s="3">
        <v>245.5</v>
      </c>
      <c r="H897" s="3">
        <v>26764.3</v>
      </c>
      <c r="I897" s="3">
        <v>26518.8</v>
      </c>
      <c r="J897" s="4">
        <v>45717.0</v>
      </c>
      <c r="K897" s="3">
        <v>23.0</v>
      </c>
      <c r="L897" s="3" t="s">
        <v>23</v>
      </c>
    </row>
    <row r="898" ht="15.75" customHeight="1">
      <c r="A898" s="3" t="s">
        <v>955</v>
      </c>
      <c r="B898" s="3" t="s">
        <v>51</v>
      </c>
      <c r="C898" s="3" t="s">
        <v>26</v>
      </c>
      <c r="D898" s="3">
        <v>91125.86</v>
      </c>
      <c r="E898" s="3">
        <v>27337.76</v>
      </c>
      <c r="F898" s="3">
        <v>1951.1</v>
      </c>
      <c r="G898" s="3">
        <v>5238.37</v>
      </c>
      <c r="H898" s="3">
        <v>120414.72</v>
      </c>
      <c r="I898" s="3">
        <v>115176.35</v>
      </c>
      <c r="J898" s="4">
        <v>45658.0</v>
      </c>
      <c r="K898" s="3">
        <v>6.0</v>
      </c>
      <c r="L898" s="3" t="s">
        <v>27</v>
      </c>
    </row>
    <row r="899" ht="15.75" customHeight="1">
      <c r="A899" s="3" t="s">
        <v>956</v>
      </c>
      <c r="B899" s="3" t="s">
        <v>53</v>
      </c>
      <c r="C899" s="3" t="s">
        <v>18</v>
      </c>
      <c r="D899" s="3">
        <v>86743.79</v>
      </c>
      <c r="E899" s="3">
        <v>26023.14</v>
      </c>
      <c r="F899" s="3">
        <v>11414.12</v>
      </c>
      <c r="G899" s="3">
        <v>13683.52</v>
      </c>
      <c r="H899" s="3">
        <v>124181.05</v>
      </c>
      <c r="I899" s="3">
        <v>110497.53</v>
      </c>
      <c r="J899" s="4">
        <v>45992.0</v>
      </c>
      <c r="K899" s="3">
        <v>6.0</v>
      </c>
      <c r="L899" s="3" t="s">
        <v>31</v>
      </c>
    </row>
    <row r="900" ht="15.75" customHeight="1">
      <c r="A900" s="3" t="s">
        <v>957</v>
      </c>
      <c r="B900" s="3" t="s">
        <v>53</v>
      </c>
      <c r="C900" s="3" t="s">
        <v>33</v>
      </c>
      <c r="D900" s="3">
        <v>25490.86</v>
      </c>
      <c r="E900" s="3">
        <v>7647.26</v>
      </c>
      <c r="F900" s="3">
        <v>1125.28</v>
      </c>
      <c r="G900" s="3">
        <v>5489.55</v>
      </c>
      <c r="H900" s="3">
        <v>34263.4</v>
      </c>
      <c r="I900" s="3">
        <v>28773.85</v>
      </c>
      <c r="J900" s="4">
        <v>45658.0</v>
      </c>
      <c r="K900" s="3">
        <v>19.0</v>
      </c>
      <c r="L900" s="3" t="s">
        <v>34</v>
      </c>
    </row>
    <row r="901" ht="15.75" customHeight="1">
      <c r="A901" s="3" t="s">
        <v>958</v>
      </c>
      <c r="B901" s="3" t="s">
        <v>51</v>
      </c>
      <c r="C901" s="3" t="s">
        <v>18</v>
      </c>
      <c r="D901" s="3">
        <v>77776.54</v>
      </c>
      <c r="E901" s="3">
        <v>23332.96</v>
      </c>
      <c r="F901" s="3">
        <v>13840.6</v>
      </c>
      <c r="G901" s="3">
        <v>1865.63</v>
      </c>
      <c r="H901" s="3">
        <v>114950.1</v>
      </c>
      <c r="I901" s="3">
        <v>113084.47</v>
      </c>
      <c r="J901" s="4">
        <v>45962.0</v>
      </c>
      <c r="K901" s="3">
        <v>12.0</v>
      </c>
      <c r="L901" s="3" t="s">
        <v>38</v>
      </c>
    </row>
    <row r="902" ht="15.75" customHeight="1">
      <c r="A902" s="3" t="s">
        <v>959</v>
      </c>
      <c r="B902" s="3" t="s">
        <v>17</v>
      </c>
      <c r="C902" s="3" t="s">
        <v>33</v>
      </c>
      <c r="D902" s="3">
        <v>30580.2</v>
      </c>
      <c r="E902" s="3">
        <v>9174.06</v>
      </c>
      <c r="F902" s="3">
        <v>5738.34</v>
      </c>
      <c r="G902" s="3">
        <v>3815.98</v>
      </c>
      <c r="H902" s="3">
        <v>45492.6</v>
      </c>
      <c r="I902" s="3">
        <v>41676.62</v>
      </c>
      <c r="J902" s="4">
        <v>45809.0</v>
      </c>
      <c r="K902" s="3">
        <v>22.0</v>
      </c>
      <c r="L902" s="3" t="s">
        <v>40</v>
      </c>
    </row>
    <row r="903" ht="15.75" customHeight="1">
      <c r="A903" s="3" t="s">
        <v>960</v>
      </c>
      <c r="B903" s="3" t="s">
        <v>25</v>
      </c>
      <c r="C903" s="3" t="s">
        <v>18</v>
      </c>
      <c r="D903" s="3">
        <v>66515.8</v>
      </c>
      <c r="E903" s="3">
        <v>19954.74</v>
      </c>
      <c r="F903" s="3">
        <v>8207.16</v>
      </c>
      <c r="G903" s="3">
        <v>10556.47</v>
      </c>
      <c r="H903" s="3">
        <v>94677.7</v>
      </c>
      <c r="I903" s="3">
        <v>84121.23</v>
      </c>
      <c r="J903" s="4">
        <v>45992.0</v>
      </c>
      <c r="K903" s="3">
        <v>6.0</v>
      </c>
      <c r="L903" s="3" t="s">
        <v>42</v>
      </c>
    </row>
    <row r="904" ht="15.75" customHeight="1">
      <c r="A904" s="3" t="s">
        <v>961</v>
      </c>
      <c r="B904" s="3" t="s">
        <v>17</v>
      </c>
      <c r="C904" s="3" t="s">
        <v>26</v>
      </c>
      <c r="D904" s="3">
        <v>100940.56</v>
      </c>
      <c r="E904" s="3">
        <v>30282.17</v>
      </c>
      <c r="F904" s="3">
        <v>19069.76</v>
      </c>
      <c r="G904" s="3">
        <v>29088.65</v>
      </c>
      <c r="H904" s="3">
        <v>150292.49</v>
      </c>
      <c r="I904" s="3">
        <v>121203.84</v>
      </c>
      <c r="J904" s="4">
        <v>45689.0</v>
      </c>
      <c r="K904" s="3">
        <v>3.0</v>
      </c>
      <c r="L904" s="3" t="s">
        <v>15</v>
      </c>
    </row>
    <row r="905" ht="15.75" customHeight="1">
      <c r="A905" s="3" t="s">
        <v>962</v>
      </c>
      <c r="B905" s="3" t="s">
        <v>17</v>
      </c>
      <c r="C905" s="3" t="s">
        <v>18</v>
      </c>
      <c r="D905" s="3">
        <v>71006.47</v>
      </c>
      <c r="E905" s="3">
        <v>21301.94</v>
      </c>
      <c r="F905" s="3">
        <v>5472.2</v>
      </c>
      <c r="G905" s="3">
        <v>4113.82</v>
      </c>
      <c r="H905" s="3">
        <v>97780.61</v>
      </c>
      <c r="I905" s="3">
        <v>93666.79</v>
      </c>
      <c r="J905" s="4">
        <v>45962.0</v>
      </c>
      <c r="K905" s="3">
        <v>7.0</v>
      </c>
      <c r="L905" s="3" t="s">
        <v>19</v>
      </c>
    </row>
    <row r="906" ht="15.75" customHeight="1">
      <c r="A906" s="3" t="s">
        <v>963</v>
      </c>
      <c r="B906" s="3" t="s">
        <v>51</v>
      </c>
      <c r="C906" s="3" t="s">
        <v>37</v>
      </c>
      <c r="D906" s="5"/>
      <c r="E906" s="3">
        <v>16876.75</v>
      </c>
      <c r="F906" s="3">
        <v>2012.81</v>
      </c>
      <c r="G906" s="3">
        <v>12643.97</v>
      </c>
      <c r="H906" s="3">
        <v>75145.41</v>
      </c>
      <c r="I906" s="3">
        <v>62501.44</v>
      </c>
      <c r="J906" s="4">
        <v>45839.0</v>
      </c>
      <c r="K906" s="3">
        <v>20.0</v>
      </c>
      <c r="L906" s="3" t="s">
        <v>21</v>
      </c>
    </row>
    <row r="907" ht="15.75" customHeight="1">
      <c r="A907" s="3" t="s">
        <v>964</v>
      </c>
      <c r="B907" s="3" t="s">
        <v>13</v>
      </c>
      <c r="C907" s="3" t="s">
        <v>14</v>
      </c>
      <c r="D907" s="3">
        <v>23517.24</v>
      </c>
      <c r="E907" s="3">
        <v>7055.17</v>
      </c>
      <c r="F907" s="3">
        <v>2711.84</v>
      </c>
      <c r="G907" s="3">
        <v>4758.66</v>
      </c>
      <c r="H907" s="3">
        <v>33284.25</v>
      </c>
      <c r="I907" s="3">
        <v>28525.59</v>
      </c>
      <c r="J907" s="4">
        <v>45992.0</v>
      </c>
      <c r="K907" s="3">
        <v>23.0</v>
      </c>
      <c r="L907" s="3" t="s">
        <v>23</v>
      </c>
    </row>
    <row r="908" ht="15.75" customHeight="1">
      <c r="A908" s="3" t="s">
        <v>965</v>
      </c>
      <c r="B908" s="3" t="s">
        <v>13</v>
      </c>
      <c r="C908" s="3" t="s">
        <v>54</v>
      </c>
      <c r="D908" s="3">
        <v>47359.54</v>
      </c>
      <c r="E908" s="3">
        <v>14207.86</v>
      </c>
      <c r="F908" s="3">
        <v>1580.0</v>
      </c>
      <c r="G908" s="3">
        <v>2563.05</v>
      </c>
      <c r="H908" s="3">
        <v>63147.4</v>
      </c>
      <c r="I908" s="3">
        <v>60584.35</v>
      </c>
      <c r="J908" s="4">
        <v>45839.0</v>
      </c>
      <c r="K908" s="3">
        <v>10.0</v>
      </c>
      <c r="L908" s="3" t="s">
        <v>27</v>
      </c>
    </row>
    <row r="909" ht="15.75" customHeight="1">
      <c r="A909" s="3" t="s">
        <v>966</v>
      </c>
      <c r="B909" s="3" t="s">
        <v>53</v>
      </c>
      <c r="C909" s="3" t="s">
        <v>33</v>
      </c>
      <c r="D909" s="3">
        <v>31575.32</v>
      </c>
      <c r="E909" s="3">
        <v>9472.6</v>
      </c>
      <c r="F909" s="3">
        <v>3371.62</v>
      </c>
      <c r="G909" s="3">
        <v>5682.76</v>
      </c>
      <c r="H909" s="3">
        <v>44419.54</v>
      </c>
      <c r="I909" s="3">
        <v>38736.78</v>
      </c>
      <c r="J909" s="4">
        <v>45809.0</v>
      </c>
      <c r="K909" s="3">
        <v>15.0</v>
      </c>
      <c r="L909" s="3" t="s">
        <v>31</v>
      </c>
    </row>
    <row r="910" ht="15.75" customHeight="1">
      <c r="A910" s="3" t="s">
        <v>967</v>
      </c>
      <c r="B910" s="3" t="s">
        <v>29</v>
      </c>
      <c r="C910" s="3" t="s">
        <v>37</v>
      </c>
      <c r="D910" s="3">
        <v>62846.33</v>
      </c>
      <c r="E910" s="3">
        <v>18853.9</v>
      </c>
      <c r="F910" s="3">
        <v>4080.66</v>
      </c>
      <c r="G910" s="3">
        <v>7008.36</v>
      </c>
      <c r="H910" s="3">
        <v>85780.89</v>
      </c>
      <c r="I910" s="3">
        <v>78772.53</v>
      </c>
      <c r="J910" s="4">
        <v>45962.0</v>
      </c>
      <c r="K910" s="3">
        <v>1.0</v>
      </c>
      <c r="L910" s="3" t="s">
        <v>34</v>
      </c>
    </row>
    <row r="911" ht="15.75" customHeight="1">
      <c r="A911" s="3" t="s">
        <v>968</v>
      </c>
      <c r="B911" s="3" t="s">
        <v>36</v>
      </c>
      <c r="C911" s="3" t="s">
        <v>26</v>
      </c>
      <c r="D911" s="3">
        <v>109808.59</v>
      </c>
      <c r="E911" s="3">
        <v>32942.58</v>
      </c>
      <c r="F911" s="3">
        <v>16352.22</v>
      </c>
      <c r="G911" s="3">
        <v>11859.61</v>
      </c>
      <c r="H911" s="3">
        <v>159103.39</v>
      </c>
      <c r="I911" s="3">
        <v>147243.78</v>
      </c>
      <c r="J911" s="4">
        <v>45870.0</v>
      </c>
      <c r="K911" s="3">
        <v>1.0</v>
      </c>
      <c r="L911" s="3" t="s">
        <v>40</v>
      </c>
    </row>
    <row r="912" ht="15.75" customHeight="1">
      <c r="A912" s="3" t="s">
        <v>969</v>
      </c>
      <c r="B912" s="3" t="s">
        <v>36</v>
      </c>
      <c r="C912" s="3" t="s">
        <v>54</v>
      </c>
      <c r="D912" s="3">
        <v>35002.74</v>
      </c>
      <c r="E912" s="3">
        <v>10500.82</v>
      </c>
      <c r="F912" s="3">
        <v>242.66</v>
      </c>
      <c r="G912" s="3">
        <v>2987.3</v>
      </c>
      <c r="H912" s="3">
        <v>45746.22</v>
      </c>
      <c r="I912" s="3">
        <v>42758.92</v>
      </c>
      <c r="J912" s="3" t="s">
        <v>970</v>
      </c>
      <c r="K912" s="3">
        <v>9.0</v>
      </c>
      <c r="L912" s="3" t="s">
        <v>42</v>
      </c>
    </row>
    <row r="913" ht="15.75" customHeight="1">
      <c r="A913" s="3" t="s">
        <v>971</v>
      </c>
      <c r="B913" s="3" t="s">
        <v>53</v>
      </c>
      <c r="C913" s="3" t="s">
        <v>30</v>
      </c>
      <c r="D913" s="3">
        <v>30742.03</v>
      </c>
      <c r="E913" s="3">
        <v>9222.61</v>
      </c>
      <c r="F913" s="3">
        <v>1855.85</v>
      </c>
      <c r="G913" s="3">
        <v>2769.86</v>
      </c>
      <c r="H913" s="3">
        <v>41820.49</v>
      </c>
      <c r="I913" s="3">
        <v>39050.63</v>
      </c>
      <c r="J913" s="4">
        <v>45748.0</v>
      </c>
      <c r="K913" s="3">
        <v>22.0</v>
      </c>
      <c r="L913" s="3" t="s">
        <v>15</v>
      </c>
    </row>
    <row r="914" ht="15.75" customHeight="1">
      <c r="A914" s="3" t="s">
        <v>972</v>
      </c>
      <c r="B914" s="3" t="s">
        <v>51</v>
      </c>
      <c r="C914" s="3" t="s">
        <v>26</v>
      </c>
      <c r="D914" s="3">
        <v>101336.57</v>
      </c>
      <c r="E914" s="3">
        <v>30400.97</v>
      </c>
      <c r="F914" s="3">
        <v>15636.7</v>
      </c>
      <c r="G914" s="3">
        <v>28678.69</v>
      </c>
      <c r="H914" s="3">
        <v>147374.24</v>
      </c>
      <c r="I914" s="3">
        <v>118695.55</v>
      </c>
      <c r="J914" s="4">
        <v>45778.0</v>
      </c>
      <c r="K914" s="3">
        <v>25.0</v>
      </c>
      <c r="L914" s="3" t="s">
        <v>19</v>
      </c>
    </row>
    <row r="915" ht="15.75" customHeight="1">
      <c r="A915" s="3" t="s">
        <v>973</v>
      </c>
      <c r="B915" s="3" t="s">
        <v>53</v>
      </c>
      <c r="C915" s="3" t="s">
        <v>37</v>
      </c>
      <c r="D915" s="3">
        <v>55013.82</v>
      </c>
      <c r="E915" s="3">
        <v>16504.15</v>
      </c>
      <c r="F915" s="3">
        <v>10187.71</v>
      </c>
      <c r="G915" s="3">
        <v>2553.44</v>
      </c>
      <c r="H915" s="3">
        <v>81705.68</v>
      </c>
      <c r="I915" s="3">
        <v>79152.24</v>
      </c>
      <c r="J915" s="4">
        <v>45658.0</v>
      </c>
      <c r="K915" s="3">
        <v>16.0</v>
      </c>
      <c r="L915" s="3" t="s">
        <v>21</v>
      </c>
    </row>
    <row r="916" ht="15.75" customHeight="1">
      <c r="A916" s="3" t="s">
        <v>974</v>
      </c>
      <c r="B916" s="3" t="s">
        <v>36</v>
      </c>
      <c r="C916" s="3" t="s">
        <v>33</v>
      </c>
      <c r="D916" s="3">
        <v>26561.07</v>
      </c>
      <c r="E916" s="3">
        <v>7968.32</v>
      </c>
      <c r="F916" s="3">
        <v>1407.67</v>
      </c>
      <c r="G916" s="3">
        <v>7088.82</v>
      </c>
      <c r="H916" s="3">
        <v>35937.06</v>
      </c>
      <c r="I916" s="3">
        <v>28848.24</v>
      </c>
      <c r="J916" s="4">
        <v>45748.0</v>
      </c>
      <c r="K916" s="3">
        <v>25.0</v>
      </c>
      <c r="L916" s="3" t="s">
        <v>23</v>
      </c>
    </row>
    <row r="917" ht="15.75" customHeight="1">
      <c r="A917" s="3" t="s">
        <v>975</v>
      </c>
      <c r="B917" s="3" t="s">
        <v>51</v>
      </c>
      <c r="C917" s="3" t="s">
        <v>33</v>
      </c>
      <c r="D917" s="3">
        <v>33110.74</v>
      </c>
      <c r="E917" s="3">
        <v>9933.22</v>
      </c>
      <c r="F917" s="3">
        <v>608.61</v>
      </c>
      <c r="G917" s="3">
        <v>3971.28</v>
      </c>
      <c r="H917" s="3">
        <v>43652.57</v>
      </c>
      <c r="I917" s="3">
        <v>39681.29</v>
      </c>
      <c r="J917" s="4">
        <v>45748.0</v>
      </c>
      <c r="K917" s="3">
        <v>16.0</v>
      </c>
      <c r="L917" s="3" t="s">
        <v>27</v>
      </c>
    </row>
    <row r="918" ht="15.75" customHeight="1">
      <c r="A918" s="3" t="s">
        <v>976</v>
      </c>
      <c r="B918" s="3" t="s">
        <v>13</v>
      </c>
      <c r="C918" s="3" t="s">
        <v>14</v>
      </c>
      <c r="D918" s="3">
        <v>23209.78</v>
      </c>
      <c r="E918" s="3">
        <v>6962.93</v>
      </c>
      <c r="F918" s="3">
        <v>3680.63</v>
      </c>
      <c r="G918" s="3">
        <v>1203.91</v>
      </c>
      <c r="H918" s="3">
        <v>33853.34</v>
      </c>
      <c r="I918" s="3">
        <v>32649.43</v>
      </c>
      <c r="J918" s="4">
        <v>45992.0</v>
      </c>
      <c r="K918" s="3">
        <v>11.0</v>
      </c>
      <c r="L918" s="3" t="s">
        <v>31</v>
      </c>
    </row>
    <row r="919" ht="15.75" customHeight="1">
      <c r="A919" s="3" t="s">
        <v>977</v>
      </c>
      <c r="B919" s="3" t="s">
        <v>13</v>
      </c>
      <c r="C919" s="3" t="s">
        <v>37</v>
      </c>
      <c r="D919" s="3">
        <v>59751.27</v>
      </c>
      <c r="E919" s="3">
        <v>17925.38</v>
      </c>
      <c r="F919" s="3">
        <v>1139.62</v>
      </c>
      <c r="G919" s="3">
        <v>11512.66</v>
      </c>
      <c r="H919" s="3">
        <v>78816.27</v>
      </c>
      <c r="I919" s="3">
        <v>67303.61</v>
      </c>
      <c r="J919" s="4">
        <v>45658.0</v>
      </c>
      <c r="K919" s="3">
        <v>4.0</v>
      </c>
      <c r="L919" s="3" t="s">
        <v>34</v>
      </c>
    </row>
    <row r="920" ht="15.75" customHeight="1">
      <c r="A920" s="3" t="s">
        <v>978</v>
      </c>
      <c r="B920" s="3" t="s">
        <v>13</v>
      </c>
      <c r="C920" s="3" t="s">
        <v>26</v>
      </c>
      <c r="D920" s="3">
        <v>110746.21</v>
      </c>
      <c r="E920" s="3">
        <v>33223.86</v>
      </c>
      <c r="F920" s="3">
        <v>1738.21</v>
      </c>
      <c r="G920" s="3">
        <v>1857.97</v>
      </c>
      <c r="H920" s="3">
        <v>145708.28</v>
      </c>
      <c r="I920" s="3">
        <v>143850.31</v>
      </c>
      <c r="J920" s="4">
        <v>45809.0</v>
      </c>
      <c r="K920" s="3">
        <v>21.0</v>
      </c>
      <c r="L920" s="3" t="s">
        <v>38</v>
      </c>
    </row>
    <row r="921" ht="15.75" customHeight="1">
      <c r="A921" s="3" t="s">
        <v>979</v>
      </c>
      <c r="B921" s="3" t="s">
        <v>13</v>
      </c>
      <c r="C921" s="3" t="s">
        <v>18</v>
      </c>
      <c r="D921" s="3">
        <v>87086.43</v>
      </c>
      <c r="E921" s="3">
        <v>26125.93</v>
      </c>
      <c r="F921" s="3">
        <v>16174.62</v>
      </c>
      <c r="G921" s="3">
        <v>16560.89</v>
      </c>
      <c r="H921" s="3">
        <v>129386.98</v>
      </c>
      <c r="I921" s="3">
        <v>112826.09</v>
      </c>
      <c r="J921" s="3" t="s">
        <v>980</v>
      </c>
      <c r="K921" s="3">
        <v>16.0</v>
      </c>
      <c r="L921" s="3" t="s">
        <v>42</v>
      </c>
    </row>
    <row r="922" ht="15.75" customHeight="1">
      <c r="A922" s="3" t="s">
        <v>981</v>
      </c>
      <c r="B922" s="3" t="s">
        <v>36</v>
      </c>
      <c r="C922" s="3" t="s">
        <v>14</v>
      </c>
      <c r="D922" s="3">
        <v>20194.44</v>
      </c>
      <c r="E922" s="3">
        <v>6058.33</v>
      </c>
      <c r="F922" s="3">
        <v>166.33</v>
      </c>
      <c r="G922" s="3">
        <v>3271.07</v>
      </c>
      <c r="H922" s="3">
        <v>26419.1</v>
      </c>
      <c r="I922" s="3">
        <v>23148.03</v>
      </c>
      <c r="J922" s="4">
        <v>45717.0</v>
      </c>
      <c r="K922" s="3">
        <v>5.0</v>
      </c>
      <c r="L922" s="3" t="s">
        <v>15</v>
      </c>
    </row>
    <row r="923" ht="15.75" customHeight="1">
      <c r="A923" s="3" t="s">
        <v>982</v>
      </c>
      <c r="B923" s="3" t="s">
        <v>29</v>
      </c>
      <c r="C923" s="3" t="s">
        <v>37</v>
      </c>
      <c r="D923" s="3">
        <v>57559.84</v>
      </c>
      <c r="E923" s="3">
        <v>17267.95</v>
      </c>
      <c r="F923" s="3">
        <v>1763.6</v>
      </c>
      <c r="G923" s="3">
        <v>11632.3</v>
      </c>
      <c r="H923" s="3">
        <v>76591.39</v>
      </c>
      <c r="I923" s="3">
        <v>64959.09</v>
      </c>
      <c r="J923" s="4">
        <v>45839.0</v>
      </c>
      <c r="K923" s="3">
        <v>7.0</v>
      </c>
      <c r="L923" s="3" t="s">
        <v>19</v>
      </c>
    </row>
    <row r="924" ht="15.75" customHeight="1">
      <c r="A924" s="3" t="s">
        <v>983</v>
      </c>
      <c r="B924" s="3" t="s">
        <v>36</v>
      </c>
      <c r="C924" s="3" t="s">
        <v>26</v>
      </c>
      <c r="D924" s="3">
        <v>111424.76</v>
      </c>
      <c r="E924" s="3">
        <v>33427.43</v>
      </c>
      <c r="F924" s="3">
        <v>11247.87</v>
      </c>
      <c r="G924" s="3">
        <v>7423.75</v>
      </c>
      <c r="H924" s="3">
        <v>156100.06</v>
      </c>
      <c r="I924" s="3">
        <v>148676.31</v>
      </c>
      <c r="J924" s="4">
        <v>45778.0</v>
      </c>
      <c r="K924" s="3">
        <v>10.0</v>
      </c>
      <c r="L924" s="3" t="s">
        <v>21</v>
      </c>
    </row>
    <row r="925" ht="15.75" customHeight="1">
      <c r="A925" s="3" t="s">
        <v>984</v>
      </c>
      <c r="B925" s="3" t="s">
        <v>25</v>
      </c>
      <c r="C925" s="3" t="s">
        <v>54</v>
      </c>
      <c r="D925" s="3">
        <v>37072.17</v>
      </c>
      <c r="E925" s="3">
        <v>11121.65</v>
      </c>
      <c r="F925" s="3">
        <v>2492.5</v>
      </c>
      <c r="G925" s="3">
        <v>5292.29</v>
      </c>
      <c r="H925" s="3">
        <v>50686.32</v>
      </c>
      <c r="I925" s="3">
        <v>45394.03</v>
      </c>
      <c r="J925" s="4">
        <v>45992.0</v>
      </c>
      <c r="K925" s="3">
        <v>20.0</v>
      </c>
      <c r="L925" s="3" t="s">
        <v>23</v>
      </c>
    </row>
    <row r="926" ht="15.75" customHeight="1">
      <c r="A926" s="3" t="s">
        <v>985</v>
      </c>
      <c r="B926" s="3" t="s">
        <v>17</v>
      </c>
      <c r="C926" s="3" t="s">
        <v>37</v>
      </c>
      <c r="D926" s="3">
        <v>52185.44</v>
      </c>
      <c r="E926" s="3">
        <v>15655.63</v>
      </c>
      <c r="F926" s="3">
        <v>887.98</v>
      </c>
      <c r="G926" s="3">
        <v>7856.36</v>
      </c>
      <c r="H926" s="3">
        <v>44329.08</v>
      </c>
      <c r="I926" s="3">
        <v>49329.08</v>
      </c>
      <c r="J926" s="4">
        <v>45992.0</v>
      </c>
      <c r="K926" s="3">
        <v>23.0</v>
      </c>
      <c r="L926" s="3" t="s">
        <v>27</v>
      </c>
    </row>
    <row r="927" ht="15.75" customHeight="1">
      <c r="A927" s="3" t="s">
        <v>986</v>
      </c>
      <c r="B927" s="3" t="s">
        <v>51</v>
      </c>
      <c r="C927" s="3" t="s">
        <v>26</v>
      </c>
      <c r="D927" s="3">
        <v>94855.35</v>
      </c>
      <c r="E927" s="3">
        <v>28456.6</v>
      </c>
      <c r="F927" s="3">
        <v>10610.45</v>
      </c>
      <c r="G927" s="3">
        <v>13882.87</v>
      </c>
      <c r="H927" s="3">
        <v>133922.4</v>
      </c>
      <c r="I927" s="3">
        <v>120039.53</v>
      </c>
      <c r="J927" s="4">
        <v>45962.0</v>
      </c>
      <c r="K927" s="3">
        <v>20.0</v>
      </c>
      <c r="L927" s="3" t="s">
        <v>31</v>
      </c>
    </row>
    <row r="928" ht="15.75" customHeight="1">
      <c r="A928" s="3" t="s">
        <v>987</v>
      </c>
      <c r="B928" s="3" t="s">
        <v>53</v>
      </c>
      <c r="C928" s="3" t="s">
        <v>30</v>
      </c>
      <c r="D928" s="3">
        <v>26938.27</v>
      </c>
      <c r="E928" s="3">
        <v>8081.48</v>
      </c>
      <c r="F928" s="3">
        <v>5371.92</v>
      </c>
      <c r="G928" s="3">
        <v>4236.7</v>
      </c>
      <c r="H928" s="3">
        <v>40391.67</v>
      </c>
      <c r="I928" s="3">
        <v>36154.97</v>
      </c>
      <c r="J928" s="4">
        <v>45748.0</v>
      </c>
      <c r="K928" s="3">
        <v>9.0</v>
      </c>
      <c r="L928" s="3" t="s">
        <v>34</v>
      </c>
    </row>
    <row r="929" ht="15.75" customHeight="1">
      <c r="A929" s="3" t="s">
        <v>988</v>
      </c>
      <c r="B929" s="3" t="s">
        <v>17</v>
      </c>
      <c r="C929" s="3" t="s">
        <v>33</v>
      </c>
      <c r="D929" s="3">
        <v>32767.72</v>
      </c>
      <c r="E929" s="3">
        <v>9830.32</v>
      </c>
      <c r="F929" s="3">
        <v>2119.49</v>
      </c>
      <c r="G929" s="3">
        <v>9084.57</v>
      </c>
      <c r="H929" s="3">
        <v>44717.53</v>
      </c>
      <c r="I929" s="3">
        <v>35632.96</v>
      </c>
      <c r="J929" s="4">
        <v>45689.0</v>
      </c>
      <c r="K929" s="3">
        <v>9.0</v>
      </c>
      <c r="L929" s="3" t="s">
        <v>38</v>
      </c>
    </row>
    <row r="930" ht="15.75" customHeight="1">
      <c r="A930" s="3" t="s">
        <v>989</v>
      </c>
      <c r="B930" s="3" t="s">
        <v>17</v>
      </c>
      <c r="C930" s="3" t="s">
        <v>18</v>
      </c>
      <c r="D930" s="3">
        <v>75753.13</v>
      </c>
      <c r="E930" s="3">
        <v>22725.94</v>
      </c>
      <c r="F930" s="3">
        <v>5534.03</v>
      </c>
      <c r="G930" s="3">
        <v>4329.06</v>
      </c>
      <c r="H930" s="3">
        <v>104013.1</v>
      </c>
      <c r="I930" s="3">
        <v>99684.04</v>
      </c>
      <c r="J930" s="4">
        <v>45809.0</v>
      </c>
      <c r="K930" s="3">
        <v>14.0</v>
      </c>
      <c r="L930" s="3" t="s">
        <v>40</v>
      </c>
    </row>
    <row r="931" ht="15.75" customHeight="1">
      <c r="A931" s="3" t="s">
        <v>990</v>
      </c>
      <c r="B931" s="3" t="s">
        <v>53</v>
      </c>
      <c r="C931" s="3" t="s">
        <v>18</v>
      </c>
      <c r="D931" s="3">
        <v>65629.38</v>
      </c>
      <c r="E931" s="3">
        <v>19688.81</v>
      </c>
      <c r="F931" s="3">
        <v>4001.01</v>
      </c>
      <c r="G931" s="3">
        <v>19445.69</v>
      </c>
      <c r="H931" s="3">
        <v>89319.2</v>
      </c>
      <c r="I931" s="3">
        <v>69873.51</v>
      </c>
      <c r="J931" s="4">
        <v>45931.0</v>
      </c>
      <c r="K931" s="3">
        <v>2.0</v>
      </c>
      <c r="L931" s="3" t="s">
        <v>42</v>
      </c>
    </row>
    <row r="932" ht="15.75" customHeight="1">
      <c r="A932" s="3" t="s">
        <v>991</v>
      </c>
      <c r="B932" s="3" t="s">
        <v>25</v>
      </c>
      <c r="C932" s="3" t="s">
        <v>26</v>
      </c>
      <c r="D932" s="3">
        <v>105919.56</v>
      </c>
      <c r="E932" s="3">
        <v>31775.87</v>
      </c>
      <c r="F932" s="3">
        <v>3089.01</v>
      </c>
      <c r="G932" s="3">
        <v>1426.02</v>
      </c>
      <c r="H932" s="3">
        <v>140784.44</v>
      </c>
      <c r="I932" s="3">
        <v>139358.42</v>
      </c>
      <c r="J932" s="4">
        <v>45748.0</v>
      </c>
      <c r="K932" s="3">
        <v>10.0</v>
      </c>
      <c r="L932" s="3" t="s">
        <v>15</v>
      </c>
    </row>
    <row r="933" ht="15.75" customHeight="1">
      <c r="A933" s="3" t="s">
        <v>992</v>
      </c>
      <c r="B933" s="3" t="s">
        <v>51</v>
      </c>
      <c r="C933" s="3" t="s">
        <v>18</v>
      </c>
      <c r="D933" s="3">
        <v>74719.34</v>
      </c>
      <c r="E933" s="3">
        <v>22415.8</v>
      </c>
      <c r="F933" s="3">
        <v>11323.47</v>
      </c>
      <c r="G933" s="3">
        <v>19115.39</v>
      </c>
      <c r="H933" s="3">
        <v>108458.61</v>
      </c>
      <c r="I933" s="3">
        <v>89343.22</v>
      </c>
      <c r="J933" s="4">
        <v>45689.0</v>
      </c>
      <c r="K933" s="3">
        <v>20.0</v>
      </c>
      <c r="L933" s="3" t="s">
        <v>19</v>
      </c>
    </row>
    <row r="934" ht="15.75" customHeight="1">
      <c r="A934" s="3" t="s">
        <v>993</v>
      </c>
      <c r="B934" s="3" t="s">
        <v>13</v>
      </c>
      <c r="C934" s="3" t="s">
        <v>14</v>
      </c>
      <c r="D934" s="3">
        <v>19749.95</v>
      </c>
      <c r="E934" s="3">
        <v>5924.98</v>
      </c>
      <c r="F934" s="3">
        <v>2452.95</v>
      </c>
      <c r="G934" s="3">
        <v>874.98</v>
      </c>
      <c r="H934" s="3">
        <v>28127.88</v>
      </c>
      <c r="I934" s="3">
        <v>27252.9</v>
      </c>
      <c r="J934" s="4">
        <v>45778.0</v>
      </c>
      <c r="K934" s="3">
        <v>13.0</v>
      </c>
      <c r="L934" s="3" t="s">
        <v>21</v>
      </c>
    </row>
    <row r="935" ht="15.75" customHeight="1">
      <c r="A935" s="3" t="s">
        <v>994</v>
      </c>
      <c r="B935" s="3" t="s">
        <v>17</v>
      </c>
      <c r="C935" s="3" t="s">
        <v>33</v>
      </c>
      <c r="D935" s="3">
        <v>31937.95</v>
      </c>
      <c r="E935" s="3">
        <v>9581.39</v>
      </c>
      <c r="F935" s="3">
        <v>710.8</v>
      </c>
      <c r="G935" s="3">
        <v>4312.21</v>
      </c>
      <c r="H935" s="3">
        <v>42230.14</v>
      </c>
      <c r="I935" s="3">
        <v>37917.93</v>
      </c>
      <c r="J935" s="3" t="s">
        <v>970</v>
      </c>
      <c r="K935" s="3">
        <v>14.0</v>
      </c>
      <c r="L935" s="3" t="s">
        <v>23</v>
      </c>
    </row>
    <row r="936" ht="15.75" customHeight="1">
      <c r="A936" s="3" t="s">
        <v>995</v>
      </c>
      <c r="B936" s="3" t="s">
        <v>29</v>
      </c>
      <c r="C936" s="3" t="s">
        <v>30</v>
      </c>
      <c r="D936" s="3">
        <v>28512.11</v>
      </c>
      <c r="E936" s="3">
        <v>8553.63</v>
      </c>
      <c r="F936" s="3">
        <v>1208.2</v>
      </c>
      <c r="G936" s="3">
        <v>4673.91</v>
      </c>
      <c r="H936" s="3">
        <v>38273.94</v>
      </c>
      <c r="I936" s="3">
        <v>33600.03</v>
      </c>
      <c r="J936" s="4">
        <v>45778.0</v>
      </c>
      <c r="K936" s="3">
        <v>12.0</v>
      </c>
      <c r="L936" s="3" t="s">
        <v>27</v>
      </c>
    </row>
    <row r="937" ht="15.75" customHeight="1">
      <c r="A937" s="3" t="s">
        <v>996</v>
      </c>
      <c r="B937" s="3" t="s">
        <v>53</v>
      </c>
      <c r="C937" s="3" t="s">
        <v>54</v>
      </c>
      <c r="D937" s="3">
        <v>43722.59</v>
      </c>
      <c r="E937" s="3">
        <v>13116.78</v>
      </c>
      <c r="F937" s="3">
        <v>8677.2</v>
      </c>
      <c r="G937" s="3">
        <v>9117.09</v>
      </c>
      <c r="H937" s="3">
        <v>65516.57</v>
      </c>
      <c r="I937" s="3">
        <v>56399.48</v>
      </c>
      <c r="J937" s="4">
        <v>45962.0</v>
      </c>
      <c r="K937" s="3">
        <v>18.0</v>
      </c>
      <c r="L937" s="3" t="s">
        <v>31</v>
      </c>
    </row>
    <row r="938" ht="15.75" customHeight="1">
      <c r="A938" s="3" t="s">
        <v>997</v>
      </c>
      <c r="B938" s="3" t="s">
        <v>17</v>
      </c>
      <c r="C938" s="3" t="s">
        <v>54</v>
      </c>
      <c r="D938" s="3">
        <v>43162.07</v>
      </c>
      <c r="E938" s="3">
        <v>12948.62</v>
      </c>
      <c r="F938" s="3">
        <v>5727.85</v>
      </c>
      <c r="G938" s="3">
        <v>563.03</v>
      </c>
      <c r="H938" s="3">
        <v>61838.54</v>
      </c>
      <c r="I938" s="3">
        <v>61275.51</v>
      </c>
      <c r="J938" s="4">
        <v>45717.0</v>
      </c>
      <c r="K938" s="3">
        <v>3.0</v>
      </c>
      <c r="L938" s="3" t="s">
        <v>34</v>
      </c>
    </row>
    <row r="939" ht="15.75" customHeight="1">
      <c r="A939" s="3" t="s">
        <v>998</v>
      </c>
      <c r="B939" s="3" t="s">
        <v>17</v>
      </c>
      <c r="C939" s="3" t="s">
        <v>33</v>
      </c>
      <c r="D939" s="3">
        <v>27006.96</v>
      </c>
      <c r="E939" s="3">
        <v>8102.09</v>
      </c>
      <c r="F939" s="3">
        <v>3762.21</v>
      </c>
      <c r="G939" s="3">
        <v>2197.95</v>
      </c>
      <c r="H939" s="3">
        <v>38871.26</v>
      </c>
      <c r="I939" s="3">
        <v>36673.31</v>
      </c>
      <c r="J939" s="4">
        <v>45870.0</v>
      </c>
      <c r="K939" s="3">
        <v>1.0</v>
      </c>
      <c r="L939" s="3" t="s">
        <v>38</v>
      </c>
    </row>
    <row r="940" ht="15.75" customHeight="1">
      <c r="A940" s="3" t="s">
        <v>999</v>
      </c>
      <c r="B940" s="3" t="s">
        <v>13</v>
      </c>
      <c r="C940" s="3" t="s">
        <v>14</v>
      </c>
      <c r="D940" s="3">
        <v>18479.5</v>
      </c>
      <c r="E940" s="3">
        <v>5543.85</v>
      </c>
      <c r="F940" s="3">
        <v>2440.67</v>
      </c>
      <c r="G940" s="3">
        <v>3675.47</v>
      </c>
      <c r="H940" s="3">
        <v>26464.02</v>
      </c>
      <c r="I940" s="3">
        <v>22788.55</v>
      </c>
      <c r="J940" s="4">
        <v>45962.0</v>
      </c>
      <c r="K940" s="3">
        <v>18.0</v>
      </c>
      <c r="L940" s="3" t="s">
        <v>40</v>
      </c>
    </row>
    <row r="941" ht="15.75" customHeight="1">
      <c r="A941" s="3" t="s">
        <v>1000</v>
      </c>
      <c r="B941" s="3" t="s">
        <v>29</v>
      </c>
      <c r="C941" s="3" t="s">
        <v>26</v>
      </c>
      <c r="D941" s="3">
        <v>93884.09</v>
      </c>
      <c r="E941" s="3">
        <v>28165.23</v>
      </c>
      <c r="F941" s="3">
        <v>5492.14</v>
      </c>
      <c r="G941" s="3">
        <v>24881.23</v>
      </c>
      <c r="H941" s="3">
        <v>127541.46</v>
      </c>
      <c r="I941" s="3">
        <v>102660.23</v>
      </c>
      <c r="J941" s="4">
        <v>45839.0</v>
      </c>
      <c r="K941" s="3">
        <v>12.0</v>
      </c>
      <c r="L941" s="3" t="s">
        <v>42</v>
      </c>
    </row>
    <row r="942" ht="15.75" customHeight="1">
      <c r="A942" s="3" t="s">
        <v>1001</v>
      </c>
      <c r="B942" s="3" t="s">
        <v>51</v>
      </c>
      <c r="C942" s="3" t="s">
        <v>54</v>
      </c>
      <c r="D942" s="3">
        <v>42119.56</v>
      </c>
      <c r="E942" s="3">
        <v>12635.87</v>
      </c>
      <c r="F942" s="3">
        <v>5978.36</v>
      </c>
      <c r="G942" s="3">
        <v>11421.21</v>
      </c>
      <c r="H942" s="3">
        <v>60733.79</v>
      </c>
      <c r="I942" s="3">
        <v>49312.58</v>
      </c>
      <c r="J942" s="4">
        <v>45870.0</v>
      </c>
      <c r="K942" s="3">
        <v>25.0</v>
      </c>
      <c r="L942" s="3" t="s">
        <v>15</v>
      </c>
    </row>
    <row r="943" ht="15.75" customHeight="1">
      <c r="A943" s="3" t="s">
        <v>1002</v>
      </c>
      <c r="B943" s="3" t="s">
        <v>25</v>
      </c>
      <c r="C943" s="3" t="s">
        <v>37</v>
      </c>
      <c r="D943" s="3">
        <v>54568.09</v>
      </c>
      <c r="E943" s="3">
        <v>16370.43</v>
      </c>
      <c r="F943" s="3">
        <v>2034.49</v>
      </c>
      <c r="G943" s="3">
        <v>8195.87</v>
      </c>
      <c r="H943" s="3">
        <v>72973.01</v>
      </c>
      <c r="I943" s="3">
        <v>64777.14</v>
      </c>
      <c r="J943" s="4">
        <v>45870.0</v>
      </c>
      <c r="K943" s="3">
        <v>19.0</v>
      </c>
      <c r="L943" s="3" t="s">
        <v>19</v>
      </c>
    </row>
    <row r="944" ht="15.75" customHeight="1">
      <c r="A944" s="3" t="s">
        <v>1003</v>
      </c>
      <c r="B944" s="3" t="s">
        <v>53</v>
      </c>
      <c r="C944" s="3" t="s">
        <v>18</v>
      </c>
      <c r="D944" s="3">
        <v>65558.7</v>
      </c>
      <c r="E944" s="3">
        <v>19667.61</v>
      </c>
      <c r="F944" s="3">
        <v>3243.74</v>
      </c>
      <c r="G944" s="3">
        <v>10412.33</v>
      </c>
      <c r="H944" s="3">
        <v>88470.05</v>
      </c>
      <c r="I944" s="3">
        <v>78057.72</v>
      </c>
      <c r="J944" s="4">
        <v>45809.0</v>
      </c>
      <c r="K944" s="3">
        <v>11.0</v>
      </c>
      <c r="L944" s="3" t="s">
        <v>21</v>
      </c>
    </row>
    <row r="945" ht="15.75" customHeight="1">
      <c r="A945" s="3" t="s">
        <v>1004</v>
      </c>
      <c r="B945" s="3" t="s">
        <v>36</v>
      </c>
      <c r="C945" s="3" t="s">
        <v>54</v>
      </c>
      <c r="D945" s="3">
        <v>45421.47</v>
      </c>
      <c r="E945" s="3">
        <v>13626.44</v>
      </c>
      <c r="F945" s="3">
        <v>166.9</v>
      </c>
      <c r="G945" s="3">
        <v>9324.73</v>
      </c>
      <c r="H945" s="3">
        <v>59214.81</v>
      </c>
      <c r="I945" s="3">
        <v>49890.08</v>
      </c>
      <c r="J945" s="4">
        <v>45809.0</v>
      </c>
      <c r="K945" s="3">
        <v>11.0</v>
      </c>
      <c r="L945" s="3" t="s">
        <v>23</v>
      </c>
    </row>
    <row r="946" ht="15.75" customHeight="1">
      <c r="A946" s="3" t="s">
        <v>1005</v>
      </c>
      <c r="B946" s="3" t="s">
        <v>13</v>
      </c>
      <c r="C946" s="3" t="s">
        <v>33</v>
      </c>
      <c r="D946" s="3">
        <v>27362.05</v>
      </c>
      <c r="E946" s="3">
        <v>8208.61</v>
      </c>
      <c r="F946" s="3">
        <v>5353.35</v>
      </c>
      <c r="G946" s="3">
        <v>4114.58</v>
      </c>
      <c r="H946" s="3">
        <v>40924.01</v>
      </c>
      <c r="I946" s="3">
        <v>36809.43</v>
      </c>
      <c r="J946" s="4">
        <v>45658.0</v>
      </c>
      <c r="K946" s="3">
        <v>13.0</v>
      </c>
      <c r="L946" s="3" t="s">
        <v>27</v>
      </c>
    </row>
    <row r="947" ht="15.75" customHeight="1">
      <c r="A947" s="3" t="s">
        <v>1006</v>
      </c>
      <c r="B947" s="3" t="s">
        <v>13</v>
      </c>
      <c r="C947" s="3" t="s">
        <v>33</v>
      </c>
      <c r="D947" s="3">
        <v>33786.77</v>
      </c>
      <c r="E947" s="3">
        <v>10136.03</v>
      </c>
      <c r="F947" s="3">
        <v>6016.76</v>
      </c>
      <c r="G947" s="3">
        <v>8259.43</v>
      </c>
      <c r="H947" s="3">
        <v>49939.56</v>
      </c>
      <c r="I947" s="3">
        <v>41680.13</v>
      </c>
      <c r="J947" s="4">
        <v>45658.0</v>
      </c>
      <c r="K947" s="3">
        <v>2.0</v>
      </c>
      <c r="L947" s="3" t="s">
        <v>31</v>
      </c>
    </row>
    <row r="948" ht="15.75" customHeight="1">
      <c r="A948" s="3" t="s">
        <v>1007</v>
      </c>
      <c r="B948" s="3" t="s">
        <v>53</v>
      </c>
      <c r="C948" s="3" t="s">
        <v>33</v>
      </c>
      <c r="D948" s="3">
        <v>27255.83</v>
      </c>
      <c r="E948" s="3">
        <v>8176.75</v>
      </c>
      <c r="F948" s="3">
        <v>1863.13</v>
      </c>
      <c r="G948" s="3">
        <v>3212.21</v>
      </c>
      <c r="H948" s="3">
        <v>37295.71</v>
      </c>
      <c r="I948" s="3">
        <v>34083.5</v>
      </c>
      <c r="J948" s="4">
        <v>45717.0</v>
      </c>
      <c r="K948" s="3">
        <v>10.0</v>
      </c>
      <c r="L948" s="3" t="s">
        <v>34</v>
      </c>
    </row>
    <row r="949" ht="15.75" customHeight="1">
      <c r="A949" s="3" t="s">
        <v>1008</v>
      </c>
      <c r="B949" s="3" t="s">
        <v>17</v>
      </c>
      <c r="C949" s="3" t="s">
        <v>18</v>
      </c>
      <c r="D949" s="3">
        <v>74937.39</v>
      </c>
      <c r="E949" s="3">
        <v>22481.22</v>
      </c>
      <c r="F949" s="3">
        <v>14397.06</v>
      </c>
      <c r="G949" s="3">
        <v>13768.59</v>
      </c>
      <c r="H949" s="3">
        <v>111815.67</v>
      </c>
      <c r="I949" s="3">
        <v>98047.08</v>
      </c>
      <c r="J949" s="4">
        <v>45962.0</v>
      </c>
      <c r="K949" s="3">
        <v>18.0</v>
      </c>
      <c r="L949" s="3" t="s">
        <v>38</v>
      </c>
    </row>
    <row r="950" ht="15.75" customHeight="1">
      <c r="A950" s="3" t="s">
        <v>1009</v>
      </c>
      <c r="B950" s="3" t="s">
        <v>13</v>
      </c>
      <c r="C950" s="3" t="s">
        <v>30</v>
      </c>
      <c r="D950" s="3">
        <v>25672.53</v>
      </c>
      <c r="E950" s="3">
        <v>7701.76</v>
      </c>
      <c r="F950" s="3">
        <v>2941.55</v>
      </c>
      <c r="G950" s="3">
        <v>3284.53</v>
      </c>
      <c r="H950" s="3">
        <v>36315.84</v>
      </c>
      <c r="I950" s="3">
        <v>33031.31</v>
      </c>
      <c r="J950" s="4">
        <v>45778.0</v>
      </c>
      <c r="K950" s="3">
        <v>16.0</v>
      </c>
      <c r="L950" s="3" t="s">
        <v>40</v>
      </c>
    </row>
    <row r="951" ht="15.75" customHeight="1">
      <c r="A951" s="3" t="s">
        <v>1010</v>
      </c>
      <c r="B951" s="3" t="s">
        <v>53</v>
      </c>
      <c r="C951" s="3" t="s">
        <v>33</v>
      </c>
      <c r="D951" s="3">
        <v>29491.69</v>
      </c>
      <c r="E951" s="3">
        <v>8847.51</v>
      </c>
      <c r="F951" s="3">
        <v>777.24</v>
      </c>
      <c r="G951" s="3">
        <v>5772.76</v>
      </c>
      <c r="H951" s="3">
        <v>39116.44</v>
      </c>
      <c r="I951" s="3">
        <v>33343.68</v>
      </c>
      <c r="J951" s="4">
        <v>45931.0</v>
      </c>
      <c r="K951" s="3">
        <v>20.0</v>
      </c>
      <c r="L951" s="3" t="s">
        <v>42</v>
      </c>
    </row>
    <row r="952" ht="15.75" customHeight="1">
      <c r="A952" s="3" t="s">
        <v>1011</v>
      </c>
      <c r="B952" s="3" t="s">
        <v>17</v>
      </c>
      <c r="C952" s="3" t="s">
        <v>26</v>
      </c>
      <c r="D952" s="3">
        <v>54326.71</v>
      </c>
      <c r="E952" s="3">
        <v>24591.85</v>
      </c>
      <c r="F952" s="3">
        <v>14405.36</v>
      </c>
      <c r="G952" s="3">
        <v>16530.5</v>
      </c>
      <c r="H952" s="3">
        <v>93323.92</v>
      </c>
      <c r="I952" s="3">
        <v>67031.7909971171</v>
      </c>
      <c r="J952" s="3" t="s">
        <v>1012</v>
      </c>
      <c r="K952" s="3">
        <v>17.0</v>
      </c>
      <c r="L952" s="3" t="s">
        <v>15</v>
      </c>
    </row>
    <row r="953" ht="15.75" customHeight="1">
      <c r="A953" s="3" t="s">
        <v>1013</v>
      </c>
      <c r="B953" s="3" t="s">
        <v>51</v>
      </c>
      <c r="C953" s="3" t="s">
        <v>37</v>
      </c>
      <c r="D953" s="3">
        <v>114825.0</v>
      </c>
      <c r="E953" s="3">
        <v>32995.56</v>
      </c>
      <c r="F953" s="3">
        <v>13745.66</v>
      </c>
      <c r="G953" s="3">
        <v>2460.8</v>
      </c>
      <c r="H953" s="3">
        <v>161566.22</v>
      </c>
      <c r="I953" s="3">
        <v>67035.1724715369</v>
      </c>
      <c r="J953" s="3" t="s">
        <v>1014</v>
      </c>
      <c r="K953" s="3">
        <v>3.0</v>
      </c>
      <c r="L953" s="3" t="s">
        <v>19</v>
      </c>
    </row>
    <row r="954" ht="15.75" customHeight="1">
      <c r="A954" s="3" t="s">
        <v>1015</v>
      </c>
      <c r="B954" s="3" t="s">
        <v>13</v>
      </c>
      <c r="C954" s="3" t="s">
        <v>26</v>
      </c>
      <c r="D954" s="3">
        <v>91859.36</v>
      </c>
      <c r="E954" s="3">
        <v>31365.79</v>
      </c>
      <c r="F954" s="3">
        <v>1915.08</v>
      </c>
      <c r="G954" s="3">
        <v>6437.08</v>
      </c>
      <c r="H954" s="3">
        <v>126713.2</v>
      </c>
      <c r="I954" s="3">
        <v>67038.5539459568</v>
      </c>
      <c r="J954" s="3" t="s">
        <v>1016</v>
      </c>
      <c r="K954" s="3">
        <v>23.0</v>
      </c>
      <c r="L954" s="3" t="s">
        <v>21</v>
      </c>
    </row>
    <row r="955" ht="15.75" customHeight="1">
      <c r="A955" s="3" t="s">
        <v>1017</v>
      </c>
      <c r="B955" s="3" t="s">
        <v>25</v>
      </c>
      <c r="C955" s="3" t="s">
        <v>54</v>
      </c>
      <c r="D955" s="3">
        <v>77859.14</v>
      </c>
      <c r="E955" s="3">
        <v>9540.4</v>
      </c>
      <c r="F955" s="3">
        <v>18451.45</v>
      </c>
      <c r="G955" s="3">
        <v>19455.14</v>
      </c>
      <c r="H955" s="3">
        <v>105850.99</v>
      </c>
      <c r="I955" s="3">
        <v>67041.9354203766</v>
      </c>
      <c r="J955" s="3" t="s">
        <v>1018</v>
      </c>
      <c r="K955" s="3">
        <v>4.0</v>
      </c>
      <c r="L955" s="3" t="s">
        <v>23</v>
      </c>
    </row>
    <row r="956" ht="15.75" customHeight="1">
      <c r="A956" s="3" t="s">
        <v>1019</v>
      </c>
      <c r="B956" s="3" t="s">
        <v>51</v>
      </c>
      <c r="C956" s="3" t="s">
        <v>37</v>
      </c>
      <c r="D956" s="3">
        <v>31381.96</v>
      </c>
      <c r="E956" s="3">
        <v>9372.98</v>
      </c>
      <c r="F956" s="3">
        <v>11369.44</v>
      </c>
      <c r="G956" s="3">
        <v>13452.8</v>
      </c>
      <c r="H956" s="3">
        <v>52124.38</v>
      </c>
      <c r="I956" s="3">
        <v>67045.3168947964</v>
      </c>
      <c r="J956" s="3" t="s">
        <v>1016</v>
      </c>
      <c r="K956" s="3">
        <v>2.0</v>
      </c>
      <c r="L956" s="3" t="s">
        <v>27</v>
      </c>
    </row>
    <row r="957" ht="15.75" customHeight="1">
      <c r="A957" s="3" t="s">
        <v>1020</v>
      </c>
      <c r="B957" s="3" t="s">
        <v>36</v>
      </c>
      <c r="C957" s="3" t="s">
        <v>54</v>
      </c>
      <c r="D957" s="3">
        <v>21098.78</v>
      </c>
      <c r="E957" s="3">
        <v>16998.69</v>
      </c>
      <c r="F957" s="3">
        <v>15130.77</v>
      </c>
      <c r="G957" s="3">
        <v>11004.41</v>
      </c>
      <c r="H957" s="3">
        <v>53228.24</v>
      </c>
      <c r="I957" s="3">
        <v>67052.079843636</v>
      </c>
      <c r="J957" s="3" t="s">
        <v>1021</v>
      </c>
      <c r="K957" s="3">
        <v>5.0</v>
      </c>
      <c r="L957" s="3" t="s">
        <v>34</v>
      </c>
    </row>
    <row r="958" ht="15.75" customHeight="1">
      <c r="A958" s="3" t="s">
        <v>1022</v>
      </c>
      <c r="B958" s="3" t="s">
        <v>51</v>
      </c>
      <c r="C958" s="3" t="s">
        <v>30</v>
      </c>
      <c r="D958" s="3">
        <v>105948.5</v>
      </c>
      <c r="E958" s="3">
        <v>18704.4</v>
      </c>
      <c r="F958" s="3">
        <v>5147.31</v>
      </c>
      <c r="G958" s="3">
        <v>21810.4</v>
      </c>
      <c r="H958" s="3">
        <v>129800.21</v>
      </c>
      <c r="I958" s="3">
        <v>67055.4613180558</v>
      </c>
      <c r="J958" s="3" t="s">
        <v>1023</v>
      </c>
      <c r="K958" s="3">
        <v>21.0</v>
      </c>
      <c r="L958" s="3" t="s">
        <v>38</v>
      </c>
    </row>
    <row r="959" ht="15.75" customHeight="1">
      <c r="A959" s="3" t="s">
        <v>1024</v>
      </c>
      <c r="B959" s="3" t="s">
        <v>51</v>
      </c>
      <c r="C959" s="3" t="s">
        <v>18</v>
      </c>
      <c r="D959" s="3">
        <v>78117.08</v>
      </c>
      <c r="E959" s="3">
        <v>28469.1</v>
      </c>
      <c r="F959" s="3">
        <v>13870.2</v>
      </c>
      <c r="G959" s="3">
        <v>11499.41</v>
      </c>
      <c r="H959" s="3">
        <v>120456.38</v>
      </c>
      <c r="I959" s="3">
        <v>67058.8427924756</v>
      </c>
      <c r="J959" s="3" t="s">
        <v>1012</v>
      </c>
      <c r="K959" s="3">
        <v>2.0</v>
      </c>
      <c r="L959" s="3" t="s">
        <v>40</v>
      </c>
    </row>
    <row r="960" ht="15.75" customHeight="1">
      <c r="A960" s="3" t="s">
        <v>1025</v>
      </c>
      <c r="B960" s="3" t="s">
        <v>36</v>
      </c>
      <c r="C960" s="3" t="s">
        <v>33</v>
      </c>
      <c r="D960" s="3">
        <v>89347.62</v>
      </c>
      <c r="E960" s="3">
        <v>6040.5</v>
      </c>
      <c r="F960" s="3">
        <v>794.22</v>
      </c>
      <c r="G960" s="3">
        <v>24491.58</v>
      </c>
      <c r="H960" s="3">
        <v>96182.34</v>
      </c>
      <c r="I960" s="3">
        <v>67062.2242668955</v>
      </c>
      <c r="J960" s="3" t="s">
        <v>1026</v>
      </c>
      <c r="K960" s="3">
        <v>15.0</v>
      </c>
      <c r="L960" s="3" t="s">
        <v>42</v>
      </c>
    </row>
    <row r="961" ht="15.75" customHeight="1">
      <c r="A961" s="3" t="s">
        <v>1027</v>
      </c>
      <c r="B961" s="3" t="s">
        <v>13</v>
      </c>
      <c r="C961" s="3" t="s">
        <v>14</v>
      </c>
      <c r="D961" s="3">
        <v>17161.37</v>
      </c>
      <c r="E961" s="3">
        <v>5248.22</v>
      </c>
      <c r="F961" s="3">
        <v>16788.16</v>
      </c>
      <c r="G961" s="3">
        <v>24015.94</v>
      </c>
      <c r="H961" s="3">
        <v>39197.75</v>
      </c>
      <c r="I961" s="3">
        <v>67065.6057413153</v>
      </c>
      <c r="J961" s="3" t="s">
        <v>1018</v>
      </c>
      <c r="K961" s="3">
        <v>11.0</v>
      </c>
      <c r="L961" s="3" t="s">
        <v>15</v>
      </c>
    </row>
    <row r="962" ht="15.75" customHeight="1">
      <c r="A962" s="3" t="s">
        <v>1028</v>
      </c>
      <c r="B962" s="3" t="s">
        <v>29</v>
      </c>
      <c r="C962" s="3" t="s">
        <v>26</v>
      </c>
      <c r="D962" s="3">
        <v>116840.53</v>
      </c>
      <c r="E962" s="3">
        <v>18108.78</v>
      </c>
      <c r="F962" s="3">
        <v>8963.42</v>
      </c>
      <c r="G962" s="3">
        <v>8563.85</v>
      </c>
      <c r="H962" s="3">
        <v>143912.73</v>
      </c>
      <c r="I962" s="3">
        <v>67068.9872157351</v>
      </c>
      <c r="J962" s="3" t="s">
        <v>1018</v>
      </c>
      <c r="K962" s="3">
        <v>22.0</v>
      </c>
      <c r="L962" s="3" t="s">
        <v>19</v>
      </c>
    </row>
    <row r="963" ht="15.75" customHeight="1">
      <c r="A963" s="3" t="s">
        <v>1029</v>
      </c>
      <c r="B963" s="3" t="s">
        <v>17</v>
      </c>
      <c r="C963" s="3" t="s">
        <v>14</v>
      </c>
      <c r="D963" s="3">
        <v>102406.48</v>
      </c>
      <c r="E963" s="3">
        <v>29097.89</v>
      </c>
      <c r="F963" s="3">
        <v>12733.86</v>
      </c>
      <c r="G963" s="3">
        <v>22205.13</v>
      </c>
      <c r="H963" s="3">
        <v>144238.23</v>
      </c>
      <c r="I963" s="3">
        <v>67072.3686901549</v>
      </c>
      <c r="J963" s="3" t="s">
        <v>1018</v>
      </c>
      <c r="K963" s="3">
        <v>10.0</v>
      </c>
      <c r="L963" s="3" t="s">
        <v>21</v>
      </c>
    </row>
    <row r="964" ht="15.75" customHeight="1">
      <c r="A964" s="3" t="s">
        <v>1030</v>
      </c>
      <c r="B964" s="3" t="s">
        <v>17</v>
      </c>
      <c r="C964" s="3" t="s">
        <v>33</v>
      </c>
      <c r="D964" s="3">
        <v>37295.61</v>
      </c>
      <c r="E964" s="3">
        <v>10963.67</v>
      </c>
      <c r="F964" s="3">
        <v>4424.76</v>
      </c>
      <c r="G964" s="3">
        <v>21266.48</v>
      </c>
      <c r="H964" s="3">
        <v>52684.04</v>
      </c>
      <c r="I964" s="3">
        <v>67075.7501645747</v>
      </c>
      <c r="J964" s="3" t="s">
        <v>1031</v>
      </c>
      <c r="K964" s="3">
        <v>20.0</v>
      </c>
      <c r="L964" s="3" t="s">
        <v>23</v>
      </c>
    </row>
    <row r="965" ht="15.75" customHeight="1">
      <c r="A965" s="3" t="s">
        <v>1032</v>
      </c>
      <c r="B965" s="3" t="s">
        <v>53</v>
      </c>
      <c r="C965" s="3" t="s">
        <v>37</v>
      </c>
      <c r="D965" s="3">
        <v>34091.62</v>
      </c>
      <c r="E965" s="3">
        <v>27094.16</v>
      </c>
      <c r="F965" s="3">
        <v>13541.47</v>
      </c>
      <c r="G965" s="3">
        <v>5661.67</v>
      </c>
      <c r="H965" s="3">
        <v>74727.25</v>
      </c>
      <c r="I965" s="3">
        <v>67079.1316389945</v>
      </c>
      <c r="J965" s="3" t="s">
        <v>1031</v>
      </c>
      <c r="K965" s="3">
        <v>1.0</v>
      </c>
      <c r="L965" s="3" t="s">
        <v>27</v>
      </c>
    </row>
    <row r="966" ht="15.75" customHeight="1">
      <c r="A966" s="3" t="s">
        <v>1033</v>
      </c>
      <c r="B966" s="3" t="s">
        <v>29</v>
      </c>
      <c r="C966" s="3" t="s">
        <v>37</v>
      </c>
      <c r="D966" s="3">
        <v>34257.47</v>
      </c>
      <c r="E966" s="3">
        <v>13353.81</v>
      </c>
      <c r="F966" s="3">
        <v>15444.81</v>
      </c>
      <c r="G966" s="3">
        <v>15795.11</v>
      </c>
      <c r="H966" s="3">
        <v>62445.88</v>
      </c>
      <c r="I966" s="3">
        <v>67082.5131134143</v>
      </c>
      <c r="J966" s="3" t="s">
        <v>1034</v>
      </c>
      <c r="K966" s="3">
        <v>19.0</v>
      </c>
      <c r="L966" s="3" t="s">
        <v>31</v>
      </c>
    </row>
    <row r="967" ht="15.75" customHeight="1">
      <c r="A967" s="3" t="s">
        <v>1035</v>
      </c>
      <c r="B967" s="3" t="s">
        <v>29</v>
      </c>
      <c r="C967" s="3" t="s">
        <v>30</v>
      </c>
      <c r="D967" s="3">
        <v>46945.44</v>
      </c>
      <c r="E967" s="3">
        <v>35899.1</v>
      </c>
      <c r="F967" s="3">
        <v>9464.26</v>
      </c>
      <c r="G967" s="3">
        <v>2280.72</v>
      </c>
      <c r="H967" s="3">
        <v>92308.8</v>
      </c>
      <c r="I967" s="3">
        <v>67085.8945878342</v>
      </c>
      <c r="J967" s="3" t="s">
        <v>1034</v>
      </c>
      <c r="K967" s="3">
        <v>14.0</v>
      </c>
      <c r="L967" s="3" t="s">
        <v>34</v>
      </c>
    </row>
    <row r="968" ht="15.75" customHeight="1">
      <c r="A968" s="3" t="s">
        <v>1036</v>
      </c>
      <c r="B968" s="3" t="s">
        <v>29</v>
      </c>
      <c r="C968" s="3" t="s">
        <v>26</v>
      </c>
      <c r="D968" s="3">
        <v>70099.43</v>
      </c>
      <c r="E968" s="3">
        <v>36244.84</v>
      </c>
      <c r="F968" s="3">
        <v>12354.54</v>
      </c>
      <c r="G968" s="3">
        <v>20999.41</v>
      </c>
      <c r="H968" s="3">
        <v>118698.81</v>
      </c>
      <c r="I968" s="3">
        <v>67089.276062254</v>
      </c>
      <c r="J968" s="3" t="s">
        <v>1014</v>
      </c>
      <c r="K968" s="3">
        <v>25.0</v>
      </c>
      <c r="L968" s="3" t="s">
        <v>38</v>
      </c>
    </row>
    <row r="969" ht="15.75" customHeight="1">
      <c r="A969" s="3" t="s">
        <v>1037</v>
      </c>
      <c r="B969" s="3" t="s">
        <v>29</v>
      </c>
      <c r="C969" s="3" t="s">
        <v>30</v>
      </c>
      <c r="D969" s="3">
        <v>60354.23</v>
      </c>
      <c r="E969" s="3">
        <v>14702.34</v>
      </c>
      <c r="F969" s="3">
        <v>9126.52</v>
      </c>
      <c r="G969" s="3">
        <v>4776.37</v>
      </c>
      <c r="H969" s="3">
        <v>84183.09</v>
      </c>
      <c r="I969" s="3">
        <v>67092.6575366738</v>
      </c>
      <c r="J969" s="3" t="s">
        <v>1023</v>
      </c>
      <c r="K969" s="3">
        <v>23.0</v>
      </c>
      <c r="L969" s="3" t="s">
        <v>40</v>
      </c>
    </row>
    <row r="970" ht="15.75" customHeight="1">
      <c r="A970" s="3" t="s">
        <v>1038</v>
      </c>
      <c r="B970" s="3" t="s">
        <v>17</v>
      </c>
      <c r="C970" s="3" t="s">
        <v>18</v>
      </c>
      <c r="D970" s="3">
        <v>45579.06</v>
      </c>
      <c r="E970" s="3">
        <v>12279.78</v>
      </c>
      <c r="F970" s="3">
        <v>17881.83</v>
      </c>
      <c r="G970" s="3">
        <v>2234.96</v>
      </c>
      <c r="H970" s="3">
        <v>75740.67</v>
      </c>
      <c r="I970" s="3">
        <v>67096.0390110936</v>
      </c>
      <c r="J970" s="3" t="s">
        <v>1026</v>
      </c>
      <c r="K970" s="3">
        <v>22.0</v>
      </c>
      <c r="L970" s="3" t="s">
        <v>42</v>
      </c>
    </row>
    <row r="971" ht="15.75" customHeight="1">
      <c r="A971" s="3" t="s">
        <v>1039</v>
      </c>
      <c r="B971" s="3" t="s">
        <v>25</v>
      </c>
      <c r="C971" s="3" t="s">
        <v>14</v>
      </c>
      <c r="D971" s="3">
        <v>79244.55</v>
      </c>
      <c r="E971" s="3">
        <v>18806.94</v>
      </c>
      <c r="F971" s="3">
        <v>9957.38</v>
      </c>
      <c r="G971" s="3">
        <v>10305.37</v>
      </c>
      <c r="H971" s="3">
        <v>108008.87</v>
      </c>
      <c r="I971" s="3">
        <v>67099.4204855134</v>
      </c>
      <c r="J971" s="3" t="s">
        <v>1040</v>
      </c>
      <c r="K971" s="3">
        <v>14.0</v>
      </c>
      <c r="L971" s="3" t="s">
        <v>15</v>
      </c>
    </row>
    <row r="972" ht="15.75" customHeight="1">
      <c r="A972" s="3" t="s">
        <v>1041</v>
      </c>
      <c r="B972" s="3" t="s">
        <v>51</v>
      </c>
      <c r="C972" s="3" t="s">
        <v>30</v>
      </c>
      <c r="D972" s="3">
        <v>29646.86</v>
      </c>
      <c r="E972" s="3">
        <v>12659.14</v>
      </c>
      <c r="F972" s="3">
        <v>16836.17</v>
      </c>
      <c r="G972" s="3">
        <v>14634.59</v>
      </c>
      <c r="H972" s="3">
        <v>59142.17</v>
      </c>
      <c r="I972" s="3">
        <v>67102.8019599332</v>
      </c>
      <c r="J972" s="3" t="s">
        <v>1042</v>
      </c>
      <c r="K972" s="3">
        <v>1.0</v>
      </c>
      <c r="L972" s="3" t="s">
        <v>19</v>
      </c>
    </row>
    <row r="973" ht="15.75" customHeight="1">
      <c r="A973" s="3" t="s">
        <v>1043</v>
      </c>
      <c r="B973" s="3" t="s">
        <v>51</v>
      </c>
      <c r="C973" s="3" t="s">
        <v>30</v>
      </c>
      <c r="D973" s="3">
        <v>45675.19</v>
      </c>
      <c r="E973" s="3">
        <v>28205.82</v>
      </c>
      <c r="F973" s="3">
        <v>16027.04</v>
      </c>
      <c r="G973" s="3">
        <v>21445.47</v>
      </c>
      <c r="H973" s="3">
        <v>89908.05</v>
      </c>
      <c r="I973" s="3">
        <v>67106.183434353</v>
      </c>
      <c r="J973" s="3" t="s">
        <v>1014</v>
      </c>
      <c r="K973" s="3">
        <v>25.0</v>
      </c>
      <c r="L973" s="3" t="s">
        <v>21</v>
      </c>
    </row>
    <row r="974" ht="15.75" customHeight="1">
      <c r="A974" s="3" t="s">
        <v>1044</v>
      </c>
      <c r="B974" s="3" t="s">
        <v>36</v>
      </c>
      <c r="C974" s="3" t="s">
        <v>37</v>
      </c>
      <c r="D974" s="3">
        <v>53467.99</v>
      </c>
      <c r="E974" s="3">
        <v>33738.33</v>
      </c>
      <c r="F974" s="3">
        <v>8210.1</v>
      </c>
      <c r="G974" s="3">
        <v>24368.94</v>
      </c>
      <c r="H974" s="3">
        <v>95416.42</v>
      </c>
      <c r="I974" s="3">
        <v>67109.5649087729</v>
      </c>
      <c r="J974" s="3" t="s">
        <v>1018</v>
      </c>
      <c r="K974" s="3">
        <v>9.0</v>
      </c>
      <c r="L974" s="3" t="s">
        <v>23</v>
      </c>
    </row>
    <row r="975" ht="15.75" customHeight="1">
      <c r="A975" s="3" t="s">
        <v>1045</v>
      </c>
      <c r="B975" s="3" t="s">
        <v>51</v>
      </c>
      <c r="C975" s="3" t="s">
        <v>18</v>
      </c>
      <c r="D975" s="3">
        <v>62887.35</v>
      </c>
      <c r="E975" s="3">
        <v>28231.32</v>
      </c>
      <c r="F975" s="3">
        <v>4601.69</v>
      </c>
      <c r="G975" s="3">
        <v>11267.57</v>
      </c>
      <c r="H975" s="3">
        <v>95720.36</v>
      </c>
      <c r="I975" s="3">
        <v>67112.9463831927</v>
      </c>
      <c r="J975" s="3" t="s">
        <v>1034</v>
      </c>
      <c r="K975" s="3">
        <v>17.0</v>
      </c>
      <c r="L975" s="3" t="s">
        <v>27</v>
      </c>
    </row>
    <row r="976" ht="15.75" customHeight="1">
      <c r="A976" s="3" t="s">
        <v>1046</v>
      </c>
      <c r="B976" s="3" t="s">
        <v>25</v>
      </c>
      <c r="C976" s="3" t="s">
        <v>33</v>
      </c>
      <c r="D976" s="3">
        <v>97443.48</v>
      </c>
      <c r="E976" s="3">
        <v>33676.62</v>
      </c>
      <c r="F976" s="3">
        <v>8121.64</v>
      </c>
      <c r="G976" s="3">
        <v>1980.95</v>
      </c>
      <c r="H976" s="3">
        <v>139241.74</v>
      </c>
      <c r="I976" s="3">
        <v>67116.3278576125</v>
      </c>
      <c r="J976" s="3" t="s">
        <v>1014</v>
      </c>
      <c r="K976" s="3">
        <v>14.0</v>
      </c>
      <c r="L976" s="3" t="s">
        <v>31</v>
      </c>
    </row>
    <row r="977" ht="15.75" customHeight="1">
      <c r="A977" s="3" t="s">
        <v>1047</v>
      </c>
      <c r="B977" s="3" t="s">
        <v>25</v>
      </c>
      <c r="C977" s="3" t="s">
        <v>18</v>
      </c>
      <c r="D977" s="3">
        <v>35965.75</v>
      </c>
      <c r="E977" s="3">
        <v>18291.72</v>
      </c>
      <c r="F977" s="3">
        <v>16524.35</v>
      </c>
      <c r="G977" s="3">
        <v>18853.33</v>
      </c>
      <c r="H977" s="3">
        <v>70781.82</v>
      </c>
      <c r="I977" s="3">
        <v>67119.7093320323</v>
      </c>
      <c r="J977" s="3" t="s">
        <v>1034</v>
      </c>
      <c r="K977" s="3">
        <v>13.0</v>
      </c>
      <c r="L977" s="3" t="s">
        <v>34</v>
      </c>
    </row>
    <row r="978" ht="15.75" customHeight="1">
      <c r="A978" s="3" t="s">
        <v>1048</v>
      </c>
      <c r="B978" s="3" t="s">
        <v>53</v>
      </c>
      <c r="C978" s="3" t="s">
        <v>30</v>
      </c>
      <c r="D978" s="3">
        <v>68994.62</v>
      </c>
      <c r="E978" s="3">
        <v>9627.41</v>
      </c>
      <c r="F978" s="3">
        <v>4552.65</v>
      </c>
      <c r="G978" s="3">
        <v>14346.74</v>
      </c>
      <c r="H978" s="3">
        <v>83174.68</v>
      </c>
      <c r="I978" s="3">
        <v>67123.0908064521</v>
      </c>
      <c r="J978" s="3" t="s">
        <v>1014</v>
      </c>
      <c r="K978" s="3">
        <v>13.0</v>
      </c>
      <c r="L978" s="3" t="s">
        <v>38</v>
      </c>
    </row>
    <row r="979" ht="15.75" customHeight="1">
      <c r="A979" s="3" t="s">
        <v>1049</v>
      </c>
      <c r="B979" s="3" t="s">
        <v>13</v>
      </c>
      <c r="C979" s="3" t="s">
        <v>30</v>
      </c>
      <c r="D979" s="3">
        <v>77203.53</v>
      </c>
      <c r="E979" s="3">
        <v>30566.23</v>
      </c>
      <c r="F979" s="3">
        <v>10488.73</v>
      </c>
      <c r="G979" s="3">
        <v>11473.34</v>
      </c>
      <c r="H979" s="3">
        <v>119274.21</v>
      </c>
      <c r="I979" s="3">
        <v>67126.4722808719</v>
      </c>
      <c r="J979" s="3" t="s">
        <v>1034</v>
      </c>
      <c r="K979" s="3">
        <v>6.0</v>
      </c>
      <c r="L979" s="3" t="s">
        <v>40</v>
      </c>
    </row>
    <row r="980" ht="15.75" customHeight="1">
      <c r="A980" s="3" t="s">
        <v>1050</v>
      </c>
      <c r="B980" s="3" t="s">
        <v>13</v>
      </c>
      <c r="C980" s="3" t="s">
        <v>33</v>
      </c>
      <c r="D980" s="3">
        <v>19877.29</v>
      </c>
      <c r="E980" s="3">
        <v>16977.08</v>
      </c>
      <c r="F980" s="3">
        <v>16121.93</v>
      </c>
      <c r="G980" s="3">
        <v>8077.09</v>
      </c>
      <c r="H980" s="3">
        <v>52976.3</v>
      </c>
      <c r="I980" s="3">
        <v>67129.8537552918</v>
      </c>
      <c r="J980" s="3" t="s">
        <v>1018</v>
      </c>
      <c r="K980" s="3">
        <v>7.0</v>
      </c>
      <c r="L980" s="3" t="s">
        <v>42</v>
      </c>
    </row>
    <row r="981" ht="15.75" customHeight="1">
      <c r="A981" s="3" t="s">
        <v>1051</v>
      </c>
      <c r="B981" s="3" t="s">
        <v>53</v>
      </c>
      <c r="C981" s="3" t="s">
        <v>14</v>
      </c>
      <c r="D981" s="3">
        <v>78792.21</v>
      </c>
      <c r="E981" s="3">
        <v>28165.75</v>
      </c>
      <c r="F981" s="3">
        <v>7069.55</v>
      </c>
      <c r="G981" s="3">
        <v>12808.76</v>
      </c>
      <c r="H981" s="3">
        <v>114027.51</v>
      </c>
      <c r="I981" s="3">
        <v>67133.2352297116</v>
      </c>
      <c r="J981" s="3" t="s">
        <v>1014</v>
      </c>
      <c r="K981" s="3">
        <v>2.0</v>
      </c>
      <c r="L981" s="3" t="s">
        <v>15</v>
      </c>
    </row>
    <row r="982" ht="15.75" customHeight="1">
      <c r="A982" s="3" t="s">
        <v>1052</v>
      </c>
      <c r="B982" s="3" t="s">
        <v>29</v>
      </c>
      <c r="C982" s="3" t="s">
        <v>14</v>
      </c>
      <c r="D982" s="3">
        <v>32905.03</v>
      </c>
      <c r="E982" s="3">
        <v>13743.18</v>
      </c>
      <c r="F982" s="3">
        <v>12844.19</v>
      </c>
      <c r="G982" s="3">
        <v>8797.65</v>
      </c>
      <c r="H982" s="3">
        <v>59492.4</v>
      </c>
      <c r="I982" s="3">
        <v>67136.6167041314</v>
      </c>
      <c r="J982" s="3" t="s">
        <v>1023</v>
      </c>
      <c r="K982" s="3">
        <v>8.0</v>
      </c>
      <c r="L982" s="3" t="s">
        <v>19</v>
      </c>
    </row>
    <row r="983" ht="15.75" customHeight="1">
      <c r="A983" s="3" t="s">
        <v>1053</v>
      </c>
      <c r="B983" s="3" t="s">
        <v>36</v>
      </c>
      <c r="C983" s="3" t="s">
        <v>26</v>
      </c>
      <c r="D983" s="3">
        <v>21830.42</v>
      </c>
      <c r="E983" s="3">
        <v>6924.27</v>
      </c>
      <c r="F983" s="3">
        <v>4912.63</v>
      </c>
      <c r="G983" s="3">
        <v>19046.79</v>
      </c>
      <c r="H983" s="3">
        <v>33667.32</v>
      </c>
      <c r="I983" s="3">
        <v>67139.9981785512</v>
      </c>
      <c r="J983" s="3" t="s">
        <v>1031</v>
      </c>
      <c r="K983" s="3">
        <v>24.0</v>
      </c>
      <c r="L983" s="3" t="s">
        <v>21</v>
      </c>
    </row>
    <row r="984" ht="15.75" customHeight="1">
      <c r="A984" s="3" t="s">
        <v>1054</v>
      </c>
      <c r="B984" s="3" t="s">
        <v>17</v>
      </c>
      <c r="C984" s="3" t="s">
        <v>37</v>
      </c>
      <c r="D984" s="3">
        <v>114632.98</v>
      </c>
      <c r="E984" s="3">
        <v>39732.94</v>
      </c>
      <c r="F984" s="3">
        <v>2185.59</v>
      </c>
      <c r="G984" s="3">
        <v>13825.4</v>
      </c>
      <c r="H984" s="3">
        <v>156551.51</v>
      </c>
      <c r="I984" s="3">
        <v>67143.379652971</v>
      </c>
      <c r="J984" s="3" t="s">
        <v>1018</v>
      </c>
      <c r="K984" s="3">
        <v>6.0</v>
      </c>
      <c r="L984" s="3" t="s">
        <v>23</v>
      </c>
    </row>
    <row r="985" ht="15.75" customHeight="1">
      <c r="A985" s="3" t="s">
        <v>1055</v>
      </c>
      <c r="B985" s="3" t="s">
        <v>53</v>
      </c>
      <c r="C985" s="3" t="s">
        <v>18</v>
      </c>
      <c r="D985" s="3">
        <v>116391.36</v>
      </c>
      <c r="E985" s="3">
        <v>9623.25</v>
      </c>
      <c r="F985" s="3">
        <v>15887.68</v>
      </c>
      <c r="G985" s="3">
        <v>21982.77</v>
      </c>
      <c r="H985" s="3">
        <v>141902.29</v>
      </c>
      <c r="I985" s="3">
        <v>67146.7611273908</v>
      </c>
      <c r="J985" s="3" t="s">
        <v>1031</v>
      </c>
      <c r="K985" s="3">
        <v>25.0</v>
      </c>
      <c r="L985" s="3" t="s">
        <v>27</v>
      </c>
    </row>
    <row r="986" ht="15.75" customHeight="1">
      <c r="A986" s="3" t="s">
        <v>1056</v>
      </c>
      <c r="B986" s="3" t="s">
        <v>51</v>
      </c>
      <c r="C986" s="3" t="s">
        <v>14</v>
      </c>
      <c r="D986" s="3">
        <v>99881.72</v>
      </c>
      <c r="E986" s="3">
        <v>39583.16</v>
      </c>
      <c r="F986" s="3">
        <v>1979.37</v>
      </c>
      <c r="G986" s="3">
        <v>13816.83</v>
      </c>
      <c r="H986" s="3">
        <v>141444.25</v>
      </c>
      <c r="I986" s="3">
        <v>67150.1426018106</v>
      </c>
      <c r="J986" s="3" t="s">
        <v>1034</v>
      </c>
      <c r="K986" s="3">
        <v>3.0</v>
      </c>
      <c r="L986" s="3" t="s">
        <v>31</v>
      </c>
    </row>
    <row r="987" ht="15.75" customHeight="1">
      <c r="A987" s="3" t="s">
        <v>1057</v>
      </c>
      <c r="B987" s="3" t="s">
        <v>51</v>
      </c>
      <c r="C987" s="3" t="s">
        <v>54</v>
      </c>
      <c r="D987" s="3">
        <v>46984.45</v>
      </c>
      <c r="E987" s="3">
        <v>39182.08</v>
      </c>
      <c r="F987" s="3">
        <v>5427.63</v>
      </c>
      <c r="G987" s="3">
        <v>6337.43</v>
      </c>
      <c r="H987" s="3">
        <v>91594.16</v>
      </c>
      <c r="I987" s="3">
        <v>67153.5240762305</v>
      </c>
      <c r="J987" s="3" t="s">
        <v>1012</v>
      </c>
      <c r="K987" s="3">
        <v>18.0</v>
      </c>
      <c r="L987" s="3" t="s">
        <v>34</v>
      </c>
    </row>
    <row r="988" ht="15.75" customHeight="1">
      <c r="A988" s="3" t="s">
        <v>1058</v>
      </c>
      <c r="B988" s="3" t="s">
        <v>17</v>
      </c>
      <c r="C988" s="3" t="s">
        <v>30</v>
      </c>
      <c r="D988" s="3">
        <v>25255.57</v>
      </c>
      <c r="E988" s="3">
        <v>32577.45</v>
      </c>
      <c r="F988" s="3">
        <v>17102.19</v>
      </c>
      <c r="G988" s="3">
        <v>21351.75</v>
      </c>
      <c r="H988" s="3">
        <v>74935.21</v>
      </c>
      <c r="I988" s="3">
        <v>67156.9055506503</v>
      </c>
      <c r="J988" s="3" t="s">
        <v>1031</v>
      </c>
      <c r="K988" s="3">
        <v>18.0</v>
      </c>
      <c r="L988" s="3" t="s">
        <v>38</v>
      </c>
    </row>
    <row r="989" ht="15.75" customHeight="1">
      <c r="A989" s="3" t="s">
        <v>1059</v>
      </c>
      <c r="B989" s="3" t="s">
        <v>13</v>
      </c>
      <c r="C989" s="3" t="s">
        <v>37</v>
      </c>
      <c r="D989" s="3">
        <v>86844.47</v>
      </c>
      <c r="E989" s="3">
        <v>27739.23</v>
      </c>
      <c r="F989" s="3">
        <v>6929.39</v>
      </c>
      <c r="G989" s="3">
        <v>14151.87</v>
      </c>
      <c r="H989" s="3">
        <v>121513.09</v>
      </c>
      <c r="I989" s="3">
        <v>67160.2870250701</v>
      </c>
      <c r="J989" s="3" t="s">
        <v>1026</v>
      </c>
      <c r="K989" s="3">
        <v>22.0</v>
      </c>
      <c r="L989" s="3" t="s">
        <v>40</v>
      </c>
    </row>
    <row r="990" ht="15.75" customHeight="1">
      <c r="A990" s="3" t="s">
        <v>1060</v>
      </c>
      <c r="B990" s="3" t="s">
        <v>53</v>
      </c>
      <c r="C990" s="3" t="s">
        <v>54</v>
      </c>
      <c r="D990" s="3">
        <v>61216.01</v>
      </c>
      <c r="E990" s="3">
        <v>24801.05</v>
      </c>
      <c r="F990" s="3">
        <v>19460.91</v>
      </c>
      <c r="G990" s="3">
        <v>5567.61</v>
      </c>
      <c r="H990" s="3">
        <v>105477.97</v>
      </c>
      <c r="I990" s="3">
        <v>67163.6684994899</v>
      </c>
      <c r="J990" s="3" t="s">
        <v>1031</v>
      </c>
      <c r="K990" s="3">
        <v>23.0</v>
      </c>
      <c r="L990" s="3" t="s">
        <v>42</v>
      </c>
    </row>
    <row r="991" ht="15.75" customHeight="1">
      <c r="A991" s="3" t="s">
        <v>1061</v>
      </c>
      <c r="B991" s="3" t="s">
        <v>29</v>
      </c>
      <c r="C991" s="3" t="s">
        <v>18</v>
      </c>
      <c r="D991" s="3">
        <v>27814.01</v>
      </c>
      <c r="E991" s="3">
        <v>35179.66</v>
      </c>
      <c r="F991" s="3">
        <v>19594.69</v>
      </c>
      <c r="G991" s="3">
        <v>15775.94</v>
      </c>
      <c r="H991" s="3">
        <v>82588.36</v>
      </c>
      <c r="I991" s="3">
        <v>67167.0499739097</v>
      </c>
      <c r="J991" s="3" t="s">
        <v>1062</v>
      </c>
      <c r="K991" s="3">
        <v>6.0</v>
      </c>
      <c r="L991" s="3" t="s">
        <v>15</v>
      </c>
    </row>
    <row r="992" ht="15.75" customHeight="1">
      <c r="A992" s="3" t="s">
        <v>1063</v>
      </c>
      <c r="B992" s="5"/>
      <c r="C992" s="3" t="s">
        <v>54</v>
      </c>
      <c r="D992" s="3">
        <v>66993.58</v>
      </c>
      <c r="E992" s="3">
        <v>14419.82</v>
      </c>
      <c r="F992" s="3">
        <v>5365.52</v>
      </c>
      <c r="G992" s="3">
        <v>9264.06</v>
      </c>
      <c r="H992" s="3">
        <v>86778.92</v>
      </c>
      <c r="I992" s="3">
        <v>67170.4314483295</v>
      </c>
      <c r="J992" s="3" t="s">
        <v>1014</v>
      </c>
      <c r="K992" s="3">
        <v>11.0</v>
      </c>
      <c r="L992" s="3" t="s">
        <v>19</v>
      </c>
    </row>
    <row r="993" ht="15.75" customHeight="1">
      <c r="A993" s="3" t="s">
        <v>1064</v>
      </c>
      <c r="B993" s="3" t="s">
        <v>25</v>
      </c>
      <c r="C993" s="3" t="s">
        <v>18</v>
      </c>
      <c r="D993" s="3">
        <v>18610.79</v>
      </c>
      <c r="E993" s="3">
        <v>20836.52</v>
      </c>
      <c r="F993" s="3">
        <v>819.56</v>
      </c>
      <c r="G993" s="3">
        <v>21187.94</v>
      </c>
      <c r="H993" s="3">
        <v>40266.87</v>
      </c>
      <c r="I993" s="3">
        <v>67173.8129227493</v>
      </c>
      <c r="J993" s="3" t="s">
        <v>1016</v>
      </c>
      <c r="K993" s="3">
        <v>3.0</v>
      </c>
      <c r="L993" s="3" t="s">
        <v>21</v>
      </c>
    </row>
    <row r="994" ht="15.75" customHeight="1">
      <c r="A994" s="3" t="s">
        <v>1065</v>
      </c>
      <c r="B994" s="3" t="s">
        <v>13</v>
      </c>
      <c r="C994" s="3" t="s">
        <v>26</v>
      </c>
      <c r="D994" s="3">
        <v>110478.64</v>
      </c>
      <c r="E994" s="3">
        <v>26298.04</v>
      </c>
      <c r="F994" s="3">
        <v>14101.27</v>
      </c>
      <c r="G994" s="3">
        <v>11605.84</v>
      </c>
      <c r="H994" s="3">
        <v>150877.95</v>
      </c>
      <c r="I994" s="3">
        <v>67177.1943971692</v>
      </c>
      <c r="J994" s="3" t="s">
        <v>1034</v>
      </c>
      <c r="K994" s="3">
        <v>16.0</v>
      </c>
      <c r="L994" s="3" t="s">
        <v>23</v>
      </c>
    </row>
    <row r="995" ht="15.75" customHeight="1">
      <c r="A995" s="3" t="s">
        <v>1066</v>
      </c>
      <c r="B995" s="3" t="s">
        <v>36</v>
      </c>
      <c r="C995" s="3" t="s">
        <v>37</v>
      </c>
      <c r="D995" s="3">
        <v>42171.9</v>
      </c>
      <c r="E995" s="3">
        <v>18802.86</v>
      </c>
      <c r="F995" s="3">
        <v>9019.73</v>
      </c>
      <c r="G995" s="3">
        <v>18297.81</v>
      </c>
      <c r="H995" s="3">
        <v>69994.49</v>
      </c>
      <c r="I995" s="3">
        <v>67180.575871589</v>
      </c>
      <c r="J995" s="3" t="s">
        <v>1042</v>
      </c>
      <c r="K995" s="3">
        <v>5.0</v>
      </c>
      <c r="L995" s="3" t="s">
        <v>27</v>
      </c>
    </row>
    <row r="996" ht="15.75" customHeight="1">
      <c r="A996" s="3" t="s">
        <v>1067</v>
      </c>
      <c r="B996" s="3" t="s">
        <v>29</v>
      </c>
      <c r="C996" s="3" t="s">
        <v>30</v>
      </c>
      <c r="D996" s="3">
        <v>84564.84</v>
      </c>
      <c r="E996" s="3">
        <v>19389.51</v>
      </c>
      <c r="F996" s="3">
        <v>2015.06</v>
      </c>
      <c r="G996" s="3">
        <v>2840.64</v>
      </c>
      <c r="H996" s="3">
        <v>105969.41</v>
      </c>
      <c r="I996" s="3">
        <v>67183.9573460088</v>
      </c>
      <c r="J996" s="3" t="s">
        <v>1018</v>
      </c>
      <c r="K996" s="3">
        <v>24.0</v>
      </c>
      <c r="L996" s="3" t="s">
        <v>31</v>
      </c>
    </row>
    <row r="997" ht="15.75" customHeight="1">
      <c r="A997" s="3" t="s">
        <v>1068</v>
      </c>
      <c r="B997" s="3" t="s">
        <v>51</v>
      </c>
      <c r="C997" s="3" t="s">
        <v>30</v>
      </c>
      <c r="D997" s="3">
        <v>47729.66</v>
      </c>
      <c r="E997" s="3">
        <v>15890.25</v>
      </c>
      <c r="F997" s="3">
        <v>14150.46</v>
      </c>
      <c r="G997" s="3">
        <v>10202.6</v>
      </c>
      <c r="H997" s="3">
        <v>77770.37</v>
      </c>
      <c r="I997" s="3">
        <v>67187.3388204286</v>
      </c>
      <c r="J997" s="3" t="s">
        <v>1031</v>
      </c>
      <c r="K997" s="3">
        <v>22.0</v>
      </c>
      <c r="L997" s="3" t="s">
        <v>34</v>
      </c>
    </row>
    <row r="998" ht="15.75" customHeight="1">
      <c r="A998" s="3" t="s">
        <v>1069</v>
      </c>
      <c r="B998" s="3" t="s">
        <v>53</v>
      </c>
      <c r="C998" s="3" t="s">
        <v>18</v>
      </c>
      <c r="D998" s="3">
        <v>69607.14</v>
      </c>
      <c r="E998" s="3">
        <v>24312.35</v>
      </c>
      <c r="F998" s="3">
        <v>623.5</v>
      </c>
      <c r="G998" s="3">
        <v>24589.42</v>
      </c>
      <c r="H998" s="3">
        <v>96980.56</v>
      </c>
      <c r="I998" s="3">
        <v>67190.7202948484</v>
      </c>
      <c r="J998" s="3" t="s">
        <v>1042</v>
      </c>
      <c r="K998" s="3">
        <v>2.0</v>
      </c>
      <c r="L998" s="3" t="s">
        <v>38</v>
      </c>
    </row>
    <row r="999" ht="15.75" customHeight="1">
      <c r="A999" s="3" t="s">
        <v>1070</v>
      </c>
      <c r="B999" s="3" t="s">
        <v>13</v>
      </c>
      <c r="C999" s="3" t="s">
        <v>26</v>
      </c>
      <c r="D999" s="5"/>
      <c r="E999" s="3">
        <v>11255.02</v>
      </c>
      <c r="F999" s="3">
        <v>2773.05</v>
      </c>
      <c r="G999" s="3">
        <v>4418.55</v>
      </c>
      <c r="H999" s="3">
        <v>48437.79</v>
      </c>
      <c r="I999" s="3">
        <v>67197.483243688</v>
      </c>
      <c r="J999" s="3" t="s">
        <v>1034</v>
      </c>
      <c r="K999" s="3">
        <v>16.0</v>
      </c>
      <c r="L999" s="3" t="s">
        <v>42</v>
      </c>
    </row>
    <row r="1000" ht="15.75" customHeight="1">
      <c r="A1000" s="3" t="s">
        <v>1071</v>
      </c>
      <c r="B1000" s="3" t="s">
        <v>51</v>
      </c>
      <c r="C1000" s="3" t="s">
        <v>14</v>
      </c>
      <c r="D1000" s="3">
        <v>116806.39</v>
      </c>
      <c r="E1000" s="3">
        <v>37639.59</v>
      </c>
      <c r="F1000" s="3">
        <v>2546.24</v>
      </c>
      <c r="G1000" s="3">
        <v>7305.22</v>
      </c>
      <c r="H1000" s="3">
        <v>156992.22</v>
      </c>
      <c r="I1000" s="3">
        <v>67200.8647181079</v>
      </c>
      <c r="J1000" s="3" t="s">
        <v>1026</v>
      </c>
      <c r="K1000" s="3">
        <v>7.0</v>
      </c>
      <c r="L1000" s="3" t="s">
        <v>15</v>
      </c>
    </row>
    <row r="1001" ht="15.75" customHeight="1">
      <c r="A1001" s="3" t="s">
        <v>1072</v>
      </c>
      <c r="B1001" s="3" t="s">
        <v>25</v>
      </c>
      <c r="C1001" s="3" t="s">
        <v>37</v>
      </c>
      <c r="D1001" s="3">
        <v>96388.95</v>
      </c>
      <c r="E1001" s="3">
        <v>28807.16</v>
      </c>
      <c r="F1001" s="3">
        <v>3513.45</v>
      </c>
      <c r="G1001" s="3">
        <v>8580.49</v>
      </c>
      <c r="H1001" s="3">
        <v>128709.56</v>
      </c>
      <c r="I1001" s="3">
        <v>67204.2461925277</v>
      </c>
      <c r="J1001" s="3" t="s">
        <v>1012</v>
      </c>
      <c r="K1001" s="3">
        <v>16.0</v>
      </c>
      <c r="L1001" s="3" t="s">
        <v>19</v>
      </c>
    </row>
    <row r="1002" ht="15.75" customHeight="1">
      <c r="A1002" s="3" t="s">
        <v>1073</v>
      </c>
      <c r="B1002" s="3" t="s">
        <v>25</v>
      </c>
      <c r="C1002" s="3" t="s">
        <v>54</v>
      </c>
      <c r="D1002" s="3">
        <v>113647.39</v>
      </c>
      <c r="E1002" s="3">
        <v>33637.84</v>
      </c>
      <c r="F1002" s="3">
        <v>19205.33</v>
      </c>
      <c r="G1002" s="3">
        <v>16433.96</v>
      </c>
      <c r="H1002" s="3">
        <v>166490.56</v>
      </c>
      <c r="I1002" s="3">
        <v>67207.6276669475</v>
      </c>
      <c r="J1002" s="3" t="s">
        <v>1062</v>
      </c>
      <c r="K1002" s="3">
        <v>24.0</v>
      </c>
      <c r="L1002" s="3" t="s">
        <v>21</v>
      </c>
    </row>
    <row r="1003" ht="15.75" customHeight="1">
      <c r="A1003" s="3" t="s">
        <v>1074</v>
      </c>
      <c r="B1003" s="5"/>
      <c r="C1003" s="3" t="s">
        <v>30</v>
      </c>
      <c r="D1003" s="3">
        <v>108956.87</v>
      </c>
      <c r="E1003" s="3">
        <v>24022.86</v>
      </c>
      <c r="F1003" s="3">
        <v>13863.39</v>
      </c>
      <c r="G1003" s="3">
        <v>19046.37</v>
      </c>
      <c r="H1003" s="3">
        <v>146843.12</v>
      </c>
      <c r="I1003" s="3">
        <v>67211.0091413673</v>
      </c>
      <c r="J1003" s="3" t="s">
        <v>1031</v>
      </c>
      <c r="K1003" s="3">
        <v>4.0</v>
      </c>
      <c r="L1003" s="3" t="s">
        <v>23</v>
      </c>
    </row>
    <row r="1004" ht="15.75" customHeight="1">
      <c r="A1004" s="3" t="s">
        <v>1075</v>
      </c>
      <c r="B1004" s="3" t="s">
        <v>51</v>
      </c>
      <c r="C1004" s="3" t="s">
        <v>54</v>
      </c>
      <c r="D1004" s="3">
        <v>77779.5</v>
      </c>
      <c r="E1004" s="3">
        <v>32062.6</v>
      </c>
      <c r="F1004" s="3">
        <v>16027.43</v>
      </c>
      <c r="G1004" s="3">
        <v>18863.4</v>
      </c>
      <c r="H1004" s="3">
        <v>125869.53</v>
      </c>
      <c r="I1004" s="3">
        <v>67214.3906157871</v>
      </c>
      <c r="J1004" s="3" t="s">
        <v>1012</v>
      </c>
      <c r="K1004" s="3">
        <v>16.0</v>
      </c>
      <c r="L1004" s="3" t="s">
        <v>27</v>
      </c>
    </row>
    <row r="1005" ht="15.75" customHeight="1">
      <c r="A1005" s="3" t="s">
        <v>1076</v>
      </c>
      <c r="B1005" s="3" t="s">
        <v>25</v>
      </c>
      <c r="C1005" s="3" t="s">
        <v>14</v>
      </c>
      <c r="D1005" s="3">
        <v>111796.79</v>
      </c>
      <c r="E1005" s="3">
        <v>4583.21</v>
      </c>
      <c r="F1005" s="3">
        <v>7952.7</v>
      </c>
      <c r="G1005" s="3">
        <v>12991.91</v>
      </c>
      <c r="H1005" s="3">
        <v>124332.7</v>
      </c>
      <c r="I1005" s="3">
        <v>67217.7720902069</v>
      </c>
      <c r="J1005" s="3" t="s">
        <v>1034</v>
      </c>
      <c r="K1005" s="3">
        <v>17.0</v>
      </c>
      <c r="L1005" s="3" t="s">
        <v>31</v>
      </c>
    </row>
    <row r="1006" ht="15.75" customHeight="1">
      <c r="A1006" s="3" t="s">
        <v>1077</v>
      </c>
      <c r="B1006" s="3" t="s">
        <v>51</v>
      </c>
      <c r="C1006" s="3" t="s">
        <v>26</v>
      </c>
      <c r="D1006" s="3">
        <v>24291.71</v>
      </c>
      <c r="E1006" s="3">
        <v>33461.7</v>
      </c>
      <c r="F1006" s="3">
        <v>6726.25</v>
      </c>
      <c r="G1006" s="3">
        <v>20365.1</v>
      </c>
      <c r="H1006" s="3">
        <v>64479.66</v>
      </c>
      <c r="I1006" s="3">
        <v>67221.1535646267</v>
      </c>
      <c r="J1006" s="3" t="s">
        <v>1042</v>
      </c>
      <c r="K1006" s="3">
        <v>2.0</v>
      </c>
      <c r="L1006" s="3" t="s">
        <v>34</v>
      </c>
    </row>
    <row r="1007" ht="15.75" customHeight="1">
      <c r="A1007" s="3" t="s">
        <v>1078</v>
      </c>
      <c r="B1007" s="3" t="s">
        <v>36</v>
      </c>
      <c r="C1007" s="3" t="s">
        <v>37</v>
      </c>
      <c r="D1007" s="3">
        <v>35578.2</v>
      </c>
      <c r="E1007" s="3">
        <v>5445.0</v>
      </c>
      <c r="F1007" s="3">
        <v>4689.68</v>
      </c>
      <c r="G1007" s="3">
        <v>11208.41</v>
      </c>
      <c r="H1007" s="3">
        <v>45712.88</v>
      </c>
      <c r="I1007" s="3">
        <v>67224.5350390466</v>
      </c>
      <c r="J1007" s="3" t="s">
        <v>1021</v>
      </c>
      <c r="K1007" s="3">
        <v>16.0</v>
      </c>
      <c r="L1007" s="3" t="s">
        <v>38</v>
      </c>
    </row>
    <row r="1008" ht="15.75" customHeight="1">
      <c r="A1008" s="3" t="s">
        <v>1079</v>
      </c>
      <c r="B1008" s="3" t="s">
        <v>36</v>
      </c>
      <c r="C1008" s="3" t="s">
        <v>33</v>
      </c>
      <c r="D1008" s="3">
        <v>19748.87</v>
      </c>
      <c r="E1008" s="3">
        <v>36036.88</v>
      </c>
      <c r="F1008" s="3">
        <v>9612.96</v>
      </c>
      <c r="G1008" s="3">
        <v>3535.07</v>
      </c>
      <c r="H1008" s="3">
        <v>65398.71</v>
      </c>
      <c r="I1008" s="3">
        <v>67227.9165134664</v>
      </c>
      <c r="J1008" s="3" t="s">
        <v>1040</v>
      </c>
      <c r="K1008" s="3">
        <v>4.0</v>
      </c>
      <c r="L1008" s="3" t="s">
        <v>40</v>
      </c>
    </row>
    <row r="1009" ht="15.75" customHeight="1">
      <c r="A1009" s="3" t="s">
        <v>1080</v>
      </c>
      <c r="B1009" s="3" t="s">
        <v>13</v>
      </c>
      <c r="C1009" s="3" t="s">
        <v>54</v>
      </c>
      <c r="D1009" s="3">
        <v>49159.68</v>
      </c>
      <c r="E1009" s="3">
        <v>39710.66</v>
      </c>
      <c r="F1009" s="3">
        <v>11036.57</v>
      </c>
      <c r="G1009" s="3">
        <v>14328.83</v>
      </c>
      <c r="H1009" s="3">
        <v>99906.91</v>
      </c>
      <c r="I1009" s="3">
        <v>67231.2979878862</v>
      </c>
      <c r="J1009" s="3" t="s">
        <v>1023</v>
      </c>
      <c r="K1009" s="3">
        <v>7.0</v>
      </c>
      <c r="L1009" s="3" t="s">
        <v>42</v>
      </c>
    </row>
    <row r="1010" ht="15.75" customHeight="1">
      <c r="A1010" s="3" t="s">
        <v>1081</v>
      </c>
      <c r="B1010" s="3" t="s">
        <v>29</v>
      </c>
      <c r="C1010" s="3" t="s">
        <v>14</v>
      </c>
      <c r="D1010" s="3">
        <v>55811.12</v>
      </c>
      <c r="E1010" s="3">
        <v>14586.43</v>
      </c>
      <c r="F1010" s="3">
        <v>12635.5</v>
      </c>
      <c r="G1010" s="3">
        <v>23831.38</v>
      </c>
      <c r="H1010" s="3">
        <v>85786.09</v>
      </c>
      <c r="I1010" s="3">
        <v>67234.679462306</v>
      </c>
      <c r="J1010" s="3" t="s">
        <v>1034</v>
      </c>
      <c r="K1010" s="3">
        <v>18.0</v>
      </c>
      <c r="L1010" s="3" t="s">
        <v>15</v>
      </c>
    </row>
    <row r="1011" ht="15.75" customHeight="1">
      <c r="A1011" s="3" t="s">
        <v>1082</v>
      </c>
      <c r="B1011" s="3" t="s">
        <v>53</v>
      </c>
      <c r="C1011" s="3" t="s">
        <v>33</v>
      </c>
      <c r="D1011" s="3">
        <v>43491.65</v>
      </c>
      <c r="E1011" s="3">
        <v>11571.47</v>
      </c>
      <c r="F1011" s="3">
        <v>5142.37</v>
      </c>
      <c r="G1011" s="3">
        <v>19928.34</v>
      </c>
      <c r="H1011" s="3">
        <v>60205.49</v>
      </c>
      <c r="I1011" s="3">
        <v>67238.0609367258</v>
      </c>
      <c r="J1011" s="3" t="s">
        <v>1023</v>
      </c>
      <c r="K1011" s="3">
        <v>6.0</v>
      </c>
      <c r="L1011" s="3" t="s">
        <v>19</v>
      </c>
    </row>
    <row r="1012" ht="15.75" customHeight="1">
      <c r="A1012" s="3" t="s">
        <v>1083</v>
      </c>
      <c r="B1012" s="3" t="s">
        <v>17</v>
      </c>
      <c r="C1012" s="3" t="s">
        <v>37</v>
      </c>
      <c r="D1012" s="3">
        <v>102017.44</v>
      </c>
      <c r="E1012" s="3">
        <v>31553.08</v>
      </c>
      <c r="F1012" s="3">
        <v>18973.08</v>
      </c>
      <c r="G1012" s="3">
        <v>14678.17</v>
      </c>
      <c r="H1012" s="3">
        <v>152543.6</v>
      </c>
      <c r="I1012" s="3">
        <v>67241.4424111456</v>
      </c>
      <c r="J1012" s="3" t="s">
        <v>1012</v>
      </c>
      <c r="K1012" s="3">
        <v>18.0</v>
      </c>
      <c r="L1012" s="3" t="s">
        <v>21</v>
      </c>
    </row>
    <row r="1013" ht="15.75" customHeight="1">
      <c r="A1013" s="3" t="s">
        <v>1084</v>
      </c>
      <c r="B1013" s="3" t="s">
        <v>29</v>
      </c>
      <c r="C1013" s="3" t="s">
        <v>18</v>
      </c>
      <c r="D1013" s="3">
        <v>52459.1</v>
      </c>
      <c r="E1013" s="3">
        <v>13108.95</v>
      </c>
      <c r="F1013" s="3">
        <v>3395.17</v>
      </c>
      <c r="G1013" s="3">
        <v>16346.74</v>
      </c>
      <c r="H1013" s="3">
        <v>68963.22</v>
      </c>
      <c r="I1013" s="3">
        <v>67244.8238855654</v>
      </c>
      <c r="J1013" s="3" t="s">
        <v>1042</v>
      </c>
      <c r="K1013" s="3">
        <v>7.0</v>
      </c>
      <c r="L1013" s="3" t="s">
        <v>23</v>
      </c>
    </row>
    <row r="1014" ht="15.75" customHeight="1">
      <c r="A1014" s="3" t="s">
        <v>1085</v>
      </c>
      <c r="B1014" s="3" t="s">
        <v>51</v>
      </c>
      <c r="C1014" s="3" t="s">
        <v>30</v>
      </c>
      <c r="D1014" s="3">
        <v>44498.12</v>
      </c>
      <c r="E1014" s="3">
        <v>35160.25</v>
      </c>
      <c r="F1014" s="3">
        <v>19313.06</v>
      </c>
      <c r="G1014" s="3">
        <v>23298.77</v>
      </c>
      <c r="H1014" s="3">
        <v>98971.43</v>
      </c>
      <c r="I1014" s="3">
        <v>67248.2053599853</v>
      </c>
      <c r="J1014" s="3" t="s">
        <v>1012</v>
      </c>
      <c r="K1014" s="3">
        <v>2.0</v>
      </c>
      <c r="L1014" s="3" t="s">
        <v>27</v>
      </c>
    </row>
    <row r="1015" ht="15.75" customHeight="1">
      <c r="A1015" s="3" t="s">
        <v>1086</v>
      </c>
      <c r="B1015" s="3" t="s">
        <v>13</v>
      </c>
      <c r="C1015" s="3" t="s">
        <v>33</v>
      </c>
      <c r="D1015" s="3">
        <v>71983.09</v>
      </c>
      <c r="E1015" s="3">
        <v>7702.33</v>
      </c>
      <c r="F1015" s="3">
        <v>297.12</v>
      </c>
      <c r="G1015" s="3">
        <v>10994.4</v>
      </c>
      <c r="H1015" s="3">
        <v>79982.54</v>
      </c>
      <c r="I1015" s="3">
        <v>67251.5868344051</v>
      </c>
      <c r="J1015" s="3" t="s">
        <v>1012</v>
      </c>
      <c r="K1015" s="3">
        <v>19.0</v>
      </c>
      <c r="L1015" s="3" t="s">
        <v>31</v>
      </c>
    </row>
    <row r="1016" ht="15.75" customHeight="1">
      <c r="A1016" s="3" t="s">
        <v>1087</v>
      </c>
      <c r="B1016" s="3" t="s">
        <v>13</v>
      </c>
      <c r="C1016" s="3" t="s">
        <v>37</v>
      </c>
      <c r="D1016" s="3">
        <v>29797.04</v>
      </c>
      <c r="E1016" s="3">
        <v>8534.39</v>
      </c>
      <c r="F1016" s="3">
        <v>9622.51</v>
      </c>
      <c r="G1016" s="3">
        <v>8619.16</v>
      </c>
      <c r="H1016" s="3">
        <v>47953.94</v>
      </c>
      <c r="I1016" s="3">
        <v>67254.9683088249</v>
      </c>
      <c r="J1016" s="3" t="s">
        <v>1023</v>
      </c>
      <c r="K1016" s="3">
        <v>9.0</v>
      </c>
      <c r="L1016" s="3" t="s">
        <v>34</v>
      </c>
    </row>
    <row r="1017" ht="15.75" customHeight="1">
      <c r="A1017" s="3" t="s">
        <v>1088</v>
      </c>
      <c r="B1017" s="3" t="s">
        <v>17</v>
      </c>
      <c r="C1017" s="3" t="s">
        <v>33</v>
      </c>
      <c r="D1017" s="3">
        <v>99230.68</v>
      </c>
      <c r="E1017" s="3">
        <v>39249.46</v>
      </c>
      <c r="F1017" s="3">
        <v>6667.36</v>
      </c>
      <c r="G1017" s="3">
        <v>24442.42</v>
      </c>
      <c r="H1017" s="3">
        <v>145147.5</v>
      </c>
      <c r="I1017" s="3">
        <v>67258.3497832447</v>
      </c>
      <c r="J1017" s="3" t="s">
        <v>1018</v>
      </c>
      <c r="K1017" s="3">
        <v>4.0</v>
      </c>
      <c r="L1017" s="3" t="s">
        <v>38</v>
      </c>
    </row>
    <row r="1018" ht="15.75" customHeight="1">
      <c r="A1018" s="3" t="s">
        <v>1089</v>
      </c>
      <c r="B1018" s="3" t="s">
        <v>25</v>
      </c>
      <c r="C1018" s="3" t="s">
        <v>14</v>
      </c>
      <c r="D1018" s="3">
        <v>22827.82</v>
      </c>
      <c r="E1018" s="3">
        <v>28258.2</v>
      </c>
      <c r="F1018" s="3">
        <v>8982.47</v>
      </c>
      <c r="G1018" s="3">
        <v>21654.36</v>
      </c>
      <c r="H1018" s="3">
        <v>60068.49</v>
      </c>
      <c r="I1018" s="3">
        <v>67261.7312576645</v>
      </c>
      <c r="J1018" s="3" t="s">
        <v>1040</v>
      </c>
      <c r="K1018" s="3">
        <v>14.0</v>
      </c>
      <c r="L1018" s="3" t="s">
        <v>40</v>
      </c>
    </row>
    <row r="1019" ht="15.75" customHeight="1">
      <c r="A1019" s="3" t="s">
        <v>1090</v>
      </c>
      <c r="B1019" s="3" t="s">
        <v>51</v>
      </c>
      <c r="C1019" s="3" t="s">
        <v>37</v>
      </c>
      <c r="D1019" s="3">
        <v>118623.13</v>
      </c>
      <c r="E1019" s="3">
        <v>34487.94</v>
      </c>
      <c r="F1019" s="3">
        <v>11413.29</v>
      </c>
      <c r="G1019" s="3">
        <v>8414.57</v>
      </c>
      <c r="H1019" s="3">
        <v>167204.35</v>
      </c>
      <c r="I1019" s="3">
        <v>67265.1127320843</v>
      </c>
      <c r="J1019" s="3" t="s">
        <v>1012</v>
      </c>
      <c r="K1019" s="3">
        <v>5.0</v>
      </c>
      <c r="L1019" s="3" t="s">
        <v>42</v>
      </c>
    </row>
    <row r="1020" ht="15.75" customHeight="1">
      <c r="A1020" s="3" t="s">
        <v>1091</v>
      </c>
      <c r="B1020" s="3" t="s">
        <v>51</v>
      </c>
      <c r="C1020" s="3" t="s">
        <v>37</v>
      </c>
      <c r="D1020" s="3">
        <v>96085.7</v>
      </c>
      <c r="E1020" s="3">
        <v>15675.86</v>
      </c>
      <c r="F1020" s="3">
        <v>8711.78</v>
      </c>
      <c r="G1020" s="3">
        <v>11862.62</v>
      </c>
      <c r="H1020" s="3">
        <v>120473.34</v>
      </c>
      <c r="I1020" s="3">
        <v>67268.4942065041</v>
      </c>
      <c r="J1020" s="3" t="s">
        <v>1042</v>
      </c>
      <c r="K1020" s="3">
        <v>25.0</v>
      </c>
      <c r="L1020" s="3" t="s">
        <v>15</v>
      </c>
    </row>
    <row r="1021" ht="15.75" customHeight="1">
      <c r="A1021" s="3" t="s">
        <v>1092</v>
      </c>
      <c r="B1021" s="3" t="s">
        <v>13</v>
      </c>
      <c r="C1021" s="3" t="s">
        <v>18</v>
      </c>
      <c r="D1021" s="3">
        <v>35865.15</v>
      </c>
      <c r="E1021" s="3">
        <v>28353.41</v>
      </c>
      <c r="F1021" s="3">
        <v>8296.94</v>
      </c>
      <c r="G1021" s="3">
        <v>10669.41</v>
      </c>
      <c r="H1021" s="3">
        <v>72515.5</v>
      </c>
      <c r="I1021" s="3">
        <v>67271.875680924</v>
      </c>
      <c r="J1021" s="3" t="s">
        <v>1023</v>
      </c>
      <c r="K1021" s="3">
        <v>7.0</v>
      </c>
      <c r="L1021" s="3" t="s">
        <v>19</v>
      </c>
    </row>
    <row r="1022" ht="15.75" customHeight="1">
      <c r="A1022" s="3" t="s">
        <v>1093</v>
      </c>
      <c r="B1022" s="3" t="s">
        <v>53</v>
      </c>
      <c r="C1022" s="3" t="s">
        <v>30</v>
      </c>
      <c r="D1022" s="3">
        <v>15579.82</v>
      </c>
      <c r="E1022" s="3">
        <v>25392.71</v>
      </c>
      <c r="F1022" s="3">
        <v>14654.47</v>
      </c>
      <c r="G1022" s="3">
        <v>4152.84</v>
      </c>
      <c r="H1022" s="3">
        <v>55627.0</v>
      </c>
      <c r="I1022" s="3">
        <v>67275.2571553438</v>
      </c>
      <c r="J1022" s="3" t="s">
        <v>1023</v>
      </c>
      <c r="K1022" s="3">
        <v>8.0</v>
      </c>
      <c r="L1022" s="3" t="s">
        <v>21</v>
      </c>
    </row>
    <row r="1023" ht="15.75" customHeight="1">
      <c r="A1023" s="3" t="s">
        <v>1094</v>
      </c>
      <c r="B1023" s="3" t="s">
        <v>13</v>
      </c>
      <c r="C1023" s="3" t="s">
        <v>37</v>
      </c>
      <c r="D1023" s="3">
        <v>100623.45</v>
      </c>
      <c r="E1023" s="3">
        <v>25713.4</v>
      </c>
      <c r="F1023" s="3">
        <v>13717.53</v>
      </c>
      <c r="G1023" s="3">
        <v>23966.57</v>
      </c>
      <c r="H1023" s="3">
        <v>140054.38</v>
      </c>
      <c r="I1023" s="3">
        <v>67278.6386297636</v>
      </c>
      <c r="J1023" s="3" t="s">
        <v>1012</v>
      </c>
      <c r="K1023" s="3">
        <v>15.0</v>
      </c>
      <c r="L1023" s="3" t="s">
        <v>23</v>
      </c>
    </row>
    <row r="1024" ht="15.75" customHeight="1">
      <c r="A1024" s="3" t="s">
        <v>1095</v>
      </c>
      <c r="B1024" s="3" t="s">
        <v>17</v>
      </c>
      <c r="C1024" s="3" t="s">
        <v>14</v>
      </c>
      <c r="D1024" s="3">
        <v>89220.02</v>
      </c>
      <c r="E1024" s="3">
        <v>28571.17</v>
      </c>
      <c r="F1024" s="3">
        <v>16665.43</v>
      </c>
      <c r="G1024" s="3">
        <v>10405.65</v>
      </c>
      <c r="H1024" s="3">
        <v>134456.62</v>
      </c>
      <c r="I1024" s="3">
        <v>67282.0201041834</v>
      </c>
      <c r="J1024" s="3" t="s">
        <v>1042</v>
      </c>
      <c r="K1024" s="3">
        <v>19.0</v>
      </c>
      <c r="L1024" s="3" t="s">
        <v>27</v>
      </c>
    </row>
    <row r="1025" ht="15.75" customHeight="1">
      <c r="A1025" s="3" t="s">
        <v>1096</v>
      </c>
      <c r="B1025" s="3" t="s">
        <v>53</v>
      </c>
      <c r="C1025" s="3" t="s">
        <v>37</v>
      </c>
      <c r="D1025" s="3">
        <v>91545.75</v>
      </c>
      <c r="E1025" s="3">
        <v>24712.93</v>
      </c>
      <c r="F1025" s="3">
        <v>4999.18</v>
      </c>
      <c r="G1025" s="3">
        <v>21945.56</v>
      </c>
      <c r="H1025" s="3">
        <v>121257.86</v>
      </c>
      <c r="I1025" s="3">
        <v>67285.4015786032</v>
      </c>
      <c r="J1025" s="3" t="s">
        <v>1034</v>
      </c>
      <c r="K1025" s="3">
        <v>11.0</v>
      </c>
      <c r="L1025" s="3" t="s">
        <v>31</v>
      </c>
    </row>
    <row r="1026" ht="15.75" customHeight="1">
      <c r="A1026" s="3" t="s">
        <v>1097</v>
      </c>
      <c r="B1026" s="3" t="s">
        <v>53</v>
      </c>
      <c r="C1026" s="3" t="s">
        <v>37</v>
      </c>
      <c r="D1026" s="3">
        <v>95983.39</v>
      </c>
      <c r="E1026" s="3">
        <v>19446.25</v>
      </c>
      <c r="F1026" s="3">
        <v>12190.57</v>
      </c>
      <c r="G1026" s="3">
        <v>5139.23</v>
      </c>
      <c r="H1026" s="3">
        <v>127620.21</v>
      </c>
      <c r="I1026" s="3">
        <v>67288.783053023</v>
      </c>
      <c r="J1026" s="3" t="s">
        <v>1014</v>
      </c>
      <c r="K1026" s="3">
        <v>20.0</v>
      </c>
      <c r="L1026" s="3" t="s">
        <v>34</v>
      </c>
    </row>
    <row r="1027" ht="15.75" customHeight="1">
      <c r="A1027" s="3" t="s">
        <v>1098</v>
      </c>
      <c r="B1027" s="3" t="s">
        <v>25</v>
      </c>
      <c r="C1027" s="3" t="s">
        <v>54</v>
      </c>
      <c r="D1027" s="3">
        <v>22774.69</v>
      </c>
      <c r="E1027" s="3">
        <v>13933.22</v>
      </c>
      <c r="F1027" s="3">
        <v>11703.9</v>
      </c>
      <c r="G1027" s="3">
        <v>13922.83</v>
      </c>
      <c r="H1027" s="3">
        <v>48411.81</v>
      </c>
      <c r="I1027" s="3">
        <v>67292.1645274428</v>
      </c>
      <c r="J1027" s="3" t="s">
        <v>1021</v>
      </c>
      <c r="K1027" s="3">
        <v>23.0</v>
      </c>
      <c r="L1027" s="3" t="s">
        <v>38</v>
      </c>
    </row>
    <row r="1028" ht="15.75" customHeight="1">
      <c r="A1028" s="3" t="s">
        <v>1099</v>
      </c>
      <c r="B1028" s="3" t="s">
        <v>17</v>
      </c>
      <c r="C1028" s="3" t="s">
        <v>30</v>
      </c>
      <c r="D1028" s="3">
        <v>52638.9</v>
      </c>
      <c r="E1028" s="3">
        <v>31668.93</v>
      </c>
      <c r="F1028" s="3">
        <v>7394.76</v>
      </c>
      <c r="G1028" s="3">
        <v>1087.05</v>
      </c>
      <c r="H1028" s="3">
        <v>91702.59</v>
      </c>
      <c r="I1028" s="3">
        <v>67295.5460018626</v>
      </c>
      <c r="J1028" s="3" t="s">
        <v>1034</v>
      </c>
      <c r="K1028" s="3">
        <v>4.0</v>
      </c>
      <c r="L1028" s="3" t="s">
        <v>40</v>
      </c>
    </row>
    <row r="1029" ht="15.75" customHeight="1">
      <c r="A1029" s="3" t="s">
        <v>1100</v>
      </c>
      <c r="B1029" s="3" t="s">
        <v>25</v>
      </c>
      <c r="C1029" s="3" t="s">
        <v>14</v>
      </c>
      <c r="D1029" s="3">
        <v>27166.25</v>
      </c>
      <c r="E1029" s="3">
        <v>12145.81</v>
      </c>
      <c r="F1029" s="3">
        <v>9721.15</v>
      </c>
      <c r="G1029" s="3">
        <v>19223.4</v>
      </c>
      <c r="H1029" s="3">
        <v>49033.21</v>
      </c>
      <c r="I1029" s="3">
        <v>67298.9274762825</v>
      </c>
      <c r="J1029" s="3" t="s">
        <v>1026</v>
      </c>
      <c r="K1029" s="3">
        <v>18.0</v>
      </c>
      <c r="L1029" s="3" t="s">
        <v>42</v>
      </c>
    </row>
    <row r="1030" ht="15.75" customHeight="1">
      <c r="A1030" s="3" t="s">
        <v>1101</v>
      </c>
      <c r="B1030" s="3" t="s">
        <v>53</v>
      </c>
      <c r="C1030" s="3" t="s">
        <v>54</v>
      </c>
      <c r="D1030" s="3">
        <v>105625.86</v>
      </c>
      <c r="E1030" s="3">
        <v>28924.76</v>
      </c>
      <c r="F1030" s="3">
        <v>6275.64</v>
      </c>
      <c r="G1030" s="3">
        <v>14732.39</v>
      </c>
      <c r="H1030" s="3">
        <v>140826.26</v>
      </c>
      <c r="I1030" s="3">
        <v>67302.3089507023</v>
      </c>
      <c r="J1030" s="3" t="s">
        <v>1040</v>
      </c>
      <c r="K1030" s="3">
        <v>14.0</v>
      </c>
      <c r="L1030" s="3" t="s">
        <v>15</v>
      </c>
    </row>
    <row r="1031" ht="15.75" customHeight="1">
      <c r="A1031" s="3" t="s">
        <v>1102</v>
      </c>
      <c r="B1031" s="3" t="s">
        <v>36</v>
      </c>
      <c r="C1031" s="3" t="s">
        <v>33</v>
      </c>
      <c r="D1031" s="3">
        <v>80446.3</v>
      </c>
      <c r="E1031" s="3">
        <v>12399.98</v>
      </c>
      <c r="F1031" s="3">
        <v>2836.89</v>
      </c>
      <c r="G1031" s="3">
        <v>15826.94</v>
      </c>
      <c r="H1031" s="3">
        <v>95683.17</v>
      </c>
      <c r="I1031" s="3">
        <v>67305.6904251221</v>
      </c>
      <c r="J1031" s="3" t="s">
        <v>1023</v>
      </c>
      <c r="K1031" s="3">
        <v>6.0</v>
      </c>
      <c r="L1031" s="3" t="s">
        <v>19</v>
      </c>
    </row>
    <row r="1032" ht="15.75" customHeight="1">
      <c r="A1032" s="3" t="s">
        <v>1103</v>
      </c>
      <c r="B1032" s="3" t="s">
        <v>25</v>
      </c>
      <c r="C1032" s="3" t="s">
        <v>26</v>
      </c>
      <c r="D1032" s="3">
        <v>49744.29</v>
      </c>
      <c r="E1032" s="3">
        <v>26511.89</v>
      </c>
      <c r="F1032" s="3">
        <v>4276.02</v>
      </c>
      <c r="G1032" s="3">
        <v>1767.16</v>
      </c>
      <c r="H1032" s="3">
        <v>80532.2</v>
      </c>
      <c r="I1032" s="3">
        <v>67309.0718995419</v>
      </c>
      <c r="J1032" s="3" t="s">
        <v>1034</v>
      </c>
      <c r="K1032" s="3">
        <v>25.0</v>
      </c>
      <c r="L1032" s="3" t="s">
        <v>21</v>
      </c>
    </row>
    <row r="1033" ht="15.75" customHeight="1">
      <c r="A1033" s="3" t="s">
        <v>1104</v>
      </c>
      <c r="B1033" s="3" t="s">
        <v>13</v>
      </c>
      <c r="C1033" s="3" t="s">
        <v>30</v>
      </c>
      <c r="D1033" s="3">
        <v>21673.63</v>
      </c>
      <c r="E1033" s="3">
        <v>30894.82</v>
      </c>
      <c r="F1033" s="3">
        <v>2110.27</v>
      </c>
      <c r="G1033" s="3">
        <v>5670.44</v>
      </c>
      <c r="H1033" s="3">
        <v>54678.72</v>
      </c>
      <c r="I1033" s="3">
        <v>67312.4533739617</v>
      </c>
      <c r="J1033" s="3" t="s">
        <v>1034</v>
      </c>
      <c r="K1033" s="3">
        <v>16.0</v>
      </c>
      <c r="L1033" s="3" t="s">
        <v>23</v>
      </c>
    </row>
    <row r="1034" ht="15.75" customHeight="1">
      <c r="A1034" s="3" t="s">
        <v>1105</v>
      </c>
      <c r="B1034" s="3" t="s">
        <v>17</v>
      </c>
      <c r="C1034" s="3" t="s">
        <v>33</v>
      </c>
      <c r="D1034" s="3">
        <v>47653.14</v>
      </c>
      <c r="E1034" s="3">
        <v>11873.7</v>
      </c>
      <c r="F1034" s="3">
        <v>13661.39</v>
      </c>
      <c r="G1034" s="3">
        <v>2321.11</v>
      </c>
      <c r="H1034" s="3">
        <v>73188.23</v>
      </c>
      <c r="I1034" s="3">
        <v>67315.8348483815</v>
      </c>
      <c r="J1034" s="3" t="s">
        <v>1021</v>
      </c>
      <c r="K1034" s="3">
        <v>18.0</v>
      </c>
      <c r="L1034" s="3" t="s">
        <v>27</v>
      </c>
    </row>
    <row r="1035" ht="15.75" customHeight="1">
      <c r="A1035" s="3" t="s">
        <v>1106</v>
      </c>
      <c r="B1035" s="3" t="s">
        <v>25</v>
      </c>
      <c r="C1035" s="3" t="s">
        <v>14</v>
      </c>
      <c r="D1035" s="3">
        <v>91608.65</v>
      </c>
      <c r="E1035" s="3">
        <v>8715.05</v>
      </c>
      <c r="F1035" s="3">
        <v>19012.13</v>
      </c>
      <c r="G1035" s="3">
        <v>15872.26</v>
      </c>
      <c r="H1035" s="3">
        <v>119335.83</v>
      </c>
      <c r="I1035" s="3">
        <v>67322.5977972212</v>
      </c>
      <c r="J1035" s="3" t="s">
        <v>1014</v>
      </c>
      <c r="K1035" s="3">
        <v>8.0</v>
      </c>
      <c r="L1035" s="3" t="s">
        <v>34</v>
      </c>
    </row>
    <row r="1036" ht="15.75" customHeight="1">
      <c r="A1036" s="3" t="s">
        <v>1107</v>
      </c>
      <c r="B1036" s="3" t="s">
        <v>53</v>
      </c>
      <c r="C1036" s="3" t="s">
        <v>54</v>
      </c>
      <c r="D1036" s="3">
        <v>81943.53</v>
      </c>
      <c r="E1036" s="3">
        <v>25815.89</v>
      </c>
      <c r="F1036" s="3">
        <v>14593.57</v>
      </c>
      <c r="G1036" s="3">
        <v>14371.56</v>
      </c>
      <c r="H1036" s="3">
        <v>122352.99</v>
      </c>
      <c r="I1036" s="3">
        <v>67325.979271641</v>
      </c>
      <c r="J1036" s="3" t="s">
        <v>1062</v>
      </c>
      <c r="K1036" s="3">
        <v>1.0</v>
      </c>
      <c r="L1036" s="3" t="s">
        <v>38</v>
      </c>
    </row>
    <row r="1037" ht="15.75" customHeight="1">
      <c r="A1037" s="3" t="s">
        <v>1108</v>
      </c>
      <c r="B1037" s="3" t="s">
        <v>53</v>
      </c>
      <c r="C1037" s="3" t="s">
        <v>26</v>
      </c>
      <c r="D1037" s="3">
        <v>108157.34</v>
      </c>
      <c r="E1037" s="3">
        <v>34580.07</v>
      </c>
      <c r="F1037" s="3">
        <v>1040.92</v>
      </c>
      <c r="G1037" s="3">
        <v>15497.67</v>
      </c>
      <c r="H1037" s="3">
        <v>143778.33</v>
      </c>
      <c r="I1037" s="3">
        <v>67329.3607460608</v>
      </c>
      <c r="J1037" s="3" t="s">
        <v>1042</v>
      </c>
      <c r="K1037" s="3">
        <v>1.0</v>
      </c>
      <c r="L1037" s="3" t="s">
        <v>40</v>
      </c>
    </row>
    <row r="1038" ht="15.75" customHeight="1">
      <c r="A1038" s="3" t="s">
        <v>1109</v>
      </c>
      <c r="B1038" s="3" t="s">
        <v>25</v>
      </c>
      <c r="C1038" s="3" t="s">
        <v>33</v>
      </c>
      <c r="D1038" s="3">
        <v>64582.57</v>
      </c>
      <c r="E1038" s="3">
        <v>5619.89</v>
      </c>
      <c r="F1038" s="3">
        <v>17684.9</v>
      </c>
      <c r="G1038" s="3">
        <v>13956.66</v>
      </c>
      <c r="H1038" s="3">
        <v>87887.36</v>
      </c>
      <c r="I1038" s="3">
        <v>67332.7422204806</v>
      </c>
      <c r="J1038" s="3" t="s">
        <v>1012</v>
      </c>
      <c r="K1038" s="3">
        <v>19.0</v>
      </c>
      <c r="L1038" s="3" t="s">
        <v>42</v>
      </c>
    </row>
    <row r="1039" ht="15.75" customHeight="1">
      <c r="A1039" s="3" t="s">
        <v>1110</v>
      </c>
      <c r="B1039" s="3" t="s">
        <v>36</v>
      </c>
      <c r="C1039" s="3" t="s">
        <v>54</v>
      </c>
      <c r="D1039" s="5"/>
      <c r="E1039" s="3">
        <v>30429.45</v>
      </c>
      <c r="F1039" s="3">
        <v>17253.5</v>
      </c>
      <c r="G1039" s="3">
        <v>7189.21</v>
      </c>
      <c r="H1039" s="3">
        <v>75240.35</v>
      </c>
      <c r="I1039" s="3">
        <v>67336.1236949004</v>
      </c>
      <c r="J1039" s="3" t="s">
        <v>1014</v>
      </c>
      <c r="K1039" s="3">
        <v>21.0</v>
      </c>
      <c r="L1039" s="3" t="s">
        <v>15</v>
      </c>
    </row>
    <row r="1040" ht="15.75" customHeight="1">
      <c r="A1040" s="3" t="s">
        <v>1111</v>
      </c>
      <c r="B1040" s="3" t="s">
        <v>53</v>
      </c>
      <c r="C1040" s="3" t="s">
        <v>37</v>
      </c>
      <c r="D1040" s="3">
        <v>89890.7</v>
      </c>
      <c r="E1040" s="3">
        <v>16287.47</v>
      </c>
      <c r="F1040" s="3">
        <v>8866.41</v>
      </c>
      <c r="G1040" s="3">
        <v>6490.43</v>
      </c>
      <c r="H1040" s="3">
        <v>115044.58</v>
      </c>
      <c r="I1040" s="3">
        <v>67339.5051693202</v>
      </c>
      <c r="J1040" s="3" t="s">
        <v>1034</v>
      </c>
      <c r="K1040" s="3">
        <v>25.0</v>
      </c>
      <c r="L1040" s="3" t="s">
        <v>19</v>
      </c>
    </row>
    <row r="1041" ht="15.75" customHeight="1">
      <c r="A1041" s="3" t="s">
        <v>1112</v>
      </c>
      <c r="B1041" s="3" t="s">
        <v>25</v>
      </c>
      <c r="C1041" s="3" t="s">
        <v>26</v>
      </c>
      <c r="D1041" s="3">
        <v>94882.43</v>
      </c>
      <c r="E1041" s="3">
        <v>21227.02</v>
      </c>
      <c r="F1041" s="3">
        <v>11717.26</v>
      </c>
      <c r="G1041" s="3">
        <v>3857.96</v>
      </c>
      <c r="H1041" s="3">
        <v>127826.71</v>
      </c>
      <c r="I1041" s="3">
        <v>67342.8866437401</v>
      </c>
      <c r="J1041" s="3" t="s">
        <v>1040</v>
      </c>
      <c r="K1041" s="3">
        <v>10.0</v>
      </c>
      <c r="L1041" s="3" t="s">
        <v>21</v>
      </c>
    </row>
    <row r="1042" ht="15.75" customHeight="1">
      <c r="A1042" s="3" t="s">
        <v>1113</v>
      </c>
      <c r="B1042" s="3" t="s">
        <v>13</v>
      </c>
      <c r="C1042" s="3" t="s">
        <v>37</v>
      </c>
      <c r="D1042" s="3">
        <v>73934.11</v>
      </c>
      <c r="E1042" s="3">
        <v>37438.94</v>
      </c>
      <c r="F1042" s="3">
        <v>19521.57</v>
      </c>
      <c r="G1042" s="3">
        <v>21302.24</v>
      </c>
      <c r="H1042" s="3">
        <v>130894.62</v>
      </c>
      <c r="I1042" s="3">
        <v>67346.2681181599</v>
      </c>
      <c r="J1042" s="3" t="s">
        <v>1042</v>
      </c>
      <c r="K1042" s="3">
        <v>18.0</v>
      </c>
      <c r="L1042" s="3" t="s">
        <v>23</v>
      </c>
    </row>
    <row r="1043" ht="15.75" customHeight="1">
      <c r="A1043" s="3" t="s">
        <v>1114</v>
      </c>
      <c r="B1043" s="3" t="s">
        <v>53</v>
      </c>
      <c r="C1043" s="3" t="s">
        <v>26</v>
      </c>
      <c r="D1043" s="3">
        <v>66848.54</v>
      </c>
      <c r="E1043" s="3">
        <v>20752.13</v>
      </c>
      <c r="F1043" s="3">
        <v>18106.44</v>
      </c>
      <c r="G1043" s="3">
        <v>5069.52</v>
      </c>
      <c r="H1043" s="3">
        <v>105707.11</v>
      </c>
      <c r="I1043" s="3">
        <v>67353.0310669995</v>
      </c>
      <c r="J1043" s="3" t="s">
        <v>1023</v>
      </c>
      <c r="K1043" s="3">
        <v>17.0</v>
      </c>
      <c r="L1043" s="3" t="s">
        <v>31</v>
      </c>
    </row>
    <row r="1044" ht="15.75" customHeight="1">
      <c r="A1044" s="3" t="s">
        <v>1115</v>
      </c>
      <c r="B1044" s="3" t="s">
        <v>17</v>
      </c>
      <c r="C1044" s="3" t="s">
        <v>30</v>
      </c>
      <c r="D1044" s="3">
        <v>69886.95</v>
      </c>
      <c r="E1044" s="3">
        <v>4492.57</v>
      </c>
      <c r="F1044" s="3">
        <v>1660.78</v>
      </c>
      <c r="G1044" s="3">
        <v>4841.63</v>
      </c>
      <c r="H1044" s="3">
        <v>78826.44</v>
      </c>
      <c r="I1044" s="3">
        <v>67356.4125414193</v>
      </c>
      <c r="J1044" s="3" t="s">
        <v>1021</v>
      </c>
      <c r="K1044" s="3">
        <v>1.0</v>
      </c>
      <c r="L1044" s="3" t="s">
        <v>34</v>
      </c>
    </row>
    <row r="1045" ht="15.75" customHeight="1">
      <c r="A1045" s="3" t="s">
        <v>1116</v>
      </c>
      <c r="B1045" s="3" t="s">
        <v>13</v>
      </c>
      <c r="C1045" s="3" t="s">
        <v>26</v>
      </c>
      <c r="D1045" s="3">
        <v>59891.81</v>
      </c>
      <c r="E1045" s="3">
        <v>6937.55</v>
      </c>
      <c r="F1045" s="3">
        <v>3821.04</v>
      </c>
      <c r="G1045" s="3">
        <v>21889.37</v>
      </c>
      <c r="H1045" s="3">
        <v>70650.4</v>
      </c>
      <c r="I1045" s="3">
        <v>67359.7940158391</v>
      </c>
      <c r="J1045" s="3" t="s">
        <v>1018</v>
      </c>
      <c r="K1045" s="3">
        <v>8.0</v>
      </c>
      <c r="L1045" s="3" t="s">
        <v>38</v>
      </c>
    </row>
    <row r="1046" ht="15.75" customHeight="1">
      <c r="A1046" s="3" t="s">
        <v>1117</v>
      </c>
      <c r="B1046" s="3" t="s">
        <v>36</v>
      </c>
      <c r="C1046" s="3" t="s">
        <v>37</v>
      </c>
      <c r="D1046" s="3">
        <v>17669.01</v>
      </c>
      <c r="E1046" s="3">
        <v>13309.3</v>
      </c>
      <c r="F1046" s="3">
        <v>8815.1</v>
      </c>
      <c r="G1046" s="3">
        <v>18696.91</v>
      </c>
      <c r="H1046" s="3">
        <v>39793.41</v>
      </c>
      <c r="I1046" s="3">
        <v>67363.1754902589</v>
      </c>
      <c r="J1046" s="3" t="s">
        <v>1014</v>
      </c>
      <c r="K1046" s="3">
        <v>10.0</v>
      </c>
      <c r="L1046" s="3" t="s">
        <v>40</v>
      </c>
    </row>
    <row r="1047" ht="15.75" customHeight="1">
      <c r="A1047" s="3" t="s">
        <v>1118</v>
      </c>
      <c r="B1047" s="3" t="s">
        <v>53</v>
      </c>
      <c r="C1047" s="3" t="s">
        <v>37</v>
      </c>
      <c r="D1047" s="3">
        <v>26328.6</v>
      </c>
      <c r="E1047" s="3">
        <v>5002.68</v>
      </c>
      <c r="F1047" s="3">
        <v>11695.14</v>
      </c>
      <c r="G1047" s="3">
        <v>16655.28</v>
      </c>
      <c r="H1047" s="3">
        <v>43026.42</v>
      </c>
      <c r="I1047" s="3">
        <v>67366.5569646788</v>
      </c>
      <c r="J1047" s="3" t="s">
        <v>1018</v>
      </c>
      <c r="K1047" s="3">
        <v>10.0</v>
      </c>
      <c r="L1047" s="3" t="s">
        <v>42</v>
      </c>
    </row>
    <row r="1048" ht="15.75" customHeight="1">
      <c r="A1048" s="3" t="s">
        <v>1119</v>
      </c>
      <c r="B1048" s="3" t="s">
        <v>29</v>
      </c>
      <c r="C1048" s="3" t="s">
        <v>30</v>
      </c>
      <c r="D1048" s="3">
        <v>18300.06</v>
      </c>
      <c r="E1048" s="3">
        <v>26729.51</v>
      </c>
      <c r="F1048" s="3">
        <v>16324.56</v>
      </c>
      <c r="G1048" s="3">
        <v>10468.17</v>
      </c>
      <c r="H1048" s="3">
        <v>61354.13</v>
      </c>
      <c r="I1048" s="3">
        <v>67369.9384390986</v>
      </c>
      <c r="J1048" s="3" t="s">
        <v>1018</v>
      </c>
      <c r="K1048" s="3">
        <v>18.0</v>
      </c>
      <c r="L1048" s="3" t="s">
        <v>15</v>
      </c>
    </row>
    <row r="1049" ht="15.75" customHeight="1">
      <c r="A1049" s="3" t="s">
        <v>1120</v>
      </c>
      <c r="B1049" s="3" t="s">
        <v>13</v>
      </c>
      <c r="C1049" s="3" t="s">
        <v>30</v>
      </c>
      <c r="D1049" s="3">
        <v>81823.09</v>
      </c>
      <c r="E1049" s="3">
        <v>19350.34</v>
      </c>
      <c r="F1049" s="3">
        <v>19765.24</v>
      </c>
      <c r="G1049" s="3">
        <v>6918.4</v>
      </c>
      <c r="H1049" s="3">
        <v>120938.67</v>
      </c>
      <c r="I1049" s="3">
        <v>67373.3199135184</v>
      </c>
      <c r="J1049" s="3" t="s">
        <v>1012</v>
      </c>
      <c r="K1049" s="3">
        <v>9.0</v>
      </c>
      <c r="L1049" s="3" t="s">
        <v>19</v>
      </c>
    </row>
    <row r="1050" ht="15.75" customHeight="1">
      <c r="A1050" s="3" t="s">
        <v>1121</v>
      </c>
      <c r="B1050" s="3" t="s">
        <v>13</v>
      </c>
      <c r="C1050" s="3" t="s">
        <v>30</v>
      </c>
      <c r="D1050" s="3">
        <v>48007.38</v>
      </c>
      <c r="E1050" s="3">
        <v>23733.23</v>
      </c>
      <c r="F1050" s="3">
        <v>7777.03</v>
      </c>
      <c r="G1050" s="3">
        <v>24496.54</v>
      </c>
      <c r="H1050" s="3">
        <v>79517.64</v>
      </c>
      <c r="I1050" s="3">
        <v>67376.7013879382</v>
      </c>
      <c r="J1050" s="3" t="s">
        <v>1023</v>
      </c>
      <c r="K1050" s="3">
        <v>25.0</v>
      </c>
      <c r="L1050" s="3" t="s">
        <v>21</v>
      </c>
    </row>
    <row r="1051" ht="15.75" customHeight="1">
      <c r="A1051" s="3" t="s">
        <v>1122</v>
      </c>
      <c r="B1051" s="3" t="s">
        <v>13</v>
      </c>
      <c r="C1051" s="3" t="s">
        <v>37</v>
      </c>
      <c r="D1051" s="3">
        <v>68399.92</v>
      </c>
      <c r="E1051" s="3">
        <v>10287.3</v>
      </c>
      <c r="F1051" s="3">
        <v>948.31</v>
      </c>
      <c r="G1051" s="3">
        <v>20032.37</v>
      </c>
      <c r="H1051" s="3">
        <v>79635.53</v>
      </c>
      <c r="I1051" s="3">
        <v>67380.082862358</v>
      </c>
      <c r="J1051" s="3" t="s">
        <v>1012</v>
      </c>
      <c r="K1051" s="3">
        <v>2.0</v>
      </c>
      <c r="L1051" s="3" t="s">
        <v>23</v>
      </c>
    </row>
    <row r="1052" ht="15.75" customHeight="1">
      <c r="A1052" s="3" t="s">
        <v>1123</v>
      </c>
      <c r="B1052" s="3" t="s">
        <v>13</v>
      </c>
      <c r="C1052" s="3" t="s">
        <v>14</v>
      </c>
      <c r="D1052" s="3">
        <v>110294.48</v>
      </c>
      <c r="E1052" s="3">
        <v>14653.55</v>
      </c>
      <c r="F1052" s="3">
        <v>16023.43</v>
      </c>
      <c r="G1052" s="3">
        <v>7893.59</v>
      </c>
      <c r="H1052" s="3">
        <v>140971.46</v>
      </c>
      <c r="I1052" s="3">
        <v>67383.4643367778</v>
      </c>
      <c r="J1052" s="3" t="s">
        <v>1040</v>
      </c>
      <c r="K1052" s="3">
        <v>3.0</v>
      </c>
      <c r="L1052" s="3" t="s">
        <v>27</v>
      </c>
    </row>
    <row r="1053" ht="15.75" customHeight="1">
      <c r="A1053" s="3" t="s">
        <v>1124</v>
      </c>
      <c r="B1053" s="3" t="s">
        <v>17</v>
      </c>
      <c r="C1053" s="3" t="s">
        <v>54</v>
      </c>
      <c r="D1053" s="3">
        <v>41175.68</v>
      </c>
      <c r="E1053" s="3">
        <v>27897.68</v>
      </c>
      <c r="F1053" s="3">
        <v>12087.61</v>
      </c>
      <c r="G1053" s="3">
        <v>21265.34</v>
      </c>
      <c r="H1053" s="3">
        <v>81160.97</v>
      </c>
      <c r="I1053" s="3">
        <v>67386.8458111977</v>
      </c>
      <c r="J1053" s="3" t="s">
        <v>1023</v>
      </c>
      <c r="K1053" s="3">
        <v>2.0</v>
      </c>
      <c r="L1053" s="3" t="s">
        <v>31</v>
      </c>
    </row>
    <row r="1054" ht="15.75" customHeight="1">
      <c r="A1054" s="3" t="s">
        <v>1125</v>
      </c>
      <c r="B1054" s="3" t="s">
        <v>25</v>
      </c>
      <c r="C1054" s="3" t="s">
        <v>54</v>
      </c>
      <c r="D1054" s="3">
        <v>58090.21</v>
      </c>
      <c r="E1054" s="3">
        <v>38750.9</v>
      </c>
      <c r="F1054" s="3">
        <v>3970.86</v>
      </c>
      <c r="G1054" s="3">
        <v>19093.83</v>
      </c>
      <c r="H1054" s="3">
        <v>100811.97</v>
      </c>
      <c r="I1054" s="3">
        <v>67390.2272856175</v>
      </c>
      <c r="J1054" s="3" t="s">
        <v>1034</v>
      </c>
      <c r="K1054" s="3">
        <v>6.0</v>
      </c>
      <c r="L1054" s="3" t="s">
        <v>34</v>
      </c>
    </row>
    <row r="1055" ht="15.75" customHeight="1">
      <c r="A1055" s="3" t="s">
        <v>1126</v>
      </c>
      <c r="B1055" s="3" t="s">
        <v>29</v>
      </c>
      <c r="C1055" s="3" t="s">
        <v>37</v>
      </c>
      <c r="D1055" s="3">
        <v>94332.87</v>
      </c>
      <c r="E1055" s="3">
        <v>5815.0</v>
      </c>
      <c r="F1055" s="3">
        <v>9896.57</v>
      </c>
      <c r="G1055" s="3">
        <v>7778.47</v>
      </c>
      <c r="H1055" s="3">
        <v>110044.44</v>
      </c>
      <c r="I1055" s="3">
        <v>67393.6087600373</v>
      </c>
      <c r="J1055" s="3" t="s">
        <v>1014</v>
      </c>
      <c r="K1055" s="3">
        <v>23.0</v>
      </c>
      <c r="L1055" s="3" t="s">
        <v>38</v>
      </c>
    </row>
    <row r="1056" ht="15.75" customHeight="1">
      <c r="A1056" s="3" t="s">
        <v>1127</v>
      </c>
      <c r="B1056" s="3" t="s">
        <v>51</v>
      </c>
      <c r="C1056" s="3" t="s">
        <v>26</v>
      </c>
      <c r="D1056" s="3">
        <v>39023.81</v>
      </c>
      <c r="E1056" s="3">
        <v>36053.84</v>
      </c>
      <c r="F1056" s="3">
        <v>14846.2</v>
      </c>
      <c r="G1056" s="3">
        <v>10950.54</v>
      </c>
      <c r="H1056" s="3">
        <v>89923.85</v>
      </c>
      <c r="I1056" s="3">
        <v>67396.9902344571</v>
      </c>
      <c r="J1056" s="3" t="s">
        <v>1042</v>
      </c>
      <c r="K1056" s="3">
        <v>12.0</v>
      </c>
      <c r="L1056" s="3" t="s">
        <v>40</v>
      </c>
    </row>
    <row r="1057" ht="15.75" customHeight="1">
      <c r="A1057" s="3" t="s">
        <v>1128</v>
      </c>
      <c r="B1057" s="3" t="s">
        <v>13</v>
      </c>
      <c r="C1057" s="3" t="s">
        <v>33</v>
      </c>
      <c r="D1057" s="3">
        <v>23082.89</v>
      </c>
      <c r="E1057" s="3">
        <v>24767.72</v>
      </c>
      <c r="F1057" s="3">
        <v>15408.24</v>
      </c>
      <c r="G1057" s="3">
        <v>5055.86</v>
      </c>
      <c r="H1057" s="3">
        <v>63258.85</v>
      </c>
      <c r="I1057" s="3">
        <v>67400.3717088769</v>
      </c>
      <c r="J1057" s="3" t="s">
        <v>1012</v>
      </c>
      <c r="K1057" s="3">
        <v>22.0</v>
      </c>
      <c r="L1057" s="3" t="s">
        <v>42</v>
      </c>
    </row>
    <row r="1058" ht="15.75" customHeight="1">
      <c r="A1058" s="3" t="s">
        <v>1129</v>
      </c>
      <c r="B1058" s="3" t="s">
        <v>51</v>
      </c>
      <c r="C1058" s="3" t="s">
        <v>14</v>
      </c>
      <c r="D1058" s="3">
        <v>45423.9</v>
      </c>
      <c r="E1058" s="3">
        <v>24301.1</v>
      </c>
      <c r="F1058" s="3">
        <v>9992.37</v>
      </c>
      <c r="G1058" s="3">
        <v>3220.78</v>
      </c>
      <c r="H1058" s="3">
        <v>79717.37</v>
      </c>
      <c r="I1058" s="3">
        <v>67403.7531832967</v>
      </c>
      <c r="J1058" s="3" t="s">
        <v>1031</v>
      </c>
      <c r="K1058" s="3">
        <v>19.0</v>
      </c>
      <c r="L1058" s="3" t="s">
        <v>15</v>
      </c>
    </row>
    <row r="1059" ht="15.75" customHeight="1">
      <c r="A1059" s="3" t="s">
        <v>1130</v>
      </c>
      <c r="B1059" s="3" t="s">
        <v>25</v>
      </c>
      <c r="C1059" s="3" t="s">
        <v>33</v>
      </c>
      <c r="D1059" s="3">
        <v>31928.24</v>
      </c>
      <c r="E1059" s="3">
        <v>22010.03</v>
      </c>
      <c r="F1059" s="3">
        <v>6104.29</v>
      </c>
      <c r="G1059" s="3">
        <v>18207.67</v>
      </c>
      <c r="H1059" s="3">
        <v>60042.56</v>
      </c>
      <c r="I1059" s="3">
        <v>67407.1346577165</v>
      </c>
      <c r="J1059" s="3" t="s">
        <v>1018</v>
      </c>
      <c r="K1059" s="3">
        <v>15.0</v>
      </c>
      <c r="L1059" s="3" t="s">
        <v>19</v>
      </c>
    </row>
    <row r="1060" ht="15.75" customHeight="1">
      <c r="A1060" s="3" t="s">
        <v>1131</v>
      </c>
      <c r="B1060" s="3" t="s">
        <v>17</v>
      </c>
      <c r="C1060" s="3" t="s">
        <v>54</v>
      </c>
      <c r="D1060" s="3">
        <v>112618.25</v>
      </c>
      <c r="E1060" s="3">
        <v>6498.19</v>
      </c>
      <c r="F1060" s="3">
        <v>19474.85</v>
      </c>
      <c r="G1060" s="3">
        <v>7054.04</v>
      </c>
      <c r="H1060" s="3">
        <v>138591.29</v>
      </c>
      <c r="I1060" s="3">
        <v>67410.5161321363</v>
      </c>
      <c r="J1060" s="3" t="s">
        <v>1031</v>
      </c>
      <c r="K1060" s="3">
        <v>19.0</v>
      </c>
      <c r="L1060" s="3" t="s">
        <v>21</v>
      </c>
    </row>
    <row r="1061" ht="15.75" customHeight="1">
      <c r="A1061" s="3" t="s">
        <v>1132</v>
      </c>
      <c r="B1061" s="3" t="s">
        <v>29</v>
      </c>
      <c r="C1061" s="3" t="s">
        <v>37</v>
      </c>
      <c r="D1061" s="3">
        <v>99852.64</v>
      </c>
      <c r="E1061" s="3">
        <v>7235.57</v>
      </c>
      <c r="F1061" s="3">
        <v>13267.25</v>
      </c>
      <c r="G1061" s="3">
        <v>20591.45</v>
      </c>
      <c r="H1061" s="3">
        <v>120355.46</v>
      </c>
      <c r="I1061" s="3">
        <v>67413.8976065562</v>
      </c>
      <c r="J1061" s="3" t="s">
        <v>1042</v>
      </c>
      <c r="K1061" s="3">
        <v>12.0</v>
      </c>
      <c r="L1061" s="3" t="s">
        <v>23</v>
      </c>
    </row>
    <row r="1062" ht="15.75" customHeight="1">
      <c r="A1062" s="3" t="s">
        <v>1133</v>
      </c>
      <c r="B1062" s="3" t="s">
        <v>36</v>
      </c>
      <c r="C1062" s="3" t="s">
        <v>37</v>
      </c>
      <c r="D1062" s="3">
        <v>81507.39</v>
      </c>
      <c r="E1062" s="3">
        <v>25632.83</v>
      </c>
      <c r="F1062" s="3">
        <v>8164.75</v>
      </c>
      <c r="G1062" s="3">
        <v>24892.41</v>
      </c>
      <c r="H1062" s="3">
        <v>115304.97</v>
      </c>
      <c r="I1062" s="3">
        <v>67417.279080976</v>
      </c>
      <c r="J1062" s="3" t="s">
        <v>1021</v>
      </c>
      <c r="K1062" s="3">
        <v>18.0</v>
      </c>
      <c r="L1062" s="3" t="s">
        <v>27</v>
      </c>
    </row>
    <row r="1063" ht="15.75" customHeight="1">
      <c r="A1063" s="3" t="s">
        <v>1134</v>
      </c>
      <c r="B1063" s="3" t="s">
        <v>36</v>
      </c>
      <c r="C1063" s="3" t="s">
        <v>26</v>
      </c>
      <c r="D1063" s="3">
        <v>106503.36</v>
      </c>
      <c r="E1063" s="3">
        <v>16274.51</v>
      </c>
      <c r="F1063" s="3">
        <v>5609.26</v>
      </c>
      <c r="G1063" s="3">
        <v>2377.19</v>
      </c>
      <c r="H1063" s="3">
        <v>128387.13</v>
      </c>
      <c r="I1063" s="3">
        <v>67420.6605553958</v>
      </c>
      <c r="J1063" s="3" t="s">
        <v>1040</v>
      </c>
      <c r="K1063" s="3">
        <v>16.0</v>
      </c>
      <c r="L1063" s="3" t="s">
        <v>31</v>
      </c>
    </row>
    <row r="1064" ht="15.75" customHeight="1">
      <c r="A1064" s="3" t="s">
        <v>1135</v>
      </c>
      <c r="B1064" s="3" t="s">
        <v>36</v>
      </c>
      <c r="C1064" s="3" t="s">
        <v>18</v>
      </c>
      <c r="D1064" s="3">
        <v>99385.57</v>
      </c>
      <c r="E1064" s="3">
        <v>37021.65</v>
      </c>
      <c r="F1064" s="3">
        <v>14622.06</v>
      </c>
      <c r="G1064" s="3">
        <v>12089.36</v>
      </c>
      <c r="H1064" s="3">
        <v>151029.28</v>
      </c>
      <c r="I1064" s="3">
        <v>67424.0420298156</v>
      </c>
      <c r="J1064" s="3" t="s">
        <v>1021</v>
      </c>
      <c r="K1064" s="3">
        <v>2.0</v>
      </c>
      <c r="L1064" s="3" t="s">
        <v>34</v>
      </c>
    </row>
    <row r="1065" ht="15.75" customHeight="1">
      <c r="A1065" s="3" t="s">
        <v>1136</v>
      </c>
      <c r="B1065" s="3" t="s">
        <v>53</v>
      </c>
      <c r="C1065" s="3" t="s">
        <v>18</v>
      </c>
      <c r="D1065" s="3">
        <v>34589.86</v>
      </c>
      <c r="E1065" s="3">
        <v>18637.26</v>
      </c>
      <c r="F1065" s="3">
        <v>4843.67</v>
      </c>
      <c r="G1065" s="3">
        <v>20150.53</v>
      </c>
      <c r="H1065" s="3">
        <v>58070.79</v>
      </c>
      <c r="I1065" s="3">
        <v>67427.4235042354</v>
      </c>
      <c r="J1065" s="3" t="s">
        <v>1018</v>
      </c>
      <c r="K1065" s="3">
        <v>11.0</v>
      </c>
      <c r="L1065" s="3" t="s">
        <v>38</v>
      </c>
    </row>
    <row r="1066" ht="15.75" customHeight="1">
      <c r="A1066" s="3" t="s">
        <v>1137</v>
      </c>
      <c r="B1066" s="3" t="s">
        <v>36</v>
      </c>
      <c r="C1066" s="3" t="s">
        <v>37</v>
      </c>
      <c r="D1066" s="3">
        <v>108718.69</v>
      </c>
      <c r="E1066" s="3">
        <v>9158.13</v>
      </c>
      <c r="F1066" s="3">
        <v>3434.2</v>
      </c>
      <c r="G1066" s="3">
        <v>19829.3</v>
      </c>
      <c r="H1066" s="3">
        <v>88889.39</v>
      </c>
      <c r="I1066" s="3">
        <v>93889.39</v>
      </c>
      <c r="J1066" s="3" t="s">
        <v>1062</v>
      </c>
      <c r="K1066" s="3">
        <v>12.0</v>
      </c>
      <c r="L1066" s="3" t="s">
        <v>40</v>
      </c>
    </row>
    <row r="1067" ht="15.75" customHeight="1">
      <c r="A1067" s="3" t="s">
        <v>1138</v>
      </c>
      <c r="B1067" s="3" t="s">
        <v>36</v>
      </c>
      <c r="C1067" s="3" t="s">
        <v>33</v>
      </c>
      <c r="D1067" s="3">
        <v>71630.94</v>
      </c>
      <c r="E1067" s="3">
        <v>29729.88</v>
      </c>
      <c r="F1067" s="3">
        <v>10596.68</v>
      </c>
      <c r="G1067" s="3">
        <v>19119.93</v>
      </c>
      <c r="H1067" s="3">
        <v>111957.5</v>
      </c>
      <c r="I1067" s="3">
        <v>67434.186453075</v>
      </c>
      <c r="J1067" s="3" t="s">
        <v>1021</v>
      </c>
      <c r="K1067" s="3">
        <v>5.0</v>
      </c>
      <c r="L1067" s="3" t="s">
        <v>42</v>
      </c>
    </row>
    <row r="1068" ht="15.75" customHeight="1">
      <c r="A1068" s="3" t="s">
        <v>1139</v>
      </c>
      <c r="B1068" s="3" t="s">
        <v>29</v>
      </c>
      <c r="C1068" s="3" t="s">
        <v>14</v>
      </c>
      <c r="D1068" s="3">
        <v>99781.22</v>
      </c>
      <c r="E1068" s="3">
        <v>14560.72</v>
      </c>
      <c r="F1068" s="3">
        <v>5799.75</v>
      </c>
      <c r="G1068" s="3">
        <v>9050.38</v>
      </c>
      <c r="H1068" s="3">
        <v>120141.69</v>
      </c>
      <c r="I1068" s="3">
        <v>67437.5679274949</v>
      </c>
      <c r="J1068" s="3" t="s">
        <v>1021</v>
      </c>
      <c r="K1068" s="3">
        <v>24.0</v>
      </c>
      <c r="L1068" s="3" t="s">
        <v>15</v>
      </c>
    </row>
    <row r="1069" ht="15.75" customHeight="1">
      <c r="A1069" s="3" t="s">
        <v>1140</v>
      </c>
      <c r="B1069" s="3" t="s">
        <v>13</v>
      </c>
      <c r="C1069" s="3" t="s">
        <v>33</v>
      </c>
      <c r="D1069" s="3">
        <v>109089.59</v>
      </c>
      <c r="E1069" s="3">
        <v>22916.93</v>
      </c>
      <c r="F1069" s="3">
        <v>12578.1</v>
      </c>
      <c r="G1069" s="3">
        <v>11619.4</v>
      </c>
      <c r="H1069" s="3">
        <v>144584.62</v>
      </c>
      <c r="I1069" s="3">
        <v>67440.9494019147</v>
      </c>
      <c r="J1069" s="3" t="s">
        <v>432</v>
      </c>
      <c r="K1069" s="3">
        <v>6.0</v>
      </c>
      <c r="L1069" s="3" t="s">
        <v>19</v>
      </c>
    </row>
    <row r="1070" ht="15.75" customHeight="1">
      <c r="A1070" s="3" t="s">
        <v>1141</v>
      </c>
      <c r="B1070" s="3" t="s">
        <v>36</v>
      </c>
      <c r="C1070" s="3" t="s">
        <v>33</v>
      </c>
      <c r="D1070" s="3">
        <v>48390.36</v>
      </c>
      <c r="E1070" s="3">
        <v>29121.98</v>
      </c>
      <c r="F1070" s="3">
        <v>2358.77</v>
      </c>
      <c r="G1070" s="3">
        <v>15076.72</v>
      </c>
      <c r="H1070" s="3">
        <v>79871.11</v>
      </c>
      <c r="I1070" s="3">
        <v>67444.3308763345</v>
      </c>
      <c r="J1070" s="3" t="s">
        <v>1042</v>
      </c>
      <c r="K1070" s="3">
        <v>25.0</v>
      </c>
      <c r="L1070" s="3" t="s">
        <v>21</v>
      </c>
    </row>
    <row r="1071" ht="15.75" customHeight="1">
      <c r="A1071" s="3" t="s">
        <v>1142</v>
      </c>
      <c r="B1071" s="3" t="s">
        <v>53</v>
      </c>
      <c r="C1071" s="3" t="s">
        <v>54</v>
      </c>
      <c r="D1071" s="3">
        <v>26555.45</v>
      </c>
      <c r="E1071" s="3">
        <v>36409.51</v>
      </c>
      <c r="F1071" s="3">
        <v>13098.82</v>
      </c>
      <c r="G1071" s="3">
        <v>24361.54</v>
      </c>
      <c r="H1071" s="3">
        <v>76063.78</v>
      </c>
      <c r="I1071" s="3">
        <v>67447.7123507543</v>
      </c>
      <c r="J1071" s="3" t="s">
        <v>1021</v>
      </c>
      <c r="K1071" s="3">
        <v>11.0</v>
      </c>
      <c r="L1071" s="3" t="s">
        <v>23</v>
      </c>
    </row>
    <row r="1072" ht="15.75" customHeight="1">
      <c r="A1072" s="3" t="s">
        <v>1143</v>
      </c>
      <c r="B1072" s="3" t="s">
        <v>13</v>
      </c>
      <c r="C1072" s="3" t="s">
        <v>33</v>
      </c>
      <c r="D1072" s="3">
        <v>38933.19</v>
      </c>
      <c r="E1072" s="3">
        <v>32518.88</v>
      </c>
      <c r="F1072" s="3">
        <v>5665.93</v>
      </c>
      <c r="G1072" s="3">
        <v>8524.91</v>
      </c>
      <c r="H1072" s="3">
        <v>77118.0</v>
      </c>
      <c r="I1072" s="3">
        <v>67451.0938251741</v>
      </c>
      <c r="J1072" s="3" t="s">
        <v>1040</v>
      </c>
      <c r="K1072" s="3">
        <v>21.0</v>
      </c>
      <c r="L1072" s="3" t="s">
        <v>27</v>
      </c>
    </row>
    <row r="1073" ht="15.75" customHeight="1">
      <c r="A1073" s="3" t="s">
        <v>1144</v>
      </c>
      <c r="B1073" s="3" t="s">
        <v>51</v>
      </c>
      <c r="C1073" s="3" t="s">
        <v>26</v>
      </c>
      <c r="D1073" s="3">
        <v>59846.32</v>
      </c>
      <c r="E1073" s="3">
        <v>28349.0</v>
      </c>
      <c r="F1073" s="3">
        <v>4.86</v>
      </c>
      <c r="G1073" s="3">
        <v>23117.03</v>
      </c>
      <c r="H1073" s="3">
        <v>88200.18</v>
      </c>
      <c r="I1073" s="3">
        <v>67454.4752995939</v>
      </c>
      <c r="J1073" s="3" t="s">
        <v>1023</v>
      </c>
      <c r="K1073" s="3">
        <v>10.0</v>
      </c>
      <c r="L1073" s="3" t="s">
        <v>31</v>
      </c>
    </row>
    <row r="1074" ht="15.75" customHeight="1">
      <c r="A1074" s="3" t="s">
        <v>1145</v>
      </c>
      <c r="B1074" s="3" t="s">
        <v>13</v>
      </c>
      <c r="C1074" s="3" t="s">
        <v>33</v>
      </c>
      <c r="D1074" s="3">
        <v>100891.55</v>
      </c>
      <c r="E1074" s="3">
        <v>28466.79</v>
      </c>
      <c r="F1074" s="3">
        <v>2538.72</v>
      </c>
      <c r="G1074" s="3">
        <v>7099.24</v>
      </c>
      <c r="H1074" s="3">
        <v>131897.06</v>
      </c>
      <c r="I1074" s="3">
        <v>67457.8567740138</v>
      </c>
      <c r="J1074" s="3" t="s">
        <v>1034</v>
      </c>
      <c r="K1074" s="3">
        <v>4.0</v>
      </c>
      <c r="L1074" s="3" t="s">
        <v>34</v>
      </c>
    </row>
    <row r="1075" ht="15.75" customHeight="1">
      <c r="A1075" s="3" t="s">
        <v>1146</v>
      </c>
      <c r="B1075" s="3" t="s">
        <v>53</v>
      </c>
      <c r="C1075" s="3" t="s">
        <v>26</v>
      </c>
      <c r="D1075" s="3">
        <v>105376.71</v>
      </c>
      <c r="E1075" s="3">
        <v>38053.29</v>
      </c>
      <c r="F1075" s="3">
        <v>18672.31</v>
      </c>
      <c r="G1075" s="3">
        <v>24732.32</v>
      </c>
      <c r="H1075" s="3">
        <v>162102.31</v>
      </c>
      <c r="I1075" s="3">
        <v>67461.2382484336</v>
      </c>
      <c r="J1075" s="3" t="s">
        <v>1042</v>
      </c>
      <c r="K1075" s="3">
        <v>9.0</v>
      </c>
      <c r="L1075" s="3" t="s">
        <v>38</v>
      </c>
    </row>
    <row r="1076" ht="15.75" customHeight="1">
      <c r="A1076" s="3" t="s">
        <v>1147</v>
      </c>
      <c r="B1076" s="3" t="s">
        <v>53</v>
      </c>
      <c r="C1076" s="3" t="s">
        <v>54</v>
      </c>
      <c r="D1076" s="3">
        <v>15729.97</v>
      </c>
      <c r="E1076" s="3">
        <v>14649.67</v>
      </c>
      <c r="F1076" s="3">
        <v>17347.09</v>
      </c>
      <c r="G1076" s="3">
        <v>16921.46</v>
      </c>
      <c r="H1076" s="3">
        <v>47726.73</v>
      </c>
      <c r="I1076" s="3">
        <v>67464.6197228534</v>
      </c>
      <c r="J1076" s="3" t="s">
        <v>1031</v>
      </c>
      <c r="K1076" s="3">
        <v>12.0</v>
      </c>
      <c r="L1076" s="3" t="s">
        <v>40</v>
      </c>
    </row>
    <row r="1077" ht="15.75" customHeight="1">
      <c r="A1077" s="3" t="s">
        <v>1148</v>
      </c>
      <c r="B1077" s="3" t="s">
        <v>51</v>
      </c>
      <c r="C1077" s="3" t="s">
        <v>54</v>
      </c>
      <c r="D1077" s="3">
        <v>68628.47</v>
      </c>
      <c r="E1077" s="3">
        <v>4040.04</v>
      </c>
      <c r="F1077" s="3">
        <v>4672.18</v>
      </c>
      <c r="G1077" s="3">
        <v>11856.03</v>
      </c>
      <c r="H1077" s="3">
        <v>77340.69</v>
      </c>
      <c r="I1077" s="3">
        <v>67468.0011972732</v>
      </c>
      <c r="J1077" s="3" t="s">
        <v>1062</v>
      </c>
      <c r="K1077" s="3">
        <v>10.0</v>
      </c>
      <c r="L1077" s="3" t="s">
        <v>42</v>
      </c>
    </row>
    <row r="1078" ht="15.75" customHeight="1">
      <c r="A1078" s="3" t="s">
        <v>1149</v>
      </c>
      <c r="B1078" s="3" t="s">
        <v>13</v>
      </c>
      <c r="C1078" s="3" t="s">
        <v>30</v>
      </c>
      <c r="D1078" s="3">
        <v>58828.16</v>
      </c>
      <c r="E1078" s="3">
        <v>13790.36</v>
      </c>
      <c r="F1078" s="3">
        <v>15567.44</v>
      </c>
      <c r="G1078" s="3">
        <v>15528.07</v>
      </c>
      <c r="H1078" s="3">
        <v>88185.96</v>
      </c>
      <c r="I1078" s="3">
        <v>67471.382671693</v>
      </c>
      <c r="J1078" s="3" t="s">
        <v>1016</v>
      </c>
      <c r="K1078" s="3">
        <v>14.0</v>
      </c>
      <c r="L1078" s="3" t="s">
        <v>15</v>
      </c>
    </row>
    <row r="1079" ht="15.75" customHeight="1">
      <c r="A1079" s="3" t="s">
        <v>1150</v>
      </c>
      <c r="B1079" s="3" t="s">
        <v>25</v>
      </c>
      <c r="C1079" s="3" t="s">
        <v>26</v>
      </c>
      <c r="D1079" s="3">
        <v>38321.32</v>
      </c>
      <c r="E1079" s="3">
        <v>11844.09</v>
      </c>
      <c r="F1079" s="3">
        <v>12171.43</v>
      </c>
      <c r="G1079" s="3">
        <v>7177.01</v>
      </c>
      <c r="H1079" s="3">
        <v>62336.84</v>
      </c>
      <c r="I1079" s="3">
        <v>67474.7641461128</v>
      </c>
      <c r="J1079" s="3" t="s">
        <v>1012</v>
      </c>
      <c r="K1079" s="3">
        <v>5.0</v>
      </c>
      <c r="L1079" s="3" t="s">
        <v>19</v>
      </c>
    </row>
    <row r="1080" ht="15.75" customHeight="1">
      <c r="A1080" s="3" t="s">
        <v>1151</v>
      </c>
      <c r="B1080" s="3" t="s">
        <v>53</v>
      </c>
      <c r="C1080" s="3" t="s">
        <v>54</v>
      </c>
      <c r="D1080" s="3">
        <v>27585.86</v>
      </c>
      <c r="E1080" s="3">
        <v>27826.05</v>
      </c>
      <c r="F1080" s="3">
        <v>19418.09</v>
      </c>
      <c r="G1080" s="3">
        <v>7217.26</v>
      </c>
      <c r="H1080" s="3">
        <v>74830.0</v>
      </c>
      <c r="I1080" s="3">
        <v>67478.1456205326</v>
      </c>
      <c r="J1080" s="3" t="s">
        <v>1018</v>
      </c>
      <c r="K1080" s="3">
        <v>1.0</v>
      </c>
      <c r="L1080" s="3" t="s">
        <v>21</v>
      </c>
    </row>
    <row r="1081" ht="15.75" customHeight="1">
      <c r="A1081" s="3" t="s">
        <v>1152</v>
      </c>
      <c r="B1081" s="3" t="s">
        <v>51</v>
      </c>
      <c r="C1081" s="3" t="s">
        <v>26</v>
      </c>
      <c r="D1081" s="3">
        <v>50449.59</v>
      </c>
      <c r="E1081" s="3">
        <v>26813.62</v>
      </c>
      <c r="F1081" s="3">
        <v>7472.11</v>
      </c>
      <c r="G1081" s="3">
        <v>3282.09</v>
      </c>
      <c r="H1081" s="3">
        <v>84735.32</v>
      </c>
      <c r="I1081" s="3">
        <v>67481.5270949525</v>
      </c>
      <c r="J1081" s="3" t="s">
        <v>1012</v>
      </c>
      <c r="K1081" s="3">
        <v>5.0</v>
      </c>
      <c r="L1081" s="3" t="s">
        <v>23</v>
      </c>
    </row>
    <row r="1082" ht="15.75" customHeight="1">
      <c r="A1082" s="3" t="s">
        <v>1153</v>
      </c>
      <c r="B1082" s="3" t="s">
        <v>13</v>
      </c>
      <c r="C1082" s="3" t="s">
        <v>54</v>
      </c>
      <c r="D1082" s="3">
        <v>114005.52</v>
      </c>
      <c r="E1082" s="3">
        <v>25364.61</v>
      </c>
      <c r="F1082" s="3">
        <v>13629.21</v>
      </c>
      <c r="G1082" s="3">
        <v>3294.23</v>
      </c>
      <c r="H1082" s="3">
        <v>152999.34</v>
      </c>
      <c r="I1082" s="3">
        <v>67484.9085693723</v>
      </c>
      <c r="J1082" s="3" t="s">
        <v>1034</v>
      </c>
      <c r="K1082" s="3">
        <v>16.0</v>
      </c>
      <c r="L1082" s="3" t="s">
        <v>27</v>
      </c>
    </row>
    <row r="1083" ht="15.75" customHeight="1">
      <c r="A1083" s="3" t="s">
        <v>1154</v>
      </c>
      <c r="B1083" s="3" t="s">
        <v>53</v>
      </c>
      <c r="C1083" s="3" t="s">
        <v>30</v>
      </c>
      <c r="D1083" s="3">
        <v>48936.31</v>
      </c>
      <c r="E1083" s="3">
        <v>4584.76</v>
      </c>
      <c r="F1083" s="3">
        <v>1270.71</v>
      </c>
      <c r="G1083" s="3">
        <v>9017.96</v>
      </c>
      <c r="H1083" s="3">
        <v>54791.78</v>
      </c>
      <c r="I1083" s="3">
        <v>67488.2900437921</v>
      </c>
      <c r="J1083" s="3" t="s">
        <v>1012</v>
      </c>
      <c r="K1083" s="3">
        <v>5.0</v>
      </c>
      <c r="L1083" s="3" t="s">
        <v>31</v>
      </c>
    </row>
    <row r="1084" ht="15.75" customHeight="1">
      <c r="A1084" s="3" t="s">
        <v>1155</v>
      </c>
      <c r="B1084" s="3" t="s">
        <v>25</v>
      </c>
      <c r="C1084" s="3" t="s">
        <v>54</v>
      </c>
      <c r="D1084" s="3">
        <v>69473.02</v>
      </c>
      <c r="E1084" s="3">
        <v>30236.01</v>
      </c>
      <c r="F1084" s="3">
        <v>7924.95</v>
      </c>
      <c r="G1084" s="3">
        <v>19189.96</v>
      </c>
      <c r="H1084" s="3">
        <v>107633.98</v>
      </c>
      <c r="I1084" s="3">
        <v>67491.6715182119</v>
      </c>
      <c r="J1084" s="3" t="s">
        <v>1040</v>
      </c>
      <c r="K1084" s="3">
        <v>5.0</v>
      </c>
      <c r="L1084" s="3" t="s">
        <v>34</v>
      </c>
    </row>
    <row r="1085" ht="15.75" customHeight="1">
      <c r="A1085" s="3" t="s">
        <v>1156</v>
      </c>
      <c r="B1085" s="3" t="s">
        <v>13</v>
      </c>
      <c r="C1085" s="3" t="s">
        <v>30</v>
      </c>
      <c r="D1085" s="3">
        <v>88816.99</v>
      </c>
      <c r="E1085" s="3">
        <v>15647.09</v>
      </c>
      <c r="F1085" s="3">
        <v>19276.35</v>
      </c>
      <c r="G1085" s="3">
        <v>15395.29</v>
      </c>
      <c r="H1085" s="3">
        <v>123740.43</v>
      </c>
      <c r="I1085" s="3">
        <v>67495.0529926317</v>
      </c>
      <c r="J1085" s="3" t="s">
        <v>1021</v>
      </c>
      <c r="K1085" s="3">
        <v>18.0</v>
      </c>
      <c r="L1085" s="3" t="s">
        <v>38</v>
      </c>
    </row>
    <row r="1086" ht="15.75" customHeight="1">
      <c r="A1086" s="3" t="s">
        <v>1157</v>
      </c>
      <c r="B1086" s="3" t="s">
        <v>29</v>
      </c>
      <c r="C1086" s="3" t="s">
        <v>26</v>
      </c>
      <c r="D1086" s="3">
        <v>53181.11</v>
      </c>
      <c r="E1086" s="3">
        <v>27942.02</v>
      </c>
      <c r="F1086" s="3">
        <v>10779.62</v>
      </c>
      <c r="G1086" s="3">
        <v>3013.32</v>
      </c>
      <c r="H1086" s="3">
        <v>91902.75</v>
      </c>
      <c r="I1086" s="3">
        <v>67498.4344670515</v>
      </c>
      <c r="J1086" s="3" t="s">
        <v>1012</v>
      </c>
      <c r="K1086" s="3">
        <v>6.0</v>
      </c>
      <c r="L1086" s="3" t="s">
        <v>40</v>
      </c>
    </row>
    <row r="1087" ht="15.75" customHeight="1">
      <c r="A1087" s="3" t="s">
        <v>1158</v>
      </c>
      <c r="B1087" s="3" t="s">
        <v>51</v>
      </c>
      <c r="C1087" s="3" t="s">
        <v>26</v>
      </c>
      <c r="D1087" s="3">
        <v>117037.12</v>
      </c>
      <c r="E1087" s="3">
        <v>24036.82</v>
      </c>
      <c r="F1087" s="3">
        <v>5757.59</v>
      </c>
      <c r="G1087" s="3">
        <v>21379.79</v>
      </c>
      <c r="H1087" s="3">
        <v>146831.53</v>
      </c>
      <c r="I1087" s="3">
        <v>67501.8159414713</v>
      </c>
      <c r="J1087" s="3" t="s">
        <v>1040</v>
      </c>
      <c r="K1087" s="3">
        <v>21.0</v>
      </c>
      <c r="L1087" s="3" t="s">
        <v>42</v>
      </c>
    </row>
    <row r="1088" ht="15.75" customHeight="1">
      <c r="A1088" s="3" t="s">
        <v>1159</v>
      </c>
      <c r="B1088" s="3" t="s">
        <v>13</v>
      </c>
      <c r="C1088" s="3" t="s">
        <v>14</v>
      </c>
      <c r="D1088" s="3">
        <v>116056.97</v>
      </c>
      <c r="E1088" s="3">
        <v>16338.31</v>
      </c>
      <c r="F1088" s="3">
        <v>2405.42</v>
      </c>
      <c r="G1088" s="3">
        <v>15233.51</v>
      </c>
      <c r="H1088" s="3">
        <v>134800.7</v>
      </c>
      <c r="I1088" s="3">
        <v>67505.1974158911</v>
      </c>
      <c r="J1088" s="3" t="s">
        <v>1016</v>
      </c>
      <c r="K1088" s="3">
        <v>18.0</v>
      </c>
      <c r="L1088" s="3" t="s">
        <v>15</v>
      </c>
    </row>
    <row r="1089" ht="15.75" customHeight="1">
      <c r="A1089" s="3" t="s">
        <v>1160</v>
      </c>
      <c r="B1089" s="3" t="s">
        <v>29</v>
      </c>
      <c r="C1089" s="3" t="s">
        <v>18</v>
      </c>
      <c r="D1089" s="3">
        <v>41437.14</v>
      </c>
      <c r="E1089" s="3">
        <v>8844.75</v>
      </c>
      <c r="F1089" s="3">
        <v>14070.57</v>
      </c>
      <c r="G1089" s="3">
        <v>24040.96</v>
      </c>
      <c r="H1089" s="3">
        <v>64352.46</v>
      </c>
      <c r="I1089" s="3">
        <v>67508.578890311</v>
      </c>
      <c r="J1089" s="3" t="s">
        <v>1040</v>
      </c>
      <c r="K1089" s="3">
        <v>10.0</v>
      </c>
      <c r="L1089" s="3" t="s">
        <v>19</v>
      </c>
    </row>
    <row r="1090" ht="15.75" customHeight="1">
      <c r="A1090" s="3" t="s">
        <v>1161</v>
      </c>
      <c r="B1090" s="3" t="s">
        <v>25</v>
      </c>
      <c r="C1090" s="3" t="s">
        <v>18</v>
      </c>
      <c r="D1090" s="3">
        <v>67211.09</v>
      </c>
      <c r="E1090" s="3">
        <v>7399.08</v>
      </c>
      <c r="F1090" s="3">
        <v>12897.12</v>
      </c>
      <c r="G1090" s="3">
        <v>16919.54</v>
      </c>
      <c r="H1090" s="3">
        <v>87507.29</v>
      </c>
      <c r="I1090" s="3">
        <v>67511.9603647308</v>
      </c>
      <c r="J1090" s="3" t="s">
        <v>1016</v>
      </c>
      <c r="K1090" s="3">
        <v>15.0</v>
      </c>
      <c r="L1090" s="3" t="s">
        <v>21</v>
      </c>
    </row>
    <row r="1091" ht="15.75" customHeight="1">
      <c r="A1091" s="3" t="s">
        <v>1162</v>
      </c>
      <c r="B1091" s="3" t="s">
        <v>53</v>
      </c>
      <c r="C1091" s="3" t="s">
        <v>14</v>
      </c>
      <c r="D1091" s="3">
        <v>46592.22</v>
      </c>
      <c r="E1091" s="3">
        <v>33934.66</v>
      </c>
      <c r="F1091" s="3">
        <v>100.0</v>
      </c>
      <c r="G1091" s="3">
        <v>4791.78</v>
      </c>
      <c r="H1091" s="3">
        <v>87839.88</v>
      </c>
      <c r="I1091" s="3">
        <v>67515.3418391506</v>
      </c>
      <c r="J1091" s="3" t="s">
        <v>1040</v>
      </c>
      <c r="K1091" s="3">
        <v>24.0</v>
      </c>
      <c r="L1091" s="3" t="s">
        <v>23</v>
      </c>
    </row>
    <row r="1092" ht="15.75" customHeight="1">
      <c r="A1092" s="3" t="s">
        <v>1163</v>
      </c>
      <c r="B1092" s="3" t="s">
        <v>51</v>
      </c>
      <c r="C1092" s="3" t="s">
        <v>26</v>
      </c>
      <c r="D1092" s="3">
        <v>18873.13</v>
      </c>
      <c r="E1092" s="3">
        <v>27392.37</v>
      </c>
      <c r="F1092" s="3">
        <v>9999.74228855471</v>
      </c>
      <c r="G1092" s="3">
        <v>16388.19</v>
      </c>
      <c r="H1092" s="3">
        <v>46709.56</v>
      </c>
      <c r="I1092" s="3">
        <v>67522.1047879902</v>
      </c>
      <c r="J1092" s="3" t="s">
        <v>1012</v>
      </c>
      <c r="K1092" s="3">
        <v>11.0</v>
      </c>
      <c r="L1092" s="3" t="s">
        <v>31</v>
      </c>
    </row>
    <row r="1093" ht="15.75" customHeight="1">
      <c r="A1093" s="3" t="s">
        <v>1164</v>
      </c>
      <c r="B1093" s="3" t="s">
        <v>13</v>
      </c>
      <c r="C1093" s="3" t="s">
        <v>33</v>
      </c>
      <c r="D1093" s="3">
        <v>79004.26</v>
      </c>
      <c r="E1093" s="3">
        <v>7723.63</v>
      </c>
      <c r="F1093" s="3">
        <v>9996.96893731366</v>
      </c>
      <c r="G1093" s="3">
        <v>1192.49</v>
      </c>
      <c r="H1093" s="3">
        <v>92802.37</v>
      </c>
      <c r="I1093" s="3">
        <v>67525.48626241</v>
      </c>
      <c r="J1093" s="3" t="s">
        <v>1062</v>
      </c>
      <c r="K1093" s="3">
        <v>19.0</v>
      </c>
      <c r="L1093" s="3" t="s">
        <v>34</v>
      </c>
    </row>
    <row r="1094" ht="15.75" customHeight="1">
      <c r="A1094" s="3" t="s">
        <v>1165</v>
      </c>
      <c r="B1094" s="3" t="s">
        <v>29</v>
      </c>
      <c r="C1094" s="3" t="s">
        <v>14</v>
      </c>
      <c r="D1094" s="3">
        <v>67781.3</v>
      </c>
      <c r="E1094" s="3">
        <v>18472.98</v>
      </c>
      <c r="F1094" s="3">
        <v>9994.1955860726</v>
      </c>
      <c r="G1094" s="3">
        <v>865.3</v>
      </c>
      <c r="H1094" s="3">
        <v>104675.67</v>
      </c>
      <c r="I1094" s="3">
        <v>67528.8677368299</v>
      </c>
      <c r="J1094" s="3" t="s">
        <v>1031</v>
      </c>
      <c r="K1094" s="3">
        <v>25.0</v>
      </c>
      <c r="L1094" s="3" t="s">
        <v>38</v>
      </c>
    </row>
    <row r="1095" ht="15.75" customHeight="1">
      <c r="A1095" s="3" t="s">
        <v>1166</v>
      </c>
      <c r="B1095" s="3" t="s">
        <v>25</v>
      </c>
      <c r="C1095" s="3" t="s">
        <v>18</v>
      </c>
      <c r="D1095" s="3">
        <v>20405.27</v>
      </c>
      <c r="E1095" s="3">
        <v>30241.81</v>
      </c>
      <c r="F1095" s="3">
        <v>9991.42223483155</v>
      </c>
      <c r="G1095" s="3">
        <v>3670.37</v>
      </c>
      <c r="H1095" s="3">
        <v>57065.79</v>
      </c>
      <c r="I1095" s="3">
        <v>67532.2492112497</v>
      </c>
      <c r="J1095" s="3" t="s">
        <v>1062</v>
      </c>
      <c r="K1095" s="3">
        <v>13.0</v>
      </c>
      <c r="L1095" s="3" t="s">
        <v>40</v>
      </c>
    </row>
    <row r="1096" ht="15.75" customHeight="1">
      <c r="A1096" s="3" t="s">
        <v>1167</v>
      </c>
      <c r="B1096" s="3" t="s">
        <v>36</v>
      </c>
      <c r="C1096" s="3" t="s">
        <v>37</v>
      </c>
      <c r="D1096" s="3">
        <v>44257.88</v>
      </c>
      <c r="E1096" s="3">
        <v>32073.55</v>
      </c>
      <c r="F1096" s="3">
        <v>9988.64888359049</v>
      </c>
      <c r="G1096" s="3">
        <v>6665.78</v>
      </c>
      <c r="H1096" s="3">
        <v>81376.49</v>
      </c>
      <c r="I1096" s="3">
        <v>67535.6306856695</v>
      </c>
      <c r="J1096" s="3" t="s">
        <v>1062</v>
      </c>
      <c r="K1096" s="3">
        <v>20.0</v>
      </c>
      <c r="L1096" s="3" t="s">
        <v>42</v>
      </c>
    </row>
    <row r="1097" ht="15.75" customHeight="1">
      <c r="A1097" s="3" t="s">
        <v>1168</v>
      </c>
      <c r="B1097" s="3" t="s">
        <v>36</v>
      </c>
      <c r="C1097" s="3" t="s">
        <v>37</v>
      </c>
      <c r="D1097" s="3">
        <v>110367.92</v>
      </c>
      <c r="E1097" s="3">
        <v>8255.87</v>
      </c>
      <c r="F1097" s="3">
        <v>9985.87553234944</v>
      </c>
      <c r="G1097" s="3">
        <v>11023.95</v>
      </c>
      <c r="H1097" s="3">
        <v>129308.2</v>
      </c>
      <c r="I1097" s="3">
        <v>67539.0121600893</v>
      </c>
      <c r="J1097" s="3" t="s">
        <v>1026</v>
      </c>
      <c r="K1097" s="3">
        <v>3.0</v>
      </c>
      <c r="L1097" s="3" t="s">
        <v>15</v>
      </c>
    </row>
    <row r="1098" ht="15.75" customHeight="1">
      <c r="A1098" s="3" t="s">
        <v>1169</v>
      </c>
      <c r="B1098" s="3" t="s">
        <v>36</v>
      </c>
      <c r="C1098" s="3" t="s">
        <v>30</v>
      </c>
      <c r="D1098" s="3">
        <v>40154.0</v>
      </c>
      <c r="E1098" s="3">
        <v>4001.11</v>
      </c>
      <c r="F1098" s="3">
        <v>9983.10218110838</v>
      </c>
      <c r="G1098" s="3">
        <v>12442.29</v>
      </c>
      <c r="H1098" s="3">
        <v>60631.14</v>
      </c>
      <c r="I1098" s="3">
        <v>67542.3936345091</v>
      </c>
      <c r="J1098" s="3" t="s">
        <v>1062</v>
      </c>
      <c r="K1098" s="3">
        <v>16.0</v>
      </c>
      <c r="L1098" s="3" t="s">
        <v>19</v>
      </c>
    </row>
    <row r="1099" ht="15.75" customHeight="1">
      <c r="A1099" s="3" t="s">
        <v>1170</v>
      </c>
      <c r="B1099" s="3" t="s">
        <v>25</v>
      </c>
      <c r="C1099" s="3" t="s">
        <v>37</v>
      </c>
      <c r="D1099" s="3">
        <v>30213.96</v>
      </c>
      <c r="E1099" s="3">
        <v>29636.93</v>
      </c>
      <c r="F1099" s="3">
        <v>9980.32882986733</v>
      </c>
      <c r="G1099" s="3">
        <v>3881.68</v>
      </c>
      <c r="H1099" s="3">
        <v>61913.83</v>
      </c>
      <c r="I1099" s="3">
        <v>67545.7751089289</v>
      </c>
      <c r="J1099" s="3" t="s">
        <v>1026</v>
      </c>
      <c r="K1099" s="3">
        <v>7.0</v>
      </c>
      <c r="L1099" s="3" t="s">
        <v>21</v>
      </c>
    </row>
    <row r="1100" ht="15.75" customHeight="1">
      <c r="A1100" s="3" t="s">
        <v>1171</v>
      </c>
      <c r="B1100" s="3" t="s">
        <v>53</v>
      </c>
      <c r="C1100" s="3" t="s">
        <v>33</v>
      </c>
      <c r="D1100" s="3">
        <v>66392.54</v>
      </c>
      <c r="E1100" s="3">
        <v>16837.46</v>
      </c>
      <c r="F1100" s="3">
        <v>9977.55547862627</v>
      </c>
      <c r="G1100" s="3">
        <v>16998.09</v>
      </c>
      <c r="H1100" s="3">
        <v>102090.41</v>
      </c>
      <c r="I1100" s="3">
        <v>67549.1565833487</v>
      </c>
      <c r="J1100" s="3" t="s">
        <v>1062</v>
      </c>
      <c r="K1100" s="3">
        <v>12.0</v>
      </c>
      <c r="L1100" s="3" t="s">
        <v>23</v>
      </c>
    </row>
    <row r="1101" ht="15.75" customHeight="1">
      <c r="A1101" s="3" t="s">
        <v>1172</v>
      </c>
      <c r="B1101" s="3" t="s">
        <v>13</v>
      </c>
      <c r="C1101" s="3" t="s">
        <v>26</v>
      </c>
      <c r="D1101" s="3">
        <v>118493.3</v>
      </c>
      <c r="E1101" s="3">
        <v>13161.33</v>
      </c>
      <c r="F1101" s="3">
        <v>9974.78212738522</v>
      </c>
      <c r="G1101" s="3">
        <v>15105.38</v>
      </c>
      <c r="H1101" s="3">
        <v>147556.09</v>
      </c>
      <c r="I1101" s="3">
        <v>67552.5380577686</v>
      </c>
      <c r="J1101" s="3" t="s">
        <v>1040</v>
      </c>
      <c r="K1101" s="3">
        <v>15.0</v>
      </c>
      <c r="L1101" s="3" t="s">
        <v>27</v>
      </c>
    </row>
    <row r="1102" ht="15.75" customHeight="1">
      <c r="A1102" s="3" t="s">
        <v>1173</v>
      </c>
      <c r="B1102" s="3" t="s">
        <v>36</v>
      </c>
      <c r="C1102" s="3" t="s">
        <v>18</v>
      </c>
      <c r="D1102" s="3">
        <v>40415.8</v>
      </c>
      <c r="E1102" s="3">
        <v>4464.31</v>
      </c>
      <c r="F1102" s="3">
        <v>9972.00877614416</v>
      </c>
      <c r="G1102" s="3">
        <v>7714.37</v>
      </c>
      <c r="H1102" s="3">
        <v>48505.12</v>
      </c>
      <c r="I1102" s="3">
        <v>67555.9195321884</v>
      </c>
      <c r="J1102" s="3" t="s">
        <v>1042</v>
      </c>
      <c r="K1102" s="3">
        <v>8.0</v>
      </c>
      <c r="L1102" s="3" t="s">
        <v>31</v>
      </c>
    </row>
    <row r="1103" ht="15.75" customHeight="1">
      <c r="A1103" s="3" t="s">
        <v>1174</v>
      </c>
      <c r="B1103" s="3" t="s">
        <v>17</v>
      </c>
      <c r="C1103" s="3" t="s">
        <v>54</v>
      </c>
      <c r="D1103" s="3">
        <v>85574.23</v>
      </c>
      <c r="E1103" s="3">
        <v>23450.78</v>
      </c>
      <c r="F1103" s="3">
        <v>9969.23542490311</v>
      </c>
      <c r="G1103" s="3">
        <v>834.67</v>
      </c>
      <c r="H1103" s="3">
        <v>123265.17</v>
      </c>
      <c r="I1103" s="3">
        <v>67559.3010066082</v>
      </c>
      <c r="J1103" s="3" t="s">
        <v>1021</v>
      </c>
      <c r="K1103" s="3">
        <v>23.0</v>
      </c>
      <c r="L1103" s="3" t="s">
        <v>34</v>
      </c>
    </row>
    <row r="1104" ht="15.75" customHeight="1">
      <c r="A1104" s="3" t="s">
        <v>1175</v>
      </c>
      <c r="B1104" s="3" t="s">
        <v>51</v>
      </c>
      <c r="C1104" s="3" t="s">
        <v>54</v>
      </c>
      <c r="D1104" s="3">
        <v>94970.06</v>
      </c>
      <c r="E1104" s="3">
        <v>34641.43</v>
      </c>
      <c r="F1104" s="3">
        <v>9966.46207366205</v>
      </c>
      <c r="G1104" s="3">
        <v>2402.37</v>
      </c>
      <c r="H1104" s="3">
        <v>137310.66</v>
      </c>
      <c r="I1104" s="3">
        <v>67562.682481028</v>
      </c>
      <c r="J1104" s="3" t="s">
        <v>1034</v>
      </c>
      <c r="K1104" s="3">
        <v>17.0</v>
      </c>
      <c r="L1104" s="3" t="s">
        <v>38</v>
      </c>
    </row>
    <row r="1105" ht="15.75" customHeight="1">
      <c r="A1105" s="3" t="s">
        <v>1176</v>
      </c>
      <c r="B1105" s="3" t="s">
        <v>17</v>
      </c>
      <c r="C1105" s="3" t="s">
        <v>26</v>
      </c>
      <c r="D1105" s="3">
        <v>39951.94</v>
      </c>
      <c r="E1105" s="3">
        <v>38474.74</v>
      </c>
      <c r="F1105" s="3">
        <v>9963.68872242099</v>
      </c>
      <c r="G1105" s="5"/>
      <c r="H1105" s="3">
        <v>86472.57</v>
      </c>
      <c r="I1105" s="3">
        <v>67566.0639554478</v>
      </c>
      <c r="J1105" s="3" t="s">
        <v>1012</v>
      </c>
      <c r="K1105" s="3">
        <v>1.0</v>
      </c>
      <c r="L1105" s="3" t="s">
        <v>40</v>
      </c>
    </row>
    <row r="1106" ht="15.75" customHeight="1">
      <c r="A1106" s="3" t="s">
        <v>1177</v>
      </c>
      <c r="B1106" s="3" t="s">
        <v>53</v>
      </c>
      <c r="C1106" s="3" t="s">
        <v>33</v>
      </c>
      <c r="D1106" s="3">
        <v>53617.23</v>
      </c>
      <c r="E1106" s="3">
        <v>22520.61</v>
      </c>
      <c r="F1106" s="3">
        <v>9958.14201993888</v>
      </c>
      <c r="G1106" s="3">
        <v>9732.08</v>
      </c>
      <c r="H1106" s="3">
        <v>95393.54</v>
      </c>
      <c r="I1106" s="3">
        <v>67572.8269042874</v>
      </c>
      <c r="J1106" s="3" t="s">
        <v>1016</v>
      </c>
      <c r="K1106" s="3">
        <v>8.0</v>
      </c>
      <c r="L1106" s="3" t="s">
        <v>15</v>
      </c>
    </row>
    <row r="1107" ht="15.75" customHeight="1">
      <c r="A1107" s="3" t="s">
        <v>1178</v>
      </c>
      <c r="B1107" s="3" t="s">
        <v>36</v>
      </c>
      <c r="C1107" s="3" t="s">
        <v>30</v>
      </c>
      <c r="D1107" s="3">
        <v>81392.11</v>
      </c>
      <c r="E1107" s="3">
        <v>7062.03</v>
      </c>
      <c r="F1107" s="3">
        <v>9955.36866869783</v>
      </c>
      <c r="G1107" s="3">
        <v>15890.47</v>
      </c>
      <c r="H1107" s="3">
        <v>90987.26</v>
      </c>
      <c r="I1107" s="3">
        <v>67576.2083787072</v>
      </c>
      <c r="J1107" s="3" t="s">
        <v>1018</v>
      </c>
      <c r="K1107" s="3">
        <v>14.0</v>
      </c>
      <c r="L1107" s="3" t="s">
        <v>19</v>
      </c>
    </row>
    <row r="1108" ht="15.75" customHeight="1">
      <c r="A1108" s="3" t="s">
        <v>1179</v>
      </c>
      <c r="B1108" s="3" t="s">
        <v>25</v>
      </c>
      <c r="C1108" s="3" t="s">
        <v>37</v>
      </c>
      <c r="D1108" s="3">
        <v>81520.62</v>
      </c>
      <c r="E1108" s="3">
        <v>23759.42</v>
      </c>
      <c r="F1108" s="3">
        <v>9952.59531745677</v>
      </c>
      <c r="G1108" s="3">
        <v>13907.32</v>
      </c>
      <c r="H1108" s="3">
        <v>112577.05</v>
      </c>
      <c r="I1108" s="3">
        <v>67579.5898531271</v>
      </c>
      <c r="J1108" s="3" t="s">
        <v>1018</v>
      </c>
      <c r="K1108" s="3">
        <v>10.0</v>
      </c>
      <c r="L1108" s="3" t="s">
        <v>21</v>
      </c>
    </row>
    <row r="1109" ht="15.75" customHeight="1">
      <c r="A1109" s="3" t="s">
        <v>1180</v>
      </c>
      <c r="B1109" s="3" t="s">
        <v>25</v>
      </c>
      <c r="C1109" s="3" t="s">
        <v>14</v>
      </c>
      <c r="D1109" s="3">
        <v>71256.34</v>
      </c>
      <c r="E1109" s="3">
        <v>17679.25</v>
      </c>
      <c r="F1109" s="3">
        <v>9949.82196621572</v>
      </c>
      <c r="G1109" s="3">
        <v>6163.81</v>
      </c>
      <c r="H1109" s="3">
        <v>98554.42</v>
      </c>
      <c r="I1109" s="3">
        <v>67582.9713275469</v>
      </c>
      <c r="J1109" s="3" t="s">
        <v>1042</v>
      </c>
      <c r="K1109" s="3">
        <v>19.0</v>
      </c>
      <c r="L1109" s="3" t="s">
        <v>23</v>
      </c>
    </row>
    <row r="1110" ht="15.75" customHeight="1">
      <c r="A1110" s="3" t="s">
        <v>1181</v>
      </c>
      <c r="B1110" s="3" t="s">
        <v>25</v>
      </c>
      <c r="C1110" s="3" t="s">
        <v>30</v>
      </c>
      <c r="D1110" s="3">
        <v>24480.43</v>
      </c>
      <c r="E1110" s="3">
        <v>25856.87</v>
      </c>
      <c r="F1110" s="3">
        <v>9947.04861497466</v>
      </c>
      <c r="G1110" s="3">
        <v>8923.65</v>
      </c>
      <c r="H1110" s="3">
        <v>57863.54</v>
      </c>
      <c r="I1110" s="3">
        <v>67586.3528019667</v>
      </c>
      <c r="J1110" s="3" t="s">
        <v>1016</v>
      </c>
      <c r="K1110" s="3">
        <v>8.0</v>
      </c>
      <c r="L1110" s="3" t="s">
        <v>27</v>
      </c>
    </row>
    <row r="1111" ht="15.75" customHeight="1">
      <c r="A1111" s="3" t="s">
        <v>1182</v>
      </c>
      <c r="B1111" s="3" t="s">
        <v>51</v>
      </c>
      <c r="C1111" s="3" t="s">
        <v>26</v>
      </c>
      <c r="D1111" s="3">
        <v>102706.76</v>
      </c>
      <c r="E1111" s="3">
        <v>17994.15</v>
      </c>
      <c r="F1111" s="3">
        <v>9944.27526373361</v>
      </c>
      <c r="G1111" s="3">
        <v>15543.76</v>
      </c>
      <c r="H1111" s="3">
        <v>127964.69</v>
      </c>
      <c r="I1111" s="3">
        <v>67589.7342763865</v>
      </c>
      <c r="J1111" s="3" t="s">
        <v>1012</v>
      </c>
      <c r="K1111" s="3">
        <v>19.0</v>
      </c>
      <c r="L1111" s="3" t="s">
        <v>31</v>
      </c>
    </row>
    <row r="1112" ht="15.75" customHeight="1">
      <c r="A1112" s="3" t="s">
        <v>1183</v>
      </c>
      <c r="B1112" s="3" t="s">
        <v>29</v>
      </c>
      <c r="C1112" s="3" t="s">
        <v>14</v>
      </c>
      <c r="D1112" s="3">
        <v>48681.91</v>
      </c>
      <c r="E1112" s="3">
        <v>12650.77</v>
      </c>
      <c r="F1112" s="3">
        <v>9941.50191249255</v>
      </c>
      <c r="G1112" s="3">
        <v>21590.95</v>
      </c>
      <c r="H1112" s="3">
        <v>62378.05</v>
      </c>
      <c r="I1112" s="3">
        <v>67593.1157508063</v>
      </c>
      <c r="J1112" s="3" t="s">
        <v>1012</v>
      </c>
      <c r="K1112" s="3">
        <v>4.0</v>
      </c>
      <c r="L1112" s="3" t="s">
        <v>34</v>
      </c>
    </row>
    <row r="1113" ht="15.75" customHeight="1">
      <c r="A1113" s="3" t="s">
        <v>1184</v>
      </c>
      <c r="B1113" s="3" t="s">
        <v>53</v>
      </c>
      <c r="C1113" s="3" t="s">
        <v>33</v>
      </c>
      <c r="D1113" s="3">
        <v>34584.44</v>
      </c>
      <c r="E1113" s="3">
        <v>7418.75</v>
      </c>
      <c r="F1113" s="3">
        <v>9938.7285612515</v>
      </c>
      <c r="G1113" s="3">
        <v>18953.73</v>
      </c>
      <c r="H1113" s="3">
        <v>55713.96</v>
      </c>
      <c r="I1113" s="3">
        <v>67596.4972252262</v>
      </c>
      <c r="J1113" s="3" t="s">
        <v>1040</v>
      </c>
      <c r="K1113" s="3">
        <v>10.0</v>
      </c>
      <c r="L1113" s="3" t="s">
        <v>38</v>
      </c>
    </row>
    <row r="1114" ht="15.75" customHeight="1">
      <c r="A1114" s="3" t="s">
        <v>1185</v>
      </c>
      <c r="B1114" s="3" t="s">
        <v>17</v>
      </c>
      <c r="C1114" s="3" t="s">
        <v>33</v>
      </c>
      <c r="D1114" s="3">
        <v>19281.39</v>
      </c>
      <c r="E1114" s="3">
        <v>15337.06</v>
      </c>
      <c r="F1114" s="3">
        <v>9935.95521001044</v>
      </c>
      <c r="G1114" s="3">
        <v>14058.3</v>
      </c>
      <c r="H1114" s="3">
        <v>43342.74</v>
      </c>
      <c r="I1114" s="3">
        <v>67599.878699646</v>
      </c>
      <c r="J1114" s="3" t="s">
        <v>1026</v>
      </c>
      <c r="K1114" s="3">
        <v>23.0</v>
      </c>
      <c r="L1114" s="3" t="s">
        <v>40</v>
      </c>
    </row>
    <row r="1115" ht="15.75" customHeight="1">
      <c r="A1115" s="3" t="s">
        <v>1186</v>
      </c>
      <c r="B1115" s="3" t="s">
        <v>29</v>
      </c>
      <c r="C1115" s="3" t="s">
        <v>26</v>
      </c>
      <c r="D1115" s="3">
        <v>77043.76</v>
      </c>
      <c r="E1115" s="3">
        <v>7479.21</v>
      </c>
      <c r="F1115" s="3">
        <v>9156.8603022823</v>
      </c>
      <c r="G1115" s="3">
        <v>9376.18</v>
      </c>
      <c r="H1115" s="3">
        <v>88418.85</v>
      </c>
      <c r="I1115" s="3">
        <v>67603.2601740658</v>
      </c>
      <c r="J1115" s="3" t="s">
        <v>1040</v>
      </c>
      <c r="K1115" s="3">
        <v>3.0</v>
      </c>
      <c r="L1115" s="3" t="s">
        <v>42</v>
      </c>
    </row>
    <row r="1116" ht="15.75" customHeight="1">
      <c r="A1116" s="3" t="s">
        <v>1187</v>
      </c>
      <c r="B1116" s="3" t="s">
        <v>53</v>
      </c>
      <c r="C1116" s="3" t="s">
        <v>30</v>
      </c>
      <c r="D1116" s="3">
        <v>86144.26</v>
      </c>
      <c r="E1116" s="3">
        <v>10368.29</v>
      </c>
      <c r="F1116" s="3">
        <v>9164.54030571181</v>
      </c>
      <c r="G1116" s="3">
        <v>9443.76</v>
      </c>
      <c r="H1116" s="3">
        <v>112833.22</v>
      </c>
      <c r="I1116" s="3">
        <v>67606.6416484856</v>
      </c>
      <c r="J1116" s="3" t="s">
        <v>1062</v>
      </c>
      <c r="K1116" s="3">
        <v>4.0</v>
      </c>
      <c r="L1116" s="3" t="s">
        <v>15</v>
      </c>
    </row>
    <row r="1117" ht="15.75" customHeight="1">
      <c r="A1117" s="3" t="s">
        <v>1188</v>
      </c>
      <c r="B1117" s="3" t="s">
        <v>25</v>
      </c>
      <c r="C1117" s="3" t="s">
        <v>33</v>
      </c>
      <c r="D1117" s="3">
        <v>16741.72</v>
      </c>
      <c r="E1117" s="3">
        <v>39544.1</v>
      </c>
      <c r="F1117" s="3">
        <v>9172.2203091413</v>
      </c>
      <c r="G1117" s="3">
        <v>22045.72</v>
      </c>
      <c r="H1117" s="3">
        <v>72337.03</v>
      </c>
      <c r="I1117" s="3">
        <v>67610.0231229054</v>
      </c>
      <c r="J1117" s="3" t="s">
        <v>1062</v>
      </c>
      <c r="K1117" s="3">
        <v>16.0</v>
      </c>
      <c r="L1117" s="3" t="s">
        <v>19</v>
      </c>
    </row>
    <row r="1118" ht="15.75" customHeight="1">
      <c r="A1118" s="3" t="s">
        <v>1189</v>
      </c>
      <c r="B1118" s="3" t="s">
        <v>25</v>
      </c>
      <c r="C1118" s="3" t="s">
        <v>30</v>
      </c>
      <c r="D1118" s="3">
        <v>68769.77</v>
      </c>
      <c r="E1118" s="3">
        <v>19987.73</v>
      </c>
      <c r="F1118" s="3">
        <v>9179.9003125708</v>
      </c>
      <c r="G1118" s="3">
        <v>1461.47</v>
      </c>
      <c r="H1118" s="3">
        <v>98485.33</v>
      </c>
      <c r="I1118" s="3">
        <v>67613.4045973252</v>
      </c>
      <c r="J1118" s="3" t="s">
        <v>1040</v>
      </c>
      <c r="K1118" s="3">
        <v>24.0</v>
      </c>
      <c r="L1118" s="3" t="s">
        <v>21</v>
      </c>
    </row>
    <row r="1119" ht="15.75" customHeight="1">
      <c r="A1119" s="3" t="s">
        <v>1190</v>
      </c>
      <c r="B1119" s="3" t="s">
        <v>53</v>
      </c>
      <c r="C1119" s="3" t="s">
        <v>33</v>
      </c>
      <c r="D1119" s="3">
        <v>38782.06</v>
      </c>
      <c r="E1119" s="3">
        <v>23147.38</v>
      </c>
      <c r="F1119" s="3">
        <v>9187.5803160003</v>
      </c>
      <c r="G1119" s="3">
        <v>24705.57</v>
      </c>
      <c r="H1119" s="3">
        <v>67898.45</v>
      </c>
      <c r="I1119" s="3">
        <v>67616.786071745</v>
      </c>
      <c r="J1119" s="3" t="s">
        <v>1023</v>
      </c>
      <c r="K1119" s="3">
        <v>4.0</v>
      </c>
      <c r="L1119" s="3" t="s">
        <v>23</v>
      </c>
    </row>
    <row r="1120" ht="15.75" customHeight="1">
      <c r="A1120" s="3" t="s">
        <v>1191</v>
      </c>
      <c r="B1120" s="3" t="s">
        <v>53</v>
      </c>
      <c r="C1120" s="3" t="s">
        <v>37</v>
      </c>
      <c r="D1120" s="3">
        <v>82743.14</v>
      </c>
      <c r="E1120" s="3">
        <v>35450.27</v>
      </c>
      <c r="F1120" s="3">
        <v>9195.2603194298</v>
      </c>
      <c r="G1120" s="3">
        <v>16777.2</v>
      </c>
      <c r="H1120" s="3">
        <v>130955.26</v>
      </c>
      <c r="I1120" s="3">
        <v>67620.1675461648</v>
      </c>
      <c r="J1120" s="3" t="s">
        <v>1023</v>
      </c>
      <c r="K1120" s="3">
        <v>25.0</v>
      </c>
      <c r="L1120" s="3" t="s">
        <v>27</v>
      </c>
    </row>
    <row r="1121" ht="15.75" customHeight="1">
      <c r="A1121" s="3" t="s">
        <v>1192</v>
      </c>
      <c r="B1121" s="3" t="s">
        <v>29</v>
      </c>
      <c r="C1121" s="3" t="s">
        <v>33</v>
      </c>
      <c r="D1121" s="3">
        <v>33308.48</v>
      </c>
      <c r="E1121" s="3">
        <v>39840.48</v>
      </c>
      <c r="F1121" s="3">
        <v>9202.94032285929</v>
      </c>
      <c r="G1121" s="3">
        <v>17187.87</v>
      </c>
      <c r="H1121" s="3">
        <v>78912.0</v>
      </c>
      <c r="I1121" s="3">
        <v>67623.5490205847</v>
      </c>
      <c r="J1121" s="3" t="s">
        <v>1016</v>
      </c>
      <c r="K1121" s="3">
        <v>20.0</v>
      </c>
      <c r="L1121" s="3" t="s">
        <v>31</v>
      </c>
    </row>
    <row r="1122" ht="15.75" customHeight="1">
      <c r="A1122" s="3" t="s">
        <v>1193</v>
      </c>
      <c r="B1122" s="3" t="s">
        <v>13</v>
      </c>
      <c r="C1122" s="3" t="s">
        <v>33</v>
      </c>
      <c r="D1122" s="3">
        <v>87548.46</v>
      </c>
      <c r="E1122" s="3">
        <v>24977.72</v>
      </c>
      <c r="F1122" s="3">
        <v>9210.62032628879</v>
      </c>
      <c r="G1122" s="3">
        <v>1430.95</v>
      </c>
      <c r="H1122" s="3">
        <v>117246.34</v>
      </c>
      <c r="I1122" s="3">
        <v>67626.9304950045</v>
      </c>
      <c r="J1122" s="3" t="s">
        <v>1018</v>
      </c>
      <c r="K1122" s="3">
        <v>20.0</v>
      </c>
      <c r="L1122" s="3" t="s">
        <v>34</v>
      </c>
    </row>
    <row r="1123" ht="15.75" customHeight="1">
      <c r="A1123" s="3" t="s">
        <v>1194</v>
      </c>
      <c r="B1123" s="3" t="s">
        <v>25</v>
      </c>
      <c r="C1123" s="3" t="s">
        <v>14</v>
      </c>
      <c r="D1123" s="3">
        <v>113356.65</v>
      </c>
      <c r="E1123" s="3">
        <v>15769.88</v>
      </c>
      <c r="F1123" s="3">
        <v>9225.98033314778</v>
      </c>
      <c r="G1123" s="3">
        <v>12377.06</v>
      </c>
      <c r="H1123" s="3">
        <v>129933.03</v>
      </c>
      <c r="I1123" s="3">
        <v>67633.6934438441</v>
      </c>
      <c r="J1123" s="3" t="s">
        <v>1031</v>
      </c>
      <c r="K1123" s="3">
        <v>21.0</v>
      </c>
      <c r="L1123" s="3" t="s">
        <v>40</v>
      </c>
    </row>
    <row r="1124" ht="15.75" customHeight="1">
      <c r="A1124" s="3" t="s">
        <v>1195</v>
      </c>
      <c r="B1124" s="3" t="s">
        <v>51</v>
      </c>
      <c r="C1124" s="3" t="s">
        <v>18</v>
      </c>
      <c r="D1124" s="3">
        <v>29439.7</v>
      </c>
      <c r="E1124" s="3">
        <v>15006.78</v>
      </c>
      <c r="F1124" s="3">
        <v>9233.66033657728</v>
      </c>
      <c r="G1124" s="3">
        <v>3091.58</v>
      </c>
      <c r="H1124" s="3">
        <v>46341.85</v>
      </c>
      <c r="I1124" s="3">
        <v>67637.0749182639</v>
      </c>
      <c r="J1124" s="3" t="s">
        <v>1023</v>
      </c>
      <c r="K1124" s="3">
        <v>17.0</v>
      </c>
      <c r="L1124" s="3" t="s">
        <v>42</v>
      </c>
    </row>
    <row r="1125" ht="15.75" customHeight="1">
      <c r="A1125" s="3" t="s">
        <v>1196</v>
      </c>
      <c r="B1125" s="3" t="s">
        <v>17</v>
      </c>
      <c r="C1125" s="3" t="s">
        <v>30</v>
      </c>
      <c r="D1125" s="3">
        <v>50811.97</v>
      </c>
      <c r="E1125" s="3">
        <v>18497.33</v>
      </c>
      <c r="F1125" s="3">
        <v>9241.34034000678</v>
      </c>
      <c r="G1125" s="3">
        <v>7309.09</v>
      </c>
      <c r="H1125" s="3">
        <v>69445.06</v>
      </c>
      <c r="I1125" s="3">
        <v>67640.4563926837</v>
      </c>
      <c r="J1125" s="3" t="s">
        <v>1034</v>
      </c>
      <c r="K1125" s="3">
        <v>23.0</v>
      </c>
      <c r="L1125" s="3" t="s">
        <v>15</v>
      </c>
    </row>
    <row r="1126" ht="15.75" customHeight="1">
      <c r="A1126" s="3" t="s">
        <v>1197</v>
      </c>
      <c r="B1126" s="3" t="s">
        <v>13</v>
      </c>
      <c r="C1126" s="3" t="s">
        <v>26</v>
      </c>
      <c r="D1126" s="3">
        <v>26914.72</v>
      </c>
      <c r="E1126" s="3">
        <v>28210.26</v>
      </c>
      <c r="F1126" s="3">
        <v>9249.02034343628</v>
      </c>
      <c r="G1126" s="3">
        <v>22312.7</v>
      </c>
      <c r="H1126" s="3">
        <v>58183.84</v>
      </c>
      <c r="I1126" s="3">
        <v>67643.8378671035</v>
      </c>
      <c r="J1126" s="3" t="s">
        <v>1012</v>
      </c>
      <c r="K1126" s="3">
        <v>25.0</v>
      </c>
      <c r="L1126" s="3" t="s">
        <v>19</v>
      </c>
    </row>
    <row r="1127" ht="15.75" customHeight="1">
      <c r="A1127" s="3" t="s">
        <v>1198</v>
      </c>
      <c r="B1127" s="3" t="s">
        <v>13</v>
      </c>
      <c r="C1127" s="3" t="s">
        <v>26</v>
      </c>
      <c r="D1127" s="3">
        <v>112092.83</v>
      </c>
      <c r="E1127" s="3">
        <v>28558.9</v>
      </c>
      <c r="F1127" s="3">
        <v>9256.70034686577</v>
      </c>
      <c r="G1127" s="3">
        <v>13974.72</v>
      </c>
      <c r="H1127" s="3">
        <v>142031.53</v>
      </c>
      <c r="I1127" s="3">
        <v>67647.2193415233</v>
      </c>
      <c r="J1127" s="3" t="s">
        <v>1014</v>
      </c>
      <c r="K1127" s="3">
        <v>16.0</v>
      </c>
      <c r="L1127" s="3" t="s">
        <v>21</v>
      </c>
    </row>
    <row r="1128" ht="15.75" customHeight="1">
      <c r="A1128" s="3" t="s">
        <v>1199</v>
      </c>
      <c r="B1128" s="3" t="s">
        <v>13</v>
      </c>
      <c r="C1128" s="3" t="s">
        <v>14</v>
      </c>
      <c r="D1128" s="3">
        <v>107120.63</v>
      </c>
      <c r="E1128" s="3">
        <v>15348.62</v>
      </c>
      <c r="F1128" s="3">
        <v>9264.38035029527</v>
      </c>
      <c r="G1128" s="3">
        <v>10628.71</v>
      </c>
      <c r="H1128" s="3">
        <v>142385.3</v>
      </c>
      <c r="I1128" s="3">
        <v>67650.6008159432</v>
      </c>
      <c r="J1128" s="3" t="s">
        <v>1014</v>
      </c>
      <c r="K1128" s="3">
        <v>25.0</v>
      </c>
      <c r="L1128" s="3" t="s">
        <v>23</v>
      </c>
    </row>
    <row r="1129" ht="15.75" customHeight="1">
      <c r="A1129" s="3" t="s">
        <v>1200</v>
      </c>
      <c r="B1129" s="3" t="s">
        <v>51</v>
      </c>
      <c r="C1129" s="3" t="s">
        <v>14</v>
      </c>
      <c r="D1129" s="3">
        <v>42083.87</v>
      </c>
      <c r="E1129" s="3">
        <v>8795.56</v>
      </c>
      <c r="F1129" s="3">
        <v>9272.06035372477</v>
      </c>
      <c r="G1129" s="3">
        <v>2280.71</v>
      </c>
      <c r="H1129" s="3">
        <v>56655.63</v>
      </c>
      <c r="I1129" s="3">
        <v>67653.982290363</v>
      </c>
      <c r="J1129" s="3" t="s">
        <v>1018</v>
      </c>
      <c r="K1129" s="3">
        <v>17.0</v>
      </c>
      <c r="L1129" s="3" t="s">
        <v>27</v>
      </c>
    </row>
    <row r="1130" ht="15.75" customHeight="1">
      <c r="A1130" s="3" t="s">
        <v>1201</v>
      </c>
      <c r="B1130" s="3" t="s">
        <v>51</v>
      </c>
      <c r="C1130" s="3" t="s">
        <v>14</v>
      </c>
      <c r="D1130" s="3">
        <v>84298.32</v>
      </c>
      <c r="E1130" s="3">
        <v>26766.27</v>
      </c>
      <c r="F1130" s="3">
        <v>9279.74035715427</v>
      </c>
      <c r="G1130" s="3">
        <v>17995.98</v>
      </c>
      <c r="H1130" s="3">
        <v>114049.95</v>
      </c>
      <c r="I1130" s="3">
        <v>67657.3637647828</v>
      </c>
      <c r="J1130" s="3" t="s">
        <v>1202</v>
      </c>
      <c r="K1130" s="3">
        <v>6.0</v>
      </c>
      <c r="L1130" s="3" t="s">
        <v>31</v>
      </c>
    </row>
    <row r="1131" ht="15.75" customHeight="1">
      <c r="A1131" s="3" t="s">
        <v>1203</v>
      </c>
      <c r="B1131" s="3" t="s">
        <v>36</v>
      </c>
      <c r="C1131" s="3" t="s">
        <v>26</v>
      </c>
      <c r="D1131" s="3">
        <v>100808.33</v>
      </c>
      <c r="E1131" s="3">
        <v>8619.73</v>
      </c>
      <c r="F1131" s="3">
        <v>9287.42036058376</v>
      </c>
      <c r="G1131" s="3">
        <v>17719.85</v>
      </c>
      <c r="H1131" s="3">
        <v>114247.99</v>
      </c>
      <c r="I1131" s="3">
        <v>67660.7452392026</v>
      </c>
      <c r="J1131" s="3" t="s">
        <v>1040</v>
      </c>
      <c r="K1131" s="3">
        <v>3.0</v>
      </c>
      <c r="L1131" s="3" t="s">
        <v>34</v>
      </c>
    </row>
    <row r="1132" ht="15.75" customHeight="1">
      <c r="A1132" s="3" t="s">
        <v>1204</v>
      </c>
      <c r="B1132" s="3" t="s">
        <v>51</v>
      </c>
      <c r="C1132" s="3" t="s">
        <v>18</v>
      </c>
      <c r="D1132" s="3">
        <v>73296.09</v>
      </c>
      <c r="E1132" s="3">
        <v>24825.73</v>
      </c>
      <c r="F1132" s="3">
        <v>9295.10036401325</v>
      </c>
      <c r="G1132" s="3">
        <v>15544.07</v>
      </c>
      <c r="H1132" s="3">
        <v>116844.33</v>
      </c>
      <c r="I1132" s="3">
        <v>67664.1267136224</v>
      </c>
      <c r="J1132" s="3" t="s">
        <v>1016</v>
      </c>
      <c r="K1132" s="3">
        <v>20.0</v>
      </c>
      <c r="L1132" s="3" t="s">
        <v>38</v>
      </c>
    </row>
    <row r="1133" ht="15.75" customHeight="1">
      <c r="A1133" s="3" t="s">
        <v>1205</v>
      </c>
      <c r="B1133" s="3" t="s">
        <v>51</v>
      </c>
      <c r="C1133" s="3" t="s">
        <v>26</v>
      </c>
      <c r="D1133" s="3">
        <v>70613.31</v>
      </c>
      <c r="E1133" s="3">
        <v>28963.2</v>
      </c>
      <c r="F1133" s="3">
        <v>9302.78036744276</v>
      </c>
      <c r="G1133" s="3">
        <v>13001.43</v>
      </c>
      <c r="H1133" s="3">
        <v>109979.71</v>
      </c>
      <c r="I1133" s="3">
        <v>67667.5081880422</v>
      </c>
      <c r="J1133" s="3" t="s">
        <v>1034</v>
      </c>
      <c r="K1133" s="3">
        <v>24.0</v>
      </c>
      <c r="L1133" s="3" t="s">
        <v>40</v>
      </c>
    </row>
    <row r="1134" ht="15.75" customHeight="1">
      <c r="A1134" s="3" t="s">
        <v>1206</v>
      </c>
      <c r="B1134" s="3" t="s">
        <v>13</v>
      </c>
      <c r="C1134" s="3" t="s">
        <v>18</v>
      </c>
      <c r="D1134" s="3">
        <v>40394.49</v>
      </c>
      <c r="E1134" s="3">
        <v>29222.01</v>
      </c>
      <c r="F1134" s="3">
        <v>9310.46037087226</v>
      </c>
      <c r="G1134" s="3">
        <v>11127.72</v>
      </c>
      <c r="H1134" s="3">
        <v>76912.86</v>
      </c>
      <c r="I1134" s="3">
        <v>67670.8896624621</v>
      </c>
      <c r="J1134" s="3" t="s">
        <v>1016</v>
      </c>
      <c r="K1134" s="3">
        <v>4.0</v>
      </c>
      <c r="L1134" s="3" t="s">
        <v>42</v>
      </c>
    </row>
    <row r="1135" ht="15.75" customHeight="1">
      <c r="A1135" s="3" t="s">
        <v>1207</v>
      </c>
      <c r="B1135" s="3" t="s">
        <v>29</v>
      </c>
      <c r="C1135" s="3" t="s">
        <v>14</v>
      </c>
      <c r="D1135" s="3">
        <v>24775.79</v>
      </c>
      <c r="E1135" s="3">
        <v>31125.0</v>
      </c>
      <c r="F1135" s="3">
        <v>9318.14037430175</v>
      </c>
      <c r="G1135" s="3">
        <v>15035.14</v>
      </c>
      <c r="H1135" s="3">
        <v>73368.62</v>
      </c>
      <c r="I1135" s="3">
        <v>67674.2711368819</v>
      </c>
      <c r="J1135" s="3" t="s">
        <v>1031</v>
      </c>
      <c r="K1135" s="3">
        <v>8.0</v>
      </c>
      <c r="L1135" s="3" t="s">
        <v>15</v>
      </c>
    </row>
    <row r="1136" ht="15.75" customHeight="1">
      <c r="A1136" s="3" t="s">
        <v>1208</v>
      </c>
      <c r="B1136" s="3" t="s">
        <v>17</v>
      </c>
      <c r="C1136" s="3" t="s">
        <v>33</v>
      </c>
      <c r="D1136" s="3">
        <v>109207.65</v>
      </c>
      <c r="E1136" s="3">
        <v>35422.94</v>
      </c>
      <c r="F1136" s="3">
        <v>9325.82037773124</v>
      </c>
      <c r="G1136" s="3">
        <v>6218.19</v>
      </c>
      <c r="H1136" s="3">
        <v>152530.4</v>
      </c>
      <c r="I1136" s="3">
        <v>67677.6526113017</v>
      </c>
      <c r="J1136" s="3" t="s">
        <v>1034</v>
      </c>
      <c r="K1136" s="3">
        <v>20.0</v>
      </c>
      <c r="L1136" s="3" t="s">
        <v>19</v>
      </c>
    </row>
    <row r="1137" ht="15.75" customHeight="1">
      <c r="A1137" s="3" t="s">
        <v>1209</v>
      </c>
      <c r="B1137" s="3" t="s">
        <v>53</v>
      </c>
      <c r="C1137" s="3" t="s">
        <v>14</v>
      </c>
      <c r="D1137" s="3">
        <v>109543.9</v>
      </c>
      <c r="E1137" s="3">
        <v>21998.52</v>
      </c>
      <c r="F1137" s="3">
        <v>9333.50038116075</v>
      </c>
      <c r="G1137" s="3">
        <v>23560.85</v>
      </c>
      <c r="H1137" s="3">
        <v>138242.59</v>
      </c>
      <c r="I1137" s="3">
        <v>67681.0340857215</v>
      </c>
      <c r="J1137" s="3" t="s">
        <v>1026</v>
      </c>
      <c r="K1137" s="3">
        <v>9.0</v>
      </c>
      <c r="L1137" s="3" t="s">
        <v>21</v>
      </c>
    </row>
    <row r="1138" ht="15.75" customHeight="1">
      <c r="A1138" s="3" t="s">
        <v>1210</v>
      </c>
      <c r="B1138" s="3" t="s">
        <v>53</v>
      </c>
      <c r="C1138" s="3" t="s">
        <v>26</v>
      </c>
      <c r="D1138" s="3">
        <v>50598.13</v>
      </c>
      <c r="E1138" s="3">
        <v>26290.22</v>
      </c>
      <c r="F1138" s="3">
        <v>9348.86038801974</v>
      </c>
      <c r="G1138" s="3">
        <v>8124.21</v>
      </c>
      <c r="H1138" s="3">
        <v>84444.29</v>
      </c>
      <c r="I1138" s="3">
        <v>67687.7970345611</v>
      </c>
      <c r="J1138" s="3" t="s">
        <v>1062</v>
      </c>
      <c r="K1138" s="3">
        <v>1.0</v>
      </c>
      <c r="L1138" s="3" t="s">
        <v>27</v>
      </c>
    </row>
    <row r="1139" ht="15.75" customHeight="1">
      <c r="A1139" s="3" t="s">
        <v>1211</v>
      </c>
      <c r="B1139" s="3" t="s">
        <v>29</v>
      </c>
      <c r="C1139" s="3" t="s">
        <v>30</v>
      </c>
      <c r="D1139" s="3">
        <v>51667.01</v>
      </c>
      <c r="E1139" s="3">
        <v>10719.04</v>
      </c>
      <c r="F1139" s="3">
        <v>9356.54039144923</v>
      </c>
      <c r="G1139" s="3">
        <v>11517.16</v>
      </c>
      <c r="H1139" s="3">
        <v>68719.74</v>
      </c>
      <c r="I1139" s="3">
        <v>67691.1785089809</v>
      </c>
      <c r="J1139" s="3" t="s">
        <v>1016</v>
      </c>
      <c r="K1139" s="3">
        <v>13.0</v>
      </c>
      <c r="L1139" s="3" t="s">
        <v>31</v>
      </c>
    </row>
    <row r="1140" ht="15.75" customHeight="1">
      <c r="A1140" s="3" t="s">
        <v>1212</v>
      </c>
      <c r="B1140" s="3" t="s">
        <v>17</v>
      </c>
      <c r="C1140" s="3" t="s">
        <v>54</v>
      </c>
      <c r="D1140" s="3">
        <v>91225.35</v>
      </c>
      <c r="E1140" s="3">
        <v>4924.83</v>
      </c>
      <c r="F1140" s="3">
        <v>9364.22039487874</v>
      </c>
      <c r="G1140" s="3">
        <v>20239.28</v>
      </c>
      <c r="H1140" s="3">
        <v>109696.26</v>
      </c>
      <c r="I1140" s="3">
        <v>67694.5599834008</v>
      </c>
      <c r="J1140" s="3" t="s">
        <v>1016</v>
      </c>
      <c r="K1140" s="3">
        <v>2.0</v>
      </c>
      <c r="L1140" s="3" t="s">
        <v>34</v>
      </c>
    </row>
    <row r="1141" ht="15.75" customHeight="1">
      <c r="A1141" s="3" t="s">
        <v>1213</v>
      </c>
      <c r="B1141" s="3" t="s">
        <v>36</v>
      </c>
      <c r="C1141" s="3" t="s">
        <v>54</v>
      </c>
      <c r="D1141" s="3">
        <v>109196.58</v>
      </c>
      <c r="E1141" s="3">
        <v>14243.49</v>
      </c>
      <c r="F1141" s="3">
        <v>9371.90039830823</v>
      </c>
      <c r="G1141" s="3">
        <v>4459.59</v>
      </c>
      <c r="H1141" s="3">
        <v>129231.72</v>
      </c>
      <c r="I1141" s="3">
        <v>67697.9414578206</v>
      </c>
      <c r="J1141" s="3" t="s">
        <v>1034</v>
      </c>
      <c r="K1141" s="3">
        <v>23.0</v>
      </c>
      <c r="L1141" s="3" t="s">
        <v>38</v>
      </c>
    </row>
    <row r="1142" ht="15.75" customHeight="1">
      <c r="A1142" s="3" t="s">
        <v>1214</v>
      </c>
      <c r="B1142" s="3" t="s">
        <v>53</v>
      </c>
      <c r="C1142" s="3" t="s">
        <v>14</v>
      </c>
      <c r="D1142" s="3">
        <v>108144.07</v>
      </c>
      <c r="E1142" s="3">
        <v>19949.21</v>
      </c>
      <c r="F1142" s="3">
        <v>9379.58040173773</v>
      </c>
      <c r="G1142" s="3">
        <v>7674.47</v>
      </c>
      <c r="H1142" s="3">
        <v>139637.27</v>
      </c>
      <c r="I1142" s="3">
        <v>67701.3229322404</v>
      </c>
      <c r="J1142" s="3" t="s">
        <v>1018</v>
      </c>
      <c r="K1142" s="3">
        <v>10.0</v>
      </c>
      <c r="L1142" s="3" t="s">
        <v>40</v>
      </c>
    </row>
    <row r="1143" ht="15.75" customHeight="1">
      <c r="A1143" s="3" t="s">
        <v>1215</v>
      </c>
      <c r="B1143" s="3" t="s">
        <v>25</v>
      </c>
      <c r="C1143" s="3" t="s">
        <v>18</v>
      </c>
      <c r="D1143" s="3">
        <v>96886.93</v>
      </c>
      <c r="E1143" s="3">
        <v>26215.81</v>
      </c>
      <c r="F1143" s="3">
        <v>9387.26040516723</v>
      </c>
      <c r="G1143" s="3">
        <v>17147.95</v>
      </c>
      <c r="H1143" s="3">
        <v>124420.58</v>
      </c>
      <c r="I1143" s="3">
        <v>67704.7044066602</v>
      </c>
      <c r="J1143" s="3" t="s">
        <v>1012</v>
      </c>
      <c r="K1143" s="3">
        <v>23.0</v>
      </c>
      <c r="L1143" s="3" t="s">
        <v>42</v>
      </c>
    </row>
    <row r="1144" ht="15.75" customHeight="1">
      <c r="A1144" s="3" t="s">
        <v>1216</v>
      </c>
      <c r="B1144" s="3" t="s">
        <v>51</v>
      </c>
      <c r="C1144" s="3" t="s">
        <v>14</v>
      </c>
      <c r="D1144" s="3">
        <v>82413.32</v>
      </c>
      <c r="E1144" s="3">
        <v>34598.54</v>
      </c>
      <c r="F1144" s="3">
        <v>9394.94040859673</v>
      </c>
      <c r="G1144" s="3">
        <v>8229.49</v>
      </c>
      <c r="H1144" s="3">
        <v>120837.64</v>
      </c>
      <c r="I1144" s="3">
        <v>67708.08588108</v>
      </c>
      <c r="J1144" s="3" t="s">
        <v>1031</v>
      </c>
      <c r="K1144" s="3">
        <v>19.0</v>
      </c>
      <c r="L1144" s="3" t="s">
        <v>15</v>
      </c>
    </row>
    <row r="1145" ht="15.75" customHeight="1">
      <c r="A1145" s="3" t="s">
        <v>1217</v>
      </c>
      <c r="B1145" s="3" t="s">
        <v>17</v>
      </c>
      <c r="C1145" s="3" t="s">
        <v>37</v>
      </c>
      <c r="D1145" s="3">
        <v>23834.7</v>
      </c>
      <c r="E1145" s="3">
        <v>11064.85</v>
      </c>
      <c r="F1145" s="3">
        <v>9402.62041202622</v>
      </c>
      <c r="G1145" s="3">
        <v>19916.29</v>
      </c>
      <c r="H1145" s="3">
        <v>43047.66</v>
      </c>
      <c r="I1145" s="3">
        <v>67711.4673554998</v>
      </c>
      <c r="J1145" s="3" t="s">
        <v>1031</v>
      </c>
      <c r="K1145" s="3">
        <v>17.0</v>
      </c>
      <c r="L1145" s="3" t="s">
        <v>19</v>
      </c>
    </row>
    <row r="1146" ht="15.75" customHeight="1">
      <c r="A1146" s="3" t="s">
        <v>1218</v>
      </c>
      <c r="B1146" s="3" t="s">
        <v>17</v>
      </c>
      <c r="C1146" s="3" t="s">
        <v>14</v>
      </c>
      <c r="D1146" s="3">
        <v>31971.01</v>
      </c>
      <c r="E1146" s="3">
        <v>8519.79</v>
      </c>
      <c r="F1146" s="3">
        <v>9410.30041545572</v>
      </c>
      <c r="G1146" s="3">
        <v>3696.11</v>
      </c>
      <c r="H1146" s="3">
        <v>59229.79</v>
      </c>
      <c r="I1146" s="3">
        <v>67714.8488299196</v>
      </c>
      <c r="J1146" s="3" t="s">
        <v>1062</v>
      </c>
      <c r="K1146" s="3">
        <v>24.0</v>
      </c>
      <c r="L1146" s="3" t="s">
        <v>21</v>
      </c>
    </row>
    <row r="1147" ht="15.75" customHeight="1">
      <c r="A1147" s="3" t="s">
        <v>1219</v>
      </c>
      <c r="B1147" s="3" t="s">
        <v>17</v>
      </c>
      <c r="C1147" s="3" t="s">
        <v>14</v>
      </c>
      <c r="D1147" s="3">
        <v>109348.19</v>
      </c>
      <c r="E1147" s="3">
        <v>38685.28</v>
      </c>
      <c r="F1147" s="3">
        <v>9417.98041888522</v>
      </c>
      <c r="G1147" s="3">
        <v>19185.81</v>
      </c>
      <c r="H1147" s="3">
        <v>155578.51</v>
      </c>
      <c r="I1147" s="3">
        <v>67718.2303043395</v>
      </c>
      <c r="J1147" s="3" t="s">
        <v>1026</v>
      </c>
      <c r="K1147" s="3">
        <v>13.0</v>
      </c>
      <c r="L1147" s="3" t="s">
        <v>23</v>
      </c>
    </row>
    <row r="1148" ht="15.75" customHeight="1">
      <c r="A1148" s="3" t="s">
        <v>1220</v>
      </c>
      <c r="B1148" s="3" t="s">
        <v>17</v>
      </c>
      <c r="C1148" s="3" t="s">
        <v>37</v>
      </c>
      <c r="D1148" s="3">
        <v>78675.0</v>
      </c>
      <c r="E1148" s="3">
        <v>19551.3597524047</v>
      </c>
      <c r="F1148" s="3">
        <v>9425.66042231471</v>
      </c>
      <c r="G1148" s="3">
        <v>11003.8274701535</v>
      </c>
      <c r="H1148" s="3">
        <v>31206.9832039917</v>
      </c>
      <c r="I1148" s="3">
        <v>67031.7909971171</v>
      </c>
      <c r="J1148" s="4">
        <v>45992.0</v>
      </c>
      <c r="K1148" s="3">
        <v>23.0</v>
      </c>
      <c r="L1148" s="3" t="s">
        <v>27</v>
      </c>
    </row>
    <row r="1149" ht="15.75" customHeight="1">
      <c r="A1149" s="3" t="s">
        <v>1221</v>
      </c>
      <c r="B1149" s="3" t="s">
        <v>13</v>
      </c>
      <c r="C1149" s="3" t="s">
        <v>14</v>
      </c>
      <c r="D1149" s="3">
        <v>20500.0</v>
      </c>
      <c r="E1149" s="3">
        <v>19555.9744707321</v>
      </c>
      <c r="F1149" s="3">
        <v>9433.34042574421</v>
      </c>
      <c r="G1149" s="3">
        <v>11007.2250208408</v>
      </c>
      <c r="H1149" s="3">
        <v>31157.4794862426</v>
      </c>
      <c r="I1149" s="3">
        <v>67035.1724715369</v>
      </c>
      <c r="J1149" s="4">
        <v>45658.0</v>
      </c>
      <c r="K1149" s="3">
        <v>18.0</v>
      </c>
      <c r="L1149" s="3" t="s">
        <v>31</v>
      </c>
    </row>
    <row r="1150" ht="15.75" customHeight="1">
      <c r="A1150" s="3" t="s">
        <v>1222</v>
      </c>
      <c r="B1150" s="3" t="s">
        <v>17</v>
      </c>
      <c r="C1150" s="3" t="s">
        <v>18</v>
      </c>
      <c r="D1150" s="3">
        <v>21000.0</v>
      </c>
      <c r="E1150" s="3">
        <v>19560.5891890595</v>
      </c>
      <c r="F1150" s="3">
        <v>9441.02042917371</v>
      </c>
      <c r="G1150" s="3">
        <v>11010.6225715281</v>
      </c>
      <c r="H1150" s="3">
        <v>31107.9757684934</v>
      </c>
      <c r="I1150" s="3">
        <v>67038.5539459568</v>
      </c>
      <c r="J1150" s="4">
        <v>45748.0</v>
      </c>
      <c r="K1150" s="3">
        <v>13.0</v>
      </c>
      <c r="L1150" s="3" t="s">
        <v>34</v>
      </c>
    </row>
    <row r="1151" ht="15.75" customHeight="1">
      <c r="A1151" s="3" t="s">
        <v>1223</v>
      </c>
      <c r="B1151" s="3" t="s">
        <v>17</v>
      </c>
      <c r="C1151" s="3" t="s">
        <v>14</v>
      </c>
      <c r="D1151" s="3">
        <v>21500.0</v>
      </c>
      <c r="E1151" s="3">
        <v>19565.2039073869</v>
      </c>
      <c r="F1151" s="3">
        <v>9448.70043260321</v>
      </c>
      <c r="G1151" s="3">
        <v>11014.0201222154</v>
      </c>
      <c r="H1151" s="3">
        <v>31058.4720507443</v>
      </c>
      <c r="I1151" s="3">
        <v>67041.9354203766</v>
      </c>
      <c r="J1151" s="4">
        <v>45778.0</v>
      </c>
      <c r="K1151" s="3">
        <v>8.0</v>
      </c>
      <c r="L1151" s="3" t="s">
        <v>38</v>
      </c>
    </row>
    <row r="1152" ht="15.75" customHeight="1">
      <c r="A1152" s="3" t="s">
        <v>1224</v>
      </c>
      <c r="B1152" s="3" t="s">
        <v>13</v>
      </c>
      <c r="C1152" s="3" t="s">
        <v>18</v>
      </c>
      <c r="D1152" s="3">
        <v>21500.0</v>
      </c>
      <c r="E1152" s="3">
        <v>19569.8186257144</v>
      </c>
      <c r="F1152" s="3">
        <v>9456.3804360327</v>
      </c>
      <c r="G1152" s="3">
        <v>11017.4176729027</v>
      </c>
      <c r="H1152" s="3">
        <v>31008.9683329952</v>
      </c>
      <c r="I1152" s="3">
        <v>67045.3168947964</v>
      </c>
      <c r="J1152" s="4">
        <v>45809.0</v>
      </c>
      <c r="K1152" s="3">
        <v>12.0</v>
      </c>
      <c r="L1152" s="3" t="s">
        <v>40</v>
      </c>
    </row>
    <row r="1153" ht="15.75" customHeight="1">
      <c r="A1153" s="3" t="s">
        <v>1225</v>
      </c>
      <c r="B1153" s="3" t="s">
        <v>25</v>
      </c>
      <c r="C1153" s="3" t="s">
        <v>26</v>
      </c>
      <c r="D1153" s="3">
        <v>312740.0</v>
      </c>
      <c r="E1153" s="3">
        <v>19574.4333440418</v>
      </c>
      <c r="F1153" s="3">
        <v>9464.0604394622</v>
      </c>
      <c r="G1153" s="3">
        <v>11020.81522359</v>
      </c>
      <c r="H1153" s="3">
        <v>30959.464615246</v>
      </c>
      <c r="I1153" s="3">
        <v>67048.6983692162</v>
      </c>
      <c r="J1153" s="4">
        <v>45839.0</v>
      </c>
      <c r="K1153" s="3">
        <v>7.0</v>
      </c>
      <c r="L1153" s="3" t="s">
        <v>42</v>
      </c>
    </row>
    <row r="1154" ht="15.75" customHeight="1">
      <c r="A1154" s="3" t="s">
        <v>1226</v>
      </c>
      <c r="B1154" s="3" t="s">
        <v>29</v>
      </c>
      <c r="C1154" s="3" t="s">
        <v>30</v>
      </c>
      <c r="D1154" s="3">
        <v>61325.3857745964</v>
      </c>
      <c r="E1154" s="3">
        <v>19579.0480623692</v>
      </c>
      <c r="F1154" s="3">
        <v>9471.7404428917</v>
      </c>
      <c r="G1154" s="3">
        <v>11024.2127742772</v>
      </c>
      <c r="H1154" s="3">
        <v>30909.9608974969</v>
      </c>
      <c r="I1154" s="3">
        <v>67052.079843636</v>
      </c>
      <c r="J1154" s="4">
        <v>45992.0</v>
      </c>
      <c r="K1154" s="3">
        <v>19.0</v>
      </c>
      <c r="L1154" s="3" t="s">
        <v>15</v>
      </c>
    </row>
    <row r="1155" ht="15.75" customHeight="1">
      <c r="A1155" s="3" t="s">
        <v>1227</v>
      </c>
      <c r="B1155" s="3" t="s">
        <v>17</v>
      </c>
      <c r="C1155" s="3" t="s">
        <v>33</v>
      </c>
      <c r="D1155" s="3">
        <v>61336.2687445026</v>
      </c>
      <c r="E1155" s="3">
        <v>19583.6627806966</v>
      </c>
      <c r="F1155" s="3">
        <v>9479.4204463212</v>
      </c>
      <c r="G1155" s="3">
        <v>11027.6103249645</v>
      </c>
      <c r="H1155" s="3">
        <v>30860.4571797478</v>
      </c>
      <c r="I1155" s="3">
        <v>67055.4613180558</v>
      </c>
      <c r="J1155" s="4">
        <v>45778.0</v>
      </c>
      <c r="K1155" s="3">
        <v>15.0</v>
      </c>
      <c r="L1155" s="3" t="s">
        <v>19</v>
      </c>
    </row>
    <row r="1156" ht="15.75" customHeight="1">
      <c r="A1156" s="3" t="s">
        <v>1228</v>
      </c>
      <c r="B1156" s="3" t="s">
        <v>36</v>
      </c>
      <c r="C1156" s="3" t="s">
        <v>37</v>
      </c>
      <c r="D1156" s="3">
        <v>61347.1517144088</v>
      </c>
      <c r="E1156" s="3">
        <v>19588.2774990241</v>
      </c>
      <c r="F1156" s="3">
        <v>9487.10044975069</v>
      </c>
      <c r="G1156" s="3">
        <v>11031.0078756518</v>
      </c>
      <c r="H1156" s="3">
        <v>30810.9534619987</v>
      </c>
      <c r="I1156" s="3">
        <v>67058.8427924756</v>
      </c>
      <c r="J1156" s="4">
        <v>45992.0</v>
      </c>
      <c r="K1156" s="3">
        <v>9.0</v>
      </c>
      <c r="L1156" s="3" t="s">
        <v>21</v>
      </c>
    </row>
    <row r="1157" ht="15.75" customHeight="1">
      <c r="A1157" s="3" t="s">
        <v>1229</v>
      </c>
      <c r="B1157" s="3" t="s">
        <v>25</v>
      </c>
      <c r="C1157" s="3" t="s">
        <v>18</v>
      </c>
      <c r="D1157" s="3">
        <v>61358.034684315</v>
      </c>
      <c r="E1157" s="3">
        <v>19592.8922173515</v>
      </c>
      <c r="F1157" s="3">
        <v>9494.78045318018</v>
      </c>
      <c r="G1157" s="3">
        <v>11034.4054263391</v>
      </c>
      <c r="H1157" s="3">
        <v>30761.4497442495</v>
      </c>
      <c r="I1157" s="3">
        <v>67062.2242668955</v>
      </c>
      <c r="J1157" s="4">
        <v>45748.0</v>
      </c>
      <c r="K1157" s="3">
        <v>21.0</v>
      </c>
      <c r="L1157" s="3" t="s">
        <v>23</v>
      </c>
    </row>
    <row r="1158" ht="15.75" customHeight="1">
      <c r="A1158" s="3" t="s">
        <v>1230</v>
      </c>
      <c r="B1158" s="3" t="s">
        <v>17</v>
      </c>
      <c r="C1158" s="3" t="s">
        <v>14</v>
      </c>
      <c r="D1158" s="3">
        <v>61368.9176542212</v>
      </c>
      <c r="E1158" s="3">
        <v>19597.5069356789</v>
      </c>
      <c r="F1158" s="3">
        <v>9502.46045660969</v>
      </c>
      <c r="G1158" s="3">
        <v>11037.8029770264</v>
      </c>
      <c r="H1158" s="3">
        <v>50331.1146771948</v>
      </c>
      <c r="I1158" s="3">
        <v>55331.1146771948</v>
      </c>
      <c r="J1158" s="4">
        <v>45717.0</v>
      </c>
      <c r="K1158" s="3">
        <v>13.0</v>
      </c>
      <c r="L1158" s="3" t="s">
        <v>27</v>
      </c>
    </row>
    <row r="1159" ht="15.75" customHeight="1">
      <c r="A1159" s="3" t="s">
        <v>1231</v>
      </c>
      <c r="B1159" s="3" t="s">
        <v>25</v>
      </c>
      <c r="C1159" s="3" t="s">
        <v>14</v>
      </c>
      <c r="D1159" s="3">
        <v>61379.8006241274</v>
      </c>
      <c r="E1159" s="3">
        <v>19602.1216540063</v>
      </c>
      <c r="F1159" s="3">
        <v>9510.14046003918</v>
      </c>
      <c r="G1159" s="3">
        <v>11041.2005277137</v>
      </c>
      <c r="H1159" s="3">
        <v>30662.4423087513</v>
      </c>
      <c r="I1159" s="3">
        <v>67068.9872157351</v>
      </c>
      <c r="J1159" s="4">
        <v>45962.0</v>
      </c>
      <c r="K1159" s="3">
        <v>24.0</v>
      </c>
      <c r="L1159" s="3" t="s">
        <v>31</v>
      </c>
    </row>
    <row r="1160" ht="15.75" customHeight="1">
      <c r="A1160" s="3" t="s">
        <v>1232</v>
      </c>
      <c r="B1160" s="3" t="s">
        <v>29</v>
      </c>
      <c r="C1160" s="3" t="s">
        <v>33</v>
      </c>
      <c r="D1160" s="3">
        <v>61390.6835940336</v>
      </c>
      <c r="E1160" s="3">
        <v>19606.7363723337</v>
      </c>
      <c r="F1160" s="3">
        <v>9517.82046346868</v>
      </c>
      <c r="G1160" s="3">
        <v>11044.598078401</v>
      </c>
      <c r="H1160" s="3">
        <v>30612.9385910022</v>
      </c>
      <c r="I1160" s="3">
        <v>67072.3686901549</v>
      </c>
      <c r="J1160" s="4">
        <v>45870.0</v>
      </c>
      <c r="K1160" s="3">
        <v>2.0</v>
      </c>
      <c r="L1160" s="3" t="s">
        <v>34</v>
      </c>
    </row>
    <row r="1161" ht="15.75" customHeight="1">
      <c r="A1161" s="3" t="s">
        <v>1233</v>
      </c>
      <c r="B1161" s="3" t="s">
        <v>17</v>
      </c>
      <c r="C1161" s="3" t="s">
        <v>37</v>
      </c>
      <c r="D1161" s="3">
        <v>61401.5665639398</v>
      </c>
      <c r="E1161" s="3">
        <v>19611.3510906612</v>
      </c>
      <c r="F1161" s="3">
        <v>9525.50046689817</v>
      </c>
      <c r="G1161" s="3">
        <v>11047.9956290883</v>
      </c>
      <c r="H1161" s="3">
        <v>30563.434873253</v>
      </c>
      <c r="I1161" s="3">
        <v>67075.7501645747</v>
      </c>
      <c r="J1161" s="4">
        <v>45962.0</v>
      </c>
      <c r="K1161" s="3">
        <v>17.0</v>
      </c>
      <c r="L1161" s="3" t="s">
        <v>38</v>
      </c>
    </row>
    <row r="1162" ht="15.75" customHeight="1">
      <c r="A1162" s="3" t="s">
        <v>1234</v>
      </c>
      <c r="B1162" s="3" t="s">
        <v>36</v>
      </c>
      <c r="C1162" s="3" t="s">
        <v>33</v>
      </c>
      <c r="D1162" s="3">
        <v>61412.449533846</v>
      </c>
      <c r="E1162" s="3">
        <v>19615.9658089886</v>
      </c>
      <c r="F1162" s="3">
        <v>9533.18047032768</v>
      </c>
      <c r="G1162" s="3">
        <v>11051.3931797755</v>
      </c>
      <c r="H1162" s="3">
        <v>30513.9311555039</v>
      </c>
      <c r="I1162" s="3">
        <v>67079.1316389945</v>
      </c>
      <c r="J1162" s="4">
        <v>45809.0</v>
      </c>
      <c r="K1162" s="3">
        <v>15.0</v>
      </c>
      <c r="L1162" s="3" t="s">
        <v>40</v>
      </c>
    </row>
    <row r="1163" ht="15.75" customHeight="1">
      <c r="A1163" s="3" t="s">
        <v>1235</v>
      </c>
      <c r="B1163" s="3" t="s">
        <v>29</v>
      </c>
      <c r="C1163" s="3" t="s">
        <v>26</v>
      </c>
      <c r="D1163" s="3">
        <v>61423.3325037522</v>
      </c>
      <c r="E1163" s="3">
        <v>19620.580527316</v>
      </c>
      <c r="F1163" s="3">
        <v>9540.86047375717</v>
      </c>
      <c r="G1163" s="3">
        <v>11054.7907304628</v>
      </c>
      <c r="H1163" s="3">
        <v>30464.4274377548</v>
      </c>
      <c r="I1163" s="3">
        <v>67082.5131134143</v>
      </c>
      <c r="J1163" s="4">
        <v>45992.0</v>
      </c>
      <c r="K1163" s="3">
        <v>12.0</v>
      </c>
      <c r="L1163" s="3" t="s">
        <v>42</v>
      </c>
    </row>
    <row r="1164" ht="15.75" customHeight="1">
      <c r="A1164" s="3" t="s">
        <v>1236</v>
      </c>
      <c r="B1164" s="3" t="s">
        <v>36</v>
      </c>
      <c r="C1164" s="3" t="s">
        <v>33</v>
      </c>
      <c r="D1164" s="3">
        <v>61434.2154736583</v>
      </c>
      <c r="E1164" s="3">
        <v>19625.1952456434</v>
      </c>
      <c r="F1164" s="3">
        <v>9548.54047718667</v>
      </c>
      <c r="G1164" s="3">
        <v>11058.1882811501</v>
      </c>
      <c r="H1164" s="3">
        <v>30414.9237200057</v>
      </c>
      <c r="I1164" s="3">
        <v>67085.8945878342</v>
      </c>
      <c r="J1164" s="4">
        <v>45870.0</v>
      </c>
      <c r="K1164" s="3">
        <v>20.0</v>
      </c>
      <c r="L1164" s="3" t="s">
        <v>15</v>
      </c>
    </row>
    <row r="1165" ht="15.75" customHeight="1">
      <c r="A1165" s="3" t="s">
        <v>1237</v>
      </c>
      <c r="B1165" s="3" t="s">
        <v>29</v>
      </c>
      <c r="C1165" s="3" t="s">
        <v>30</v>
      </c>
      <c r="D1165" s="3">
        <v>61445.0984435645</v>
      </c>
      <c r="E1165" s="3">
        <v>19629.8099639709</v>
      </c>
      <c r="F1165" s="3">
        <v>9556.22048061616</v>
      </c>
      <c r="G1165" s="3">
        <v>11061.5858318374</v>
      </c>
      <c r="H1165" s="3">
        <v>30365.4200022565</v>
      </c>
      <c r="I1165" s="3">
        <v>67089.276062254</v>
      </c>
      <c r="J1165" s="4">
        <v>45992.0</v>
      </c>
      <c r="K1165" s="3">
        <v>2.0</v>
      </c>
      <c r="L1165" s="3" t="s">
        <v>19</v>
      </c>
    </row>
    <row r="1166" ht="15.75" customHeight="1">
      <c r="A1166" s="3" t="s">
        <v>1238</v>
      </c>
      <c r="B1166" s="3" t="s">
        <v>51</v>
      </c>
      <c r="C1166" s="3" t="s">
        <v>33</v>
      </c>
      <c r="D1166" s="3">
        <v>61455.9814134707</v>
      </c>
      <c r="E1166" s="3">
        <v>19634.4246822983</v>
      </c>
      <c r="F1166" s="3">
        <v>9563.90048404565</v>
      </c>
      <c r="G1166" s="3">
        <v>11064.9833825247</v>
      </c>
      <c r="H1166" s="3">
        <v>30315.9162845074</v>
      </c>
      <c r="I1166" s="3">
        <v>67092.6575366738</v>
      </c>
      <c r="J1166" s="4">
        <v>45717.0</v>
      </c>
      <c r="K1166" s="3">
        <v>6.0</v>
      </c>
      <c r="L1166" s="3" t="s">
        <v>21</v>
      </c>
    </row>
    <row r="1167" ht="15.75" customHeight="1">
      <c r="A1167" s="3" t="s">
        <v>1239</v>
      </c>
      <c r="B1167" s="3" t="s">
        <v>53</v>
      </c>
      <c r="C1167" s="3" t="s">
        <v>54</v>
      </c>
      <c r="D1167" s="5"/>
      <c r="E1167" s="3">
        <v>19639.0394006257</v>
      </c>
      <c r="F1167" s="3">
        <v>9571.58048747516</v>
      </c>
      <c r="G1167" s="3">
        <v>11068.380933212</v>
      </c>
      <c r="H1167" s="3">
        <v>30266.4125667583</v>
      </c>
      <c r="I1167" s="3">
        <v>67096.0390110936</v>
      </c>
      <c r="J1167" s="4">
        <v>45962.0</v>
      </c>
      <c r="K1167" s="3">
        <v>20.0</v>
      </c>
      <c r="L1167" s="3" t="s">
        <v>23</v>
      </c>
    </row>
    <row r="1168" ht="15.75" customHeight="1">
      <c r="A1168" s="3" t="s">
        <v>1240</v>
      </c>
      <c r="B1168" s="3" t="s">
        <v>53</v>
      </c>
      <c r="C1168" s="3" t="s">
        <v>54</v>
      </c>
      <c r="D1168" s="3">
        <v>61477.7473532831</v>
      </c>
      <c r="E1168" s="3">
        <v>19643.6541189531</v>
      </c>
      <c r="F1168" s="3">
        <v>9579.26049090466</v>
      </c>
      <c r="G1168" s="3">
        <v>11071.7784838993</v>
      </c>
      <c r="H1168" s="3">
        <v>30216.9088490091</v>
      </c>
      <c r="I1168" s="3">
        <v>67099.4204855134</v>
      </c>
      <c r="J1168" s="4">
        <v>45931.0</v>
      </c>
      <c r="K1168" s="3">
        <v>8.0</v>
      </c>
      <c r="L1168" s="3" t="s">
        <v>27</v>
      </c>
    </row>
    <row r="1169" ht="15.75" customHeight="1">
      <c r="A1169" s="3" t="s">
        <v>1241</v>
      </c>
      <c r="B1169" s="3" t="s">
        <v>51</v>
      </c>
      <c r="C1169" s="3" t="s">
        <v>26</v>
      </c>
      <c r="D1169" s="3">
        <v>61488.6303231893</v>
      </c>
      <c r="E1169" s="3">
        <v>19648.2688372805</v>
      </c>
      <c r="F1169" s="3">
        <v>9586.94049433416</v>
      </c>
      <c r="G1169" s="3">
        <v>11075.1760345865</v>
      </c>
      <c r="H1169" s="3">
        <v>30167.40513126</v>
      </c>
      <c r="I1169" s="3">
        <v>67102.8019599332</v>
      </c>
      <c r="J1169" s="4">
        <v>45962.0</v>
      </c>
      <c r="K1169" s="3">
        <v>23.0</v>
      </c>
      <c r="L1169" s="3" t="s">
        <v>31</v>
      </c>
    </row>
    <row r="1170" ht="15.75" customHeight="1">
      <c r="A1170" s="3" t="s">
        <v>1242</v>
      </c>
      <c r="B1170" s="3" t="s">
        <v>36</v>
      </c>
      <c r="C1170" s="3" t="s">
        <v>37</v>
      </c>
      <c r="D1170" s="3">
        <v>61499.5132930955</v>
      </c>
      <c r="E1170" s="3">
        <v>19652.883555608</v>
      </c>
      <c r="F1170" s="3">
        <v>9594.62049776364</v>
      </c>
      <c r="G1170" s="3">
        <v>11078.5735852738</v>
      </c>
      <c r="H1170" s="3">
        <v>30117.9014135109</v>
      </c>
      <c r="I1170" s="3">
        <v>67106.183434353</v>
      </c>
      <c r="J1170" s="4">
        <v>45962.0</v>
      </c>
      <c r="K1170" s="3">
        <v>11.0</v>
      </c>
      <c r="L1170" s="3" t="s">
        <v>34</v>
      </c>
    </row>
    <row r="1171" ht="15.75" customHeight="1">
      <c r="A1171" s="3" t="s">
        <v>1243</v>
      </c>
      <c r="B1171" s="3" t="s">
        <v>13</v>
      </c>
      <c r="C1171" s="3" t="s">
        <v>14</v>
      </c>
      <c r="D1171" s="3">
        <v>61510.3962630017</v>
      </c>
      <c r="E1171" s="3">
        <v>19657.4982739354</v>
      </c>
      <c r="F1171" s="3">
        <v>9602.30050119315</v>
      </c>
      <c r="G1171" s="5"/>
      <c r="H1171" s="3">
        <v>30068.3976957618</v>
      </c>
      <c r="I1171" s="3">
        <v>67109.5649087729</v>
      </c>
      <c r="J1171" s="4">
        <v>45992.0</v>
      </c>
      <c r="K1171" s="3">
        <v>20.0</v>
      </c>
      <c r="L1171" s="3" t="s">
        <v>38</v>
      </c>
    </row>
    <row r="1172" ht="15.75" customHeight="1">
      <c r="A1172" s="3" t="s">
        <v>1244</v>
      </c>
      <c r="B1172" s="3" t="s">
        <v>29</v>
      </c>
      <c r="C1172" s="3" t="s">
        <v>14</v>
      </c>
      <c r="D1172" s="3">
        <v>61521.2792329079</v>
      </c>
      <c r="E1172" s="3">
        <v>19662.1129922628</v>
      </c>
      <c r="F1172" s="3">
        <v>9609.98050462265</v>
      </c>
      <c r="G1172" s="3">
        <v>11085.3686866484</v>
      </c>
      <c r="H1172" s="3">
        <v>30018.8939780126</v>
      </c>
      <c r="I1172" s="3">
        <v>67112.9463831927</v>
      </c>
      <c r="J1172" s="4">
        <v>45689.0</v>
      </c>
      <c r="K1172" s="3">
        <v>7.0</v>
      </c>
      <c r="L1172" s="3" t="s">
        <v>40</v>
      </c>
    </row>
    <row r="1173" ht="15.75" customHeight="1">
      <c r="A1173" s="3" t="s">
        <v>1245</v>
      </c>
      <c r="B1173" s="3" t="s">
        <v>13</v>
      </c>
      <c r="C1173" s="3" t="s">
        <v>33</v>
      </c>
      <c r="D1173" s="3">
        <v>61532.1622028141</v>
      </c>
      <c r="E1173" s="3">
        <v>19666.7277105902</v>
      </c>
      <c r="F1173" s="3">
        <v>9617.66050805215</v>
      </c>
      <c r="G1173" s="3">
        <v>11088.7662373357</v>
      </c>
      <c r="H1173" s="3">
        <v>29969.3902602635</v>
      </c>
      <c r="I1173" s="3">
        <v>67116.3278576125</v>
      </c>
      <c r="J1173" s="3" t="s">
        <v>1246</v>
      </c>
      <c r="K1173" s="3">
        <v>15.0</v>
      </c>
      <c r="L1173" s="3" t="s">
        <v>42</v>
      </c>
    </row>
    <row r="1174" ht="15.75" customHeight="1">
      <c r="A1174" s="3" t="s">
        <v>1247</v>
      </c>
      <c r="B1174" s="3" t="s">
        <v>25</v>
      </c>
      <c r="C1174" s="3" t="s">
        <v>18</v>
      </c>
      <c r="D1174" s="3">
        <v>61543.0451727203</v>
      </c>
      <c r="E1174" s="3">
        <v>19671.3424289177</v>
      </c>
      <c r="F1174" s="3">
        <v>9625.34051148164</v>
      </c>
      <c r="G1174" s="5"/>
      <c r="H1174" s="3">
        <v>29919.8865425144</v>
      </c>
      <c r="I1174" s="3">
        <v>67119.7093320323</v>
      </c>
      <c r="J1174" s="4">
        <v>45658.0</v>
      </c>
      <c r="K1174" s="3">
        <v>4.0</v>
      </c>
      <c r="L1174" s="3" t="s">
        <v>15</v>
      </c>
    </row>
    <row r="1175" ht="15.75" customHeight="1">
      <c r="A1175" s="3" t="s">
        <v>1248</v>
      </c>
      <c r="B1175" s="3" t="s">
        <v>29</v>
      </c>
      <c r="C1175" s="3" t="s">
        <v>26</v>
      </c>
      <c r="D1175" s="3">
        <v>61553.9281426265</v>
      </c>
      <c r="E1175" s="3">
        <v>19675.9571472451</v>
      </c>
      <c r="F1175" s="3">
        <v>9633.02051491114</v>
      </c>
      <c r="G1175" s="3">
        <v>11095.5613387103</v>
      </c>
      <c r="H1175" s="3">
        <v>29870.3828247653</v>
      </c>
      <c r="I1175" s="3">
        <v>67123.0908064521</v>
      </c>
      <c r="J1175" s="4">
        <v>45778.0</v>
      </c>
      <c r="K1175" s="3">
        <v>8.0</v>
      </c>
      <c r="L1175" s="3" t="s">
        <v>19</v>
      </c>
    </row>
    <row r="1176" ht="15.75" customHeight="1">
      <c r="A1176" s="3" t="s">
        <v>1249</v>
      </c>
      <c r="B1176" s="3" t="s">
        <v>53</v>
      </c>
      <c r="C1176" s="3" t="s">
        <v>33</v>
      </c>
      <c r="D1176" s="3">
        <v>61564.8111125327</v>
      </c>
      <c r="E1176" s="3">
        <v>19680.5718655725</v>
      </c>
      <c r="F1176" s="3">
        <v>9640.70051834064</v>
      </c>
      <c r="G1176" s="3">
        <v>11098.9588893976</v>
      </c>
      <c r="H1176" s="3">
        <v>29820.8791070161</v>
      </c>
      <c r="I1176" s="3">
        <v>67126.4722808719</v>
      </c>
      <c r="J1176" s="4">
        <v>45992.0</v>
      </c>
      <c r="K1176" s="3">
        <v>7.0</v>
      </c>
      <c r="L1176" s="3" t="s">
        <v>21</v>
      </c>
    </row>
    <row r="1177" ht="15.75" customHeight="1">
      <c r="A1177" s="3" t="s">
        <v>1250</v>
      </c>
      <c r="B1177" s="3" t="s">
        <v>51</v>
      </c>
      <c r="C1177" s="3" t="s">
        <v>14</v>
      </c>
      <c r="D1177" s="3">
        <v>61575.6940824389</v>
      </c>
      <c r="E1177" s="3">
        <v>19685.1865838999</v>
      </c>
      <c r="F1177" s="3">
        <v>9648.38052177013</v>
      </c>
      <c r="G1177" s="3">
        <v>11102.3564400848</v>
      </c>
      <c r="H1177" s="3">
        <v>29771.375389267</v>
      </c>
      <c r="I1177" s="3">
        <v>67129.8537552918</v>
      </c>
      <c r="J1177" s="4">
        <v>45717.0</v>
      </c>
      <c r="K1177" s="3">
        <v>21.0</v>
      </c>
      <c r="L1177" s="3" t="s">
        <v>23</v>
      </c>
    </row>
    <row r="1178" ht="15.75" customHeight="1">
      <c r="A1178" s="3" t="s">
        <v>1251</v>
      </c>
      <c r="B1178" s="3" t="s">
        <v>36</v>
      </c>
      <c r="C1178" s="3" t="s">
        <v>26</v>
      </c>
      <c r="D1178" s="3">
        <v>61586.5770523451</v>
      </c>
      <c r="E1178" s="3">
        <v>19689.8013022273</v>
      </c>
      <c r="F1178" s="3">
        <v>9656.06052519963</v>
      </c>
      <c r="G1178" s="3">
        <v>11105.7539907721</v>
      </c>
      <c r="H1178" s="3">
        <v>29721.8716715179</v>
      </c>
      <c r="I1178" s="3">
        <v>67133.2352297116</v>
      </c>
      <c r="J1178" s="4">
        <v>45931.0</v>
      </c>
      <c r="K1178" s="3">
        <v>3.0</v>
      </c>
      <c r="L1178" s="3" t="s">
        <v>27</v>
      </c>
    </row>
    <row r="1179" ht="15.75" customHeight="1">
      <c r="A1179" s="3" t="s">
        <v>1252</v>
      </c>
      <c r="B1179" s="3" t="s">
        <v>13</v>
      </c>
      <c r="C1179" s="3" t="s">
        <v>54</v>
      </c>
      <c r="D1179" s="3">
        <v>61597.4600222512</v>
      </c>
      <c r="E1179" s="3">
        <v>19694.4160205548</v>
      </c>
      <c r="F1179" s="3">
        <v>9663.74052862913</v>
      </c>
      <c r="G1179" s="3">
        <v>11109.1515414594</v>
      </c>
      <c r="H1179" s="3">
        <v>29672.3679537688</v>
      </c>
      <c r="I1179" s="3">
        <v>67136.6167041314</v>
      </c>
      <c r="J1179" s="4">
        <v>45992.0</v>
      </c>
      <c r="K1179" s="3">
        <v>4.0</v>
      </c>
      <c r="L1179" s="3" t="s">
        <v>31</v>
      </c>
    </row>
    <row r="1180" ht="15.75" customHeight="1">
      <c r="A1180" s="3" t="s">
        <v>1253</v>
      </c>
      <c r="B1180" s="3" t="s">
        <v>36</v>
      </c>
      <c r="C1180" s="3" t="s">
        <v>30</v>
      </c>
      <c r="D1180" s="3">
        <v>61608.3429921574</v>
      </c>
      <c r="E1180" s="3">
        <v>19699.0307388822</v>
      </c>
      <c r="F1180" s="3">
        <v>9671.42053205863</v>
      </c>
      <c r="G1180" s="3">
        <v>11112.5490921467</v>
      </c>
      <c r="H1180" s="3">
        <v>29622.8642360196</v>
      </c>
      <c r="I1180" s="3">
        <v>67139.9981785512</v>
      </c>
      <c r="J1180" s="4">
        <v>45901.0</v>
      </c>
      <c r="K1180" s="3">
        <v>20.0</v>
      </c>
      <c r="L1180" s="3" t="s">
        <v>34</v>
      </c>
    </row>
    <row r="1181" ht="15.75" customHeight="1">
      <c r="A1181" s="3" t="s">
        <v>1254</v>
      </c>
      <c r="B1181" s="3" t="s">
        <v>29</v>
      </c>
      <c r="C1181" s="3" t="s">
        <v>54</v>
      </c>
      <c r="D1181" s="3">
        <v>61619.2259620636</v>
      </c>
      <c r="E1181" s="3">
        <v>19703.6454572096</v>
      </c>
      <c r="F1181" s="3">
        <v>9679.10053548812</v>
      </c>
      <c r="G1181" s="3">
        <v>11115.946642834</v>
      </c>
      <c r="H1181" s="3">
        <v>29573.3605182705</v>
      </c>
      <c r="I1181" s="3">
        <v>67143.379652971</v>
      </c>
      <c r="J1181" s="4">
        <v>45901.0</v>
      </c>
      <c r="K1181" s="3">
        <v>2.0</v>
      </c>
      <c r="L1181" s="3" t="s">
        <v>38</v>
      </c>
    </row>
    <row r="1182" ht="15.75" customHeight="1">
      <c r="A1182" s="3" t="s">
        <v>1255</v>
      </c>
      <c r="B1182" s="3" t="s">
        <v>36</v>
      </c>
      <c r="C1182" s="3" t="s">
        <v>14</v>
      </c>
      <c r="D1182" s="3">
        <v>61630.1089319698</v>
      </c>
      <c r="E1182" s="3">
        <v>19708.260175537</v>
      </c>
      <c r="F1182" s="3">
        <v>9686.78053891762</v>
      </c>
      <c r="G1182" s="3">
        <v>11119.3441935213</v>
      </c>
      <c r="H1182" s="3">
        <v>29523.8568005214</v>
      </c>
      <c r="I1182" s="3">
        <v>67146.7611273908</v>
      </c>
      <c r="J1182" s="4">
        <v>45748.0</v>
      </c>
      <c r="K1182" s="3">
        <v>24.0</v>
      </c>
      <c r="L1182" s="3" t="s">
        <v>40</v>
      </c>
    </row>
    <row r="1183" ht="15.75" customHeight="1">
      <c r="A1183" s="3" t="s">
        <v>1256</v>
      </c>
      <c r="B1183" s="3" t="s">
        <v>51</v>
      </c>
      <c r="C1183" s="3" t="s">
        <v>37</v>
      </c>
      <c r="D1183" s="3">
        <v>61640.991901876</v>
      </c>
      <c r="E1183" s="3">
        <v>19712.8748938645</v>
      </c>
      <c r="F1183" s="3">
        <v>9694.46054234711</v>
      </c>
      <c r="G1183" s="3">
        <v>11122.7417442086</v>
      </c>
      <c r="H1183" s="3">
        <v>29474.3530827723</v>
      </c>
      <c r="I1183" s="3">
        <v>67150.1426018106</v>
      </c>
      <c r="J1183" s="3" t="s">
        <v>788</v>
      </c>
      <c r="K1183" s="3">
        <v>23.0</v>
      </c>
      <c r="L1183" s="3" t="s">
        <v>42</v>
      </c>
    </row>
    <row r="1184" ht="15.75" customHeight="1">
      <c r="A1184" s="3" t="s">
        <v>1257</v>
      </c>
      <c r="B1184" s="3" t="s">
        <v>17</v>
      </c>
      <c r="C1184" s="3" t="s">
        <v>14</v>
      </c>
      <c r="D1184" s="5"/>
      <c r="E1184" s="3">
        <v>19717.4896121919</v>
      </c>
      <c r="F1184" s="3">
        <v>9702.14054577662</v>
      </c>
      <c r="G1184" s="3">
        <v>11126.1392948959</v>
      </c>
      <c r="H1184" s="3">
        <v>29424.8493650231</v>
      </c>
      <c r="I1184" s="3">
        <v>67153.5240762305</v>
      </c>
      <c r="J1184" s="4">
        <v>45931.0</v>
      </c>
      <c r="K1184" s="3">
        <v>1.0</v>
      </c>
      <c r="L1184" s="3" t="s">
        <v>15</v>
      </c>
    </row>
    <row r="1185" ht="15.75" customHeight="1">
      <c r="A1185" s="3" t="s">
        <v>1258</v>
      </c>
      <c r="B1185" s="3" t="s">
        <v>36</v>
      </c>
      <c r="C1185" s="3" t="s">
        <v>30</v>
      </c>
      <c r="D1185" s="3">
        <v>61662.7578416884</v>
      </c>
      <c r="E1185" s="3">
        <v>19722.1043305193</v>
      </c>
      <c r="F1185" s="3">
        <v>9709.82054920611</v>
      </c>
      <c r="G1185" s="3">
        <v>11129.5368455831</v>
      </c>
      <c r="H1185" s="3">
        <v>29375.345647274</v>
      </c>
      <c r="I1185" s="3">
        <v>67156.9055506503</v>
      </c>
      <c r="J1185" s="4">
        <v>45689.0</v>
      </c>
      <c r="K1185" s="3">
        <v>15.0</v>
      </c>
      <c r="L1185" s="3" t="s">
        <v>19</v>
      </c>
    </row>
    <row r="1186" ht="15.75" customHeight="1">
      <c r="A1186" s="3" t="s">
        <v>1259</v>
      </c>
      <c r="B1186" s="3" t="s">
        <v>36</v>
      </c>
      <c r="C1186" s="3" t="s">
        <v>30</v>
      </c>
      <c r="D1186" s="3">
        <v>61673.6408115946</v>
      </c>
      <c r="E1186" s="3">
        <v>19726.7190488467</v>
      </c>
      <c r="F1186" s="3">
        <v>9717.50055263561</v>
      </c>
      <c r="G1186" s="3">
        <v>11132.9343962704</v>
      </c>
      <c r="H1186" s="3">
        <v>29325.8419295249</v>
      </c>
      <c r="I1186" s="3">
        <v>67160.2870250701</v>
      </c>
      <c r="J1186" s="4">
        <v>45658.0</v>
      </c>
      <c r="K1186" s="3">
        <v>1.0</v>
      </c>
      <c r="L1186" s="3" t="s">
        <v>21</v>
      </c>
    </row>
    <row r="1187" ht="15.75" customHeight="1">
      <c r="A1187" s="3" t="s">
        <v>1260</v>
      </c>
      <c r="B1187" s="3" t="s">
        <v>13</v>
      </c>
      <c r="C1187" s="3" t="s">
        <v>54</v>
      </c>
      <c r="D1187" s="3">
        <v>61684.5237815008</v>
      </c>
      <c r="E1187" s="3">
        <v>19731.3337671741</v>
      </c>
      <c r="F1187" s="3">
        <v>9725.1805560651</v>
      </c>
      <c r="G1187" s="3">
        <v>11136.3319469577</v>
      </c>
      <c r="H1187" s="3">
        <v>29276.3382117757</v>
      </c>
      <c r="I1187" s="3">
        <v>67163.6684994899</v>
      </c>
      <c r="J1187" s="4">
        <v>45809.0</v>
      </c>
      <c r="K1187" s="3">
        <v>24.0</v>
      </c>
      <c r="L1187" s="3" t="s">
        <v>23</v>
      </c>
    </row>
    <row r="1188" ht="15.75" customHeight="1">
      <c r="A1188" s="3" t="s">
        <v>1261</v>
      </c>
      <c r="B1188" s="3" t="s">
        <v>13</v>
      </c>
      <c r="C1188" s="3" t="s">
        <v>18</v>
      </c>
      <c r="D1188" s="3">
        <v>61695.406751407</v>
      </c>
      <c r="E1188" s="3">
        <v>19735.9484855016</v>
      </c>
      <c r="F1188" s="3">
        <v>9732.86055949459</v>
      </c>
      <c r="G1188" s="3">
        <v>11139.729497645</v>
      </c>
      <c r="H1188" s="3">
        <v>29226.8344940266</v>
      </c>
      <c r="I1188" s="3">
        <v>67167.0499739097</v>
      </c>
      <c r="J1188" s="4">
        <v>45717.0</v>
      </c>
      <c r="K1188" s="3">
        <v>17.0</v>
      </c>
      <c r="L1188" s="3" t="s">
        <v>27</v>
      </c>
    </row>
    <row r="1189" ht="15.75" customHeight="1">
      <c r="A1189" s="3" t="s">
        <v>1262</v>
      </c>
      <c r="B1189" s="3" t="s">
        <v>25</v>
      </c>
      <c r="C1189" s="3" t="s">
        <v>26</v>
      </c>
      <c r="D1189" s="3">
        <v>61706.2897213132</v>
      </c>
      <c r="E1189" s="3">
        <v>19740.563203829</v>
      </c>
      <c r="F1189" s="3">
        <v>9740.5405629241</v>
      </c>
      <c r="G1189" s="5"/>
      <c r="H1189" s="3">
        <v>29177.3307762775</v>
      </c>
      <c r="I1189" s="3">
        <v>67170.4314483295</v>
      </c>
      <c r="J1189" s="4">
        <v>45870.0</v>
      </c>
      <c r="K1189" s="3">
        <v>24.0</v>
      </c>
      <c r="L1189" s="3" t="s">
        <v>31</v>
      </c>
    </row>
    <row r="1190" ht="15.75" customHeight="1">
      <c r="A1190" s="3" t="s">
        <v>1263</v>
      </c>
      <c r="B1190" s="3" t="s">
        <v>36</v>
      </c>
      <c r="C1190" s="3" t="s">
        <v>30</v>
      </c>
      <c r="D1190" s="3">
        <v>61717.1726912194</v>
      </c>
      <c r="E1190" s="3">
        <v>19745.1779221564</v>
      </c>
      <c r="F1190" s="3">
        <v>9748.2205663536</v>
      </c>
      <c r="G1190" s="3">
        <v>11146.5245990196</v>
      </c>
      <c r="H1190" s="3">
        <v>29127.8270585284</v>
      </c>
      <c r="I1190" s="3">
        <v>67173.8129227493</v>
      </c>
      <c r="J1190" s="4">
        <v>45901.0</v>
      </c>
      <c r="K1190" s="3">
        <v>17.0</v>
      </c>
      <c r="L1190" s="3" t="s">
        <v>34</v>
      </c>
    </row>
    <row r="1191" ht="15.75" customHeight="1">
      <c r="A1191" s="3" t="s">
        <v>1264</v>
      </c>
      <c r="B1191" s="3" t="s">
        <v>25</v>
      </c>
      <c r="C1191" s="3" t="s">
        <v>26</v>
      </c>
      <c r="D1191" s="3">
        <v>61728.0556611256</v>
      </c>
      <c r="E1191" s="3">
        <v>19749.7926404838</v>
      </c>
      <c r="F1191" s="3">
        <v>9755.90056978309</v>
      </c>
      <c r="G1191" s="3">
        <v>11149.9221497069</v>
      </c>
      <c r="H1191" s="3">
        <v>29078.3233407792</v>
      </c>
      <c r="I1191" s="3">
        <v>67177.1943971692</v>
      </c>
      <c r="J1191" s="4">
        <v>45717.0</v>
      </c>
      <c r="K1191" s="3">
        <v>19.0</v>
      </c>
      <c r="L1191" s="3" t="s">
        <v>38</v>
      </c>
    </row>
    <row r="1192" ht="15.75" customHeight="1">
      <c r="A1192" s="3" t="s">
        <v>1265</v>
      </c>
      <c r="B1192" s="3" t="s">
        <v>25</v>
      </c>
      <c r="C1192" s="3" t="s">
        <v>14</v>
      </c>
      <c r="D1192" s="3">
        <v>61738.9386310318</v>
      </c>
      <c r="E1192" s="3">
        <v>19754.4073588112</v>
      </c>
      <c r="F1192" s="3">
        <v>9763.58057321258</v>
      </c>
      <c r="G1192" s="3">
        <v>11153.3197003941</v>
      </c>
      <c r="H1192" s="3">
        <v>29028.8196230301</v>
      </c>
      <c r="I1192" s="3">
        <v>67180.575871589</v>
      </c>
      <c r="J1192" s="4">
        <v>45717.0</v>
      </c>
      <c r="K1192" s="3">
        <v>18.0</v>
      </c>
      <c r="L1192" s="3" t="s">
        <v>40</v>
      </c>
    </row>
    <row r="1193" ht="15.75" customHeight="1">
      <c r="A1193" s="3" t="s">
        <v>1266</v>
      </c>
      <c r="B1193" s="3" t="s">
        <v>36</v>
      </c>
      <c r="C1193" s="3" t="s">
        <v>54</v>
      </c>
      <c r="D1193" s="3">
        <v>61749.0</v>
      </c>
      <c r="E1193" s="3">
        <v>19759.0220771387</v>
      </c>
      <c r="F1193" s="3">
        <v>9771.26057664209</v>
      </c>
      <c r="G1193" s="3">
        <v>11156.7172510814</v>
      </c>
      <c r="H1193" s="3">
        <v>28979.315905281</v>
      </c>
      <c r="I1193" s="3">
        <v>67183.9573460088</v>
      </c>
      <c r="J1193" s="4">
        <v>45870.0</v>
      </c>
      <c r="K1193" s="3">
        <v>21.0</v>
      </c>
      <c r="L1193" s="3" t="s">
        <v>42</v>
      </c>
    </row>
    <row r="1194" ht="15.75" customHeight="1">
      <c r="A1194" s="3" t="s">
        <v>1267</v>
      </c>
      <c r="B1194" s="3" t="s">
        <v>36</v>
      </c>
      <c r="C1194" s="3" t="s">
        <v>14</v>
      </c>
      <c r="D1194" s="3">
        <v>61760.7045708441</v>
      </c>
      <c r="E1194" s="3">
        <v>19763.6367954661</v>
      </c>
      <c r="F1194" s="3">
        <v>9778.94058007159</v>
      </c>
      <c r="G1194" s="3">
        <v>11160.1148017687</v>
      </c>
      <c r="H1194" s="3">
        <v>28929.8121875319</v>
      </c>
      <c r="I1194" s="3">
        <v>67187.3388204286</v>
      </c>
      <c r="J1194" s="4">
        <v>45962.0</v>
      </c>
      <c r="K1194" s="3">
        <v>21.0</v>
      </c>
      <c r="L1194" s="3" t="s">
        <v>15</v>
      </c>
    </row>
    <row r="1195" ht="15.75" customHeight="1">
      <c r="A1195" s="3" t="s">
        <v>1268</v>
      </c>
      <c r="B1195" s="3" t="s">
        <v>29</v>
      </c>
      <c r="C1195" s="3" t="s">
        <v>54</v>
      </c>
      <c r="D1195" s="3">
        <v>61771.5875407503</v>
      </c>
      <c r="E1195" s="3">
        <v>19768.2515137935</v>
      </c>
      <c r="F1195" s="3">
        <v>9786.62058350109</v>
      </c>
      <c r="G1195" s="3">
        <v>11163.512352456</v>
      </c>
      <c r="H1195" s="3">
        <v>28880.3084697827</v>
      </c>
      <c r="I1195" s="3">
        <v>67190.7202948484</v>
      </c>
      <c r="J1195" s="4">
        <v>45931.0</v>
      </c>
      <c r="K1195" s="3">
        <v>8.0</v>
      </c>
      <c r="L1195" s="3" t="s">
        <v>19</v>
      </c>
    </row>
    <row r="1196" ht="15.75" customHeight="1">
      <c r="A1196" s="3" t="s">
        <v>1269</v>
      </c>
      <c r="B1196" s="3" t="s">
        <v>13</v>
      </c>
      <c r="C1196" s="3" t="s">
        <v>54</v>
      </c>
      <c r="D1196" s="3">
        <v>61782.4705106565</v>
      </c>
      <c r="E1196" s="3">
        <v>19772.8662321209</v>
      </c>
      <c r="F1196" s="3">
        <v>9794.30058693057</v>
      </c>
      <c r="G1196" s="3">
        <v>11166.9099031433</v>
      </c>
      <c r="H1196" s="3">
        <v>50615.5606075132</v>
      </c>
      <c r="I1196" s="3">
        <v>55615.5606075132</v>
      </c>
      <c r="J1196" s="4">
        <v>45870.0</v>
      </c>
      <c r="K1196" s="3">
        <v>9.0</v>
      </c>
      <c r="L1196" s="3" t="s">
        <v>21</v>
      </c>
    </row>
    <row r="1197" ht="15.75" customHeight="1">
      <c r="A1197" s="3" t="s">
        <v>1270</v>
      </c>
      <c r="B1197" s="3" t="s">
        <v>13</v>
      </c>
      <c r="C1197" s="3" t="s">
        <v>37</v>
      </c>
      <c r="D1197" s="3">
        <v>61793.3534805627</v>
      </c>
      <c r="E1197" s="3">
        <v>19777.4809504484</v>
      </c>
      <c r="F1197" s="3">
        <v>9801.98059036008</v>
      </c>
      <c r="G1197" s="3">
        <v>11170.3074538306</v>
      </c>
      <c r="H1197" s="3">
        <v>28781.3010342845</v>
      </c>
      <c r="I1197" s="3">
        <v>67197.483243688</v>
      </c>
      <c r="J1197" s="4">
        <v>45717.0</v>
      </c>
      <c r="K1197" s="3">
        <v>2.0</v>
      </c>
      <c r="L1197" s="3" t="s">
        <v>23</v>
      </c>
    </row>
    <row r="1198" ht="15.75" customHeight="1">
      <c r="A1198" s="3" t="s">
        <v>1271</v>
      </c>
      <c r="B1198" s="3" t="s">
        <v>53</v>
      </c>
      <c r="C1198" s="3" t="s">
        <v>26</v>
      </c>
      <c r="D1198" s="3">
        <v>61804.2364504689</v>
      </c>
      <c r="E1198" s="3">
        <v>19782.0956687758</v>
      </c>
      <c r="F1198" s="3">
        <v>9809.66059378958</v>
      </c>
      <c r="G1198" s="3">
        <v>11173.7050045179</v>
      </c>
      <c r="H1198" s="3">
        <v>28731.7973165353</v>
      </c>
      <c r="I1198" s="3">
        <v>67200.8647181079</v>
      </c>
      <c r="J1198" s="4">
        <v>45931.0</v>
      </c>
      <c r="K1198" s="3">
        <v>22.0</v>
      </c>
      <c r="L1198" s="3" t="s">
        <v>27</v>
      </c>
    </row>
    <row r="1199" ht="15.75" customHeight="1">
      <c r="A1199" s="3" t="s">
        <v>1272</v>
      </c>
      <c r="B1199" s="3" t="s">
        <v>17</v>
      </c>
      <c r="C1199" s="3" t="s">
        <v>37</v>
      </c>
      <c r="D1199" s="3">
        <v>61815.1194203751</v>
      </c>
      <c r="E1199" s="3">
        <v>19786.7103871032</v>
      </c>
      <c r="F1199" s="3">
        <v>9817.34059721907</v>
      </c>
      <c r="G1199" s="3">
        <v>11177.1025552052</v>
      </c>
      <c r="H1199" s="3">
        <v>28682.2935987862</v>
      </c>
      <c r="I1199" s="3">
        <v>67204.2461925277</v>
      </c>
      <c r="J1199" s="4">
        <v>45931.0</v>
      </c>
      <c r="K1199" s="3">
        <v>23.0</v>
      </c>
      <c r="L1199" s="3" t="s">
        <v>31</v>
      </c>
    </row>
    <row r="1200" ht="15.75" customHeight="1">
      <c r="A1200" s="3" t="s">
        <v>1273</v>
      </c>
      <c r="B1200" s="3" t="s">
        <v>51</v>
      </c>
      <c r="C1200" s="3" t="s">
        <v>37</v>
      </c>
      <c r="D1200" s="3">
        <v>61826.0023902813</v>
      </c>
      <c r="E1200" s="3">
        <v>19791.3251054306</v>
      </c>
      <c r="F1200" s="3">
        <v>9825.02060064857</v>
      </c>
      <c r="G1200" s="3">
        <v>11180.5001058924</v>
      </c>
      <c r="H1200" s="3">
        <v>28632.7898810371</v>
      </c>
      <c r="I1200" s="3">
        <v>67207.6276669475</v>
      </c>
      <c r="J1200" s="4">
        <v>45809.0</v>
      </c>
      <c r="K1200" s="3">
        <v>20.0</v>
      </c>
      <c r="L1200" s="3" t="s">
        <v>34</v>
      </c>
    </row>
    <row r="1201" ht="15.75" customHeight="1">
      <c r="A1201" s="3" t="s">
        <v>1274</v>
      </c>
      <c r="B1201" s="3" t="s">
        <v>53</v>
      </c>
      <c r="C1201" s="3" t="s">
        <v>37</v>
      </c>
      <c r="D1201" s="3">
        <v>61836.8853601875</v>
      </c>
      <c r="E1201" s="3">
        <v>19795.939823758</v>
      </c>
      <c r="F1201" s="3">
        <v>9832.70060407807</v>
      </c>
      <c r="G1201" s="3">
        <v>11183.8976565797</v>
      </c>
      <c r="H1201" s="3">
        <v>28583.286163288</v>
      </c>
      <c r="I1201" s="3">
        <v>67211.0091413673</v>
      </c>
      <c r="J1201" s="4">
        <v>45809.0</v>
      </c>
      <c r="K1201" s="3">
        <v>12.0</v>
      </c>
      <c r="L1201" s="3" t="s">
        <v>38</v>
      </c>
    </row>
    <row r="1202" ht="15.75" customHeight="1">
      <c r="A1202" s="3" t="s">
        <v>1275</v>
      </c>
      <c r="B1202" s="3" t="s">
        <v>51</v>
      </c>
      <c r="C1202" s="3" t="s">
        <v>33</v>
      </c>
      <c r="D1202" s="3">
        <v>61847.7683300937</v>
      </c>
      <c r="E1202" s="3">
        <v>19800.5545420855</v>
      </c>
      <c r="F1202" s="3">
        <v>9840.38060750757</v>
      </c>
      <c r="G1202" s="3">
        <v>11187.295207267</v>
      </c>
      <c r="H1202" s="3">
        <v>28533.7824455388</v>
      </c>
      <c r="I1202" s="3">
        <v>67214.3906157871</v>
      </c>
      <c r="J1202" s="4">
        <v>45689.0</v>
      </c>
      <c r="K1202" s="3">
        <v>7.0</v>
      </c>
      <c r="L1202" s="3" t="s">
        <v>40</v>
      </c>
    </row>
    <row r="1203" ht="15.75" customHeight="1">
      <c r="A1203" s="3" t="s">
        <v>1276</v>
      </c>
      <c r="B1203" s="3" t="s">
        <v>25</v>
      </c>
      <c r="C1203" s="3" t="s">
        <v>14</v>
      </c>
      <c r="D1203" s="3">
        <v>61858.6512999999</v>
      </c>
      <c r="E1203" s="3">
        <v>19805.1692604129</v>
      </c>
      <c r="F1203" s="3">
        <v>9848.06061093706</v>
      </c>
      <c r="G1203" s="5"/>
      <c r="H1203" s="3">
        <v>28484.2787277897</v>
      </c>
      <c r="I1203" s="3">
        <v>67217.7720902069</v>
      </c>
      <c r="J1203" s="4">
        <v>45689.0</v>
      </c>
      <c r="K1203" s="3">
        <v>22.0</v>
      </c>
      <c r="L1203" s="3" t="s">
        <v>42</v>
      </c>
    </row>
    <row r="1204" ht="15.75" customHeight="1">
      <c r="A1204" s="3" t="s">
        <v>1277</v>
      </c>
      <c r="B1204" s="3" t="s">
        <v>17</v>
      </c>
      <c r="C1204" s="3" t="s">
        <v>37</v>
      </c>
      <c r="D1204" s="3">
        <v>61869.5342699061</v>
      </c>
      <c r="E1204" s="3">
        <v>19809.7839787403</v>
      </c>
      <c r="F1204" s="3">
        <v>9855.74061436656</v>
      </c>
      <c r="G1204" s="3">
        <v>11194.0903086416</v>
      </c>
      <c r="H1204" s="3">
        <v>28434.7750100406</v>
      </c>
      <c r="I1204" s="3">
        <v>67221.1535646267</v>
      </c>
      <c r="J1204" s="4">
        <v>45778.0</v>
      </c>
      <c r="K1204" s="3">
        <v>19.0</v>
      </c>
      <c r="L1204" s="3" t="s">
        <v>15</v>
      </c>
    </row>
    <row r="1205" ht="15.75" customHeight="1">
      <c r="A1205" s="3" t="s">
        <v>1278</v>
      </c>
      <c r="B1205" s="3" t="s">
        <v>51</v>
      </c>
      <c r="C1205" s="3" t="s">
        <v>33</v>
      </c>
      <c r="D1205" s="3">
        <v>61880.4172398123</v>
      </c>
      <c r="E1205" s="3">
        <v>19814.3986970677</v>
      </c>
      <c r="F1205" s="3">
        <v>9863.42061779606</v>
      </c>
      <c r="G1205" s="3">
        <v>11197.4878593289</v>
      </c>
      <c r="H1205" s="3">
        <v>28385.2712922915</v>
      </c>
      <c r="I1205" s="3">
        <v>67224.5350390466</v>
      </c>
      <c r="J1205" s="4">
        <v>45778.0</v>
      </c>
      <c r="K1205" s="3">
        <v>18.0</v>
      </c>
      <c r="L1205" s="3" t="s">
        <v>19</v>
      </c>
    </row>
    <row r="1206" ht="15.75" customHeight="1">
      <c r="A1206" s="3" t="s">
        <v>1279</v>
      </c>
      <c r="B1206" s="3" t="s">
        <v>53</v>
      </c>
      <c r="C1206" s="3" t="s">
        <v>26</v>
      </c>
      <c r="D1206" s="3">
        <v>61891.3002097185</v>
      </c>
      <c r="E1206" s="3">
        <v>19819.0134153952</v>
      </c>
      <c r="F1206" s="3">
        <v>9871.10062122555</v>
      </c>
      <c r="G1206" s="3">
        <v>11200.8854100162</v>
      </c>
      <c r="H1206" s="3">
        <v>28335.7675745423</v>
      </c>
      <c r="I1206" s="3">
        <v>67227.9165134664</v>
      </c>
      <c r="J1206" s="4">
        <v>45689.0</v>
      </c>
      <c r="K1206" s="3">
        <v>11.0</v>
      </c>
      <c r="L1206" s="3" t="s">
        <v>21</v>
      </c>
    </row>
    <row r="1207" ht="15.75" customHeight="1">
      <c r="A1207" s="3" t="s">
        <v>1280</v>
      </c>
      <c r="B1207" s="3" t="s">
        <v>13</v>
      </c>
      <c r="C1207" s="3" t="s">
        <v>14</v>
      </c>
      <c r="D1207" s="3">
        <v>61902.1831796247</v>
      </c>
      <c r="E1207" s="3">
        <v>19823.6281337226</v>
      </c>
      <c r="F1207" s="3">
        <v>9878.78062465505</v>
      </c>
      <c r="G1207" s="3">
        <v>11204.2829607035</v>
      </c>
      <c r="H1207" s="3">
        <v>28286.2638567932</v>
      </c>
      <c r="I1207" s="3">
        <v>67231.2979878862</v>
      </c>
      <c r="J1207" s="4">
        <v>45809.0</v>
      </c>
      <c r="K1207" s="3">
        <v>20.0</v>
      </c>
      <c r="L1207" s="3" t="s">
        <v>23</v>
      </c>
    </row>
    <row r="1208" ht="15.75" customHeight="1">
      <c r="A1208" s="3" t="s">
        <v>1281</v>
      </c>
      <c r="B1208" s="3" t="s">
        <v>13</v>
      </c>
      <c r="C1208" s="3" t="s">
        <v>37</v>
      </c>
      <c r="D1208" s="3">
        <v>61913.0661495309</v>
      </c>
      <c r="E1208" s="3">
        <v>19828.24285205</v>
      </c>
      <c r="F1208" s="3">
        <v>9886.46062808455</v>
      </c>
      <c r="G1208" s="3">
        <v>11207.6805113907</v>
      </c>
      <c r="H1208" s="3">
        <v>28236.7601390441</v>
      </c>
      <c r="I1208" s="3">
        <v>67234.679462306</v>
      </c>
      <c r="J1208" s="4">
        <v>45658.0</v>
      </c>
      <c r="K1208" s="3">
        <v>8.0</v>
      </c>
      <c r="L1208" s="3" t="s">
        <v>27</v>
      </c>
    </row>
    <row r="1209" ht="15.75" customHeight="1">
      <c r="A1209" s="3" t="s">
        <v>1282</v>
      </c>
      <c r="B1209" s="3" t="s">
        <v>51</v>
      </c>
      <c r="C1209" s="3" t="s">
        <v>18</v>
      </c>
      <c r="D1209" s="3">
        <v>61923.949119437</v>
      </c>
      <c r="E1209" s="3">
        <v>19832.8575703774</v>
      </c>
      <c r="F1209" s="3">
        <v>9894.14063151404</v>
      </c>
      <c r="G1209" s="3">
        <v>11211.078062078</v>
      </c>
      <c r="H1209" s="3">
        <v>28187.256421295</v>
      </c>
      <c r="I1209" s="3">
        <v>67238.0609367258</v>
      </c>
      <c r="J1209" s="4">
        <v>45717.0</v>
      </c>
      <c r="K1209" s="3">
        <v>3.0</v>
      </c>
      <c r="L1209" s="3" t="s">
        <v>31</v>
      </c>
    </row>
    <row r="1210" ht="15.75" customHeight="1">
      <c r="A1210" s="3" t="s">
        <v>1283</v>
      </c>
      <c r="B1210" s="3" t="s">
        <v>17</v>
      </c>
      <c r="C1210" s="3" t="s">
        <v>18</v>
      </c>
      <c r="D1210" s="3">
        <v>61934.8320893432</v>
      </c>
      <c r="E1210" s="3">
        <v>19837.4722887048</v>
      </c>
      <c r="F1210" s="3">
        <v>9901.82063494353</v>
      </c>
      <c r="G1210" s="3">
        <v>11214.4756127653</v>
      </c>
      <c r="H1210" s="3">
        <v>28137.7527035458</v>
      </c>
      <c r="I1210" s="3">
        <v>67241.4424111456</v>
      </c>
      <c r="J1210" s="4">
        <v>45901.0</v>
      </c>
      <c r="K1210" s="3">
        <v>16.0</v>
      </c>
      <c r="L1210" s="3" t="s">
        <v>34</v>
      </c>
    </row>
    <row r="1211" ht="15.75" customHeight="1">
      <c r="A1211" s="3" t="s">
        <v>1284</v>
      </c>
      <c r="B1211" s="3" t="s">
        <v>13</v>
      </c>
      <c r="C1211" s="3" t="s">
        <v>33</v>
      </c>
      <c r="D1211" s="3">
        <v>61945.7150592494</v>
      </c>
      <c r="E1211" s="3">
        <v>19842.0870070323</v>
      </c>
      <c r="F1211" s="3">
        <v>9909.50063837304</v>
      </c>
      <c r="G1211" s="3">
        <v>11217.8731634526</v>
      </c>
      <c r="H1211" s="3">
        <v>28088.2489857967</v>
      </c>
      <c r="I1211" s="3">
        <v>67244.8238855654</v>
      </c>
      <c r="J1211" s="4">
        <v>45901.0</v>
      </c>
      <c r="K1211" s="3">
        <v>17.0</v>
      </c>
      <c r="L1211" s="3" t="s">
        <v>38</v>
      </c>
    </row>
    <row r="1212" ht="15.75" customHeight="1">
      <c r="A1212" s="3" t="s">
        <v>1285</v>
      </c>
      <c r="B1212" s="3" t="s">
        <v>17</v>
      </c>
      <c r="C1212" s="3" t="s">
        <v>14</v>
      </c>
      <c r="D1212" s="3">
        <v>61956.5980291556</v>
      </c>
      <c r="E1212" s="3">
        <v>19846.7017253597</v>
      </c>
      <c r="F1212" s="3">
        <v>9917.18064180254</v>
      </c>
      <c r="G1212" s="3">
        <v>11221.2707141399</v>
      </c>
      <c r="H1212" s="3">
        <v>28038.7452680476</v>
      </c>
      <c r="I1212" s="3">
        <v>67248.2053599853</v>
      </c>
      <c r="J1212" s="4">
        <v>45658.0</v>
      </c>
      <c r="K1212" s="3">
        <v>5.0</v>
      </c>
      <c r="L1212" s="3" t="s">
        <v>40</v>
      </c>
    </row>
    <row r="1213" ht="15.75" customHeight="1">
      <c r="A1213" s="3" t="s">
        <v>1286</v>
      </c>
      <c r="B1213" s="3" t="s">
        <v>17</v>
      </c>
      <c r="C1213" s="3" t="s">
        <v>26</v>
      </c>
      <c r="D1213" s="3">
        <v>61967.4809990618</v>
      </c>
      <c r="E1213" s="3">
        <v>19851.3164436871</v>
      </c>
      <c r="F1213" s="3">
        <v>9924.86064523203</v>
      </c>
      <c r="G1213" s="3">
        <v>11224.6682648272</v>
      </c>
      <c r="H1213" s="3">
        <v>27989.2415502984</v>
      </c>
      <c r="I1213" s="3">
        <v>67251.5868344051</v>
      </c>
      <c r="J1213" s="4">
        <v>45809.0</v>
      </c>
      <c r="K1213" s="3">
        <v>14.0</v>
      </c>
      <c r="L1213" s="3" t="s">
        <v>42</v>
      </c>
    </row>
    <row r="1214" ht="15.75" customHeight="1">
      <c r="A1214" s="3" t="s">
        <v>1287</v>
      </c>
      <c r="B1214" s="3" t="s">
        <v>29</v>
      </c>
      <c r="C1214" s="3" t="s">
        <v>33</v>
      </c>
      <c r="D1214" s="3">
        <v>61978.363968968</v>
      </c>
      <c r="E1214" s="3">
        <v>19855.9311620145</v>
      </c>
      <c r="F1214" s="3">
        <v>9932.54064866152</v>
      </c>
      <c r="G1214" s="3">
        <v>11228.0658155145</v>
      </c>
      <c r="H1214" s="3">
        <v>27939.7378325493</v>
      </c>
      <c r="I1214" s="3">
        <v>67254.9683088249</v>
      </c>
      <c r="J1214" s="4">
        <v>45839.0</v>
      </c>
      <c r="K1214" s="3">
        <v>6.0</v>
      </c>
      <c r="L1214" s="3" t="s">
        <v>15</v>
      </c>
    </row>
    <row r="1215" ht="15.75" customHeight="1">
      <c r="A1215" s="3" t="s">
        <v>1288</v>
      </c>
      <c r="B1215" s="3" t="s">
        <v>51</v>
      </c>
      <c r="C1215" s="3" t="s">
        <v>18</v>
      </c>
      <c r="D1215" s="3">
        <v>61989.2469388742</v>
      </c>
      <c r="E1215" s="3">
        <v>19860.545880342</v>
      </c>
      <c r="F1215" s="3">
        <v>9940.22065209103</v>
      </c>
      <c r="G1215" s="3">
        <v>11231.4633662017</v>
      </c>
      <c r="H1215" s="3">
        <v>27890.2341148002</v>
      </c>
      <c r="I1215" s="3">
        <v>67258.3497832447</v>
      </c>
      <c r="J1215" s="4">
        <v>45717.0</v>
      </c>
      <c r="K1215" s="3">
        <v>17.0</v>
      </c>
      <c r="L1215" s="3" t="s">
        <v>19</v>
      </c>
    </row>
    <row r="1216" ht="15.75" customHeight="1">
      <c r="A1216" s="3" t="s">
        <v>1289</v>
      </c>
      <c r="B1216" s="3" t="s">
        <v>53</v>
      </c>
      <c r="C1216" s="3" t="s">
        <v>18</v>
      </c>
      <c r="D1216" s="3">
        <v>62000.1299087804</v>
      </c>
      <c r="E1216" s="3">
        <v>19865.1605986694</v>
      </c>
      <c r="F1216" s="3">
        <v>9947.90065552053</v>
      </c>
      <c r="G1216" s="3">
        <v>11234.860916889</v>
      </c>
      <c r="H1216" s="3">
        <v>27840.7303970511</v>
      </c>
      <c r="I1216" s="3">
        <v>67261.7312576645</v>
      </c>
      <c r="J1216" s="4">
        <v>45839.0</v>
      </c>
      <c r="K1216" s="3">
        <v>12.0</v>
      </c>
      <c r="L1216" s="3" t="s">
        <v>21</v>
      </c>
    </row>
    <row r="1217" ht="15.75" customHeight="1">
      <c r="A1217" s="3" t="s">
        <v>1290</v>
      </c>
      <c r="B1217" s="3" t="s">
        <v>36</v>
      </c>
      <c r="C1217" s="3" t="s">
        <v>14</v>
      </c>
      <c r="D1217" s="3">
        <v>62011.0128786866</v>
      </c>
      <c r="E1217" s="3">
        <v>19869.7753169968</v>
      </c>
      <c r="F1217" s="3">
        <v>9955.58065895002</v>
      </c>
      <c r="G1217" s="3">
        <v>11238.2584675763</v>
      </c>
      <c r="H1217" s="3">
        <v>27791.2266793019</v>
      </c>
      <c r="I1217" s="3">
        <v>67265.1127320843</v>
      </c>
      <c r="J1217" s="4">
        <v>45992.0</v>
      </c>
      <c r="K1217" s="3">
        <v>18.0</v>
      </c>
      <c r="L1217" s="3" t="s">
        <v>23</v>
      </c>
    </row>
    <row r="1218" ht="15.75" customHeight="1">
      <c r="A1218" s="3" t="s">
        <v>1291</v>
      </c>
      <c r="B1218" s="3" t="s">
        <v>25</v>
      </c>
      <c r="C1218" s="3" t="s">
        <v>18</v>
      </c>
      <c r="D1218" s="3">
        <v>62021.8958485928</v>
      </c>
      <c r="E1218" s="3">
        <v>19874.3900353242</v>
      </c>
      <c r="F1218" s="3">
        <v>9963.26066237951</v>
      </c>
      <c r="G1218" s="3">
        <v>11241.6560182636</v>
      </c>
      <c r="H1218" s="3">
        <v>27741.7229615528</v>
      </c>
      <c r="I1218" s="3">
        <v>67268.4942065041</v>
      </c>
      <c r="J1218" s="4">
        <v>45870.0</v>
      </c>
      <c r="K1218" s="3">
        <v>4.0</v>
      </c>
      <c r="L1218" s="3" t="s">
        <v>27</v>
      </c>
    </row>
    <row r="1219" ht="15.75" customHeight="1">
      <c r="A1219" s="3" t="s">
        <v>1292</v>
      </c>
      <c r="B1219" s="3" t="s">
        <v>17</v>
      </c>
      <c r="C1219" s="3" t="s">
        <v>54</v>
      </c>
      <c r="D1219" s="3">
        <v>62032.778818499</v>
      </c>
      <c r="E1219" s="3">
        <v>19879.0047536516</v>
      </c>
      <c r="F1219" s="3">
        <v>9970.94066580902</v>
      </c>
      <c r="G1219" s="3">
        <v>11245.0535689509</v>
      </c>
      <c r="H1219" s="3">
        <v>27692.2192438037</v>
      </c>
      <c r="I1219" s="3">
        <v>67271.875680924</v>
      </c>
      <c r="J1219" s="4">
        <v>45962.0</v>
      </c>
      <c r="K1219" s="3">
        <v>19.0</v>
      </c>
      <c r="L1219" s="3" t="s">
        <v>31</v>
      </c>
    </row>
    <row r="1220" ht="15.75" customHeight="1">
      <c r="A1220" s="3" t="s">
        <v>1293</v>
      </c>
      <c r="B1220" s="3" t="s">
        <v>29</v>
      </c>
      <c r="C1220" s="3" t="s">
        <v>33</v>
      </c>
      <c r="D1220" s="3">
        <v>62043.6617884052</v>
      </c>
      <c r="E1220" s="3">
        <v>19883.6194719791</v>
      </c>
      <c r="F1220" s="3">
        <v>9978.62066923852</v>
      </c>
      <c r="G1220" s="3">
        <v>11248.4511196382</v>
      </c>
      <c r="H1220" s="3">
        <v>27642.7155260546</v>
      </c>
      <c r="I1220" s="3">
        <v>67275.2571553438</v>
      </c>
      <c r="J1220" s="4">
        <v>45778.0</v>
      </c>
      <c r="K1220" s="3">
        <v>10.0</v>
      </c>
      <c r="L1220" s="3" t="s">
        <v>34</v>
      </c>
    </row>
    <row r="1221" ht="15.75" customHeight="1">
      <c r="A1221" s="3" t="s">
        <v>1294</v>
      </c>
      <c r="B1221" s="3" t="s">
        <v>51</v>
      </c>
      <c r="C1221" s="3" t="s">
        <v>54</v>
      </c>
      <c r="D1221" s="3">
        <v>62054.5447583114</v>
      </c>
      <c r="E1221" s="3">
        <v>19888.2341903065</v>
      </c>
      <c r="F1221" s="3">
        <v>9986.30067266801</v>
      </c>
      <c r="G1221" s="3">
        <v>11251.8486703255</v>
      </c>
      <c r="H1221" s="3">
        <v>27593.2118083054</v>
      </c>
      <c r="I1221" s="3">
        <v>67278.6386297636</v>
      </c>
      <c r="J1221" s="4">
        <v>45809.0</v>
      </c>
      <c r="K1221" s="3">
        <v>11.0</v>
      </c>
      <c r="L1221" s="3" t="s">
        <v>38</v>
      </c>
    </row>
    <row r="1222" ht="15.75" customHeight="1">
      <c r="A1222" s="3" t="s">
        <v>1295</v>
      </c>
      <c r="B1222" s="3" t="s">
        <v>29</v>
      </c>
      <c r="C1222" s="3" t="s">
        <v>18</v>
      </c>
      <c r="D1222" s="5"/>
      <c r="E1222" s="3">
        <v>19892.8489086339</v>
      </c>
      <c r="F1222" s="3">
        <v>9993.9806760975</v>
      </c>
      <c r="G1222" s="3">
        <v>11255.2462210128</v>
      </c>
      <c r="H1222" s="3">
        <v>27543.7080905563</v>
      </c>
      <c r="I1222" s="3">
        <v>67282.0201041834</v>
      </c>
      <c r="J1222" s="4">
        <v>45778.0</v>
      </c>
      <c r="K1222" s="3">
        <v>17.0</v>
      </c>
      <c r="L1222" s="3" t="s">
        <v>40</v>
      </c>
    </row>
    <row r="1223" ht="15.75" customHeight="1">
      <c r="A1223" s="3" t="s">
        <v>1296</v>
      </c>
      <c r="B1223" s="3" t="s">
        <v>17</v>
      </c>
      <c r="C1223" s="3" t="s">
        <v>14</v>
      </c>
      <c r="D1223" s="3">
        <v>62076.3106981238</v>
      </c>
      <c r="E1223" s="3">
        <v>19897.4636269613</v>
      </c>
      <c r="F1223" s="3">
        <v>10001.660679527</v>
      </c>
      <c r="G1223" s="3">
        <v>11258.6437717</v>
      </c>
      <c r="H1223" s="3">
        <v>27494.2043728072</v>
      </c>
      <c r="I1223" s="3">
        <v>67285.4015786032</v>
      </c>
      <c r="J1223" s="3" t="s">
        <v>653</v>
      </c>
      <c r="K1223" s="3">
        <v>18.0</v>
      </c>
      <c r="L1223" s="3" t="s">
        <v>42</v>
      </c>
    </row>
    <row r="1224" ht="15.75" customHeight="1">
      <c r="A1224" s="3" t="s">
        <v>1297</v>
      </c>
      <c r="B1224" s="3" t="s">
        <v>17</v>
      </c>
      <c r="C1224" s="3" t="s">
        <v>14</v>
      </c>
      <c r="D1224" s="3">
        <v>62087.1936680299</v>
      </c>
      <c r="E1224" s="3">
        <v>19902.0783452888</v>
      </c>
      <c r="F1224" s="3">
        <v>10009.3406829565</v>
      </c>
      <c r="G1224" s="3">
        <v>11262.0413223873</v>
      </c>
      <c r="H1224" s="3">
        <v>27444.700655058</v>
      </c>
      <c r="I1224" s="3">
        <v>67288.783053023</v>
      </c>
      <c r="J1224" s="4">
        <v>45658.0</v>
      </c>
      <c r="K1224" s="3">
        <v>13.0</v>
      </c>
      <c r="L1224" s="3" t="s">
        <v>15</v>
      </c>
    </row>
    <row r="1225" ht="15.75" customHeight="1">
      <c r="A1225" s="3" t="s">
        <v>1298</v>
      </c>
      <c r="B1225" s="3" t="s">
        <v>53</v>
      </c>
      <c r="C1225" s="3" t="s">
        <v>37</v>
      </c>
      <c r="D1225" s="3">
        <v>62098.0766379361</v>
      </c>
      <c r="E1225" s="3">
        <v>19906.6930636162</v>
      </c>
      <c r="F1225" s="3">
        <v>10017.020686386</v>
      </c>
      <c r="G1225" s="3">
        <v>11265.4388730746</v>
      </c>
      <c r="H1225" s="3">
        <v>27395.1969373089</v>
      </c>
      <c r="I1225" s="3">
        <v>67292.1645274428</v>
      </c>
      <c r="J1225" s="4">
        <v>45992.0</v>
      </c>
      <c r="K1225" s="3">
        <v>14.0</v>
      </c>
      <c r="L1225" s="3" t="s">
        <v>19</v>
      </c>
    </row>
    <row r="1226" ht="15.75" customHeight="1">
      <c r="A1226" s="3" t="s">
        <v>1299</v>
      </c>
      <c r="B1226" s="3" t="s">
        <v>13</v>
      </c>
      <c r="C1226" s="3" t="s">
        <v>54</v>
      </c>
      <c r="D1226" s="3">
        <v>62108.9596078423</v>
      </c>
      <c r="E1226" s="3">
        <v>19911.3077819436</v>
      </c>
      <c r="F1226" s="3">
        <v>10024.7006898155</v>
      </c>
      <c r="G1226" s="3">
        <v>11268.8364237619</v>
      </c>
      <c r="H1226" s="3">
        <v>27345.6932195598</v>
      </c>
      <c r="I1226" s="3">
        <v>67295.5460018626</v>
      </c>
      <c r="J1226" s="4">
        <v>45962.0</v>
      </c>
      <c r="K1226" s="3">
        <v>5.0</v>
      </c>
      <c r="L1226" s="3" t="s">
        <v>21</v>
      </c>
    </row>
    <row r="1227" ht="15.75" customHeight="1">
      <c r="A1227" s="3" t="s">
        <v>1300</v>
      </c>
      <c r="B1227" s="3" t="s">
        <v>13</v>
      </c>
      <c r="C1227" s="3" t="s">
        <v>18</v>
      </c>
      <c r="D1227" s="3">
        <v>62119.8425777485</v>
      </c>
      <c r="E1227" s="3">
        <v>19915.922500271</v>
      </c>
      <c r="F1227" s="3">
        <v>10032.380693245</v>
      </c>
      <c r="G1227" s="3">
        <v>11272.2339744492</v>
      </c>
      <c r="H1227" s="3">
        <v>27296.1895018107</v>
      </c>
      <c r="I1227" s="3">
        <v>67298.9274762825</v>
      </c>
      <c r="J1227" s="4">
        <v>45778.0</v>
      </c>
      <c r="K1227" s="3">
        <v>9.0</v>
      </c>
      <c r="L1227" s="3" t="s">
        <v>23</v>
      </c>
    </row>
    <row r="1228" ht="15.75" customHeight="1">
      <c r="A1228" s="3" t="s">
        <v>1301</v>
      </c>
      <c r="B1228" s="3" t="s">
        <v>29</v>
      </c>
      <c r="C1228" s="3" t="s">
        <v>37</v>
      </c>
      <c r="D1228" s="3">
        <v>62130.7255476547</v>
      </c>
      <c r="E1228" s="3">
        <v>19920.5372185984</v>
      </c>
      <c r="F1228" s="3">
        <v>10040.0606966745</v>
      </c>
      <c r="G1228" s="3">
        <v>11275.6315251365</v>
      </c>
      <c r="H1228" s="3">
        <v>27246.6857840615</v>
      </c>
      <c r="I1228" s="3">
        <v>67302.3089507023</v>
      </c>
      <c r="J1228" s="4">
        <v>45901.0</v>
      </c>
      <c r="K1228" s="3">
        <v>15.0</v>
      </c>
      <c r="L1228" s="3" t="s">
        <v>27</v>
      </c>
    </row>
    <row r="1229" ht="15.75" customHeight="1">
      <c r="A1229" s="3" t="s">
        <v>1302</v>
      </c>
      <c r="B1229" s="5"/>
      <c r="C1229" s="3" t="s">
        <v>33</v>
      </c>
      <c r="D1229" s="3">
        <v>62141.6085175609</v>
      </c>
      <c r="E1229" s="3">
        <v>19925.1519369259</v>
      </c>
      <c r="F1229" s="3">
        <v>10047.740700104</v>
      </c>
      <c r="G1229" s="3">
        <v>11279.0290758238</v>
      </c>
      <c r="H1229" s="3">
        <v>27197.1820663124</v>
      </c>
      <c r="I1229" s="3">
        <v>67305.6904251221</v>
      </c>
      <c r="J1229" s="4">
        <v>45717.0</v>
      </c>
      <c r="K1229" s="3">
        <v>8.0</v>
      </c>
      <c r="L1229" s="3" t="s">
        <v>31</v>
      </c>
    </row>
    <row r="1230" ht="15.75" customHeight="1">
      <c r="A1230" s="3" t="s">
        <v>1303</v>
      </c>
      <c r="B1230" s="3" t="s">
        <v>51</v>
      </c>
      <c r="C1230" s="3" t="s">
        <v>30</v>
      </c>
      <c r="D1230" s="3">
        <v>62152.4914874671</v>
      </c>
      <c r="E1230" s="3">
        <v>19929.7666552533</v>
      </c>
      <c r="F1230" s="3">
        <v>10055.4207035335</v>
      </c>
      <c r="G1230" s="3">
        <v>11282.4266265111</v>
      </c>
      <c r="H1230" s="3">
        <v>27147.6783485633</v>
      </c>
      <c r="I1230" s="3">
        <v>67309.0718995419</v>
      </c>
      <c r="J1230" s="4">
        <v>45778.0</v>
      </c>
      <c r="K1230" s="3">
        <v>14.0</v>
      </c>
      <c r="L1230" s="3" t="s">
        <v>34</v>
      </c>
    </row>
    <row r="1231" ht="15.75" customHeight="1">
      <c r="A1231" s="3" t="s">
        <v>1304</v>
      </c>
      <c r="B1231" s="3" t="s">
        <v>53</v>
      </c>
      <c r="C1231" s="3" t="s">
        <v>37</v>
      </c>
      <c r="D1231" s="3">
        <v>62163.3744573733</v>
      </c>
      <c r="E1231" s="3">
        <v>19934.3813735807</v>
      </c>
      <c r="F1231" s="3">
        <v>10063.100706963</v>
      </c>
      <c r="G1231" s="3">
        <v>11285.8241771983</v>
      </c>
      <c r="H1231" s="3">
        <v>27098.1746308142</v>
      </c>
      <c r="I1231" s="3">
        <v>67312.4533739617</v>
      </c>
      <c r="J1231" s="4">
        <v>45870.0</v>
      </c>
      <c r="K1231" s="3">
        <v>1.0</v>
      </c>
      <c r="L1231" s="3" t="s">
        <v>38</v>
      </c>
    </row>
    <row r="1232" ht="15.75" customHeight="1">
      <c r="A1232" s="3" t="s">
        <v>1305</v>
      </c>
      <c r="B1232" s="3" t="s">
        <v>51</v>
      </c>
      <c r="C1232" s="3" t="s">
        <v>54</v>
      </c>
      <c r="D1232" s="3">
        <v>62174.2574272795</v>
      </c>
      <c r="E1232" s="3">
        <v>19938.9960919081</v>
      </c>
      <c r="F1232" s="3">
        <v>10070.7807103925</v>
      </c>
      <c r="G1232" s="3">
        <v>11289.2217278856</v>
      </c>
      <c r="H1232" s="3">
        <v>27048.670913065</v>
      </c>
      <c r="I1232" s="3">
        <v>67315.8348483815</v>
      </c>
      <c r="J1232" s="4">
        <v>45992.0</v>
      </c>
      <c r="K1232" s="3">
        <v>13.0</v>
      </c>
      <c r="L1232" s="3" t="s">
        <v>40</v>
      </c>
    </row>
    <row r="1233" ht="15.75" customHeight="1">
      <c r="A1233" s="3" t="s">
        <v>1306</v>
      </c>
      <c r="B1233" s="3" t="s">
        <v>36</v>
      </c>
      <c r="C1233" s="3" t="s">
        <v>18</v>
      </c>
      <c r="D1233" s="3">
        <v>62185.1403971857</v>
      </c>
      <c r="E1233" s="3">
        <v>19943.6108102356</v>
      </c>
      <c r="F1233" s="3">
        <v>10078.460713822</v>
      </c>
      <c r="G1233" s="3">
        <v>11292.6192785729</v>
      </c>
      <c r="H1233" s="3">
        <v>26999.1671953159</v>
      </c>
      <c r="I1233" s="3">
        <v>67319.2163228014</v>
      </c>
      <c r="J1233" s="4">
        <v>45809.0</v>
      </c>
      <c r="K1233" s="3">
        <v>25.0</v>
      </c>
      <c r="L1233" s="3" t="s">
        <v>42</v>
      </c>
    </row>
    <row r="1234" ht="15.75" customHeight="1">
      <c r="A1234" s="3" t="s">
        <v>1307</v>
      </c>
      <c r="B1234" s="3" t="s">
        <v>51</v>
      </c>
      <c r="C1234" s="3" t="s">
        <v>18</v>
      </c>
      <c r="D1234" s="3">
        <v>62196.0233670919</v>
      </c>
      <c r="E1234" s="3">
        <v>19948.225528563</v>
      </c>
      <c r="F1234" s="3">
        <v>10086.1407172515</v>
      </c>
      <c r="G1234" s="3">
        <v>11296.0168292602</v>
      </c>
      <c r="H1234" s="3">
        <v>26949.6634775668</v>
      </c>
      <c r="I1234" s="3">
        <v>67322.5977972212</v>
      </c>
      <c r="J1234" s="4">
        <v>45748.0</v>
      </c>
      <c r="K1234" s="3">
        <v>15.0</v>
      </c>
      <c r="L1234" s="3" t="s">
        <v>15</v>
      </c>
    </row>
    <row r="1235" ht="15.75" customHeight="1">
      <c r="A1235" s="3" t="s">
        <v>1308</v>
      </c>
      <c r="B1235" s="3" t="s">
        <v>17</v>
      </c>
      <c r="C1235" s="3" t="s">
        <v>26</v>
      </c>
      <c r="D1235" s="3">
        <v>62206.9063369981</v>
      </c>
      <c r="E1235" s="3">
        <v>19952.8402468904</v>
      </c>
      <c r="F1235" s="3">
        <v>10093.820720681</v>
      </c>
      <c r="G1235" s="3">
        <v>11299.4143799475</v>
      </c>
      <c r="H1235" s="3">
        <v>26900.1597598177</v>
      </c>
      <c r="I1235" s="3">
        <v>67325.979271641</v>
      </c>
      <c r="J1235" s="4">
        <v>45689.0</v>
      </c>
      <c r="K1235" s="3">
        <v>15.0</v>
      </c>
      <c r="L1235" s="3" t="s">
        <v>19</v>
      </c>
    </row>
    <row r="1236" ht="15.75" customHeight="1">
      <c r="A1236" s="3" t="s">
        <v>1309</v>
      </c>
      <c r="B1236" s="3" t="s">
        <v>51</v>
      </c>
      <c r="C1236" s="3" t="s">
        <v>14</v>
      </c>
      <c r="D1236" s="3">
        <v>62217.7893069043</v>
      </c>
      <c r="E1236" s="3">
        <v>19957.4549652178</v>
      </c>
      <c r="F1236" s="3">
        <v>10101.5007241105</v>
      </c>
      <c r="G1236" s="3">
        <v>11302.8119306348</v>
      </c>
      <c r="H1236" s="3">
        <v>26850.6560420685</v>
      </c>
      <c r="I1236" s="3">
        <v>67329.3607460608</v>
      </c>
      <c r="J1236" s="4">
        <v>45839.0</v>
      </c>
      <c r="K1236" s="3">
        <v>5.0</v>
      </c>
      <c r="L1236" s="3" t="s">
        <v>21</v>
      </c>
    </row>
    <row r="1237" ht="15.75" customHeight="1">
      <c r="A1237" s="3" t="s">
        <v>1310</v>
      </c>
      <c r="B1237" s="3" t="s">
        <v>36</v>
      </c>
      <c r="C1237" s="3" t="s">
        <v>54</v>
      </c>
      <c r="D1237" s="3">
        <v>62239.5552467167</v>
      </c>
      <c r="E1237" s="3">
        <v>19966.6844018727</v>
      </c>
      <c r="F1237" s="3">
        <v>10116.8607309695</v>
      </c>
      <c r="G1237" s="3">
        <v>11309.6070320093</v>
      </c>
      <c r="H1237" s="3">
        <v>26751.6486065703</v>
      </c>
      <c r="I1237" s="3">
        <v>67336.1236949004</v>
      </c>
      <c r="J1237" s="4">
        <v>45870.0</v>
      </c>
      <c r="K1237" s="3">
        <v>5.0</v>
      </c>
      <c r="L1237" s="3" t="s">
        <v>27</v>
      </c>
    </row>
    <row r="1238" ht="15.75" customHeight="1">
      <c r="A1238" s="3" t="s">
        <v>1311</v>
      </c>
      <c r="B1238" s="3" t="s">
        <v>25</v>
      </c>
      <c r="C1238" s="3" t="s">
        <v>54</v>
      </c>
      <c r="D1238" s="3">
        <v>62250.4382166228</v>
      </c>
      <c r="E1238" s="3">
        <v>19971.2991202001</v>
      </c>
      <c r="F1238" s="3">
        <v>10124.540734399</v>
      </c>
      <c r="G1238" s="3">
        <v>11313.0045826966</v>
      </c>
      <c r="H1238" s="3">
        <v>26702.1448888211</v>
      </c>
      <c r="I1238" s="3">
        <v>67339.5051693202</v>
      </c>
      <c r="J1238" s="4">
        <v>45870.0</v>
      </c>
      <c r="K1238" s="3">
        <v>3.0</v>
      </c>
      <c r="L1238" s="3" t="s">
        <v>31</v>
      </c>
    </row>
    <row r="1239" ht="15.75" customHeight="1">
      <c r="A1239" s="3" t="s">
        <v>1312</v>
      </c>
      <c r="B1239" s="3" t="s">
        <v>17</v>
      </c>
      <c r="C1239" s="3" t="s">
        <v>37</v>
      </c>
      <c r="D1239" s="3">
        <v>62261.321186529</v>
      </c>
      <c r="E1239" s="3">
        <v>19975.9138385275</v>
      </c>
      <c r="F1239" s="3">
        <v>10132.2207378285</v>
      </c>
      <c r="G1239" s="3">
        <v>11316.4021333839</v>
      </c>
      <c r="H1239" s="3">
        <v>26652.641171072</v>
      </c>
      <c r="I1239" s="3">
        <v>67342.8866437401</v>
      </c>
      <c r="J1239" s="4">
        <v>45870.0</v>
      </c>
      <c r="K1239" s="3">
        <v>21.0</v>
      </c>
      <c r="L1239" s="3" t="s">
        <v>34</v>
      </c>
    </row>
    <row r="1240" ht="15.75" customHeight="1">
      <c r="A1240" s="3" t="s">
        <v>1313</v>
      </c>
      <c r="B1240" s="3" t="s">
        <v>13</v>
      </c>
      <c r="C1240" s="3" t="s">
        <v>37</v>
      </c>
      <c r="D1240" s="3">
        <v>62272.2041564352</v>
      </c>
      <c r="E1240" s="3">
        <v>19980.5285568549</v>
      </c>
      <c r="F1240" s="3">
        <v>10139.900741258</v>
      </c>
      <c r="G1240" s="3">
        <v>11319.7996840712</v>
      </c>
      <c r="H1240" s="3">
        <v>26603.1374533229</v>
      </c>
      <c r="I1240" s="3">
        <v>67346.2681181599</v>
      </c>
      <c r="J1240" s="4">
        <v>45901.0</v>
      </c>
      <c r="K1240" s="3">
        <v>20.0</v>
      </c>
      <c r="L1240" s="3" t="s">
        <v>38</v>
      </c>
    </row>
    <row r="1241" ht="15.75" customHeight="1">
      <c r="A1241" s="3" t="s">
        <v>1314</v>
      </c>
      <c r="B1241" s="3" t="s">
        <v>53</v>
      </c>
      <c r="C1241" s="3" t="s">
        <v>26</v>
      </c>
      <c r="D1241" s="3">
        <v>62283.0871263414</v>
      </c>
      <c r="E1241" s="3">
        <v>19985.1432751824</v>
      </c>
      <c r="F1241" s="3">
        <v>10147.5807446875</v>
      </c>
      <c r="G1241" s="3">
        <v>11323.1972347585</v>
      </c>
      <c r="H1241" s="3">
        <v>26553.6337355738</v>
      </c>
      <c r="I1241" s="3">
        <v>67349.6495925797</v>
      </c>
      <c r="J1241" s="4">
        <v>45748.0</v>
      </c>
      <c r="K1241" s="3">
        <v>6.0</v>
      </c>
      <c r="L1241" s="3" t="s">
        <v>40</v>
      </c>
    </row>
    <row r="1242" ht="15.75" customHeight="1">
      <c r="A1242" s="3" t="s">
        <v>1315</v>
      </c>
      <c r="B1242" s="3" t="s">
        <v>36</v>
      </c>
      <c r="C1242" s="3" t="s">
        <v>30</v>
      </c>
      <c r="D1242" s="3">
        <v>62293.9700962476</v>
      </c>
      <c r="E1242" s="3">
        <v>19989.7579935098</v>
      </c>
      <c r="F1242" s="3">
        <v>10155.2607481169</v>
      </c>
      <c r="G1242" s="3">
        <v>11326.5947854458</v>
      </c>
      <c r="H1242" s="3">
        <v>26504.1300178246</v>
      </c>
      <c r="I1242" s="3">
        <v>67353.0310669995</v>
      </c>
      <c r="J1242" s="4">
        <v>45748.0</v>
      </c>
      <c r="K1242" s="3">
        <v>25.0</v>
      </c>
      <c r="L1242" s="3" t="s">
        <v>42</v>
      </c>
    </row>
    <row r="1243" ht="15.75" customHeight="1">
      <c r="A1243" s="3" t="s">
        <v>1316</v>
      </c>
      <c r="B1243" s="3" t="s">
        <v>25</v>
      </c>
      <c r="C1243" s="3" t="s">
        <v>18</v>
      </c>
      <c r="D1243" s="3">
        <v>62304.8530661538</v>
      </c>
      <c r="E1243" s="3">
        <v>19994.3727118372</v>
      </c>
      <c r="F1243" s="3">
        <v>10162.9407515464</v>
      </c>
      <c r="G1243" s="3">
        <v>11329.9923361331</v>
      </c>
      <c r="H1243" s="3">
        <v>26454.6263000755</v>
      </c>
      <c r="I1243" s="3">
        <v>67356.4125414193</v>
      </c>
      <c r="J1243" s="4">
        <v>45809.0</v>
      </c>
      <c r="K1243" s="3">
        <v>25.0</v>
      </c>
      <c r="L1243" s="3" t="s">
        <v>15</v>
      </c>
    </row>
    <row r="1244" ht="15.75" customHeight="1">
      <c r="A1244" s="3" t="s">
        <v>1317</v>
      </c>
      <c r="B1244" s="3" t="s">
        <v>29</v>
      </c>
      <c r="C1244" s="3" t="s">
        <v>54</v>
      </c>
      <c r="D1244" s="3">
        <v>62315.73603606</v>
      </c>
      <c r="E1244" s="3">
        <v>19998.9874301646</v>
      </c>
      <c r="F1244" s="3">
        <v>10170.6207549759</v>
      </c>
      <c r="G1244" s="3">
        <v>11333.3898868204</v>
      </c>
      <c r="H1244" s="3">
        <v>26405.1225823264</v>
      </c>
      <c r="I1244" s="3">
        <v>67359.7940158391</v>
      </c>
      <c r="J1244" s="4">
        <v>45992.0</v>
      </c>
      <c r="K1244" s="3">
        <v>22.0</v>
      </c>
      <c r="L1244" s="3" t="s">
        <v>19</v>
      </c>
    </row>
    <row r="1245" ht="15.75" customHeight="1">
      <c r="A1245" s="3" t="s">
        <v>1318</v>
      </c>
      <c r="B1245" s="3" t="s">
        <v>53</v>
      </c>
      <c r="C1245" s="3" t="s">
        <v>14</v>
      </c>
      <c r="D1245" s="3">
        <v>62326.6190059662</v>
      </c>
      <c r="E1245" s="3">
        <v>20003.602148492</v>
      </c>
      <c r="F1245" s="3">
        <v>10178.3007584054</v>
      </c>
      <c r="G1245" s="3">
        <v>11336.7874375076</v>
      </c>
      <c r="H1245" s="3">
        <v>50989.8315684586</v>
      </c>
      <c r="I1245" s="3">
        <v>55989.8315684586</v>
      </c>
      <c r="J1245" s="4">
        <v>45658.0</v>
      </c>
      <c r="K1245" s="3">
        <v>13.0</v>
      </c>
      <c r="L1245" s="3" t="s">
        <v>21</v>
      </c>
    </row>
    <row r="1246" ht="15.75" customHeight="1">
      <c r="A1246" s="3" t="s">
        <v>1319</v>
      </c>
      <c r="B1246" s="3" t="s">
        <v>51</v>
      </c>
      <c r="C1246" s="3" t="s">
        <v>14</v>
      </c>
      <c r="D1246" s="3">
        <v>62337.5019758724</v>
      </c>
      <c r="E1246" s="3">
        <v>20008.2168668195</v>
      </c>
      <c r="F1246" s="3">
        <v>10185.9807618349</v>
      </c>
      <c r="G1246" s="3">
        <v>11340.1849881949</v>
      </c>
      <c r="H1246" s="3">
        <v>26306.1151468281</v>
      </c>
      <c r="I1246" s="3">
        <v>67366.5569646788</v>
      </c>
      <c r="J1246" s="4">
        <v>45992.0</v>
      </c>
      <c r="K1246" s="3">
        <v>16.0</v>
      </c>
      <c r="L1246" s="3" t="s">
        <v>23</v>
      </c>
    </row>
    <row r="1247" ht="15.75" customHeight="1">
      <c r="A1247" s="3" t="s">
        <v>1320</v>
      </c>
      <c r="B1247" s="3" t="s">
        <v>51</v>
      </c>
      <c r="C1247" s="3" t="s">
        <v>26</v>
      </c>
      <c r="D1247" s="3">
        <v>62348.3849457786</v>
      </c>
      <c r="E1247" s="3">
        <v>20012.8315851469</v>
      </c>
      <c r="F1247" s="3">
        <v>10193.6607652644</v>
      </c>
      <c r="G1247" s="3">
        <v>11343.5825388822</v>
      </c>
      <c r="H1247" s="3">
        <v>26256.611429079</v>
      </c>
      <c r="I1247" s="3">
        <v>67369.9384390986</v>
      </c>
      <c r="J1247" s="4">
        <v>45809.0</v>
      </c>
      <c r="K1247" s="3">
        <v>15.0</v>
      </c>
      <c r="L1247" s="3" t="s">
        <v>27</v>
      </c>
    </row>
    <row r="1248" ht="15.75" customHeight="1">
      <c r="A1248" s="3" t="s">
        <v>1321</v>
      </c>
      <c r="B1248" s="3" t="s">
        <v>29</v>
      </c>
      <c r="C1248" s="3" t="s">
        <v>26</v>
      </c>
      <c r="D1248" s="3">
        <v>62370.150885591</v>
      </c>
      <c r="E1248" s="3">
        <v>20022.0610218017</v>
      </c>
      <c r="F1248" s="3">
        <v>10209.0207721234</v>
      </c>
      <c r="G1248" s="3">
        <v>11350.3776402568</v>
      </c>
      <c r="H1248" s="3">
        <v>26157.6039935808</v>
      </c>
      <c r="I1248" s="3">
        <v>67376.7013879382</v>
      </c>
      <c r="J1248" s="4">
        <v>45748.0</v>
      </c>
      <c r="K1248" s="3">
        <v>18.0</v>
      </c>
      <c r="L1248" s="3" t="s">
        <v>34</v>
      </c>
    </row>
    <row r="1249" ht="15.75" customHeight="1">
      <c r="A1249" s="3" t="s">
        <v>1322</v>
      </c>
      <c r="B1249" s="3" t="s">
        <v>13</v>
      </c>
      <c r="C1249" s="3" t="s">
        <v>18</v>
      </c>
      <c r="D1249" s="3">
        <v>62381.0338554972</v>
      </c>
      <c r="E1249" s="3">
        <v>20026.6757401292</v>
      </c>
      <c r="F1249" s="3">
        <v>10216.7007755529</v>
      </c>
      <c r="G1249" s="3">
        <v>11353.7751909441</v>
      </c>
      <c r="H1249" s="3">
        <v>26108.1002758316</v>
      </c>
      <c r="I1249" s="3">
        <v>67380.082862358</v>
      </c>
      <c r="J1249" s="4">
        <v>45839.0</v>
      </c>
      <c r="K1249" s="3">
        <v>5.0</v>
      </c>
      <c r="L1249" s="3" t="s">
        <v>38</v>
      </c>
    </row>
    <row r="1250" ht="15.75" customHeight="1">
      <c r="A1250" s="3" t="s">
        <v>1323</v>
      </c>
      <c r="B1250" s="3" t="s">
        <v>29</v>
      </c>
      <c r="C1250" s="3" t="s">
        <v>54</v>
      </c>
      <c r="D1250" s="3">
        <v>62391.9168254034</v>
      </c>
      <c r="E1250" s="3">
        <v>20031.2904584566</v>
      </c>
      <c r="F1250" s="3">
        <v>10224.3807789824</v>
      </c>
      <c r="G1250" s="3">
        <v>11357.1727416314</v>
      </c>
      <c r="H1250" s="3">
        <v>26058.5965580825</v>
      </c>
      <c r="I1250" s="3">
        <v>67383.4643367778</v>
      </c>
      <c r="J1250" s="4">
        <v>45901.0</v>
      </c>
      <c r="K1250" s="3">
        <v>15.0</v>
      </c>
      <c r="L1250" s="3" t="s">
        <v>40</v>
      </c>
    </row>
    <row r="1251" ht="15.75" customHeight="1">
      <c r="A1251" s="3" t="s">
        <v>1324</v>
      </c>
      <c r="B1251" s="3" t="s">
        <v>13</v>
      </c>
      <c r="C1251" s="3" t="s">
        <v>30</v>
      </c>
      <c r="D1251" s="3">
        <v>62402.7997953096</v>
      </c>
      <c r="E1251" s="3">
        <v>20035.905176784</v>
      </c>
      <c r="F1251" s="3">
        <v>10232.0607824119</v>
      </c>
      <c r="G1251" s="3">
        <v>11360.5702923187</v>
      </c>
      <c r="H1251" s="3">
        <v>26009.0928403334</v>
      </c>
      <c r="I1251" s="3">
        <v>67386.8458111977</v>
      </c>
      <c r="J1251" s="3" t="s">
        <v>1325</v>
      </c>
      <c r="K1251" s="3">
        <v>15.0</v>
      </c>
      <c r="L1251" s="3" t="s">
        <v>42</v>
      </c>
    </row>
    <row r="1252" ht="15.75" customHeight="1">
      <c r="A1252" s="3" t="s">
        <v>1326</v>
      </c>
      <c r="B1252" s="3" t="s">
        <v>17</v>
      </c>
      <c r="C1252" s="3" t="s">
        <v>54</v>
      </c>
      <c r="D1252" s="3">
        <v>62413.6827652157</v>
      </c>
      <c r="E1252" s="3">
        <v>20040.5198951114</v>
      </c>
      <c r="F1252" s="3">
        <v>10239.7407858414</v>
      </c>
      <c r="G1252" s="3">
        <v>11363.9678430059</v>
      </c>
      <c r="H1252" s="3">
        <v>25959.5891225843</v>
      </c>
      <c r="I1252" s="3">
        <v>67390.2272856175</v>
      </c>
      <c r="J1252" s="4">
        <v>45748.0</v>
      </c>
      <c r="K1252" s="3">
        <v>18.0</v>
      </c>
      <c r="L1252" s="3" t="s">
        <v>15</v>
      </c>
    </row>
    <row r="1253" ht="15.75" customHeight="1">
      <c r="A1253" s="3" t="s">
        <v>1327</v>
      </c>
      <c r="B1253" s="3" t="s">
        <v>51</v>
      </c>
      <c r="C1253" s="3" t="s">
        <v>26</v>
      </c>
      <c r="D1253" s="3">
        <v>62424.5657351219</v>
      </c>
      <c r="E1253" s="3">
        <v>20045.1346134388</v>
      </c>
      <c r="F1253" s="3">
        <v>10247.4207892709</v>
      </c>
      <c r="G1253" s="3">
        <v>11367.3653936932</v>
      </c>
      <c r="H1253" s="3">
        <v>25910.0854048351</v>
      </c>
      <c r="I1253" s="3">
        <v>67393.6087600373</v>
      </c>
      <c r="J1253" s="4">
        <v>45839.0</v>
      </c>
      <c r="K1253" s="3">
        <v>18.0</v>
      </c>
      <c r="L1253" s="3" t="s">
        <v>19</v>
      </c>
    </row>
    <row r="1254" ht="15.75" customHeight="1">
      <c r="A1254" s="3" t="s">
        <v>1328</v>
      </c>
      <c r="B1254" s="3" t="s">
        <v>36</v>
      </c>
      <c r="C1254" s="3" t="s">
        <v>33</v>
      </c>
      <c r="D1254" s="3">
        <v>62435.4487050281</v>
      </c>
      <c r="E1254" s="3">
        <v>20049.7493317663</v>
      </c>
      <c r="F1254" s="3">
        <v>10255.1007927004</v>
      </c>
      <c r="G1254" s="3">
        <v>11370.7629443805</v>
      </c>
      <c r="H1254" s="3">
        <v>25860.581687086</v>
      </c>
      <c r="I1254" s="3">
        <v>67396.9902344571</v>
      </c>
      <c r="J1254" s="4">
        <v>45809.0</v>
      </c>
      <c r="K1254" s="3">
        <v>1.0</v>
      </c>
      <c r="L1254" s="3" t="s">
        <v>21</v>
      </c>
    </row>
    <row r="1255" ht="15.75" customHeight="1">
      <c r="A1255" s="3" t="s">
        <v>1329</v>
      </c>
      <c r="B1255" s="3" t="s">
        <v>29</v>
      </c>
      <c r="C1255" s="3" t="s">
        <v>26</v>
      </c>
      <c r="D1255" s="3">
        <v>62446.3316749343</v>
      </c>
      <c r="E1255" s="3">
        <v>20054.3640500937</v>
      </c>
      <c r="F1255" s="3">
        <v>10262.7807961299</v>
      </c>
      <c r="G1255" s="3">
        <v>11374.1604950678</v>
      </c>
      <c r="H1255" s="3">
        <v>25811.0779693369</v>
      </c>
      <c r="I1255" s="3">
        <v>67400.3717088769</v>
      </c>
      <c r="J1255" s="4">
        <v>45658.0</v>
      </c>
      <c r="K1255" s="3">
        <v>10.0</v>
      </c>
      <c r="L1255" s="3" t="s">
        <v>23</v>
      </c>
    </row>
    <row r="1256" ht="15.75" customHeight="1">
      <c r="A1256" s="3" t="s">
        <v>1330</v>
      </c>
      <c r="B1256" s="3" t="s">
        <v>51</v>
      </c>
      <c r="C1256" s="3" t="s">
        <v>18</v>
      </c>
      <c r="D1256" s="3">
        <v>62457.2146448405</v>
      </c>
      <c r="E1256" s="3">
        <v>20058.9787684211</v>
      </c>
      <c r="F1256" s="3">
        <v>10270.4607995594</v>
      </c>
      <c r="G1256" s="3">
        <v>11377.5580457551</v>
      </c>
      <c r="H1256" s="3">
        <v>25761.5742515877</v>
      </c>
      <c r="I1256" s="3">
        <v>67403.7531832967</v>
      </c>
      <c r="J1256" s="4">
        <v>45870.0</v>
      </c>
      <c r="K1256" s="3">
        <v>10.0</v>
      </c>
      <c r="L1256" s="3" t="s">
        <v>27</v>
      </c>
    </row>
    <row r="1257" ht="15.75" customHeight="1">
      <c r="A1257" s="3" t="s">
        <v>1331</v>
      </c>
      <c r="B1257" s="3" t="s">
        <v>51</v>
      </c>
      <c r="C1257" s="3" t="s">
        <v>30</v>
      </c>
      <c r="D1257" s="3">
        <v>62468.0976147467</v>
      </c>
      <c r="E1257" s="3">
        <v>20063.5934867485</v>
      </c>
      <c r="F1257" s="3">
        <v>10278.1408029889</v>
      </c>
      <c r="G1257" s="3">
        <v>11380.9555964424</v>
      </c>
      <c r="H1257" s="3">
        <v>25712.0705338386</v>
      </c>
      <c r="I1257" s="3">
        <v>67407.1346577165</v>
      </c>
      <c r="J1257" s="4">
        <v>45809.0</v>
      </c>
      <c r="K1257" s="3">
        <v>25.0</v>
      </c>
      <c r="L1257" s="3" t="s">
        <v>31</v>
      </c>
    </row>
    <row r="1258" ht="15.75" customHeight="1">
      <c r="A1258" s="3" t="s">
        <v>1332</v>
      </c>
      <c r="B1258" s="3" t="s">
        <v>51</v>
      </c>
      <c r="C1258" s="3" t="s">
        <v>37</v>
      </c>
      <c r="D1258" s="3">
        <v>62489.8635545591</v>
      </c>
      <c r="E1258" s="3">
        <v>20072.8229234034</v>
      </c>
      <c r="F1258" s="3">
        <v>10293.5008098479</v>
      </c>
      <c r="G1258" s="3">
        <v>11387.7506978169</v>
      </c>
      <c r="H1258" s="3">
        <v>25613.0630983404</v>
      </c>
      <c r="I1258" s="3">
        <v>67413.8976065562</v>
      </c>
      <c r="J1258" s="4">
        <v>45839.0</v>
      </c>
      <c r="K1258" s="3">
        <v>13.0</v>
      </c>
      <c r="L1258" s="3" t="s">
        <v>38</v>
      </c>
    </row>
    <row r="1259" ht="15.75" customHeight="1">
      <c r="A1259" s="3" t="s">
        <v>1333</v>
      </c>
      <c r="B1259" s="3" t="s">
        <v>29</v>
      </c>
      <c r="C1259" s="3" t="s">
        <v>14</v>
      </c>
      <c r="D1259" s="3">
        <v>62500.7465244653</v>
      </c>
      <c r="E1259" s="3">
        <v>20077.4376417308</v>
      </c>
      <c r="F1259" s="3">
        <v>10301.1808132774</v>
      </c>
      <c r="G1259" s="3">
        <v>11391.1482485042</v>
      </c>
      <c r="H1259" s="3">
        <v>25563.5593805912</v>
      </c>
      <c r="I1259" s="3">
        <v>67417.279080976</v>
      </c>
      <c r="J1259" s="4">
        <v>45748.0</v>
      </c>
      <c r="K1259" s="3">
        <v>11.0</v>
      </c>
      <c r="L1259" s="3" t="s">
        <v>40</v>
      </c>
    </row>
    <row r="1260" ht="15.75" customHeight="1">
      <c r="A1260" s="3" t="s">
        <v>1334</v>
      </c>
      <c r="B1260" s="3" t="s">
        <v>36</v>
      </c>
      <c r="C1260" s="3" t="s">
        <v>18</v>
      </c>
      <c r="D1260" s="3">
        <v>62511.6294943715</v>
      </c>
      <c r="E1260" s="3">
        <v>20082.0523600582</v>
      </c>
      <c r="F1260" s="3">
        <v>10308.8608167069</v>
      </c>
      <c r="G1260" s="3">
        <v>11394.5457991915</v>
      </c>
      <c r="H1260" s="3">
        <v>25514.0556628421</v>
      </c>
      <c r="I1260" s="3">
        <v>67420.6605553958</v>
      </c>
      <c r="J1260" s="4">
        <v>45689.0</v>
      </c>
      <c r="K1260" s="3">
        <v>15.0</v>
      </c>
      <c r="L1260" s="3" t="s">
        <v>42</v>
      </c>
    </row>
    <row r="1261" ht="15.75" customHeight="1">
      <c r="A1261" s="3" t="s">
        <v>1335</v>
      </c>
      <c r="B1261" s="3" t="s">
        <v>17</v>
      </c>
      <c r="C1261" s="3" t="s">
        <v>18</v>
      </c>
      <c r="D1261" s="3">
        <v>62522.5124642777</v>
      </c>
      <c r="E1261" s="3">
        <v>20086.6670783856</v>
      </c>
      <c r="F1261" s="3">
        <v>10316.5408201364</v>
      </c>
      <c r="G1261" s="3">
        <v>11397.9433498788</v>
      </c>
      <c r="H1261" s="3">
        <v>25464.551945093</v>
      </c>
      <c r="I1261" s="3">
        <v>67424.0420298156</v>
      </c>
      <c r="J1261" s="4">
        <v>45809.0</v>
      </c>
      <c r="K1261" s="3">
        <v>5.0</v>
      </c>
      <c r="L1261" s="3" t="s">
        <v>15</v>
      </c>
    </row>
    <row r="1262" ht="15.75" customHeight="1">
      <c r="A1262" s="3" t="s">
        <v>1336</v>
      </c>
      <c r="B1262" s="3" t="s">
        <v>25</v>
      </c>
      <c r="C1262" s="3" t="s">
        <v>37</v>
      </c>
      <c r="D1262" s="3">
        <v>62533.3954341839</v>
      </c>
      <c r="E1262" s="3">
        <v>20091.2817967131</v>
      </c>
      <c r="F1262" s="3">
        <v>10324.2208235659</v>
      </c>
      <c r="G1262" s="3">
        <v>11401.3409005661</v>
      </c>
      <c r="H1262" s="3">
        <v>25415.0482273439</v>
      </c>
      <c r="I1262" s="3">
        <v>67427.4235042354</v>
      </c>
      <c r="J1262" s="4">
        <v>45870.0</v>
      </c>
      <c r="K1262" s="3">
        <v>16.0</v>
      </c>
      <c r="L1262" s="3" t="s">
        <v>19</v>
      </c>
    </row>
    <row r="1263" ht="15.75" customHeight="1">
      <c r="A1263" s="3" t="s">
        <v>1337</v>
      </c>
      <c r="B1263" s="3" t="s">
        <v>17</v>
      </c>
      <c r="C1263" s="3" t="s">
        <v>37</v>
      </c>
      <c r="D1263" s="3">
        <v>62544.2784040901</v>
      </c>
      <c r="E1263" s="3">
        <v>20095.8965150405</v>
      </c>
      <c r="F1263" s="3">
        <v>10331.9008269954</v>
      </c>
      <c r="G1263" s="3">
        <v>11404.7384512534</v>
      </c>
      <c r="H1263" s="3">
        <v>25365.5445095947</v>
      </c>
      <c r="I1263" s="3">
        <v>67430.8049786552</v>
      </c>
      <c r="J1263" s="4">
        <v>45992.0</v>
      </c>
      <c r="K1263" s="3">
        <v>22.0</v>
      </c>
      <c r="L1263" s="3" t="s">
        <v>21</v>
      </c>
    </row>
    <row r="1264" ht="15.75" customHeight="1">
      <c r="A1264" s="3" t="s">
        <v>1338</v>
      </c>
      <c r="B1264" s="3" t="s">
        <v>51</v>
      </c>
      <c r="C1264" s="3" t="s">
        <v>54</v>
      </c>
      <c r="D1264" s="3">
        <v>62566.0443439025</v>
      </c>
      <c r="E1264" s="3">
        <v>20105.1259516953</v>
      </c>
      <c r="F1264" s="3">
        <v>10347.2608338544</v>
      </c>
      <c r="G1264" s="3">
        <v>11411.533552628</v>
      </c>
      <c r="H1264" s="3">
        <v>25266.5370740965</v>
      </c>
      <c r="I1264" s="3">
        <v>67437.5679274949</v>
      </c>
      <c r="J1264" s="4">
        <v>45931.0</v>
      </c>
      <c r="K1264" s="3">
        <v>6.0</v>
      </c>
      <c r="L1264" s="3" t="s">
        <v>27</v>
      </c>
    </row>
    <row r="1265" ht="15.75" customHeight="1">
      <c r="A1265" s="3" t="s">
        <v>1339</v>
      </c>
      <c r="B1265" s="3" t="s">
        <v>25</v>
      </c>
      <c r="C1265" s="3" t="s">
        <v>37</v>
      </c>
      <c r="D1265" s="3">
        <v>62576.9273138087</v>
      </c>
      <c r="E1265" s="3">
        <v>20109.7406700228</v>
      </c>
      <c r="F1265" s="3">
        <v>10354.9408372839</v>
      </c>
      <c r="G1265" s="3">
        <v>11414.9311033152</v>
      </c>
      <c r="H1265" s="3">
        <v>25217.0333563473</v>
      </c>
      <c r="I1265" s="3">
        <v>67440.9494019147</v>
      </c>
      <c r="J1265" s="4">
        <v>45870.0</v>
      </c>
      <c r="K1265" s="3">
        <v>14.0</v>
      </c>
      <c r="L1265" s="3" t="s">
        <v>31</v>
      </c>
    </row>
    <row r="1266" ht="15.75" customHeight="1">
      <c r="A1266" s="3" t="s">
        <v>1340</v>
      </c>
      <c r="B1266" s="3" t="s">
        <v>29</v>
      </c>
      <c r="C1266" s="3" t="s">
        <v>33</v>
      </c>
      <c r="D1266" s="3">
        <v>62587.8102837148</v>
      </c>
      <c r="E1266" s="3">
        <v>20114.3553883502</v>
      </c>
      <c r="F1266" s="3">
        <v>10362.6208407134</v>
      </c>
      <c r="G1266" s="3">
        <v>11418.3286540025</v>
      </c>
      <c r="H1266" s="3">
        <v>25167.5296385982</v>
      </c>
      <c r="I1266" s="3">
        <v>67444.3308763345</v>
      </c>
      <c r="J1266" s="4">
        <v>45658.0</v>
      </c>
      <c r="K1266" s="3">
        <v>15.0</v>
      </c>
      <c r="L1266" s="3" t="s">
        <v>34</v>
      </c>
    </row>
    <row r="1267" ht="15.75" customHeight="1">
      <c r="A1267" s="3" t="s">
        <v>1341</v>
      </c>
      <c r="B1267" s="3" t="s">
        <v>51</v>
      </c>
      <c r="C1267" s="3" t="s">
        <v>26</v>
      </c>
      <c r="D1267" s="3">
        <v>62598.693253621</v>
      </c>
      <c r="E1267" s="3">
        <v>20118.9701066776</v>
      </c>
      <c r="F1267" s="3">
        <v>10370.3008441429</v>
      </c>
      <c r="G1267" s="3">
        <v>11421.7262046898</v>
      </c>
      <c r="H1267" s="3">
        <v>25118.0259208491</v>
      </c>
      <c r="I1267" s="3">
        <v>67447.7123507543</v>
      </c>
      <c r="J1267" s="4">
        <v>45778.0</v>
      </c>
      <c r="K1267" s="3">
        <v>15.0</v>
      </c>
      <c r="L1267" s="3" t="s">
        <v>38</v>
      </c>
    </row>
    <row r="1268" ht="15.75" customHeight="1">
      <c r="A1268" s="3" t="s">
        <v>1342</v>
      </c>
      <c r="B1268" s="3" t="s">
        <v>36</v>
      </c>
      <c r="C1268" s="3" t="s">
        <v>26</v>
      </c>
      <c r="D1268" s="3">
        <v>62609.5762235272</v>
      </c>
      <c r="E1268" s="3">
        <v>20123.584825005</v>
      </c>
      <c r="F1268" s="3">
        <v>10377.9808475724</v>
      </c>
      <c r="G1268" s="3">
        <v>11425.1237553771</v>
      </c>
      <c r="H1268" s="3">
        <v>25068.5222031</v>
      </c>
      <c r="I1268" s="3">
        <v>67451.0938251741</v>
      </c>
      <c r="J1268" s="4">
        <v>45658.0</v>
      </c>
      <c r="K1268" s="3">
        <v>16.0</v>
      </c>
      <c r="L1268" s="3" t="s">
        <v>40</v>
      </c>
    </row>
    <row r="1269" ht="15.75" customHeight="1">
      <c r="A1269" s="3" t="s">
        <v>1343</v>
      </c>
      <c r="B1269" s="3" t="s">
        <v>29</v>
      </c>
      <c r="C1269" s="3" t="s">
        <v>33</v>
      </c>
      <c r="D1269" s="3">
        <v>62620.4591934334</v>
      </c>
      <c r="E1269" s="3">
        <v>20128.1995433324</v>
      </c>
      <c r="F1269" s="3">
        <v>10385.6608510019</v>
      </c>
      <c r="G1269" s="3">
        <v>11428.5213060644</v>
      </c>
      <c r="H1269" s="3">
        <v>25019.0184853508</v>
      </c>
      <c r="I1269" s="3">
        <v>67454.4752995939</v>
      </c>
      <c r="J1269" s="4">
        <v>45748.0</v>
      </c>
      <c r="K1269" s="3">
        <v>7.0</v>
      </c>
      <c r="L1269" s="3" t="s">
        <v>42</v>
      </c>
    </row>
    <row r="1270" ht="15.75" customHeight="1">
      <c r="A1270" s="3" t="s">
        <v>1344</v>
      </c>
      <c r="B1270" s="3" t="s">
        <v>53</v>
      </c>
      <c r="C1270" s="3" t="s">
        <v>30</v>
      </c>
      <c r="D1270" s="3">
        <v>62631.3421633396</v>
      </c>
      <c r="E1270" s="3">
        <v>20132.8142616599</v>
      </c>
      <c r="F1270" s="3">
        <v>10393.3408544314</v>
      </c>
      <c r="G1270" s="3">
        <v>11431.9188567517</v>
      </c>
      <c r="H1270" s="3">
        <v>24969.5147676017</v>
      </c>
      <c r="I1270" s="3">
        <v>67457.8567740138</v>
      </c>
      <c r="J1270" s="4">
        <v>45689.0</v>
      </c>
      <c r="K1270" s="3">
        <v>10.0</v>
      </c>
      <c r="L1270" s="3" t="s">
        <v>15</v>
      </c>
    </row>
    <row r="1271" ht="15.75" customHeight="1">
      <c r="A1271" s="3" t="s">
        <v>1345</v>
      </c>
      <c r="B1271" s="3" t="s">
        <v>13</v>
      </c>
      <c r="C1271" s="3" t="s">
        <v>54</v>
      </c>
      <c r="D1271" s="3">
        <v>62642.2251332458</v>
      </c>
      <c r="E1271" s="3">
        <v>20137.4289799873</v>
      </c>
      <c r="F1271" s="3">
        <v>10401.0208578609</v>
      </c>
      <c r="G1271" s="3">
        <v>11435.316407439</v>
      </c>
      <c r="H1271" s="3">
        <v>24920.0110498526</v>
      </c>
      <c r="I1271" s="3">
        <v>67461.2382484336</v>
      </c>
      <c r="J1271" s="4">
        <v>45809.0</v>
      </c>
      <c r="K1271" s="3">
        <v>10.0</v>
      </c>
      <c r="L1271" s="3" t="s">
        <v>19</v>
      </c>
    </row>
    <row r="1272" ht="15.75" customHeight="1">
      <c r="A1272" s="3" t="s">
        <v>1346</v>
      </c>
      <c r="B1272" s="3" t="s">
        <v>29</v>
      </c>
      <c r="C1272" s="3" t="s">
        <v>30</v>
      </c>
      <c r="D1272" s="3">
        <v>62653.108103152</v>
      </c>
      <c r="E1272" s="3">
        <v>20142.0436983147</v>
      </c>
      <c r="F1272" s="3">
        <v>10408.7008612904</v>
      </c>
      <c r="G1272" s="3">
        <v>11438.7139581263</v>
      </c>
      <c r="H1272" s="3">
        <v>51214.3941450257</v>
      </c>
      <c r="I1272" s="3">
        <v>56214.3941450257</v>
      </c>
      <c r="J1272" s="4">
        <v>45809.0</v>
      </c>
      <c r="K1272" s="3">
        <v>20.0</v>
      </c>
      <c r="L1272" s="3" t="s">
        <v>21</v>
      </c>
    </row>
    <row r="1273" ht="15.75" customHeight="1">
      <c r="A1273" s="3" t="s">
        <v>1347</v>
      </c>
      <c r="B1273" s="3" t="s">
        <v>36</v>
      </c>
      <c r="C1273" s="3" t="s">
        <v>37</v>
      </c>
      <c r="D1273" s="3">
        <v>62663.9910730582</v>
      </c>
      <c r="E1273" s="3">
        <v>20146.6584166421</v>
      </c>
      <c r="F1273" s="3">
        <v>10416.3808647199</v>
      </c>
      <c r="G1273" s="3">
        <v>11442.1115088135</v>
      </c>
      <c r="H1273" s="3">
        <v>24821.0036143543</v>
      </c>
      <c r="I1273" s="3">
        <v>67468.0011972732</v>
      </c>
      <c r="J1273" s="4">
        <v>45992.0</v>
      </c>
      <c r="K1273" s="3">
        <v>19.0</v>
      </c>
      <c r="L1273" s="3" t="s">
        <v>23</v>
      </c>
    </row>
    <row r="1274" ht="15.75" customHeight="1">
      <c r="A1274" s="3" t="s">
        <v>1348</v>
      </c>
      <c r="B1274" s="3" t="s">
        <v>29</v>
      </c>
      <c r="C1274" s="3" t="s">
        <v>18</v>
      </c>
      <c r="D1274" s="3">
        <v>62674.8740429644</v>
      </c>
      <c r="E1274" s="3">
        <v>20151.2731349696</v>
      </c>
      <c r="F1274" s="3">
        <v>10424.0608681494</v>
      </c>
      <c r="G1274" s="3">
        <v>11445.5090595008</v>
      </c>
      <c r="H1274" s="3">
        <v>24771.4998966052</v>
      </c>
      <c r="I1274" s="3">
        <v>67471.382671693</v>
      </c>
      <c r="J1274" s="4">
        <v>45717.0</v>
      </c>
      <c r="K1274" s="3">
        <v>18.0</v>
      </c>
      <c r="L1274" s="3" t="s">
        <v>27</v>
      </c>
    </row>
    <row r="1275" ht="15.75" customHeight="1">
      <c r="A1275" s="3" t="s">
        <v>1349</v>
      </c>
      <c r="B1275" s="3" t="s">
        <v>51</v>
      </c>
      <c r="C1275" s="3" t="s">
        <v>33</v>
      </c>
      <c r="D1275" s="3">
        <v>62685.7570128706</v>
      </c>
      <c r="E1275" s="3">
        <v>20155.887853297</v>
      </c>
      <c r="F1275" s="3">
        <v>10431.7408715789</v>
      </c>
      <c r="G1275" s="3">
        <v>11448.9066101881</v>
      </c>
      <c r="H1275" s="3">
        <v>24721.9961788561</v>
      </c>
      <c r="I1275" s="3">
        <v>67474.7641461128</v>
      </c>
      <c r="J1275" s="4">
        <v>45901.0</v>
      </c>
      <c r="K1275" s="3">
        <v>9.0</v>
      </c>
      <c r="L1275" s="3" t="s">
        <v>31</v>
      </c>
    </row>
    <row r="1276" ht="15.75" customHeight="1">
      <c r="A1276" s="3" t="s">
        <v>1350</v>
      </c>
      <c r="B1276" s="3" t="s">
        <v>51</v>
      </c>
      <c r="C1276" s="3" t="s">
        <v>30</v>
      </c>
      <c r="D1276" s="3">
        <v>62696.6399827768</v>
      </c>
      <c r="E1276" s="3">
        <v>20160.5025716244</v>
      </c>
      <c r="F1276" s="3">
        <v>10439.4208750083</v>
      </c>
      <c r="G1276" s="3">
        <v>11452.3041608754</v>
      </c>
      <c r="H1276" s="3">
        <v>24672.492461107</v>
      </c>
      <c r="I1276" s="3">
        <v>67478.1456205326</v>
      </c>
      <c r="J1276" s="4">
        <v>45809.0</v>
      </c>
      <c r="K1276" s="3">
        <v>17.0</v>
      </c>
      <c r="L1276" s="3" t="s">
        <v>34</v>
      </c>
    </row>
    <row r="1277" ht="15.75" customHeight="1">
      <c r="A1277" s="3" t="s">
        <v>1351</v>
      </c>
      <c r="B1277" s="3" t="s">
        <v>53</v>
      </c>
      <c r="C1277" s="3" t="s">
        <v>33</v>
      </c>
      <c r="D1277" s="3">
        <v>62707.522952683</v>
      </c>
      <c r="E1277" s="3">
        <v>20165.1172899518</v>
      </c>
      <c r="F1277" s="3">
        <v>10447.1008784378</v>
      </c>
      <c r="G1277" s="3">
        <v>11455.7017115627</v>
      </c>
      <c r="H1277" s="3">
        <v>24622.9887433578</v>
      </c>
      <c r="I1277" s="3">
        <v>67481.5270949525</v>
      </c>
      <c r="J1277" s="4">
        <v>45658.0</v>
      </c>
      <c r="K1277" s="3">
        <v>20.0</v>
      </c>
      <c r="L1277" s="3" t="s">
        <v>38</v>
      </c>
    </row>
    <row r="1278" ht="15.75" customHeight="1">
      <c r="A1278" s="3" t="s">
        <v>1352</v>
      </c>
      <c r="B1278" s="3" t="s">
        <v>51</v>
      </c>
      <c r="C1278" s="3" t="s">
        <v>33</v>
      </c>
      <c r="D1278" s="3">
        <v>62718.4059225892</v>
      </c>
      <c r="E1278" s="3">
        <v>20169.7320082792</v>
      </c>
      <c r="F1278" s="3">
        <v>10454.7808818673</v>
      </c>
      <c r="G1278" s="3">
        <v>11459.09926225</v>
      </c>
      <c r="H1278" s="3">
        <v>24573.4850256087</v>
      </c>
      <c r="I1278" s="3">
        <v>67484.9085693723</v>
      </c>
      <c r="J1278" s="4">
        <v>45870.0</v>
      </c>
      <c r="K1278" s="3">
        <v>22.0</v>
      </c>
      <c r="L1278" s="3" t="s">
        <v>40</v>
      </c>
    </row>
    <row r="1279" ht="15.75" customHeight="1">
      <c r="A1279" s="3" t="s">
        <v>1353</v>
      </c>
      <c r="B1279" s="3" t="s">
        <v>53</v>
      </c>
      <c r="C1279" s="3" t="s">
        <v>33</v>
      </c>
      <c r="D1279" s="3">
        <v>62729.2888924954</v>
      </c>
      <c r="E1279" s="3">
        <v>20174.3467266067</v>
      </c>
      <c r="F1279" s="3">
        <v>10462.4608852968</v>
      </c>
      <c r="G1279" s="3">
        <v>11462.4968129373</v>
      </c>
      <c r="H1279" s="3">
        <v>24523.9813078596</v>
      </c>
      <c r="I1279" s="3">
        <v>67488.2900437921</v>
      </c>
      <c r="J1279" s="4">
        <v>45809.0</v>
      </c>
      <c r="K1279" s="3">
        <v>10.0</v>
      </c>
      <c r="L1279" s="3" t="s">
        <v>42</v>
      </c>
    </row>
    <row r="1280" ht="15.75" customHeight="1">
      <c r="A1280" s="3" t="s">
        <v>1354</v>
      </c>
      <c r="B1280" s="3" t="s">
        <v>17</v>
      </c>
      <c r="C1280" s="3" t="s">
        <v>26</v>
      </c>
      <c r="D1280" s="3">
        <v>62740.1718624016</v>
      </c>
      <c r="E1280" s="3">
        <v>20178.9614449341</v>
      </c>
      <c r="F1280" s="3">
        <v>10470.1408887263</v>
      </c>
      <c r="G1280" s="3">
        <v>11465.8943636245</v>
      </c>
      <c r="H1280" s="3">
        <v>24474.4775901105</v>
      </c>
      <c r="I1280" s="3">
        <v>67491.6715182119</v>
      </c>
      <c r="J1280" s="4">
        <v>45689.0</v>
      </c>
      <c r="K1280" s="3">
        <v>2.0</v>
      </c>
      <c r="L1280" s="3" t="s">
        <v>15</v>
      </c>
    </row>
    <row r="1281" ht="15.75" customHeight="1">
      <c r="A1281" s="3" t="s">
        <v>1355</v>
      </c>
      <c r="B1281" s="3" t="s">
        <v>51</v>
      </c>
      <c r="C1281" s="3" t="s">
        <v>14</v>
      </c>
      <c r="D1281" s="3">
        <v>62751.0548323077</v>
      </c>
      <c r="E1281" s="3">
        <v>20183.5761632615</v>
      </c>
      <c r="F1281" s="3">
        <v>10477.8208921558</v>
      </c>
      <c r="G1281" s="3">
        <v>11469.2919143118</v>
      </c>
      <c r="H1281" s="3">
        <v>24424.9738723613</v>
      </c>
      <c r="I1281" s="3">
        <v>67495.0529926317</v>
      </c>
      <c r="J1281" s="4">
        <v>45717.0</v>
      </c>
      <c r="K1281" s="3">
        <v>16.0</v>
      </c>
      <c r="L1281" s="3" t="s">
        <v>19</v>
      </c>
    </row>
    <row r="1282" ht="15.75" customHeight="1">
      <c r="A1282" s="3" t="s">
        <v>1356</v>
      </c>
      <c r="B1282" s="3" t="s">
        <v>36</v>
      </c>
      <c r="C1282" s="3" t="s">
        <v>54</v>
      </c>
      <c r="D1282" s="3">
        <v>62761.9378022139</v>
      </c>
      <c r="E1282" s="3">
        <v>20188.1908815889</v>
      </c>
      <c r="F1282" s="3">
        <v>10485.5008955853</v>
      </c>
      <c r="G1282" s="3">
        <v>11472.6894649991</v>
      </c>
      <c r="H1282" s="3">
        <v>24375.4701546122</v>
      </c>
      <c r="I1282" s="3">
        <v>67498.4344670515</v>
      </c>
      <c r="J1282" s="4">
        <v>45901.0</v>
      </c>
      <c r="K1282" s="3">
        <v>25.0</v>
      </c>
      <c r="L1282" s="3" t="s">
        <v>21</v>
      </c>
    </row>
    <row r="1283" ht="15.75" customHeight="1">
      <c r="A1283" s="3" t="s">
        <v>1357</v>
      </c>
      <c r="B1283" s="3" t="s">
        <v>25</v>
      </c>
      <c r="C1283" s="3" t="s">
        <v>37</v>
      </c>
      <c r="D1283" s="3">
        <v>62772.8207721201</v>
      </c>
      <c r="E1283" s="3">
        <v>20192.8055999163</v>
      </c>
      <c r="F1283" s="3">
        <v>10493.1808990148</v>
      </c>
      <c r="G1283" s="3">
        <v>11476.0870156864</v>
      </c>
      <c r="H1283" s="3">
        <v>24325.9664368631</v>
      </c>
      <c r="I1283" s="3">
        <v>67501.8159414713</v>
      </c>
      <c r="J1283" s="4">
        <v>45901.0</v>
      </c>
      <c r="K1283" s="3">
        <v>10.0</v>
      </c>
      <c r="L1283" s="3" t="s">
        <v>23</v>
      </c>
    </row>
    <row r="1284" ht="15.75" customHeight="1">
      <c r="A1284" s="3" t="s">
        <v>1358</v>
      </c>
      <c r="B1284" s="3" t="s">
        <v>25</v>
      </c>
      <c r="C1284" s="3" t="s">
        <v>54</v>
      </c>
      <c r="D1284" s="3">
        <v>62783.7037420263</v>
      </c>
      <c r="E1284" s="3">
        <v>20197.4203182438</v>
      </c>
      <c r="F1284" s="3">
        <v>10500.8609024443</v>
      </c>
      <c r="G1284" s="3">
        <v>11479.4845663737</v>
      </c>
      <c r="H1284" s="3">
        <v>24276.4627191139</v>
      </c>
      <c r="I1284" s="3">
        <v>67505.1974158911</v>
      </c>
      <c r="J1284" s="4">
        <v>45839.0</v>
      </c>
      <c r="K1284" s="3">
        <v>6.0</v>
      </c>
      <c r="L1284" s="3" t="s">
        <v>27</v>
      </c>
    </row>
    <row r="1285" ht="15.75" customHeight="1">
      <c r="A1285" s="3" t="s">
        <v>1359</v>
      </c>
      <c r="B1285" s="3" t="s">
        <v>29</v>
      </c>
      <c r="C1285" s="3" t="s">
        <v>37</v>
      </c>
      <c r="D1285" s="3">
        <v>62805.4696818387</v>
      </c>
      <c r="E1285" s="3">
        <v>20206.6497548986</v>
      </c>
      <c r="F1285" s="3">
        <v>10516.2209093033</v>
      </c>
      <c r="G1285" s="3">
        <v>11486.2796677483</v>
      </c>
      <c r="H1285" s="3">
        <v>24177.4552836157</v>
      </c>
      <c r="I1285" s="3">
        <v>67511.9603647308</v>
      </c>
      <c r="J1285" s="4">
        <v>45901.0</v>
      </c>
      <c r="K1285" s="3">
        <v>3.0</v>
      </c>
      <c r="L1285" s="3" t="s">
        <v>34</v>
      </c>
    </row>
    <row r="1286" ht="15.75" customHeight="1">
      <c r="A1286" s="3" t="s">
        <v>1360</v>
      </c>
      <c r="B1286" s="3" t="s">
        <v>13</v>
      </c>
      <c r="C1286" s="3" t="s">
        <v>30</v>
      </c>
      <c r="D1286" s="3">
        <v>62816.3526517449</v>
      </c>
      <c r="E1286" s="3">
        <v>20211.264473226</v>
      </c>
      <c r="F1286" s="3">
        <v>10523.9009127328</v>
      </c>
      <c r="G1286" s="3">
        <v>11489.6772184356</v>
      </c>
      <c r="H1286" s="3">
        <v>24127.9515658666</v>
      </c>
      <c r="I1286" s="3">
        <v>67515.3418391506</v>
      </c>
      <c r="J1286" s="4">
        <v>45778.0</v>
      </c>
      <c r="K1286" s="3">
        <v>9.0</v>
      </c>
      <c r="L1286" s="3" t="s">
        <v>38</v>
      </c>
    </row>
    <row r="1287" ht="15.75" customHeight="1">
      <c r="A1287" s="3" t="s">
        <v>1361</v>
      </c>
      <c r="B1287" s="3" t="s">
        <v>17</v>
      </c>
      <c r="C1287" s="3" t="s">
        <v>30</v>
      </c>
      <c r="D1287" s="3">
        <v>62827.2356216511</v>
      </c>
      <c r="E1287" s="3">
        <v>20215.8791915535</v>
      </c>
      <c r="F1287" s="3">
        <v>10531.5809161623</v>
      </c>
      <c r="G1287" s="3">
        <v>11493.0747691228</v>
      </c>
      <c r="H1287" s="3">
        <v>24078.4478481174</v>
      </c>
      <c r="I1287" s="3">
        <v>67518.7233135704</v>
      </c>
      <c r="J1287" s="4">
        <v>45689.0</v>
      </c>
      <c r="K1287" s="3">
        <v>25.0</v>
      </c>
      <c r="L1287" s="3" t="s">
        <v>40</v>
      </c>
    </row>
    <row r="1288" ht="15.75" customHeight="1">
      <c r="A1288" s="3" t="s">
        <v>1362</v>
      </c>
      <c r="B1288" s="3" t="s">
        <v>17</v>
      </c>
      <c r="C1288" s="3" t="s">
        <v>30</v>
      </c>
      <c r="D1288" s="3">
        <v>62838.1185915573</v>
      </c>
      <c r="E1288" s="3">
        <v>20220.4939098809</v>
      </c>
      <c r="F1288" s="3">
        <v>10539.2609195918</v>
      </c>
      <c r="G1288" s="3">
        <v>11496.4723198101</v>
      </c>
      <c r="H1288" s="3">
        <v>24028.9441303683</v>
      </c>
      <c r="I1288" s="3">
        <v>67522.1047879902</v>
      </c>
      <c r="J1288" s="4">
        <v>45962.0</v>
      </c>
      <c r="K1288" s="3">
        <v>14.0</v>
      </c>
      <c r="L1288" s="3" t="s">
        <v>42</v>
      </c>
    </row>
    <row r="1289" ht="15.75" customHeight="1">
      <c r="A1289" s="3" t="s">
        <v>1363</v>
      </c>
      <c r="B1289" s="3" t="s">
        <v>25</v>
      </c>
      <c r="C1289" s="3" t="s">
        <v>30</v>
      </c>
      <c r="D1289" s="3">
        <v>62870.7675012759</v>
      </c>
      <c r="E1289" s="3">
        <v>20234.3380648631</v>
      </c>
      <c r="F1289" s="3">
        <v>10562.3009298803</v>
      </c>
      <c r="G1289" s="3">
        <v>11506.664971872</v>
      </c>
      <c r="H1289" s="3">
        <v>23880.4329771209</v>
      </c>
      <c r="I1289" s="3">
        <v>67532.2492112497</v>
      </c>
      <c r="J1289" s="4">
        <v>45778.0</v>
      </c>
      <c r="K1289" s="3">
        <v>5.0</v>
      </c>
      <c r="L1289" s="3" t="s">
        <v>21</v>
      </c>
    </row>
    <row r="1290" ht="15.75" customHeight="1">
      <c r="A1290" s="3" t="s">
        <v>1364</v>
      </c>
      <c r="B1290" s="3" t="s">
        <v>25</v>
      </c>
      <c r="C1290" s="3" t="s">
        <v>37</v>
      </c>
      <c r="D1290" s="3">
        <v>62881.6504711821</v>
      </c>
      <c r="E1290" s="3">
        <v>20238.9527831906</v>
      </c>
      <c r="F1290" s="3">
        <v>10569.9809333098</v>
      </c>
      <c r="G1290" s="3">
        <v>11510.0625225593</v>
      </c>
      <c r="H1290" s="3">
        <v>23830.9292593718</v>
      </c>
      <c r="I1290" s="3">
        <v>67535.6306856695</v>
      </c>
      <c r="J1290" s="4">
        <v>45689.0</v>
      </c>
      <c r="K1290" s="3">
        <v>17.0</v>
      </c>
      <c r="L1290" s="3" t="s">
        <v>23</v>
      </c>
    </row>
    <row r="1291" ht="15.75" customHeight="1">
      <c r="A1291" s="3" t="s">
        <v>1365</v>
      </c>
      <c r="B1291" s="3" t="s">
        <v>13</v>
      </c>
      <c r="C1291" s="3" t="s">
        <v>54</v>
      </c>
      <c r="D1291" s="3">
        <v>62892.5334410883</v>
      </c>
      <c r="E1291" s="3">
        <v>20243.567501518</v>
      </c>
      <c r="F1291" s="3">
        <v>10577.6609367393</v>
      </c>
      <c r="G1291" s="3">
        <v>11513.4600732466</v>
      </c>
      <c r="H1291" s="3">
        <v>23781.4255416227</v>
      </c>
      <c r="I1291" s="3">
        <v>67539.0121600893</v>
      </c>
      <c r="J1291" s="4">
        <v>45658.0</v>
      </c>
      <c r="K1291" s="3">
        <v>9.0</v>
      </c>
      <c r="L1291" s="3" t="s">
        <v>27</v>
      </c>
    </row>
    <row r="1292" ht="15.75" customHeight="1">
      <c r="A1292" s="3" t="s">
        <v>1366</v>
      </c>
      <c r="B1292" s="3" t="s">
        <v>53</v>
      </c>
      <c r="C1292" s="3" t="s">
        <v>14</v>
      </c>
      <c r="D1292" s="3">
        <v>62903.4164109945</v>
      </c>
      <c r="E1292" s="3">
        <v>20248.1822198454</v>
      </c>
      <c r="F1292" s="3">
        <v>10585.3409401688</v>
      </c>
      <c r="G1292" s="3">
        <v>11516.8576239339</v>
      </c>
      <c r="H1292" s="3">
        <v>23731.9218238735</v>
      </c>
      <c r="I1292" s="3">
        <v>67542.3936345091</v>
      </c>
      <c r="J1292" s="4">
        <v>45658.0</v>
      </c>
      <c r="K1292" s="3">
        <v>3.0</v>
      </c>
      <c r="L1292" s="3" t="s">
        <v>31</v>
      </c>
    </row>
    <row r="1293" ht="15.75" customHeight="1">
      <c r="A1293" s="3" t="s">
        <v>1367</v>
      </c>
      <c r="B1293" s="3" t="s">
        <v>17</v>
      </c>
      <c r="C1293" s="3" t="s">
        <v>30</v>
      </c>
      <c r="D1293" s="3">
        <v>62914.2993809006</v>
      </c>
      <c r="E1293" s="3">
        <v>20252.7969381728</v>
      </c>
      <c r="F1293" s="3">
        <v>10593.0209435983</v>
      </c>
      <c r="G1293" s="3">
        <v>11520.2551746211</v>
      </c>
      <c r="H1293" s="3">
        <v>23682.4181061244</v>
      </c>
      <c r="I1293" s="3">
        <v>67545.7751089289</v>
      </c>
      <c r="J1293" s="4">
        <v>45717.0</v>
      </c>
      <c r="K1293" s="3">
        <v>12.0</v>
      </c>
      <c r="L1293" s="3" t="s">
        <v>34</v>
      </c>
    </row>
    <row r="1294" ht="15.75" customHeight="1">
      <c r="A1294" s="3" t="s">
        <v>1368</v>
      </c>
      <c r="B1294" s="3" t="s">
        <v>25</v>
      </c>
      <c r="C1294" s="3" t="s">
        <v>18</v>
      </c>
      <c r="D1294" s="3">
        <v>62925.1823508068</v>
      </c>
      <c r="E1294" s="3">
        <v>20257.4116565003</v>
      </c>
      <c r="F1294" s="3">
        <v>10600.7009470278</v>
      </c>
      <c r="G1294" s="3">
        <v>11523.6527253084</v>
      </c>
      <c r="H1294" s="3">
        <v>23632.9143883753</v>
      </c>
      <c r="I1294" s="3">
        <v>67549.1565833487</v>
      </c>
      <c r="J1294" s="4">
        <v>45931.0</v>
      </c>
      <c r="K1294" s="3">
        <v>16.0</v>
      </c>
      <c r="L1294" s="3" t="s">
        <v>38</v>
      </c>
    </row>
    <row r="1295" ht="15.75" customHeight="1">
      <c r="A1295" s="3" t="s">
        <v>1369</v>
      </c>
      <c r="B1295" s="3" t="s">
        <v>36</v>
      </c>
      <c r="C1295" s="3" t="s">
        <v>37</v>
      </c>
      <c r="D1295" s="3">
        <v>62936.065320713</v>
      </c>
      <c r="E1295" s="3">
        <v>20262.0263748277</v>
      </c>
      <c r="F1295" s="3">
        <v>10608.3809504573</v>
      </c>
      <c r="G1295" s="3">
        <v>11527.0502759957</v>
      </c>
      <c r="H1295" s="3">
        <v>23583.4106706262</v>
      </c>
      <c r="I1295" s="3">
        <v>67552.5380577686</v>
      </c>
      <c r="J1295" s="4">
        <v>45839.0</v>
      </c>
      <c r="K1295" s="3">
        <v>11.0</v>
      </c>
      <c r="L1295" s="3" t="s">
        <v>40</v>
      </c>
    </row>
    <row r="1296" ht="15.75" customHeight="1">
      <c r="A1296" s="3" t="s">
        <v>1370</v>
      </c>
      <c r="B1296" s="3" t="s">
        <v>36</v>
      </c>
      <c r="C1296" s="3" t="s">
        <v>18</v>
      </c>
      <c r="D1296" s="3">
        <v>62946.9482906192</v>
      </c>
      <c r="E1296" s="3">
        <v>20266.6410931551</v>
      </c>
      <c r="F1296" s="3">
        <v>10616.0609538868</v>
      </c>
      <c r="G1296" s="3">
        <v>11530.447826683</v>
      </c>
      <c r="H1296" s="3">
        <v>23533.906952877</v>
      </c>
      <c r="I1296" s="3">
        <v>67555.9195321884</v>
      </c>
      <c r="J1296" s="4">
        <v>45992.0</v>
      </c>
      <c r="K1296" s="3">
        <v>11.0</v>
      </c>
      <c r="L1296" s="3" t="s">
        <v>42</v>
      </c>
    </row>
    <row r="1297" ht="15.75" customHeight="1">
      <c r="A1297" s="3" t="s">
        <v>1371</v>
      </c>
      <c r="B1297" s="3" t="s">
        <v>29</v>
      </c>
      <c r="C1297" s="3" t="s">
        <v>33</v>
      </c>
      <c r="D1297" s="3">
        <v>62957.8312605254</v>
      </c>
      <c r="E1297" s="3">
        <v>20271.2558114825</v>
      </c>
      <c r="F1297" s="3">
        <v>10623.7409573163</v>
      </c>
      <c r="G1297" s="3">
        <v>11533.8453773703</v>
      </c>
      <c r="H1297" s="3">
        <v>23484.4032351279</v>
      </c>
      <c r="I1297" s="3">
        <v>67559.3010066082</v>
      </c>
      <c r="J1297" s="4">
        <v>45658.0</v>
      </c>
      <c r="K1297" s="3">
        <v>2.0</v>
      </c>
      <c r="L1297" s="3" t="s">
        <v>15</v>
      </c>
    </row>
    <row r="1298" ht="15.75" customHeight="1">
      <c r="A1298" s="3" t="s">
        <v>1372</v>
      </c>
      <c r="B1298" s="3" t="s">
        <v>36</v>
      </c>
      <c r="C1298" s="3" t="s">
        <v>33</v>
      </c>
      <c r="D1298" s="3">
        <v>62968.7142304316</v>
      </c>
      <c r="E1298" s="3">
        <v>20275.8705298099</v>
      </c>
      <c r="F1298" s="3">
        <v>10631.4209607458</v>
      </c>
      <c r="G1298" s="3">
        <v>11537.2429280576</v>
      </c>
      <c r="H1298" s="3">
        <v>23434.8995173788</v>
      </c>
      <c r="I1298" s="3">
        <v>67562.682481028</v>
      </c>
      <c r="J1298" s="4">
        <v>45839.0</v>
      </c>
      <c r="K1298" s="3">
        <v>7.0</v>
      </c>
      <c r="L1298" s="3" t="s">
        <v>19</v>
      </c>
    </row>
    <row r="1299" ht="15.75" customHeight="1">
      <c r="A1299" s="3" t="s">
        <v>1373</v>
      </c>
      <c r="B1299" s="3" t="s">
        <v>36</v>
      </c>
      <c r="C1299" s="3" t="s">
        <v>14</v>
      </c>
      <c r="D1299" s="3">
        <v>62979.5972003378</v>
      </c>
      <c r="E1299" s="3">
        <v>20280.4852481374</v>
      </c>
      <c r="F1299" s="3">
        <v>10639.1009641753</v>
      </c>
      <c r="G1299" s="3">
        <v>11540.6404787449</v>
      </c>
      <c r="H1299" s="3">
        <v>23385.3957996297</v>
      </c>
      <c r="I1299" s="3">
        <v>67566.0639554478</v>
      </c>
      <c r="J1299" s="4">
        <v>45870.0</v>
      </c>
      <c r="K1299" s="3">
        <v>3.0</v>
      </c>
      <c r="L1299" s="3" t="s">
        <v>21</v>
      </c>
    </row>
    <row r="1300" ht="15.75" customHeight="1">
      <c r="A1300" s="3" t="s">
        <v>1374</v>
      </c>
      <c r="B1300" s="3" t="s">
        <v>25</v>
      </c>
      <c r="C1300" s="3" t="s">
        <v>37</v>
      </c>
      <c r="D1300" s="3">
        <v>62990.480170244</v>
      </c>
      <c r="E1300" s="3">
        <v>20285.0999664648</v>
      </c>
      <c r="F1300" s="3">
        <v>10646.7809676048</v>
      </c>
      <c r="G1300" s="3">
        <v>11544.0380294321</v>
      </c>
      <c r="H1300" s="3">
        <v>23335.8920818805</v>
      </c>
      <c r="I1300" s="3">
        <v>67569.4454298676</v>
      </c>
      <c r="J1300" s="4">
        <v>45962.0</v>
      </c>
      <c r="K1300" s="3">
        <v>21.0</v>
      </c>
      <c r="L1300" s="3" t="s">
        <v>23</v>
      </c>
    </row>
    <row r="1301" ht="15.75" customHeight="1">
      <c r="A1301" s="3" t="s">
        <v>1375</v>
      </c>
      <c r="B1301" s="3" t="s">
        <v>36</v>
      </c>
      <c r="C1301" s="3" t="s">
        <v>14</v>
      </c>
      <c r="D1301" s="3">
        <v>63001.3631401502</v>
      </c>
      <c r="E1301" s="3">
        <v>20289.7146847922</v>
      </c>
      <c r="F1301" s="3">
        <v>10654.4609710343</v>
      </c>
      <c r="G1301" s="3">
        <v>11547.4355801194</v>
      </c>
      <c r="H1301" s="3">
        <v>23286.3883641314</v>
      </c>
      <c r="I1301" s="3">
        <v>67572.8269042874</v>
      </c>
      <c r="J1301" s="4">
        <v>45778.0</v>
      </c>
      <c r="K1301" s="3">
        <v>19.0</v>
      </c>
      <c r="L1301" s="3" t="s">
        <v>27</v>
      </c>
    </row>
    <row r="1302" ht="15.75" customHeight="1">
      <c r="A1302" s="3" t="s">
        <v>1376</v>
      </c>
      <c r="B1302" s="3" t="s">
        <v>36</v>
      </c>
      <c r="C1302" s="3" t="s">
        <v>26</v>
      </c>
      <c r="D1302" s="3">
        <v>63012.2461100564</v>
      </c>
      <c r="E1302" s="3">
        <v>20294.3294031196</v>
      </c>
      <c r="F1302" s="3">
        <v>10662.1409744638</v>
      </c>
      <c r="G1302" s="3">
        <v>11550.8331308067</v>
      </c>
      <c r="H1302" s="3">
        <v>23236.8846463823</v>
      </c>
      <c r="I1302" s="3">
        <v>67576.2083787072</v>
      </c>
      <c r="J1302" s="4">
        <v>45748.0</v>
      </c>
      <c r="K1302" s="3">
        <v>22.0</v>
      </c>
      <c r="L1302" s="3" t="s">
        <v>31</v>
      </c>
    </row>
    <row r="1303" ht="15.75" customHeight="1">
      <c r="A1303" s="3" t="s">
        <v>1377</v>
      </c>
      <c r="B1303" s="3" t="s">
        <v>36</v>
      </c>
      <c r="C1303" s="3" t="s">
        <v>18</v>
      </c>
      <c r="D1303" s="3">
        <v>63023.1290799626</v>
      </c>
      <c r="E1303" s="3">
        <v>20298.9441214471</v>
      </c>
      <c r="F1303" s="3">
        <v>10669.8209778933</v>
      </c>
      <c r="G1303" s="3">
        <v>11554.230681494</v>
      </c>
      <c r="H1303" s="3">
        <v>23187.3809286331</v>
      </c>
      <c r="I1303" s="3">
        <v>67579.5898531271</v>
      </c>
      <c r="J1303" s="4">
        <v>45748.0</v>
      </c>
      <c r="K1303" s="3">
        <v>20.0</v>
      </c>
      <c r="L1303" s="3" t="s">
        <v>34</v>
      </c>
    </row>
    <row r="1304" ht="15.75" customHeight="1">
      <c r="A1304" s="3" t="s">
        <v>1378</v>
      </c>
      <c r="B1304" s="3" t="s">
        <v>13</v>
      </c>
      <c r="C1304" s="3" t="s">
        <v>30</v>
      </c>
      <c r="D1304" s="3">
        <v>63034.0120498688</v>
      </c>
      <c r="E1304" s="3">
        <v>20303.5588397745</v>
      </c>
      <c r="F1304" s="3">
        <v>10677.5009813228</v>
      </c>
      <c r="G1304" s="3">
        <v>11557.6282321813</v>
      </c>
      <c r="H1304" s="3">
        <v>23137.877210884</v>
      </c>
      <c r="I1304" s="3">
        <v>67582.9713275469</v>
      </c>
      <c r="J1304" s="4">
        <v>45870.0</v>
      </c>
      <c r="K1304" s="3">
        <v>7.0</v>
      </c>
      <c r="L1304" s="3" t="s">
        <v>38</v>
      </c>
    </row>
    <row r="1305" ht="15.75" customHeight="1">
      <c r="A1305" s="3" t="s">
        <v>1379</v>
      </c>
      <c r="B1305" s="3" t="s">
        <v>25</v>
      </c>
      <c r="C1305" s="3" t="s">
        <v>14</v>
      </c>
      <c r="D1305" s="3">
        <v>63044.895019775</v>
      </c>
      <c r="E1305" s="3">
        <v>20308.1735581019</v>
      </c>
      <c r="F1305" s="3">
        <v>10685.1809847523</v>
      </c>
      <c r="G1305" s="3">
        <v>11561.0257828686</v>
      </c>
      <c r="H1305" s="3">
        <v>23088.3734931349</v>
      </c>
      <c r="I1305" s="3">
        <v>67586.3528019667</v>
      </c>
      <c r="J1305" s="4">
        <v>45870.0</v>
      </c>
      <c r="K1305" s="3">
        <v>16.0</v>
      </c>
      <c r="L1305" s="3" t="s">
        <v>40</v>
      </c>
    </row>
    <row r="1306" ht="15.75" customHeight="1">
      <c r="A1306" s="3" t="s">
        <v>1380</v>
      </c>
      <c r="B1306" s="3" t="s">
        <v>13</v>
      </c>
      <c r="C1306" s="3" t="s">
        <v>33</v>
      </c>
      <c r="D1306" s="3">
        <v>63055.7779896812</v>
      </c>
      <c r="E1306" s="3">
        <v>20312.7882764293</v>
      </c>
      <c r="F1306" s="3">
        <v>10692.8609881818</v>
      </c>
      <c r="G1306" s="3">
        <v>11564.4233335559</v>
      </c>
      <c r="H1306" s="3">
        <v>23038.8697753858</v>
      </c>
      <c r="I1306" s="3">
        <v>67589.7342763865</v>
      </c>
      <c r="J1306" s="4">
        <v>45901.0</v>
      </c>
      <c r="K1306" s="3">
        <v>14.0</v>
      </c>
      <c r="L1306" s="3" t="s">
        <v>42</v>
      </c>
    </row>
    <row r="1307" ht="15.75" customHeight="1">
      <c r="A1307" s="3" t="s">
        <v>1381</v>
      </c>
      <c r="B1307" s="3" t="s">
        <v>51</v>
      </c>
      <c r="C1307" s="3" t="s">
        <v>54</v>
      </c>
      <c r="D1307" s="3">
        <v>63066.6609595874</v>
      </c>
      <c r="E1307" s="3">
        <v>20317.4029947567</v>
      </c>
      <c r="F1307" s="3">
        <v>10700.5409916113</v>
      </c>
      <c r="G1307" s="3">
        <v>11567.8208842432</v>
      </c>
      <c r="H1307" s="3">
        <v>22989.3660576366</v>
      </c>
      <c r="I1307" s="3">
        <v>67593.1157508063</v>
      </c>
      <c r="J1307" s="4">
        <v>45839.0</v>
      </c>
      <c r="K1307" s="3">
        <v>20.0</v>
      </c>
      <c r="L1307" s="3" t="s">
        <v>15</v>
      </c>
    </row>
    <row r="1308" ht="15.75" customHeight="1">
      <c r="A1308" s="3" t="s">
        <v>1382</v>
      </c>
      <c r="B1308" s="3" t="s">
        <v>13</v>
      </c>
      <c r="C1308" s="3" t="s">
        <v>30</v>
      </c>
      <c r="D1308" s="3">
        <v>63077.5439294935</v>
      </c>
      <c r="E1308" s="3">
        <v>20322.0177130842</v>
      </c>
      <c r="F1308" s="3">
        <v>10708.2209950408</v>
      </c>
      <c r="G1308" s="3">
        <v>11571.2184349304</v>
      </c>
      <c r="H1308" s="3">
        <v>22939.8623398875</v>
      </c>
      <c r="I1308" s="3">
        <v>67596.4972252262</v>
      </c>
      <c r="J1308" s="4">
        <v>45778.0</v>
      </c>
      <c r="K1308" s="3">
        <v>22.0</v>
      </c>
      <c r="L1308" s="3" t="s">
        <v>19</v>
      </c>
    </row>
    <row r="1309" ht="15.75" customHeight="1">
      <c r="A1309" s="3" t="s">
        <v>1383</v>
      </c>
      <c r="B1309" s="3" t="s">
        <v>29</v>
      </c>
      <c r="C1309" s="3" t="s">
        <v>26</v>
      </c>
      <c r="D1309" s="3">
        <v>63088.4268993997</v>
      </c>
      <c r="E1309" s="3">
        <v>20326.6324314116</v>
      </c>
      <c r="F1309" s="3">
        <v>10715.9009984702</v>
      </c>
      <c r="G1309" s="3">
        <v>11574.6159856177</v>
      </c>
      <c r="H1309" s="3">
        <v>22890.3586221384</v>
      </c>
      <c r="I1309" s="3">
        <v>67599.878699646</v>
      </c>
      <c r="J1309" s="4">
        <v>45870.0</v>
      </c>
      <c r="K1309" s="3">
        <v>1.0</v>
      </c>
      <c r="L1309" s="3" t="s">
        <v>21</v>
      </c>
    </row>
    <row r="1310" ht="15.75" customHeight="1">
      <c r="A1310" s="3" t="s">
        <v>1384</v>
      </c>
      <c r="B1310" s="3" t="s">
        <v>25</v>
      </c>
      <c r="C1310" s="3" t="s">
        <v>37</v>
      </c>
      <c r="D1310" s="3">
        <v>63099.3098693059</v>
      </c>
      <c r="E1310" s="3">
        <v>20331.247149739</v>
      </c>
      <c r="F1310" s="3">
        <v>10723.5810018997</v>
      </c>
      <c r="G1310" s="3">
        <v>11578.013536305</v>
      </c>
      <c r="H1310" s="3">
        <v>22840.8549043893</v>
      </c>
      <c r="I1310" s="3">
        <v>67603.2601740658</v>
      </c>
      <c r="J1310" s="4">
        <v>45870.0</v>
      </c>
      <c r="K1310" s="3">
        <v>7.0</v>
      </c>
      <c r="L1310" s="3" t="s">
        <v>23</v>
      </c>
    </row>
    <row r="1311" ht="15.75" customHeight="1">
      <c r="A1311" s="3" t="s">
        <v>1385</v>
      </c>
      <c r="B1311" s="3" t="s">
        <v>53</v>
      </c>
      <c r="C1311" s="3" t="s">
        <v>54</v>
      </c>
      <c r="D1311" s="3">
        <v>63110.1928392121</v>
      </c>
      <c r="E1311" s="3">
        <v>20335.8618680664</v>
      </c>
      <c r="F1311" s="3">
        <v>10731.2610053292</v>
      </c>
      <c r="G1311" s="3">
        <v>11581.4110869923</v>
      </c>
      <c r="H1311" s="3">
        <v>22791.3511866401</v>
      </c>
      <c r="I1311" s="3">
        <v>67606.6416484856</v>
      </c>
      <c r="J1311" s="4">
        <v>45748.0</v>
      </c>
      <c r="K1311" s="3">
        <v>25.0</v>
      </c>
      <c r="L1311" s="3" t="s">
        <v>27</v>
      </c>
    </row>
    <row r="1312" ht="15.75" customHeight="1">
      <c r="A1312" s="3" t="s">
        <v>1386</v>
      </c>
      <c r="B1312" s="3" t="s">
        <v>29</v>
      </c>
      <c r="C1312" s="3" t="s">
        <v>26</v>
      </c>
      <c r="D1312" s="3">
        <v>63121.0758091183</v>
      </c>
      <c r="E1312" s="3">
        <v>20340.4765863939</v>
      </c>
      <c r="F1312" s="3">
        <v>10738.9410087587</v>
      </c>
      <c r="G1312" s="3">
        <v>11584.8086376796</v>
      </c>
      <c r="H1312" s="3">
        <v>22741.847468891</v>
      </c>
      <c r="I1312" s="3">
        <v>67610.0231229054</v>
      </c>
      <c r="J1312" s="4">
        <v>45839.0</v>
      </c>
      <c r="K1312" s="3">
        <v>17.0</v>
      </c>
      <c r="L1312" s="3" t="s">
        <v>31</v>
      </c>
    </row>
    <row r="1313" ht="15.75" customHeight="1">
      <c r="A1313" s="3" t="s">
        <v>1387</v>
      </c>
      <c r="B1313" s="3" t="s">
        <v>25</v>
      </c>
      <c r="C1313" s="3" t="s">
        <v>26</v>
      </c>
      <c r="D1313" s="3">
        <v>63131.9587790245</v>
      </c>
      <c r="E1313" s="3">
        <v>20345.0913047213</v>
      </c>
      <c r="F1313" s="3">
        <v>10746.6210121882</v>
      </c>
      <c r="G1313" s="3">
        <v>11588.2061883669</v>
      </c>
      <c r="H1313" s="3">
        <v>22692.3437511419</v>
      </c>
      <c r="I1313" s="3">
        <v>67613.4045973252</v>
      </c>
      <c r="J1313" s="4">
        <v>45658.0</v>
      </c>
      <c r="K1313" s="3">
        <v>3.0</v>
      </c>
      <c r="L1313" s="3" t="s">
        <v>34</v>
      </c>
    </row>
    <row r="1314" ht="15.75" customHeight="1">
      <c r="A1314" s="3" t="s">
        <v>1388</v>
      </c>
      <c r="B1314" s="3" t="s">
        <v>51</v>
      </c>
      <c r="C1314" s="3" t="s">
        <v>37</v>
      </c>
      <c r="D1314" s="3">
        <v>63153.7247188369</v>
      </c>
      <c r="E1314" s="3">
        <v>20354.3207413761</v>
      </c>
      <c r="F1314" s="3">
        <v>10761.9810190472</v>
      </c>
      <c r="G1314" s="3">
        <v>11595.0012897415</v>
      </c>
      <c r="H1314" s="3">
        <v>22593.3363156436</v>
      </c>
      <c r="I1314" s="3">
        <v>67620.1675461648</v>
      </c>
      <c r="J1314" s="4">
        <v>45962.0</v>
      </c>
      <c r="K1314" s="3">
        <v>14.0</v>
      </c>
      <c r="L1314" s="3" t="s">
        <v>40</v>
      </c>
    </row>
    <row r="1315" ht="15.75" customHeight="1">
      <c r="A1315" s="3" t="s">
        <v>1389</v>
      </c>
      <c r="B1315" s="3" t="s">
        <v>17</v>
      </c>
      <c r="C1315" s="3" t="s">
        <v>37</v>
      </c>
      <c r="D1315" s="3">
        <v>63164.6076887431</v>
      </c>
      <c r="E1315" s="3">
        <v>20358.9354597035</v>
      </c>
      <c r="F1315" s="3">
        <v>10769.6610224767</v>
      </c>
      <c r="G1315" s="3">
        <v>11598.3988404287</v>
      </c>
      <c r="H1315" s="3">
        <v>22543.8325978945</v>
      </c>
      <c r="I1315" s="3">
        <v>67623.5490205847</v>
      </c>
      <c r="J1315" s="4">
        <v>45992.0</v>
      </c>
      <c r="K1315" s="3">
        <v>20.0</v>
      </c>
      <c r="L1315" s="3" t="s">
        <v>42</v>
      </c>
    </row>
    <row r="1316" ht="15.75" customHeight="1">
      <c r="A1316" s="3" t="s">
        <v>1390</v>
      </c>
      <c r="B1316" s="3" t="s">
        <v>51</v>
      </c>
      <c r="C1316" s="3" t="s">
        <v>14</v>
      </c>
      <c r="D1316" s="3">
        <v>63175.4906586493</v>
      </c>
      <c r="E1316" s="3">
        <v>20363.550178031</v>
      </c>
      <c r="F1316" s="3">
        <v>10777.3410259062</v>
      </c>
      <c r="G1316" s="3">
        <v>11601.796391116</v>
      </c>
      <c r="H1316" s="3">
        <v>22494.3288801454</v>
      </c>
      <c r="I1316" s="3">
        <v>67626.9304950045</v>
      </c>
      <c r="J1316" s="4">
        <v>45901.0</v>
      </c>
      <c r="K1316" s="3">
        <v>5.0</v>
      </c>
      <c r="L1316" s="3" t="s">
        <v>15</v>
      </c>
    </row>
    <row r="1317" ht="15.75" customHeight="1">
      <c r="A1317" s="3" t="s">
        <v>1391</v>
      </c>
      <c r="B1317" s="3" t="s">
        <v>36</v>
      </c>
      <c r="C1317" s="3" t="s">
        <v>18</v>
      </c>
      <c r="D1317" s="3">
        <v>63186.3736285555</v>
      </c>
      <c r="E1317" s="3">
        <v>20368.1648963584</v>
      </c>
      <c r="F1317" s="3">
        <v>10785.0210293357</v>
      </c>
      <c r="G1317" s="3">
        <v>11605.1939418033</v>
      </c>
      <c r="H1317" s="3">
        <v>22444.8251623963</v>
      </c>
      <c r="I1317" s="3">
        <v>67630.3119694243</v>
      </c>
      <c r="J1317" s="4">
        <v>45901.0</v>
      </c>
      <c r="K1317" s="3">
        <v>19.0</v>
      </c>
      <c r="L1317" s="3" t="s">
        <v>19</v>
      </c>
    </row>
    <row r="1318" ht="15.75" customHeight="1">
      <c r="A1318" s="3" t="s">
        <v>1392</v>
      </c>
      <c r="B1318" s="3" t="s">
        <v>36</v>
      </c>
      <c r="C1318" s="3" t="s">
        <v>33</v>
      </c>
      <c r="D1318" s="3">
        <v>63197.2565984617</v>
      </c>
      <c r="E1318" s="3">
        <v>20372.7796146858</v>
      </c>
      <c r="F1318" s="3">
        <v>10792.7010327652</v>
      </c>
      <c r="G1318" s="3">
        <v>11608.5914924906</v>
      </c>
      <c r="H1318" s="3">
        <v>22395.3214446471</v>
      </c>
      <c r="I1318" s="3">
        <v>67633.6934438441</v>
      </c>
      <c r="J1318" s="4">
        <v>45748.0</v>
      </c>
      <c r="K1318" s="3">
        <v>6.0</v>
      </c>
      <c r="L1318" s="3" t="s">
        <v>21</v>
      </c>
    </row>
    <row r="1319" ht="15.75" customHeight="1">
      <c r="A1319" s="3" t="s">
        <v>1393</v>
      </c>
      <c r="B1319" s="3" t="s">
        <v>17</v>
      </c>
      <c r="C1319" s="3" t="s">
        <v>37</v>
      </c>
      <c r="D1319" s="3">
        <v>63208.1395683679</v>
      </c>
      <c r="E1319" s="3">
        <v>20377.3943330132</v>
      </c>
      <c r="F1319" s="3">
        <v>10800.3810361947</v>
      </c>
      <c r="G1319" s="3">
        <v>11611.9890431779</v>
      </c>
      <c r="H1319" s="3">
        <v>22345.817726898</v>
      </c>
      <c r="I1319" s="3">
        <v>67637.0749182639</v>
      </c>
      <c r="J1319" s="4">
        <v>45689.0</v>
      </c>
      <c r="K1319" s="3">
        <v>14.0</v>
      </c>
      <c r="L1319" s="3" t="s">
        <v>23</v>
      </c>
    </row>
    <row r="1320" ht="15.75" customHeight="1">
      <c r="A1320" s="3" t="s">
        <v>1394</v>
      </c>
      <c r="B1320" s="3" t="s">
        <v>13</v>
      </c>
      <c r="C1320" s="3" t="s">
        <v>14</v>
      </c>
      <c r="D1320" s="3">
        <v>63219.0225382741</v>
      </c>
      <c r="E1320" s="3">
        <v>20382.0090513407</v>
      </c>
      <c r="F1320" s="3">
        <v>10808.0610396242</v>
      </c>
      <c r="G1320" s="3">
        <v>11615.3865938652</v>
      </c>
      <c r="H1320" s="3">
        <v>22296.3140091489</v>
      </c>
      <c r="I1320" s="3">
        <v>67640.4563926837</v>
      </c>
      <c r="J1320" s="3" t="s">
        <v>190</v>
      </c>
      <c r="K1320" s="3">
        <v>20.0</v>
      </c>
      <c r="L1320" s="3" t="s">
        <v>27</v>
      </c>
    </row>
    <row r="1321" ht="15.75" customHeight="1">
      <c r="A1321" s="3" t="s">
        <v>1395</v>
      </c>
      <c r="B1321" s="3" t="s">
        <v>36</v>
      </c>
      <c r="C1321" s="3" t="s">
        <v>30</v>
      </c>
      <c r="D1321" s="3">
        <v>63229.9055081803</v>
      </c>
      <c r="E1321" s="3">
        <v>20386.6237696681</v>
      </c>
      <c r="F1321" s="3">
        <v>10815.7410430537</v>
      </c>
      <c r="G1321" s="3">
        <v>11618.7841445525</v>
      </c>
      <c r="H1321" s="3">
        <v>22246.8102913997</v>
      </c>
      <c r="I1321" s="3">
        <v>67643.8378671035</v>
      </c>
      <c r="J1321" s="4">
        <v>45931.0</v>
      </c>
      <c r="K1321" s="3">
        <v>12.0</v>
      </c>
      <c r="L1321" s="3" t="s">
        <v>31</v>
      </c>
    </row>
    <row r="1322" ht="15.75" customHeight="1">
      <c r="A1322" s="3" t="s">
        <v>1396</v>
      </c>
      <c r="B1322" s="3" t="s">
        <v>29</v>
      </c>
      <c r="C1322" s="3" t="s">
        <v>33</v>
      </c>
      <c r="D1322" s="3">
        <v>63240.7884780864</v>
      </c>
      <c r="E1322" s="3">
        <v>20391.2384879955</v>
      </c>
      <c r="F1322" s="3">
        <v>10823.4210464832</v>
      </c>
      <c r="G1322" s="3">
        <v>11622.1816952397</v>
      </c>
      <c r="H1322" s="3">
        <v>22197.3065736506</v>
      </c>
      <c r="I1322" s="3">
        <v>67647.2193415233</v>
      </c>
      <c r="J1322" s="4">
        <v>45839.0</v>
      </c>
      <c r="K1322" s="3">
        <v>12.0</v>
      </c>
      <c r="L1322" s="3" t="s">
        <v>34</v>
      </c>
    </row>
    <row r="1323" ht="15.75" customHeight="1">
      <c r="A1323" s="3" t="s">
        <v>1397</v>
      </c>
      <c r="B1323" s="3" t="s">
        <v>13</v>
      </c>
      <c r="C1323" s="3" t="s">
        <v>26</v>
      </c>
      <c r="D1323" s="3">
        <v>63251.6714479926</v>
      </c>
      <c r="E1323" s="3">
        <v>20395.8532063229</v>
      </c>
      <c r="F1323" s="3">
        <v>10831.1010499127</v>
      </c>
      <c r="G1323" s="3">
        <v>11625.579245927</v>
      </c>
      <c r="H1323" s="3">
        <v>22147.8028559015</v>
      </c>
      <c r="I1323" s="3">
        <v>67650.6008159432</v>
      </c>
      <c r="J1323" s="4">
        <v>45870.0</v>
      </c>
      <c r="K1323" s="3">
        <v>24.0</v>
      </c>
      <c r="L1323" s="3" t="s">
        <v>38</v>
      </c>
    </row>
    <row r="1324" ht="15.75" customHeight="1">
      <c r="A1324" s="3" t="s">
        <v>1398</v>
      </c>
      <c r="B1324" s="3" t="s">
        <v>53</v>
      </c>
      <c r="C1324" s="3" t="s">
        <v>18</v>
      </c>
      <c r="D1324" s="3">
        <v>63262.5544178988</v>
      </c>
      <c r="E1324" s="3">
        <v>20400.4679246503</v>
      </c>
      <c r="F1324" s="3">
        <v>10838.7810533422</v>
      </c>
      <c r="G1324" s="5"/>
      <c r="H1324" s="3">
        <v>22098.2991381524</v>
      </c>
      <c r="I1324" s="3">
        <v>67653.982290363</v>
      </c>
      <c r="J1324" s="4">
        <v>45870.0</v>
      </c>
      <c r="K1324" s="3">
        <v>14.0</v>
      </c>
      <c r="L1324" s="3" t="s">
        <v>40</v>
      </c>
    </row>
    <row r="1325" ht="15.75" customHeight="1">
      <c r="A1325" s="3" t="s">
        <v>1399</v>
      </c>
      <c r="B1325" s="3" t="s">
        <v>13</v>
      </c>
      <c r="C1325" s="3" t="s">
        <v>33</v>
      </c>
      <c r="D1325" s="3">
        <v>63273.437387805</v>
      </c>
      <c r="E1325" s="3">
        <v>20405.0826429778</v>
      </c>
      <c r="F1325" s="3">
        <v>10846.4610567717</v>
      </c>
      <c r="G1325" s="3">
        <v>11632.3743473016</v>
      </c>
      <c r="H1325" s="3">
        <v>22048.7954204032</v>
      </c>
      <c r="I1325" s="3">
        <v>67657.3637647828</v>
      </c>
      <c r="J1325" s="4">
        <v>45931.0</v>
      </c>
      <c r="K1325" s="3">
        <v>17.0</v>
      </c>
      <c r="L1325" s="3" t="s">
        <v>42</v>
      </c>
    </row>
    <row r="1326" ht="15.75" customHeight="1">
      <c r="A1326" s="3" t="s">
        <v>1400</v>
      </c>
      <c r="B1326" s="3" t="s">
        <v>29</v>
      </c>
      <c r="C1326" s="3" t="s">
        <v>18</v>
      </c>
      <c r="D1326" s="3">
        <v>63284.3203577112</v>
      </c>
      <c r="E1326" s="3">
        <v>20409.6973613052</v>
      </c>
      <c r="F1326" s="3">
        <v>10854.1410602012</v>
      </c>
      <c r="G1326" s="3">
        <v>11635.7718979889</v>
      </c>
      <c r="H1326" s="3">
        <v>21999.2917026541</v>
      </c>
      <c r="I1326" s="3">
        <v>67660.7452392026</v>
      </c>
      <c r="J1326" s="4">
        <v>45778.0</v>
      </c>
      <c r="K1326" s="3">
        <v>17.0</v>
      </c>
      <c r="L1326" s="3" t="s">
        <v>15</v>
      </c>
    </row>
    <row r="1327" ht="15.75" customHeight="1">
      <c r="A1327" s="3" t="s">
        <v>1401</v>
      </c>
      <c r="B1327" s="3" t="s">
        <v>29</v>
      </c>
      <c r="C1327" s="3" t="s">
        <v>18</v>
      </c>
      <c r="D1327" s="3">
        <v>63295.2033276174</v>
      </c>
      <c r="E1327" s="3">
        <v>20414.3120796326</v>
      </c>
      <c r="F1327" s="3">
        <v>10861.8210636307</v>
      </c>
      <c r="G1327" s="3">
        <v>11639.1694486762</v>
      </c>
      <c r="H1327" s="3">
        <v>21949.787984905</v>
      </c>
      <c r="I1327" s="3">
        <v>67664.1267136224</v>
      </c>
      <c r="J1327" s="4">
        <v>45809.0</v>
      </c>
      <c r="K1327" s="3">
        <v>12.0</v>
      </c>
      <c r="L1327" s="3" t="s">
        <v>19</v>
      </c>
    </row>
    <row r="1328" ht="15.75" customHeight="1">
      <c r="A1328" s="3" t="s">
        <v>1402</v>
      </c>
      <c r="B1328" s="3" t="s">
        <v>51</v>
      </c>
      <c r="C1328" s="3" t="s">
        <v>54</v>
      </c>
      <c r="D1328" s="3">
        <v>63306.0862975236</v>
      </c>
      <c r="E1328" s="3">
        <v>20418.92679796</v>
      </c>
      <c r="F1328" s="3">
        <v>10869.5010670602</v>
      </c>
      <c r="G1328" s="3">
        <v>11642.5669993635</v>
      </c>
      <c r="H1328" s="3">
        <v>21900.2842671559</v>
      </c>
      <c r="I1328" s="3">
        <v>67667.5081880422</v>
      </c>
      <c r="J1328" s="4">
        <v>45962.0</v>
      </c>
      <c r="K1328" s="3">
        <v>19.0</v>
      </c>
      <c r="L1328" s="3" t="s">
        <v>21</v>
      </c>
    </row>
    <row r="1329" ht="15.75" customHeight="1">
      <c r="A1329" s="3" t="s">
        <v>1403</v>
      </c>
      <c r="B1329" s="3" t="s">
        <v>53</v>
      </c>
      <c r="C1329" s="3" t="s">
        <v>33</v>
      </c>
      <c r="D1329" s="3">
        <v>63316.9692674298</v>
      </c>
      <c r="E1329" s="3">
        <v>20423.5415162875</v>
      </c>
      <c r="F1329" s="3">
        <v>10877.1810704897</v>
      </c>
      <c r="G1329" s="3">
        <v>11645.9645500508</v>
      </c>
      <c r="H1329" s="3">
        <v>51671.004717379</v>
      </c>
      <c r="I1329" s="3">
        <v>56671.004717379</v>
      </c>
      <c r="J1329" s="4">
        <v>45658.0</v>
      </c>
      <c r="K1329" s="3">
        <v>16.0</v>
      </c>
      <c r="L1329" s="3" t="s">
        <v>23</v>
      </c>
    </row>
    <row r="1330" ht="15.75" customHeight="1">
      <c r="A1330" s="3" t="s">
        <v>1404</v>
      </c>
      <c r="B1330" s="3" t="s">
        <v>36</v>
      </c>
      <c r="C1330" s="3" t="s">
        <v>33</v>
      </c>
      <c r="D1330" s="3">
        <v>63327.852237336</v>
      </c>
      <c r="E1330" s="3">
        <v>20428.1562346149</v>
      </c>
      <c r="F1330" s="3">
        <v>10884.8610739192</v>
      </c>
      <c r="G1330" s="3">
        <v>11649.362100738</v>
      </c>
      <c r="H1330" s="3">
        <v>21801.2768316576</v>
      </c>
      <c r="I1330" s="3">
        <v>67674.2711368819</v>
      </c>
      <c r="J1330" s="4">
        <v>45748.0</v>
      </c>
      <c r="K1330" s="3">
        <v>24.0</v>
      </c>
      <c r="L1330" s="3" t="s">
        <v>27</v>
      </c>
    </row>
    <row r="1331" ht="15.75" customHeight="1">
      <c r="A1331" s="3" t="s">
        <v>1405</v>
      </c>
      <c r="B1331" s="3" t="s">
        <v>53</v>
      </c>
      <c r="C1331" s="3" t="s">
        <v>26</v>
      </c>
      <c r="D1331" s="3">
        <v>63349.6181771484</v>
      </c>
      <c r="E1331" s="3">
        <v>20437.3856712697</v>
      </c>
      <c r="F1331" s="3">
        <v>10900.2210807782</v>
      </c>
      <c r="G1331" s="3">
        <v>11656.1572021126</v>
      </c>
      <c r="H1331" s="3">
        <v>21702.2693961593</v>
      </c>
      <c r="I1331" s="3">
        <v>67681.0340857215</v>
      </c>
      <c r="J1331" s="4">
        <v>45689.0</v>
      </c>
      <c r="K1331" s="3">
        <v>15.0</v>
      </c>
      <c r="L1331" s="3" t="s">
        <v>34</v>
      </c>
    </row>
    <row r="1332" ht="15.75" customHeight="1">
      <c r="A1332" s="3" t="s">
        <v>1406</v>
      </c>
      <c r="B1332" s="3" t="s">
        <v>25</v>
      </c>
      <c r="C1332" s="3" t="s">
        <v>18</v>
      </c>
      <c r="D1332" s="3">
        <v>63360.5011470546</v>
      </c>
      <c r="E1332" s="3">
        <v>20442.0003895971</v>
      </c>
      <c r="F1332" s="3">
        <v>10907.9010842077</v>
      </c>
      <c r="G1332" s="3">
        <v>11659.5547527999</v>
      </c>
      <c r="H1332" s="3">
        <v>21652.7656784102</v>
      </c>
      <c r="I1332" s="3">
        <v>67684.4155601413</v>
      </c>
      <c r="J1332" s="4">
        <v>45809.0</v>
      </c>
      <c r="K1332" s="3">
        <v>4.0</v>
      </c>
      <c r="L1332" s="3" t="s">
        <v>38</v>
      </c>
    </row>
    <row r="1333" ht="15.75" customHeight="1">
      <c r="A1333" s="3" t="s">
        <v>1407</v>
      </c>
      <c r="B1333" s="3" t="s">
        <v>13</v>
      </c>
      <c r="C1333" s="3" t="s">
        <v>18</v>
      </c>
      <c r="D1333" s="3">
        <v>63371.3841169608</v>
      </c>
      <c r="E1333" s="3">
        <v>20446.6151079246</v>
      </c>
      <c r="F1333" s="3">
        <v>10915.5810876372</v>
      </c>
      <c r="G1333" s="3">
        <v>11662.9523034872</v>
      </c>
      <c r="H1333" s="3">
        <v>21603.2619606611</v>
      </c>
      <c r="I1333" s="3">
        <v>67687.7970345611</v>
      </c>
      <c r="J1333" s="4">
        <v>45717.0</v>
      </c>
      <c r="K1333" s="3">
        <v>15.0</v>
      </c>
      <c r="L1333" s="3" t="s">
        <v>40</v>
      </c>
    </row>
    <row r="1334" ht="15.75" customHeight="1">
      <c r="A1334" s="3" t="s">
        <v>1408</v>
      </c>
      <c r="B1334" s="3" t="s">
        <v>13</v>
      </c>
      <c r="C1334" s="3" t="s">
        <v>30</v>
      </c>
      <c r="D1334" s="3">
        <v>63382.267086867</v>
      </c>
      <c r="E1334" s="3">
        <v>20451.229826252</v>
      </c>
      <c r="F1334" s="3">
        <v>10923.2610910667</v>
      </c>
      <c r="G1334" s="3">
        <v>11666.3498541745</v>
      </c>
      <c r="H1334" s="3">
        <v>21553.758242912</v>
      </c>
      <c r="I1334" s="3">
        <v>67691.1785089809</v>
      </c>
      <c r="J1334" s="4">
        <v>45901.0</v>
      </c>
      <c r="K1334" s="3">
        <v>9.0</v>
      </c>
      <c r="L1334" s="3" t="s">
        <v>42</v>
      </c>
    </row>
    <row r="1335" ht="15.75" customHeight="1">
      <c r="A1335" s="3" t="s">
        <v>1409</v>
      </c>
      <c r="B1335" s="3" t="s">
        <v>51</v>
      </c>
      <c r="C1335" s="3" t="s">
        <v>30</v>
      </c>
      <c r="D1335" s="3">
        <v>63393.1500567732</v>
      </c>
      <c r="E1335" s="3">
        <v>20455.8445445794</v>
      </c>
      <c r="F1335" s="3">
        <v>10930.9410944962</v>
      </c>
      <c r="G1335" s="3">
        <v>11669.7474048618</v>
      </c>
      <c r="H1335" s="3">
        <v>21504.2545251628</v>
      </c>
      <c r="I1335" s="3">
        <v>67694.5599834008</v>
      </c>
      <c r="J1335" s="4">
        <v>45778.0</v>
      </c>
      <c r="K1335" s="3">
        <v>21.0</v>
      </c>
      <c r="L1335" s="3" t="s">
        <v>15</v>
      </c>
    </row>
    <row r="1336" ht="15.75" customHeight="1">
      <c r="A1336" s="3" t="s">
        <v>1410</v>
      </c>
      <c r="B1336" s="3" t="s">
        <v>29</v>
      </c>
      <c r="C1336" s="3" t="s">
        <v>26</v>
      </c>
      <c r="D1336" s="3">
        <v>63404.0330266793</v>
      </c>
      <c r="E1336" s="3">
        <v>20460.4592629068</v>
      </c>
      <c r="F1336" s="3">
        <v>10938.6210979257</v>
      </c>
      <c r="G1336" s="3">
        <v>11673.1449555491</v>
      </c>
      <c r="H1336" s="3">
        <v>21454.7508074137</v>
      </c>
      <c r="I1336" s="3">
        <v>67697.9414578206</v>
      </c>
      <c r="J1336" s="4">
        <v>45717.0</v>
      </c>
      <c r="K1336" s="3">
        <v>18.0</v>
      </c>
      <c r="L1336" s="3" t="s">
        <v>19</v>
      </c>
    </row>
    <row r="1337" ht="15.75" customHeight="1">
      <c r="A1337" s="3" t="s">
        <v>1411</v>
      </c>
      <c r="B1337" s="3" t="s">
        <v>13</v>
      </c>
      <c r="C1337" s="3" t="s">
        <v>26</v>
      </c>
      <c r="D1337" s="3">
        <v>63414.9159965855</v>
      </c>
      <c r="E1337" s="3">
        <v>20465.0739812343</v>
      </c>
      <c r="F1337" s="3">
        <v>10946.3011013552</v>
      </c>
      <c r="G1337" s="3">
        <v>11676.5425062363</v>
      </c>
      <c r="H1337" s="3">
        <v>21405.2470896646</v>
      </c>
      <c r="I1337" s="3">
        <v>67701.3229322404</v>
      </c>
      <c r="J1337" s="4">
        <v>45901.0</v>
      </c>
      <c r="K1337" s="3">
        <v>6.0</v>
      </c>
      <c r="L1337" s="3" t="s">
        <v>21</v>
      </c>
    </row>
    <row r="1338" ht="15.75" customHeight="1">
      <c r="A1338" s="3" t="s">
        <v>1412</v>
      </c>
      <c r="B1338" s="3" t="s">
        <v>25</v>
      </c>
      <c r="C1338" s="3" t="s">
        <v>30</v>
      </c>
      <c r="D1338" s="3">
        <v>63425.7989664917</v>
      </c>
      <c r="E1338" s="3">
        <v>20469.6886995617</v>
      </c>
      <c r="F1338" s="3">
        <v>10953.9811047847</v>
      </c>
      <c r="G1338" s="3">
        <v>11679.9400569236</v>
      </c>
      <c r="H1338" s="3">
        <v>21355.7433719155</v>
      </c>
      <c r="I1338" s="3">
        <v>67704.7044066602</v>
      </c>
      <c r="J1338" s="4">
        <v>45870.0</v>
      </c>
      <c r="K1338" s="3">
        <v>12.0</v>
      </c>
      <c r="L1338" s="3" t="s">
        <v>23</v>
      </c>
    </row>
    <row r="1339" ht="15.75" customHeight="1">
      <c r="A1339" s="3" t="s">
        <v>1413</v>
      </c>
      <c r="B1339" s="3" t="s">
        <v>29</v>
      </c>
      <c r="C1339" s="3" t="s">
        <v>14</v>
      </c>
      <c r="D1339" s="3">
        <v>63436.6819363979</v>
      </c>
      <c r="E1339" s="3">
        <v>20474.3034178891</v>
      </c>
      <c r="F1339" s="3">
        <v>10961.6611082142</v>
      </c>
      <c r="G1339" s="3">
        <v>11683.3376076109</v>
      </c>
      <c r="H1339" s="3">
        <v>21306.2396541663</v>
      </c>
      <c r="I1339" s="3">
        <v>67708.08588108</v>
      </c>
      <c r="J1339" s="4">
        <v>45962.0</v>
      </c>
      <c r="K1339" s="3">
        <v>11.0</v>
      </c>
      <c r="L1339" s="3" t="s">
        <v>27</v>
      </c>
    </row>
    <row r="1340" ht="15.75" customHeight="1">
      <c r="A1340" s="3" t="s">
        <v>1414</v>
      </c>
      <c r="B1340" s="3" t="s">
        <v>29</v>
      </c>
      <c r="C1340" s="3" t="s">
        <v>18</v>
      </c>
      <c r="D1340" s="3">
        <v>63447.5649063041</v>
      </c>
      <c r="E1340" s="3">
        <v>20478.9181362165</v>
      </c>
      <c r="F1340" s="3">
        <v>10969.3411116437</v>
      </c>
      <c r="G1340" s="3">
        <v>11686.7351582982</v>
      </c>
      <c r="H1340" s="3">
        <v>21256.7359364172</v>
      </c>
      <c r="I1340" s="3">
        <v>67711.4673554998</v>
      </c>
      <c r="J1340" s="4">
        <v>45901.0</v>
      </c>
      <c r="K1340" s="3">
        <v>23.0</v>
      </c>
      <c r="L1340" s="3" t="s">
        <v>31</v>
      </c>
    </row>
    <row r="1341" ht="15.75" customHeight="1">
      <c r="A1341" s="3" t="s">
        <v>1415</v>
      </c>
      <c r="B1341" s="3" t="s">
        <v>29</v>
      </c>
      <c r="C1341" s="3" t="s">
        <v>14</v>
      </c>
      <c r="D1341" s="3">
        <v>63458.4478762103</v>
      </c>
      <c r="E1341" s="3">
        <v>20483.5328545439</v>
      </c>
      <c r="F1341" s="3">
        <v>10977.0211150732</v>
      </c>
      <c r="G1341" s="3">
        <v>11690.1327089855</v>
      </c>
      <c r="H1341" s="3">
        <v>21207.2322186681</v>
      </c>
      <c r="I1341" s="3">
        <v>67714.8488299196</v>
      </c>
      <c r="J1341" s="4">
        <v>45992.0</v>
      </c>
      <c r="K1341" s="3">
        <v>11.0</v>
      </c>
      <c r="L1341" s="3" t="s">
        <v>34</v>
      </c>
    </row>
    <row r="1342" ht="15.75" customHeight="1">
      <c r="A1342" s="3" t="s">
        <v>1416</v>
      </c>
      <c r="B1342" s="3" t="s">
        <v>29</v>
      </c>
      <c r="C1342" s="3" t="s">
        <v>37</v>
      </c>
      <c r="D1342" s="3">
        <v>63469.3308461165</v>
      </c>
      <c r="E1342" s="3">
        <v>20488.1475728714</v>
      </c>
      <c r="F1342" s="3">
        <v>10984.7011185027</v>
      </c>
      <c r="G1342" s="3">
        <v>11693.5302596728</v>
      </c>
      <c r="H1342" s="3">
        <v>21157.728500919</v>
      </c>
      <c r="I1342" s="3">
        <v>67718.2303043395</v>
      </c>
      <c r="J1342" s="4">
        <v>45778.0</v>
      </c>
      <c r="K1342" s="3">
        <v>5.0</v>
      </c>
      <c r="L1342" s="3" t="s">
        <v>38</v>
      </c>
    </row>
    <row r="1343" ht="15.75" customHeight="1">
      <c r="A1343" s="3" t="s">
        <v>1417</v>
      </c>
      <c r="B1343" s="3" t="s">
        <v>29</v>
      </c>
      <c r="C1343" s="3" t="s">
        <v>18</v>
      </c>
      <c r="D1343" s="3">
        <v>63480.2138160227</v>
      </c>
      <c r="E1343" s="3">
        <v>20492.7622911988</v>
      </c>
      <c r="F1343" s="3">
        <v>10992.3811219322</v>
      </c>
      <c r="G1343" s="3">
        <v>11696.9278103601</v>
      </c>
      <c r="H1343" s="3">
        <v>21108.2247831698</v>
      </c>
      <c r="I1343" s="3">
        <v>67721.6117787593</v>
      </c>
      <c r="J1343" s="4">
        <v>45870.0</v>
      </c>
      <c r="K1343" s="3">
        <v>2.0</v>
      </c>
      <c r="L1343" s="3" t="s">
        <v>40</v>
      </c>
    </row>
    <row r="1344" ht="15.75" customHeight="1">
      <c r="A1344" s="3" t="s">
        <v>1418</v>
      </c>
      <c r="B1344" s="3" t="s">
        <v>36</v>
      </c>
      <c r="C1344" s="3" t="s">
        <v>14</v>
      </c>
      <c r="D1344" s="3">
        <v>63491.0967859289</v>
      </c>
      <c r="E1344" s="3">
        <v>20497.3770095262</v>
      </c>
      <c r="F1344" s="3">
        <v>11000.0611253616</v>
      </c>
      <c r="G1344" s="3">
        <v>11700.3253610473</v>
      </c>
      <c r="H1344" s="3">
        <v>21058.7210654207</v>
      </c>
      <c r="I1344" s="3">
        <v>67724.9932531791</v>
      </c>
      <c r="J1344" s="4">
        <v>45931.0</v>
      </c>
      <c r="K1344" s="3">
        <v>4.0</v>
      </c>
      <c r="L1344" s="3" t="s">
        <v>42</v>
      </c>
    </row>
    <row r="1345" ht="15.75" customHeight="1">
      <c r="A1345" s="3" t="s">
        <v>1419</v>
      </c>
      <c r="B1345" s="3" t="s">
        <v>29</v>
      </c>
      <c r="C1345" s="3" t="s">
        <v>18</v>
      </c>
      <c r="D1345" s="3">
        <v>63501.9797558351</v>
      </c>
      <c r="E1345" s="3">
        <v>20501.9917278536</v>
      </c>
      <c r="F1345" s="3">
        <v>11007.7411287911</v>
      </c>
      <c r="G1345" s="3">
        <v>11703.7229117346</v>
      </c>
      <c r="H1345" s="3">
        <v>21009.2173476716</v>
      </c>
      <c r="I1345" s="3">
        <v>67728.3747275989</v>
      </c>
      <c r="J1345" s="4">
        <v>45870.0</v>
      </c>
      <c r="K1345" s="3">
        <v>6.0</v>
      </c>
      <c r="L1345" s="3" t="s">
        <v>15</v>
      </c>
    </row>
    <row r="1346" ht="15.75" customHeight="1">
      <c r="A1346" s="3" t="s">
        <v>1420</v>
      </c>
      <c r="B1346" s="3" t="s">
        <v>13</v>
      </c>
      <c r="C1346" s="3" t="s">
        <v>18</v>
      </c>
      <c r="D1346" s="3">
        <v>63512.8627257413</v>
      </c>
      <c r="E1346" s="3">
        <v>20506.6064461811</v>
      </c>
      <c r="F1346" s="3">
        <v>11015.4211322206</v>
      </c>
      <c r="G1346" s="3">
        <v>11707.1204624219</v>
      </c>
      <c r="H1346" s="3">
        <v>20959.7136299224</v>
      </c>
      <c r="I1346" s="3">
        <v>67731.7562020187</v>
      </c>
      <c r="J1346" s="4">
        <v>45748.0</v>
      </c>
      <c r="K1346" s="3">
        <v>1.0</v>
      </c>
      <c r="L1346" s="3" t="s">
        <v>19</v>
      </c>
    </row>
    <row r="1347" ht="15.75" customHeight="1">
      <c r="A1347" s="3" t="s">
        <v>1421</v>
      </c>
      <c r="B1347" s="3" t="s">
        <v>53</v>
      </c>
      <c r="C1347" s="3" t="s">
        <v>54</v>
      </c>
      <c r="D1347" s="3">
        <v>63523.7456956475</v>
      </c>
      <c r="E1347" s="3">
        <v>20511.2211645085</v>
      </c>
      <c r="F1347" s="3">
        <v>11023.1011356501</v>
      </c>
      <c r="G1347" s="3">
        <v>11710.5180131092</v>
      </c>
      <c r="H1347" s="3">
        <v>20910.2099121733</v>
      </c>
      <c r="I1347" s="3">
        <v>67735.1376764385</v>
      </c>
      <c r="J1347" s="4">
        <v>45962.0</v>
      </c>
      <c r="K1347" s="3">
        <v>8.0</v>
      </c>
      <c r="L1347" s="3" t="s">
        <v>21</v>
      </c>
    </row>
    <row r="1348" ht="15.75" customHeight="1">
      <c r="A1348" s="3" t="s">
        <v>1422</v>
      </c>
      <c r="B1348" s="3" t="s">
        <v>36</v>
      </c>
      <c r="C1348" s="3" t="s">
        <v>54</v>
      </c>
      <c r="D1348" s="3">
        <v>63534.6286655537</v>
      </c>
      <c r="E1348" s="3">
        <v>20515.8358828359</v>
      </c>
      <c r="F1348" s="3">
        <v>11030.7811390796</v>
      </c>
      <c r="G1348" s="3">
        <v>11713.9155637965</v>
      </c>
      <c r="H1348" s="3">
        <v>20860.7061944242</v>
      </c>
      <c r="I1348" s="3">
        <v>67738.5191508583</v>
      </c>
      <c r="J1348" s="4">
        <v>45778.0</v>
      </c>
      <c r="K1348" s="3">
        <v>4.0</v>
      </c>
      <c r="L1348" s="3" t="s">
        <v>23</v>
      </c>
    </row>
    <row r="1349" ht="15.75" customHeight="1">
      <c r="A1349" s="3" t="s">
        <v>1423</v>
      </c>
      <c r="B1349" s="3" t="s">
        <v>29</v>
      </c>
      <c r="C1349" s="3" t="s">
        <v>37</v>
      </c>
      <c r="D1349" s="3">
        <v>63545.5116354599</v>
      </c>
      <c r="E1349" s="3">
        <v>20520.4506011633</v>
      </c>
      <c r="F1349" s="3">
        <v>11038.4611425091</v>
      </c>
      <c r="G1349" s="3">
        <v>11717.3131144838</v>
      </c>
      <c r="H1349" s="3">
        <v>20811.2024766751</v>
      </c>
      <c r="I1349" s="3">
        <v>67741.9006252782</v>
      </c>
      <c r="J1349" s="4">
        <v>45748.0</v>
      </c>
      <c r="K1349" s="3">
        <v>7.0</v>
      </c>
      <c r="L1349" s="3" t="s">
        <v>27</v>
      </c>
    </row>
    <row r="1350" ht="15.75" customHeight="1">
      <c r="A1350" s="3" t="s">
        <v>1424</v>
      </c>
      <c r="B1350" s="3" t="s">
        <v>51</v>
      </c>
      <c r="C1350" s="3" t="s">
        <v>14</v>
      </c>
      <c r="D1350" s="3">
        <v>63556.3946053661</v>
      </c>
      <c r="E1350" s="3">
        <v>20525.0653194907</v>
      </c>
      <c r="F1350" s="3">
        <v>11046.1411459386</v>
      </c>
      <c r="G1350" s="3">
        <v>11720.7106651711</v>
      </c>
      <c r="H1350" s="3">
        <v>20761.6987589259</v>
      </c>
      <c r="I1350" s="3">
        <v>67745.282099698</v>
      </c>
      <c r="J1350" s="4">
        <v>45748.0</v>
      </c>
      <c r="K1350" s="3">
        <v>16.0</v>
      </c>
      <c r="L1350" s="3" t="s">
        <v>31</v>
      </c>
    </row>
    <row r="1351" ht="15.75" customHeight="1">
      <c r="A1351" s="3" t="s">
        <v>1425</v>
      </c>
      <c r="B1351" s="3" t="s">
        <v>13</v>
      </c>
      <c r="C1351" s="3" t="s">
        <v>18</v>
      </c>
      <c r="D1351" s="3">
        <v>63567.2775752722</v>
      </c>
      <c r="E1351" s="3">
        <v>20529.6800378182</v>
      </c>
      <c r="F1351" s="3">
        <v>11053.8211493681</v>
      </c>
      <c r="G1351" s="3">
        <v>11724.1082158584</v>
      </c>
      <c r="H1351" s="3">
        <v>20712.1950411768</v>
      </c>
      <c r="I1351" s="3">
        <v>67748.6635741178</v>
      </c>
      <c r="J1351" s="4">
        <v>45748.0</v>
      </c>
      <c r="K1351" s="3">
        <v>2.0</v>
      </c>
      <c r="L1351" s="3" t="s">
        <v>34</v>
      </c>
    </row>
    <row r="1352" ht="15.75" customHeight="1">
      <c r="A1352" s="3" t="s">
        <v>1426</v>
      </c>
      <c r="B1352" s="3" t="s">
        <v>51</v>
      </c>
      <c r="C1352" s="3" t="s">
        <v>26</v>
      </c>
      <c r="D1352" s="3">
        <v>63578.1605451784</v>
      </c>
      <c r="E1352" s="3">
        <v>20534.2947561456</v>
      </c>
      <c r="F1352" s="3">
        <v>11061.5011527976</v>
      </c>
      <c r="G1352" s="3">
        <v>11727.5057665456</v>
      </c>
      <c r="H1352" s="3">
        <v>20662.6913234277</v>
      </c>
      <c r="I1352" s="3">
        <v>67752.0450485376</v>
      </c>
      <c r="J1352" s="4">
        <v>45931.0</v>
      </c>
      <c r="K1352" s="3">
        <v>20.0</v>
      </c>
      <c r="L1352" s="3" t="s">
        <v>38</v>
      </c>
    </row>
    <row r="1353" ht="15.75" customHeight="1">
      <c r="A1353" s="3" t="s">
        <v>1427</v>
      </c>
      <c r="B1353" s="3" t="s">
        <v>53</v>
      </c>
      <c r="C1353" s="3" t="s">
        <v>30</v>
      </c>
      <c r="D1353" s="3">
        <v>63589.0435150846</v>
      </c>
      <c r="E1353" s="3">
        <v>20538.909474473</v>
      </c>
      <c r="F1353" s="3">
        <v>11069.1811562271</v>
      </c>
      <c r="G1353" s="3">
        <v>11730.9033172329</v>
      </c>
      <c r="H1353" s="3">
        <v>20613.1876056786</v>
      </c>
      <c r="I1353" s="3">
        <v>67755.4265229574</v>
      </c>
      <c r="J1353" s="4">
        <v>45778.0</v>
      </c>
      <c r="K1353" s="3">
        <v>23.0</v>
      </c>
      <c r="L1353" s="3" t="s">
        <v>40</v>
      </c>
    </row>
    <row r="1354" ht="15.75" customHeight="1">
      <c r="A1354" s="3" t="s">
        <v>1428</v>
      </c>
      <c r="B1354" s="3" t="s">
        <v>17</v>
      </c>
      <c r="C1354" s="3" t="s">
        <v>33</v>
      </c>
      <c r="D1354" s="3">
        <v>63599.9264849908</v>
      </c>
      <c r="E1354" s="3">
        <v>20543.5241928004</v>
      </c>
      <c r="F1354" s="3">
        <v>11076.8611596566</v>
      </c>
      <c r="G1354" s="3">
        <v>11734.3008679202</v>
      </c>
      <c r="H1354" s="3">
        <v>20563.6838879294</v>
      </c>
      <c r="I1354" s="3">
        <v>67758.8079973772</v>
      </c>
      <c r="J1354" s="4">
        <v>45809.0</v>
      </c>
      <c r="K1354" s="3">
        <v>5.0</v>
      </c>
      <c r="L1354" s="3" t="s">
        <v>42</v>
      </c>
    </row>
    <row r="1355" ht="15.75" customHeight="1">
      <c r="A1355" s="3" t="s">
        <v>1429</v>
      </c>
      <c r="B1355" s="3" t="s">
        <v>25</v>
      </c>
      <c r="C1355" s="3" t="s">
        <v>30</v>
      </c>
      <c r="D1355" s="3">
        <v>63610.809454897</v>
      </c>
      <c r="E1355" s="3">
        <v>20548.1389111279</v>
      </c>
      <c r="F1355" s="3">
        <v>11084.5411630861</v>
      </c>
      <c r="G1355" s="3">
        <v>11737.6984186075</v>
      </c>
      <c r="H1355" s="3">
        <v>20514.1801701803</v>
      </c>
      <c r="I1355" s="3">
        <v>67762.189471797</v>
      </c>
      <c r="J1355" s="4">
        <v>45658.0</v>
      </c>
      <c r="K1355" s="3">
        <v>13.0</v>
      </c>
      <c r="L1355" s="3" t="s">
        <v>15</v>
      </c>
    </row>
    <row r="1356" ht="15.75" customHeight="1">
      <c r="A1356" s="3" t="s">
        <v>1430</v>
      </c>
      <c r="B1356" s="3" t="s">
        <v>25</v>
      </c>
      <c r="C1356" s="3" t="s">
        <v>26</v>
      </c>
      <c r="D1356" s="3">
        <v>63621.6924248032</v>
      </c>
      <c r="E1356" s="3">
        <v>20552.7536294553</v>
      </c>
      <c r="F1356" s="3">
        <v>11092.2211665156</v>
      </c>
      <c r="G1356" s="3">
        <v>11741.0959692948</v>
      </c>
      <c r="H1356" s="3">
        <v>20464.6764524312</v>
      </c>
      <c r="I1356" s="3">
        <v>67765.5709462169</v>
      </c>
      <c r="J1356" s="4">
        <v>45870.0</v>
      </c>
      <c r="K1356" s="3">
        <v>14.0</v>
      </c>
      <c r="L1356" s="3" t="s">
        <v>19</v>
      </c>
    </row>
    <row r="1357" ht="15.75" customHeight="1">
      <c r="A1357" s="3" t="s">
        <v>1431</v>
      </c>
      <c r="B1357" s="3" t="s">
        <v>51</v>
      </c>
      <c r="C1357" s="3" t="s">
        <v>18</v>
      </c>
      <c r="D1357" s="3">
        <v>63632.5753947094</v>
      </c>
      <c r="E1357" s="3">
        <v>20557.3683477827</v>
      </c>
      <c r="F1357" s="3">
        <v>11099.9011699451</v>
      </c>
      <c r="G1357" s="3">
        <v>11744.4935199821</v>
      </c>
      <c r="H1357" s="3">
        <v>20415.172734682</v>
      </c>
      <c r="I1357" s="3">
        <v>67768.9524206367</v>
      </c>
      <c r="J1357" s="4">
        <v>45931.0</v>
      </c>
      <c r="K1357" s="3">
        <v>11.0</v>
      </c>
      <c r="L1357" s="3" t="s">
        <v>21</v>
      </c>
    </row>
    <row r="1358" ht="15.75" customHeight="1">
      <c r="A1358" s="3" t="s">
        <v>1432</v>
      </c>
      <c r="B1358" s="3" t="s">
        <v>25</v>
      </c>
      <c r="C1358" s="3" t="s">
        <v>33</v>
      </c>
      <c r="D1358" s="3">
        <v>63643.4583646156</v>
      </c>
      <c r="E1358" s="3">
        <v>20561.9830661101</v>
      </c>
      <c r="F1358" s="3">
        <v>11107.5811733746</v>
      </c>
      <c r="G1358" s="3">
        <v>11747.8910706694</v>
      </c>
      <c r="H1358" s="3">
        <v>20365.6690169329</v>
      </c>
      <c r="I1358" s="3">
        <v>67772.3338950565</v>
      </c>
      <c r="J1358" s="4">
        <v>45870.0</v>
      </c>
      <c r="K1358" s="3">
        <v>18.0</v>
      </c>
      <c r="L1358" s="3" t="s">
        <v>23</v>
      </c>
    </row>
    <row r="1359" ht="15.75" customHeight="1">
      <c r="A1359" s="3" t="s">
        <v>1433</v>
      </c>
      <c r="B1359" s="3" t="s">
        <v>17</v>
      </c>
      <c r="C1359" s="3" t="s">
        <v>18</v>
      </c>
      <c r="D1359" s="3">
        <v>63654.3413345218</v>
      </c>
      <c r="E1359" s="3">
        <v>20566.5977844375</v>
      </c>
      <c r="F1359" s="3">
        <v>11115.2611768041</v>
      </c>
      <c r="G1359" s="3">
        <v>11751.2886213567</v>
      </c>
      <c r="H1359" s="3">
        <v>20316.1652991838</v>
      </c>
      <c r="I1359" s="3">
        <v>67775.7153694763</v>
      </c>
      <c r="J1359" s="4">
        <v>45962.0</v>
      </c>
      <c r="K1359" s="3">
        <v>6.0</v>
      </c>
      <c r="L1359" s="3" t="s">
        <v>27</v>
      </c>
    </row>
    <row r="1360" ht="15.75" customHeight="1">
      <c r="A1360" s="3" t="s">
        <v>1434</v>
      </c>
      <c r="B1360" s="3" t="s">
        <v>13</v>
      </c>
      <c r="C1360" s="3" t="s">
        <v>14</v>
      </c>
      <c r="D1360" s="3">
        <v>63665.224304428</v>
      </c>
      <c r="E1360" s="3">
        <v>20571.212502765</v>
      </c>
      <c r="F1360" s="3">
        <v>11122.9411802336</v>
      </c>
      <c r="G1360" s="3">
        <v>11754.6861720439</v>
      </c>
      <c r="H1360" s="3">
        <v>20266.6615814347</v>
      </c>
      <c r="I1360" s="3">
        <v>67779.0968438961</v>
      </c>
      <c r="J1360" s="4">
        <v>45809.0</v>
      </c>
      <c r="K1360" s="3">
        <v>21.0</v>
      </c>
      <c r="L1360" s="3" t="s">
        <v>31</v>
      </c>
    </row>
    <row r="1361" ht="15.75" customHeight="1">
      <c r="A1361" s="3" t="s">
        <v>1435</v>
      </c>
      <c r="B1361" s="3" t="s">
        <v>17</v>
      </c>
      <c r="C1361" s="3" t="s">
        <v>54</v>
      </c>
      <c r="D1361" s="3">
        <v>63676.1072743342</v>
      </c>
      <c r="E1361" s="3">
        <v>20575.8272210924</v>
      </c>
      <c r="F1361" s="3">
        <v>11130.6211836631</v>
      </c>
      <c r="G1361" s="3">
        <v>11758.0837227312</v>
      </c>
      <c r="H1361" s="3">
        <v>20217.1578636855</v>
      </c>
      <c r="I1361" s="3">
        <v>67782.4783183159</v>
      </c>
      <c r="J1361" s="4">
        <v>45901.0</v>
      </c>
      <c r="K1361" s="3">
        <v>15.0</v>
      </c>
      <c r="L1361" s="3" t="s">
        <v>34</v>
      </c>
    </row>
    <row r="1362" ht="15.75" customHeight="1">
      <c r="A1362" s="3" t="s">
        <v>1436</v>
      </c>
      <c r="B1362" s="3" t="s">
        <v>53</v>
      </c>
      <c r="C1362" s="3" t="s">
        <v>30</v>
      </c>
      <c r="D1362" s="3">
        <v>63686.9902442404</v>
      </c>
      <c r="E1362" s="3">
        <v>20580.4419394198</v>
      </c>
      <c r="F1362" s="3">
        <v>11138.3011870926</v>
      </c>
      <c r="G1362" s="3">
        <v>11761.4812734185</v>
      </c>
      <c r="H1362" s="3">
        <v>20167.6541459364</v>
      </c>
      <c r="I1362" s="3">
        <v>67785.8597927357</v>
      </c>
      <c r="J1362" s="4">
        <v>45901.0</v>
      </c>
      <c r="K1362" s="3">
        <v>3.0</v>
      </c>
      <c r="L1362" s="3" t="s">
        <v>38</v>
      </c>
    </row>
    <row r="1363" ht="15.75" customHeight="1">
      <c r="A1363" s="3" t="s">
        <v>1437</v>
      </c>
      <c r="B1363" s="3" t="s">
        <v>13</v>
      </c>
      <c r="C1363" s="3" t="s">
        <v>33</v>
      </c>
      <c r="D1363" s="3">
        <v>63697.8732141466</v>
      </c>
      <c r="E1363" s="3">
        <v>20585.0566577472</v>
      </c>
      <c r="F1363" s="3">
        <v>11145.9811905221</v>
      </c>
      <c r="G1363" s="3">
        <v>11764.8788241058</v>
      </c>
      <c r="H1363" s="3">
        <v>20118.1504281873</v>
      </c>
      <c r="I1363" s="3">
        <v>67789.2412671556</v>
      </c>
      <c r="J1363" s="4">
        <v>45962.0</v>
      </c>
      <c r="K1363" s="3">
        <v>22.0</v>
      </c>
      <c r="L1363" s="3" t="s">
        <v>40</v>
      </c>
    </row>
    <row r="1364" ht="15.75" customHeight="1">
      <c r="A1364" s="3" t="s">
        <v>1438</v>
      </c>
      <c r="B1364" s="3" t="s">
        <v>53</v>
      </c>
      <c r="C1364" s="3" t="s">
        <v>54</v>
      </c>
      <c r="D1364" s="3">
        <v>63708.7561840528</v>
      </c>
      <c r="E1364" s="3">
        <v>20589.6713760746</v>
      </c>
      <c r="F1364" s="3">
        <v>11153.6611939516</v>
      </c>
      <c r="G1364" s="3">
        <v>11768.2763747931</v>
      </c>
      <c r="H1364" s="3">
        <v>20068.6467104382</v>
      </c>
      <c r="I1364" s="3">
        <v>67792.6227415754</v>
      </c>
      <c r="J1364" s="4">
        <v>45748.0</v>
      </c>
      <c r="K1364" s="3">
        <v>14.0</v>
      </c>
      <c r="L1364" s="3" t="s">
        <v>42</v>
      </c>
    </row>
    <row r="1365" ht="15.75" customHeight="1">
      <c r="A1365" s="3" t="s">
        <v>1439</v>
      </c>
      <c r="B1365" s="3" t="s">
        <v>25</v>
      </c>
      <c r="C1365" s="3" t="s">
        <v>37</v>
      </c>
      <c r="D1365" s="3">
        <v>63719.639153959</v>
      </c>
      <c r="E1365" s="3">
        <v>20594.2860944021</v>
      </c>
      <c r="F1365" s="3">
        <v>11161.3411973811</v>
      </c>
      <c r="G1365" s="3">
        <v>11771.6739254804</v>
      </c>
      <c r="H1365" s="3">
        <v>20019.142992689</v>
      </c>
      <c r="I1365" s="3">
        <v>67796.0042159952</v>
      </c>
      <c r="J1365" s="4">
        <v>45809.0</v>
      </c>
      <c r="K1365" s="3">
        <v>18.0</v>
      </c>
      <c r="L1365" s="3" t="s">
        <v>15</v>
      </c>
    </row>
    <row r="1366" ht="15.75" customHeight="1">
      <c r="A1366" s="3" t="s">
        <v>1440</v>
      </c>
      <c r="B1366" s="3" t="s">
        <v>36</v>
      </c>
      <c r="C1366" s="3" t="s">
        <v>33</v>
      </c>
      <c r="D1366" s="3">
        <v>63730.5221238651</v>
      </c>
      <c r="E1366" s="3">
        <v>20598.9008127295</v>
      </c>
      <c r="F1366" s="3">
        <v>11169.0212008106</v>
      </c>
      <c r="G1366" s="3">
        <v>11775.0714761677</v>
      </c>
      <c r="H1366" s="3">
        <v>19969.6392749399</v>
      </c>
      <c r="I1366" s="3">
        <v>67799.385690415</v>
      </c>
      <c r="J1366" s="4">
        <v>45870.0</v>
      </c>
      <c r="K1366" s="3">
        <v>23.0</v>
      </c>
      <c r="L1366" s="3" t="s">
        <v>19</v>
      </c>
    </row>
    <row r="1367" ht="15.75" customHeight="1">
      <c r="A1367" s="3" t="s">
        <v>1441</v>
      </c>
      <c r="B1367" s="3" t="s">
        <v>36</v>
      </c>
      <c r="C1367" s="3" t="s">
        <v>33</v>
      </c>
      <c r="D1367" s="3">
        <v>63741.4050937713</v>
      </c>
      <c r="E1367" s="3">
        <v>20603.5155310569</v>
      </c>
      <c r="F1367" s="3">
        <v>11176.7012042401</v>
      </c>
      <c r="G1367" s="3">
        <v>11778.4690268549</v>
      </c>
      <c r="H1367" s="3">
        <v>19920.1355571908</v>
      </c>
      <c r="I1367" s="3">
        <v>67802.7671648348</v>
      </c>
      <c r="J1367" s="4">
        <v>45992.0</v>
      </c>
      <c r="K1367" s="3">
        <v>20.0</v>
      </c>
      <c r="L1367" s="3" t="s">
        <v>21</v>
      </c>
    </row>
    <row r="1368" ht="15.75" customHeight="1">
      <c r="A1368" s="3" t="s">
        <v>1442</v>
      </c>
      <c r="B1368" s="3" t="s">
        <v>17</v>
      </c>
      <c r="C1368" s="3" t="s">
        <v>14</v>
      </c>
      <c r="D1368" s="3">
        <v>63752.2880636775</v>
      </c>
      <c r="E1368" s="3">
        <v>20608.1302493843</v>
      </c>
      <c r="F1368" s="3">
        <v>11184.3812076696</v>
      </c>
      <c r="G1368" s="3">
        <v>11781.8665775422</v>
      </c>
      <c r="H1368" s="3">
        <v>19870.6318394417</v>
      </c>
      <c r="I1368" s="3">
        <v>67806.1486392546</v>
      </c>
      <c r="J1368" s="4">
        <v>45901.0</v>
      </c>
      <c r="K1368" s="3">
        <v>4.0</v>
      </c>
      <c r="L1368" s="3" t="s">
        <v>23</v>
      </c>
    </row>
    <row r="1369" ht="15.75" customHeight="1">
      <c r="A1369" s="3" t="s">
        <v>1443</v>
      </c>
      <c r="B1369" s="3" t="s">
        <v>29</v>
      </c>
      <c r="C1369" s="3" t="s">
        <v>26</v>
      </c>
      <c r="D1369" s="3">
        <v>63763.1710335837</v>
      </c>
      <c r="E1369" s="3">
        <v>20612.7449677118</v>
      </c>
      <c r="F1369" s="3">
        <v>11192.0612110991</v>
      </c>
      <c r="G1369" s="3">
        <v>11785.2641282295</v>
      </c>
      <c r="H1369" s="3">
        <v>19821.1281216925</v>
      </c>
      <c r="I1369" s="3">
        <v>67809.5301136744</v>
      </c>
      <c r="J1369" s="4">
        <v>45839.0</v>
      </c>
      <c r="K1369" s="3">
        <v>18.0</v>
      </c>
      <c r="L1369" s="3" t="s">
        <v>27</v>
      </c>
    </row>
    <row r="1370" ht="15.75" customHeight="1">
      <c r="A1370" s="3" t="s">
        <v>1444</v>
      </c>
      <c r="B1370" s="3" t="s">
        <v>29</v>
      </c>
      <c r="C1370" s="3" t="s">
        <v>18</v>
      </c>
      <c r="D1370" s="3">
        <v>63774.0540034899</v>
      </c>
      <c r="E1370" s="3">
        <v>20617.3596860392</v>
      </c>
      <c r="F1370" s="3">
        <v>11199.7412145286</v>
      </c>
      <c r="G1370" s="3">
        <v>11788.6616789168</v>
      </c>
      <c r="H1370" s="3">
        <v>19771.6244039434</v>
      </c>
      <c r="I1370" s="3">
        <v>67812.9115880943</v>
      </c>
      <c r="J1370" s="4">
        <v>45689.0</v>
      </c>
      <c r="K1370" s="3">
        <v>13.0</v>
      </c>
      <c r="L1370" s="3" t="s">
        <v>31</v>
      </c>
    </row>
    <row r="1371" ht="15.75" customHeight="1">
      <c r="A1371" s="3" t="s">
        <v>1445</v>
      </c>
      <c r="B1371" s="3" t="s">
        <v>25</v>
      </c>
      <c r="C1371" s="3" t="s">
        <v>18</v>
      </c>
      <c r="D1371" s="3">
        <v>63784.9369733961</v>
      </c>
      <c r="E1371" s="3">
        <v>20621.9744043666</v>
      </c>
      <c r="F1371" s="3">
        <v>11207.4212179581</v>
      </c>
      <c r="G1371" s="3">
        <v>11792.0592296041</v>
      </c>
      <c r="H1371" s="3">
        <v>19722.1206861943</v>
      </c>
      <c r="I1371" s="3">
        <v>67816.2930625141</v>
      </c>
      <c r="J1371" s="4">
        <v>45689.0</v>
      </c>
      <c r="K1371" s="3">
        <v>4.0</v>
      </c>
      <c r="L1371" s="3" t="s">
        <v>34</v>
      </c>
    </row>
    <row r="1372" ht="15.75" customHeight="1">
      <c r="A1372" s="3" t="s">
        <v>1446</v>
      </c>
      <c r="B1372" s="3" t="s">
        <v>53</v>
      </c>
      <c r="C1372" s="3" t="s">
        <v>37</v>
      </c>
      <c r="D1372" s="3">
        <v>63795.8199433023</v>
      </c>
      <c r="E1372" s="3">
        <v>20626.589122694</v>
      </c>
      <c r="F1372" s="3">
        <v>11215.1012213876</v>
      </c>
      <c r="G1372" s="3">
        <v>11795.4567802914</v>
      </c>
      <c r="H1372" s="3">
        <v>19672.6169684452</v>
      </c>
      <c r="I1372" s="3">
        <v>67819.6745369339</v>
      </c>
      <c r="J1372" s="4">
        <v>45748.0</v>
      </c>
      <c r="K1372" s="3">
        <v>13.0</v>
      </c>
      <c r="L1372" s="3" t="s">
        <v>38</v>
      </c>
    </row>
    <row r="1373" ht="15.75" customHeight="1">
      <c r="A1373" s="3" t="s">
        <v>1447</v>
      </c>
      <c r="B1373" s="3" t="s">
        <v>25</v>
      </c>
      <c r="C1373" s="3" t="s">
        <v>54</v>
      </c>
      <c r="D1373" s="3">
        <v>63817.5858831147</v>
      </c>
      <c r="E1373" s="3">
        <v>20635.8185593489</v>
      </c>
      <c r="F1373" s="3">
        <v>11230.4612282466</v>
      </c>
      <c r="G1373" s="3">
        <v>11802.251881666</v>
      </c>
      <c r="H1373" s="3">
        <v>19573.6095329469</v>
      </c>
      <c r="I1373" s="3">
        <v>67826.4374857735</v>
      </c>
      <c r="J1373" s="4">
        <v>45992.0</v>
      </c>
      <c r="K1373" s="3">
        <v>17.0</v>
      </c>
      <c r="L1373" s="3" t="s">
        <v>42</v>
      </c>
    </row>
    <row r="1374" ht="15.75" customHeight="1">
      <c r="A1374" s="3" t="s">
        <v>1448</v>
      </c>
      <c r="B1374" s="3" t="s">
        <v>13</v>
      </c>
      <c r="C1374" s="3" t="s">
        <v>18</v>
      </c>
      <c r="D1374" s="3">
        <v>63828.4688530209</v>
      </c>
      <c r="E1374" s="3">
        <v>20640.4332776763</v>
      </c>
      <c r="F1374" s="3">
        <v>11238.1412316761</v>
      </c>
      <c r="G1374" s="3">
        <v>11805.6494323532</v>
      </c>
      <c r="H1374" s="3">
        <v>19524.1058151978</v>
      </c>
      <c r="I1374" s="3">
        <v>67829.8189601933</v>
      </c>
      <c r="J1374" s="4">
        <v>45809.0</v>
      </c>
      <c r="K1374" s="3">
        <v>25.0</v>
      </c>
      <c r="L1374" s="3" t="s">
        <v>15</v>
      </c>
    </row>
    <row r="1375" ht="15.75" customHeight="1">
      <c r="A1375" s="3" t="s">
        <v>1449</v>
      </c>
      <c r="B1375" s="3" t="s">
        <v>29</v>
      </c>
      <c r="C1375" s="3" t="s">
        <v>14</v>
      </c>
      <c r="D1375" s="3">
        <v>63839.3518229271</v>
      </c>
      <c r="E1375" s="3">
        <v>20645.0479960037</v>
      </c>
      <c r="F1375" s="3">
        <v>11245.8212351056</v>
      </c>
      <c r="G1375" s="3">
        <v>11809.0469830405</v>
      </c>
      <c r="H1375" s="3">
        <v>19474.6020974486</v>
      </c>
      <c r="I1375" s="3">
        <v>67833.2004346131</v>
      </c>
      <c r="J1375" s="4">
        <v>45689.0</v>
      </c>
      <c r="K1375" s="3">
        <v>11.0</v>
      </c>
      <c r="L1375" s="3" t="s">
        <v>19</v>
      </c>
    </row>
    <row r="1376" ht="15.75" customHeight="1">
      <c r="A1376" s="3" t="s">
        <v>1450</v>
      </c>
      <c r="B1376" s="3" t="s">
        <v>29</v>
      </c>
      <c r="C1376" s="3" t="s">
        <v>14</v>
      </c>
      <c r="D1376" s="3">
        <v>63850.2347928333</v>
      </c>
      <c r="E1376" s="3">
        <v>20649.6627143311</v>
      </c>
      <c r="F1376" s="3">
        <v>11253.5012385351</v>
      </c>
      <c r="G1376" s="3">
        <v>11812.4445337278</v>
      </c>
      <c r="H1376" s="3">
        <v>19425.0983796995</v>
      </c>
      <c r="I1376" s="3">
        <v>67836.581909033</v>
      </c>
      <c r="J1376" s="4">
        <v>45748.0</v>
      </c>
      <c r="K1376" s="3">
        <v>22.0</v>
      </c>
      <c r="L1376" s="3" t="s">
        <v>21</v>
      </c>
    </row>
    <row r="1377" ht="15.75" customHeight="1">
      <c r="A1377" s="3" t="s">
        <v>1451</v>
      </c>
      <c r="B1377" s="3" t="s">
        <v>51</v>
      </c>
      <c r="C1377" s="3" t="s">
        <v>18</v>
      </c>
      <c r="D1377" s="3">
        <v>63861.1177627395</v>
      </c>
      <c r="E1377" s="3">
        <v>20654.2774326586</v>
      </c>
      <c r="F1377" s="3">
        <v>11261.1812419646</v>
      </c>
      <c r="G1377" s="3">
        <v>11815.8420844151</v>
      </c>
      <c r="H1377" s="3">
        <v>19375.5946619504</v>
      </c>
      <c r="I1377" s="3">
        <v>67839.9633834528</v>
      </c>
      <c r="J1377" s="4">
        <v>45809.0</v>
      </c>
      <c r="K1377" s="3">
        <v>4.0</v>
      </c>
      <c r="L1377" s="3" t="s">
        <v>23</v>
      </c>
    </row>
    <row r="1378" ht="15.75" customHeight="1">
      <c r="A1378" s="3" t="s">
        <v>1452</v>
      </c>
      <c r="B1378" s="3" t="s">
        <v>36</v>
      </c>
      <c r="C1378" s="3" t="s">
        <v>54</v>
      </c>
      <c r="D1378" s="3">
        <v>63872.0007326457</v>
      </c>
      <c r="E1378" s="3">
        <v>20658.892150986</v>
      </c>
      <c r="F1378" s="3">
        <v>11268.8612453941</v>
      </c>
      <c r="G1378" s="3">
        <v>11819.2396351024</v>
      </c>
      <c r="H1378" s="3">
        <v>19326.0909442013</v>
      </c>
      <c r="I1378" s="3">
        <v>67843.3448578726</v>
      </c>
      <c r="J1378" s="3" t="s">
        <v>57</v>
      </c>
      <c r="K1378" s="3">
        <v>4.0</v>
      </c>
      <c r="L1378" s="3" t="s">
        <v>27</v>
      </c>
    </row>
    <row r="1379" ht="15.75" customHeight="1">
      <c r="A1379" s="3" t="s">
        <v>1453</v>
      </c>
      <c r="B1379" s="3" t="s">
        <v>25</v>
      </c>
      <c r="C1379" s="3" t="s">
        <v>37</v>
      </c>
      <c r="D1379" s="3">
        <v>63882.8837025519</v>
      </c>
      <c r="E1379" s="3">
        <v>20663.5068693134</v>
      </c>
      <c r="F1379" s="3">
        <v>11276.5412488235</v>
      </c>
      <c r="G1379" s="3">
        <v>11822.6371857897</v>
      </c>
      <c r="H1379" s="3">
        <v>19276.5872264521</v>
      </c>
      <c r="I1379" s="3">
        <v>67846.7263322924</v>
      </c>
      <c r="J1379" s="4">
        <v>45931.0</v>
      </c>
      <c r="K1379" s="3">
        <v>10.0</v>
      </c>
      <c r="L1379" s="3" t="s">
        <v>31</v>
      </c>
    </row>
    <row r="1380" ht="15.75" customHeight="1">
      <c r="A1380" s="3" t="s">
        <v>1454</v>
      </c>
      <c r="B1380" s="3" t="s">
        <v>17</v>
      </c>
      <c r="C1380" s="3" t="s">
        <v>18</v>
      </c>
      <c r="D1380" s="3">
        <v>63893.766672458</v>
      </c>
      <c r="E1380" s="3">
        <v>20668.1215876408</v>
      </c>
      <c r="F1380" s="3">
        <v>11284.221252253</v>
      </c>
      <c r="G1380" s="3">
        <v>11826.034736477</v>
      </c>
      <c r="H1380" s="3">
        <v>19227.083508703</v>
      </c>
      <c r="I1380" s="3">
        <v>67850.1078067122</v>
      </c>
      <c r="J1380" s="4">
        <v>45839.0</v>
      </c>
      <c r="K1380" s="3">
        <v>15.0</v>
      </c>
      <c r="L1380" s="3" t="s">
        <v>34</v>
      </c>
    </row>
    <row r="1381" ht="15.75" customHeight="1">
      <c r="A1381" s="3" t="s">
        <v>1455</v>
      </c>
      <c r="B1381" s="3" t="s">
        <v>36</v>
      </c>
      <c r="C1381" s="3" t="s">
        <v>54</v>
      </c>
      <c r="D1381" s="3">
        <v>63904.6496423642</v>
      </c>
      <c r="E1381" s="3">
        <v>20672.7363059682</v>
      </c>
      <c r="F1381" s="3">
        <v>11291.9012556825</v>
      </c>
      <c r="G1381" s="3">
        <v>11829.4322871643</v>
      </c>
      <c r="H1381" s="3">
        <v>19177.5797909539</v>
      </c>
      <c r="I1381" s="3">
        <v>67853.489281132</v>
      </c>
      <c r="J1381" s="4">
        <v>45778.0</v>
      </c>
      <c r="K1381" s="3">
        <v>2.0</v>
      </c>
      <c r="L1381" s="3" t="s">
        <v>38</v>
      </c>
    </row>
    <row r="1382" ht="15.75" customHeight="1">
      <c r="A1382" s="3" t="s">
        <v>1456</v>
      </c>
      <c r="B1382" s="3" t="s">
        <v>17</v>
      </c>
      <c r="C1382" s="3" t="s">
        <v>33</v>
      </c>
      <c r="D1382" s="5"/>
      <c r="E1382" s="3">
        <v>20677.3510242957</v>
      </c>
      <c r="F1382" s="3">
        <v>11299.581259112</v>
      </c>
      <c r="G1382" s="3">
        <v>11832.8298378515</v>
      </c>
      <c r="H1382" s="3">
        <v>19128.0760732048</v>
      </c>
      <c r="I1382" s="3">
        <v>67856.8707555518</v>
      </c>
      <c r="J1382" s="4">
        <v>45778.0</v>
      </c>
      <c r="K1382" s="3">
        <v>19.0</v>
      </c>
      <c r="L1382" s="3" t="s">
        <v>40</v>
      </c>
    </row>
    <row r="1383" ht="15.75" customHeight="1">
      <c r="A1383" s="3" t="s">
        <v>1457</v>
      </c>
      <c r="B1383" s="3" t="s">
        <v>17</v>
      </c>
      <c r="C1383" s="3" t="s">
        <v>30</v>
      </c>
      <c r="D1383" s="3">
        <v>63926.4155821766</v>
      </c>
      <c r="E1383" s="3">
        <v>20681.9657426231</v>
      </c>
      <c r="F1383" s="3">
        <v>11307.2612625415</v>
      </c>
      <c r="G1383" s="3">
        <v>11836.2273885388</v>
      </c>
      <c r="H1383" s="3">
        <v>19078.5723554556</v>
      </c>
      <c r="I1383" s="3">
        <v>67860.2522299717</v>
      </c>
      <c r="J1383" s="4">
        <v>45658.0</v>
      </c>
      <c r="K1383" s="3">
        <v>7.0</v>
      </c>
      <c r="L1383" s="3" t="s">
        <v>42</v>
      </c>
    </row>
    <row r="1384" ht="15.75" customHeight="1">
      <c r="A1384" s="3" t="s">
        <v>1458</v>
      </c>
      <c r="B1384" s="3" t="s">
        <v>51</v>
      </c>
      <c r="C1384" s="3" t="s">
        <v>26</v>
      </c>
      <c r="D1384" s="3">
        <v>63937.2985520828</v>
      </c>
      <c r="E1384" s="3">
        <v>20686.5804609505</v>
      </c>
      <c r="F1384" s="3">
        <v>11314.941265971</v>
      </c>
      <c r="G1384" s="3">
        <v>11839.6249392261</v>
      </c>
      <c r="H1384" s="3">
        <v>19029.0686377065</v>
      </c>
      <c r="I1384" s="3">
        <v>67863.6337043915</v>
      </c>
      <c r="J1384" s="4">
        <v>45748.0</v>
      </c>
      <c r="K1384" s="3">
        <v>14.0</v>
      </c>
      <c r="L1384" s="3" t="s">
        <v>15</v>
      </c>
    </row>
    <row r="1385" ht="15.75" customHeight="1">
      <c r="A1385" s="3" t="s">
        <v>1459</v>
      </c>
      <c r="B1385" s="3" t="s">
        <v>36</v>
      </c>
      <c r="C1385" s="3" t="s">
        <v>18</v>
      </c>
      <c r="D1385" s="3">
        <v>63948.181521989</v>
      </c>
      <c r="E1385" s="3">
        <v>20691.1951792779</v>
      </c>
      <c r="F1385" s="3">
        <v>11322.6212694005</v>
      </c>
      <c r="G1385" s="3">
        <v>11843.0224899134</v>
      </c>
      <c r="H1385" s="3">
        <v>18979.5649199574</v>
      </c>
      <c r="I1385" s="3">
        <v>67867.0151788113</v>
      </c>
      <c r="J1385" s="4">
        <v>45992.0</v>
      </c>
      <c r="K1385" s="3">
        <v>17.0</v>
      </c>
      <c r="L1385" s="3" t="s">
        <v>19</v>
      </c>
    </row>
    <row r="1386" ht="15.75" customHeight="1">
      <c r="A1386" s="3" t="s">
        <v>1460</v>
      </c>
      <c r="B1386" s="3" t="s">
        <v>53</v>
      </c>
      <c r="C1386" s="3" t="s">
        <v>37</v>
      </c>
      <c r="D1386" s="3">
        <v>63959.0644918952</v>
      </c>
      <c r="E1386" s="3">
        <v>20695.8098976054</v>
      </c>
      <c r="F1386" s="3">
        <v>11330.30127283</v>
      </c>
      <c r="G1386" s="3">
        <v>11846.4200406007</v>
      </c>
      <c r="H1386" s="3">
        <v>18930.0612022082</v>
      </c>
      <c r="I1386" s="3">
        <v>67870.3966532311</v>
      </c>
      <c r="J1386" s="4">
        <v>45931.0</v>
      </c>
      <c r="K1386" s="3">
        <v>25.0</v>
      </c>
      <c r="L1386" s="3" t="s">
        <v>21</v>
      </c>
    </row>
    <row r="1387" ht="15.75" customHeight="1">
      <c r="A1387" s="3" t="s">
        <v>1461</v>
      </c>
      <c r="B1387" s="3" t="s">
        <v>17</v>
      </c>
      <c r="C1387" s="3" t="s">
        <v>54</v>
      </c>
      <c r="D1387" s="3">
        <v>63969.9474618014</v>
      </c>
      <c r="E1387" s="3">
        <v>20700.4246159328</v>
      </c>
      <c r="F1387" s="3">
        <v>11337.9812762595</v>
      </c>
      <c r="G1387" s="3">
        <v>11849.817591288</v>
      </c>
      <c r="H1387" s="3">
        <v>18880.5574844591</v>
      </c>
      <c r="I1387" s="3">
        <v>67873.7781276509</v>
      </c>
      <c r="J1387" s="4">
        <v>45839.0</v>
      </c>
      <c r="K1387" s="3">
        <v>24.0</v>
      </c>
      <c r="L1387" s="3" t="s">
        <v>23</v>
      </c>
    </row>
    <row r="1388" ht="15.75" customHeight="1">
      <c r="A1388" s="3" t="s">
        <v>1462</v>
      </c>
      <c r="B1388" s="3" t="s">
        <v>36</v>
      </c>
      <c r="C1388" s="3" t="s">
        <v>37</v>
      </c>
      <c r="D1388" s="3">
        <v>63980.8304317076</v>
      </c>
      <c r="E1388" s="3">
        <v>20705.0393342602</v>
      </c>
      <c r="F1388" s="3">
        <v>11345.661279689</v>
      </c>
      <c r="G1388" s="3">
        <v>11853.2151419753</v>
      </c>
      <c r="H1388" s="3">
        <v>18831.05376671</v>
      </c>
      <c r="I1388" s="3">
        <v>67877.1596020707</v>
      </c>
      <c r="J1388" s="4">
        <v>45992.0</v>
      </c>
      <c r="K1388" s="3">
        <v>4.0</v>
      </c>
      <c r="L1388" s="3" t="s">
        <v>27</v>
      </c>
    </row>
    <row r="1389" ht="15.75" customHeight="1">
      <c r="A1389" s="3" t="s">
        <v>1463</v>
      </c>
      <c r="B1389" s="3" t="s">
        <v>17</v>
      </c>
      <c r="C1389" s="3" t="s">
        <v>33</v>
      </c>
      <c r="D1389" s="3">
        <v>63991.7134016138</v>
      </c>
      <c r="E1389" s="3">
        <v>20709.6540525876</v>
      </c>
      <c r="F1389" s="3">
        <v>11353.3412831185</v>
      </c>
      <c r="G1389" s="3">
        <v>11856.6126926625</v>
      </c>
      <c r="H1389" s="3">
        <v>18781.5500489609</v>
      </c>
      <c r="I1389" s="3">
        <v>67880.5410764906</v>
      </c>
      <c r="J1389" s="4">
        <v>45839.0</v>
      </c>
      <c r="K1389" s="3">
        <v>18.0</v>
      </c>
      <c r="L1389" s="3" t="s">
        <v>31</v>
      </c>
    </row>
    <row r="1390" ht="15.75" customHeight="1">
      <c r="A1390" s="3" t="s">
        <v>1464</v>
      </c>
      <c r="B1390" s="3" t="s">
        <v>29</v>
      </c>
      <c r="C1390" s="3" t="s">
        <v>14</v>
      </c>
      <c r="D1390" s="3">
        <v>64002.59637152</v>
      </c>
      <c r="E1390" s="3">
        <v>20714.268770915</v>
      </c>
      <c r="F1390" s="3">
        <v>11361.021286548</v>
      </c>
      <c r="G1390" s="3">
        <v>11860.0102433498</v>
      </c>
      <c r="H1390" s="3">
        <v>18732.0463312117</v>
      </c>
      <c r="I1390" s="3">
        <v>67883.9225509104</v>
      </c>
      <c r="J1390" s="4">
        <v>45809.0</v>
      </c>
      <c r="K1390" s="3">
        <v>1.0</v>
      </c>
      <c r="L1390" s="3" t="s">
        <v>34</v>
      </c>
    </row>
    <row r="1391" ht="15.75" customHeight="1">
      <c r="A1391" s="3" t="s">
        <v>1465</v>
      </c>
      <c r="B1391" s="3" t="s">
        <v>53</v>
      </c>
      <c r="C1391" s="3" t="s">
        <v>14</v>
      </c>
      <c r="D1391" s="3">
        <v>64013.4793414262</v>
      </c>
      <c r="E1391" s="3">
        <v>20718.8834892425</v>
      </c>
      <c r="F1391" s="3">
        <v>11368.7012899775</v>
      </c>
      <c r="G1391" s="3">
        <v>11863.4077940371</v>
      </c>
      <c r="H1391" s="3">
        <v>18682.5426134626</v>
      </c>
      <c r="I1391" s="3">
        <v>67887.3040253302</v>
      </c>
      <c r="J1391" s="4">
        <v>45748.0</v>
      </c>
      <c r="K1391" s="3">
        <v>6.0</v>
      </c>
      <c r="L1391" s="3" t="s">
        <v>38</v>
      </c>
    </row>
    <row r="1392" ht="15.75" customHeight="1">
      <c r="A1392" s="3" t="s">
        <v>1466</v>
      </c>
      <c r="B1392" s="3" t="s">
        <v>25</v>
      </c>
      <c r="C1392" s="3" t="s">
        <v>30</v>
      </c>
      <c r="D1392" s="3">
        <v>64024.3623113324</v>
      </c>
      <c r="E1392" s="3">
        <v>20723.4982075699</v>
      </c>
      <c r="F1392" s="3">
        <v>11376.381293407</v>
      </c>
      <c r="G1392" s="3">
        <v>11866.8053447244</v>
      </c>
      <c r="H1392" s="3">
        <v>18633.0388957135</v>
      </c>
      <c r="I1392" s="3">
        <v>67890.68549975</v>
      </c>
      <c r="J1392" s="4">
        <v>45717.0</v>
      </c>
      <c r="K1392" s="3">
        <v>8.0</v>
      </c>
      <c r="L1392" s="3" t="s">
        <v>40</v>
      </c>
    </row>
    <row r="1393" ht="15.75" customHeight="1">
      <c r="A1393" s="3" t="s">
        <v>1467</v>
      </c>
      <c r="B1393" s="3" t="s">
        <v>25</v>
      </c>
      <c r="C1393" s="3" t="s">
        <v>33</v>
      </c>
      <c r="D1393" s="3">
        <v>64035.2452812386</v>
      </c>
      <c r="E1393" s="3">
        <v>20728.1129258973</v>
      </c>
      <c r="F1393" s="3">
        <v>11384.0612968365</v>
      </c>
      <c r="G1393" s="3">
        <v>11870.2028954117</v>
      </c>
      <c r="H1393" s="3">
        <v>18583.5351779644</v>
      </c>
      <c r="I1393" s="3">
        <v>67894.0669741698</v>
      </c>
      <c r="J1393" s="4">
        <v>45962.0</v>
      </c>
      <c r="K1393" s="3">
        <v>14.0</v>
      </c>
      <c r="L1393" s="3" t="s">
        <v>42</v>
      </c>
    </row>
    <row r="1394" ht="15.75" customHeight="1">
      <c r="A1394" s="3" t="s">
        <v>1468</v>
      </c>
      <c r="B1394" s="3" t="s">
        <v>51</v>
      </c>
      <c r="C1394" s="3" t="s">
        <v>14</v>
      </c>
      <c r="D1394" s="3">
        <v>64046.1282511448</v>
      </c>
      <c r="E1394" s="3">
        <v>20732.7276442247</v>
      </c>
      <c r="F1394" s="3">
        <v>11391.741300266</v>
      </c>
      <c r="G1394" s="3">
        <v>11873.600446099</v>
      </c>
      <c r="H1394" s="3">
        <v>18534.0314602152</v>
      </c>
      <c r="I1394" s="3">
        <v>67897.4484485896</v>
      </c>
      <c r="J1394" s="4">
        <v>45931.0</v>
      </c>
      <c r="K1394" s="3">
        <v>16.0</v>
      </c>
      <c r="L1394" s="3" t="s">
        <v>15</v>
      </c>
    </row>
    <row r="1395" ht="15.75" customHeight="1">
      <c r="A1395" s="3" t="s">
        <v>1469</v>
      </c>
      <c r="B1395" s="3" t="s">
        <v>17</v>
      </c>
      <c r="C1395" s="3" t="s">
        <v>30</v>
      </c>
      <c r="D1395" s="3">
        <v>64057.011221051</v>
      </c>
      <c r="E1395" s="3">
        <v>20737.3423625522</v>
      </c>
      <c r="F1395" s="3">
        <v>11399.4213036955</v>
      </c>
      <c r="G1395" s="3">
        <v>11876.9979967863</v>
      </c>
      <c r="H1395" s="3">
        <v>18484.5277424661</v>
      </c>
      <c r="I1395" s="3">
        <v>67900.8299230094</v>
      </c>
      <c r="J1395" s="4">
        <v>45962.0</v>
      </c>
      <c r="K1395" s="3">
        <v>17.0</v>
      </c>
      <c r="L1395" s="3" t="s">
        <v>19</v>
      </c>
    </row>
    <row r="1396" ht="15.75" customHeight="1">
      <c r="A1396" s="3" t="s">
        <v>1470</v>
      </c>
      <c r="B1396" s="3" t="s">
        <v>25</v>
      </c>
      <c r="C1396" s="3" t="s">
        <v>37</v>
      </c>
      <c r="D1396" s="3">
        <v>64067.8941909571</v>
      </c>
      <c r="E1396" s="3">
        <v>20741.9570808796</v>
      </c>
      <c r="F1396" s="3">
        <v>11407.101307125</v>
      </c>
      <c r="G1396" s="3">
        <v>11880.3955474736</v>
      </c>
      <c r="H1396" s="3">
        <v>18435.024024717</v>
      </c>
      <c r="I1396" s="3">
        <v>67904.2113974293</v>
      </c>
      <c r="J1396" s="4">
        <v>45689.0</v>
      </c>
      <c r="K1396" s="3">
        <v>15.0</v>
      </c>
      <c r="L1396" s="3" t="s">
        <v>21</v>
      </c>
    </row>
    <row r="1397" ht="15.75" customHeight="1">
      <c r="A1397" s="3" t="s">
        <v>1471</v>
      </c>
      <c r="B1397" s="3" t="s">
        <v>53</v>
      </c>
      <c r="C1397" s="3" t="s">
        <v>33</v>
      </c>
      <c r="D1397" s="3">
        <v>64078.7771608633</v>
      </c>
      <c r="E1397" s="3">
        <v>20746.571799207</v>
      </c>
      <c r="F1397" s="3">
        <v>11414.7813105545</v>
      </c>
      <c r="G1397" s="3">
        <v>11883.7930981608</v>
      </c>
      <c r="H1397" s="3">
        <v>18385.5203069678</v>
      </c>
      <c r="I1397" s="3">
        <v>67907.5928718491</v>
      </c>
      <c r="J1397" s="4">
        <v>45809.0</v>
      </c>
      <c r="K1397" s="3">
        <v>18.0</v>
      </c>
      <c r="L1397" s="3" t="s">
        <v>23</v>
      </c>
    </row>
    <row r="1398" ht="15.75" customHeight="1">
      <c r="A1398" s="3" t="s">
        <v>1472</v>
      </c>
      <c r="B1398" s="3" t="s">
        <v>36</v>
      </c>
      <c r="C1398" s="3" t="s">
        <v>54</v>
      </c>
      <c r="D1398" s="3">
        <v>64089.6601307695</v>
      </c>
      <c r="E1398" s="3">
        <v>20751.1865175344</v>
      </c>
      <c r="F1398" s="3">
        <v>11422.461313984</v>
      </c>
      <c r="G1398" s="3">
        <v>11887.1906488481</v>
      </c>
      <c r="H1398" s="3">
        <v>18336.0165892187</v>
      </c>
      <c r="I1398" s="3">
        <v>67910.9743462689</v>
      </c>
      <c r="J1398" s="4">
        <v>45778.0</v>
      </c>
      <c r="K1398" s="3">
        <v>9.0</v>
      </c>
      <c r="L1398" s="3" t="s">
        <v>27</v>
      </c>
    </row>
    <row r="1399" ht="15.75" customHeight="1">
      <c r="A1399" s="3" t="s">
        <v>1473</v>
      </c>
      <c r="B1399" s="3" t="s">
        <v>53</v>
      </c>
      <c r="C1399" s="3" t="s">
        <v>14</v>
      </c>
      <c r="D1399" s="3">
        <v>64100.5431006757</v>
      </c>
      <c r="E1399" s="3">
        <v>20755.8012358618</v>
      </c>
      <c r="F1399" s="3">
        <v>11430.1413174135</v>
      </c>
      <c r="G1399" s="3">
        <v>11890.5881995354</v>
      </c>
      <c r="H1399" s="3">
        <v>18286.5128714696</v>
      </c>
      <c r="I1399" s="3">
        <v>67914.3558206887</v>
      </c>
      <c r="J1399" s="4">
        <v>45901.0</v>
      </c>
      <c r="K1399" s="3">
        <v>3.0</v>
      </c>
      <c r="L1399" s="3" t="s">
        <v>31</v>
      </c>
    </row>
    <row r="1400" ht="15.75" customHeight="1">
      <c r="A1400" s="3" t="s">
        <v>1474</v>
      </c>
      <c r="B1400" s="3" t="s">
        <v>17</v>
      </c>
      <c r="C1400" s="3" t="s">
        <v>18</v>
      </c>
      <c r="D1400" s="3">
        <v>64111.4260705819</v>
      </c>
      <c r="E1400" s="3">
        <v>20760.4159541893</v>
      </c>
      <c r="F1400" s="3">
        <v>11437.821320843</v>
      </c>
      <c r="G1400" s="3">
        <v>11893.9857502227</v>
      </c>
      <c r="H1400" s="3">
        <v>18237.0091537205</v>
      </c>
      <c r="I1400" s="3">
        <v>67917.7372951085</v>
      </c>
      <c r="J1400" s="4">
        <v>45658.0</v>
      </c>
      <c r="K1400" s="3">
        <v>17.0</v>
      </c>
      <c r="L1400" s="3" t="s">
        <v>34</v>
      </c>
    </row>
    <row r="1401" ht="15.75" customHeight="1">
      <c r="A1401" s="3" t="s">
        <v>1475</v>
      </c>
      <c r="B1401" s="3" t="s">
        <v>36</v>
      </c>
      <c r="C1401" s="3" t="s">
        <v>54</v>
      </c>
      <c r="D1401" s="3">
        <v>64122.3090404881</v>
      </c>
      <c r="E1401" s="3">
        <v>20765.0306725167</v>
      </c>
      <c r="F1401" s="3">
        <v>11445.5013242725</v>
      </c>
      <c r="G1401" s="5"/>
      <c r="H1401" s="3">
        <v>18187.5054359713</v>
      </c>
      <c r="I1401" s="3">
        <v>67921.1187695283</v>
      </c>
      <c r="J1401" s="4">
        <v>45901.0</v>
      </c>
      <c r="K1401" s="3">
        <v>4.0</v>
      </c>
      <c r="L1401" s="3" t="s">
        <v>38</v>
      </c>
    </row>
    <row r="1402" ht="15.75" customHeight="1">
      <c r="A1402" s="3" t="s">
        <v>1476</v>
      </c>
      <c r="B1402" s="3" t="s">
        <v>36</v>
      </c>
      <c r="C1402" s="3" t="s">
        <v>26</v>
      </c>
      <c r="D1402" s="3">
        <v>64133.1920103943</v>
      </c>
      <c r="E1402" s="3">
        <v>20769.6453908441</v>
      </c>
      <c r="F1402" s="3">
        <v>11453.181327702</v>
      </c>
      <c r="G1402" s="3">
        <v>11900.7808515973</v>
      </c>
      <c r="H1402" s="3">
        <v>52232.411158797</v>
      </c>
      <c r="I1402" s="3">
        <v>57232.411158797</v>
      </c>
      <c r="J1402" s="4">
        <v>45992.0</v>
      </c>
      <c r="K1402" s="3">
        <v>17.0</v>
      </c>
      <c r="L1402" s="3" t="s">
        <v>40</v>
      </c>
    </row>
    <row r="1403" ht="15.75" customHeight="1">
      <c r="A1403" s="3" t="s">
        <v>1477</v>
      </c>
      <c r="B1403" s="3" t="s">
        <v>51</v>
      </c>
      <c r="C1403" s="3" t="s">
        <v>14</v>
      </c>
      <c r="D1403" s="3">
        <v>64144.0749803005</v>
      </c>
      <c r="E1403" s="3">
        <v>20774.2601091715</v>
      </c>
      <c r="F1403" s="3">
        <v>11460.8613311315</v>
      </c>
      <c r="G1403" s="3">
        <v>11904.1784022846</v>
      </c>
      <c r="H1403" s="3">
        <v>52239.8965780159</v>
      </c>
      <c r="I1403" s="3">
        <v>57239.8965780159</v>
      </c>
      <c r="J1403" s="4">
        <v>45870.0</v>
      </c>
      <c r="K1403" s="3">
        <v>3.0</v>
      </c>
      <c r="L1403" s="3" t="s">
        <v>42</v>
      </c>
    </row>
    <row r="1404" ht="15.75" customHeight="1">
      <c r="A1404" s="3" t="s">
        <v>1478</v>
      </c>
      <c r="B1404" s="3" t="s">
        <v>17</v>
      </c>
      <c r="C1404" s="3" t="s">
        <v>37</v>
      </c>
      <c r="D1404" s="3">
        <v>64154.9579502067</v>
      </c>
      <c r="E1404" s="3">
        <v>20778.874827499</v>
      </c>
      <c r="F1404" s="3">
        <v>11468.541334561</v>
      </c>
      <c r="G1404" s="3">
        <v>11907.5759529719</v>
      </c>
      <c r="H1404" s="3">
        <v>18038.994282724</v>
      </c>
      <c r="I1404" s="3">
        <v>67931.2631927878</v>
      </c>
      <c r="J1404" s="4">
        <v>45839.0</v>
      </c>
      <c r="K1404" s="3">
        <v>9.0</v>
      </c>
      <c r="L1404" s="3" t="s">
        <v>15</v>
      </c>
    </row>
    <row r="1405" ht="15.75" customHeight="1">
      <c r="A1405" s="3" t="s">
        <v>1479</v>
      </c>
      <c r="B1405" s="3" t="s">
        <v>53</v>
      </c>
      <c r="C1405" s="3" t="s">
        <v>37</v>
      </c>
      <c r="D1405" s="3">
        <v>64165.8409201129</v>
      </c>
      <c r="E1405" s="3">
        <v>20783.4895458264</v>
      </c>
      <c r="F1405" s="3">
        <v>11476.2213379905</v>
      </c>
      <c r="G1405" s="3">
        <v>11910.9735036591</v>
      </c>
      <c r="H1405" s="3">
        <v>17989.4905649748</v>
      </c>
      <c r="I1405" s="3">
        <v>67934.6446672076</v>
      </c>
      <c r="J1405" s="4">
        <v>45962.0</v>
      </c>
      <c r="K1405" s="3">
        <v>12.0</v>
      </c>
      <c r="L1405" s="3" t="s">
        <v>19</v>
      </c>
    </row>
    <row r="1406" ht="15.75" customHeight="1">
      <c r="A1406" s="3" t="s">
        <v>1480</v>
      </c>
      <c r="B1406" s="3" t="s">
        <v>36</v>
      </c>
      <c r="C1406" s="3" t="s">
        <v>26</v>
      </c>
      <c r="D1406" s="3">
        <v>64176.7238900191</v>
      </c>
      <c r="E1406" s="3">
        <v>20788.1042641538</v>
      </c>
      <c r="F1406" s="3">
        <v>11483.90134142</v>
      </c>
      <c r="G1406" s="3">
        <v>11914.3710543464</v>
      </c>
      <c r="H1406" s="3">
        <v>17939.9868472257</v>
      </c>
      <c r="I1406" s="3">
        <v>67938.0261416274</v>
      </c>
      <c r="J1406" s="4">
        <v>45778.0</v>
      </c>
      <c r="K1406" s="3">
        <v>10.0</v>
      </c>
      <c r="L1406" s="3" t="s">
        <v>21</v>
      </c>
    </row>
    <row r="1407" ht="15.75" customHeight="1">
      <c r="A1407" s="3" t="s">
        <v>1481</v>
      </c>
      <c r="B1407" s="3" t="s">
        <v>29</v>
      </c>
      <c r="C1407" s="3" t="s">
        <v>14</v>
      </c>
      <c r="D1407" s="3">
        <v>64187.6068599253</v>
      </c>
      <c r="E1407" s="3">
        <v>20792.7189824812</v>
      </c>
      <c r="F1407" s="3">
        <v>11491.5813448495</v>
      </c>
      <c r="G1407" s="3">
        <v>11917.7686050337</v>
      </c>
      <c r="H1407" s="3">
        <v>17890.4831294766</v>
      </c>
      <c r="I1407" s="3">
        <v>67941.4076160472</v>
      </c>
      <c r="J1407" s="4">
        <v>45809.0</v>
      </c>
      <c r="K1407" s="3">
        <v>4.0</v>
      </c>
      <c r="L1407" s="3" t="s">
        <v>23</v>
      </c>
    </row>
    <row r="1408" ht="15.75" customHeight="1">
      <c r="A1408" s="3" t="s">
        <v>1482</v>
      </c>
      <c r="B1408" s="3" t="s">
        <v>13</v>
      </c>
      <c r="C1408" s="3" t="s">
        <v>26</v>
      </c>
      <c r="D1408" s="3">
        <v>64198.4898298315</v>
      </c>
      <c r="E1408" s="3">
        <v>20797.3337008086</v>
      </c>
      <c r="F1408" s="3">
        <v>11499.261348279</v>
      </c>
      <c r="G1408" s="3">
        <v>11921.166155721</v>
      </c>
      <c r="H1408" s="3">
        <v>17840.9794117275</v>
      </c>
      <c r="I1408" s="3">
        <v>67944.789090467</v>
      </c>
      <c r="J1408" s="4">
        <v>45962.0</v>
      </c>
      <c r="K1408" s="3">
        <v>1.0</v>
      </c>
      <c r="L1408" s="3" t="s">
        <v>27</v>
      </c>
    </row>
    <row r="1409" ht="15.75" customHeight="1">
      <c r="A1409" s="3" t="s">
        <v>1483</v>
      </c>
      <c r="B1409" s="3" t="s">
        <v>17</v>
      </c>
      <c r="C1409" s="3" t="s">
        <v>37</v>
      </c>
      <c r="D1409" s="3">
        <v>64209.3727997377</v>
      </c>
      <c r="E1409" s="3">
        <v>20801.9484191361</v>
      </c>
      <c r="F1409" s="3">
        <v>11506.9413517085</v>
      </c>
      <c r="G1409" s="3">
        <v>11924.5637064083</v>
      </c>
      <c r="H1409" s="3">
        <v>17791.4756939783</v>
      </c>
      <c r="I1409" s="3">
        <v>67948.1705648868</v>
      </c>
      <c r="J1409" s="4">
        <v>45778.0</v>
      </c>
      <c r="K1409" s="3">
        <v>10.0</v>
      </c>
      <c r="L1409" s="3" t="s">
        <v>31</v>
      </c>
    </row>
    <row r="1410" ht="15.75" customHeight="1">
      <c r="A1410" s="3" t="s">
        <v>1484</v>
      </c>
      <c r="B1410" s="3" t="s">
        <v>13</v>
      </c>
      <c r="C1410" s="3" t="s">
        <v>18</v>
      </c>
      <c r="D1410" s="3">
        <v>64220.2557696439</v>
      </c>
      <c r="E1410" s="3">
        <v>20806.5631374635</v>
      </c>
      <c r="F1410" s="3">
        <v>11514.621355138</v>
      </c>
      <c r="G1410" s="3">
        <v>11927.9612570956</v>
      </c>
      <c r="H1410" s="3">
        <v>17741.9719762292</v>
      </c>
      <c r="I1410" s="3">
        <v>67951.5520393067</v>
      </c>
      <c r="J1410" s="4">
        <v>45992.0</v>
      </c>
      <c r="K1410" s="3">
        <v>23.0</v>
      </c>
      <c r="L1410" s="3" t="s">
        <v>34</v>
      </c>
    </row>
    <row r="1411" ht="15.75" customHeight="1">
      <c r="A1411" s="3" t="s">
        <v>1485</v>
      </c>
      <c r="B1411" s="3" t="s">
        <v>53</v>
      </c>
      <c r="C1411" s="3" t="s">
        <v>54</v>
      </c>
      <c r="D1411" s="3">
        <v>64231.13873955</v>
      </c>
      <c r="E1411" s="3">
        <v>20811.1778557909</v>
      </c>
      <c r="F1411" s="3">
        <v>11522.3013585675</v>
      </c>
      <c r="G1411" s="3">
        <v>11931.3588077829</v>
      </c>
      <c r="H1411" s="3">
        <v>17692.4682584801</v>
      </c>
      <c r="I1411" s="3">
        <v>67954.9335137265</v>
      </c>
      <c r="J1411" s="4">
        <v>45962.0</v>
      </c>
      <c r="K1411" s="3">
        <v>18.0</v>
      </c>
      <c r="L1411" s="3" t="s">
        <v>38</v>
      </c>
    </row>
    <row r="1412" ht="15.75" customHeight="1">
      <c r="A1412" s="3" t="s">
        <v>1486</v>
      </c>
      <c r="B1412" s="3" t="s">
        <v>25</v>
      </c>
      <c r="C1412" s="3" t="s">
        <v>18</v>
      </c>
      <c r="D1412" s="3">
        <v>64242.0217094562</v>
      </c>
      <c r="E1412" s="3">
        <v>20815.7925741183</v>
      </c>
      <c r="F1412" s="3">
        <v>11529.981361997</v>
      </c>
      <c r="G1412" s="3">
        <v>11934.7563584701</v>
      </c>
      <c r="H1412" s="3">
        <v>17642.964540731</v>
      </c>
      <c r="I1412" s="3">
        <v>67958.3149881463</v>
      </c>
      <c r="J1412" s="4">
        <v>45748.0</v>
      </c>
      <c r="K1412" s="3">
        <v>22.0</v>
      </c>
      <c r="L1412" s="3" t="s">
        <v>40</v>
      </c>
    </row>
    <row r="1413" ht="15.75" customHeight="1">
      <c r="A1413" s="3" t="s">
        <v>1487</v>
      </c>
      <c r="B1413" s="3" t="s">
        <v>36</v>
      </c>
      <c r="C1413" s="3" t="s">
        <v>37</v>
      </c>
      <c r="D1413" s="3">
        <v>64252.9046793624</v>
      </c>
      <c r="E1413" s="3">
        <v>20820.4072924458</v>
      </c>
      <c r="F1413" s="3">
        <v>11537.6613654265</v>
      </c>
      <c r="G1413" s="3">
        <v>11938.1539091574</v>
      </c>
      <c r="H1413" s="3">
        <v>17593.4608229818</v>
      </c>
      <c r="I1413" s="3">
        <v>67961.6964625661</v>
      </c>
      <c r="J1413" s="4">
        <v>45689.0</v>
      </c>
      <c r="K1413" s="3">
        <v>7.0</v>
      </c>
      <c r="L1413" s="3" t="s">
        <v>42</v>
      </c>
    </row>
    <row r="1414" ht="15.75" customHeight="1">
      <c r="A1414" s="3" t="s">
        <v>1488</v>
      </c>
      <c r="B1414" s="3" t="s">
        <v>29</v>
      </c>
      <c r="C1414" s="3" t="s">
        <v>26</v>
      </c>
      <c r="D1414" s="3">
        <v>64263.7876492686</v>
      </c>
      <c r="E1414" s="3">
        <v>20825.0220107732</v>
      </c>
      <c r="F1414" s="3">
        <v>11545.341368856</v>
      </c>
      <c r="G1414" s="3">
        <v>11941.5514598447</v>
      </c>
      <c r="H1414" s="3">
        <v>17543.9571052327</v>
      </c>
      <c r="I1414" s="3">
        <v>67965.0779369859</v>
      </c>
      <c r="J1414" s="4">
        <v>45992.0</v>
      </c>
      <c r="K1414" s="3">
        <v>14.0</v>
      </c>
      <c r="L1414" s="3" t="s">
        <v>15</v>
      </c>
    </row>
    <row r="1415" ht="15.75" customHeight="1">
      <c r="A1415" s="3" t="s">
        <v>1489</v>
      </c>
      <c r="B1415" s="3" t="s">
        <v>29</v>
      </c>
      <c r="C1415" s="3" t="s">
        <v>26</v>
      </c>
      <c r="D1415" s="3">
        <v>64274.6706191748</v>
      </c>
      <c r="E1415" s="3">
        <v>20829.6367291006</v>
      </c>
      <c r="F1415" s="3">
        <v>11553.0213722855</v>
      </c>
      <c r="G1415" s="3">
        <v>11944.949010532</v>
      </c>
      <c r="H1415" s="3">
        <v>17494.4533874836</v>
      </c>
      <c r="I1415" s="3">
        <v>67968.4594114057</v>
      </c>
      <c r="J1415" s="4">
        <v>45931.0</v>
      </c>
      <c r="K1415" s="3">
        <v>5.0</v>
      </c>
      <c r="L1415" s="3" t="s">
        <v>19</v>
      </c>
    </row>
    <row r="1416" ht="15.75" customHeight="1">
      <c r="A1416" s="3" t="s">
        <v>1490</v>
      </c>
      <c r="B1416" s="3" t="s">
        <v>53</v>
      </c>
      <c r="C1416" s="3" t="s">
        <v>14</v>
      </c>
      <c r="D1416" s="3">
        <v>64285.553589081</v>
      </c>
      <c r="E1416" s="3">
        <v>20834.251447428</v>
      </c>
      <c r="F1416" s="3">
        <v>11560.7013757149</v>
      </c>
      <c r="G1416" s="3">
        <v>11948.3465612193</v>
      </c>
      <c r="H1416" s="3">
        <v>17444.9496697345</v>
      </c>
      <c r="I1416" s="3">
        <v>67971.8408858255</v>
      </c>
      <c r="J1416" s="4">
        <v>45717.0</v>
      </c>
      <c r="K1416" s="3">
        <v>23.0</v>
      </c>
      <c r="L1416" s="3" t="s">
        <v>21</v>
      </c>
    </row>
    <row r="1417" ht="15.75" customHeight="1">
      <c r="A1417" s="3" t="s">
        <v>1491</v>
      </c>
      <c r="B1417" s="3" t="s">
        <v>13</v>
      </c>
      <c r="C1417" s="3" t="s">
        <v>54</v>
      </c>
      <c r="D1417" s="3">
        <v>64307.3195288934</v>
      </c>
      <c r="E1417" s="3">
        <v>20843.4808840829</v>
      </c>
      <c r="F1417" s="3">
        <v>11576.0613825739</v>
      </c>
      <c r="G1417" s="3">
        <v>11955.1416625939</v>
      </c>
      <c r="H1417" s="3">
        <v>17345.9422342362</v>
      </c>
      <c r="I1417" s="3">
        <v>67978.6038346652</v>
      </c>
      <c r="J1417" s="4">
        <v>45748.0</v>
      </c>
      <c r="K1417" s="3">
        <v>7.0</v>
      </c>
      <c r="L1417" s="3" t="s">
        <v>27</v>
      </c>
    </row>
    <row r="1418" ht="15.75" customHeight="1">
      <c r="A1418" s="3" t="s">
        <v>1492</v>
      </c>
      <c r="B1418" s="3" t="s">
        <v>53</v>
      </c>
      <c r="C1418" s="3" t="s">
        <v>33</v>
      </c>
      <c r="D1418" s="3">
        <v>64318.2024987996</v>
      </c>
      <c r="E1418" s="3">
        <v>20848.0956024103</v>
      </c>
      <c r="F1418" s="3">
        <v>11583.7413860034</v>
      </c>
      <c r="G1418" s="3">
        <v>11958.5392132812</v>
      </c>
      <c r="H1418" s="3">
        <v>17296.4385164871</v>
      </c>
      <c r="I1418" s="3">
        <v>67981.985309085</v>
      </c>
      <c r="J1418" s="4">
        <v>45962.0</v>
      </c>
      <c r="K1418" s="3">
        <v>14.0</v>
      </c>
      <c r="L1418" s="3" t="s">
        <v>31</v>
      </c>
    </row>
    <row r="1419" ht="15.75" customHeight="1">
      <c r="A1419" s="3" t="s">
        <v>1493</v>
      </c>
      <c r="B1419" s="3" t="s">
        <v>29</v>
      </c>
      <c r="C1419" s="3" t="s">
        <v>26</v>
      </c>
      <c r="D1419" s="3">
        <v>64329.0854687058</v>
      </c>
      <c r="E1419" s="3">
        <v>20852.7103207377</v>
      </c>
      <c r="F1419" s="3">
        <v>11591.4213894329</v>
      </c>
      <c r="G1419" s="3">
        <v>11961.9367639684</v>
      </c>
      <c r="H1419" s="3">
        <v>17246.9347987379</v>
      </c>
      <c r="I1419" s="3">
        <v>67985.3667835048</v>
      </c>
      <c r="J1419" s="4">
        <v>45901.0</v>
      </c>
      <c r="K1419" s="3">
        <v>20.0</v>
      </c>
      <c r="L1419" s="3" t="s">
        <v>34</v>
      </c>
    </row>
    <row r="1420" ht="15.75" customHeight="1">
      <c r="A1420" s="3" t="s">
        <v>1494</v>
      </c>
      <c r="B1420" s="3" t="s">
        <v>36</v>
      </c>
      <c r="C1420" s="3" t="s">
        <v>30</v>
      </c>
      <c r="D1420" s="3">
        <v>64350.8514085182</v>
      </c>
      <c r="E1420" s="3">
        <v>20861.9397573926</v>
      </c>
      <c r="F1420" s="3">
        <v>11606.7813962919</v>
      </c>
      <c r="G1420" s="3">
        <v>11968.731865343</v>
      </c>
      <c r="H1420" s="3">
        <v>17147.9273632397</v>
      </c>
      <c r="I1420" s="3">
        <v>67992.1297323444</v>
      </c>
      <c r="J1420" s="4">
        <v>45992.0</v>
      </c>
      <c r="K1420" s="3">
        <v>23.0</v>
      </c>
      <c r="L1420" s="3" t="s">
        <v>40</v>
      </c>
    </row>
    <row r="1421" ht="15.75" customHeight="1">
      <c r="A1421" s="3" t="s">
        <v>1495</v>
      </c>
      <c r="B1421" s="3" t="s">
        <v>17</v>
      </c>
      <c r="C1421" s="3" t="s">
        <v>18</v>
      </c>
      <c r="D1421" s="3">
        <v>64361.7343784244</v>
      </c>
      <c r="E1421" s="3">
        <v>20866.55447572</v>
      </c>
      <c r="F1421" s="3">
        <v>11614.4613997214</v>
      </c>
      <c r="G1421" s="3">
        <v>11972.1294160303</v>
      </c>
      <c r="H1421" s="3">
        <v>17098.4236454906</v>
      </c>
      <c r="I1421" s="3">
        <v>67995.5112067642</v>
      </c>
      <c r="J1421" s="4">
        <v>45778.0</v>
      </c>
      <c r="K1421" s="3">
        <v>10.0</v>
      </c>
      <c r="L1421" s="3" t="s">
        <v>42</v>
      </c>
    </row>
    <row r="1422" ht="15.75" customHeight="1">
      <c r="A1422" s="3" t="s">
        <v>1496</v>
      </c>
      <c r="B1422" s="3" t="s">
        <v>25</v>
      </c>
      <c r="C1422" s="3" t="s">
        <v>37</v>
      </c>
      <c r="D1422" s="3">
        <v>64372.6173483306</v>
      </c>
      <c r="E1422" s="3">
        <v>20871.1691940474</v>
      </c>
      <c r="F1422" s="3">
        <v>11622.1414031509</v>
      </c>
      <c r="G1422" s="3">
        <v>11975.5269667176</v>
      </c>
      <c r="H1422" s="3">
        <v>17048.9199277414</v>
      </c>
      <c r="I1422" s="3">
        <v>67998.8926811841</v>
      </c>
      <c r="J1422" s="4">
        <v>45748.0</v>
      </c>
      <c r="K1422" s="3">
        <v>3.0</v>
      </c>
      <c r="L1422" s="3" t="s">
        <v>15</v>
      </c>
    </row>
    <row r="1423" ht="15.75" customHeight="1">
      <c r="A1423" s="3" t="s">
        <v>1497</v>
      </c>
      <c r="B1423" s="3" t="s">
        <v>36</v>
      </c>
      <c r="C1423" s="3" t="s">
        <v>37</v>
      </c>
      <c r="D1423" s="3">
        <v>64383.5003182368</v>
      </c>
      <c r="E1423" s="3">
        <v>20875.7839123748</v>
      </c>
      <c r="F1423" s="3">
        <v>11629.8214065804</v>
      </c>
      <c r="G1423" s="3">
        <v>11978.9245174049</v>
      </c>
      <c r="H1423" s="3">
        <v>16999.4162099923</v>
      </c>
      <c r="I1423" s="3">
        <v>68002.2741556039</v>
      </c>
      <c r="J1423" s="4">
        <v>45839.0</v>
      </c>
      <c r="K1423" s="3">
        <v>1.0</v>
      </c>
      <c r="L1423" s="3" t="s">
        <v>19</v>
      </c>
    </row>
    <row r="1424" ht="15.75" customHeight="1">
      <c r="A1424" s="3" t="s">
        <v>1498</v>
      </c>
      <c r="B1424" s="3" t="s">
        <v>25</v>
      </c>
      <c r="C1424" s="3" t="s">
        <v>54</v>
      </c>
      <c r="D1424" s="3">
        <v>64394.3832881429</v>
      </c>
      <c r="E1424" s="3">
        <v>20880.3986307022</v>
      </c>
      <c r="F1424" s="3">
        <v>11637.5014100099</v>
      </c>
      <c r="G1424" s="5"/>
      <c r="H1424" s="3">
        <v>16949.9124922432</v>
      </c>
      <c r="I1424" s="3">
        <v>68005.6556300237</v>
      </c>
      <c r="J1424" s="4">
        <v>45658.0</v>
      </c>
      <c r="K1424" s="3">
        <v>4.0</v>
      </c>
      <c r="L1424" s="3" t="s">
        <v>21</v>
      </c>
    </row>
    <row r="1425" ht="15.75" customHeight="1">
      <c r="A1425" s="3" t="s">
        <v>1499</v>
      </c>
      <c r="B1425" s="3" t="s">
        <v>53</v>
      </c>
      <c r="C1425" s="3" t="s">
        <v>33</v>
      </c>
      <c r="D1425" s="3">
        <v>64405.2662580491</v>
      </c>
      <c r="E1425" s="3">
        <v>20885.0133490297</v>
      </c>
      <c r="F1425" s="3">
        <v>11645.1814134394</v>
      </c>
      <c r="G1425" s="3">
        <v>11985.7196187795</v>
      </c>
      <c r="H1425" s="3">
        <v>16900.4087744941</v>
      </c>
      <c r="I1425" s="3">
        <v>68009.0371044435</v>
      </c>
      <c r="J1425" s="4">
        <v>45717.0</v>
      </c>
      <c r="K1425" s="3">
        <v>2.0</v>
      </c>
      <c r="L1425" s="3" t="s">
        <v>23</v>
      </c>
    </row>
    <row r="1426" ht="15.75" customHeight="1">
      <c r="A1426" s="3" t="s">
        <v>1500</v>
      </c>
      <c r="B1426" s="3" t="s">
        <v>29</v>
      </c>
      <c r="C1426" s="3" t="s">
        <v>14</v>
      </c>
      <c r="D1426" s="3">
        <v>64416.1492279553</v>
      </c>
      <c r="E1426" s="3">
        <v>20889.6280673571</v>
      </c>
      <c r="F1426" s="3">
        <v>11652.8614168689</v>
      </c>
      <c r="G1426" s="3">
        <v>11989.1171694667</v>
      </c>
      <c r="H1426" s="3">
        <v>16850.9050567449</v>
      </c>
      <c r="I1426" s="3">
        <v>68012.4185788633</v>
      </c>
      <c r="J1426" s="4">
        <v>45992.0</v>
      </c>
      <c r="K1426" s="3">
        <v>7.0</v>
      </c>
      <c r="L1426" s="3" t="s">
        <v>27</v>
      </c>
    </row>
    <row r="1427" ht="15.75" customHeight="1">
      <c r="A1427" s="3" t="s">
        <v>1501</v>
      </c>
      <c r="B1427" s="3" t="s">
        <v>17</v>
      </c>
      <c r="C1427" s="3" t="s">
        <v>33</v>
      </c>
      <c r="D1427" s="3">
        <v>64427.0321978615</v>
      </c>
      <c r="E1427" s="3">
        <v>20894.2427856845</v>
      </c>
      <c r="F1427" s="3">
        <v>11660.5414202984</v>
      </c>
      <c r="G1427" s="3">
        <v>11992.514720154</v>
      </c>
      <c r="H1427" s="3">
        <v>16801.4013389958</v>
      </c>
      <c r="I1427" s="3">
        <v>68015.8000532831</v>
      </c>
      <c r="J1427" s="4">
        <v>45748.0</v>
      </c>
      <c r="K1427" s="3">
        <v>11.0</v>
      </c>
      <c r="L1427" s="3" t="s">
        <v>31</v>
      </c>
    </row>
    <row r="1428" ht="15.75" customHeight="1">
      <c r="A1428" s="3" t="s">
        <v>1502</v>
      </c>
      <c r="B1428" s="3" t="s">
        <v>36</v>
      </c>
      <c r="C1428" s="3" t="s">
        <v>54</v>
      </c>
      <c r="D1428" s="3">
        <v>64437.9151677677</v>
      </c>
      <c r="E1428" s="3">
        <v>20898.8575040119</v>
      </c>
      <c r="F1428" s="3">
        <v>11668.2214237279</v>
      </c>
      <c r="G1428" s="3">
        <v>11995.9122708413</v>
      </c>
      <c r="H1428" s="3">
        <v>16751.8976212467</v>
      </c>
      <c r="I1428" s="3">
        <v>68019.1815277029</v>
      </c>
      <c r="J1428" s="4">
        <v>45689.0</v>
      </c>
      <c r="K1428" s="3">
        <v>22.0</v>
      </c>
      <c r="L1428" s="3" t="s">
        <v>34</v>
      </c>
    </row>
    <row r="1429" ht="15.75" customHeight="1">
      <c r="A1429" s="3" t="s">
        <v>1503</v>
      </c>
      <c r="B1429" s="3" t="s">
        <v>25</v>
      </c>
      <c r="C1429" s="3" t="s">
        <v>30</v>
      </c>
      <c r="D1429" s="3">
        <v>64448.7981376739</v>
      </c>
      <c r="E1429" s="3">
        <v>20903.4722223394</v>
      </c>
      <c r="F1429" s="3">
        <v>11675.9014271574</v>
      </c>
      <c r="G1429" s="3">
        <v>11999.3098215286</v>
      </c>
      <c r="H1429" s="3">
        <v>16702.3939034975</v>
      </c>
      <c r="I1429" s="3">
        <v>68022.5630021228</v>
      </c>
      <c r="J1429" s="4">
        <v>45962.0</v>
      </c>
      <c r="K1429" s="3">
        <v>9.0</v>
      </c>
      <c r="L1429" s="3" t="s">
        <v>38</v>
      </c>
    </row>
    <row r="1430" ht="15.75" customHeight="1">
      <c r="A1430" s="3" t="s">
        <v>1504</v>
      </c>
      <c r="B1430" s="3" t="s">
        <v>25</v>
      </c>
      <c r="C1430" s="3" t="s">
        <v>33</v>
      </c>
      <c r="D1430" s="3">
        <v>64459.6811075801</v>
      </c>
      <c r="E1430" s="3">
        <v>20908.0869406668</v>
      </c>
      <c r="F1430" s="3">
        <v>11683.5814305869</v>
      </c>
      <c r="G1430" s="3">
        <v>12002.7073722159</v>
      </c>
      <c r="H1430" s="3">
        <v>16652.8901857484</v>
      </c>
      <c r="I1430" s="3">
        <v>68025.9444765426</v>
      </c>
      <c r="J1430" s="4">
        <v>45931.0</v>
      </c>
      <c r="K1430" s="3">
        <v>22.0</v>
      </c>
      <c r="L1430" s="3" t="s">
        <v>40</v>
      </c>
    </row>
    <row r="1431" ht="15.75" customHeight="1">
      <c r="A1431" s="3" t="s">
        <v>1505</v>
      </c>
      <c r="B1431" s="3" t="s">
        <v>25</v>
      </c>
      <c r="C1431" s="3" t="s">
        <v>37</v>
      </c>
      <c r="D1431" s="3">
        <v>64470.5640774863</v>
      </c>
      <c r="E1431" s="3">
        <v>20912.7016589942</v>
      </c>
      <c r="F1431" s="3">
        <v>11691.2614340164</v>
      </c>
      <c r="G1431" s="3">
        <v>12006.1049229032</v>
      </c>
      <c r="H1431" s="3">
        <v>16603.3864679993</v>
      </c>
      <c r="I1431" s="3">
        <v>68029.3259509624</v>
      </c>
      <c r="J1431" s="4">
        <v>45778.0</v>
      </c>
      <c r="K1431" s="3">
        <v>3.0</v>
      </c>
      <c r="L1431" s="3" t="s">
        <v>42</v>
      </c>
    </row>
    <row r="1432" ht="15.75" customHeight="1">
      <c r="A1432" s="3" t="s">
        <v>1506</v>
      </c>
      <c r="B1432" s="3" t="s">
        <v>53</v>
      </c>
      <c r="C1432" s="3" t="s">
        <v>14</v>
      </c>
      <c r="D1432" s="3">
        <v>64481.4470473925</v>
      </c>
      <c r="E1432" s="3">
        <v>20917.3163773216</v>
      </c>
      <c r="F1432" s="3">
        <v>11698.9414374459</v>
      </c>
      <c r="G1432" s="3">
        <v>12009.5024735905</v>
      </c>
      <c r="H1432" s="3">
        <v>16553.8827502502</v>
      </c>
      <c r="I1432" s="3">
        <v>68032.7074253822</v>
      </c>
      <c r="J1432" s="4">
        <v>45962.0</v>
      </c>
      <c r="K1432" s="3">
        <v>25.0</v>
      </c>
      <c r="L1432" s="3" t="s">
        <v>15</v>
      </c>
    </row>
    <row r="1433" ht="15.75" customHeight="1">
      <c r="A1433" s="3" t="s">
        <v>1507</v>
      </c>
      <c r="B1433" s="3" t="s">
        <v>36</v>
      </c>
      <c r="C1433" s="3" t="s">
        <v>14</v>
      </c>
      <c r="D1433" s="3">
        <v>64492.3300172987</v>
      </c>
      <c r="E1433" s="3">
        <v>20921.931095649</v>
      </c>
      <c r="F1433" s="3">
        <v>11706.6214408754</v>
      </c>
      <c r="G1433" s="3">
        <v>12012.9000242777</v>
      </c>
      <c r="H1433" s="3">
        <v>16504.379032501</v>
      </c>
      <c r="I1433" s="3">
        <v>68036.088899802</v>
      </c>
      <c r="J1433" s="4">
        <v>45901.0</v>
      </c>
      <c r="K1433" s="3">
        <v>13.0</v>
      </c>
      <c r="L1433" s="3" t="s">
        <v>19</v>
      </c>
    </row>
    <row r="1434" ht="15.75" customHeight="1">
      <c r="A1434" s="3" t="s">
        <v>1508</v>
      </c>
      <c r="B1434" s="3" t="s">
        <v>13</v>
      </c>
      <c r="C1434" s="3" t="s">
        <v>14</v>
      </c>
      <c r="D1434" s="3">
        <v>64503.2129872049</v>
      </c>
      <c r="E1434" s="3">
        <v>20926.5458139765</v>
      </c>
      <c r="F1434" s="3">
        <v>11714.3014443049</v>
      </c>
      <c r="G1434" s="3">
        <v>12016.297574965</v>
      </c>
      <c r="H1434" s="3">
        <v>16454.8753147519</v>
      </c>
      <c r="I1434" s="3">
        <v>68039.4703742218</v>
      </c>
      <c r="J1434" s="3" t="s">
        <v>1509</v>
      </c>
      <c r="K1434" s="3">
        <v>8.0</v>
      </c>
      <c r="L1434" s="3" t="s">
        <v>21</v>
      </c>
    </row>
    <row r="1435" ht="15.75" customHeight="1">
      <c r="A1435" s="3" t="s">
        <v>1510</v>
      </c>
      <c r="B1435" s="3" t="s">
        <v>53</v>
      </c>
      <c r="C1435" s="3" t="s">
        <v>26</v>
      </c>
      <c r="D1435" s="3">
        <v>64514.0959571111</v>
      </c>
      <c r="E1435" s="3">
        <v>20931.1605323039</v>
      </c>
      <c r="F1435" s="3">
        <v>11721.9814477344</v>
      </c>
      <c r="G1435" s="3">
        <v>12019.6951256523</v>
      </c>
      <c r="H1435" s="3">
        <v>16405.3715970028</v>
      </c>
      <c r="I1435" s="3">
        <v>68042.8518486416</v>
      </c>
      <c r="J1435" s="4">
        <v>45809.0</v>
      </c>
      <c r="K1435" s="3">
        <v>18.0</v>
      </c>
      <c r="L1435" s="3" t="s">
        <v>23</v>
      </c>
    </row>
    <row r="1436" ht="15.75" customHeight="1">
      <c r="A1436" s="3" t="s">
        <v>1511</v>
      </c>
      <c r="B1436" s="3" t="s">
        <v>17</v>
      </c>
      <c r="C1436" s="3" t="s">
        <v>18</v>
      </c>
      <c r="D1436" s="3">
        <v>64524.9789270173</v>
      </c>
      <c r="E1436" s="3">
        <v>20935.7752506313</v>
      </c>
      <c r="F1436" s="3">
        <v>11729.6614511639</v>
      </c>
      <c r="G1436" s="3">
        <v>12023.0926763396</v>
      </c>
      <c r="H1436" s="3">
        <v>16355.8678792537</v>
      </c>
      <c r="I1436" s="3">
        <v>68046.2333230615</v>
      </c>
      <c r="J1436" s="4">
        <v>45931.0</v>
      </c>
      <c r="K1436" s="3">
        <v>17.0</v>
      </c>
      <c r="L1436" s="3" t="s">
        <v>27</v>
      </c>
    </row>
    <row r="1437" ht="15.75" customHeight="1">
      <c r="A1437" s="3" t="s">
        <v>1512</v>
      </c>
      <c r="B1437" s="3" t="s">
        <v>25</v>
      </c>
      <c r="C1437" s="3" t="s">
        <v>14</v>
      </c>
      <c r="D1437" s="3">
        <v>64535.8618969235</v>
      </c>
      <c r="E1437" s="3">
        <v>20940.3899689587</v>
      </c>
      <c r="F1437" s="3">
        <v>11737.3414545934</v>
      </c>
      <c r="G1437" s="3">
        <v>12026.4902270269</v>
      </c>
      <c r="H1437" s="3">
        <v>16306.3641615045</v>
      </c>
      <c r="I1437" s="3">
        <v>68049.6147974813</v>
      </c>
      <c r="J1437" s="4">
        <v>45962.0</v>
      </c>
      <c r="K1437" s="3">
        <v>6.0</v>
      </c>
      <c r="L1437" s="3" t="s">
        <v>31</v>
      </c>
    </row>
    <row r="1438" ht="15.75" customHeight="1">
      <c r="A1438" s="3" t="s">
        <v>1513</v>
      </c>
      <c r="B1438" s="3" t="s">
        <v>13</v>
      </c>
      <c r="C1438" s="3" t="s">
        <v>26</v>
      </c>
      <c r="D1438" s="3">
        <v>64546.7448668297</v>
      </c>
      <c r="E1438" s="3">
        <v>20945.0046872862</v>
      </c>
      <c r="F1438" s="3">
        <v>11745.0214580229</v>
      </c>
      <c r="G1438" s="3">
        <v>12029.8877777142</v>
      </c>
      <c r="H1438" s="3">
        <v>16256.8604437554</v>
      </c>
      <c r="I1438" s="3">
        <v>68052.9962719011</v>
      </c>
      <c r="J1438" s="4">
        <v>45962.0</v>
      </c>
      <c r="K1438" s="3">
        <v>6.0</v>
      </c>
      <c r="L1438" s="3" t="s">
        <v>34</v>
      </c>
    </row>
    <row r="1439" ht="15.75" customHeight="1">
      <c r="A1439" s="3" t="s">
        <v>1514</v>
      </c>
      <c r="B1439" s="3" t="s">
        <v>51</v>
      </c>
      <c r="C1439" s="3" t="s">
        <v>26</v>
      </c>
      <c r="D1439" s="3">
        <v>64557.6278367358</v>
      </c>
      <c r="E1439" s="3">
        <v>20949.6194056136</v>
      </c>
      <c r="F1439" s="3">
        <v>11752.7014614524</v>
      </c>
      <c r="G1439" s="3">
        <v>12033.2853284015</v>
      </c>
      <c r="H1439" s="3">
        <v>16207.3567260063</v>
      </c>
      <c r="I1439" s="3">
        <v>68056.3777463209</v>
      </c>
      <c r="J1439" s="4">
        <v>45658.0</v>
      </c>
      <c r="K1439" s="3">
        <v>8.0</v>
      </c>
      <c r="L1439" s="3" t="s">
        <v>38</v>
      </c>
    </row>
    <row r="1440" ht="15.75" customHeight="1">
      <c r="A1440" s="3" t="s">
        <v>1515</v>
      </c>
      <c r="B1440" s="3" t="s">
        <v>51</v>
      </c>
      <c r="C1440" s="3" t="s">
        <v>26</v>
      </c>
      <c r="D1440" s="3">
        <v>64568.510806642</v>
      </c>
      <c r="E1440" s="3">
        <v>20954.234123941</v>
      </c>
      <c r="F1440" s="3">
        <v>11760.3814648819</v>
      </c>
      <c r="G1440" s="3">
        <v>12036.6828790888</v>
      </c>
      <c r="H1440" s="3">
        <v>16157.8530082571</v>
      </c>
      <c r="I1440" s="3">
        <v>68059.7592207407</v>
      </c>
      <c r="J1440" s="4">
        <v>45778.0</v>
      </c>
      <c r="K1440" s="3">
        <v>25.0</v>
      </c>
      <c r="L1440" s="3" t="s">
        <v>40</v>
      </c>
    </row>
    <row r="1441" ht="15.75" customHeight="1">
      <c r="A1441" s="3" t="s">
        <v>1516</v>
      </c>
      <c r="B1441" s="3" t="s">
        <v>53</v>
      </c>
      <c r="C1441" s="3" t="s">
        <v>54</v>
      </c>
      <c r="D1441" s="3">
        <v>64590.2767464544</v>
      </c>
      <c r="E1441" s="3">
        <v>20963.4635605958</v>
      </c>
      <c r="F1441" s="3">
        <v>11775.7414717409</v>
      </c>
      <c r="G1441" s="3">
        <v>12043.4779804633</v>
      </c>
      <c r="H1441" s="3">
        <v>16058.8455727589</v>
      </c>
      <c r="I1441" s="3">
        <v>68066.5221695803</v>
      </c>
      <c r="J1441" s="4">
        <v>45809.0</v>
      </c>
      <c r="K1441" s="3">
        <v>1.0</v>
      </c>
      <c r="L1441" s="3" t="s">
        <v>15</v>
      </c>
    </row>
    <row r="1442" ht="15.75" customHeight="1">
      <c r="A1442" s="3" t="s">
        <v>1517</v>
      </c>
      <c r="B1442" s="3" t="s">
        <v>51</v>
      </c>
      <c r="C1442" s="3" t="s">
        <v>33</v>
      </c>
      <c r="D1442" s="3">
        <v>64601.1597163606</v>
      </c>
      <c r="E1442" s="3">
        <v>20968.0782789233</v>
      </c>
      <c r="F1442" s="3">
        <v>11783.4214751704</v>
      </c>
      <c r="G1442" s="3">
        <v>12046.8755311506</v>
      </c>
      <c r="H1442" s="3">
        <v>16009.3418550098</v>
      </c>
      <c r="I1442" s="3">
        <v>68069.9036440002</v>
      </c>
      <c r="J1442" s="4">
        <v>45870.0</v>
      </c>
      <c r="K1442" s="3">
        <v>13.0</v>
      </c>
      <c r="L1442" s="3" t="s">
        <v>19</v>
      </c>
    </row>
    <row r="1443" ht="15.75" customHeight="1">
      <c r="A1443" s="3" t="s">
        <v>1518</v>
      </c>
      <c r="B1443" s="3" t="s">
        <v>29</v>
      </c>
      <c r="C1443" s="3" t="s">
        <v>14</v>
      </c>
      <c r="D1443" s="3">
        <v>64612.0426862668</v>
      </c>
      <c r="E1443" s="3">
        <v>20972.6929972507</v>
      </c>
      <c r="F1443" s="3">
        <v>11791.1014785999</v>
      </c>
      <c r="G1443" s="3">
        <v>12050.2730818379</v>
      </c>
      <c r="H1443" s="3">
        <v>15959.8381372606</v>
      </c>
      <c r="I1443" s="3">
        <v>68073.28511842</v>
      </c>
      <c r="J1443" s="4">
        <v>45901.0</v>
      </c>
      <c r="K1443" s="3">
        <v>13.0</v>
      </c>
      <c r="L1443" s="3" t="s">
        <v>21</v>
      </c>
    </row>
    <row r="1444" ht="15.75" customHeight="1">
      <c r="A1444" s="3" t="s">
        <v>1519</v>
      </c>
      <c r="B1444" s="3" t="s">
        <v>36</v>
      </c>
      <c r="C1444" s="3" t="s">
        <v>33</v>
      </c>
      <c r="D1444" s="3">
        <v>64622.925656173</v>
      </c>
      <c r="E1444" s="3">
        <v>20977.3077155781</v>
      </c>
      <c r="F1444" s="3">
        <v>11798.7814820294</v>
      </c>
      <c r="G1444" s="3">
        <v>12053.6706325252</v>
      </c>
      <c r="H1444" s="3">
        <v>15910.3344195115</v>
      </c>
      <c r="I1444" s="3">
        <v>68076.6665928398</v>
      </c>
      <c r="J1444" s="4">
        <v>45717.0</v>
      </c>
      <c r="K1444" s="3">
        <v>10.0</v>
      </c>
      <c r="L1444" s="3" t="s">
        <v>23</v>
      </c>
    </row>
    <row r="1445" ht="15.75" customHeight="1">
      <c r="A1445" s="3" t="s">
        <v>1520</v>
      </c>
      <c r="B1445" s="3" t="s">
        <v>29</v>
      </c>
      <c r="C1445" s="3" t="s">
        <v>26</v>
      </c>
      <c r="D1445" s="3">
        <v>64633.8086260792</v>
      </c>
      <c r="E1445" s="3">
        <v>20981.9224339055</v>
      </c>
      <c r="F1445" s="3">
        <v>11806.4614854589</v>
      </c>
      <c r="G1445" s="3">
        <v>12057.0681832125</v>
      </c>
      <c r="H1445" s="3">
        <v>15860.8307017624</v>
      </c>
      <c r="I1445" s="3">
        <v>68080.0480672596</v>
      </c>
      <c r="J1445" s="4">
        <v>45778.0</v>
      </c>
      <c r="K1445" s="3">
        <v>19.0</v>
      </c>
      <c r="L1445" s="3" t="s">
        <v>27</v>
      </c>
    </row>
    <row r="1446" ht="15.75" customHeight="1">
      <c r="A1446" s="3" t="s">
        <v>1521</v>
      </c>
      <c r="B1446" s="3" t="s">
        <v>53</v>
      </c>
      <c r="C1446" s="3" t="s">
        <v>33</v>
      </c>
      <c r="D1446" s="3">
        <v>64644.6915959854</v>
      </c>
      <c r="E1446" s="3">
        <v>20986.5371522329</v>
      </c>
      <c r="F1446" s="3">
        <v>11814.1414888884</v>
      </c>
      <c r="G1446" s="3">
        <v>12060.4657338998</v>
      </c>
      <c r="H1446" s="3">
        <v>15811.3269840133</v>
      </c>
      <c r="I1446" s="3">
        <v>68083.4295416794</v>
      </c>
      <c r="J1446" s="4">
        <v>45870.0</v>
      </c>
      <c r="K1446" s="3">
        <v>6.0</v>
      </c>
      <c r="L1446" s="3" t="s">
        <v>31</v>
      </c>
    </row>
    <row r="1447" ht="15.75" customHeight="1">
      <c r="A1447" s="3" t="s">
        <v>1522</v>
      </c>
      <c r="B1447" s="3" t="s">
        <v>36</v>
      </c>
      <c r="C1447" s="3" t="s">
        <v>37</v>
      </c>
      <c r="D1447" s="3">
        <v>64655.5745658916</v>
      </c>
      <c r="E1447" s="3">
        <v>20991.1518705604</v>
      </c>
      <c r="F1447" s="3">
        <v>11821.8214923179</v>
      </c>
      <c r="G1447" s="3">
        <v>12063.8632845871</v>
      </c>
      <c r="H1447" s="3">
        <v>15761.8232662641</v>
      </c>
      <c r="I1447" s="3">
        <v>68086.8110160992</v>
      </c>
      <c r="J1447" s="4">
        <v>45778.0</v>
      </c>
      <c r="K1447" s="3">
        <v>4.0</v>
      </c>
      <c r="L1447" s="3" t="s">
        <v>34</v>
      </c>
    </row>
    <row r="1448" ht="15.75" customHeight="1">
      <c r="A1448" s="3" t="s">
        <v>1523</v>
      </c>
      <c r="B1448" s="3" t="s">
        <v>17</v>
      </c>
      <c r="C1448" s="3" t="s">
        <v>18</v>
      </c>
      <c r="D1448" s="3">
        <v>64666.4575357978</v>
      </c>
      <c r="E1448" s="3">
        <v>20995.7665888878</v>
      </c>
      <c r="F1448" s="3">
        <v>11829.5014957474</v>
      </c>
      <c r="G1448" s="3">
        <v>12067.2608352743</v>
      </c>
      <c r="H1448" s="3">
        <v>15712.319548515</v>
      </c>
      <c r="I1448" s="3">
        <v>68090.192490519</v>
      </c>
      <c r="J1448" s="4">
        <v>45809.0</v>
      </c>
      <c r="K1448" s="3">
        <v>23.0</v>
      </c>
      <c r="L1448" s="3" t="s">
        <v>38</v>
      </c>
    </row>
    <row r="1449" ht="15.75" customHeight="1">
      <c r="A1449" s="3" t="s">
        <v>1524</v>
      </c>
      <c r="B1449" s="3" t="s">
        <v>13</v>
      </c>
      <c r="C1449" s="3" t="s">
        <v>26</v>
      </c>
      <c r="D1449" s="3">
        <v>64677.340505704</v>
      </c>
      <c r="E1449" s="3">
        <v>21000.3813072152</v>
      </c>
      <c r="F1449" s="3">
        <v>11837.1814991768</v>
      </c>
      <c r="G1449" s="3">
        <v>12070.6583859616</v>
      </c>
      <c r="H1449" s="3">
        <v>15662.8158307659</v>
      </c>
      <c r="I1449" s="3">
        <v>68093.5739649389</v>
      </c>
      <c r="J1449" s="4">
        <v>45931.0</v>
      </c>
      <c r="K1449" s="3">
        <v>17.0</v>
      </c>
      <c r="L1449" s="3" t="s">
        <v>40</v>
      </c>
    </row>
    <row r="1450" ht="15.75" customHeight="1">
      <c r="A1450" s="3" t="s">
        <v>1525</v>
      </c>
      <c r="B1450" s="3" t="s">
        <v>53</v>
      </c>
      <c r="C1450" s="3" t="s">
        <v>26</v>
      </c>
      <c r="D1450" s="3">
        <v>64688.2234756102</v>
      </c>
      <c r="E1450" s="3">
        <v>21004.9960255426</v>
      </c>
      <c r="F1450" s="3">
        <v>11844.8615026063</v>
      </c>
      <c r="G1450" s="3">
        <v>12074.0559366489</v>
      </c>
      <c r="H1450" s="3">
        <v>15613.3121130168</v>
      </c>
      <c r="I1450" s="3">
        <v>68096.9554393587</v>
      </c>
      <c r="J1450" s="4">
        <v>45962.0</v>
      </c>
      <c r="K1450" s="3">
        <v>10.0</v>
      </c>
      <c r="L1450" s="3" t="s">
        <v>42</v>
      </c>
    </row>
    <row r="1451" ht="15.75" customHeight="1">
      <c r="A1451" s="3" t="s">
        <v>1526</v>
      </c>
      <c r="B1451" s="3" t="s">
        <v>29</v>
      </c>
      <c r="C1451" s="3" t="s">
        <v>33</v>
      </c>
      <c r="D1451" s="3">
        <v>64709.9894154226</v>
      </c>
      <c r="E1451" s="3">
        <v>21014.2254621975</v>
      </c>
      <c r="F1451" s="3">
        <v>11860.2215094653</v>
      </c>
      <c r="G1451" s="3">
        <v>12080.8510380235</v>
      </c>
      <c r="H1451" s="3">
        <v>15514.3046775185</v>
      </c>
      <c r="I1451" s="3">
        <v>68103.7183881983</v>
      </c>
      <c r="J1451" s="4">
        <v>45901.0</v>
      </c>
      <c r="K1451" s="3">
        <v>14.0</v>
      </c>
      <c r="L1451" s="3" t="s">
        <v>19</v>
      </c>
    </row>
    <row r="1452" ht="15.75" customHeight="1">
      <c r="A1452" s="3" t="s">
        <v>1527</v>
      </c>
      <c r="B1452" s="3" t="s">
        <v>36</v>
      </c>
      <c r="C1452" s="3" t="s">
        <v>33</v>
      </c>
      <c r="D1452" s="3">
        <v>64720.8723853287</v>
      </c>
      <c r="E1452" s="3">
        <v>21018.8401805249</v>
      </c>
      <c r="F1452" s="3">
        <v>11867.9015128948</v>
      </c>
      <c r="G1452" s="3">
        <v>12084.2485887108</v>
      </c>
      <c r="H1452" s="3">
        <v>15464.8009597694</v>
      </c>
      <c r="I1452" s="3">
        <v>68107.0998626181</v>
      </c>
      <c r="J1452" s="4">
        <v>45658.0</v>
      </c>
      <c r="K1452" s="3">
        <v>16.0</v>
      </c>
      <c r="L1452" s="3" t="s">
        <v>21</v>
      </c>
    </row>
    <row r="1453" ht="15.75" customHeight="1">
      <c r="A1453" s="3" t="s">
        <v>1528</v>
      </c>
      <c r="B1453" s="3" t="s">
        <v>29</v>
      </c>
      <c r="C1453" s="3" t="s">
        <v>54</v>
      </c>
      <c r="D1453" s="3">
        <v>64731.7553552349</v>
      </c>
      <c r="E1453" s="3">
        <v>21023.4548988523</v>
      </c>
      <c r="F1453" s="3">
        <v>11875.5815163243</v>
      </c>
      <c r="G1453" s="3">
        <v>12087.6461393981</v>
      </c>
      <c r="H1453" s="3">
        <v>15415.2972420203</v>
      </c>
      <c r="I1453" s="3">
        <v>68110.4813370379</v>
      </c>
      <c r="J1453" s="4">
        <v>45778.0</v>
      </c>
      <c r="K1453" s="3">
        <v>23.0</v>
      </c>
      <c r="L1453" s="3" t="s">
        <v>23</v>
      </c>
    </row>
    <row r="1454" ht="15.75" customHeight="1">
      <c r="A1454" s="3" t="s">
        <v>1529</v>
      </c>
      <c r="B1454" s="3" t="s">
        <v>13</v>
      </c>
      <c r="C1454" s="3" t="s">
        <v>30</v>
      </c>
      <c r="D1454" s="3">
        <v>64742.6383251411</v>
      </c>
      <c r="E1454" s="3">
        <v>21028.0696171797</v>
      </c>
      <c r="F1454" s="3">
        <v>11883.2615197538</v>
      </c>
      <c r="G1454" s="3">
        <v>12091.0436900853</v>
      </c>
      <c r="H1454" s="3">
        <v>15365.7935242711</v>
      </c>
      <c r="I1454" s="3">
        <v>68113.8628114577</v>
      </c>
      <c r="J1454" s="4">
        <v>45992.0</v>
      </c>
      <c r="K1454" s="3">
        <v>1.0</v>
      </c>
      <c r="L1454" s="3" t="s">
        <v>27</v>
      </c>
    </row>
    <row r="1455" ht="15.75" customHeight="1">
      <c r="A1455" s="3" t="s">
        <v>1530</v>
      </c>
      <c r="B1455" s="3" t="s">
        <v>25</v>
      </c>
      <c r="C1455" s="3" t="s">
        <v>33</v>
      </c>
      <c r="D1455" s="3">
        <v>64753.5212950473</v>
      </c>
      <c r="E1455" s="3">
        <v>21032.6843355072</v>
      </c>
      <c r="F1455" s="3">
        <v>11890.9415231833</v>
      </c>
      <c r="G1455" s="3">
        <v>12094.4412407726</v>
      </c>
      <c r="H1455" s="3">
        <v>15316.289806522</v>
      </c>
      <c r="I1455" s="3">
        <v>68117.2442858776</v>
      </c>
      <c r="J1455" s="4">
        <v>45992.0</v>
      </c>
      <c r="K1455" s="3">
        <v>12.0</v>
      </c>
      <c r="L1455" s="3" t="s">
        <v>31</v>
      </c>
    </row>
    <row r="1456" ht="15.75" customHeight="1">
      <c r="A1456" s="3" t="s">
        <v>1531</v>
      </c>
      <c r="B1456" s="3" t="s">
        <v>36</v>
      </c>
      <c r="C1456" s="3" t="s">
        <v>30</v>
      </c>
      <c r="D1456" s="3">
        <v>64764.4042649535</v>
      </c>
      <c r="E1456" s="3">
        <v>21037.2990538346</v>
      </c>
      <c r="F1456" s="3">
        <v>11898.6215266128</v>
      </c>
      <c r="G1456" s="3">
        <v>12097.8387914599</v>
      </c>
      <c r="H1456" s="3">
        <v>15266.7860887729</v>
      </c>
      <c r="I1456" s="3">
        <v>68120.6257602974</v>
      </c>
      <c r="J1456" s="4">
        <v>45962.0</v>
      </c>
      <c r="K1456" s="3">
        <v>18.0</v>
      </c>
      <c r="L1456" s="3" t="s">
        <v>34</v>
      </c>
    </row>
    <row r="1457" ht="15.75" customHeight="1">
      <c r="A1457" s="3" t="s">
        <v>1532</v>
      </c>
      <c r="B1457" s="3" t="s">
        <v>36</v>
      </c>
      <c r="C1457" s="3" t="s">
        <v>14</v>
      </c>
      <c r="D1457" s="3">
        <v>64775.2872348597</v>
      </c>
      <c r="E1457" s="3">
        <v>21041.913772162</v>
      </c>
      <c r="F1457" s="3">
        <v>11906.3015300423</v>
      </c>
      <c r="G1457" s="3">
        <v>12101.2363421472</v>
      </c>
      <c r="H1457" s="3">
        <v>15217.2823710237</v>
      </c>
      <c r="I1457" s="3">
        <v>68124.0072347172</v>
      </c>
      <c r="J1457" s="4">
        <v>45717.0</v>
      </c>
      <c r="K1457" s="3">
        <v>4.0</v>
      </c>
      <c r="L1457" s="3" t="s">
        <v>38</v>
      </c>
    </row>
    <row r="1458" ht="15.75" customHeight="1">
      <c r="A1458" s="3" t="s">
        <v>1533</v>
      </c>
      <c r="B1458" s="3" t="s">
        <v>29</v>
      </c>
      <c r="C1458" s="3" t="s">
        <v>18</v>
      </c>
      <c r="D1458" s="3">
        <v>64786.1702047659</v>
      </c>
      <c r="E1458" s="3">
        <v>21046.5284904894</v>
      </c>
      <c r="F1458" s="3">
        <v>11913.9815334718</v>
      </c>
      <c r="G1458" s="3">
        <v>12104.6338928345</v>
      </c>
      <c r="H1458" s="3">
        <v>15167.7786532746</v>
      </c>
      <c r="I1458" s="3">
        <v>68127.388709137</v>
      </c>
      <c r="J1458" s="4">
        <v>45901.0</v>
      </c>
      <c r="K1458" s="3">
        <v>25.0</v>
      </c>
      <c r="L1458" s="3" t="s">
        <v>40</v>
      </c>
    </row>
    <row r="1459" ht="15.75" customHeight="1">
      <c r="A1459" s="3" t="s">
        <v>1534</v>
      </c>
      <c r="B1459" s="3" t="s">
        <v>13</v>
      </c>
      <c r="C1459" s="3" t="s">
        <v>18</v>
      </c>
      <c r="D1459" s="3">
        <v>64797.0531746721</v>
      </c>
      <c r="E1459" s="3">
        <v>21051.1432088169</v>
      </c>
      <c r="F1459" s="3">
        <v>11921.6615369013</v>
      </c>
      <c r="G1459" s="3">
        <v>12108.0314435218</v>
      </c>
      <c r="H1459" s="3">
        <v>15118.2749355255</v>
      </c>
      <c r="I1459" s="3">
        <v>68130.7701835568</v>
      </c>
      <c r="J1459" s="4">
        <v>45870.0</v>
      </c>
      <c r="K1459" s="3">
        <v>24.0</v>
      </c>
      <c r="L1459" s="3" t="s">
        <v>42</v>
      </c>
    </row>
    <row r="1460" ht="15.75" customHeight="1">
      <c r="A1460" s="3" t="s">
        <v>1535</v>
      </c>
      <c r="B1460" s="3" t="s">
        <v>51</v>
      </c>
      <c r="C1460" s="3" t="s">
        <v>14</v>
      </c>
      <c r="D1460" s="3">
        <v>64807.9361445783</v>
      </c>
      <c r="E1460" s="3">
        <v>21055.7579271443</v>
      </c>
      <c r="F1460" s="3">
        <v>11929.3415403308</v>
      </c>
      <c r="G1460" s="3">
        <v>12111.4289942091</v>
      </c>
      <c r="H1460" s="3">
        <v>15068.7712177764</v>
      </c>
      <c r="I1460" s="3">
        <v>68134.1516579766</v>
      </c>
      <c r="J1460" s="4">
        <v>45901.0</v>
      </c>
      <c r="K1460" s="3">
        <v>5.0</v>
      </c>
      <c r="L1460" s="3" t="s">
        <v>15</v>
      </c>
    </row>
    <row r="1461" ht="15.75" customHeight="1">
      <c r="A1461" s="3" t="s">
        <v>1536</v>
      </c>
      <c r="B1461" s="3" t="s">
        <v>17</v>
      </c>
      <c r="C1461" s="3" t="s">
        <v>33</v>
      </c>
      <c r="D1461" s="3">
        <v>64818.8191144845</v>
      </c>
      <c r="E1461" s="3">
        <v>21060.3726454717</v>
      </c>
      <c r="F1461" s="3">
        <v>11937.0215437603</v>
      </c>
      <c r="G1461" s="3">
        <v>12114.8265448964</v>
      </c>
      <c r="H1461" s="3">
        <v>15019.2675000272</v>
      </c>
      <c r="I1461" s="3">
        <v>68137.5331323964</v>
      </c>
      <c r="J1461" s="4">
        <v>45992.0</v>
      </c>
      <c r="K1461" s="3">
        <v>12.0</v>
      </c>
      <c r="L1461" s="3" t="s">
        <v>19</v>
      </c>
    </row>
    <row r="1462" ht="15.75" customHeight="1">
      <c r="A1462" s="3" t="s">
        <v>1537</v>
      </c>
      <c r="B1462" s="3" t="s">
        <v>51</v>
      </c>
      <c r="C1462" s="3" t="s">
        <v>37</v>
      </c>
      <c r="D1462" s="3">
        <v>64829.7020843907</v>
      </c>
      <c r="E1462" s="3">
        <v>21064.9873637991</v>
      </c>
      <c r="F1462" s="3">
        <v>11944.7015471898</v>
      </c>
      <c r="G1462" s="3">
        <v>12118.2240955836</v>
      </c>
      <c r="H1462" s="3">
        <v>14969.7637822781</v>
      </c>
      <c r="I1462" s="3">
        <v>68140.9146068163</v>
      </c>
      <c r="J1462" s="4">
        <v>45689.0</v>
      </c>
      <c r="K1462" s="3">
        <v>18.0</v>
      </c>
      <c r="L1462" s="3" t="s">
        <v>21</v>
      </c>
    </row>
    <row r="1463" ht="15.75" customHeight="1">
      <c r="A1463" s="3" t="s">
        <v>1538</v>
      </c>
      <c r="B1463" s="3" t="s">
        <v>13</v>
      </c>
      <c r="C1463" s="3" t="s">
        <v>54</v>
      </c>
      <c r="D1463" s="3">
        <v>64840.5850542969</v>
      </c>
      <c r="E1463" s="3">
        <v>21069.6020821265</v>
      </c>
      <c r="F1463" s="3">
        <v>11952.3815506193</v>
      </c>
      <c r="G1463" s="3">
        <v>12121.6216462709</v>
      </c>
      <c r="H1463" s="3">
        <v>14920.260064529</v>
      </c>
      <c r="I1463" s="3">
        <v>68144.2960812361</v>
      </c>
      <c r="J1463" s="4">
        <v>45809.0</v>
      </c>
      <c r="K1463" s="3">
        <v>3.0</v>
      </c>
      <c r="L1463" s="3" t="s">
        <v>23</v>
      </c>
    </row>
    <row r="1464" ht="15.75" customHeight="1">
      <c r="A1464" s="3" t="s">
        <v>1539</v>
      </c>
      <c r="B1464" s="3" t="s">
        <v>51</v>
      </c>
      <c r="C1464" s="3" t="s">
        <v>33</v>
      </c>
      <c r="D1464" s="3">
        <v>64851.4680242031</v>
      </c>
      <c r="E1464" s="3">
        <v>21074.216800454</v>
      </c>
      <c r="F1464" s="3">
        <v>11960.0615540488</v>
      </c>
      <c r="G1464" s="3">
        <v>12125.0191969582</v>
      </c>
      <c r="H1464" s="3">
        <v>14870.7563467799</v>
      </c>
      <c r="I1464" s="3">
        <v>68147.6775556559</v>
      </c>
      <c r="J1464" s="4">
        <v>45717.0</v>
      </c>
      <c r="K1464" s="3">
        <v>23.0</v>
      </c>
      <c r="L1464" s="3" t="s">
        <v>27</v>
      </c>
    </row>
    <row r="1465" ht="15.75" customHeight="1">
      <c r="A1465" s="3" t="s">
        <v>1540</v>
      </c>
      <c r="B1465" s="3" t="s">
        <v>51</v>
      </c>
      <c r="C1465" s="3" t="s">
        <v>26</v>
      </c>
      <c r="D1465" s="3">
        <v>64862.3509941093</v>
      </c>
      <c r="E1465" s="3">
        <v>21078.8315187814</v>
      </c>
      <c r="F1465" s="3">
        <v>11967.7415574783</v>
      </c>
      <c r="G1465" s="3">
        <v>12128.4167476455</v>
      </c>
      <c r="H1465" s="3">
        <v>14821.2526290307</v>
      </c>
      <c r="I1465" s="3">
        <v>68151.0590300757</v>
      </c>
      <c r="J1465" s="4">
        <v>45717.0</v>
      </c>
      <c r="K1465" s="3">
        <v>6.0</v>
      </c>
      <c r="L1465" s="3" t="s">
        <v>31</v>
      </c>
    </row>
    <row r="1466" ht="15.75" customHeight="1">
      <c r="A1466" s="3" t="s">
        <v>1541</v>
      </c>
      <c r="B1466" s="3" t="s">
        <v>36</v>
      </c>
      <c r="C1466" s="3" t="s">
        <v>37</v>
      </c>
      <c r="D1466" s="3">
        <v>64873.2339640155</v>
      </c>
      <c r="E1466" s="3">
        <v>21083.4462371088</v>
      </c>
      <c r="F1466" s="3">
        <v>11975.4215609078</v>
      </c>
      <c r="G1466" s="3">
        <v>12131.8142983328</v>
      </c>
      <c r="H1466" s="3">
        <v>14771.7489112816</v>
      </c>
      <c r="I1466" s="3">
        <v>68154.4405044955</v>
      </c>
      <c r="J1466" s="3" t="s">
        <v>1542</v>
      </c>
      <c r="K1466" s="3">
        <v>25.0</v>
      </c>
      <c r="L1466" s="3" t="s">
        <v>34</v>
      </c>
    </row>
    <row r="1467" ht="15.75" customHeight="1">
      <c r="A1467" s="3" t="s">
        <v>1543</v>
      </c>
      <c r="B1467" s="3" t="s">
        <v>29</v>
      </c>
      <c r="C1467" s="3" t="s">
        <v>30</v>
      </c>
      <c r="D1467" s="3">
        <v>64884.1169339216</v>
      </c>
      <c r="E1467" s="3">
        <v>21088.0609554362</v>
      </c>
      <c r="F1467" s="3">
        <v>11983.1015643373</v>
      </c>
      <c r="G1467" s="3">
        <v>12135.2118490201</v>
      </c>
      <c r="H1467" s="3">
        <v>14722.2451935325</v>
      </c>
      <c r="I1467" s="3">
        <v>68157.8219789153</v>
      </c>
      <c r="J1467" s="4">
        <v>45778.0</v>
      </c>
      <c r="K1467" s="3">
        <v>11.0</v>
      </c>
      <c r="L1467" s="3" t="s">
        <v>38</v>
      </c>
    </row>
    <row r="1468" ht="15.75" customHeight="1">
      <c r="A1468" s="3" t="s">
        <v>1544</v>
      </c>
      <c r="B1468" s="3" t="s">
        <v>51</v>
      </c>
      <c r="C1468" s="3" t="s">
        <v>18</v>
      </c>
      <c r="D1468" s="3">
        <v>64905.882873734</v>
      </c>
      <c r="E1468" s="3">
        <v>21097.2903920911</v>
      </c>
      <c r="F1468" s="3">
        <v>11998.4615711963</v>
      </c>
      <c r="G1468" s="3">
        <v>12142.0069503947</v>
      </c>
      <c r="H1468" s="3">
        <v>14623.2377580342</v>
      </c>
      <c r="I1468" s="3">
        <v>68164.584927755</v>
      </c>
      <c r="J1468" s="4">
        <v>45931.0</v>
      </c>
      <c r="K1468" s="3">
        <v>11.0</v>
      </c>
      <c r="L1468" s="3" t="s">
        <v>42</v>
      </c>
    </row>
    <row r="1469" ht="15.75" customHeight="1">
      <c r="A1469" s="3" t="s">
        <v>1545</v>
      </c>
      <c r="B1469" s="3" t="s">
        <v>53</v>
      </c>
      <c r="C1469" s="3" t="s">
        <v>37</v>
      </c>
      <c r="D1469" s="3">
        <v>64916.7658436402</v>
      </c>
      <c r="E1469" s="3">
        <v>21101.9051104185</v>
      </c>
      <c r="F1469" s="3">
        <v>12006.1415746258</v>
      </c>
      <c r="G1469" s="3">
        <v>12145.4045010819</v>
      </c>
      <c r="H1469" s="3">
        <v>14573.7340402851</v>
      </c>
      <c r="I1469" s="3">
        <v>68167.9664021748</v>
      </c>
      <c r="J1469" s="4">
        <v>45689.0</v>
      </c>
      <c r="K1469" s="3">
        <v>5.0</v>
      </c>
      <c r="L1469" s="3" t="s">
        <v>15</v>
      </c>
    </row>
    <row r="1470" ht="15.75" customHeight="1">
      <c r="A1470" s="3" t="s">
        <v>1546</v>
      </c>
      <c r="B1470" s="3" t="s">
        <v>29</v>
      </c>
      <c r="C1470" s="3" t="s">
        <v>26</v>
      </c>
      <c r="D1470" s="3">
        <v>64927.6488135464</v>
      </c>
      <c r="E1470" s="3">
        <v>21106.5198287459</v>
      </c>
      <c r="F1470" s="3">
        <v>12013.8215780553</v>
      </c>
      <c r="G1470" s="3">
        <v>12148.8020517692</v>
      </c>
      <c r="H1470" s="3">
        <v>14524.230322536</v>
      </c>
      <c r="I1470" s="3">
        <v>68171.3478765946</v>
      </c>
      <c r="J1470" s="4">
        <v>45931.0</v>
      </c>
      <c r="K1470" s="3">
        <v>12.0</v>
      </c>
      <c r="L1470" s="3" t="s">
        <v>19</v>
      </c>
    </row>
    <row r="1471" ht="15.75" customHeight="1">
      <c r="A1471" s="3" t="s">
        <v>1547</v>
      </c>
      <c r="B1471" s="3" t="s">
        <v>17</v>
      </c>
      <c r="C1471" s="3" t="s">
        <v>18</v>
      </c>
      <c r="D1471" s="3">
        <v>64938.5317834526</v>
      </c>
      <c r="E1471" s="3">
        <v>21111.1345470733</v>
      </c>
      <c r="F1471" s="3">
        <v>12021.5015814848</v>
      </c>
      <c r="G1471" s="3">
        <v>12152.1996024565</v>
      </c>
      <c r="H1471" s="3">
        <v>14474.7266047868</v>
      </c>
      <c r="I1471" s="3">
        <v>68174.7293510144</v>
      </c>
      <c r="J1471" s="4">
        <v>45778.0</v>
      </c>
      <c r="K1471" s="3">
        <v>25.0</v>
      </c>
      <c r="L1471" s="3" t="s">
        <v>21</v>
      </c>
    </row>
    <row r="1472" ht="15.75" customHeight="1">
      <c r="A1472" s="3" t="s">
        <v>1548</v>
      </c>
      <c r="B1472" s="3" t="s">
        <v>36</v>
      </c>
      <c r="C1472" s="3" t="s">
        <v>37</v>
      </c>
      <c r="D1472" s="3">
        <v>64949.4147533588</v>
      </c>
      <c r="E1472" s="3">
        <v>21115.7492654008</v>
      </c>
      <c r="F1472" s="3">
        <v>12029.1815849143</v>
      </c>
      <c r="G1472" s="3">
        <v>12155.5971531438</v>
      </c>
      <c r="H1472" s="3">
        <v>14425.2228870377</v>
      </c>
      <c r="I1472" s="3">
        <v>68178.1108254342</v>
      </c>
      <c r="J1472" s="4">
        <v>45778.0</v>
      </c>
      <c r="K1472" s="3">
        <v>16.0</v>
      </c>
      <c r="L1472" s="3" t="s">
        <v>23</v>
      </c>
    </row>
    <row r="1473" ht="15.75" customHeight="1">
      <c r="A1473" s="3" t="s">
        <v>1549</v>
      </c>
      <c r="B1473" s="3" t="s">
        <v>13</v>
      </c>
      <c r="C1473" s="3" t="s">
        <v>33</v>
      </c>
      <c r="D1473" s="3">
        <v>64960.297723265</v>
      </c>
      <c r="E1473" s="3">
        <v>21120.3639837282</v>
      </c>
      <c r="F1473" s="3">
        <v>12036.8615883438</v>
      </c>
      <c r="G1473" s="5"/>
      <c r="H1473" s="3">
        <v>14375.7191692886</v>
      </c>
      <c r="I1473" s="3">
        <v>68181.492299854</v>
      </c>
      <c r="J1473" s="4">
        <v>45870.0</v>
      </c>
      <c r="K1473" s="3">
        <v>19.0</v>
      </c>
      <c r="L1473" s="3" t="s">
        <v>27</v>
      </c>
    </row>
    <row r="1474" ht="15.75" customHeight="1">
      <c r="A1474" s="3" t="s">
        <v>1550</v>
      </c>
      <c r="B1474" s="3" t="s">
        <v>36</v>
      </c>
      <c r="C1474" s="3" t="s">
        <v>14</v>
      </c>
      <c r="D1474" s="3">
        <v>64971.1806931712</v>
      </c>
      <c r="E1474" s="3">
        <v>21124.9787020556</v>
      </c>
      <c r="F1474" s="3">
        <v>12044.5415917733</v>
      </c>
      <c r="G1474" s="3">
        <v>12162.3922545184</v>
      </c>
      <c r="H1474" s="3">
        <v>14326.2154515395</v>
      </c>
      <c r="I1474" s="3">
        <v>68184.8737742738</v>
      </c>
      <c r="J1474" s="4">
        <v>45992.0</v>
      </c>
      <c r="K1474" s="3">
        <v>15.0</v>
      </c>
      <c r="L1474" s="3" t="s">
        <v>31</v>
      </c>
    </row>
    <row r="1475" ht="15.75" customHeight="1">
      <c r="A1475" s="3" t="s">
        <v>1551</v>
      </c>
      <c r="B1475" s="3" t="s">
        <v>51</v>
      </c>
      <c r="C1475" s="3" t="s">
        <v>33</v>
      </c>
      <c r="D1475" s="3">
        <v>64982.0636630774</v>
      </c>
      <c r="E1475" s="3">
        <v>21129.593420383</v>
      </c>
      <c r="F1475" s="3">
        <v>12052.2215952028</v>
      </c>
      <c r="G1475" s="3">
        <v>12165.7898052057</v>
      </c>
      <c r="H1475" s="3">
        <v>14276.7117337903</v>
      </c>
      <c r="I1475" s="3">
        <v>68188.2552486937</v>
      </c>
      <c r="J1475" s="4">
        <v>45901.0</v>
      </c>
      <c r="K1475" s="3">
        <v>21.0</v>
      </c>
      <c r="L1475" s="3" t="s">
        <v>34</v>
      </c>
    </row>
    <row r="1476" ht="15.75" customHeight="1">
      <c r="A1476" s="3" t="s">
        <v>1552</v>
      </c>
      <c r="B1476" s="3" t="s">
        <v>25</v>
      </c>
      <c r="C1476" s="3" t="s">
        <v>33</v>
      </c>
      <c r="D1476" s="3">
        <v>64992.9466329836</v>
      </c>
      <c r="E1476" s="3">
        <v>21134.2081387105</v>
      </c>
      <c r="F1476" s="3">
        <v>12059.9015986323</v>
      </c>
      <c r="G1476" s="3">
        <v>12169.1873558929</v>
      </c>
      <c r="H1476" s="3">
        <v>14227.2080160412</v>
      </c>
      <c r="I1476" s="3">
        <v>68191.6367231135</v>
      </c>
      <c r="J1476" s="4">
        <v>45717.0</v>
      </c>
      <c r="K1476" s="3">
        <v>9.0</v>
      </c>
      <c r="L1476" s="3" t="s">
        <v>38</v>
      </c>
    </row>
    <row r="1477" ht="15.75" customHeight="1">
      <c r="A1477" s="3" t="s">
        <v>1553</v>
      </c>
      <c r="B1477" s="3" t="s">
        <v>17</v>
      </c>
      <c r="C1477" s="3" t="s">
        <v>33</v>
      </c>
      <c r="D1477" s="3">
        <v>65003.8296028898</v>
      </c>
      <c r="E1477" s="3">
        <v>21138.8228570379</v>
      </c>
      <c r="F1477" s="3">
        <v>12067.5816020618</v>
      </c>
      <c r="G1477" s="3">
        <v>12172.5849065802</v>
      </c>
      <c r="H1477" s="3">
        <v>14177.7042982921</v>
      </c>
      <c r="I1477" s="3">
        <v>68195.0181975333</v>
      </c>
      <c r="J1477" s="4">
        <v>45748.0</v>
      </c>
      <c r="K1477" s="3">
        <v>3.0</v>
      </c>
      <c r="L1477" s="3" t="s">
        <v>40</v>
      </c>
    </row>
    <row r="1478" ht="15.75" customHeight="1">
      <c r="A1478" s="3" t="s">
        <v>1554</v>
      </c>
      <c r="B1478" s="3" t="s">
        <v>17</v>
      </c>
      <c r="C1478" s="3" t="s">
        <v>14</v>
      </c>
      <c r="D1478" s="3">
        <v>65014.712572796</v>
      </c>
      <c r="E1478" s="3">
        <v>21143.4375753653</v>
      </c>
      <c r="F1478" s="3">
        <v>12075.2616054913</v>
      </c>
      <c r="G1478" s="3">
        <v>12175.9824572675</v>
      </c>
      <c r="H1478" s="3">
        <v>14128.200580543</v>
      </c>
      <c r="I1478" s="3">
        <v>68198.3996719531</v>
      </c>
      <c r="J1478" s="4">
        <v>45748.0</v>
      </c>
      <c r="K1478" s="3">
        <v>15.0</v>
      </c>
      <c r="L1478" s="3" t="s">
        <v>42</v>
      </c>
    </row>
    <row r="1479" ht="15.75" customHeight="1">
      <c r="A1479" s="3" t="s">
        <v>1555</v>
      </c>
      <c r="B1479" s="3" t="s">
        <v>25</v>
      </c>
      <c r="C1479" s="3" t="s">
        <v>30</v>
      </c>
      <c r="D1479" s="3">
        <v>65025.5955427022</v>
      </c>
      <c r="E1479" s="3">
        <v>21148.0522936927</v>
      </c>
      <c r="F1479" s="3">
        <v>12082.9416089208</v>
      </c>
      <c r="G1479" s="3">
        <v>12179.3800079548</v>
      </c>
      <c r="H1479" s="3">
        <v>14078.6968627938</v>
      </c>
      <c r="I1479" s="3">
        <v>68201.7811463729</v>
      </c>
      <c r="J1479" s="4">
        <v>45778.0</v>
      </c>
      <c r="K1479" s="3">
        <v>7.0</v>
      </c>
      <c r="L1479" s="3" t="s">
        <v>15</v>
      </c>
    </row>
    <row r="1480" ht="15.75" customHeight="1">
      <c r="A1480" s="3" t="s">
        <v>1556</v>
      </c>
      <c r="B1480" s="3" t="s">
        <v>25</v>
      </c>
      <c r="C1480" s="3" t="s">
        <v>30</v>
      </c>
      <c r="D1480" s="3">
        <v>65036.4785126084</v>
      </c>
      <c r="E1480" s="3">
        <v>21152.6670120201</v>
      </c>
      <c r="F1480" s="3">
        <v>12090.6216123503</v>
      </c>
      <c r="G1480" s="3">
        <v>12182.7775586421</v>
      </c>
      <c r="H1480" s="3">
        <v>52853.7009539663</v>
      </c>
      <c r="I1480" s="3">
        <v>57853.7009539663</v>
      </c>
      <c r="J1480" s="4">
        <v>45748.0</v>
      </c>
      <c r="K1480" s="3">
        <v>17.0</v>
      </c>
      <c r="L1480" s="3" t="s">
        <v>19</v>
      </c>
    </row>
    <row r="1481" ht="15.75" customHeight="1">
      <c r="A1481" s="3" t="s">
        <v>1557</v>
      </c>
      <c r="B1481" s="3" t="s">
        <v>36</v>
      </c>
      <c r="C1481" s="3" t="s">
        <v>14</v>
      </c>
      <c r="D1481" s="3">
        <v>65047.3614825145</v>
      </c>
      <c r="E1481" s="3">
        <v>21157.2817303476</v>
      </c>
      <c r="F1481" s="3">
        <v>12098.3016157798</v>
      </c>
      <c r="G1481" s="3">
        <v>12186.1751093294</v>
      </c>
      <c r="H1481" s="3">
        <v>13979.6894272956</v>
      </c>
      <c r="I1481" s="3">
        <v>68208.5440952126</v>
      </c>
      <c r="J1481" s="4">
        <v>45962.0</v>
      </c>
      <c r="K1481" s="3">
        <v>17.0</v>
      </c>
      <c r="L1481" s="3" t="s">
        <v>21</v>
      </c>
    </row>
    <row r="1482" ht="15.75" customHeight="1">
      <c r="A1482" s="3" t="s">
        <v>1558</v>
      </c>
      <c r="B1482" s="3" t="s">
        <v>51</v>
      </c>
      <c r="C1482" s="3" t="s">
        <v>37</v>
      </c>
      <c r="D1482" s="3">
        <v>65058.2444524207</v>
      </c>
      <c r="E1482" s="3">
        <v>21161.896448675</v>
      </c>
      <c r="F1482" s="3">
        <v>12105.9816192093</v>
      </c>
      <c r="G1482" s="3">
        <v>12189.5726600167</v>
      </c>
      <c r="H1482" s="3">
        <v>52868.671792404</v>
      </c>
      <c r="I1482" s="3">
        <v>57868.671792404</v>
      </c>
      <c r="J1482" s="4">
        <v>45717.0</v>
      </c>
      <c r="K1482" s="3">
        <v>13.0</v>
      </c>
      <c r="L1482" s="3" t="s">
        <v>23</v>
      </c>
    </row>
    <row r="1483" ht="15.75" customHeight="1">
      <c r="A1483" s="3" t="s">
        <v>1559</v>
      </c>
      <c r="B1483" s="3" t="s">
        <v>13</v>
      </c>
      <c r="C1483" s="3" t="s">
        <v>54</v>
      </c>
      <c r="D1483" s="3">
        <v>65069.1274223269</v>
      </c>
      <c r="E1483" s="3">
        <v>21166.5111670024</v>
      </c>
      <c r="F1483" s="3">
        <v>12113.6616226388</v>
      </c>
      <c r="G1483" s="3">
        <v>12192.970210704</v>
      </c>
      <c r="H1483" s="3">
        <v>13880.6819917973</v>
      </c>
      <c r="I1483" s="3">
        <v>68215.3070440522</v>
      </c>
      <c r="J1483" s="4">
        <v>45658.0</v>
      </c>
      <c r="K1483" s="3">
        <v>24.0</v>
      </c>
      <c r="L1483" s="3" t="s">
        <v>27</v>
      </c>
    </row>
    <row r="1484" ht="15.75" customHeight="1">
      <c r="A1484" s="3" t="s">
        <v>1560</v>
      </c>
      <c r="B1484" s="3" t="s">
        <v>29</v>
      </c>
      <c r="C1484" s="3" t="s">
        <v>18</v>
      </c>
      <c r="D1484" s="3">
        <v>65080.0103922331</v>
      </c>
      <c r="E1484" s="3">
        <v>21171.1258853298</v>
      </c>
      <c r="F1484" s="3">
        <v>12121.3416260682</v>
      </c>
      <c r="G1484" s="3">
        <v>12196.3677613912</v>
      </c>
      <c r="H1484" s="3">
        <v>13831.1782740482</v>
      </c>
      <c r="I1484" s="3">
        <v>68218.688518472</v>
      </c>
      <c r="J1484" s="4">
        <v>45901.0</v>
      </c>
      <c r="K1484" s="3">
        <v>23.0</v>
      </c>
      <c r="L1484" s="3" t="s">
        <v>31</v>
      </c>
    </row>
    <row r="1485" ht="15.75" customHeight="1">
      <c r="A1485" s="3" t="s">
        <v>1561</v>
      </c>
      <c r="B1485" s="3" t="s">
        <v>53</v>
      </c>
      <c r="C1485" s="3" t="s">
        <v>37</v>
      </c>
      <c r="D1485" s="3">
        <v>65090.8933621393</v>
      </c>
      <c r="E1485" s="3">
        <v>21175.7406036573</v>
      </c>
      <c r="F1485" s="3">
        <v>12129.0216294977</v>
      </c>
      <c r="G1485" s="3">
        <v>12199.7653120785</v>
      </c>
      <c r="H1485" s="3">
        <v>13781.6745562991</v>
      </c>
      <c r="I1485" s="3">
        <v>68222.0699928918</v>
      </c>
      <c r="J1485" s="4">
        <v>45931.0</v>
      </c>
      <c r="K1485" s="3">
        <v>11.0</v>
      </c>
      <c r="L1485" s="3" t="s">
        <v>34</v>
      </c>
    </row>
    <row r="1486" ht="15.75" customHeight="1">
      <c r="A1486" s="3" t="s">
        <v>1562</v>
      </c>
      <c r="B1486" s="3" t="s">
        <v>36</v>
      </c>
      <c r="C1486" s="3" t="s">
        <v>26</v>
      </c>
      <c r="D1486" s="3">
        <v>65101.7763320455</v>
      </c>
      <c r="E1486" s="3">
        <v>21180.3553219847</v>
      </c>
      <c r="F1486" s="3">
        <v>12136.7016329272</v>
      </c>
      <c r="G1486" s="3">
        <v>12203.1628627658</v>
      </c>
      <c r="H1486" s="3">
        <v>13732.1708385499</v>
      </c>
      <c r="I1486" s="3">
        <v>68225.4514673116</v>
      </c>
      <c r="J1486" s="4">
        <v>45809.0</v>
      </c>
      <c r="K1486" s="3">
        <v>8.0</v>
      </c>
      <c r="L1486" s="3" t="s">
        <v>38</v>
      </c>
    </row>
    <row r="1487" ht="15.75" customHeight="1">
      <c r="A1487" s="3" t="s">
        <v>1563</v>
      </c>
      <c r="B1487" s="3" t="s">
        <v>17</v>
      </c>
      <c r="C1487" s="3" t="s">
        <v>30</v>
      </c>
      <c r="D1487" s="3">
        <v>65112.6593019517</v>
      </c>
      <c r="E1487" s="3">
        <v>21184.9700403121</v>
      </c>
      <c r="F1487" s="3">
        <v>12144.3816363567</v>
      </c>
      <c r="G1487" s="3">
        <v>12206.5604134531</v>
      </c>
      <c r="H1487" s="3">
        <v>13682.6671208008</v>
      </c>
      <c r="I1487" s="3">
        <v>68228.8329417314</v>
      </c>
      <c r="J1487" s="4">
        <v>45901.0</v>
      </c>
      <c r="K1487" s="3">
        <v>25.0</v>
      </c>
      <c r="L1487" s="3" t="s">
        <v>40</v>
      </c>
    </row>
    <row r="1488" ht="15.75" customHeight="1">
      <c r="A1488" s="3" t="s">
        <v>1564</v>
      </c>
      <c r="B1488" s="3" t="s">
        <v>53</v>
      </c>
      <c r="C1488" s="3" t="s">
        <v>33</v>
      </c>
      <c r="D1488" s="3">
        <v>65123.5422718579</v>
      </c>
      <c r="E1488" s="3">
        <v>21189.5847586395</v>
      </c>
      <c r="F1488" s="3">
        <v>12152.0616397862</v>
      </c>
      <c r="G1488" s="3">
        <v>12209.9579641404</v>
      </c>
      <c r="H1488" s="3">
        <v>13633.1634030517</v>
      </c>
      <c r="I1488" s="3">
        <v>68232.2144161513</v>
      </c>
      <c r="J1488" s="4">
        <v>45901.0</v>
      </c>
      <c r="K1488" s="3">
        <v>5.0</v>
      </c>
      <c r="L1488" s="3" t="s">
        <v>42</v>
      </c>
    </row>
    <row r="1489" ht="15.75" customHeight="1">
      <c r="A1489" s="3" t="s">
        <v>1565</v>
      </c>
      <c r="B1489" s="3" t="s">
        <v>17</v>
      </c>
      <c r="C1489" s="3" t="s">
        <v>14</v>
      </c>
      <c r="D1489" s="3">
        <v>65134.4252417641</v>
      </c>
      <c r="E1489" s="3">
        <v>21194.1994769669</v>
      </c>
      <c r="F1489" s="3">
        <v>12159.7416432157</v>
      </c>
      <c r="G1489" s="3">
        <v>12213.3555148277</v>
      </c>
      <c r="H1489" s="3">
        <v>13583.6596853026</v>
      </c>
      <c r="I1489" s="3">
        <v>68235.5958905711</v>
      </c>
      <c r="J1489" s="4">
        <v>45931.0</v>
      </c>
      <c r="K1489" s="3">
        <v>8.0</v>
      </c>
      <c r="L1489" s="3" t="s">
        <v>15</v>
      </c>
    </row>
    <row r="1490" ht="15.75" customHeight="1">
      <c r="A1490" s="3" t="s">
        <v>1566</v>
      </c>
      <c r="B1490" s="3" t="s">
        <v>36</v>
      </c>
      <c r="C1490" s="3" t="s">
        <v>30</v>
      </c>
      <c r="D1490" s="3">
        <v>65145.3082116703</v>
      </c>
      <c r="E1490" s="3">
        <v>21198.8141952944</v>
      </c>
      <c r="F1490" s="3">
        <v>12167.4216466452</v>
      </c>
      <c r="G1490" s="3">
        <v>12216.753065515</v>
      </c>
      <c r="H1490" s="3">
        <v>13534.1559675534</v>
      </c>
      <c r="I1490" s="3">
        <v>68238.9773649909</v>
      </c>
      <c r="J1490" s="4">
        <v>45931.0</v>
      </c>
      <c r="K1490" s="3">
        <v>23.0</v>
      </c>
      <c r="L1490" s="3" t="s">
        <v>19</v>
      </c>
    </row>
    <row r="1491" ht="15.75" customHeight="1">
      <c r="A1491" s="3" t="s">
        <v>1567</v>
      </c>
      <c r="B1491" s="3" t="s">
        <v>29</v>
      </c>
      <c r="C1491" s="3" t="s">
        <v>30</v>
      </c>
      <c r="D1491" s="3">
        <v>65156.1911815765</v>
      </c>
      <c r="E1491" s="3">
        <v>21203.4289136218</v>
      </c>
      <c r="F1491" s="3">
        <v>12175.1016500747</v>
      </c>
      <c r="G1491" s="3">
        <v>12220.1506162023</v>
      </c>
      <c r="H1491" s="3">
        <v>13484.6522498043</v>
      </c>
      <c r="I1491" s="3">
        <v>68242.3588394107</v>
      </c>
      <c r="J1491" s="4">
        <v>45778.0</v>
      </c>
      <c r="K1491" s="3">
        <v>17.0</v>
      </c>
      <c r="L1491" s="3" t="s">
        <v>21</v>
      </c>
    </row>
    <row r="1492" ht="15.75" customHeight="1">
      <c r="A1492" s="3" t="s">
        <v>1568</v>
      </c>
      <c r="B1492" s="3" t="s">
        <v>29</v>
      </c>
      <c r="C1492" s="3" t="s">
        <v>37</v>
      </c>
      <c r="D1492" s="3">
        <v>65167.0741514827</v>
      </c>
      <c r="E1492" s="3">
        <v>21208.0436319492</v>
      </c>
      <c r="F1492" s="3">
        <v>12182.7816535042</v>
      </c>
      <c r="G1492" s="3">
        <v>12223.5481668895</v>
      </c>
      <c r="H1492" s="3">
        <v>13435.1485320552</v>
      </c>
      <c r="I1492" s="3">
        <v>68245.7403138305</v>
      </c>
      <c r="J1492" s="4">
        <v>45839.0</v>
      </c>
      <c r="K1492" s="3">
        <v>22.0</v>
      </c>
      <c r="L1492" s="3" t="s">
        <v>23</v>
      </c>
    </row>
    <row r="1493" ht="15.75" customHeight="1">
      <c r="A1493" s="3" t="s">
        <v>1569</v>
      </c>
      <c r="B1493" s="3" t="s">
        <v>36</v>
      </c>
      <c r="C1493" s="3" t="s">
        <v>26</v>
      </c>
      <c r="D1493" s="3">
        <v>65177.9571213889</v>
      </c>
      <c r="E1493" s="3">
        <v>21212.6583502766</v>
      </c>
      <c r="F1493" s="3">
        <v>12190.4616569337</v>
      </c>
      <c r="G1493" s="3">
        <v>12226.9457175768</v>
      </c>
      <c r="H1493" s="3">
        <v>13385.644814306</v>
      </c>
      <c r="I1493" s="3">
        <v>68249.1217882503</v>
      </c>
      <c r="J1493" s="4">
        <v>45658.0</v>
      </c>
      <c r="K1493" s="3">
        <v>10.0</v>
      </c>
      <c r="L1493" s="3" t="s">
        <v>27</v>
      </c>
    </row>
    <row r="1494" ht="15.75" customHeight="1">
      <c r="A1494" s="3" t="s">
        <v>1570</v>
      </c>
      <c r="B1494" s="3" t="s">
        <v>53</v>
      </c>
      <c r="C1494" s="3" t="s">
        <v>33</v>
      </c>
      <c r="D1494" s="3">
        <v>65188.8400912951</v>
      </c>
      <c r="E1494" s="3">
        <v>21217.2730686041</v>
      </c>
      <c r="F1494" s="3">
        <v>12198.1416603632</v>
      </c>
      <c r="G1494" s="3">
        <v>12230.3432682641</v>
      </c>
      <c r="H1494" s="3">
        <v>13336.1410965569</v>
      </c>
      <c r="I1494" s="3">
        <v>68252.5032626701</v>
      </c>
      <c r="J1494" s="4">
        <v>45931.0</v>
      </c>
      <c r="K1494" s="3">
        <v>4.0</v>
      </c>
      <c r="L1494" s="3" t="s">
        <v>31</v>
      </c>
    </row>
    <row r="1495" ht="15.75" customHeight="1">
      <c r="A1495" s="3" t="s">
        <v>1571</v>
      </c>
      <c r="B1495" s="3" t="s">
        <v>53</v>
      </c>
      <c r="C1495" s="3" t="s">
        <v>54</v>
      </c>
      <c r="D1495" s="3">
        <v>65199.7230612013</v>
      </c>
      <c r="E1495" s="3">
        <v>21221.8877869315</v>
      </c>
      <c r="F1495" s="3">
        <v>12205.8216637927</v>
      </c>
      <c r="G1495" s="3">
        <v>12233.7408189514</v>
      </c>
      <c r="H1495" s="3">
        <v>13286.6373788078</v>
      </c>
      <c r="I1495" s="3">
        <v>68255.88473709</v>
      </c>
      <c r="J1495" s="4">
        <v>45962.0</v>
      </c>
      <c r="K1495" s="3">
        <v>18.0</v>
      </c>
      <c r="L1495" s="3" t="s">
        <v>34</v>
      </c>
    </row>
    <row r="1496" ht="15.75" customHeight="1">
      <c r="A1496" s="3" t="s">
        <v>1572</v>
      </c>
      <c r="B1496" s="3" t="s">
        <v>13</v>
      </c>
      <c r="C1496" s="3" t="s">
        <v>37</v>
      </c>
      <c r="D1496" s="3">
        <v>65221.4890010136</v>
      </c>
      <c r="E1496" s="3">
        <v>21231.1172235863</v>
      </c>
      <c r="F1496" s="3">
        <v>12221.1816706517</v>
      </c>
      <c r="G1496" s="3">
        <v>12240.535920326</v>
      </c>
      <c r="H1496" s="3">
        <v>13187.6299433095</v>
      </c>
      <c r="I1496" s="3">
        <v>68262.6476859296</v>
      </c>
      <c r="J1496" s="4">
        <v>45809.0</v>
      </c>
      <c r="K1496" s="3">
        <v>23.0</v>
      </c>
      <c r="L1496" s="3" t="s">
        <v>40</v>
      </c>
    </row>
    <row r="1497" ht="15.75" customHeight="1">
      <c r="A1497" s="3" t="s">
        <v>1573</v>
      </c>
      <c r="B1497" s="3" t="s">
        <v>17</v>
      </c>
      <c r="C1497" s="3" t="s">
        <v>37</v>
      </c>
      <c r="D1497" s="3">
        <v>65232.3719709198</v>
      </c>
      <c r="E1497" s="3">
        <v>21235.7319419137</v>
      </c>
      <c r="F1497" s="3">
        <v>12228.8616740812</v>
      </c>
      <c r="G1497" s="3">
        <v>12243.9334710133</v>
      </c>
      <c r="H1497" s="3">
        <v>13138.1262255604</v>
      </c>
      <c r="I1497" s="3">
        <v>68266.0291603494</v>
      </c>
      <c r="J1497" s="4">
        <v>45931.0</v>
      </c>
      <c r="K1497" s="3">
        <v>9.0</v>
      </c>
      <c r="L1497" s="3" t="s">
        <v>42</v>
      </c>
    </row>
    <row r="1498" ht="15.75" customHeight="1">
      <c r="A1498" s="3" t="s">
        <v>1574</v>
      </c>
      <c r="B1498" s="3" t="s">
        <v>36</v>
      </c>
      <c r="C1498" s="3" t="s">
        <v>30</v>
      </c>
      <c r="D1498" s="3">
        <v>65243.254940826</v>
      </c>
      <c r="E1498" s="3">
        <v>21240.3466602412</v>
      </c>
      <c r="F1498" s="3">
        <v>12236.5416775107</v>
      </c>
      <c r="G1498" s="3">
        <v>12247.3310217005</v>
      </c>
      <c r="H1498" s="3">
        <v>13088.6225078113</v>
      </c>
      <c r="I1498" s="3">
        <v>68269.4106347692</v>
      </c>
      <c r="J1498" s="3" t="s">
        <v>1575</v>
      </c>
      <c r="K1498" s="3">
        <v>4.0</v>
      </c>
      <c r="L1498" s="3" t="s">
        <v>15</v>
      </c>
    </row>
    <row r="1499" ht="15.75" customHeight="1">
      <c r="A1499" s="3" t="s">
        <v>1576</v>
      </c>
      <c r="B1499" s="3" t="s">
        <v>36</v>
      </c>
      <c r="C1499" s="3" t="s">
        <v>26</v>
      </c>
      <c r="D1499" s="3">
        <v>65254.1379107322</v>
      </c>
      <c r="E1499" s="3">
        <v>21244.9613785686</v>
      </c>
      <c r="F1499" s="3">
        <v>12244.2216809402</v>
      </c>
      <c r="G1499" s="3">
        <v>12250.7285723878</v>
      </c>
      <c r="H1499" s="3">
        <v>13039.1187900622</v>
      </c>
      <c r="I1499" s="3">
        <v>68272.792109189</v>
      </c>
      <c r="J1499" s="4">
        <v>45809.0</v>
      </c>
      <c r="K1499" s="3">
        <v>19.0</v>
      </c>
      <c r="L1499" s="3" t="s">
        <v>19</v>
      </c>
    </row>
    <row r="1500" ht="15.75" customHeight="1">
      <c r="A1500" s="3" t="s">
        <v>1577</v>
      </c>
      <c r="B1500" s="3" t="s">
        <v>51</v>
      </c>
      <c r="C1500" s="3" t="s">
        <v>37</v>
      </c>
      <c r="D1500" s="3">
        <v>65265.0208806384</v>
      </c>
      <c r="E1500" s="3">
        <v>21249.576096896</v>
      </c>
      <c r="F1500" s="3">
        <v>12251.9016843697</v>
      </c>
      <c r="G1500" s="3">
        <v>12254.1261230751</v>
      </c>
      <c r="H1500" s="3">
        <v>12989.615072313</v>
      </c>
      <c r="I1500" s="3">
        <v>68276.1735836088</v>
      </c>
      <c r="J1500" s="4">
        <v>45992.0</v>
      </c>
      <c r="K1500" s="3">
        <v>5.0</v>
      </c>
      <c r="L1500" s="3" t="s">
        <v>21</v>
      </c>
    </row>
    <row r="1501" ht="15.75" customHeight="1">
      <c r="A1501" s="3" t="s">
        <v>1578</v>
      </c>
      <c r="B1501" s="3" t="s">
        <v>51</v>
      </c>
      <c r="C1501" s="3" t="s">
        <v>54</v>
      </c>
      <c r="D1501" s="3">
        <v>65275.9038505446</v>
      </c>
      <c r="E1501" s="3">
        <v>21254.1908152234</v>
      </c>
      <c r="F1501" s="3">
        <v>12259.5816877992</v>
      </c>
      <c r="G1501" s="3">
        <v>12257.5236737624</v>
      </c>
      <c r="H1501" s="3">
        <v>12940.1113545639</v>
      </c>
      <c r="I1501" s="3">
        <v>68279.5550580287</v>
      </c>
      <c r="J1501" s="4">
        <v>45748.0</v>
      </c>
      <c r="K1501" s="3">
        <v>3.0</v>
      </c>
      <c r="L1501" s="3" t="s">
        <v>23</v>
      </c>
    </row>
    <row r="1502" ht="15.75" customHeight="1">
      <c r="A1502" s="3" t="s">
        <v>1579</v>
      </c>
      <c r="B1502" s="3" t="s">
        <v>13</v>
      </c>
      <c r="C1502" s="3" t="s">
        <v>18</v>
      </c>
      <c r="D1502" s="3">
        <v>65286.7868204508</v>
      </c>
      <c r="E1502" s="3">
        <v>21258.8055335509</v>
      </c>
      <c r="F1502" s="3">
        <v>12267.2616912287</v>
      </c>
      <c r="G1502" s="3">
        <v>12260.9212244497</v>
      </c>
      <c r="H1502" s="3">
        <v>12890.6076368148</v>
      </c>
      <c r="I1502" s="3">
        <v>68282.9365324485</v>
      </c>
      <c r="J1502" s="4">
        <v>45778.0</v>
      </c>
      <c r="K1502" s="3">
        <v>18.0</v>
      </c>
      <c r="L1502" s="3" t="s">
        <v>27</v>
      </c>
    </row>
    <row r="1503" ht="15.75" customHeight="1">
      <c r="A1503" s="3" t="s">
        <v>1580</v>
      </c>
      <c r="B1503" s="3" t="s">
        <v>29</v>
      </c>
      <c r="C1503" s="3" t="s">
        <v>37</v>
      </c>
      <c r="D1503" s="3">
        <v>65297.669790357</v>
      </c>
      <c r="E1503" s="3">
        <v>21263.4202518783</v>
      </c>
      <c r="F1503" s="3">
        <v>12274.9416946582</v>
      </c>
      <c r="G1503" s="3">
        <v>12264.318775137</v>
      </c>
      <c r="H1503" s="3">
        <v>12841.1039190657</v>
      </c>
      <c r="I1503" s="3">
        <v>68286.3180068683</v>
      </c>
      <c r="J1503" s="4">
        <v>45901.0</v>
      </c>
      <c r="K1503" s="3">
        <v>3.0</v>
      </c>
      <c r="L1503" s="3" t="s">
        <v>31</v>
      </c>
    </row>
    <row r="1504" ht="15.75" customHeight="1">
      <c r="A1504" s="3" t="s">
        <v>1581</v>
      </c>
      <c r="B1504" s="3" t="s">
        <v>13</v>
      </c>
      <c r="C1504" s="3" t="s">
        <v>30</v>
      </c>
      <c r="D1504" s="3">
        <v>65308.5527602632</v>
      </c>
      <c r="E1504" s="3">
        <v>21268.0349702057</v>
      </c>
      <c r="F1504" s="3">
        <v>12282.6216980877</v>
      </c>
      <c r="G1504" s="3">
        <v>12267.7163258243</v>
      </c>
      <c r="H1504" s="3">
        <v>12791.6002013165</v>
      </c>
      <c r="I1504" s="3">
        <v>68289.6994812881</v>
      </c>
      <c r="J1504" s="4">
        <v>45839.0</v>
      </c>
      <c r="K1504" s="3">
        <v>12.0</v>
      </c>
      <c r="L1504" s="3" t="s">
        <v>34</v>
      </c>
    </row>
    <row r="1505" ht="15.75" customHeight="1">
      <c r="A1505" s="3" t="s">
        <v>1582</v>
      </c>
      <c r="B1505" s="3" t="s">
        <v>36</v>
      </c>
      <c r="C1505" s="3" t="s">
        <v>26</v>
      </c>
      <c r="D1505" s="3">
        <v>65330.3187000756</v>
      </c>
      <c r="E1505" s="3">
        <v>21277.2644068605</v>
      </c>
      <c r="F1505" s="3">
        <v>12297.9817049467</v>
      </c>
      <c r="G1505" s="3">
        <v>12274.5114271988</v>
      </c>
      <c r="H1505" s="3">
        <v>12692.5927658183</v>
      </c>
      <c r="I1505" s="3">
        <v>68296.4624301277</v>
      </c>
      <c r="J1505" s="4">
        <v>45992.0</v>
      </c>
      <c r="K1505" s="3">
        <v>5.0</v>
      </c>
      <c r="L1505" s="3" t="s">
        <v>40</v>
      </c>
    </row>
    <row r="1506" ht="15.75" customHeight="1">
      <c r="A1506" s="3" t="s">
        <v>1583</v>
      </c>
      <c r="B1506" s="3" t="s">
        <v>29</v>
      </c>
      <c r="C1506" s="3" t="s">
        <v>18</v>
      </c>
      <c r="D1506" s="3">
        <v>65341.2016699818</v>
      </c>
      <c r="E1506" s="3">
        <v>21281.879125188</v>
      </c>
      <c r="F1506" s="3">
        <v>12305.6617083762</v>
      </c>
      <c r="G1506" s="3">
        <v>12277.9089778861</v>
      </c>
      <c r="H1506" s="3">
        <v>12643.0890480692</v>
      </c>
      <c r="I1506" s="3">
        <v>68299.8439045475</v>
      </c>
      <c r="J1506" s="4">
        <v>45992.0</v>
      </c>
      <c r="K1506" s="3">
        <v>22.0</v>
      </c>
      <c r="L1506" s="3" t="s">
        <v>42</v>
      </c>
    </row>
    <row r="1507" ht="15.75" customHeight="1">
      <c r="A1507" s="3" t="s">
        <v>1584</v>
      </c>
      <c r="B1507" s="3" t="s">
        <v>36</v>
      </c>
      <c r="C1507" s="3" t="s">
        <v>30</v>
      </c>
      <c r="D1507" s="3">
        <v>65352.084639888</v>
      </c>
      <c r="E1507" s="3">
        <v>21286.4938435154</v>
      </c>
      <c r="F1507" s="3">
        <v>12313.3417118057</v>
      </c>
      <c r="G1507" s="3">
        <v>12281.3065285734</v>
      </c>
      <c r="H1507" s="3">
        <v>12593.58533032</v>
      </c>
      <c r="I1507" s="3">
        <v>68303.2253789674</v>
      </c>
      <c r="J1507" s="4">
        <v>45658.0</v>
      </c>
      <c r="K1507" s="3">
        <v>23.0</v>
      </c>
      <c r="L1507" s="3" t="s">
        <v>15</v>
      </c>
    </row>
    <row r="1508" ht="15.75" customHeight="1">
      <c r="A1508" s="3" t="s">
        <v>1585</v>
      </c>
      <c r="B1508" s="3" t="s">
        <v>29</v>
      </c>
      <c r="C1508" s="3" t="s">
        <v>30</v>
      </c>
      <c r="D1508" s="3">
        <v>65362.9676097942</v>
      </c>
      <c r="E1508" s="3">
        <v>21291.1085618428</v>
      </c>
      <c r="F1508" s="3">
        <v>12321.0217152352</v>
      </c>
      <c r="G1508" s="3">
        <v>12284.7040792607</v>
      </c>
      <c r="H1508" s="3">
        <v>53078.2635305335</v>
      </c>
      <c r="I1508" s="3">
        <v>58078.2635305335</v>
      </c>
      <c r="J1508" s="4">
        <v>45809.0</v>
      </c>
      <c r="K1508" s="3">
        <v>8.0</v>
      </c>
      <c r="L1508" s="3" t="s">
        <v>19</v>
      </c>
    </row>
    <row r="1509" ht="15.75" customHeight="1">
      <c r="A1509" s="3" t="s">
        <v>1586</v>
      </c>
      <c r="B1509" s="3" t="s">
        <v>13</v>
      </c>
      <c r="C1509" s="3" t="s">
        <v>37</v>
      </c>
      <c r="D1509" s="3">
        <v>65373.8505797003</v>
      </c>
      <c r="E1509" s="3">
        <v>21295.7232801702</v>
      </c>
      <c r="F1509" s="3">
        <v>12328.7017186647</v>
      </c>
      <c r="G1509" s="3">
        <v>12288.101629948</v>
      </c>
      <c r="H1509" s="3">
        <v>12494.5778948218</v>
      </c>
      <c r="I1509" s="3">
        <v>68309.988327807</v>
      </c>
      <c r="J1509" s="4">
        <v>45901.0</v>
      </c>
      <c r="K1509" s="3">
        <v>9.0</v>
      </c>
      <c r="L1509" s="3" t="s">
        <v>21</v>
      </c>
    </row>
    <row r="1510" ht="15.75" customHeight="1">
      <c r="A1510" s="3" t="s">
        <v>1587</v>
      </c>
      <c r="B1510" s="3" t="s">
        <v>13</v>
      </c>
      <c r="C1510" s="3" t="s">
        <v>54</v>
      </c>
      <c r="D1510" s="3">
        <v>65384.7335496065</v>
      </c>
      <c r="E1510" s="3">
        <v>21300.3379984977</v>
      </c>
      <c r="F1510" s="3">
        <v>12336.3817220942</v>
      </c>
      <c r="G1510" s="3">
        <v>12291.4991806353</v>
      </c>
      <c r="H1510" s="3">
        <v>12445.0741770726</v>
      </c>
      <c r="I1510" s="3">
        <v>68313.3698022268</v>
      </c>
      <c r="J1510" s="4">
        <v>45962.0</v>
      </c>
      <c r="K1510" s="3">
        <v>21.0</v>
      </c>
      <c r="L1510" s="3" t="s">
        <v>23</v>
      </c>
    </row>
    <row r="1511" ht="15.75" customHeight="1">
      <c r="A1511" s="3" t="s">
        <v>1588</v>
      </c>
      <c r="B1511" s="3" t="s">
        <v>51</v>
      </c>
      <c r="C1511" s="3" t="s">
        <v>54</v>
      </c>
      <c r="D1511" s="3">
        <v>65395.6165195127</v>
      </c>
      <c r="E1511" s="3">
        <v>21304.9527168251</v>
      </c>
      <c r="F1511" s="3">
        <v>12344.0617255237</v>
      </c>
      <c r="G1511" s="3">
        <v>12294.8967313226</v>
      </c>
      <c r="H1511" s="3">
        <v>12395.5704593235</v>
      </c>
      <c r="I1511" s="3">
        <v>68316.7512766466</v>
      </c>
      <c r="J1511" s="4">
        <v>45689.0</v>
      </c>
      <c r="K1511" s="3">
        <v>10.0</v>
      </c>
      <c r="L1511" s="3" t="s">
        <v>27</v>
      </c>
    </row>
    <row r="1512" ht="15.75" customHeight="1">
      <c r="A1512" s="3" t="s">
        <v>1589</v>
      </c>
      <c r="B1512" s="3" t="s">
        <v>51</v>
      </c>
      <c r="C1512" s="3" t="s">
        <v>26</v>
      </c>
      <c r="D1512" s="3">
        <v>65406.4994894189</v>
      </c>
      <c r="E1512" s="3">
        <v>21309.5674351525</v>
      </c>
      <c r="F1512" s="3">
        <v>12351.7417289532</v>
      </c>
      <c r="G1512" s="3">
        <v>12298.2942820099</v>
      </c>
      <c r="H1512" s="3">
        <v>12346.0667415744</v>
      </c>
      <c r="I1512" s="3">
        <v>68320.1327510664</v>
      </c>
      <c r="J1512" s="4">
        <v>45658.0</v>
      </c>
      <c r="K1512" s="3">
        <v>16.0</v>
      </c>
      <c r="L1512" s="3" t="s">
        <v>31</v>
      </c>
    </row>
    <row r="1513" ht="15.75" customHeight="1">
      <c r="A1513" s="3" t="s">
        <v>1590</v>
      </c>
      <c r="B1513" s="3" t="s">
        <v>13</v>
      </c>
      <c r="C1513" s="3" t="s">
        <v>37</v>
      </c>
      <c r="D1513" s="3">
        <v>65417.3824593251</v>
      </c>
      <c r="E1513" s="3">
        <v>21314.1821534799</v>
      </c>
      <c r="F1513" s="3">
        <v>12359.4217323827</v>
      </c>
      <c r="G1513" s="3">
        <v>12301.6918326971</v>
      </c>
      <c r="H1513" s="3">
        <v>12296.5630238253</v>
      </c>
      <c r="I1513" s="3">
        <v>68323.5142254862</v>
      </c>
      <c r="J1513" s="4">
        <v>45839.0</v>
      </c>
      <c r="K1513" s="3">
        <v>16.0</v>
      </c>
      <c r="L1513" s="3" t="s">
        <v>34</v>
      </c>
    </row>
    <row r="1514" ht="15.75" customHeight="1">
      <c r="A1514" s="3" t="s">
        <v>1591</v>
      </c>
      <c r="B1514" s="3" t="s">
        <v>51</v>
      </c>
      <c r="C1514" s="3" t="s">
        <v>54</v>
      </c>
      <c r="D1514" s="3">
        <v>65428.2654292313</v>
      </c>
      <c r="E1514" s="3">
        <v>21318.7968718073</v>
      </c>
      <c r="F1514" s="3">
        <v>12367.1017358122</v>
      </c>
      <c r="G1514" s="3">
        <v>12305.0893833844</v>
      </c>
      <c r="H1514" s="3">
        <v>12247.0593060761</v>
      </c>
      <c r="I1514" s="3">
        <v>68326.895699906</v>
      </c>
      <c r="J1514" s="4">
        <v>45778.0</v>
      </c>
      <c r="K1514" s="3">
        <v>3.0</v>
      </c>
      <c r="L1514" s="3" t="s">
        <v>38</v>
      </c>
    </row>
    <row r="1515" ht="15.75" customHeight="1">
      <c r="A1515" s="3" t="s">
        <v>1592</v>
      </c>
      <c r="B1515" s="3" t="s">
        <v>25</v>
      </c>
      <c r="C1515" s="3" t="s">
        <v>54</v>
      </c>
      <c r="D1515" s="3">
        <v>65439.1483991375</v>
      </c>
      <c r="E1515" s="3">
        <v>21323.4115901348</v>
      </c>
      <c r="F1515" s="3">
        <v>12374.7817392417</v>
      </c>
      <c r="G1515" s="3">
        <v>12308.4869340717</v>
      </c>
      <c r="H1515" s="3">
        <v>12197.555588327</v>
      </c>
      <c r="I1515" s="3">
        <v>68330.2771743259</v>
      </c>
      <c r="J1515" s="4">
        <v>45809.0</v>
      </c>
      <c r="K1515" s="3">
        <v>17.0</v>
      </c>
      <c r="L1515" s="3" t="s">
        <v>40</v>
      </c>
    </row>
    <row r="1516" ht="15.75" customHeight="1">
      <c r="A1516" s="3" t="s">
        <v>1593</v>
      </c>
      <c r="B1516" s="3" t="s">
        <v>17</v>
      </c>
      <c r="C1516" s="3" t="s">
        <v>14</v>
      </c>
      <c r="D1516" s="3">
        <v>65450.0313690437</v>
      </c>
      <c r="E1516" s="3">
        <v>21328.0263084622</v>
      </c>
      <c r="F1516" s="3">
        <v>12382.4617426712</v>
      </c>
      <c r="G1516" s="3">
        <v>12311.884484759</v>
      </c>
      <c r="H1516" s="3">
        <v>12148.0518705779</v>
      </c>
      <c r="I1516" s="3">
        <v>68333.6586487457</v>
      </c>
      <c r="J1516" s="4">
        <v>45717.0</v>
      </c>
      <c r="K1516" s="3">
        <v>20.0</v>
      </c>
      <c r="L1516" s="3" t="s">
        <v>42</v>
      </c>
    </row>
    <row r="1517" ht="15.75" customHeight="1">
      <c r="A1517" s="3" t="s">
        <v>1594</v>
      </c>
      <c r="B1517" s="3" t="s">
        <v>29</v>
      </c>
      <c r="C1517" s="3" t="s">
        <v>54</v>
      </c>
      <c r="D1517" s="3">
        <v>65460.9143389499</v>
      </c>
      <c r="E1517" s="3">
        <v>21332.6410267896</v>
      </c>
      <c r="F1517" s="3">
        <v>12390.1417461007</v>
      </c>
      <c r="G1517" s="3">
        <v>12315.2820354463</v>
      </c>
      <c r="H1517" s="3">
        <v>12098.5481528288</v>
      </c>
      <c r="I1517" s="3">
        <v>68337.0401231655</v>
      </c>
      <c r="J1517" s="4">
        <v>45717.0</v>
      </c>
      <c r="K1517" s="3">
        <v>12.0</v>
      </c>
      <c r="L1517" s="3" t="s">
        <v>15</v>
      </c>
    </row>
    <row r="1518" ht="15.75" customHeight="1">
      <c r="A1518" s="3" t="s">
        <v>1595</v>
      </c>
      <c r="B1518" s="3" t="s">
        <v>13</v>
      </c>
      <c r="C1518" s="3" t="s">
        <v>54</v>
      </c>
      <c r="D1518" s="3">
        <v>65482.6802787623</v>
      </c>
      <c r="E1518" s="3">
        <v>21341.8704634445</v>
      </c>
      <c r="F1518" s="3">
        <v>12405.5017529596</v>
      </c>
      <c r="G1518" s="3">
        <v>12322.0771368209</v>
      </c>
      <c r="H1518" s="3">
        <v>11999.5407173305</v>
      </c>
      <c r="I1518" s="3">
        <v>68343.8030720051</v>
      </c>
      <c r="J1518" s="4">
        <v>45962.0</v>
      </c>
      <c r="K1518" s="3">
        <v>17.0</v>
      </c>
      <c r="L1518" s="3" t="s">
        <v>21</v>
      </c>
    </row>
    <row r="1519" ht="15.75" customHeight="1">
      <c r="A1519" s="3" t="s">
        <v>1596</v>
      </c>
      <c r="B1519" s="3" t="s">
        <v>25</v>
      </c>
      <c r="C1519" s="3" t="s">
        <v>33</v>
      </c>
      <c r="D1519" s="3">
        <v>65493.5632486685</v>
      </c>
      <c r="E1519" s="3">
        <v>21346.4851817719</v>
      </c>
      <c r="F1519" s="3">
        <v>12413.1817563891</v>
      </c>
      <c r="G1519" s="3">
        <v>12325.4746875081</v>
      </c>
      <c r="H1519" s="3">
        <v>11950.0369995814</v>
      </c>
      <c r="I1519" s="3">
        <v>68347.1845464249</v>
      </c>
      <c r="J1519" s="4">
        <v>45689.0</v>
      </c>
      <c r="K1519" s="3">
        <v>15.0</v>
      </c>
      <c r="L1519" s="3" t="s">
        <v>23</v>
      </c>
    </row>
    <row r="1520" ht="15.75" customHeight="1">
      <c r="A1520" s="3" t="s">
        <v>1597</v>
      </c>
      <c r="B1520" s="3" t="s">
        <v>36</v>
      </c>
      <c r="C1520" s="3" t="s">
        <v>26</v>
      </c>
      <c r="D1520" s="3">
        <v>65504.4462185747</v>
      </c>
      <c r="E1520" s="3">
        <v>21351.0999000993</v>
      </c>
      <c r="F1520" s="3">
        <v>12420.8617598186</v>
      </c>
      <c r="G1520" s="3">
        <v>12328.8722381954</v>
      </c>
      <c r="H1520" s="3">
        <v>11900.5332818322</v>
      </c>
      <c r="I1520" s="3">
        <v>68350.5660208448</v>
      </c>
      <c r="J1520" s="4">
        <v>45839.0</v>
      </c>
      <c r="K1520" s="3">
        <v>14.0</v>
      </c>
      <c r="L1520" s="3" t="s">
        <v>27</v>
      </c>
    </row>
    <row r="1521" ht="15.75" customHeight="1">
      <c r="A1521" s="3" t="s">
        <v>1598</v>
      </c>
      <c r="B1521" s="3" t="s">
        <v>51</v>
      </c>
      <c r="C1521" s="3" t="s">
        <v>30</v>
      </c>
      <c r="D1521" s="3">
        <v>65515.3291884809</v>
      </c>
      <c r="E1521" s="3">
        <v>21355.7146184267</v>
      </c>
      <c r="F1521" s="3">
        <v>12428.5417632481</v>
      </c>
      <c r="G1521" s="3">
        <v>12332.2697888827</v>
      </c>
      <c r="H1521" s="3">
        <v>11851.0295640831</v>
      </c>
      <c r="I1521" s="3">
        <v>68353.9474952646</v>
      </c>
      <c r="J1521" s="4">
        <v>45992.0</v>
      </c>
      <c r="K1521" s="3">
        <v>22.0</v>
      </c>
      <c r="L1521" s="3" t="s">
        <v>31</v>
      </c>
    </row>
    <row r="1522" ht="15.75" customHeight="1">
      <c r="A1522" s="3" t="s">
        <v>1599</v>
      </c>
      <c r="B1522" s="3" t="s">
        <v>51</v>
      </c>
      <c r="C1522" s="3" t="s">
        <v>54</v>
      </c>
      <c r="D1522" s="3">
        <v>65526.2121583871</v>
      </c>
      <c r="E1522" s="3">
        <v>21360.3293367541</v>
      </c>
      <c r="F1522" s="3">
        <v>12436.2217666776</v>
      </c>
      <c r="G1522" s="3">
        <v>12335.66733957</v>
      </c>
      <c r="H1522" s="3">
        <v>11801.525846334</v>
      </c>
      <c r="I1522" s="3">
        <v>68357.3289696844</v>
      </c>
      <c r="J1522" s="4">
        <v>45962.0</v>
      </c>
      <c r="K1522" s="3">
        <v>5.0</v>
      </c>
      <c r="L1522" s="3" t="s">
        <v>34</v>
      </c>
    </row>
    <row r="1523" ht="15.75" customHeight="1">
      <c r="A1523" s="3" t="s">
        <v>1600</v>
      </c>
      <c r="B1523" s="3" t="s">
        <v>53</v>
      </c>
      <c r="C1523" s="3" t="s">
        <v>14</v>
      </c>
      <c r="D1523" s="3">
        <v>65537.0951282932</v>
      </c>
      <c r="E1523" s="3">
        <v>21364.9440550816</v>
      </c>
      <c r="F1523" s="3">
        <v>12443.9017701071</v>
      </c>
      <c r="G1523" s="3">
        <v>12339.0648902573</v>
      </c>
      <c r="H1523" s="3">
        <v>11752.0221285849</v>
      </c>
      <c r="I1523" s="3">
        <v>68360.7104441042</v>
      </c>
      <c r="J1523" s="4">
        <v>45992.0</v>
      </c>
      <c r="K1523" s="3">
        <v>2.0</v>
      </c>
      <c r="L1523" s="3" t="s">
        <v>38</v>
      </c>
    </row>
    <row r="1524" ht="15.75" customHeight="1">
      <c r="A1524" s="3" t="s">
        <v>1601</v>
      </c>
      <c r="B1524" s="3" t="s">
        <v>17</v>
      </c>
      <c r="C1524" s="3" t="s">
        <v>54</v>
      </c>
      <c r="D1524" s="3">
        <v>65547.9780981994</v>
      </c>
      <c r="E1524" s="3">
        <v>21369.558773409</v>
      </c>
      <c r="F1524" s="3">
        <v>12451.5817735366</v>
      </c>
      <c r="G1524" s="3">
        <v>12342.4624409446</v>
      </c>
      <c r="H1524" s="3">
        <v>11702.5184108357</v>
      </c>
      <c r="I1524" s="3">
        <v>68364.091918524</v>
      </c>
      <c r="J1524" s="4">
        <v>45809.0</v>
      </c>
      <c r="K1524" s="3">
        <v>6.0</v>
      </c>
      <c r="L1524" s="3" t="s">
        <v>40</v>
      </c>
    </row>
    <row r="1525" ht="15.75" customHeight="1">
      <c r="A1525" s="3" t="s">
        <v>1602</v>
      </c>
      <c r="B1525" s="3" t="s">
        <v>25</v>
      </c>
      <c r="C1525" s="3" t="s">
        <v>33</v>
      </c>
      <c r="D1525" s="3">
        <v>65558.8610681056</v>
      </c>
      <c r="E1525" s="3">
        <v>21374.1734917364</v>
      </c>
      <c r="F1525" s="3">
        <v>12459.2617769661</v>
      </c>
      <c r="G1525" s="3">
        <v>12345.8599916319</v>
      </c>
      <c r="H1525" s="3">
        <v>11653.0146930866</v>
      </c>
      <c r="I1525" s="3">
        <v>68367.4733929438</v>
      </c>
      <c r="J1525" s="4">
        <v>45992.0</v>
      </c>
      <c r="K1525" s="3">
        <v>15.0</v>
      </c>
      <c r="L1525" s="3" t="s">
        <v>42</v>
      </c>
    </row>
    <row r="1526" ht="15.75" customHeight="1">
      <c r="A1526" s="3" t="s">
        <v>1603</v>
      </c>
      <c r="B1526" s="3" t="s">
        <v>53</v>
      </c>
      <c r="C1526" s="3" t="s">
        <v>30</v>
      </c>
      <c r="D1526" s="3">
        <v>65569.7440380118</v>
      </c>
      <c r="E1526" s="3">
        <v>21378.7882100638</v>
      </c>
      <c r="F1526" s="3">
        <v>12466.9417803956</v>
      </c>
      <c r="G1526" s="3">
        <v>12349.2575423192</v>
      </c>
      <c r="H1526" s="3">
        <v>11603.5109753375</v>
      </c>
      <c r="I1526" s="3">
        <v>68370.8548673636</v>
      </c>
      <c r="J1526" s="4">
        <v>45901.0</v>
      </c>
      <c r="K1526" s="3">
        <v>20.0</v>
      </c>
      <c r="L1526" s="3" t="s">
        <v>15</v>
      </c>
    </row>
    <row r="1527" ht="15.75" customHeight="1">
      <c r="A1527" s="3" t="s">
        <v>1604</v>
      </c>
      <c r="B1527" s="3" t="s">
        <v>53</v>
      </c>
      <c r="C1527" s="3" t="s">
        <v>33</v>
      </c>
      <c r="D1527" s="3">
        <v>65580.627007918</v>
      </c>
      <c r="E1527" s="3">
        <v>21383.4029283912</v>
      </c>
      <c r="F1527" s="3">
        <v>12474.6217838251</v>
      </c>
      <c r="G1527" s="3">
        <v>12352.6550930064</v>
      </c>
      <c r="H1527" s="3">
        <v>11554.0072575884</v>
      </c>
      <c r="I1527" s="3">
        <v>68374.2363417835</v>
      </c>
      <c r="J1527" s="4">
        <v>45931.0</v>
      </c>
      <c r="K1527" s="3">
        <v>12.0</v>
      </c>
      <c r="L1527" s="3" t="s">
        <v>19</v>
      </c>
    </row>
    <row r="1528" ht="15.75" customHeight="1">
      <c r="A1528" s="3" t="s">
        <v>1605</v>
      </c>
      <c r="B1528" s="3" t="s">
        <v>25</v>
      </c>
      <c r="C1528" s="3" t="s">
        <v>18</v>
      </c>
      <c r="D1528" s="3">
        <v>65591.5099778242</v>
      </c>
      <c r="E1528" s="3">
        <v>21388.0176467187</v>
      </c>
      <c r="F1528" s="3">
        <v>12482.3017872546</v>
      </c>
      <c r="G1528" s="3">
        <v>12356.0526436937</v>
      </c>
      <c r="H1528" s="3">
        <v>11504.5035398392</v>
      </c>
      <c r="I1528" s="3">
        <v>68377.6178162033</v>
      </c>
      <c r="J1528" s="4">
        <v>45689.0</v>
      </c>
      <c r="K1528" s="3">
        <v>7.0</v>
      </c>
      <c r="L1528" s="3" t="s">
        <v>21</v>
      </c>
    </row>
    <row r="1529" ht="15.75" customHeight="1">
      <c r="A1529" s="3" t="s">
        <v>1606</v>
      </c>
      <c r="B1529" s="3" t="s">
        <v>25</v>
      </c>
      <c r="C1529" s="3" t="s">
        <v>26</v>
      </c>
      <c r="D1529" s="3">
        <v>65602.3929477304</v>
      </c>
      <c r="E1529" s="3">
        <v>21392.6323650461</v>
      </c>
      <c r="F1529" s="3">
        <v>12489.9817906841</v>
      </c>
      <c r="G1529" s="3">
        <v>12359.450194381</v>
      </c>
      <c r="H1529" s="3">
        <v>11454.9998220901</v>
      </c>
      <c r="I1529" s="3">
        <v>68380.9992906231</v>
      </c>
      <c r="J1529" s="4">
        <v>45931.0</v>
      </c>
      <c r="K1529" s="3">
        <v>20.0</v>
      </c>
      <c r="L1529" s="3" t="s">
        <v>23</v>
      </c>
    </row>
    <row r="1530" ht="15.75" customHeight="1">
      <c r="A1530" s="3" t="s">
        <v>1607</v>
      </c>
      <c r="B1530" s="3" t="s">
        <v>53</v>
      </c>
      <c r="C1530" s="3" t="s">
        <v>14</v>
      </c>
      <c r="D1530" s="3">
        <v>65613.2759176366</v>
      </c>
      <c r="E1530" s="3">
        <v>21397.2470833735</v>
      </c>
      <c r="F1530" s="3">
        <v>12497.6617941136</v>
      </c>
      <c r="G1530" s="3">
        <v>12362.8477450683</v>
      </c>
      <c r="H1530" s="3">
        <v>11405.496104341</v>
      </c>
      <c r="I1530" s="3">
        <v>68384.3807650429</v>
      </c>
      <c r="J1530" s="4">
        <v>45962.0</v>
      </c>
      <c r="K1530" s="3">
        <v>6.0</v>
      </c>
      <c r="L1530" s="3" t="s">
        <v>27</v>
      </c>
    </row>
    <row r="1531" ht="15.75" customHeight="1">
      <c r="A1531" s="3" t="s">
        <v>1608</v>
      </c>
      <c r="B1531" s="3" t="s">
        <v>53</v>
      </c>
      <c r="C1531" s="3" t="s">
        <v>30</v>
      </c>
      <c r="D1531" s="3">
        <v>65624.1588875428</v>
      </c>
      <c r="E1531" s="3">
        <v>21401.8618017009</v>
      </c>
      <c r="F1531" s="3">
        <v>12505.3417975431</v>
      </c>
      <c r="G1531" s="3">
        <v>12366.2452957556</v>
      </c>
      <c r="H1531" s="3">
        <v>11355.9923865919</v>
      </c>
      <c r="I1531" s="3">
        <v>68387.7622394627</v>
      </c>
      <c r="J1531" s="4">
        <v>45658.0</v>
      </c>
      <c r="K1531" s="3">
        <v>24.0</v>
      </c>
      <c r="L1531" s="3" t="s">
        <v>31</v>
      </c>
    </row>
    <row r="1532" ht="15.75" customHeight="1">
      <c r="A1532" s="3" t="s">
        <v>1609</v>
      </c>
      <c r="B1532" s="3" t="s">
        <v>51</v>
      </c>
      <c r="C1532" s="3" t="s">
        <v>18</v>
      </c>
      <c r="D1532" s="5"/>
      <c r="E1532" s="3">
        <v>21406.4765200284</v>
      </c>
      <c r="F1532" s="3">
        <v>12513.0218009726</v>
      </c>
      <c r="G1532" s="3">
        <v>12369.6428464429</v>
      </c>
      <c r="H1532" s="3">
        <v>11306.4886688427</v>
      </c>
      <c r="I1532" s="3">
        <v>68391.1437138825</v>
      </c>
      <c r="J1532" s="4">
        <v>45870.0</v>
      </c>
      <c r="K1532" s="3">
        <v>19.0</v>
      </c>
      <c r="L1532" s="3" t="s">
        <v>34</v>
      </c>
    </row>
    <row r="1533" ht="15.75" customHeight="1">
      <c r="A1533" s="3" t="s">
        <v>1610</v>
      </c>
      <c r="B1533" s="3" t="s">
        <v>36</v>
      </c>
      <c r="C1533" s="3" t="s">
        <v>30</v>
      </c>
      <c r="D1533" s="3">
        <v>65645.9248273552</v>
      </c>
      <c r="E1533" s="3">
        <v>21411.0912383558</v>
      </c>
      <c r="F1533" s="3">
        <v>12520.7018044021</v>
      </c>
      <c r="G1533" s="3">
        <v>12373.0403971302</v>
      </c>
      <c r="H1533" s="3">
        <v>11256.9849510936</v>
      </c>
      <c r="I1533" s="3">
        <v>68394.5251883023</v>
      </c>
      <c r="J1533" s="4">
        <v>45658.0</v>
      </c>
      <c r="K1533" s="3">
        <v>3.0</v>
      </c>
      <c r="L1533" s="3" t="s">
        <v>38</v>
      </c>
    </row>
    <row r="1534" ht="15.75" customHeight="1">
      <c r="A1534" s="3" t="s">
        <v>1611</v>
      </c>
      <c r="B1534" s="3" t="s">
        <v>13</v>
      </c>
      <c r="C1534" s="3" t="s">
        <v>26</v>
      </c>
      <c r="D1534" s="3">
        <v>65656.8077972614</v>
      </c>
      <c r="E1534" s="3">
        <v>21415.7059566832</v>
      </c>
      <c r="F1534" s="3">
        <v>12528.3818078316</v>
      </c>
      <c r="G1534" s="3">
        <v>12376.4379478175</v>
      </c>
      <c r="H1534" s="3">
        <v>11207.4812333445</v>
      </c>
      <c r="I1534" s="3">
        <v>68397.9066627221</v>
      </c>
      <c r="J1534" s="4">
        <v>45689.0</v>
      </c>
      <c r="K1534" s="3">
        <v>2.0</v>
      </c>
      <c r="L1534" s="3" t="s">
        <v>40</v>
      </c>
    </row>
    <row r="1535" ht="15.75" customHeight="1">
      <c r="A1535" s="3" t="s">
        <v>1612</v>
      </c>
      <c r="B1535" s="3" t="s">
        <v>13</v>
      </c>
      <c r="C1535" s="3" t="s">
        <v>30</v>
      </c>
      <c r="D1535" s="3">
        <v>65667.6907671676</v>
      </c>
      <c r="E1535" s="3">
        <v>21420.3206750106</v>
      </c>
      <c r="F1535" s="3">
        <v>12536.0618112611</v>
      </c>
      <c r="G1535" s="3">
        <v>12379.8354985047</v>
      </c>
      <c r="H1535" s="3">
        <v>11157.9775155953</v>
      </c>
      <c r="I1535" s="3">
        <v>68401.288137142</v>
      </c>
      <c r="J1535" s="4">
        <v>45658.0</v>
      </c>
      <c r="K1535" s="3">
        <v>15.0</v>
      </c>
      <c r="L1535" s="3" t="s">
        <v>42</v>
      </c>
    </row>
    <row r="1536" ht="15.75" customHeight="1">
      <c r="A1536" s="3" t="s">
        <v>1613</v>
      </c>
      <c r="B1536" s="3" t="s">
        <v>53</v>
      </c>
      <c r="C1536" s="3" t="s">
        <v>14</v>
      </c>
      <c r="D1536" s="3">
        <v>65678.5737370738</v>
      </c>
      <c r="E1536" s="3">
        <v>21424.935393338</v>
      </c>
      <c r="F1536" s="3">
        <v>12543.7418146906</v>
      </c>
      <c r="G1536" s="3">
        <v>12383.233049192</v>
      </c>
      <c r="H1536" s="3">
        <v>11108.4737978462</v>
      </c>
      <c r="I1536" s="3">
        <v>68404.6696115618</v>
      </c>
      <c r="J1536" s="4">
        <v>45992.0</v>
      </c>
      <c r="K1536" s="3">
        <v>7.0</v>
      </c>
      <c r="L1536" s="3" t="s">
        <v>15</v>
      </c>
    </row>
    <row r="1537" ht="15.75" customHeight="1">
      <c r="A1537" s="3" t="s">
        <v>1614</v>
      </c>
      <c r="B1537" s="3" t="s">
        <v>29</v>
      </c>
      <c r="C1537" s="3" t="s">
        <v>54</v>
      </c>
      <c r="D1537" s="3">
        <v>65689.45670698</v>
      </c>
      <c r="E1537" s="3">
        <v>21429.5501116655</v>
      </c>
      <c r="F1537" s="3">
        <v>12551.4218181201</v>
      </c>
      <c r="G1537" s="3">
        <v>12386.6305998793</v>
      </c>
      <c r="H1537" s="3">
        <v>11058.9700800971</v>
      </c>
      <c r="I1537" s="3">
        <v>68408.0510859816</v>
      </c>
      <c r="J1537" s="4">
        <v>45839.0</v>
      </c>
      <c r="K1537" s="3">
        <v>21.0</v>
      </c>
      <c r="L1537" s="3" t="s">
        <v>19</v>
      </c>
    </row>
    <row r="1538" ht="15.75" customHeight="1">
      <c r="A1538" s="3" t="s">
        <v>1615</v>
      </c>
      <c r="B1538" s="3" t="s">
        <v>13</v>
      </c>
      <c r="C1538" s="3" t="s">
        <v>54</v>
      </c>
      <c r="D1538" s="3">
        <v>65700.3396768861</v>
      </c>
      <c r="E1538" s="3">
        <v>21434.1648299929</v>
      </c>
      <c r="F1538" s="3">
        <v>12559.1018215496</v>
      </c>
      <c r="G1538" s="3">
        <v>12390.0281505666</v>
      </c>
      <c r="H1538" s="3">
        <v>11009.466362348</v>
      </c>
      <c r="I1538" s="3">
        <v>68411.4325604014</v>
      </c>
      <c r="J1538" s="4">
        <v>45962.0</v>
      </c>
      <c r="K1538" s="3">
        <v>9.0</v>
      </c>
      <c r="L1538" s="3" t="s">
        <v>21</v>
      </c>
    </row>
    <row r="1539" ht="15.75" customHeight="1">
      <c r="A1539" s="3" t="s">
        <v>1616</v>
      </c>
      <c r="B1539" s="3" t="s">
        <v>36</v>
      </c>
      <c r="C1539" s="3" t="s">
        <v>14</v>
      </c>
      <c r="D1539" s="3">
        <v>65711.2226467923</v>
      </c>
      <c r="E1539" s="3">
        <v>21438.7795483203</v>
      </c>
      <c r="F1539" s="3">
        <v>12566.7818249791</v>
      </c>
      <c r="G1539" s="3">
        <v>12393.4257012539</v>
      </c>
      <c r="H1539" s="3">
        <v>10959.9626445988</v>
      </c>
      <c r="I1539" s="3">
        <v>68414.8140348212</v>
      </c>
      <c r="J1539" s="4">
        <v>45717.0</v>
      </c>
      <c r="K1539" s="3">
        <v>17.0</v>
      </c>
      <c r="L1539" s="3" t="s">
        <v>23</v>
      </c>
    </row>
    <row r="1540" ht="15.75" customHeight="1">
      <c r="A1540" s="3" t="s">
        <v>1617</v>
      </c>
      <c r="B1540" s="3" t="s">
        <v>25</v>
      </c>
      <c r="C1540" s="3" t="s">
        <v>33</v>
      </c>
      <c r="D1540" s="3">
        <v>65722.1056166985</v>
      </c>
      <c r="E1540" s="3">
        <v>21443.3942666477</v>
      </c>
      <c r="F1540" s="3">
        <v>12574.4618284086</v>
      </c>
      <c r="G1540" s="3">
        <v>12396.8232519412</v>
      </c>
      <c r="H1540" s="3">
        <v>10910.4589268497</v>
      </c>
      <c r="I1540" s="3">
        <v>68418.195509241</v>
      </c>
      <c r="J1540" s="4">
        <v>45870.0</v>
      </c>
      <c r="K1540" s="3">
        <v>9.0</v>
      </c>
      <c r="L1540" s="3" t="s">
        <v>27</v>
      </c>
    </row>
    <row r="1541" ht="15.75" customHeight="1">
      <c r="A1541" s="3" t="s">
        <v>1618</v>
      </c>
      <c r="B1541" s="3" t="s">
        <v>13</v>
      </c>
      <c r="C1541" s="3" t="s">
        <v>30</v>
      </c>
      <c r="D1541" s="5"/>
      <c r="E1541" s="3">
        <v>21448.0089849752</v>
      </c>
      <c r="F1541" s="3">
        <v>12582.1418318381</v>
      </c>
      <c r="G1541" s="3">
        <v>12400.2208026285</v>
      </c>
      <c r="H1541" s="3">
        <v>10860.9552091006</v>
      </c>
      <c r="I1541" s="3">
        <v>68421.5769836609</v>
      </c>
      <c r="J1541" s="4">
        <v>45748.0</v>
      </c>
      <c r="K1541" s="3">
        <v>12.0</v>
      </c>
      <c r="L1541" s="3" t="s">
        <v>31</v>
      </c>
    </row>
    <row r="1542" ht="15.75" customHeight="1">
      <c r="A1542" s="3" t="s">
        <v>1619</v>
      </c>
      <c r="B1542" s="3" t="s">
        <v>13</v>
      </c>
      <c r="C1542" s="3" t="s">
        <v>18</v>
      </c>
      <c r="D1542" s="3">
        <v>65743.8715565109</v>
      </c>
      <c r="E1542" s="3">
        <v>21452.6237033026</v>
      </c>
      <c r="F1542" s="3">
        <v>12589.8218352676</v>
      </c>
      <c r="G1542" s="3">
        <v>12403.6183533157</v>
      </c>
      <c r="H1542" s="3">
        <v>10811.4514913515</v>
      </c>
      <c r="I1542" s="3">
        <v>68424.9584580807</v>
      </c>
      <c r="J1542" s="4">
        <v>45689.0</v>
      </c>
      <c r="K1542" s="3">
        <v>2.0</v>
      </c>
      <c r="L1542" s="3" t="s">
        <v>34</v>
      </c>
    </row>
    <row r="1543" ht="15.75" customHeight="1">
      <c r="A1543" s="3" t="s">
        <v>1620</v>
      </c>
      <c r="B1543" s="3" t="s">
        <v>36</v>
      </c>
      <c r="C1543" s="3" t="s">
        <v>33</v>
      </c>
      <c r="D1543" s="3">
        <v>65754.7545264171</v>
      </c>
      <c r="E1543" s="3">
        <v>21457.23842163</v>
      </c>
      <c r="F1543" s="3">
        <v>12597.5018386971</v>
      </c>
      <c r="G1543" s="3">
        <v>12407.015904003</v>
      </c>
      <c r="H1543" s="3">
        <v>10761.9477736023</v>
      </c>
      <c r="I1543" s="3">
        <v>68428.3399325005</v>
      </c>
      <c r="J1543" s="4">
        <v>45658.0</v>
      </c>
      <c r="K1543" s="3">
        <v>6.0</v>
      </c>
      <c r="L1543" s="3" t="s">
        <v>38</v>
      </c>
    </row>
    <row r="1544" ht="15.75" customHeight="1">
      <c r="A1544" s="3" t="s">
        <v>1621</v>
      </c>
      <c r="B1544" s="3" t="s">
        <v>17</v>
      </c>
      <c r="C1544" s="3" t="s">
        <v>26</v>
      </c>
      <c r="D1544" s="3">
        <v>65765.6374963233</v>
      </c>
      <c r="E1544" s="3">
        <v>21461.8531399574</v>
      </c>
      <c r="F1544" s="3">
        <v>12605.1818421266</v>
      </c>
      <c r="G1544" s="3">
        <v>12410.4134546903</v>
      </c>
      <c r="H1544" s="3">
        <v>10712.4440558532</v>
      </c>
      <c r="I1544" s="3">
        <v>68431.7214069203</v>
      </c>
      <c r="J1544" s="4">
        <v>45962.0</v>
      </c>
      <c r="K1544" s="3">
        <v>11.0</v>
      </c>
      <c r="L1544" s="3" t="s">
        <v>40</v>
      </c>
    </row>
    <row r="1545" ht="15.75" customHeight="1">
      <c r="A1545" s="3" t="s">
        <v>1622</v>
      </c>
      <c r="B1545" s="3" t="s">
        <v>51</v>
      </c>
      <c r="C1545" s="3" t="s">
        <v>30</v>
      </c>
      <c r="D1545" s="3">
        <v>65776.5204662295</v>
      </c>
      <c r="E1545" s="3">
        <v>21466.4678582848</v>
      </c>
      <c r="F1545" s="3">
        <v>12612.8618455561</v>
      </c>
      <c r="G1545" s="3">
        <v>12413.8110053776</v>
      </c>
      <c r="H1545" s="3">
        <v>10662.9403381041</v>
      </c>
      <c r="I1545" s="3">
        <v>68435.1028813401</v>
      </c>
      <c r="J1545" s="4">
        <v>45748.0</v>
      </c>
      <c r="K1545" s="3">
        <v>19.0</v>
      </c>
      <c r="L1545" s="3" t="s">
        <v>42</v>
      </c>
    </row>
    <row r="1546" ht="15.75" customHeight="1">
      <c r="A1546" s="3" t="s">
        <v>1623</v>
      </c>
      <c r="B1546" s="5"/>
      <c r="C1546" s="3" t="s">
        <v>26</v>
      </c>
      <c r="D1546" s="3">
        <v>65787.4034361357</v>
      </c>
      <c r="E1546" s="3">
        <v>21471.0825766123</v>
      </c>
      <c r="F1546" s="3">
        <v>12620.5418489856</v>
      </c>
      <c r="G1546" s="3">
        <v>12417.2085560649</v>
      </c>
      <c r="H1546" s="3">
        <v>10613.436620355</v>
      </c>
      <c r="I1546" s="3">
        <v>68438.4843557599</v>
      </c>
      <c r="J1546" s="4">
        <v>45778.0</v>
      </c>
      <c r="K1546" s="3">
        <v>2.0</v>
      </c>
      <c r="L1546" s="3" t="s">
        <v>15</v>
      </c>
    </row>
    <row r="1547" ht="15.75" customHeight="1">
      <c r="A1547" s="3" t="s">
        <v>1624</v>
      </c>
      <c r="B1547" s="3" t="s">
        <v>53</v>
      </c>
      <c r="C1547" s="3" t="s">
        <v>30</v>
      </c>
      <c r="D1547" s="5"/>
      <c r="E1547" s="3">
        <v>21475.6972949397</v>
      </c>
      <c r="F1547" s="3">
        <v>12628.2218524151</v>
      </c>
      <c r="G1547" s="3">
        <v>12420.6061067522</v>
      </c>
      <c r="H1547" s="3">
        <v>10563.9329026058</v>
      </c>
      <c r="I1547" s="3">
        <v>68441.8658301797</v>
      </c>
      <c r="J1547" s="4">
        <v>45962.0</v>
      </c>
      <c r="K1547" s="3">
        <v>20.0</v>
      </c>
      <c r="L1547" s="3" t="s">
        <v>19</v>
      </c>
    </row>
    <row r="1548" ht="15.75" customHeight="1">
      <c r="A1548" s="3" t="s">
        <v>1625</v>
      </c>
      <c r="B1548" s="3" t="s">
        <v>51</v>
      </c>
      <c r="C1548" s="3" t="s">
        <v>26</v>
      </c>
      <c r="D1548" s="3">
        <v>65809.1693759481</v>
      </c>
      <c r="E1548" s="3">
        <v>21480.3120132671</v>
      </c>
      <c r="F1548" s="3">
        <v>12635.9018558446</v>
      </c>
      <c r="G1548" s="3">
        <v>12424.0036574395</v>
      </c>
      <c r="H1548" s="3">
        <v>10514.4291848567</v>
      </c>
      <c r="I1548" s="3">
        <v>68445.2473045996</v>
      </c>
      <c r="J1548" s="4">
        <v>45901.0</v>
      </c>
      <c r="K1548" s="3">
        <v>4.0</v>
      </c>
      <c r="L1548" s="3" t="s">
        <v>21</v>
      </c>
    </row>
    <row r="1549" ht="15.75" customHeight="1">
      <c r="A1549" s="3" t="s">
        <v>1626</v>
      </c>
      <c r="B1549" s="3" t="s">
        <v>25</v>
      </c>
      <c r="C1549" s="3" t="s">
        <v>33</v>
      </c>
      <c r="D1549" s="3">
        <v>65820.0523458543</v>
      </c>
      <c r="E1549" s="3">
        <v>21484.9267315945</v>
      </c>
      <c r="F1549" s="3">
        <v>12643.5818592741</v>
      </c>
      <c r="G1549" s="3">
        <v>12427.4012081268</v>
      </c>
      <c r="H1549" s="3">
        <v>10464.9254671076</v>
      </c>
      <c r="I1549" s="3">
        <v>68448.6287790194</v>
      </c>
      <c r="J1549" s="4">
        <v>45992.0</v>
      </c>
      <c r="K1549" s="3">
        <v>6.0</v>
      </c>
      <c r="L1549" s="3" t="s">
        <v>23</v>
      </c>
    </row>
    <row r="1550" ht="15.75" customHeight="1">
      <c r="A1550" s="3" t="s">
        <v>1627</v>
      </c>
      <c r="B1550" s="3" t="s">
        <v>51</v>
      </c>
      <c r="C1550" s="3" t="s">
        <v>54</v>
      </c>
      <c r="D1550" s="3">
        <v>65830.9353157605</v>
      </c>
      <c r="E1550" s="3">
        <v>21489.541449922</v>
      </c>
      <c r="F1550" s="3">
        <v>12651.2618627036</v>
      </c>
      <c r="G1550" s="3">
        <v>12430.798758814</v>
      </c>
      <c r="H1550" s="3">
        <v>10415.4217493585</v>
      </c>
      <c r="I1550" s="3">
        <v>68452.0102534392</v>
      </c>
      <c r="J1550" s="4">
        <v>45809.0</v>
      </c>
      <c r="K1550" s="3">
        <v>7.0</v>
      </c>
      <c r="L1550" s="3" t="s">
        <v>27</v>
      </c>
    </row>
    <row r="1551" ht="15.75" customHeight="1">
      <c r="A1551" s="3" t="s">
        <v>1628</v>
      </c>
      <c r="B1551" s="3" t="s">
        <v>51</v>
      </c>
      <c r="C1551" s="3" t="s">
        <v>18</v>
      </c>
      <c r="D1551" s="3">
        <v>65841.8182856667</v>
      </c>
      <c r="E1551" s="3">
        <v>21494.1561682494</v>
      </c>
      <c r="F1551" s="3">
        <v>12658.9418661331</v>
      </c>
      <c r="G1551" s="3">
        <v>12434.1963095013</v>
      </c>
      <c r="H1551" s="3">
        <v>10365.9180316093</v>
      </c>
      <c r="I1551" s="3">
        <v>68455.391727859</v>
      </c>
      <c r="J1551" s="4">
        <v>45839.0</v>
      </c>
      <c r="K1551" s="3">
        <v>22.0</v>
      </c>
      <c r="L1551" s="3" t="s">
        <v>31</v>
      </c>
    </row>
    <row r="1552" ht="15.75" customHeight="1">
      <c r="A1552" s="3" t="s">
        <v>1629</v>
      </c>
      <c r="B1552" s="3" t="s">
        <v>13</v>
      </c>
      <c r="C1552" s="3" t="s">
        <v>18</v>
      </c>
      <c r="D1552" s="3">
        <v>65852.7012555729</v>
      </c>
      <c r="E1552" s="3">
        <v>21498.7708865768</v>
      </c>
      <c r="F1552" s="3">
        <v>12666.6218695626</v>
      </c>
      <c r="G1552" s="3">
        <v>12437.5938601886</v>
      </c>
      <c r="H1552" s="3">
        <v>10316.4143138602</v>
      </c>
      <c r="I1552" s="3">
        <v>68458.7732022788</v>
      </c>
      <c r="J1552" s="4">
        <v>45748.0</v>
      </c>
      <c r="K1552" s="3">
        <v>25.0</v>
      </c>
      <c r="L1552" s="3" t="s">
        <v>34</v>
      </c>
    </row>
    <row r="1553" ht="15.75" customHeight="1">
      <c r="A1553" s="3" t="s">
        <v>1630</v>
      </c>
      <c r="B1553" s="3" t="s">
        <v>51</v>
      </c>
      <c r="C1553" s="3" t="s">
        <v>33</v>
      </c>
      <c r="D1553" s="3">
        <v>65863.584225479</v>
      </c>
      <c r="E1553" s="3">
        <v>21503.3856049042</v>
      </c>
      <c r="F1553" s="3">
        <v>12674.3018729921</v>
      </c>
      <c r="G1553" s="3">
        <v>12440.9914108759</v>
      </c>
      <c r="H1553" s="3">
        <v>10266.9105961111</v>
      </c>
      <c r="I1553" s="3">
        <v>68462.1546766986</v>
      </c>
      <c r="J1553" s="4">
        <v>45901.0</v>
      </c>
      <c r="K1553" s="3">
        <v>15.0</v>
      </c>
      <c r="L1553" s="3" t="s">
        <v>38</v>
      </c>
    </row>
    <row r="1554" ht="15.75" customHeight="1">
      <c r="A1554" s="3" t="s">
        <v>1631</v>
      </c>
      <c r="B1554" s="3" t="s">
        <v>29</v>
      </c>
      <c r="C1554" s="3" t="s">
        <v>26</v>
      </c>
      <c r="D1554" s="3">
        <v>65874.4671953852</v>
      </c>
      <c r="E1554" s="3">
        <v>21508.0003232316</v>
      </c>
      <c r="F1554" s="3">
        <v>12681.9818764215</v>
      </c>
      <c r="G1554" s="3">
        <v>12444.3889615632</v>
      </c>
      <c r="H1554" s="3">
        <v>10217.4068783619</v>
      </c>
      <c r="I1554" s="3">
        <v>68465.5361511184</v>
      </c>
      <c r="J1554" s="4">
        <v>45748.0</v>
      </c>
      <c r="K1554" s="3">
        <v>18.0</v>
      </c>
      <c r="L1554" s="3" t="s">
        <v>40</v>
      </c>
    </row>
    <row r="1555" ht="15.75" customHeight="1">
      <c r="A1555" s="3" t="s">
        <v>1632</v>
      </c>
      <c r="B1555" s="3" t="s">
        <v>36</v>
      </c>
      <c r="C1555" s="3" t="s">
        <v>54</v>
      </c>
      <c r="D1555" s="3">
        <v>65885.3501652914</v>
      </c>
      <c r="E1555" s="3">
        <v>21512.6150415591</v>
      </c>
      <c r="F1555" s="3">
        <v>12689.661879851</v>
      </c>
      <c r="G1555" s="3">
        <v>12447.7865122505</v>
      </c>
      <c r="H1555" s="3">
        <v>10167.9031606128</v>
      </c>
      <c r="I1555" s="3">
        <v>68468.9176255383</v>
      </c>
      <c r="J1555" s="4">
        <v>45901.0</v>
      </c>
      <c r="K1555" s="3">
        <v>3.0</v>
      </c>
      <c r="L1555" s="3" t="s">
        <v>42</v>
      </c>
    </row>
    <row r="1556" ht="15.75" customHeight="1">
      <c r="A1556" s="3" t="s">
        <v>1633</v>
      </c>
      <c r="B1556" s="3" t="s">
        <v>29</v>
      </c>
      <c r="C1556" s="3" t="s">
        <v>18</v>
      </c>
      <c r="D1556" s="3">
        <v>65896.2331351976</v>
      </c>
      <c r="E1556" s="3">
        <v>21517.2297598865</v>
      </c>
      <c r="F1556" s="3">
        <v>12697.3418832805</v>
      </c>
      <c r="G1556" s="3">
        <v>12451.1840629378</v>
      </c>
      <c r="H1556" s="3">
        <v>10118.3994428637</v>
      </c>
      <c r="I1556" s="3">
        <v>68472.2990999581</v>
      </c>
      <c r="J1556" s="4">
        <v>45931.0</v>
      </c>
      <c r="K1556" s="3">
        <v>12.0</v>
      </c>
      <c r="L1556" s="3" t="s">
        <v>15</v>
      </c>
    </row>
    <row r="1557" ht="15.75" customHeight="1">
      <c r="A1557" s="3" t="s">
        <v>1634</v>
      </c>
      <c r="B1557" s="3" t="s">
        <v>13</v>
      </c>
      <c r="C1557" s="3" t="s">
        <v>26</v>
      </c>
      <c r="D1557" s="3">
        <v>65907.1161051038</v>
      </c>
      <c r="E1557" s="3">
        <v>21521.8444782139</v>
      </c>
      <c r="F1557" s="3">
        <v>12705.02188671</v>
      </c>
      <c r="G1557" s="3">
        <v>12454.5816136251</v>
      </c>
      <c r="H1557" s="3">
        <v>10068.8957251146</v>
      </c>
      <c r="I1557" s="3">
        <v>68475.6805743779</v>
      </c>
      <c r="J1557" s="4">
        <v>45962.0</v>
      </c>
      <c r="K1557" s="3">
        <v>10.0</v>
      </c>
      <c r="L1557" s="3" t="s">
        <v>19</v>
      </c>
    </row>
    <row r="1558" ht="15.75" customHeight="1">
      <c r="A1558" s="3" t="s">
        <v>1635</v>
      </c>
      <c r="B1558" s="3" t="s">
        <v>17</v>
      </c>
      <c r="C1558" s="3" t="s">
        <v>26</v>
      </c>
      <c r="D1558" s="3">
        <v>65917.99907501</v>
      </c>
      <c r="E1558" s="3">
        <v>21526.4591965413</v>
      </c>
      <c r="F1558" s="3">
        <v>12712.7018901395</v>
      </c>
      <c r="G1558" s="3">
        <v>12457.9791643123</v>
      </c>
      <c r="H1558" s="3">
        <v>10019.3920073654</v>
      </c>
      <c r="I1558" s="3">
        <v>68479.0620487977</v>
      </c>
      <c r="J1558" s="4">
        <v>45658.0</v>
      </c>
      <c r="K1558" s="3">
        <v>1.0</v>
      </c>
      <c r="L1558" s="3" t="s">
        <v>21</v>
      </c>
    </row>
    <row r="1559" ht="15.75" customHeight="1">
      <c r="A1559" s="3" t="s">
        <v>1636</v>
      </c>
      <c r="B1559" s="3" t="s">
        <v>53</v>
      </c>
      <c r="C1559" s="3" t="s">
        <v>30</v>
      </c>
      <c r="D1559" s="3">
        <v>65928.8820449162</v>
      </c>
      <c r="E1559" s="3">
        <v>21531.0739148688</v>
      </c>
      <c r="F1559" s="3">
        <v>12720.381893569</v>
      </c>
      <c r="G1559" s="3">
        <v>12461.3767149996</v>
      </c>
      <c r="H1559" s="3">
        <v>9969.88828961627</v>
      </c>
      <c r="I1559" s="3">
        <v>68482.4435232175</v>
      </c>
      <c r="J1559" s="4">
        <v>45870.0</v>
      </c>
      <c r="K1559" s="3">
        <v>20.0</v>
      </c>
      <c r="L1559" s="3" t="s">
        <v>23</v>
      </c>
    </row>
    <row r="1560" ht="15.75" customHeight="1">
      <c r="A1560" s="3" t="s">
        <v>1637</v>
      </c>
      <c r="B1560" s="3" t="s">
        <v>51</v>
      </c>
      <c r="C1560" s="3" t="s">
        <v>30</v>
      </c>
      <c r="D1560" s="3">
        <v>65939.7650148224</v>
      </c>
      <c r="E1560" s="3">
        <v>21535.6886331962</v>
      </c>
      <c r="F1560" s="3">
        <v>12728.0618969985</v>
      </c>
      <c r="G1560" s="3">
        <v>12464.7742656869</v>
      </c>
      <c r="H1560" s="3">
        <v>9920.38457186717</v>
      </c>
      <c r="I1560" s="3">
        <v>68485.8249976373</v>
      </c>
      <c r="J1560" s="4">
        <v>45901.0</v>
      </c>
      <c r="K1560" s="3">
        <v>4.0</v>
      </c>
      <c r="L1560" s="3" t="s">
        <v>27</v>
      </c>
    </row>
    <row r="1561" ht="15.75" customHeight="1">
      <c r="A1561" s="3" t="s">
        <v>1638</v>
      </c>
      <c r="B1561" s="3" t="s">
        <v>51</v>
      </c>
      <c r="C1561" s="3" t="s">
        <v>18</v>
      </c>
      <c r="D1561" s="3">
        <v>65950.6479847286</v>
      </c>
      <c r="E1561" s="3">
        <v>21540.3033515236</v>
      </c>
      <c r="F1561" s="3">
        <v>12735.741900428</v>
      </c>
      <c r="G1561" s="3">
        <v>12468.1718163742</v>
      </c>
      <c r="H1561" s="3">
        <v>9870.88085411806</v>
      </c>
      <c r="I1561" s="3">
        <v>68489.2064720572</v>
      </c>
      <c r="J1561" s="4">
        <v>45778.0</v>
      </c>
      <c r="K1561" s="3">
        <v>20.0</v>
      </c>
      <c r="L1561" s="3" t="s">
        <v>31</v>
      </c>
    </row>
    <row r="1562" ht="15.75" customHeight="1">
      <c r="A1562" s="3" t="s">
        <v>1639</v>
      </c>
      <c r="B1562" s="3" t="s">
        <v>29</v>
      </c>
      <c r="C1562" s="3" t="s">
        <v>26</v>
      </c>
      <c r="D1562" s="3">
        <v>65961.5309546348</v>
      </c>
      <c r="E1562" s="3">
        <v>21544.918069851</v>
      </c>
      <c r="F1562" s="3">
        <v>12743.4219038575</v>
      </c>
      <c r="G1562" s="3">
        <v>12471.5693670615</v>
      </c>
      <c r="H1562" s="3">
        <v>9821.37713636886</v>
      </c>
      <c r="I1562" s="3">
        <v>68492.587946477</v>
      </c>
      <c r="J1562" s="3" t="s">
        <v>1640</v>
      </c>
      <c r="K1562" s="3">
        <v>24.0</v>
      </c>
      <c r="L1562" s="3" t="s">
        <v>34</v>
      </c>
    </row>
    <row r="1563" ht="15.75" customHeight="1">
      <c r="A1563" s="3" t="s">
        <v>1641</v>
      </c>
      <c r="B1563" s="3" t="s">
        <v>29</v>
      </c>
      <c r="C1563" s="3" t="s">
        <v>33</v>
      </c>
      <c r="D1563" s="3">
        <v>65972.413924541</v>
      </c>
      <c r="E1563" s="3">
        <v>21549.5327881784</v>
      </c>
      <c r="F1563" s="3">
        <v>12751.101907287</v>
      </c>
      <c r="G1563" s="3">
        <v>12474.9669177488</v>
      </c>
      <c r="H1563" s="3">
        <v>9771.87341861977</v>
      </c>
      <c r="I1563" s="3">
        <v>68495.9694208968</v>
      </c>
      <c r="J1563" s="4">
        <v>45839.0</v>
      </c>
      <c r="K1563" s="3">
        <v>2.0</v>
      </c>
      <c r="L1563" s="3" t="s">
        <v>38</v>
      </c>
    </row>
    <row r="1564" ht="15.75" customHeight="1">
      <c r="A1564" s="3" t="s">
        <v>1642</v>
      </c>
      <c r="B1564" s="3" t="s">
        <v>36</v>
      </c>
      <c r="C1564" s="3" t="s">
        <v>26</v>
      </c>
      <c r="D1564" s="3">
        <v>65983.2968944472</v>
      </c>
      <c r="E1564" s="3">
        <v>21554.1475065059</v>
      </c>
      <c r="F1564" s="3">
        <v>12758.7819107165</v>
      </c>
      <c r="G1564" s="3">
        <v>12478.3644684361</v>
      </c>
      <c r="H1564" s="3">
        <v>9722.36970087067</v>
      </c>
      <c r="I1564" s="3">
        <v>68499.3508953166</v>
      </c>
      <c r="J1564" s="4">
        <v>45901.0</v>
      </c>
      <c r="K1564" s="3">
        <v>14.0</v>
      </c>
      <c r="L1564" s="3" t="s">
        <v>40</v>
      </c>
    </row>
    <row r="1565" ht="15.75" customHeight="1">
      <c r="A1565" s="3" t="s">
        <v>1643</v>
      </c>
      <c r="B1565" s="3" t="s">
        <v>17</v>
      </c>
      <c r="C1565" s="3" t="s">
        <v>37</v>
      </c>
      <c r="D1565" s="3">
        <v>65994.1798643534</v>
      </c>
      <c r="E1565" s="3">
        <v>21558.7622248333</v>
      </c>
      <c r="F1565" s="3">
        <v>12766.461914146</v>
      </c>
      <c r="G1565" s="3">
        <v>12481.7620191234</v>
      </c>
      <c r="H1565" s="3">
        <v>9672.86598312146</v>
      </c>
      <c r="I1565" s="3">
        <v>68502.7323697364</v>
      </c>
      <c r="J1565" s="4">
        <v>45748.0</v>
      </c>
      <c r="K1565" s="3">
        <v>6.0</v>
      </c>
      <c r="L1565" s="3" t="s">
        <v>42</v>
      </c>
    </row>
    <row r="1566" ht="15.75" customHeight="1">
      <c r="A1566" s="3" t="s">
        <v>1644</v>
      </c>
      <c r="B1566" s="3" t="s">
        <v>53</v>
      </c>
      <c r="C1566" s="3" t="s">
        <v>37</v>
      </c>
      <c r="D1566" s="3">
        <v>66005.0628342596</v>
      </c>
      <c r="E1566" s="3">
        <v>21563.3769431607</v>
      </c>
      <c r="F1566" s="3">
        <v>12774.1419175755</v>
      </c>
      <c r="G1566" s="3">
        <v>12485.1595698106</v>
      </c>
      <c r="H1566" s="3">
        <v>9623.36226537236</v>
      </c>
      <c r="I1566" s="3">
        <v>68506.1138441562</v>
      </c>
      <c r="J1566" s="4">
        <v>45962.0</v>
      </c>
      <c r="K1566" s="3">
        <v>19.0</v>
      </c>
      <c r="L1566" s="3" t="s">
        <v>15</v>
      </c>
    </row>
    <row r="1567" ht="15.75" customHeight="1">
      <c r="A1567" s="3" t="s">
        <v>1645</v>
      </c>
      <c r="B1567" s="3" t="s">
        <v>36</v>
      </c>
      <c r="C1567" s="3" t="s">
        <v>37</v>
      </c>
      <c r="D1567" s="3">
        <v>66015.9458041658</v>
      </c>
      <c r="E1567" s="3">
        <v>21567.9916614881</v>
      </c>
      <c r="F1567" s="3">
        <v>12781.821921005</v>
      </c>
      <c r="G1567" s="3">
        <v>12488.5571204979</v>
      </c>
      <c r="H1567" s="3">
        <v>9573.85854762327</v>
      </c>
      <c r="I1567" s="3">
        <v>68509.495318576</v>
      </c>
      <c r="J1567" s="4">
        <v>45992.0</v>
      </c>
      <c r="K1567" s="3">
        <v>24.0</v>
      </c>
      <c r="L1567" s="3" t="s">
        <v>19</v>
      </c>
    </row>
    <row r="1568" ht="15.75" customHeight="1">
      <c r="A1568" s="3" t="s">
        <v>1646</v>
      </c>
      <c r="B1568" s="3" t="s">
        <v>36</v>
      </c>
      <c r="C1568" s="3" t="s">
        <v>54</v>
      </c>
      <c r="D1568" s="3">
        <v>66037.7117439781</v>
      </c>
      <c r="E1568" s="3">
        <v>21577.221098143</v>
      </c>
      <c r="F1568" s="3">
        <v>12797.181927864</v>
      </c>
      <c r="G1568" s="3">
        <v>12495.3522218725</v>
      </c>
      <c r="H1568" s="3">
        <v>9474.85111212496</v>
      </c>
      <c r="I1568" s="3">
        <v>68516.2582674157</v>
      </c>
      <c r="J1568" s="4">
        <v>45658.0</v>
      </c>
      <c r="K1568" s="3">
        <v>24.0</v>
      </c>
      <c r="L1568" s="3" t="s">
        <v>23</v>
      </c>
    </row>
    <row r="1569" ht="15.75" customHeight="1">
      <c r="A1569" s="3" t="s">
        <v>1647</v>
      </c>
      <c r="B1569" s="3" t="s">
        <v>53</v>
      </c>
      <c r="C1569" s="3" t="s">
        <v>54</v>
      </c>
      <c r="D1569" s="3">
        <v>66048.5947138843</v>
      </c>
      <c r="E1569" s="3">
        <v>21581.8358164704</v>
      </c>
      <c r="F1569" s="3">
        <v>12804.8619312935</v>
      </c>
      <c r="G1569" s="3">
        <v>12498.7497725598</v>
      </c>
      <c r="H1569" s="3">
        <v>9425.34739437586</v>
      </c>
      <c r="I1569" s="3">
        <v>68519.6397418355</v>
      </c>
      <c r="J1569" s="4">
        <v>45658.0</v>
      </c>
      <c r="K1569" s="3">
        <v>3.0</v>
      </c>
      <c r="L1569" s="3" t="s">
        <v>27</v>
      </c>
    </row>
    <row r="1570" ht="15.75" customHeight="1">
      <c r="A1570" s="3" t="s">
        <v>1648</v>
      </c>
      <c r="B1570" s="3" t="s">
        <v>53</v>
      </c>
      <c r="C1570" s="3" t="s">
        <v>14</v>
      </c>
      <c r="D1570" s="3">
        <v>66059.4776837905</v>
      </c>
      <c r="E1570" s="3">
        <v>21586.4505347978</v>
      </c>
      <c r="F1570" s="3">
        <v>12812.541934723</v>
      </c>
      <c r="G1570" s="3">
        <v>12502.1473232471</v>
      </c>
      <c r="H1570" s="3">
        <v>9375.84367662677</v>
      </c>
      <c r="I1570" s="3">
        <v>68523.0212162553</v>
      </c>
      <c r="J1570" s="4">
        <v>45992.0</v>
      </c>
      <c r="K1570" s="3">
        <v>15.0</v>
      </c>
      <c r="L1570" s="3" t="s">
        <v>31</v>
      </c>
    </row>
    <row r="1571" ht="15.75" customHeight="1">
      <c r="A1571" s="3" t="s">
        <v>1649</v>
      </c>
      <c r="B1571" s="3" t="s">
        <v>25</v>
      </c>
      <c r="C1571" s="3" t="s">
        <v>14</v>
      </c>
      <c r="D1571" s="3">
        <v>66070.3606536967</v>
      </c>
      <c r="E1571" s="3">
        <v>21591.0652531252</v>
      </c>
      <c r="F1571" s="3">
        <v>12820.2219381525</v>
      </c>
      <c r="G1571" s="3">
        <v>12505.5448739344</v>
      </c>
      <c r="H1571" s="3">
        <v>9326.33995887767</v>
      </c>
      <c r="I1571" s="3">
        <v>68526.4026906751</v>
      </c>
      <c r="J1571" s="4">
        <v>45962.0</v>
      </c>
      <c r="K1571" s="3">
        <v>1.0</v>
      </c>
      <c r="L1571" s="3" t="s">
        <v>34</v>
      </c>
    </row>
    <row r="1572" ht="15.75" customHeight="1">
      <c r="A1572" s="3" t="s">
        <v>1650</v>
      </c>
      <c r="B1572" s="3" t="s">
        <v>51</v>
      </c>
      <c r="C1572" s="3" t="s">
        <v>14</v>
      </c>
      <c r="D1572" s="3">
        <v>66081.2436236029</v>
      </c>
      <c r="E1572" s="3">
        <v>21595.6799714527</v>
      </c>
      <c r="F1572" s="3">
        <v>12827.901941582</v>
      </c>
      <c r="G1572" s="3">
        <v>12508.9424246216</v>
      </c>
      <c r="H1572" s="3">
        <v>9276.83624112846</v>
      </c>
      <c r="I1572" s="3">
        <v>68529.7841650949</v>
      </c>
      <c r="J1572" s="4">
        <v>45901.0</v>
      </c>
      <c r="K1572" s="3">
        <v>7.0</v>
      </c>
      <c r="L1572" s="3" t="s">
        <v>38</v>
      </c>
    </row>
    <row r="1573" ht="15.75" customHeight="1">
      <c r="A1573" s="3" t="s">
        <v>1651</v>
      </c>
      <c r="B1573" s="3" t="s">
        <v>53</v>
      </c>
      <c r="C1573" s="3" t="s">
        <v>54</v>
      </c>
      <c r="D1573" s="3">
        <v>66103.0095634153</v>
      </c>
      <c r="E1573" s="3">
        <v>21604.9094081075</v>
      </c>
      <c r="F1573" s="3">
        <v>12843.261948441</v>
      </c>
      <c r="G1573" s="3">
        <v>12515.7375259962</v>
      </c>
      <c r="H1573" s="3">
        <v>9177.82880563026</v>
      </c>
      <c r="I1573" s="3">
        <v>68536.5471139345</v>
      </c>
      <c r="J1573" s="4">
        <v>45717.0</v>
      </c>
      <c r="K1573" s="3">
        <v>3.0</v>
      </c>
      <c r="L1573" s="3" t="s">
        <v>42</v>
      </c>
    </row>
    <row r="1574" ht="15.75" customHeight="1">
      <c r="A1574" s="3" t="s">
        <v>1652</v>
      </c>
      <c r="B1574" s="3" t="s">
        <v>17</v>
      </c>
      <c r="C1574" s="3" t="s">
        <v>37</v>
      </c>
      <c r="D1574" s="3">
        <v>66113.8925333215</v>
      </c>
      <c r="E1574" s="3">
        <v>21609.5241264349</v>
      </c>
      <c r="F1574" s="3">
        <v>12850.9419518705</v>
      </c>
      <c r="G1574" s="3">
        <v>12519.1350766835</v>
      </c>
      <c r="H1574" s="3">
        <v>9128.32508788106</v>
      </c>
      <c r="I1574" s="3">
        <v>68539.9285883544</v>
      </c>
      <c r="J1574" s="3" t="s">
        <v>684</v>
      </c>
      <c r="K1574" s="3">
        <v>18.0</v>
      </c>
      <c r="L1574" s="3" t="s">
        <v>15</v>
      </c>
    </row>
    <row r="1575" ht="15.75" customHeight="1">
      <c r="A1575" s="3" t="s">
        <v>1653</v>
      </c>
      <c r="B1575" s="3" t="s">
        <v>17</v>
      </c>
      <c r="C1575" s="3" t="s">
        <v>14</v>
      </c>
      <c r="D1575" s="3">
        <v>66124.7755032277</v>
      </c>
      <c r="E1575" s="3">
        <v>21614.1388447624</v>
      </c>
      <c r="F1575" s="3">
        <v>12858.6219553</v>
      </c>
      <c r="G1575" s="3">
        <v>12522.5326273708</v>
      </c>
      <c r="H1575" s="3">
        <v>9078.82137013196</v>
      </c>
      <c r="I1575" s="3">
        <v>68543.3100627742</v>
      </c>
      <c r="J1575" s="4">
        <v>45839.0</v>
      </c>
      <c r="K1575" s="3">
        <v>24.0</v>
      </c>
      <c r="L1575" s="3" t="s">
        <v>19</v>
      </c>
    </row>
    <row r="1576" ht="15.75" customHeight="1">
      <c r="A1576" s="3" t="s">
        <v>1654</v>
      </c>
      <c r="B1576" s="3" t="s">
        <v>25</v>
      </c>
      <c r="C1576" s="3" t="s">
        <v>33</v>
      </c>
      <c r="D1576" s="3">
        <v>66135.6584731339</v>
      </c>
      <c r="E1576" s="3">
        <v>21618.7535630898</v>
      </c>
      <c r="F1576" s="3">
        <v>12866.3019587295</v>
      </c>
      <c r="G1576" s="3">
        <v>12525.9301780581</v>
      </c>
      <c r="H1576" s="3">
        <v>9029.31765238286</v>
      </c>
      <c r="I1576" s="3">
        <v>68546.691537194</v>
      </c>
      <c r="J1576" s="4">
        <v>45689.0</v>
      </c>
      <c r="K1576" s="3">
        <v>24.0</v>
      </c>
      <c r="L1576" s="3" t="s">
        <v>21</v>
      </c>
    </row>
    <row r="1577" ht="15.75" customHeight="1">
      <c r="A1577" s="3" t="s">
        <v>1655</v>
      </c>
      <c r="B1577" s="3" t="s">
        <v>36</v>
      </c>
      <c r="C1577" s="3" t="s">
        <v>37</v>
      </c>
      <c r="D1577" s="3">
        <v>66146.5414430401</v>
      </c>
      <c r="E1577" s="3">
        <v>21623.3682814172</v>
      </c>
      <c r="F1577" s="3">
        <v>12873.981962159</v>
      </c>
      <c r="G1577" s="3">
        <v>12529.3277287454</v>
      </c>
      <c r="H1577" s="3">
        <v>8979.81393463376</v>
      </c>
      <c r="I1577" s="3">
        <v>68550.0730116138</v>
      </c>
      <c r="J1577" s="3" t="s">
        <v>197</v>
      </c>
      <c r="K1577" s="3">
        <v>6.0</v>
      </c>
      <c r="L1577" s="3" t="s">
        <v>23</v>
      </c>
    </row>
    <row r="1578" ht="15.75" customHeight="1">
      <c r="A1578" s="3" t="s">
        <v>1656</v>
      </c>
      <c r="B1578" s="3" t="s">
        <v>13</v>
      </c>
      <c r="C1578" s="3" t="s">
        <v>26</v>
      </c>
      <c r="D1578" s="3">
        <v>66157.4244129463</v>
      </c>
      <c r="E1578" s="3">
        <v>21627.9829997446</v>
      </c>
      <c r="F1578" s="3">
        <v>12881.6619655885</v>
      </c>
      <c r="G1578" s="3">
        <v>12532.7252794327</v>
      </c>
      <c r="H1578" s="3">
        <v>8930.31021688457</v>
      </c>
      <c r="I1578" s="3">
        <v>68553.4544860336</v>
      </c>
      <c r="J1578" s="4">
        <v>45870.0</v>
      </c>
      <c r="K1578" s="3">
        <v>11.0</v>
      </c>
      <c r="L1578" s="3" t="s">
        <v>27</v>
      </c>
    </row>
    <row r="1579" ht="15.75" customHeight="1">
      <c r="A1579" s="3" t="s">
        <v>1657</v>
      </c>
      <c r="B1579" s="3" t="s">
        <v>53</v>
      </c>
      <c r="C1579" s="3" t="s">
        <v>54</v>
      </c>
      <c r="D1579" s="3">
        <v>66168.3073828525</v>
      </c>
      <c r="E1579" s="3">
        <v>21632.597718072</v>
      </c>
      <c r="F1579" s="3">
        <v>12889.341969018</v>
      </c>
      <c r="G1579" s="3">
        <v>12536.1228301199</v>
      </c>
      <c r="H1579" s="3">
        <v>8880.80649913546</v>
      </c>
      <c r="I1579" s="3">
        <v>68556.8359604534</v>
      </c>
      <c r="J1579" s="4">
        <v>45689.0</v>
      </c>
      <c r="K1579" s="3">
        <v>20.0</v>
      </c>
      <c r="L1579" s="3" t="s">
        <v>31</v>
      </c>
    </row>
    <row r="1580" ht="15.75" customHeight="1">
      <c r="A1580" s="3" t="s">
        <v>1658</v>
      </c>
      <c r="B1580" s="3" t="s">
        <v>25</v>
      </c>
      <c r="C1580" s="3" t="s">
        <v>54</v>
      </c>
      <c r="D1580" s="3">
        <v>66179.1903527587</v>
      </c>
      <c r="E1580" s="3">
        <v>21637.2124363995</v>
      </c>
      <c r="F1580" s="3">
        <v>12897.0219724475</v>
      </c>
      <c r="G1580" s="3">
        <v>12539.5203808072</v>
      </c>
      <c r="H1580" s="3">
        <v>8831.30278138636</v>
      </c>
      <c r="I1580" s="3">
        <v>68560.2174348733</v>
      </c>
      <c r="J1580" s="4">
        <v>45931.0</v>
      </c>
      <c r="K1580" s="3">
        <v>9.0</v>
      </c>
      <c r="L1580" s="3" t="s">
        <v>34</v>
      </c>
    </row>
    <row r="1581" ht="15.75" customHeight="1">
      <c r="A1581" s="3" t="s">
        <v>1659</v>
      </c>
      <c r="B1581" s="3" t="s">
        <v>53</v>
      </c>
      <c r="C1581" s="3" t="s">
        <v>14</v>
      </c>
      <c r="D1581" s="3">
        <v>66190.0733226648</v>
      </c>
      <c r="E1581" s="3">
        <v>21641.8271547269</v>
      </c>
      <c r="F1581" s="3">
        <v>12904.701975877</v>
      </c>
      <c r="G1581" s="3">
        <v>12542.9179314945</v>
      </c>
      <c r="H1581" s="3">
        <v>8781.79906363726</v>
      </c>
      <c r="I1581" s="3">
        <v>68563.5989092931</v>
      </c>
      <c r="J1581" s="4">
        <v>45901.0</v>
      </c>
      <c r="K1581" s="3">
        <v>24.0</v>
      </c>
      <c r="L1581" s="3" t="s">
        <v>38</v>
      </c>
    </row>
    <row r="1582" ht="15.75" customHeight="1">
      <c r="A1582" s="3" t="s">
        <v>1660</v>
      </c>
      <c r="B1582" s="3" t="s">
        <v>36</v>
      </c>
      <c r="C1582" s="3" t="s">
        <v>33</v>
      </c>
      <c r="D1582" s="3">
        <v>66200.956292571</v>
      </c>
      <c r="E1582" s="3">
        <v>21646.4418730543</v>
      </c>
      <c r="F1582" s="3">
        <v>12912.3819793065</v>
      </c>
      <c r="G1582" s="3">
        <v>12546.3154821818</v>
      </c>
      <c r="H1582" s="3">
        <v>8732.29534588807</v>
      </c>
      <c r="I1582" s="3">
        <v>68566.9803837129</v>
      </c>
      <c r="J1582" s="4">
        <v>45748.0</v>
      </c>
      <c r="K1582" s="3">
        <v>14.0</v>
      </c>
      <c r="L1582" s="3" t="s">
        <v>40</v>
      </c>
    </row>
    <row r="1583" ht="15.75" customHeight="1">
      <c r="A1583" s="3" t="s">
        <v>1661</v>
      </c>
      <c r="B1583" s="3" t="s">
        <v>53</v>
      </c>
      <c r="C1583" s="3" t="s">
        <v>18</v>
      </c>
      <c r="D1583" s="3">
        <v>66211.8392624772</v>
      </c>
      <c r="E1583" s="3">
        <v>21651.0565913817</v>
      </c>
      <c r="F1583" s="3">
        <v>12920.061982736</v>
      </c>
      <c r="G1583" s="3">
        <v>12549.7130328691</v>
      </c>
      <c r="H1583" s="3">
        <v>8682.79162813896</v>
      </c>
      <c r="I1583" s="3">
        <v>68570.3618581327</v>
      </c>
      <c r="J1583" s="4">
        <v>45689.0</v>
      </c>
      <c r="K1583" s="3">
        <v>16.0</v>
      </c>
      <c r="L1583" s="3" t="s">
        <v>42</v>
      </c>
    </row>
    <row r="1584" ht="15.75" customHeight="1">
      <c r="A1584" s="3" t="s">
        <v>1662</v>
      </c>
      <c r="B1584" s="3" t="s">
        <v>53</v>
      </c>
      <c r="C1584" s="3" t="s">
        <v>30</v>
      </c>
      <c r="D1584" s="3">
        <v>66222.7222323834</v>
      </c>
      <c r="E1584" s="3">
        <v>21655.6713097092</v>
      </c>
      <c r="F1584" s="3">
        <v>12927.7419861655</v>
      </c>
      <c r="G1584" s="3">
        <v>12553.1105835564</v>
      </c>
      <c r="H1584" s="3">
        <v>8633.28791038986</v>
      </c>
      <c r="I1584" s="3">
        <v>68573.7433325525</v>
      </c>
      <c r="J1584" s="4">
        <v>45962.0</v>
      </c>
      <c r="K1584" s="3">
        <v>4.0</v>
      </c>
      <c r="L1584" s="3" t="s">
        <v>15</v>
      </c>
    </row>
    <row r="1585" ht="15.75" customHeight="1">
      <c r="A1585" s="3" t="s">
        <v>1663</v>
      </c>
      <c r="B1585" s="3" t="s">
        <v>29</v>
      </c>
      <c r="C1585" s="3" t="s">
        <v>30</v>
      </c>
      <c r="D1585" s="3">
        <v>66233.6052022896</v>
      </c>
      <c r="E1585" s="3">
        <v>21660.2860280366</v>
      </c>
      <c r="F1585" s="3">
        <v>12935.421989595</v>
      </c>
      <c r="G1585" s="3">
        <v>12556.5081342437</v>
      </c>
      <c r="H1585" s="3">
        <v>8583.78419264076</v>
      </c>
      <c r="I1585" s="3">
        <v>68577.1248069723</v>
      </c>
      <c r="J1585" s="4">
        <v>45992.0</v>
      </c>
      <c r="K1585" s="3">
        <v>9.0</v>
      </c>
      <c r="L1585" s="3" t="s">
        <v>19</v>
      </c>
    </row>
    <row r="1586" ht="15.75" customHeight="1">
      <c r="A1586" s="3" t="s">
        <v>1664</v>
      </c>
      <c r="B1586" s="3" t="s">
        <v>53</v>
      </c>
      <c r="C1586" s="3" t="s">
        <v>33</v>
      </c>
      <c r="D1586" s="3">
        <v>66244.4881721958</v>
      </c>
      <c r="E1586" s="3">
        <v>21664.900746364</v>
      </c>
      <c r="F1586" s="3">
        <v>12943.1019930245</v>
      </c>
      <c r="G1586" s="3">
        <v>12559.905684931</v>
      </c>
      <c r="H1586" s="3">
        <v>8534.28047489157</v>
      </c>
      <c r="I1586" s="3">
        <v>68580.5062813921</v>
      </c>
      <c r="J1586" s="4">
        <v>45839.0</v>
      </c>
      <c r="K1586" s="3">
        <v>17.0</v>
      </c>
      <c r="L1586" s="3" t="s">
        <v>21</v>
      </c>
    </row>
    <row r="1587" ht="15.75" customHeight="1">
      <c r="A1587" s="3" t="s">
        <v>1665</v>
      </c>
      <c r="B1587" s="3" t="s">
        <v>13</v>
      </c>
      <c r="C1587" s="3" t="s">
        <v>14</v>
      </c>
      <c r="D1587" s="3">
        <v>66255.371142102</v>
      </c>
      <c r="E1587" s="3">
        <v>21669.5154646914</v>
      </c>
      <c r="F1587" s="3">
        <v>12950.781996454</v>
      </c>
      <c r="G1587" s="3">
        <v>12563.3032356182</v>
      </c>
      <c r="H1587" s="3">
        <v>8484.77675714246</v>
      </c>
      <c r="I1587" s="3">
        <v>68583.887755812</v>
      </c>
      <c r="J1587" s="4">
        <v>45931.0</v>
      </c>
      <c r="K1587" s="3">
        <v>12.0</v>
      </c>
      <c r="L1587" s="3" t="s">
        <v>23</v>
      </c>
    </row>
    <row r="1588" ht="15.75" customHeight="1">
      <c r="A1588" s="3" t="s">
        <v>1666</v>
      </c>
      <c r="B1588" s="3" t="s">
        <v>51</v>
      </c>
      <c r="C1588" s="3" t="s">
        <v>26</v>
      </c>
      <c r="D1588" s="3">
        <v>66266.2541120082</v>
      </c>
      <c r="E1588" s="3">
        <v>21674.1301830188</v>
      </c>
      <c r="F1588" s="3">
        <v>12958.4619998835</v>
      </c>
      <c r="G1588" s="3">
        <v>12566.7007863055</v>
      </c>
      <c r="H1588" s="3">
        <v>53699.5533257027</v>
      </c>
      <c r="I1588" s="3">
        <v>58699.5533257027</v>
      </c>
      <c r="J1588" s="4">
        <v>45870.0</v>
      </c>
      <c r="K1588" s="3">
        <v>18.0</v>
      </c>
      <c r="L1588" s="3" t="s">
        <v>27</v>
      </c>
    </row>
    <row r="1589" ht="15.75" customHeight="1">
      <c r="A1589" s="3" t="s">
        <v>1667</v>
      </c>
      <c r="B1589" s="3" t="s">
        <v>36</v>
      </c>
      <c r="C1589" s="3" t="s">
        <v>26</v>
      </c>
      <c r="D1589" s="3">
        <v>66277.1370819144</v>
      </c>
      <c r="E1589" s="3">
        <v>21678.7449013463</v>
      </c>
      <c r="F1589" s="3">
        <v>12966.1420033129</v>
      </c>
      <c r="G1589" s="3">
        <v>12570.0983369928</v>
      </c>
      <c r="H1589" s="3">
        <v>53707.0387449216</v>
      </c>
      <c r="I1589" s="3">
        <v>58707.0387449216</v>
      </c>
      <c r="J1589" s="4">
        <v>45962.0</v>
      </c>
      <c r="K1589" s="3">
        <v>10.0</v>
      </c>
      <c r="L1589" s="3" t="s">
        <v>31</v>
      </c>
    </row>
    <row r="1590" ht="15.75" customHeight="1">
      <c r="A1590" s="3" t="s">
        <v>1668</v>
      </c>
      <c r="B1590" s="3" t="s">
        <v>36</v>
      </c>
      <c r="C1590" s="3" t="s">
        <v>30</v>
      </c>
      <c r="D1590" s="3">
        <v>66288.0200518206</v>
      </c>
      <c r="E1590" s="3">
        <v>21683.3596196737</v>
      </c>
      <c r="F1590" s="3">
        <v>12973.8220067424</v>
      </c>
      <c r="G1590" s="3">
        <v>12573.4958876801</v>
      </c>
      <c r="H1590" s="3">
        <v>8336.26560389507</v>
      </c>
      <c r="I1590" s="3">
        <v>68594.0321790714</v>
      </c>
      <c r="J1590" s="4">
        <v>45748.0</v>
      </c>
      <c r="K1590" s="3">
        <v>2.0</v>
      </c>
      <c r="L1590" s="3" t="s">
        <v>34</v>
      </c>
    </row>
    <row r="1591" ht="15.75" customHeight="1">
      <c r="A1591" s="3" t="s">
        <v>1669</v>
      </c>
      <c r="B1591" s="3" t="s">
        <v>53</v>
      </c>
      <c r="C1591" s="3" t="s">
        <v>18</v>
      </c>
      <c r="D1591" s="3">
        <v>66298.9030217268</v>
      </c>
      <c r="E1591" s="3">
        <v>21687.9743380011</v>
      </c>
      <c r="F1591" s="3">
        <v>12981.5020101719</v>
      </c>
      <c r="G1591" s="3">
        <v>12576.8934383674</v>
      </c>
      <c r="H1591" s="3">
        <v>8286.76188614596</v>
      </c>
      <c r="I1591" s="3">
        <v>68597.4136534912</v>
      </c>
      <c r="J1591" s="4">
        <v>45962.0</v>
      </c>
      <c r="K1591" s="3">
        <v>4.0</v>
      </c>
      <c r="L1591" s="3" t="s">
        <v>38</v>
      </c>
    </row>
    <row r="1592" ht="15.75" customHeight="1">
      <c r="A1592" s="3" t="s">
        <v>1670</v>
      </c>
      <c r="B1592" s="3" t="s">
        <v>13</v>
      </c>
      <c r="C1592" s="3" t="s">
        <v>14</v>
      </c>
      <c r="D1592" s="3">
        <v>66309.785991633</v>
      </c>
      <c r="E1592" s="3">
        <v>21692.5890563285</v>
      </c>
      <c r="F1592" s="3">
        <v>12989.1820136014</v>
      </c>
      <c r="G1592" s="3">
        <v>12580.2909890547</v>
      </c>
      <c r="H1592" s="3">
        <v>8237.25816839686</v>
      </c>
      <c r="I1592" s="3">
        <v>68600.795127911</v>
      </c>
      <c r="J1592" s="4">
        <v>45778.0</v>
      </c>
      <c r="K1592" s="3">
        <v>17.0</v>
      </c>
      <c r="L1592" s="3" t="s">
        <v>40</v>
      </c>
    </row>
    <row r="1593" ht="15.75" customHeight="1">
      <c r="A1593" s="3" t="s">
        <v>1671</v>
      </c>
      <c r="B1593" s="3" t="s">
        <v>51</v>
      </c>
      <c r="C1593" s="3" t="s">
        <v>18</v>
      </c>
      <c r="D1593" s="3">
        <v>66320.6689615392</v>
      </c>
      <c r="E1593" s="3">
        <v>21697.203774656</v>
      </c>
      <c r="F1593" s="3">
        <v>12996.8620170309</v>
      </c>
      <c r="G1593" s="3">
        <v>12583.688539742</v>
      </c>
      <c r="H1593" s="3">
        <v>8187.75445064767</v>
      </c>
      <c r="I1593" s="3">
        <v>68604.1766023308</v>
      </c>
      <c r="J1593" s="4">
        <v>45839.0</v>
      </c>
      <c r="K1593" s="3">
        <v>6.0</v>
      </c>
      <c r="L1593" s="3" t="s">
        <v>42</v>
      </c>
    </row>
    <row r="1594" ht="15.75" customHeight="1">
      <c r="A1594" s="3" t="s">
        <v>1672</v>
      </c>
      <c r="B1594" s="3" t="s">
        <v>36</v>
      </c>
      <c r="C1594" s="3" t="s">
        <v>33</v>
      </c>
      <c r="D1594" s="3">
        <v>66331.5519314454</v>
      </c>
      <c r="E1594" s="3">
        <v>21701.8184929834</v>
      </c>
      <c r="F1594" s="3">
        <v>13004.5420204604</v>
      </c>
      <c r="G1594" s="3">
        <v>12587.0860904292</v>
      </c>
      <c r="H1594" s="3">
        <v>53744.4658410162</v>
      </c>
      <c r="I1594" s="3">
        <v>58744.4658410162</v>
      </c>
      <c r="J1594" s="4">
        <v>45809.0</v>
      </c>
      <c r="K1594" s="3">
        <v>11.0</v>
      </c>
      <c r="L1594" s="3" t="s">
        <v>15</v>
      </c>
    </row>
    <row r="1595" ht="15.75" customHeight="1">
      <c r="A1595" s="3" t="s">
        <v>1673</v>
      </c>
      <c r="B1595" s="3" t="s">
        <v>36</v>
      </c>
      <c r="C1595" s="3" t="s">
        <v>37</v>
      </c>
      <c r="D1595" s="3">
        <v>66342.4349013516</v>
      </c>
      <c r="E1595" s="3">
        <v>21706.4332113108</v>
      </c>
      <c r="F1595" s="3">
        <v>13012.2220238899</v>
      </c>
      <c r="G1595" s="3">
        <v>12590.4836411165</v>
      </c>
      <c r="H1595" s="3">
        <v>8088.74701514946</v>
      </c>
      <c r="I1595" s="3">
        <v>68610.9395511705</v>
      </c>
      <c r="J1595" s="4">
        <v>45658.0</v>
      </c>
      <c r="K1595" s="3">
        <v>1.0</v>
      </c>
      <c r="L1595" s="3" t="s">
        <v>19</v>
      </c>
    </row>
    <row r="1596" ht="15.75" customHeight="1">
      <c r="A1596" s="3" t="s">
        <v>1674</v>
      </c>
      <c r="B1596" s="3" t="s">
        <v>53</v>
      </c>
      <c r="C1596" s="3" t="s">
        <v>14</v>
      </c>
      <c r="D1596" s="3">
        <v>66353.3178712578</v>
      </c>
      <c r="E1596" s="3">
        <v>21711.0479296382</v>
      </c>
      <c r="F1596" s="3">
        <v>13019.9020273194</v>
      </c>
      <c r="G1596" s="3">
        <v>12593.8811918038</v>
      </c>
      <c r="H1596" s="3">
        <v>8039.24329740036</v>
      </c>
      <c r="I1596" s="3">
        <v>68614.3210255903</v>
      </c>
      <c r="J1596" s="4">
        <v>45748.0</v>
      </c>
      <c r="K1596" s="3">
        <v>2.0</v>
      </c>
      <c r="L1596" s="3" t="s">
        <v>21</v>
      </c>
    </row>
    <row r="1597" ht="15.75" customHeight="1">
      <c r="A1597" s="3" t="s">
        <v>1675</v>
      </c>
      <c r="B1597" s="3" t="s">
        <v>29</v>
      </c>
      <c r="C1597" s="3" t="s">
        <v>54</v>
      </c>
      <c r="D1597" s="3">
        <v>66364.2008411639</v>
      </c>
      <c r="E1597" s="3">
        <v>21715.6626479656</v>
      </c>
      <c r="F1597" s="3">
        <v>13027.5820307489</v>
      </c>
      <c r="G1597" s="3">
        <v>12597.2787424911</v>
      </c>
      <c r="H1597" s="3">
        <v>7989.73957965116</v>
      </c>
      <c r="I1597" s="3">
        <v>68617.7025000101</v>
      </c>
      <c r="J1597" s="4">
        <v>45778.0</v>
      </c>
      <c r="K1597" s="3">
        <v>20.0</v>
      </c>
      <c r="L1597" s="3" t="s">
        <v>23</v>
      </c>
    </row>
    <row r="1598" ht="15.75" customHeight="1">
      <c r="A1598" s="3" t="s">
        <v>1676</v>
      </c>
      <c r="B1598" s="3" t="s">
        <v>53</v>
      </c>
      <c r="C1598" s="3" t="s">
        <v>37</v>
      </c>
      <c r="D1598" s="3">
        <v>66375.0838110701</v>
      </c>
      <c r="E1598" s="3">
        <v>21720.2773662931</v>
      </c>
      <c r="F1598" s="3">
        <v>13035.2620341784</v>
      </c>
      <c r="G1598" s="3">
        <v>12600.6762931784</v>
      </c>
      <c r="H1598" s="3">
        <v>7940.23586190207</v>
      </c>
      <c r="I1598" s="3">
        <v>68621.0839744299</v>
      </c>
      <c r="J1598" s="4">
        <v>45778.0</v>
      </c>
      <c r="K1598" s="3">
        <v>5.0</v>
      </c>
      <c r="L1598" s="3" t="s">
        <v>27</v>
      </c>
    </row>
    <row r="1599" ht="15.75" customHeight="1">
      <c r="A1599" s="3" t="s">
        <v>1677</v>
      </c>
      <c r="B1599" s="3" t="s">
        <v>36</v>
      </c>
      <c r="C1599" s="3" t="s">
        <v>26</v>
      </c>
      <c r="D1599" s="3">
        <v>66396.8497508825</v>
      </c>
      <c r="E1599" s="3">
        <v>21729.5068029479</v>
      </c>
      <c r="F1599" s="3">
        <v>13050.6220410374</v>
      </c>
      <c r="G1599" s="3">
        <v>12607.471394553</v>
      </c>
      <c r="H1599" s="3">
        <v>7841.22842640386</v>
      </c>
      <c r="I1599" s="3">
        <v>68627.8469232695</v>
      </c>
      <c r="J1599" s="4">
        <v>45658.0</v>
      </c>
      <c r="K1599" s="3">
        <v>5.0</v>
      </c>
      <c r="L1599" s="3" t="s">
        <v>34</v>
      </c>
    </row>
    <row r="1600" ht="15.75" customHeight="1">
      <c r="A1600" s="3" t="s">
        <v>1678</v>
      </c>
      <c r="B1600" s="3" t="s">
        <v>36</v>
      </c>
      <c r="C1600" s="3" t="s">
        <v>37</v>
      </c>
      <c r="D1600" s="3">
        <v>66407.7327207887</v>
      </c>
      <c r="E1600" s="3">
        <v>21734.1215212753</v>
      </c>
      <c r="F1600" s="3">
        <v>13058.3020444669</v>
      </c>
      <c r="G1600" s="3">
        <v>12610.8689452403</v>
      </c>
      <c r="H1600" s="3">
        <v>7791.72470865466</v>
      </c>
      <c r="I1600" s="3">
        <v>68631.2283976894</v>
      </c>
      <c r="J1600" s="4">
        <v>45870.0</v>
      </c>
      <c r="K1600" s="3">
        <v>19.0</v>
      </c>
      <c r="L1600" s="3" t="s">
        <v>38</v>
      </c>
    </row>
    <row r="1601" ht="15.75" customHeight="1">
      <c r="A1601" s="3" t="s">
        <v>1679</v>
      </c>
      <c r="B1601" s="3" t="s">
        <v>36</v>
      </c>
      <c r="C1601" s="3" t="s">
        <v>33</v>
      </c>
      <c r="D1601" s="3">
        <v>66418.6156906949</v>
      </c>
      <c r="E1601" s="3">
        <v>21738.7362396028</v>
      </c>
      <c r="F1601" s="3">
        <v>13065.9820478964</v>
      </c>
      <c r="G1601" s="3">
        <v>12614.2664959275</v>
      </c>
      <c r="H1601" s="3">
        <v>7742.22099090557</v>
      </c>
      <c r="I1601" s="3">
        <v>68634.6098721092</v>
      </c>
      <c r="J1601" s="4">
        <v>45717.0</v>
      </c>
      <c r="K1601" s="3">
        <v>8.0</v>
      </c>
      <c r="L1601" s="3" t="s">
        <v>40</v>
      </c>
    </row>
    <row r="1602" ht="15.75" customHeight="1">
      <c r="A1602" s="3" t="s">
        <v>1680</v>
      </c>
      <c r="B1602" s="3" t="s">
        <v>29</v>
      </c>
      <c r="C1602" s="3" t="s">
        <v>54</v>
      </c>
      <c r="D1602" s="3">
        <v>66429.4986606011</v>
      </c>
      <c r="E1602" s="3">
        <v>21743.3509579302</v>
      </c>
      <c r="F1602" s="3">
        <v>13073.6620513259</v>
      </c>
      <c r="G1602" s="3">
        <v>12617.6640466148</v>
      </c>
      <c r="H1602" s="3">
        <v>53811.8346139863</v>
      </c>
      <c r="I1602" s="3">
        <v>58811.8346139863</v>
      </c>
      <c r="J1602" s="4">
        <v>45717.0</v>
      </c>
      <c r="K1602" s="3">
        <v>13.0</v>
      </c>
      <c r="L1602" s="3" t="s">
        <v>42</v>
      </c>
    </row>
    <row r="1603" ht="15.75" customHeight="1">
      <c r="A1603" s="3" t="s">
        <v>1681</v>
      </c>
      <c r="B1603" s="3" t="s">
        <v>29</v>
      </c>
      <c r="C1603" s="3" t="s">
        <v>33</v>
      </c>
      <c r="D1603" s="3">
        <v>66440.3816305073</v>
      </c>
      <c r="E1603" s="3">
        <v>21747.9656762576</v>
      </c>
      <c r="F1603" s="3">
        <v>13081.3420547554</v>
      </c>
      <c r="G1603" s="3">
        <v>12621.0615973021</v>
      </c>
      <c r="H1603" s="3">
        <v>7643.21355540736</v>
      </c>
      <c r="I1603" s="3">
        <v>68641.3728209488</v>
      </c>
      <c r="J1603" s="4">
        <v>45931.0</v>
      </c>
      <c r="K1603" s="3">
        <v>4.0</v>
      </c>
      <c r="L1603" s="3" t="s">
        <v>15</v>
      </c>
    </row>
    <row r="1604" ht="15.75" customHeight="1">
      <c r="A1604" s="3" t="s">
        <v>1682</v>
      </c>
      <c r="B1604" s="3" t="s">
        <v>36</v>
      </c>
      <c r="C1604" s="3" t="s">
        <v>33</v>
      </c>
      <c r="D1604" s="3">
        <v>66451.2646004135</v>
      </c>
      <c r="E1604" s="3">
        <v>21752.580394585</v>
      </c>
      <c r="F1604" s="3">
        <v>13089.0220581849</v>
      </c>
      <c r="G1604" s="3">
        <v>12624.4591479894</v>
      </c>
      <c r="H1604" s="3">
        <v>7593.70983765816</v>
      </c>
      <c r="I1604" s="3">
        <v>68644.7542953686</v>
      </c>
      <c r="J1604" s="4">
        <v>45809.0</v>
      </c>
      <c r="K1604" s="3">
        <v>8.0</v>
      </c>
      <c r="L1604" s="3" t="s">
        <v>19</v>
      </c>
    </row>
    <row r="1605" ht="15.75" customHeight="1">
      <c r="A1605" s="3" t="s">
        <v>1683</v>
      </c>
      <c r="B1605" s="3" t="s">
        <v>25</v>
      </c>
      <c r="C1605" s="3" t="s">
        <v>30</v>
      </c>
      <c r="D1605" s="3">
        <v>66462.1475703197</v>
      </c>
      <c r="E1605" s="3">
        <v>21757.1951129124</v>
      </c>
      <c r="F1605" s="3">
        <v>13096.7020616144</v>
      </c>
      <c r="G1605" s="3">
        <v>12627.8566986767</v>
      </c>
      <c r="H1605" s="3">
        <v>7544.20611990907</v>
      </c>
      <c r="I1605" s="3">
        <v>68648.1357697884</v>
      </c>
      <c r="J1605" s="4">
        <v>45901.0</v>
      </c>
      <c r="K1605" s="3">
        <v>12.0</v>
      </c>
      <c r="L1605" s="3" t="s">
        <v>21</v>
      </c>
    </row>
    <row r="1606" ht="15.75" customHeight="1">
      <c r="A1606" s="3" t="s">
        <v>1684</v>
      </c>
      <c r="B1606" s="3" t="s">
        <v>17</v>
      </c>
      <c r="C1606" s="3" t="s">
        <v>37</v>
      </c>
      <c r="D1606" s="3">
        <v>66473.0305402259</v>
      </c>
      <c r="E1606" s="3">
        <v>21761.8098312399</v>
      </c>
      <c r="F1606" s="3">
        <v>13104.3820650439</v>
      </c>
      <c r="G1606" s="3">
        <v>12631.254249364</v>
      </c>
      <c r="H1606" s="3">
        <v>7494.70240215996</v>
      </c>
      <c r="I1606" s="3">
        <v>68651.5172442082</v>
      </c>
      <c r="J1606" s="4">
        <v>45778.0</v>
      </c>
      <c r="K1606" s="3">
        <v>21.0</v>
      </c>
      <c r="L1606" s="3" t="s">
        <v>23</v>
      </c>
    </row>
    <row r="1607" ht="15.75" customHeight="1">
      <c r="A1607" s="3" t="s">
        <v>1685</v>
      </c>
      <c r="B1607" s="3" t="s">
        <v>17</v>
      </c>
      <c r="C1607" s="3" t="s">
        <v>18</v>
      </c>
      <c r="D1607" s="3">
        <v>66483.9135101321</v>
      </c>
      <c r="E1607" s="3">
        <v>21766.4245495673</v>
      </c>
      <c r="F1607" s="3">
        <v>13112.0620684734</v>
      </c>
      <c r="G1607" s="3">
        <v>12634.6518000513</v>
      </c>
      <c r="H1607" s="3">
        <v>7445.19868441076</v>
      </c>
      <c r="I1607" s="3">
        <v>68654.8987186281</v>
      </c>
      <c r="J1607" s="4">
        <v>45962.0</v>
      </c>
      <c r="K1607" s="3">
        <v>25.0</v>
      </c>
      <c r="L1607" s="3" t="s">
        <v>27</v>
      </c>
    </row>
    <row r="1608" ht="15.75" customHeight="1">
      <c r="A1608" s="3" t="s">
        <v>1686</v>
      </c>
      <c r="B1608" s="3" t="s">
        <v>25</v>
      </c>
      <c r="C1608" s="3" t="s">
        <v>18</v>
      </c>
      <c r="D1608" s="3">
        <v>66494.7964800383</v>
      </c>
      <c r="E1608" s="3">
        <v>21771.0392678947</v>
      </c>
      <c r="F1608" s="3">
        <v>13119.7420719029</v>
      </c>
      <c r="G1608" s="3">
        <v>12638.0493507386</v>
      </c>
      <c r="H1608" s="3">
        <v>7395.69496666166</v>
      </c>
      <c r="I1608" s="3">
        <v>68658.2801930479</v>
      </c>
      <c r="J1608" s="4">
        <v>45992.0</v>
      </c>
      <c r="K1608" s="3">
        <v>21.0</v>
      </c>
      <c r="L1608" s="3" t="s">
        <v>31</v>
      </c>
    </row>
    <row r="1609" ht="15.75" customHeight="1">
      <c r="A1609" s="3" t="s">
        <v>1687</v>
      </c>
      <c r="B1609" s="3" t="s">
        <v>36</v>
      </c>
      <c r="C1609" s="3" t="s">
        <v>30</v>
      </c>
      <c r="D1609" s="3">
        <v>66505.6794499445</v>
      </c>
      <c r="E1609" s="3">
        <v>21775.6539862221</v>
      </c>
      <c r="F1609" s="3">
        <v>13127.4220753324</v>
      </c>
      <c r="G1609" s="3">
        <v>12641.4469014258</v>
      </c>
      <c r="H1609" s="3">
        <v>7346.19124891257</v>
      </c>
      <c r="I1609" s="3">
        <v>68661.6616674677</v>
      </c>
      <c r="J1609" s="4">
        <v>45931.0</v>
      </c>
      <c r="K1609" s="3">
        <v>1.0</v>
      </c>
      <c r="L1609" s="3" t="s">
        <v>34</v>
      </c>
    </row>
    <row r="1610" ht="15.75" customHeight="1">
      <c r="A1610" s="3" t="s">
        <v>1688</v>
      </c>
      <c r="B1610" s="3" t="s">
        <v>36</v>
      </c>
      <c r="C1610" s="3" t="s">
        <v>26</v>
      </c>
      <c r="D1610" s="3">
        <v>66516.5624198507</v>
      </c>
      <c r="E1610" s="3">
        <v>21780.2687045495</v>
      </c>
      <c r="F1610" s="3">
        <v>13135.1020787619</v>
      </c>
      <c r="G1610" s="3">
        <v>12644.8444521131</v>
      </c>
      <c r="H1610" s="3">
        <v>7296.68753116346</v>
      </c>
      <c r="I1610" s="3">
        <v>68665.0431418875</v>
      </c>
      <c r="J1610" s="4">
        <v>45901.0</v>
      </c>
      <c r="K1610" s="3">
        <v>6.0</v>
      </c>
      <c r="L1610" s="3" t="s">
        <v>38</v>
      </c>
    </row>
    <row r="1611" ht="15.75" customHeight="1">
      <c r="A1611" s="3" t="s">
        <v>1689</v>
      </c>
      <c r="B1611" s="3" t="s">
        <v>36</v>
      </c>
      <c r="C1611" s="3" t="s">
        <v>37</v>
      </c>
      <c r="D1611" s="3">
        <v>66527.4453897568</v>
      </c>
      <c r="E1611" s="3">
        <v>21784.883422877</v>
      </c>
      <c r="F1611" s="3">
        <v>13142.7820821914</v>
      </c>
      <c r="G1611" s="3">
        <v>12648.2420028004</v>
      </c>
      <c r="H1611" s="3">
        <v>7247.18381341426</v>
      </c>
      <c r="I1611" s="3">
        <v>68668.4246163073</v>
      </c>
      <c r="J1611" s="4">
        <v>45931.0</v>
      </c>
      <c r="K1611" s="3">
        <v>3.0</v>
      </c>
      <c r="L1611" s="3" t="s">
        <v>40</v>
      </c>
    </row>
    <row r="1612" ht="15.75" customHeight="1">
      <c r="A1612" s="3" t="s">
        <v>1690</v>
      </c>
      <c r="B1612" s="3" t="s">
        <v>17</v>
      </c>
      <c r="C1612" s="3" t="s">
        <v>26</v>
      </c>
      <c r="D1612" s="3">
        <v>66538.328359663</v>
      </c>
      <c r="E1612" s="3">
        <v>21789.4981412044</v>
      </c>
      <c r="F1612" s="3">
        <v>13150.4620856209</v>
      </c>
      <c r="G1612" s="3">
        <v>12651.6395534877</v>
      </c>
      <c r="H1612" s="3">
        <v>7197.68009566516</v>
      </c>
      <c r="I1612" s="3">
        <v>68671.8060907271</v>
      </c>
      <c r="J1612" s="4">
        <v>45717.0</v>
      </c>
      <c r="K1612" s="3">
        <v>23.0</v>
      </c>
      <c r="L1612" s="3" t="s">
        <v>42</v>
      </c>
    </row>
    <row r="1613" ht="15.75" customHeight="1">
      <c r="A1613" s="3" t="s">
        <v>1691</v>
      </c>
      <c r="B1613" s="3" t="s">
        <v>13</v>
      </c>
      <c r="C1613" s="3" t="s">
        <v>14</v>
      </c>
      <c r="D1613" s="3">
        <v>66549.2113295692</v>
      </c>
      <c r="E1613" s="3">
        <v>21794.1128595318</v>
      </c>
      <c r="F1613" s="3">
        <v>13158.1420890504</v>
      </c>
      <c r="G1613" s="5"/>
      <c r="H1613" s="3">
        <v>7148.17637791607</v>
      </c>
      <c r="I1613" s="3">
        <v>68675.1875651469</v>
      </c>
      <c r="J1613" s="4">
        <v>45839.0</v>
      </c>
      <c r="K1613" s="3">
        <v>9.0</v>
      </c>
      <c r="L1613" s="3" t="s">
        <v>15</v>
      </c>
    </row>
    <row r="1614" ht="15.75" customHeight="1">
      <c r="A1614" s="3" t="s">
        <v>1692</v>
      </c>
      <c r="B1614" s="3" t="s">
        <v>13</v>
      </c>
      <c r="C1614" s="3" t="s">
        <v>37</v>
      </c>
      <c r="D1614" s="3">
        <v>66560.0942994754</v>
      </c>
      <c r="E1614" s="3">
        <v>21798.7275778592</v>
      </c>
      <c r="F1614" s="3">
        <v>13165.8220924799</v>
      </c>
      <c r="G1614" s="3">
        <v>12658.4346548623</v>
      </c>
      <c r="H1614" s="3">
        <v>7098.67266016697</v>
      </c>
      <c r="I1614" s="3">
        <v>68678.5690395667</v>
      </c>
      <c r="J1614" s="4">
        <v>45778.0</v>
      </c>
      <c r="K1614" s="3">
        <v>6.0</v>
      </c>
      <c r="L1614" s="3" t="s">
        <v>19</v>
      </c>
    </row>
    <row r="1615" ht="15.75" customHeight="1">
      <c r="A1615" s="3" t="s">
        <v>1693</v>
      </c>
      <c r="B1615" s="3" t="s">
        <v>51</v>
      </c>
      <c r="C1615" s="3" t="s">
        <v>37</v>
      </c>
      <c r="D1615" s="3">
        <v>66581.8602392878</v>
      </c>
      <c r="E1615" s="3">
        <v>21807.9570145141</v>
      </c>
      <c r="F1615" s="3">
        <v>13181.1820993389</v>
      </c>
      <c r="G1615" s="3">
        <v>12665.2297562368</v>
      </c>
      <c r="H1615" s="3">
        <v>6999.66522466866</v>
      </c>
      <c r="I1615" s="3">
        <v>68685.3319884064</v>
      </c>
      <c r="J1615" s="4">
        <v>45901.0</v>
      </c>
      <c r="K1615" s="3">
        <v>19.0</v>
      </c>
      <c r="L1615" s="3" t="s">
        <v>23</v>
      </c>
    </row>
    <row r="1616" ht="15.75" customHeight="1">
      <c r="A1616" s="3" t="s">
        <v>1694</v>
      </c>
      <c r="B1616" s="3" t="s">
        <v>36</v>
      </c>
      <c r="C1616" s="3" t="s">
        <v>33</v>
      </c>
      <c r="D1616" s="3">
        <v>66592.743209194</v>
      </c>
      <c r="E1616" s="3">
        <v>21812.5717328415</v>
      </c>
      <c r="F1616" s="3">
        <v>13188.8621027684</v>
      </c>
      <c r="G1616" s="3">
        <v>12668.6273069241</v>
      </c>
      <c r="H1616" s="3">
        <v>6950.16150691957</v>
      </c>
      <c r="I1616" s="3">
        <v>68688.7134628262</v>
      </c>
      <c r="J1616" s="4">
        <v>45689.0</v>
      </c>
      <c r="K1616" s="3">
        <v>8.0</v>
      </c>
      <c r="L1616" s="3" t="s">
        <v>27</v>
      </c>
    </row>
    <row r="1617" ht="15.75" customHeight="1">
      <c r="A1617" s="3" t="s">
        <v>1695</v>
      </c>
      <c r="B1617" s="3" t="s">
        <v>51</v>
      </c>
      <c r="C1617" s="3" t="s">
        <v>33</v>
      </c>
      <c r="D1617" s="3">
        <v>66603.6261791002</v>
      </c>
      <c r="E1617" s="3">
        <v>21817.1864511689</v>
      </c>
      <c r="F1617" s="3">
        <v>13196.5421061979</v>
      </c>
      <c r="G1617" s="3">
        <v>12672.0248576114</v>
      </c>
      <c r="H1617" s="3">
        <v>6900.65778917036</v>
      </c>
      <c r="I1617" s="3">
        <v>68692.094937246</v>
      </c>
      <c r="J1617" s="4">
        <v>45870.0</v>
      </c>
      <c r="K1617" s="3">
        <v>5.0</v>
      </c>
      <c r="L1617" s="3" t="s">
        <v>31</v>
      </c>
    </row>
    <row r="1618" ht="15.75" customHeight="1">
      <c r="A1618" s="3" t="s">
        <v>1696</v>
      </c>
      <c r="B1618" s="3" t="s">
        <v>13</v>
      </c>
      <c r="C1618" s="3" t="s">
        <v>54</v>
      </c>
      <c r="D1618" s="3">
        <v>66636.2750888188</v>
      </c>
      <c r="E1618" s="3">
        <v>21831.0306061512</v>
      </c>
      <c r="F1618" s="3">
        <v>13219.5821164864</v>
      </c>
      <c r="G1618" s="3">
        <v>12682.2175096733</v>
      </c>
      <c r="H1618" s="3">
        <v>6752.14663592307</v>
      </c>
      <c r="I1618" s="3">
        <v>68702.2393605055</v>
      </c>
      <c r="J1618" s="4">
        <v>45992.0</v>
      </c>
      <c r="K1618" s="3">
        <v>24.0</v>
      </c>
      <c r="L1618" s="3" t="s">
        <v>40</v>
      </c>
    </row>
    <row r="1619" ht="15.75" customHeight="1">
      <c r="A1619" s="3" t="s">
        <v>1697</v>
      </c>
      <c r="B1619" s="3" t="s">
        <v>17</v>
      </c>
      <c r="C1619" s="3" t="s">
        <v>26</v>
      </c>
      <c r="D1619" s="3">
        <v>66647.158058725</v>
      </c>
      <c r="E1619" s="3">
        <v>21835.6453244786</v>
      </c>
      <c r="F1619" s="3">
        <v>13227.2621199159</v>
      </c>
      <c r="G1619" s="3">
        <v>12685.6150603606</v>
      </c>
      <c r="H1619" s="3">
        <v>6702.64291817386</v>
      </c>
      <c r="I1619" s="3">
        <v>68705.6208349253</v>
      </c>
      <c r="J1619" s="4">
        <v>45870.0</v>
      </c>
      <c r="K1619" s="3">
        <v>5.0</v>
      </c>
      <c r="L1619" s="3" t="s">
        <v>42</v>
      </c>
    </row>
    <row r="1620" ht="15.75" customHeight="1">
      <c r="A1620" s="3" t="s">
        <v>1698</v>
      </c>
      <c r="B1620" s="3" t="s">
        <v>51</v>
      </c>
      <c r="C1620" s="3" t="s">
        <v>37</v>
      </c>
      <c r="D1620" s="3">
        <v>66658.0410286312</v>
      </c>
      <c r="E1620" s="3">
        <v>21840.260042806</v>
      </c>
      <c r="F1620" s="3">
        <v>13234.9421233454</v>
      </c>
      <c r="G1620" s="3">
        <v>12689.0126110479</v>
      </c>
      <c r="H1620" s="3">
        <v>6653.13920042476</v>
      </c>
      <c r="I1620" s="3">
        <v>68709.0023093451</v>
      </c>
      <c r="J1620" s="4">
        <v>45839.0</v>
      </c>
      <c r="K1620" s="3">
        <v>19.0</v>
      </c>
      <c r="L1620" s="3" t="s">
        <v>15</v>
      </c>
    </row>
    <row r="1621" ht="15.75" customHeight="1">
      <c r="A1621" s="3" t="s">
        <v>1699</v>
      </c>
      <c r="B1621" s="3" t="s">
        <v>51</v>
      </c>
      <c r="C1621" s="3" t="s">
        <v>26</v>
      </c>
      <c r="D1621" s="3">
        <v>66668.9239985374</v>
      </c>
      <c r="E1621" s="3">
        <v>21844.8747611335</v>
      </c>
      <c r="F1621" s="3">
        <v>13242.6221267748</v>
      </c>
      <c r="G1621" s="3">
        <v>12692.4101617351</v>
      </c>
      <c r="H1621" s="3">
        <v>6603.63548267566</v>
      </c>
      <c r="I1621" s="3">
        <v>68712.3837837649</v>
      </c>
      <c r="J1621" s="4">
        <v>45839.0</v>
      </c>
      <c r="K1621" s="3">
        <v>12.0</v>
      </c>
      <c r="L1621" s="3" t="s">
        <v>19</v>
      </c>
    </row>
    <row r="1622" ht="15.75" customHeight="1">
      <c r="A1622" s="3" t="s">
        <v>1700</v>
      </c>
      <c r="B1622" s="3" t="s">
        <v>36</v>
      </c>
      <c r="C1622" s="3" t="s">
        <v>14</v>
      </c>
      <c r="D1622" s="3">
        <v>66679.8069684436</v>
      </c>
      <c r="E1622" s="3">
        <v>21849.4894794609</v>
      </c>
      <c r="F1622" s="3">
        <v>13250.3021302043</v>
      </c>
      <c r="G1622" s="3">
        <v>12695.8077124224</v>
      </c>
      <c r="H1622" s="3">
        <v>6554.13176492657</v>
      </c>
      <c r="I1622" s="3">
        <v>68715.7652581847</v>
      </c>
      <c r="J1622" s="4">
        <v>45689.0</v>
      </c>
      <c r="K1622" s="3">
        <v>14.0</v>
      </c>
      <c r="L1622" s="3" t="s">
        <v>21</v>
      </c>
    </row>
    <row r="1623" ht="15.75" customHeight="1">
      <c r="A1623" s="3" t="s">
        <v>1701</v>
      </c>
      <c r="B1623" s="3" t="s">
        <v>36</v>
      </c>
      <c r="C1623" s="3" t="s">
        <v>14</v>
      </c>
      <c r="D1623" s="3">
        <v>66690.6899383497</v>
      </c>
      <c r="E1623" s="3">
        <v>21854.1041977883</v>
      </c>
      <c r="F1623" s="3">
        <v>13257.9821336338</v>
      </c>
      <c r="G1623" s="3">
        <v>12699.2052631097</v>
      </c>
      <c r="H1623" s="3">
        <v>6504.62804717736</v>
      </c>
      <c r="I1623" s="3">
        <v>68719.1467326045</v>
      </c>
      <c r="J1623" s="4">
        <v>45748.0</v>
      </c>
      <c r="K1623" s="3">
        <v>3.0</v>
      </c>
      <c r="L1623" s="3" t="s">
        <v>23</v>
      </c>
    </row>
    <row r="1624" ht="15.75" customHeight="1">
      <c r="A1624" s="3" t="s">
        <v>1702</v>
      </c>
      <c r="B1624" s="3" t="s">
        <v>53</v>
      </c>
      <c r="C1624" s="3" t="s">
        <v>14</v>
      </c>
      <c r="D1624" s="3">
        <v>66701.5729082559</v>
      </c>
      <c r="E1624" s="3">
        <v>21858.7189161157</v>
      </c>
      <c r="F1624" s="3">
        <v>13265.6621370633</v>
      </c>
      <c r="G1624" s="3">
        <v>12702.602813797</v>
      </c>
      <c r="H1624" s="3">
        <v>6455.12432942826</v>
      </c>
      <c r="I1624" s="3">
        <v>68722.5282070243</v>
      </c>
      <c r="J1624" s="4">
        <v>45962.0</v>
      </c>
      <c r="K1624" s="3">
        <v>2.0</v>
      </c>
      <c r="L1624" s="3" t="s">
        <v>27</v>
      </c>
    </row>
    <row r="1625" ht="15.75" customHeight="1">
      <c r="A1625" s="3" t="s">
        <v>1703</v>
      </c>
      <c r="B1625" s="3" t="s">
        <v>36</v>
      </c>
      <c r="C1625" s="3" t="s">
        <v>14</v>
      </c>
      <c r="D1625" s="3">
        <v>66712.4558781621</v>
      </c>
      <c r="E1625" s="3">
        <v>21863.3336344431</v>
      </c>
      <c r="F1625" s="3">
        <v>13273.3421404928</v>
      </c>
      <c r="G1625" s="3">
        <v>12706.0003644843</v>
      </c>
      <c r="H1625" s="3">
        <v>6405.62061167916</v>
      </c>
      <c r="I1625" s="3">
        <v>68725.9096814442</v>
      </c>
      <c r="J1625" s="4">
        <v>45809.0</v>
      </c>
      <c r="K1625" s="3">
        <v>17.0</v>
      </c>
      <c r="L1625" s="3" t="s">
        <v>31</v>
      </c>
    </row>
    <row r="1626" ht="15.75" customHeight="1">
      <c r="A1626" s="3" t="s">
        <v>1704</v>
      </c>
      <c r="B1626" s="3" t="s">
        <v>29</v>
      </c>
      <c r="C1626" s="3" t="s">
        <v>37</v>
      </c>
      <c r="D1626" s="3">
        <v>66723.3388480683</v>
      </c>
      <c r="E1626" s="3">
        <v>21867.9483527706</v>
      </c>
      <c r="F1626" s="3">
        <v>13281.0221439223</v>
      </c>
      <c r="G1626" s="3">
        <v>12709.3979151716</v>
      </c>
      <c r="H1626" s="3">
        <v>6356.11689392997</v>
      </c>
      <c r="I1626" s="3">
        <v>68729.291155864</v>
      </c>
      <c r="J1626" s="4">
        <v>45778.0</v>
      </c>
      <c r="K1626" s="3">
        <v>7.0</v>
      </c>
      <c r="L1626" s="3" t="s">
        <v>34</v>
      </c>
    </row>
    <row r="1627" ht="15.75" customHeight="1">
      <c r="A1627" s="3" t="s">
        <v>1705</v>
      </c>
      <c r="B1627" s="3" t="s">
        <v>25</v>
      </c>
      <c r="C1627" s="3" t="s">
        <v>54</v>
      </c>
      <c r="D1627" s="3">
        <v>66734.2218179745</v>
      </c>
      <c r="E1627" s="3">
        <v>21872.563071098</v>
      </c>
      <c r="F1627" s="3">
        <v>13288.7021473518</v>
      </c>
      <c r="G1627" s="3">
        <v>12712.7954658589</v>
      </c>
      <c r="H1627" s="3">
        <v>6306.61317618086</v>
      </c>
      <c r="I1627" s="3">
        <v>68732.6726302838</v>
      </c>
      <c r="J1627" s="4">
        <v>45778.0</v>
      </c>
      <c r="K1627" s="3">
        <v>18.0</v>
      </c>
      <c r="L1627" s="3" t="s">
        <v>38</v>
      </c>
    </row>
    <row r="1628" ht="15.75" customHeight="1">
      <c r="A1628" s="3" t="s">
        <v>1706</v>
      </c>
      <c r="B1628" s="3" t="s">
        <v>53</v>
      </c>
      <c r="C1628" s="3" t="s">
        <v>37</v>
      </c>
      <c r="D1628" s="3">
        <v>66745.1047878807</v>
      </c>
      <c r="E1628" s="3">
        <v>21877.1777894254</v>
      </c>
      <c r="F1628" s="3">
        <v>13296.3821507813</v>
      </c>
      <c r="G1628" s="3">
        <v>12716.1930165462</v>
      </c>
      <c r="H1628" s="3">
        <v>6257.10945843176</v>
      </c>
      <c r="I1628" s="3">
        <v>68736.0541047036</v>
      </c>
      <c r="J1628" s="4">
        <v>45931.0</v>
      </c>
      <c r="K1628" s="3">
        <v>8.0</v>
      </c>
      <c r="L1628" s="3" t="s">
        <v>40</v>
      </c>
    </row>
    <row r="1629" ht="15.75" customHeight="1">
      <c r="A1629" s="3" t="s">
        <v>1707</v>
      </c>
      <c r="B1629" s="3" t="s">
        <v>17</v>
      </c>
      <c r="C1629" s="3" t="s">
        <v>30</v>
      </c>
      <c r="D1629" s="3">
        <v>66755.9877577869</v>
      </c>
      <c r="E1629" s="3">
        <v>21881.7925077528</v>
      </c>
      <c r="F1629" s="3">
        <v>13304.0621542108</v>
      </c>
      <c r="G1629" s="3">
        <v>12719.5905672334</v>
      </c>
      <c r="H1629" s="3">
        <v>6207.60574068266</v>
      </c>
      <c r="I1629" s="3">
        <v>68739.4355791234</v>
      </c>
      <c r="J1629" s="4">
        <v>45992.0</v>
      </c>
      <c r="K1629" s="3">
        <v>14.0</v>
      </c>
      <c r="L1629" s="3" t="s">
        <v>42</v>
      </c>
    </row>
    <row r="1630" ht="15.75" customHeight="1">
      <c r="A1630" s="3" t="s">
        <v>1708</v>
      </c>
      <c r="B1630" s="3" t="s">
        <v>51</v>
      </c>
      <c r="C1630" s="3" t="s">
        <v>37</v>
      </c>
      <c r="D1630" s="3">
        <v>66766.8707276931</v>
      </c>
      <c r="E1630" s="3">
        <v>21886.4072260803</v>
      </c>
      <c r="F1630" s="3">
        <v>13311.7421576403</v>
      </c>
      <c r="G1630" s="3">
        <v>12722.9881179207</v>
      </c>
      <c r="H1630" s="3">
        <v>6158.10202293347</v>
      </c>
      <c r="I1630" s="3">
        <v>68742.8170535432</v>
      </c>
      <c r="J1630" s="4">
        <v>45809.0</v>
      </c>
      <c r="K1630" s="3">
        <v>13.0</v>
      </c>
      <c r="L1630" s="3" t="s">
        <v>15</v>
      </c>
    </row>
    <row r="1631" ht="15.75" customHeight="1">
      <c r="A1631" s="3" t="s">
        <v>1709</v>
      </c>
      <c r="B1631" s="3" t="s">
        <v>13</v>
      </c>
      <c r="C1631" s="3" t="s">
        <v>30</v>
      </c>
      <c r="D1631" s="3">
        <v>66777.7536975993</v>
      </c>
      <c r="E1631" s="3">
        <v>21891.0219444077</v>
      </c>
      <c r="F1631" s="3">
        <v>13319.4221610698</v>
      </c>
      <c r="G1631" s="3">
        <v>12726.385668608</v>
      </c>
      <c r="H1631" s="3">
        <v>6108.59830518437</v>
      </c>
      <c r="I1631" s="3">
        <v>68746.198527963</v>
      </c>
      <c r="J1631" s="4">
        <v>45870.0</v>
      </c>
      <c r="K1631" s="3">
        <v>7.0</v>
      </c>
      <c r="L1631" s="3" t="s">
        <v>19</v>
      </c>
    </row>
    <row r="1632" ht="15.75" customHeight="1">
      <c r="A1632" s="3" t="s">
        <v>1710</v>
      </c>
      <c r="B1632" s="3" t="s">
        <v>25</v>
      </c>
      <c r="C1632" s="3" t="s">
        <v>54</v>
      </c>
      <c r="D1632" s="3">
        <v>66788.6366675055</v>
      </c>
      <c r="E1632" s="3">
        <v>21895.6366627351</v>
      </c>
      <c r="F1632" s="3">
        <v>13327.1021644993</v>
      </c>
      <c r="G1632" s="3">
        <v>12729.7832192953</v>
      </c>
      <c r="H1632" s="3">
        <v>6059.09458743526</v>
      </c>
      <c r="I1632" s="3">
        <v>68749.5800023828</v>
      </c>
      <c r="J1632" s="4">
        <v>45870.0</v>
      </c>
      <c r="K1632" s="3">
        <v>22.0</v>
      </c>
      <c r="L1632" s="3" t="s">
        <v>21</v>
      </c>
    </row>
    <row r="1633" ht="15.75" customHeight="1">
      <c r="A1633" s="3" t="s">
        <v>1711</v>
      </c>
      <c r="B1633" s="3" t="s">
        <v>51</v>
      </c>
      <c r="C1633" s="3" t="s">
        <v>30</v>
      </c>
      <c r="D1633" s="3">
        <v>66799.5196374117</v>
      </c>
      <c r="E1633" s="3">
        <v>21900.2513810625</v>
      </c>
      <c r="F1633" s="3">
        <v>13334.7821679288</v>
      </c>
      <c r="G1633" s="3">
        <v>12733.1807699826</v>
      </c>
      <c r="H1633" s="3">
        <v>6009.59086968616</v>
      </c>
      <c r="I1633" s="3">
        <v>68752.9614768027</v>
      </c>
      <c r="J1633" s="4">
        <v>45717.0</v>
      </c>
      <c r="K1633" s="3">
        <v>7.0</v>
      </c>
      <c r="L1633" s="3" t="s">
        <v>23</v>
      </c>
    </row>
    <row r="1634" ht="15.75" customHeight="1">
      <c r="A1634" s="3" t="s">
        <v>1712</v>
      </c>
      <c r="B1634" s="3" t="s">
        <v>36</v>
      </c>
      <c r="C1634" s="3" t="s">
        <v>18</v>
      </c>
      <c r="D1634" s="3">
        <v>66810.4026073179</v>
      </c>
      <c r="E1634" s="3">
        <v>21904.8660993899</v>
      </c>
      <c r="F1634" s="3">
        <v>13342.4621713583</v>
      </c>
      <c r="G1634" s="3">
        <v>12736.5783206699</v>
      </c>
      <c r="H1634" s="3">
        <v>5960.08715193697</v>
      </c>
      <c r="I1634" s="3">
        <v>68756.3429512225</v>
      </c>
      <c r="J1634" s="4">
        <v>45778.0</v>
      </c>
      <c r="K1634" s="3">
        <v>10.0</v>
      </c>
      <c r="L1634" s="3" t="s">
        <v>27</v>
      </c>
    </row>
    <row r="1635" ht="15.75" customHeight="1">
      <c r="A1635" s="3" t="s">
        <v>1713</v>
      </c>
      <c r="B1635" s="3" t="s">
        <v>17</v>
      </c>
      <c r="C1635" s="3" t="s">
        <v>37</v>
      </c>
      <c r="D1635" s="3">
        <v>66821.2855772241</v>
      </c>
      <c r="E1635" s="3">
        <v>21909.4808177174</v>
      </c>
      <c r="F1635" s="3">
        <v>13350.1421747878</v>
      </c>
      <c r="G1635" s="3">
        <v>12739.9758713572</v>
      </c>
      <c r="H1635" s="3">
        <v>5910.58343418787</v>
      </c>
      <c r="I1635" s="3">
        <v>68759.7244256423</v>
      </c>
      <c r="J1635" s="4">
        <v>45870.0</v>
      </c>
      <c r="K1635" s="3">
        <v>19.0</v>
      </c>
      <c r="L1635" s="3" t="s">
        <v>31</v>
      </c>
    </row>
    <row r="1636" ht="15.75" customHeight="1">
      <c r="A1636" s="3" t="s">
        <v>1714</v>
      </c>
      <c r="B1636" s="3" t="s">
        <v>51</v>
      </c>
      <c r="C1636" s="3" t="s">
        <v>37</v>
      </c>
      <c r="D1636" s="3">
        <v>66832.1685471303</v>
      </c>
      <c r="E1636" s="3">
        <v>21914.0955360448</v>
      </c>
      <c r="F1636" s="3">
        <v>13357.8221782173</v>
      </c>
      <c r="G1636" s="3">
        <v>12743.3734220444</v>
      </c>
      <c r="H1636" s="3">
        <v>5861.07971643876</v>
      </c>
      <c r="I1636" s="3">
        <v>68763.1059000621</v>
      </c>
      <c r="J1636" s="4">
        <v>45809.0</v>
      </c>
      <c r="K1636" s="3">
        <v>18.0</v>
      </c>
      <c r="L1636" s="3" t="s">
        <v>34</v>
      </c>
    </row>
    <row r="1637" ht="15.75" customHeight="1">
      <c r="A1637" s="3" t="s">
        <v>1715</v>
      </c>
      <c r="B1637" s="3" t="s">
        <v>53</v>
      </c>
      <c r="C1637" s="3" t="s">
        <v>37</v>
      </c>
      <c r="D1637" s="3">
        <v>66843.0515170365</v>
      </c>
      <c r="E1637" s="3">
        <v>21918.7102543722</v>
      </c>
      <c r="F1637" s="3">
        <v>13365.5021816468</v>
      </c>
      <c r="G1637" s="3">
        <v>12746.7709727317</v>
      </c>
      <c r="H1637" s="3">
        <v>5811.57599868966</v>
      </c>
      <c r="I1637" s="3">
        <v>68766.4873744819</v>
      </c>
      <c r="J1637" s="4">
        <v>45748.0</v>
      </c>
      <c r="K1637" s="3">
        <v>17.0</v>
      </c>
      <c r="L1637" s="3" t="s">
        <v>38</v>
      </c>
    </row>
    <row r="1638" ht="15.75" customHeight="1">
      <c r="A1638" s="3" t="s">
        <v>1716</v>
      </c>
      <c r="B1638" s="3" t="s">
        <v>53</v>
      </c>
      <c r="C1638" s="3" t="s">
        <v>26</v>
      </c>
      <c r="D1638" s="3">
        <v>66853.9344869426</v>
      </c>
      <c r="E1638" s="3">
        <v>21923.3249726996</v>
      </c>
      <c r="F1638" s="3">
        <v>13373.1821850763</v>
      </c>
      <c r="G1638" s="3">
        <v>12750.168523419</v>
      </c>
      <c r="H1638" s="3">
        <v>5762.07228094047</v>
      </c>
      <c r="I1638" s="3">
        <v>68769.8688489017</v>
      </c>
      <c r="J1638" s="4">
        <v>45658.0</v>
      </c>
      <c r="K1638" s="3">
        <v>5.0</v>
      </c>
      <c r="L1638" s="3" t="s">
        <v>40</v>
      </c>
    </row>
    <row r="1639" ht="15.75" customHeight="1">
      <c r="A1639" s="3" t="s">
        <v>1717</v>
      </c>
      <c r="B1639" s="3" t="s">
        <v>36</v>
      </c>
      <c r="C1639" s="3" t="s">
        <v>14</v>
      </c>
      <c r="D1639" s="3">
        <v>66864.8174568488</v>
      </c>
      <c r="E1639" s="3">
        <v>21927.9396910271</v>
      </c>
      <c r="F1639" s="3">
        <v>13380.8621885058</v>
      </c>
      <c r="G1639" s="3">
        <v>12753.5660741063</v>
      </c>
      <c r="H1639" s="3">
        <v>5712.56856319137</v>
      </c>
      <c r="I1639" s="3">
        <v>68773.2503233216</v>
      </c>
      <c r="J1639" s="4">
        <v>45689.0</v>
      </c>
      <c r="K1639" s="3">
        <v>2.0</v>
      </c>
      <c r="L1639" s="3" t="s">
        <v>42</v>
      </c>
    </row>
    <row r="1640" ht="15.75" customHeight="1">
      <c r="A1640" s="3" t="s">
        <v>1718</v>
      </c>
      <c r="B1640" s="3" t="s">
        <v>36</v>
      </c>
      <c r="C1640" s="3" t="s">
        <v>33</v>
      </c>
      <c r="D1640" s="5"/>
      <c r="E1640" s="3">
        <v>21932.5544093545</v>
      </c>
      <c r="F1640" s="3">
        <v>13388.5421919353</v>
      </c>
      <c r="G1640" s="3">
        <v>12756.9636247936</v>
      </c>
      <c r="H1640" s="3">
        <v>5663.06484544226</v>
      </c>
      <c r="I1640" s="3">
        <v>68776.6317977414</v>
      </c>
      <c r="J1640" s="4">
        <v>45809.0</v>
      </c>
      <c r="K1640" s="3">
        <v>16.0</v>
      </c>
      <c r="L1640" s="3" t="s">
        <v>15</v>
      </c>
    </row>
    <row r="1641" ht="15.75" customHeight="1">
      <c r="A1641" s="3" t="s">
        <v>1719</v>
      </c>
      <c r="B1641" s="3" t="s">
        <v>25</v>
      </c>
      <c r="C1641" s="3" t="s">
        <v>26</v>
      </c>
      <c r="D1641" s="3">
        <v>66886.5833966612</v>
      </c>
      <c r="E1641" s="3">
        <v>21937.1691276819</v>
      </c>
      <c r="F1641" s="3">
        <v>13396.2221953648</v>
      </c>
      <c r="G1641" s="3">
        <v>12760.3611754809</v>
      </c>
      <c r="H1641" s="3">
        <v>5613.56112769316</v>
      </c>
      <c r="I1641" s="3">
        <v>68780.0132721612</v>
      </c>
      <c r="J1641" s="4">
        <v>45748.0</v>
      </c>
      <c r="K1641" s="3">
        <v>9.0</v>
      </c>
      <c r="L1641" s="3" t="s">
        <v>19</v>
      </c>
    </row>
    <row r="1642" ht="15.75" customHeight="1">
      <c r="A1642" s="3" t="s">
        <v>1720</v>
      </c>
      <c r="B1642" s="3" t="s">
        <v>25</v>
      </c>
      <c r="C1642" s="3" t="s">
        <v>18</v>
      </c>
      <c r="D1642" s="3">
        <v>66897.4663665674</v>
      </c>
      <c r="E1642" s="3">
        <v>21941.7838460093</v>
      </c>
      <c r="F1642" s="3">
        <v>13403.9021987943</v>
      </c>
      <c r="G1642" s="3">
        <v>12763.7587261682</v>
      </c>
      <c r="H1642" s="3">
        <v>5564.05740994397</v>
      </c>
      <c r="I1642" s="3">
        <v>68783.394746581</v>
      </c>
      <c r="J1642" s="4">
        <v>45931.0</v>
      </c>
      <c r="K1642" s="3">
        <v>8.0</v>
      </c>
      <c r="L1642" s="3" t="s">
        <v>21</v>
      </c>
    </row>
    <row r="1643" ht="15.75" customHeight="1">
      <c r="A1643" s="3" t="s">
        <v>1721</v>
      </c>
      <c r="B1643" s="3" t="s">
        <v>25</v>
      </c>
      <c r="C1643" s="3" t="s">
        <v>30</v>
      </c>
      <c r="D1643" s="3">
        <v>66908.3493364736</v>
      </c>
      <c r="E1643" s="3">
        <v>21946.3985643367</v>
      </c>
      <c r="F1643" s="3">
        <v>13411.5822022238</v>
      </c>
      <c r="G1643" s="3">
        <v>12767.1562768555</v>
      </c>
      <c r="H1643" s="3">
        <v>5514.55369219487</v>
      </c>
      <c r="I1643" s="3">
        <v>68786.7762210008</v>
      </c>
      <c r="J1643" s="4">
        <v>45778.0</v>
      </c>
      <c r="K1643" s="3">
        <v>14.0</v>
      </c>
      <c r="L1643" s="3" t="s">
        <v>23</v>
      </c>
    </row>
    <row r="1644" ht="15.75" customHeight="1">
      <c r="A1644" s="3" t="s">
        <v>1722</v>
      </c>
      <c r="B1644" s="3" t="s">
        <v>53</v>
      </c>
      <c r="C1644" s="3" t="s">
        <v>30</v>
      </c>
      <c r="D1644" s="3">
        <v>66919.2323063798</v>
      </c>
      <c r="E1644" s="3">
        <v>21951.0132826642</v>
      </c>
      <c r="F1644" s="3">
        <v>13419.2622056533</v>
      </c>
      <c r="G1644" s="3">
        <v>12770.5538275427</v>
      </c>
      <c r="H1644" s="3">
        <v>5465.04997444576</v>
      </c>
      <c r="I1644" s="3">
        <v>68790.1576954206</v>
      </c>
      <c r="J1644" s="4">
        <v>45839.0</v>
      </c>
      <c r="K1644" s="3">
        <v>20.0</v>
      </c>
      <c r="L1644" s="3" t="s">
        <v>27</v>
      </c>
    </row>
    <row r="1645" ht="15.75" customHeight="1">
      <c r="A1645" s="3" t="s">
        <v>1723</v>
      </c>
      <c r="B1645" s="3" t="s">
        <v>25</v>
      </c>
      <c r="C1645" s="3" t="s">
        <v>37</v>
      </c>
      <c r="D1645" s="3">
        <v>66930.115276286</v>
      </c>
      <c r="E1645" s="3">
        <v>21955.6280009916</v>
      </c>
      <c r="F1645" s="3">
        <v>13426.9422090828</v>
      </c>
      <c r="G1645" s="3">
        <v>12773.95137823</v>
      </c>
      <c r="H1645" s="3">
        <v>5415.54625669656</v>
      </c>
      <c r="I1645" s="3">
        <v>68793.5391698404</v>
      </c>
      <c r="J1645" s="4">
        <v>45748.0</v>
      </c>
      <c r="K1645" s="3">
        <v>16.0</v>
      </c>
      <c r="L1645" s="3" t="s">
        <v>31</v>
      </c>
    </row>
    <row r="1646" ht="15.75" customHeight="1">
      <c r="A1646" s="3" t="s">
        <v>1724</v>
      </c>
      <c r="B1646" s="3" t="s">
        <v>17</v>
      </c>
      <c r="C1646" s="3" t="s">
        <v>33</v>
      </c>
      <c r="D1646" s="5"/>
      <c r="E1646" s="3">
        <v>21960.242719319</v>
      </c>
      <c r="F1646" s="3">
        <v>13434.6222125123</v>
      </c>
      <c r="G1646" s="3">
        <v>12777.3489289173</v>
      </c>
      <c r="H1646" s="3">
        <v>5366.04253894747</v>
      </c>
      <c r="I1646" s="3">
        <v>68796.9206442603</v>
      </c>
      <c r="J1646" s="4">
        <v>45839.0</v>
      </c>
      <c r="K1646" s="3">
        <v>8.0</v>
      </c>
      <c r="L1646" s="3" t="s">
        <v>34</v>
      </c>
    </row>
    <row r="1647" ht="15.75" customHeight="1">
      <c r="A1647" s="3" t="s">
        <v>1725</v>
      </c>
      <c r="B1647" s="3" t="s">
        <v>51</v>
      </c>
      <c r="C1647" s="3" t="s">
        <v>18</v>
      </c>
      <c r="D1647" s="3">
        <v>66951.8812160984</v>
      </c>
      <c r="E1647" s="3">
        <v>21964.8574376464</v>
      </c>
      <c r="F1647" s="3">
        <v>13442.3022159418</v>
      </c>
      <c r="G1647" s="3">
        <v>12780.7464796046</v>
      </c>
      <c r="H1647" s="3">
        <v>5316.53882119837</v>
      </c>
      <c r="I1647" s="3">
        <v>68800.3021186801</v>
      </c>
      <c r="J1647" s="4">
        <v>45870.0</v>
      </c>
      <c r="K1647" s="3">
        <v>1.0</v>
      </c>
      <c r="L1647" s="3" t="s">
        <v>38</v>
      </c>
    </row>
    <row r="1648" ht="15.75" customHeight="1">
      <c r="A1648" s="3" t="s">
        <v>1726</v>
      </c>
      <c r="B1648" s="3" t="s">
        <v>36</v>
      </c>
      <c r="C1648" s="3" t="s">
        <v>30</v>
      </c>
      <c r="D1648" s="3">
        <v>66962.7641860046</v>
      </c>
      <c r="E1648" s="3">
        <v>21969.4721559739</v>
      </c>
      <c r="F1648" s="3">
        <v>13449.9822193713</v>
      </c>
      <c r="G1648" s="3">
        <v>12784.1440302919</v>
      </c>
      <c r="H1648" s="3">
        <v>5267.03510344926</v>
      </c>
      <c r="I1648" s="3">
        <v>68803.6835930999</v>
      </c>
      <c r="J1648" s="4">
        <v>45992.0</v>
      </c>
      <c r="K1648" s="3">
        <v>8.0</v>
      </c>
      <c r="L1648" s="3" t="s">
        <v>40</v>
      </c>
    </row>
    <row r="1649" ht="15.75" customHeight="1">
      <c r="A1649" s="3" t="s">
        <v>1727</v>
      </c>
      <c r="B1649" s="3" t="s">
        <v>17</v>
      </c>
      <c r="C1649" s="3" t="s">
        <v>18</v>
      </c>
      <c r="D1649" s="3">
        <v>66973.6471559108</v>
      </c>
      <c r="E1649" s="3">
        <v>21974.0868743013</v>
      </c>
      <c r="F1649" s="3">
        <v>13457.6622228008</v>
      </c>
      <c r="G1649" s="3">
        <v>12787.5415809792</v>
      </c>
      <c r="H1649" s="3">
        <v>5217.53138570006</v>
      </c>
      <c r="I1649" s="3">
        <v>68807.0650675197</v>
      </c>
      <c r="J1649" s="4">
        <v>45809.0</v>
      </c>
      <c r="K1649" s="3">
        <v>21.0</v>
      </c>
      <c r="L1649" s="3" t="s">
        <v>42</v>
      </c>
    </row>
    <row r="1650" ht="15.75" customHeight="1">
      <c r="A1650" s="3" t="s">
        <v>1728</v>
      </c>
      <c r="B1650" s="3" t="s">
        <v>29</v>
      </c>
      <c r="C1650" s="3" t="s">
        <v>18</v>
      </c>
      <c r="D1650" s="3">
        <v>66984.530125817</v>
      </c>
      <c r="E1650" s="3">
        <v>21978.7015926287</v>
      </c>
      <c r="F1650" s="3">
        <v>13465.3422262303</v>
      </c>
      <c r="G1650" s="3">
        <v>12790.9391316665</v>
      </c>
      <c r="H1650" s="3">
        <v>5168.02766795097</v>
      </c>
      <c r="I1650" s="3">
        <v>68810.4465419395</v>
      </c>
      <c r="J1650" s="4">
        <v>45870.0</v>
      </c>
      <c r="K1650" s="3">
        <v>20.0</v>
      </c>
      <c r="L1650" s="3" t="s">
        <v>15</v>
      </c>
    </row>
    <row r="1651" ht="15.75" customHeight="1">
      <c r="A1651" s="3" t="s">
        <v>1729</v>
      </c>
      <c r="B1651" s="3" t="s">
        <v>53</v>
      </c>
      <c r="C1651" s="3" t="s">
        <v>14</v>
      </c>
      <c r="D1651" s="3">
        <v>66995.4130957232</v>
      </c>
      <c r="E1651" s="3">
        <v>21983.3163109561</v>
      </c>
      <c r="F1651" s="3">
        <v>13473.0222296598</v>
      </c>
      <c r="G1651" s="3">
        <v>12794.3366823538</v>
      </c>
      <c r="H1651" s="3">
        <v>5118.52395020187</v>
      </c>
      <c r="I1651" s="3">
        <v>68813.8280163593</v>
      </c>
      <c r="J1651" s="4">
        <v>45839.0</v>
      </c>
      <c r="K1651" s="3">
        <v>23.0</v>
      </c>
      <c r="L1651" s="3" t="s">
        <v>19</v>
      </c>
    </row>
    <row r="1652" ht="15.75" customHeight="1">
      <c r="A1652" s="3" t="s">
        <v>1730</v>
      </c>
      <c r="B1652" s="3" t="s">
        <v>13</v>
      </c>
      <c r="C1652" s="3" t="s">
        <v>18</v>
      </c>
      <c r="D1652" s="3">
        <v>67006.2960656294</v>
      </c>
      <c r="E1652" s="3">
        <v>21987.9310292835</v>
      </c>
      <c r="F1652" s="3">
        <v>13480.7022330893</v>
      </c>
      <c r="G1652" s="3">
        <v>12797.734233041</v>
      </c>
      <c r="H1652" s="3">
        <v>5069.02023245276</v>
      </c>
      <c r="I1652" s="3">
        <v>68817.2094907791</v>
      </c>
      <c r="J1652" s="4">
        <v>45778.0</v>
      </c>
      <c r="K1652" s="3">
        <v>10.0</v>
      </c>
      <c r="L1652" s="3" t="s">
        <v>21</v>
      </c>
    </row>
    <row r="1653" ht="15.75" customHeight="1">
      <c r="A1653" s="3" t="s">
        <v>1731</v>
      </c>
      <c r="B1653" s="3" t="s">
        <v>51</v>
      </c>
      <c r="C1653" s="3" t="s">
        <v>54</v>
      </c>
      <c r="D1653" s="3">
        <v>67017.1790355355</v>
      </c>
      <c r="E1653" s="3">
        <v>21992.545747611</v>
      </c>
      <c r="F1653" s="3">
        <v>13488.3822365188</v>
      </c>
      <c r="G1653" s="3">
        <v>12801.1317837283</v>
      </c>
      <c r="H1653" s="3">
        <v>5019.51651470356</v>
      </c>
      <c r="I1653" s="3">
        <v>68820.590965199</v>
      </c>
      <c r="J1653" s="4">
        <v>45809.0</v>
      </c>
      <c r="K1653" s="3">
        <v>25.0</v>
      </c>
      <c r="L1653" s="3" t="s">
        <v>23</v>
      </c>
    </row>
    <row r="1654" ht="15.75" customHeight="1">
      <c r="A1654" s="3" t="s">
        <v>1732</v>
      </c>
      <c r="B1654" s="3" t="s">
        <v>29</v>
      </c>
      <c r="C1654" s="3" t="s">
        <v>37</v>
      </c>
      <c r="D1654" s="3">
        <v>67028.0620054417</v>
      </c>
      <c r="E1654" s="3">
        <v>21997.1604659384</v>
      </c>
      <c r="F1654" s="3">
        <v>13496.0622399483</v>
      </c>
      <c r="G1654" s="3">
        <v>12804.5293344156</v>
      </c>
      <c r="H1654" s="3">
        <v>4970.01279695446</v>
      </c>
      <c r="I1654" s="3">
        <v>68823.9724396188</v>
      </c>
      <c r="J1654" s="4">
        <v>45870.0</v>
      </c>
      <c r="K1654" s="3">
        <v>10.0</v>
      </c>
      <c r="L1654" s="3" t="s">
        <v>27</v>
      </c>
    </row>
    <row r="1655" ht="15.75" customHeight="1">
      <c r="A1655" s="3" t="s">
        <v>1733</v>
      </c>
      <c r="B1655" s="3" t="s">
        <v>13</v>
      </c>
      <c r="C1655" s="3" t="s">
        <v>26</v>
      </c>
      <c r="D1655" s="3">
        <v>67038.9449753479</v>
      </c>
      <c r="E1655" s="3">
        <v>22001.7751842658</v>
      </c>
      <c r="F1655" s="3">
        <v>13503.7422433778</v>
      </c>
      <c r="G1655" s="3">
        <v>12807.9268851029</v>
      </c>
      <c r="H1655" s="3">
        <v>4920.50907920537</v>
      </c>
      <c r="I1655" s="3">
        <v>68827.3539140386</v>
      </c>
      <c r="J1655" s="4">
        <v>45839.0</v>
      </c>
      <c r="K1655" s="3">
        <v>10.0</v>
      </c>
      <c r="L1655" s="3" t="s">
        <v>31</v>
      </c>
    </row>
    <row r="1656" ht="15.75" customHeight="1">
      <c r="A1656" s="3" t="s">
        <v>1734</v>
      </c>
      <c r="B1656" s="3" t="s">
        <v>17</v>
      </c>
      <c r="C1656" s="3" t="s">
        <v>14</v>
      </c>
      <c r="D1656" s="5"/>
      <c r="E1656" s="3">
        <v>22006.3899025932</v>
      </c>
      <c r="F1656" s="3">
        <v>13511.4222468073</v>
      </c>
      <c r="G1656" s="3">
        <v>12811.3244357902</v>
      </c>
      <c r="H1656" s="3">
        <v>4871.00536145616</v>
      </c>
      <c r="I1656" s="3">
        <v>68830.7353884584</v>
      </c>
      <c r="J1656" s="4">
        <v>45778.0</v>
      </c>
      <c r="K1656" s="3">
        <v>8.0</v>
      </c>
      <c r="L1656" s="3" t="s">
        <v>34</v>
      </c>
    </row>
    <row r="1657" ht="15.75" customHeight="1">
      <c r="A1657" s="3" t="s">
        <v>1735</v>
      </c>
      <c r="B1657" s="3" t="s">
        <v>51</v>
      </c>
      <c r="C1657" s="3" t="s">
        <v>18</v>
      </c>
      <c r="D1657" s="3">
        <v>67060.7109151603</v>
      </c>
      <c r="E1657" s="3">
        <v>22011.0046209207</v>
      </c>
      <c r="F1657" s="3">
        <v>13519.1022502368</v>
      </c>
      <c r="G1657" s="3">
        <v>12814.7219864775</v>
      </c>
      <c r="H1657" s="3">
        <v>4821.50164370706</v>
      </c>
      <c r="I1657" s="3">
        <v>68834.1168628782</v>
      </c>
      <c r="J1657" s="4">
        <v>45962.0</v>
      </c>
      <c r="K1657" s="3">
        <v>21.0</v>
      </c>
      <c r="L1657" s="3" t="s">
        <v>38</v>
      </c>
    </row>
    <row r="1658" ht="15.75" customHeight="1">
      <c r="A1658" s="3" t="s">
        <v>1736</v>
      </c>
      <c r="B1658" s="3" t="s">
        <v>17</v>
      </c>
      <c r="C1658" s="3" t="s">
        <v>18</v>
      </c>
      <c r="D1658" s="3">
        <v>67071.5938850665</v>
      </c>
      <c r="E1658" s="3">
        <v>22015.6193392481</v>
      </c>
      <c r="F1658" s="3">
        <v>13526.7822536662</v>
      </c>
      <c r="G1658" s="3">
        <v>12818.1195371648</v>
      </c>
      <c r="H1658" s="3">
        <v>4771.99792595796</v>
      </c>
      <c r="I1658" s="3">
        <v>68837.498337298</v>
      </c>
      <c r="J1658" s="4">
        <v>45748.0</v>
      </c>
      <c r="K1658" s="3">
        <v>4.0</v>
      </c>
      <c r="L1658" s="3" t="s">
        <v>40</v>
      </c>
    </row>
    <row r="1659" ht="15.75" customHeight="1">
      <c r="A1659" s="3" t="s">
        <v>1737</v>
      </c>
      <c r="B1659" s="3" t="s">
        <v>51</v>
      </c>
      <c r="C1659" s="3" t="s">
        <v>14</v>
      </c>
      <c r="D1659" s="3">
        <v>67082.4768549727</v>
      </c>
      <c r="E1659" s="3">
        <v>22020.2340575755</v>
      </c>
      <c r="F1659" s="3">
        <v>13534.4622570957</v>
      </c>
      <c r="G1659" s="3">
        <v>12821.517087852</v>
      </c>
      <c r="H1659" s="3">
        <v>4722.49420820887</v>
      </c>
      <c r="I1659" s="3">
        <v>68840.8798117178</v>
      </c>
      <c r="J1659" s="4">
        <v>45689.0</v>
      </c>
      <c r="K1659" s="3">
        <v>23.0</v>
      </c>
      <c r="L1659" s="3" t="s">
        <v>42</v>
      </c>
    </row>
    <row r="1660" ht="15.75" customHeight="1">
      <c r="A1660" s="3" t="s">
        <v>1738</v>
      </c>
      <c r="B1660" s="3" t="s">
        <v>36</v>
      </c>
      <c r="C1660" s="3" t="s">
        <v>18</v>
      </c>
      <c r="D1660" s="3">
        <v>67093.3598248789</v>
      </c>
      <c r="E1660" s="3">
        <v>22024.8487759029</v>
      </c>
      <c r="F1660" s="3">
        <v>13542.1422605252</v>
      </c>
      <c r="G1660" s="3">
        <v>12824.9146385393</v>
      </c>
      <c r="H1660" s="3">
        <v>4672.99049045966</v>
      </c>
      <c r="I1660" s="3">
        <v>68844.2612861377</v>
      </c>
      <c r="J1660" s="4">
        <v>45992.0</v>
      </c>
      <c r="K1660" s="3">
        <v>14.0</v>
      </c>
      <c r="L1660" s="3" t="s">
        <v>15</v>
      </c>
    </row>
    <row r="1661" ht="15.75" customHeight="1">
      <c r="A1661" s="3" t="s">
        <v>1739</v>
      </c>
      <c r="B1661" s="3" t="s">
        <v>51</v>
      </c>
      <c r="C1661" s="3" t="s">
        <v>37</v>
      </c>
      <c r="D1661" s="3">
        <v>67104.2427947851</v>
      </c>
      <c r="E1661" s="3">
        <v>22029.4634942303</v>
      </c>
      <c r="F1661" s="3">
        <v>13549.8222639547</v>
      </c>
      <c r="G1661" s="3">
        <v>12828.3121892266</v>
      </c>
      <c r="H1661" s="3">
        <v>4623.48677271056</v>
      </c>
      <c r="I1661" s="3">
        <v>68847.6427605575</v>
      </c>
      <c r="J1661" s="4">
        <v>45870.0</v>
      </c>
      <c r="K1661" s="3">
        <v>22.0</v>
      </c>
      <c r="L1661" s="3" t="s">
        <v>19</v>
      </c>
    </row>
    <row r="1662" ht="15.75" customHeight="1">
      <c r="A1662" s="3" t="s">
        <v>1740</v>
      </c>
      <c r="B1662" s="3" t="s">
        <v>29</v>
      </c>
      <c r="C1662" s="3" t="s">
        <v>26</v>
      </c>
      <c r="D1662" s="3">
        <v>67115.1257646913</v>
      </c>
      <c r="E1662" s="3">
        <v>22034.0782125578</v>
      </c>
      <c r="F1662" s="3">
        <v>13557.5022673842</v>
      </c>
      <c r="G1662" s="3">
        <v>12831.7097399139</v>
      </c>
      <c r="H1662" s="3">
        <v>4573.98305496146</v>
      </c>
      <c r="I1662" s="3">
        <v>68851.0242349773</v>
      </c>
      <c r="J1662" s="4">
        <v>45809.0</v>
      </c>
      <c r="K1662" s="3">
        <v>15.0</v>
      </c>
      <c r="L1662" s="3" t="s">
        <v>21</v>
      </c>
    </row>
    <row r="1663" ht="15.75" customHeight="1">
      <c r="A1663" s="3" t="s">
        <v>1741</v>
      </c>
      <c r="B1663" s="3" t="s">
        <v>17</v>
      </c>
      <c r="C1663" s="3" t="s">
        <v>30</v>
      </c>
      <c r="D1663" s="3">
        <v>67126.0087345975</v>
      </c>
      <c r="E1663" s="3">
        <v>22038.6929308852</v>
      </c>
      <c r="F1663" s="3">
        <v>13565.1822708137</v>
      </c>
      <c r="G1663" s="3">
        <v>12835.1072906012</v>
      </c>
      <c r="H1663" s="3">
        <v>4524.47933721237</v>
      </c>
      <c r="I1663" s="3">
        <v>68854.4057093971</v>
      </c>
      <c r="J1663" s="4">
        <v>45717.0</v>
      </c>
      <c r="K1663" s="3">
        <v>15.0</v>
      </c>
      <c r="L1663" s="3" t="s">
        <v>23</v>
      </c>
    </row>
    <row r="1664" ht="15.75" customHeight="1">
      <c r="A1664" s="3" t="s">
        <v>1742</v>
      </c>
      <c r="B1664" s="3" t="s">
        <v>29</v>
      </c>
      <c r="C1664" s="3" t="s">
        <v>33</v>
      </c>
      <c r="D1664" s="3">
        <v>67136.8917045037</v>
      </c>
      <c r="E1664" s="3">
        <v>22043.3076492126</v>
      </c>
      <c r="F1664" s="3">
        <v>13572.8622742432</v>
      </c>
      <c r="G1664" s="3">
        <v>12838.5048412885</v>
      </c>
      <c r="H1664" s="3">
        <v>4474.97561946316</v>
      </c>
      <c r="I1664" s="3">
        <v>68857.7871838169</v>
      </c>
      <c r="J1664" s="4">
        <v>45962.0</v>
      </c>
      <c r="K1664" s="3">
        <v>11.0</v>
      </c>
      <c r="L1664" s="3" t="s">
        <v>27</v>
      </c>
    </row>
    <row r="1665" ht="15.75" customHeight="1">
      <c r="A1665" s="3" t="s">
        <v>1743</v>
      </c>
      <c r="B1665" s="3" t="s">
        <v>51</v>
      </c>
      <c r="C1665" s="3" t="s">
        <v>54</v>
      </c>
      <c r="D1665" s="3">
        <v>67158.6576443161</v>
      </c>
      <c r="E1665" s="3">
        <v>22052.5370858675</v>
      </c>
      <c r="F1665" s="3">
        <v>13588.2222811022</v>
      </c>
      <c r="G1665" s="3">
        <v>12845.2999426631</v>
      </c>
      <c r="H1665" s="3">
        <v>4375.96818396496</v>
      </c>
      <c r="I1665" s="3">
        <v>68864.5501326565</v>
      </c>
      <c r="J1665" s="4">
        <v>45717.0</v>
      </c>
      <c r="K1665" s="3">
        <v>12.0</v>
      </c>
      <c r="L1665" s="3" t="s">
        <v>34</v>
      </c>
    </row>
    <row r="1666" ht="15.75" customHeight="1">
      <c r="A1666" s="3" t="s">
        <v>1744</v>
      </c>
      <c r="B1666" s="3" t="s">
        <v>53</v>
      </c>
      <c r="C1666" s="3" t="s">
        <v>18</v>
      </c>
      <c r="D1666" s="3">
        <v>67169.5406142223</v>
      </c>
      <c r="E1666" s="3">
        <v>22057.1518041949</v>
      </c>
      <c r="F1666" s="3">
        <v>13595.9022845317</v>
      </c>
      <c r="G1666" s="3">
        <v>12848.6974933503</v>
      </c>
      <c r="H1666" s="3">
        <v>4326.46446621587</v>
      </c>
      <c r="I1666" s="3">
        <v>68867.9316070764</v>
      </c>
      <c r="J1666" s="4">
        <v>45809.0</v>
      </c>
      <c r="K1666" s="3">
        <v>3.0</v>
      </c>
      <c r="L1666" s="3" t="s">
        <v>38</v>
      </c>
    </row>
    <row r="1667" ht="15.75" customHeight="1">
      <c r="A1667" s="3" t="s">
        <v>1745</v>
      </c>
      <c r="B1667" s="5"/>
      <c r="C1667" s="3" t="s">
        <v>14</v>
      </c>
      <c r="D1667" s="3">
        <v>67180.4235841284</v>
      </c>
      <c r="E1667" s="3">
        <v>22061.7665225223</v>
      </c>
      <c r="F1667" s="3">
        <v>13603.5822879612</v>
      </c>
      <c r="G1667" s="3">
        <v>12852.0950440376</v>
      </c>
      <c r="H1667" s="3">
        <v>4276.96074846666</v>
      </c>
      <c r="I1667" s="3">
        <v>68871.3130814962</v>
      </c>
      <c r="J1667" s="4">
        <v>45931.0</v>
      </c>
      <c r="K1667" s="3">
        <v>9.0</v>
      </c>
      <c r="L1667" s="3" t="s">
        <v>40</v>
      </c>
    </row>
    <row r="1668" ht="15.75" customHeight="1">
      <c r="A1668" s="3" t="s">
        <v>1746</v>
      </c>
      <c r="B1668" s="3" t="s">
        <v>25</v>
      </c>
      <c r="C1668" s="3" t="s">
        <v>30</v>
      </c>
      <c r="D1668" s="3">
        <v>67191.3065540346</v>
      </c>
      <c r="E1668" s="3">
        <v>22066.3812408497</v>
      </c>
      <c r="F1668" s="3">
        <v>13611.2622913907</v>
      </c>
      <c r="G1668" s="3">
        <v>12855.4925947249</v>
      </c>
      <c r="H1668" s="3">
        <v>4227.45703071756</v>
      </c>
      <c r="I1668" s="3">
        <v>68874.694555916</v>
      </c>
      <c r="J1668" s="4">
        <v>45962.0</v>
      </c>
      <c r="K1668" s="3">
        <v>13.0</v>
      </c>
      <c r="L1668" s="3" t="s">
        <v>42</v>
      </c>
    </row>
    <row r="1669" ht="15.75" customHeight="1">
      <c r="A1669" s="3" t="s">
        <v>1747</v>
      </c>
      <c r="B1669" s="3" t="s">
        <v>53</v>
      </c>
      <c r="C1669" s="3" t="s">
        <v>18</v>
      </c>
      <c r="D1669" s="3">
        <v>67202.1895239408</v>
      </c>
      <c r="E1669" s="3">
        <v>22070.9959591771</v>
      </c>
      <c r="F1669" s="3">
        <v>13618.9422948202</v>
      </c>
      <c r="G1669" s="3">
        <v>12858.8901454122</v>
      </c>
      <c r="H1669" s="3">
        <v>4177.95331296846</v>
      </c>
      <c r="I1669" s="3">
        <v>68878.0760303358</v>
      </c>
      <c r="J1669" s="4">
        <v>45778.0</v>
      </c>
      <c r="K1669" s="3">
        <v>4.0</v>
      </c>
      <c r="L1669" s="3" t="s">
        <v>15</v>
      </c>
    </row>
    <row r="1670" ht="15.75" customHeight="1">
      <c r="A1670" s="3" t="s">
        <v>1748</v>
      </c>
      <c r="B1670" s="3" t="s">
        <v>29</v>
      </c>
      <c r="C1670" s="3" t="s">
        <v>30</v>
      </c>
      <c r="D1670" s="3">
        <v>67213.072493847</v>
      </c>
      <c r="E1670" s="3">
        <v>22075.6106775046</v>
      </c>
      <c r="F1670" s="3">
        <v>13626.6222982497</v>
      </c>
      <c r="G1670" s="3">
        <v>12862.2876960995</v>
      </c>
      <c r="H1670" s="3">
        <v>4128.44959521927</v>
      </c>
      <c r="I1670" s="3">
        <v>68881.4575047556</v>
      </c>
      <c r="J1670" s="4">
        <v>45839.0</v>
      </c>
      <c r="K1670" s="3">
        <v>16.0</v>
      </c>
      <c r="L1670" s="3" t="s">
        <v>19</v>
      </c>
    </row>
    <row r="1671" ht="15.75" customHeight="1">
      <c r="A1671" s="3" t="s">
        <v>1749</v>
      </c>
      <c r="B1671" s="3" t="s">
        <v>13</v>
      </c>
      <c r="C1671" s="3" t="s">
        <v>14</v>
      </c>
      <c r="D1671" s="3">
        <v>67223.9554637532</v>
      </c>
      <c r="E1671" s="3">
        <v>22080.225395832</v>
      </c>
      <c r="F1671" s="3">
        <v>13634.3023016792</v>
      </c>
      <c r="G1671" s="3">
        <v>12865.6852467868</v>
      </c>
      <c r="H1671" s="3">
        <v>4078.94587747016</v>
      </c>
      <c r="I1671" s="3">
        <v>68884.8389791754</v>
      </c>
      <c r="J1671" s="4">
        <v>45658.0</v>
      </c>
      <c r="K1671" s="3">
        <v>11.0</v>
      </c>
      <c r="L1671" s="3" t="s">
        <v>21</v>
      </c>
    </row>
    <row r="1672" ht="15.75" customHeight="1">
      <c r="A1672" s="3" t="s">
        <v>1750</v>
      </c>
      <c r="B1672" s="3" t="s">
        <v>17</v>
      </c>
      <c r="C1672" s="3" t="s">
        <v>30</v>
      </c>
      <c r="D1672" s="3">
        <v>67234.8384336594</v>
      </c>
      <c r="E1672" s="3">
        <v>22084.8401141594</v>
      </c>
      <c r="F1672" s="3">
        <v>13641.9823051087</v>
      </c>
      <c r="G1672" s="3">
        <v>12869.0827974741</v>
      </c>
      <c r="H1672" s="3">
        <v>4029.44215972106</v>
      </c>
      <c r="I1672" s="3">
        <v>68888.2204535952</v>
      </c>
      <c r="J1672" s="4">
        <v>45809.0</v>
      </c>
      <c r="K1672" s="3">
        <v>3.0</v>
      </c>
      <c r="L1672" s="3" t="s">
        <v>23</v>
      </c>
    </row>
    <row r="1673" ht="15.75" customHeight="1">
      <c r="A1673" s="3" t="s">
        <v>1751</v>
      </c>
      <c r="B1673" s="3" t="s">
        <v>29</v>
      </c>
      <c r="C1673" s="3" t="s">
        <v>33</v>
      </c>
      <c r="D1673" s="3">
        <v>67245.7214035656</v>
      </c>
      <c r="E1673" s="3">
        <v>22089.4548324868</v>
      </c>
      <c r="F1673" s="3">
        <v>13649.6623085382</v>
      </c>
      <c r="G1673" s="3">
        <v>12872.4803481614</v>
      </c>
      <c r="H1673" s="3">
        <v>3979.93844197196</v>
      </c>
      <c r="I1673" s="3">
        <v>68891.6019280151</v>
      </c>
      <c r="J1673" s="4">
        <v>45689.0</v>
      </c>
      <c r="K1673" s="3">
        <v>9.0</v>
      </c>
      <c r="L1673" s="3" t="s">
        <v>27</v>
      </c>
    </row>
    <row r="1674" ht="15.75" customHeight="1">
      <c r="A1674" s="3" t="s">
        <v>1752</v>
      </c>
      <c r="B1674" s="3" t="s">
        <v>53</v>
      </c>
      <c r="C1674" s="3" t="s">
        <v>18</v>
      </c>
      <c r="D1674" s="3">
        <v>67256.6043734718</v>
      </c>
      <c r="E1674" s="3">
        <v>22094.0695508143</v>
      </c>
      <c r="F1674" s="3">
        <v>13657.3423119677</v>
      </c>
      <c r="G1674" s="3">
        <v>12875.8778988486</v>
      </c>
      <c r="H1674" s="3">
        <v>3930.43472422277</v>
      </c>
      <c r="I1674" s="3">
        <v>68894.9834024349</v>
      </c>
      <c r="J1674" s="4">
        <v>45658.0</v>
      </c>
      <c r="K1674" s="3">
        <v>11.0</v>
      </c>
      <c r="L1674" s="3" t="s">
        <v>31</v>
      </c>
    </row>
    <row r="1675" ht="15.75" customHeight="1">
      <c r="A1675" s="3" t="s">
        <v>1753</v>
      </c>
      <c r="B1675" s="3" t="s">
        <v>17</v>
      </c>
      <c r="C1675" s="3" t="s">
        <v>37</v>
      </c>
      <c r="D1675" s="3">
        <v>67267.487343378</v>
      </c>
      <c r="E1675" s="3">
        <v>22098.6842691417</v>
      </c>
      <c r="F1675" s="3">
        <v>13665.0223153972</v>
      </c>
      <c r="G1675" s="3">
        <v>12879.2754495359</v>
      </c>
      <c r="H1675" s="3">
        <v>3880.93100647366</v>
      </c>
      <c r="I1675" s="3">
        <v>68898.3648768547</v>
      </c>
      <c r="J1675" s="4">
        <v>45839.0</v>
      </c>
      <c r="K1675" s="3">
        <v>20.0</v>
      </c>
      <c r="L1675" s="3" t="s">
        <v>34</v>
      </c>
    </row>
    <row r="1676" ht="15.75" customHeight="1">
      <c r="A1676" s="3" t="s">
        <v>1754</v>
      </c>
      <c r="B1676" s="3" t="s">
        <v>25</v>
      </c>
      <c r="C1676" s="3" t="s">
        <v>54</v>
      </c>
      <c r="D1676" s="3">
        <v>67278.3703132842</v>
      </c>
      <c r="E1676" s="3">
        <v>22103.2989874691</v>
      </c>
      <c r="F1676" s="3">
        <v>13672.7023188267</v>
      </c>
      <c r="G1676" s="3">
        <v>12882.6730002232</v>
      </c>
      <c r="H1676" s="3">
        <v>3831.42728872456</v>
      </c>
      <c r="I1676" s="3">
        <v>68901.7463512745</v>
      </c>
      <c r="J1676" s="4">
        <v>45717.0</v>
      </c>
      <c r="K1676" s="3">
        <v>7.0</v>
      </c>
      <c r="L1676" s="3" t="s">
        <v>38</v>
      </c>
    </row>
    <row r="1677" ht="15.75" customHeight="1">
      <c r="A1677" s="3" t="s">
        <v>1755</v>
      </c>
      <c r="B1677" s="3" t="s">
        <v>36</v>
      </c>
      <c r="C1677" s="3" t="s">
        <v>18</v>
      </c>
      <c r="D1677" s="3">
        <v>67289.2532831904</v>
      </c>
      <c r="E1677" s="3">
        <v>22107.9137057965</v>
      </c>
      <c r="F1677" s="3">
        <v>13680.3823222562</v>
      </c>
      <c r="G1677" s="3">
        <v>12886.0705509105</v>
      </c>
      <c r="H1677" s="3">
        <v>3781.92357097546</v>
      </c>
      <c r="I1677" s="3">
        <v>68905.1278256943</v>
      </c>
      <c r="J1677" s="4">
        <v>45717.0</v>
      </c>
      <c r="K1677" s="3">
        <v>16.0</v>
      </c>
      <c r="L1677" s="3" t="s">
        <v>40</v>
      </c>
    </row>
    <row r="1678" ht="15.75" customHeight="1">
      <c r="A1678" s="3" t="s">
        <v>1756</v>
      </c>
      <c r="B1678" s="3" t="s">
        <v>29</v>
      </c>
      <c r="C1678" s="3" t="s">
        <v>14</v>
      </c>
      <c r="D1678" s="3">
        <v>67300.1362530966</v>
      </c>
      <c r="E1678" s="3">
        <v>22112.5284241239</v>
      </c>
      <c r="F1678" s="3">
        <v>13688.0623256857</v>
      </c>
      <c r="G1678" s="3">
        <v>12889.4681015978</v>
      </c>
      <c r="H1678" s="3">
        <v>3732.41985322627</v>
      </c>
      <c r="I1678" s="3">
        <v>68908.5093001141</v>
      </c>
      <c r="J1678" s="4">
        <v>45962.0</v>
      </c>
      <c r="K1678" s="3">
        <v>12.0</v>
      </c>
      <c r="L1678" s="3" t="s">
        <v>42</v>
      </c>
    </row>
    <row r="1679" ht="15.75" customHeight="1">
      <c r="A1679" s="3" t="s">
        <v>1757</v>
      </c>
      <c r="B1679" s="3" t="s">
        <v>53</v>
      </c>
      <c r="C1679" s="3" t="s">
        <v>33</v>
      </c>
      <c r="D1679" s="3">
        <v>67311.0192230028</v>
      </c>
      <c r="E1679" s="3">
        <v>22117.1431424514</v>
      </c>
      <c r="F1679" s="3">
        <v>13695.7423291152</v>
      </c>
      <c r="G1679" s="3">
        <v>12892.8656522851</v>
      </c>
      <c r="H1679" s="3">
        <v>3682.91613547716</v>
      </c>
      <c r="I1679" s="3">
        <v>68911.8907745339</v>
      </c>
      <c r="J1679" s="4">
        <v>45748.0</v>
      </c>
      <c r="K1679" s="3">
        <v>11.0</v>
      </c>
      <c r="L1679" s="3" t="s">
        <v>15</v>
      </c>
    </row>
    <row r="1680" ht="15.75" customHeight="1">
      <c r="A1680" s="3" t="s">
        <v>1758</v>
      </c>
      <c r="B1680" s="3" t="s">
        <v>13</v>
      </c>
      <c r="C1680" s="3" t="s">
        <v>14</v>
      </c>
      <c r="D1680" s="3">
        <v>67321.902192909</v>
      </c>
      <c r="E1680" s="3">
        <v>22121.7578607788</v>
      </c>
      <c r="F1680" s="3">
        <v>13703.4223325447</v>
      </c>
      <c r="G1680" s="3">
        <v>12896.2632029724</v>
      </c>
      <c r="H1680" s="3">
        <v>3633.41241772806</v>
      </c>
      <c r="I1680" s="3">
        <v>68915.2722489538</v>
      </c>
      <c r="J1680" s="4">
        <v>45931.0</v>
      </c>
      <c r="K1680" s="3">
        <v>1.0</v>
      </c>
      <c r="L1680" s="3" t="s">
        <v>19</v>
      </c>
    </row>
    <row r="1681" ht="15.75" customHeight="1">
      <c r="A1681" s="3" t="s">
        <v>1759</v>
      </c>
      <c r="B1681" s="3" t="s">
        <v>17</v>
      </c>
      <c r="C1681" s="3" t="s">
        <v>33</v>
      </c>
      <c r="D1681" s="3">
        <v>67343.6681327213</v>
      </c>
      <c r="E1681" s="3">
        <v>22130.9872974336</v>
      </c>
      <c r="F1681" s="3">
        <v>13718.7823394037</v>
      </c>
      <c r="G1681" s="3">
        <v>12903.0583043469</v>
      </c>
      <c r="H1681" s="3">
        <v>3534.40498222977</v>
      </c>
      <c r="I1681" s="3">
        <v>68922.0351977934</v>
      </c>
      <c r="J1681" s="4">
        <v>45901.0</v>
      </c>
      <c r="K1681" s="3">
        <v>12.0</v>
      </c>
      <c r="L1681" s="3" t="s">
        <v>23</v>
      </c>
    </row>
    <row r="1682" ht="15.75" customHeight="1">
      <c r="A1682" s="3" t="s">
        <v>1760</v>
      </c>
      <c r="B1682" s="3" t="s">
        <v>13</v>
      </c>
      <c r="C1682" s="3" t="s">
        <v>30</v>
      </c>
      <c r="D1682" s="3">
        <v>67354.5511026275</v>
      </c>
      <c r="E1682" s="3">
        <v>22135.6020157611</v>
      </c>
      <c r="F1682" s="3">
        <v>13726.4623428332</v>
      </c>
      <c r="G1682" s="3">
        <v>12906.4558550342</v>
      </c>
      <c r="H1682" s="3">
        <v>3484.90126448066</v>
      </c>
      <c r="I1682" s="3">
        <v>68925.4166722132</v>
      </c>
      <c r="J1682" s="4">
        <v>45992.0</v>
      </c>
      <c r="K1682" s="3">
        <v>9.0</v>
      </c>
      <c r="L1682" s="3" t="s">
        <v>27</v>
      </c>
    </row>
    <row r="1683" ht="15.75" customHeight="1">
      <c r="A1683" s="3" t="s">
        <v>1761</v>
      </c>
      <c r="B1683" s="3" t="s">
        <v>53</v>
      </c>
      <c r="C1683" s="3" t="s">
        <v>26</v>
      </c>
      <c r="D1683" s="3">
        <v>67365.4340725337</v>
      </c>
      <c r="E1683" s="3">
        <v>22140.2167340885</v>
      </c>
      <c r="F1683" s="3">
        <v>13734.1423462627</v>
      </c>
      <c r="G1683" s="3">
        <v>12909.8534057215</v>
      </c>
      <c r="H1683" s="3">
        <v>3435.39754673156</v>
      </c>
      <c r="I1683" s="3">
        <v>68928.798146633</v>
      </c>
      <c r="J1683" s="4">
        <v>45658.0</v>
      </c>
      <c r="K1683" s="3">
        <v>19.0</v>
      </c>
      <c r="L1683" s="3" t="s">
        <v>31</v>
      </c>
    </row>
    <row r="1684" ht="15.75" customHeight="1">
      <c r="A1684" s="3" t="s">
        <v>1762</v>
      </c>
      <c r="B1684" s="3" t="s">
        <v>25</v>
      </c>
      <c r="C1684" s="3" t="s">
        <v>26</v>
      </c>
      <c r="D1684" s="3">
        <v>67376.3170424399</v>
      </c>
      <c r="E1684" s="3">
        <v>22144.8314524159</v>
      </c>
      <c r="F1684" s="3">
        <v>13741.8223496922</v>
      </c>
      <c r="G1684" s="3">
        <v>12913.2509564088</v>
      </c>
      <c r="H1684" s="3">
        <v>3385.89382898246</v>
      </c>
      <c r="I1684" s="3">
        <v>68932.1796210528</v>
      </c>
      <c r="J1684" s="4">
        <v>45931.0</v>
      </c>
      <c r="K1684" s="3">
        <v>2.0</v>
      </c>
      <c r="L1684" s="3" t="s">
        <v>34</v>
      </c>
    </row>
    <row r="1685" ht="15.75" customHeight="1">
      <c r="A1685" s="3" t="s">
        <v>1763</v>
      </c>
      <c r="B1685" s="3" t="s">
        <v>13</v>
      </c>
      <c r="C1685" s="3" t="s">
        <v>14</v>
      </c>
      <c r="D1685" s="3">
        <v>67398.0829822523</v>
      </c>
      <c r="E1685" s="3">
        <v>22154.0608890707</v>
      </c>
      <c r="F1685" s="3">
        <v>13757.1823565512</v>
      </c>
      <c r="G1685" s="3">
        <v>12920.0460577834</v>
      </c>
      <c r="H1685" s="3">
        <v>3286.88639348416</v>
      </c>
      <c r="I1685" s="3">
        <v>68938.9425698925</v>
      </c>
      <c r="J1685" s="4">
        <v>45962.0</v>
      </c>
      <c r="K1685" s="3">
        <v>13.0</v>
      </c>
      <c r="L1685" s="3" t="s">
        <v>40</v>
      </c>
    </row>
    <row r="1686" ht="15.75" customHeight="1">
      <c r="A1686" s="3" t="s">
        <v>1764</v>
      </c>
      <c r="B1686" s="3" t="s">
        <v>51</v>
      </c>
      <c r="C1686" s="3" t="s">
        <v>33</v>
      </c>
      <c r="D1686" s="3">
        <v>67408.9659521585</v>
      </c>
      <c r="E1686" s="3">
        <v>22158.6756073982</v>
      </c>
      <c r="F1686" s="3">
        <v>13764.8623599807</v>
      </c>
      <c r="G1686" s="3">
        <v>12923.4436084707</v>
      </c>
      <c r="H1686" s="3">
        <v>3237.38267573506</v>
      </c>
      <c r="I1686" s="3">
        <v>68942.3240443123</v>
      </c>
      <c r="J1686" s="4">
        <v>45658.0</v>
      </c>
      <c r="K1686" s="3">
        <v>4.0</v>
      </c>
      <c r="L1686" s="3" t="s">
        <v>42</v>
      </c>
    </row>
    <row r="1687" ht="15.75" customHeight="1">
      <c r="A1687" s="3" t="s">
        <v>1765</v>
      </c>
      <c r="B1687" s="3" t="s">
        <v>13</v>
      </c>
      <c r="C1687" s="3" t="s">
        <v>14</v>
      </c>
      <c r="D1687" s="3">
        <v>67419.8489220647</v>
      </c>
      <c r="E1687" s="3">
        <v>22163.2903257256</v>
      </c>
      <c r="F1687" s="3">
        <v>13772.5423634102</v>
      </c>
      <c r="G1687" s="3">
        <v>12926.8411591579</v>
      </c>
      <c r="H1687" s="3">
        <v>3187.87895798586</v>
      </c>
      <c r="I1687" s="3">
        <v>68945.7055187321</v>
      </c>
      <c r="J1687" s="4">
        <v>45658.0</v>
      </c>
      <c r="K1687" s="3">
        <v>24.0</v>
      </c>
      <c r="L1687" s="3" t="s">
        <v>15</v>
      </c>
    </row>
    <row r="1688" ht="15.75" customHeight="1">
      <c r="A1688" s="3" t="s">
        <v>1766</v>
      </c>
      <c r="B1688" s="3" t="s">
        <v>51</v>
      </c>
      <c r="C1688" s="3" t="s">
        <v>14</v>
      </c>
      <c r="D1688" s="3">
        <v>67430.7318919709</v>
      </c>
      <c r="E1688" s="3">
        <v>22167.905044053</v>
      </c>
      <c r="F1688" s="3">
        <v>13780.2223668397</v>
      </c>
      <c r="G1688" s="3">
        <v>12930.2387098452</v>
      </c>
      <c r="H1688" s="3">
        <v>3138.37524023677</v>
      </c>
      <c r="I1688" s="3">
        <v>68949.0869931519</v>
      </c>
      <c r="J1688" s="4">
        <v>45809.0</v>
      </c>
      <c r="K1688" s="3">
        <v>18.0</v>
      </c>
      <c r="L1688" s="3" t="s">
        <v>19</v>
      </c>
    </row>
    <row r="1689" ht="15.75" customHeight="1">
      <c r="A1689" s="3" t="s">
        <v>1767</v>
      </c>
      <c r="B1689" s="3" t="s">
        <v>53</v>
      </c>
      <c r="C1689" s="3" t="s">
        <v>26</v>
      </c>
      <c r="D1689" s="3">
        <v>67441.6148618771</v>
      </c>
      <c r="E1689" s="3">
        <v>22172.5197623804</v>
      </c>
      <c r="F1689" s="3">
        <v>13787.9023702692</v>
      </c>
      <c r="G1689" s="3">
        <v>12933.6362605325</v>
      </c>
      <c r="H1689" s="3">
        <v>3088.87152248767</v>
      </c>
      <c r="I1689" s="3">
        <v>68952.4684675717</v>
      </c>
      <c r="J1689" s="4">
        <v>45931.0</v>
      </c>
      <c r="K1689" s="3">
        <v>15.0</v>
      </c>
      <c r="L1689" s="3" t="s">
        <v>21</v>
      </c>
    </row>
    <row r="1690" ht="15.75" customHeight="1">
      <c r="A1690" s="3" t="s">
        <v>1768</v>
      </c>
      <c r="B1690" s="3" t="s">
        <v>51</v>
      </c>
      <c r="C1690" s="3" t="s">
        <v>54</v>
      </c>
      <c r="D1690" s="3">
        <v>67452.4978317833</v>
      </c>
      <c r="E1690" s="3">
        <v>22177.1344807079</v>
      </c>
      <c r="F1690" s="3">
        <v>13795.5823736987</v>
      </c>
      <c r="G1690" s="3">
        <v>12937.0338112198</v>
      </c>
      <c r="H1690" s="3">
        <v>3039.36780473856</v>
      </c>
      <c r="I1690" s="3">
        <v>68955.8499419915</v>
      </c>
      <c r="J1690" s="4">
        <v>45901.0</v>
      </c>
      <c r="K1690" s="3">
        <v>16.0</v>
      </c>
      <c r="L1690" s="3" t="s">
        <v>23</v>
      </c>
    </row>
    <row r="1691" ht="15.75" customHeight="1">
      <c r="A1691" s="3" t="s">
        <v>1769</v>
      </c>
      <c r="B1691" s="3" t="s">
        <v>29</v>
      </c>
      <c r="C1691" s="3" t="s">
        <v>14</v>
      </c>
      <c r="D1691" s="3">
        <v>67463.3808016895</v>
      </c>
      <c r="E1691" s="3">
        <v>22181.7491990353</v>
      </c>
      <c r="F1691" s="3">
        <v>13803.2623771282</v>
      </c>
      <c r="G1691" s="3">
        <v>12940.4313619071</v>
      </c>
      <c r="H1691" s="3">
        <v>2989.86408698936</v>
      </c>
      <c r="I1691" s="3">
        <v>68959.2314164113</v>
      </c>
      <c r="J1691" s="4">
        <v>45778.0</v>
      </c>
      <c r="K1691" s="3">
        <v>22.0</v>
      </c>
      <c r="L1691" s="3" t="s">
        <v>27</v>
      </c>
    </row>
    <row r="1692" ht="15.75" customHeight="1">
      <c r="A1692" s="3" t="s">
        <v>1770</v>
      </c>
      <c r="B1692" s="3" t="s">
        <v>17</v>
      </c>
      <c r="C1692" s="3" t="s">
        <v>54</v>
      </c>
      <c r="D1692" s="3">
        <v>67474.2637715957</v>
      </c>
      <c r="E1692" s="3">
        <v>22186.3639173627</v>
      </c>
      <c r="F1692" s="3">
        <v>13810.9423805576</v>
      </c>
      <c r="G1692" s="3">
        <v>12943.8289125944</v>
      </c>
      <c r="H1692" s="3">
        <v>2940.36036924027</v>
      </c>
      <c r="I1692" s="3">
        <v>68962.6128908312</v>
      </c>
      <c r="J1692" s="4">
        <v>45931.0</v>
      </c>
      <c r="K1692" s="3">
        <v>7.0</v>
      </c>
      <c r="L1692" s="3" t="s">
        <v>31</v>
      </c>
    </row>
    <row r="1693" ht="15.75" customHeight="1">
      <c r="A1693" s="3" t="s">
        <v>1771</v>
      </c>
      <c r="B1693" s="5"/>
      <c r="C1693" s="3" t="s">
        <v>14</v>
      </c>
      <c r="D1693" s="3">
        <v>67485.1467415019</v>
      </c>
      <c r="E1693" s="3">
        <v>22190.9786356901</v>
      </c>
      <c r="F1693" s="3">
        <v>13818.6223839871</v>
      </c>
      <c r="G1693" s="3">
        <v>12947.2264632817</v>
      </c>
      <c r="H1693" s="3">
        <v>2890.85665149117</v>
      </c>
      <c r="I1693" s="3">
        <v>68965.994365251</v>
      </c>
      <c r="J1693" s="4">
        <v>45870.0</v>
      </c>
      <c r="K1693" s="3">
        <v>14.0</v>
      </c>
      <c r="L1693" s="3" t="s">
        <v>34</v>
      </c>
    </row>
    <row r="1694" ht="15.75" customHeight="1">
      <c r="A1694" s="3" t="s">
        <v>1772</v>
      </c>
      <c r="B1694" s="3" t="s">
        <v>25</v>
      </c>
      <c r="C1694" s="3" t="s">
        <v>33</v>
      </c>
      <c r="D1694" s="3">
        <v>67496.0297114081</v>
      </c>
      <c r="E1694" s="3">
        <v>22195.5933540175</v>
      </c>
      <c r="F1694" s="3">
        <v>13826.3023874166</v>
      </c>
      <c r="G1694" s="3">
        <v>12950.624013969</v>
      </c>
      <c r="H1694" s="3">
        <v>2841.35293374206</v>
      </c>
      <c r="I1694" s="3">
        <v>68969.3758396708</v>
      </c>
      <c r="J1694" s="4">
        <v>45748.0</v>
      </c>
      <c r="K1694" s="3">
        <v>23.0</v>
      </c>
      <c r="L1694" s="3" t="s">
        <v>38</v>
      </c>
    </row>
    <row r="1695" ht="15.75" customHeight="1">
      <c r="A1695" s="3" t="s">
        <v>1773</v>
      </c>
      <c r="B1695" s="3" t="s">
        <v>25</v>
      </c>
      <c r="C1695" s="3" t="s">
        <v>26</v>
      </c>
      <c r="D1695" s="3">
        <v>67506.9126813142</v>
      </c>
      <c r="E1695" s="3">
        <v>22200.208072345</v>
      </c>
      <c r="F1695" s="3">
        <v>13833.9823908461</v>
      </c>
      <c r="G1695" s="3">
        <v>12954.0215646562</v>
      </c>
      <c r="H1695" s="3">
        <v>2791.84921599286</v>
      </c>
      <c r="I1695" s="3">
        <v>68972.7573140906</v>
      </c>
      <c r="J1695" s="4">
        <v>45962.0</v>
      </c>
      <c r="K1695" s="3">
        <v>13.0</v>
      </c>
      <c r="L1695" s="3" t="s">
        <v>40</v>
      </c>
    </row>
    <row r="1696" ht="15.75" customHeight="1">
      <c r="A1696" s="3" t="s">
        <v>1774</v>
      </c>
      <c r="B1696" s="3" t="s">
        <v>51</v>
      </c>
      <c r="C1696" s="3" t="s">
        <v>14</v>
      </c>
      <c r="D1696" s="3">
        <v>67517.7956512204</v>
      </c>
      <c r="E1696" s="3">
        <v>22204.8227906724</v>
      </c>
      <c r="F1696" s="3">
        <v>13841.6623942756</v>
      </c>
      <c r="G1696" s="3">
        <v>12957.4191153435</v>
      </c>
      <c r="H1696" s="3">
        <v>2742.34549824377</v>
      </c>
      <c r="I1696" s="3">
        <v>68976.1387885104</v>
      </c>
      <c r="J1696" s="4">
        <v>45962.0</v>
      </c>
      <c r="K1696" s="3">
        <v>21.0</v>
      </c>
      <c r="L1696" s="3" t="s">
        <v>42</v>
      </c>
    </row>
    <row r="1697" ht="15.75" customHeight="1">
      <c r="A1697" s="3" t="s">
        <v>1775</v>
      </c>
      <c r="B1697" s="3" t="s">
        <v>25</v>
      </c>
      <c r="C1697" s="3" t="s">
        <v>18</v>
      </c>
      <c r="D1697" s="3">
        <v>67528.6786211266</v>
      </c>
      <c r="E1697" s="3">
        <v>22209.4375089998</v>
      </c>
      <c r="F1697" s="3">
        <v>13849.3423977051</v>
      </c>
      <c r="G1697" s="3">
        <v>12960.8166660308</v>
      </c>
      <c r="H1697" s="3">
        <v>2692.84178049467</v>
      </c>
      <c r="I1697" s="3">
        <v>68979.5202629302</v>
      </c>
      <c r="J1697" s="4">
        <v>45748.0</v>
      </c>
      <c r="K1697" s="3">
        <v>22.0</v>
      </c>
      <c r="L1697" s="3" t="s">
        <v>15</v>
      </c>
    </row>
    <row r="1698" ht="15.75" customHeight="1">
      <c r="A1698" s="3" t="s">
        <v>1776</v>
      </c>
      <c r="B1698" s="3" t="s">
        <v>36</v>
      </c>
      <c r="C1698" s="3" t="s">
        <v>26</v>
      </c>
      <c r="D1698" s="3">
        <v>67539.5615910328</v>
      </c>
      <c r="E1698" s="3">
        <v>22214.0522273272</v>
      </c>
      <c r="F1698" s="3">
        <v>13857.0224011346</v>
      </c>
      <c r="G1698" s="3">
        <v>12964.2142167181</v>
      </c>
      <c r="H1698" s="3">
        <v>2643.33806274546</v>
      </c>
      <c r="I1698" s="3">
        <v>68982.9017373501</v>
      </c>
      <c r="J1698" s="4">
        <v>45778.0</v>
      </c>
      <c r="K1698" s="3">
        <v>4.0</v>
      </c>
      <c r="L1698" s="3" t="s">
        <v>19</v>
      </c>
    </row>
    <row r="1699" ht="15.75" customHeight="1">
      <c r="A1699" s="3" t="s">
        <v>1777</v>
      </c>
      <c r="B1699" s="3" t="s">
        <v>17</v>
      </c>
      <c r="C1699" s="3" t="s">
        <v>14</v>
      </c>
      <c r="D1699" s="3">
        <v>67561.3275308452</v>
      </c>
      <c r="E1699" s="3">
        <v>22223.2816639821</v>
      </c>
      <c r="F1699" s="3">
        <v>13872.3824079936</v>
      </c>
      <c r="G1699" s="3">
        <v>12971.0093180927</v>
      </c>
      <c r="H1699" s="3">
        <v>2544.33062724727</v>
      </c>
      <c r="I1699" s="3">
        <v>68989.6646861897</v>
      </c>
      <c r="J1699" s="4">
        <v>45717.0</v>
      </c>
      <c r="K1699" s="3">
        <v>13.0</v>
      </c>
      <c r="L1699" s="3" t="s">
        <v>23</v>
      </c>
    </row>
    <row r="1700" ht="15.75" customHeight="1">
      <c r="A1700" s="3" t="s">
        <v>1778</v>
      </c>
      <c r="B1700" s="3" t="s">
        <v>29</v>
      </c>
      <c r="C1700" s="3" t="s">
        <v>54</v>
      </c>
      <c r="D1700" s="3">
        <v>67572.2105007514</v>
      </c>
      <c r="E1700" s="3">
        <v>22227.8963823095</v>
      </c>
      <c r="F1700" s="3">
        <v>13880.0624114231</v>
      </c>
      <c r="G1700" s="3">
        <v>12974.40686878</v>
      </c>
      <c r="H1700" s="3">
        <v>2494.82690949817</v>
      </c>
      <c r="I1700" s="3">
        <v>68993.0461606095</v>
      </c>
      <c r="J1700" s="4">
        <v>45962.0</v>
      </c>
      <c r="K1700" s="3">
        <v>19.0</v>
      </c>
      <c r="L1700" s="3" t="s">
        <v>27</v>
      </c>
    </row>
    <row r="1701" ht="15.75" customHeight="1">
      <c r="A1701" s="3" t="s">
        <v>1779</v>
      </c>
      <c r="B1701" s="3" t="s">
        <v>13</v>
      </c>
      <c r="C1701" s="3" t="s">
        <v>26</v>
      </c>
      <c r="D1701" s="3">
        <v>67583.0934706576</v>
      </c>
      <c r="E1701" s="3">
        <v>22232.5111006369</v>
      </c>
      <c r="F1701" s="3">
        <v>13887.7424148526</v>
      </c>
      <c r="G1701" s="3">
        <v>12977.8044194672</v>
      </c>
      <c r="H1701" s="3">
        <v>2445.32319174896</v>
      </c>
      <c r="I1701" s="3">
        <v>68996.4276350293</v>
      </c>
      <c r="J1701" s="4">
        <v>45839.0</v>
      </c>
      <c r="K1701" s="3">
        <v>16.0</v>
      </c>
      <c r="L1701" s="3" t="s">
        <v>31</v>
      </c>
    </row>
    <row r="1702" ht="15.75" customHeight="1">
      <c r="A1702" s="3" t="s">
        <v>1780</v>
      </c>
      <c r="B1702" s="3" t="s">
        <v>13</v>
      </c>
      <c r="C1702" s="3" t="s">
        <v>26</v>
      </c>
      <c r="D1702" s="3">
        <v>67604.85941047</v>
      </c>
      <c r="E1702" s="3">
        <v>22241.7405372918</v>
      </c>
      <c r="F1702" s="3">
        <v>13903.1024217116</v>
      </c>
      <c r="G1702" s="3">
        <v>12984.5995208418</v>
      </c>
      <c r="H1702" s="3">
        <v>2346.31575625077</v>
      </c>
      <c r="I1702" s="3">
        <v>69003.1905838689</v>
      </c>
      <c r="J1702" s="4">
        <v>45717.0</v>
      </c>
      <c r="K1702" s="3">
        <v>7.0</v>
      </c>
      <c r="L1702" s="3" t="s">
        <v>38</v>
      </c>
    </row>
    <row r="1703" ht="15.75" customHeight="1">
      <c r="A1703" s="3" t="s">
        <v>1781</v>
      </c>
      <c r="B1703" s="3" t="s">
        <v>51</v>
      </c>
      <c r="C1703" s="3" t="s">
        <v>30</v>
      </c>
      <c r="D1703" s="3">
        <v>67615.7423803762</v>
      </c>
      <c r="E1703" s="3">
        <v>22246.3552556192</v>
      </c>
      <c r="F1703" s="3">
        <v>13910.7824251411</v>
      </c>
      <c r="G1703" s="3">
        <v>12987.9970715291</v>
      </c>
      <c r="H1703" s="3">
        <v>2296.81203850167</v>
      </c>
      <c r="I1703" s="3">
        <v>69006.5720582888</v>
      </c>
      <c r="J1703" s="4">
        <v>45748.0</v>
      </c>
      <c r="K1703" s="3">
        <v>9.0</v>
      </c>
      <c r="L1703" s="3" t="s">
        <v>40</v>
      </c>
    </row>
    <row r="1704" ht="15.75" customHeight="1">
      <c r="A1704" s="3" t="s">
        <v>1782</v>
      </c>
      <c r="B1704" s="5"/>
      <c r="C1704" s="3" t="s">
        <v>54</v>
      </c>
      <c r="D1704" s="3">
        <v>67626.6253502824</v>
      </c>
      <c r="E1704" s="3">
        <v>22250.9699739466</v>
      </c>
      <c r="F1704" s="3">
        <v>13918.4624285706</v>
      </c>
      <c r="G1704" s="3">
        <v>12991.3946222164</v>
      </c>
      <c r="H1704" s="3">
        <v>2247.30832075246</v>
      </c>
      <c r="I1704" s="3">
        <v>69009.9535327086</v>
      </c>
      <c r="J1704" s="4">
        <v>45962.0</v>
      </c>
      <c r="K1704" s="3">
        <v>22.0</v>
      </c>
      <c r="L1704" s="3" t="s">
        <v>42</v>
      </c>
    </row>
    <row r="1705" ht="15.75" customHeight="1">
      <c r="A1705" s="3" t="s">
        <v>1783</v>
      </c>
      <c r="B1705" s="3" t="s">
        <v>36</v>
      </c>
      <c r="C1705" s="3" t="s">
        <v>33</v>
      </c>
      <c r="D1705" s="3">
        <v>67637.5083201886</v>
      </c>
      <c r="E1705" s="3">
        <v>22255.584692274</v>
      </c>
      <c r="F1705" s="3">
        <v>13926.1424320001</v>
      </c>
      <c r="G1705" s="3">
        <v>12994.7921729037</v>
      </c>
      <c r="H1705" s="3">
        <v>2197.80460300336</v>
      </c>
      <c r="I1705" s="3">
        <v>69013.3350071284</v>
      </c>
      <c r="J1705" s="4">
        <v>45809.0</v>
      </c>
      <c r="K1705" s="3">
        <v>24.0</v>
      </c>
      <c r="L1705" s="3" t="s">
        <v>15</v>
      </c>
    </row>
    <row r="1706" ht="15.75" customHeight="1">
      <c r="A1706" s="3" t="s">
        <v>1784</v>
      </c>
      <c r="B1706" s="3" t="s">
        <v>29</v>
      </c>
      <c r="C1706" s="3" t="s">
        <v>26</v>
      </c>
      <c r="D1706" s="3">
        <v>67648.3912900948</v>
      </c>
      <c r="E1706" s="3">
        <v>22260.1994106014</v>
      </c>
      <c r="F1706" s="3">
        <v>13933.8224354296</v>
      </c>
      <c r="G1706" s="3">
        <v>12998.189723591</v>
      </c>
      <c r="H1706" s="3">
        <v>54650.2015665038</v>
      </c>
      <c r="I1706" s="3">
        <v>59650.2015665038</v>
      </c>
      <c r="J1706" s="4">
        <v>45658.0</v>
      </c>
      <c r="K1706" s="3">
        <v>5.0</v>
      </c>
      <c r="L1706" s="3" t="s">
        <v>19</v>
      </c>
    </row>
    <row r="1707" ht="15.75" customHeight="1">
      <c r="A1707" s="3" t="s">
        <v>1785</v>
      </c>
      <c r="B1707" s="3" t="s">
        <v>51</v>
      </c>
      <c r="C1707" s="3" t="s">
        <v>14</v>
      </c>
      <c r="D1707" s="3">
        <v>67659.274260001</v>
      </c>
      <c r="E1707" s="3">
        <v>22264.8141289289</v>
      </c>
      <c r="F1707" s="3">
        <v>13941.5024388591</v>
      </c>
      <c r="G1707" s="3">
        <v>13001.5872742783</v>
      </c>
      <c r="H1707" s="3">
        <v>2098.79716750506</v>
      </c>
      <c r="I1707" s="3">
        <v>69020.097955968</v>
      </c>
      <c r="J1707" s="4">
        <v>45839.0</v>
      </c>
      <c r="K1707" s="3">
        <v>16.0</v>
      </c>
      <c r="L1707" s="3" t="s">
        <v>21</v>
      </c>
    </row>
    <row r="1708" ht="15.75" customHeight="1">
      <c r="A1708" s="3" t="s">
        <v>1786</v>
      </c>
      <c r="B1708" s="3" t="s">
        <v>13</v>
      </c>
      <c r="C1708" s="3" t="s">
        <v>33</v>
      </c>
      <c r="D1708" s="3">
        <v>67670.1572299072</v>
      </c>
      <c r="E1708" s="3">
        <v>22269.4288472563</v>
      </c>
      <c r="F1708" s="3">
        <v>13949.1824422886</v>
      </c>
      <c r="G1708" s="3">
        <v>13004.9848249655</v>
      </c>
      <c r="H1708" s="3">
        <v>2049.29344975596</v>
      </c>
      <c r="I1708" s="3">
        <v>69023.4794303878</v>
      </c>
      <c r="J1708" s="4">
        <v>45689.0</v>
      </c>
      <c r="K1708" s="3">
        <v>5.0</v>
      </c>
      <c r="L1708" s="3" t="s">
        <v>23</v>
      </c>
    </row>
    <row r="1709" ht="15.75" customHeight="1">
      <c r="A1709" s="3" t="s">
        <v>1787</v>
      </c>
      <c r="B1709" s="3" t="s">
        <v>25</v>
      </c>
      <c r="C1709" s="3" t="s">
        <v>54</v>
      </c>
      <c r="D1709" s="3">
        <v>67681.0401998133</v>
      </c>
      <c r="E1709" s="3">
        <v>22274.0435655837</v>
      </c>
      <c r="F1709" s="3">
        <v>13956.8624457181</v>
      </c>
      <c r="G1709" s="3">
        <v>13008.3823756528</v>
      </c>
      <c r="H1709" s="3">
        <v>1999.78973200686</v>
      </c>
      <c r="I1709" s="3">
        <v>69026.8609048076</v>
      </c>
      <c r="J1709" s="4">
        <v>45748.0</v>
      </c>
      <c r="K1709" s="3">
        <v>23.0</v>
      </c>
      <c r="L1709" s="3" t="s">
        <v>27</v>
      </c>
    </row>
    <row r="1710" ht="15.75" customHeight="1">
      <c r="A1710" s="3" t="s">
        <v>1788</v>
      </c>
      <c r="B1710" s="3" t="s">
        <v>25</v>
      </c>
      <c r="C1710" s="3" t="s">
        <v>26</v>
      </c>
      <c r="D1710" s="3">
        <v>67691.9231697195</v>
      </c>
      <c r="E1710" s="3">
        <v>22278.6582839111</v>
      </c>
      <c r="F1710" s="3">
        <v>13964.5424491476</v>
      </c>
      <c r="G1710" s="3">
        <v>13011.7799263401</v>
      </c>
      <c r="H1710" s="3">
        <v>1950.28601425776</v>
      </c>
      <c r="I1710" s="3">
        <v>69030.2423792274</v>
      </c>
      <c r="J1710" s="4">
        <v>45962.0</v>
      </c>
      <c r="K1710" s="3">
        <v>11.0</v>
      </c>
      <c r="L1710" s="3" t="s">
        <v>31</v>
      </c>
    </row>
    <row r="1711" ht="15.75" customHeight="1">
      <c r="A1711" s="3" t="s">
        <v>1789</v>
      </c>
      <c r="B1711" s="3" t="s">
        <v>51</v>
      </c>
      <c r="C1711" s="3" t="s">
        <v>30</v>
      </c>
      <c r="D1711" s="3">
        <v>67702.8061396257</v>
      </c>
      <c r="E1711" s="3">
        <v>22283.2730022386</v>
      </c>
      <c r="F1711" s="3">
        <v>13972.2224525771</v>
      </c>
      <c r="G1711" s="3">
        <v>13015.1774770274</v>
      </c>
      <c r="H1711" s="3">
        <v>1900.78229650857</v>
      </c>
      <c r="I1711" s="3">
        <v>69033.6238536473</v>
      </c>
      <c r="J1711" s="4">
        <v>45689.0</v>
      </c>
      <c r="K1711" s="3">
        <v>10.0</v>
      </c>
      <c r="L1711" s="3" t="s">
        <v>34</v>
      </c>
    </row>
    <row r="1712" ht="15.75" customHeight="1">
      <c r="A1712" s="3" t="s">
        <v>1790</v>
      </c>
      <c r="B1712" s="3" t="s">
        <v>17</v>
      </c>
      <c r="C1712" s="3" t="s">
        <v>37</v>
      </c>
      <c r="D1712" s="3">
        <v>67713.6891095319</v>
      </c>
      <c r="E1712" s="3">
        <v>22287.887720566</v>
      </c>
      <c r="F1712" s="3">
        <v>13979.9024560066</v>
      </c>
      <c r="G1712" s="3">
        <v>13018.5750277147</v>
      </c>
      <c r="H1712" s="3">
        <v>1851.27857875946</v>
      </c>
      <c r="I1712" s="3">
        <v>69037.0053280671</v>
      </c>
      <c r="J1712" s="4">
        <v>45809.0</v>
      </c>
      <c r="K1712" s="3">
        <v>10.0</v>
      </c>
      <c r="L1712" s="3" t="s">
        <v>38</v>
      </c>
    </row>
    <row r="1713" ht="15.75" customHeight="1">
      <c r="A1713" s="3" t="s">
        <v>1791</v>
      </c>
      <c r="B1713" s="3" t="s">
        <v>51</v>
      </c>
      <c r="C1713" s="3" t="s">
        <v>18</v>
      </c>
      <c r="D1713" s="3">
        <v>67724.5720794381</v>
      </c>
      <c r="E1713" s="3">
        <v>22292.5024388934</v>
      </c>
      <c r="F1713" s="3">
        <v>13987.5824594361</v>
      </c>
      <c r="G1713" s="3">
        <v>13021.972578402</v>
      </c>
      <c r="H1713" s="3">
        <v>1801.77486101036</v>
      </c>
      <c r="I1713" s="3">
        <v>69040.3868024869</v>
      </c>
      <c r="J1713" s="4">
        <v>45839.0</v>
      </c>
      <c r="K1713" s="3">
        <v>14.0</v>
      </c>
      <c r="L1713" s="3" t="s">
        <v>40</v>
      </c>
    </row>
    <row r="1714" ht="15.75" customHeight="1">
      <c r="A1714" s="3" t="s">
        <v>1792</v>
      </c>
      <c r="B1714" s="3" t="s">
        <v>17</v>
      </c>
      <c r="C1714" s="3" t="s">
        <v>14</v>
      </c>
      <c r="D1714" s="3">
        <v>67735.4550493443</v>
      </c>
      <c r="E1714" s="3">
        <v>22297.1171572208</v>
      </c>
      <c r="F1714" s="3">
        <v>13995.2624628655</v>
      </c>
      <c r="G1714" s="3">
        <v>13025.3701290893</v>
      </c>
      <c r="H1714" s="3">
        <v>1752.27114326126</v>
      </c>
      <c r="I1714" s="3">
        <v>69043.7682769067</v>
      </c>
      <c r="J1714" s="4">
        <v>45717.0</v>
      </c>
      <c r="K1714" s="3">
        <v>6.0</v>
      </c>
      <c r="L1714" s="3" t="s">
        <v>42</v>
      </c>
    </row>
    <row r="1715" ht="15.75" customHeight="1">
      <c r="A1715" s="3" t="s">
        <v>1793</v>
      </c>
      <c r="B1715" s="3" t="s">
        <v>25</v>
      </c>
      <c r="C1715" s="3" t="s">
        <v>18</v>
      </c>
      <c r="D1715" s="3">
        <v>67746.3380192505</v>
      </c>
      <c r="E1715" s="3">
        <v>22301.7318755482</v>
      </c>
      <c r="F1715" s="3">
        <v>14002.942466295</v>
      </c>
      <c r="G1715" s="5"/>
      <c r="H1715" s="3">
        <v>1702.76742551207</v>
      </c>
      <c r="I1715" s="3">
        <v>69047.1497513265</v>
      </c>
      <c r="J1715" s="4">
        <v>45717.0</v>
      </c>
      <c r="K1715" s="3">
        <v>1.0</v>
      </c>
      <c r="L1715" s="3" t="s">
        <v>15</v>
      </c>
    </row>
    <row r="1716" ht="15.75" customHeight="1">
      <c r="A1716" s="3" t="s">
        <v>1794</v>
      </c>
      <c r="B1716" s="3" t="s">
        <v>29</v>
      </c>
      <c r="C1716" s="3" t="s">
        <v>30</v>
      </c>
      <c r="D1716" s="3">
        <v>67757.2209891567</v>
      </c>
      <c r="E1716" s="3">
        <v>22306.3465938757</v>
      </c>
      <c r="F1716" s="3">
        <v>14010.6224697245</v>
      </c>
      <c r="G1716" s="3">
        <v>13032.1652304638</v>
      </c>
      <c r="H1716" s="3">
        <v>1653.26370776296</v>
      </c>
      <c r="I1716" s="3">
        <v>69050.5312257463</v>
      </c>
      <c r="J1716" s="4">
        <v>45839.0</v>
      </c>
      <c r="K1716" s="3">
        <v>9.0</v>
      </c>
      <c r="L1716" s="3" t="s">
        <v>19</v>
      </c>
    </row>
    <row r="1717" ht="15.75" customHeight="1">
      <c r="A1717" s="3" t="s">
        <v>1795</v>
      </c>
      <c r="B1717" s="3" t="s">
        <v>17</v>
      </c>
      <c r="C1717" s="3" t="s">
        <v>37</v>
      </c>
      <c r="D1717" s="3">
        <v>67768.1039590629</v>
      </c>
      <c r="E1717" s="3">
        <v>22310.9613122031</v>
      </c>
      <c r="F1717" s="3">
        <v>14018.302473154</v>
      </c>
      <c r="G1717" s="3">
        <v>13035.5627811511</v>
      </c>
      <c r="H1717" s="3">
        <v>54732.5411779118</v>
      </c>
      <c r="I1717" s="3">
        <v>59732.5411779118</v>
      </c>
      <c r="J1717" s="4">
        <v>45748.0</v>
      </c>
      <c r="K1717" s="3">
        <v>19.0</v>
      </c>
      <c r="L1717" s="3" t="s">
        <v>21</v>
      </c>
    </row>
    <row r="1718" ht="15.75" customHeight="1">
      <c r="A1718" s="3" t="s">
        <v>1796</v>
      </c>
      <c r="B1718" s="3" t="s">
        <v>53</v>
      </c>
      <c r="C1718" s="3" t="s">
        <v>54</v>
      </c>
      <c r="D1718" s="3">
        <v>67778.9869289691</v>
      </c>
      <c r="E1718" s="3">
        <v>22315.5760305305</v>
      </c>
      <c r="F1718" s="3">
        <v>14025.9824765835</v>
      </c>
      <c r="G1718" s="3">
        <v>13038.9603318384</v>
      </c>
      <c r="H1718" s="3">
        <v>1554.25627226476</v>
      </c>
      <c r="I1718" s="3">
        <v>69057.294174586</v>
      </c>
      <c r="J1718" s="4">
        <v>45658.0</v>
      </c>
      <c r="K1718" s="3">
        <v>20.0</v>
      </c>
      <c r="L1718" s="3" t="s">
        <v>23</v>
      </c>
    </row>
    <row r="1719" ht="15.75" customHeight="1">
      <c r="A1719" s="3" t="s">
        <v>1797</v>
      </c>
      <c r="B1719" s="3" t="s">
        <v>13</v>
      </c>
      <c r="C1719" s="3" t="s">
        <v>26</v>
      </c>
      <c r="D1719" s="3">
        <v>67789.8698988753</v>
      </c>
      <c r="E1719" s="3">
        <v>22320.1907488579</v>
      </c>
      <c r="F1719" s="3">
        <v>14033.662480013</v>
      </c>
      <c r="G1719" s="3">
        <v>13042.3578825257</v>
      </c>
      <c r="H1719" s="3">
        <v>1504.75255451557</v>
      </c>
      <c r="I1719" s="3">
        <v>69060.6756490058</v>
      </c>
      <c r="J1719" s="4">
        <v>45809.0</v>
      </c>
      <c r="K1719" s="3">
        <v>18.0</v>
      </c>
      <c r="L1719" s="3" t="s">
        <v>27</v>
      </c>
    </row>
    <row r="1720" ht="15.75" customHeight="1">
      <c r="A1720" s="3" t="s">
        <v>1798</v>
      </c>
      <c r="B1720" s="3" t="s">
        <v>36</v>
      </c>
      <c r="C1720" s="3" t="s">
        <v>26</v>
      </c>
      <c r="D1720" s="3">
        <v>67800.7528687815</v>
      </c>
      <c r="E1720" s="3">
        <v>22324.8054671854</v>
      </c>
      <c r="F1720" s="3">
        <v>14041.3424834425</v>
      </c>
      <c r="G1720" s="3">
        <v>13045.755433213</v>
      </c>
      <c r="H1720" s="3">
        <v>1455.24883676646</v>
      </c>
      <c r="I1720" s="3">
        <v>69064.0571234256</v>
      </c>
      <c r="J1720" s="4">
        <v>45931.0</v>
      </c>
      <c r="K1720" s="3">
        <v>2.0</v>
      </c>
      <c r="L1720" s="3" t="s">
        <v>31</v>
      </c>
    </row>
    <row r="1721" ht="15.75" customHeight="1">
      <c r="A1721" s="3" t="s">
        <v>1799</v>
      </c>
      <c r="B1721" s="3" t="s">
        <v>53</v>
      </c>
      <c r="C1721" s="3" t="s">
        <v>37</v>
      </c>
      <c r="D1721" s="3">
        <v>67811.6358386877</v>
      </c>
      <c r="E1721" s="3">
        <v>22329.4201855128</v>
      </c>
      <c r="F1721" s="3">
        <v>14049.022486872</v>
      </c>
      <c r="G1721" s="3">
        <v>13049.1529839003</v>
      </c>
      <c r="H1721" s="3">
        <v>1405.74511901736</v>
      </c>
      <c r="I1721" s="3">
        <v>69067.4385978454</v>
      </c>
      <c r="J1721" s="4">
        <v>45870.0</v>
      </c>
      <c r="K1721" s="3">
        <v>25.0</v>
      </c>
      <c r="L1721" s="3" t="s">
        <v>34</v>
      </c>
    </row>
    <row r="1722" ht="15.75" customHeight="1">
      <c r="A1722" s="3" t="s">
        <v>1800</v>
      </c>
      <c r="B1722" s="3" t="s">
        <v>51</v>
      </c>
      <c r="C1722" s="3" t="s">
        <v>14</v>
      </c>
      <c r="D1722" s="3">
        <v>67822.5188085939</v>
      </c>
      <c r="E1722" s="3">
        <v>22334.0349038402</v>
      </c>
      <c r="F1722" s="3">
        <v>14056.7024903015</v>
      </c>
      <c r="G1722" s="3">
        <v>13052.5505345876</v>
      </c>
      <c r="H1722" s="3">
        <v>1356.24140126826</v>
      </c>
      <c r="I1722" s="3">
        <v>69070.8200722652</v>
      </c>
      <c r="J1722" s="3" t="s">
        <v>438</v>
      </c>
      <c r="K1722" s="3">
        <v>7.0</v>
      </c>
      <c r="L1722" s="3" t="s">
        <v>38</v>
      </c>
    </row>
    <row r="1723" ht="15.75" customHeight="1">
      <c r="A1723" s="3" t="s">
        <v>1801</v>
      </c>
      <c r="B1723" s="3" t="s">
        <v>53</v>
      </c>
      <c r="C1723" s="3" t="s">
        <v>33</v>
      </c>
      <c r="D1723" s="3">
        <v>67833.4017785</v>
      </c>
      <c r="E1723" s="3">
        <v>22338.6496221676</v>
      </c>
      <c r="F1723" s="3">
        <v>14064.382493731</v>
      </c>
      <c r="G1723" s="3">
        <v>13055.9480852748</v>
      </c>
      <c r="H1723" s="3">
        <v>1306.73768351907</v>
      </c>
      <c r="I1723" s="3">
        <v>69074.201546685</v>
      </c>
      <c r="J1723" s="4">
        <v>45992.0</v>
      </c>
      <c r="K1723" s="3">
        <v>15.0</v>
      </c>
      <c r="L1723" s="3" t="s">
        <v>40</v>
      </c>
    </row>
    <row r="1724" ht="15.75" customHeight="1">
      <c r="A1724" s="3" t="s">
        <v>1802</v>
      </c>
      <c r="B1724" s="3" t="s">
        <v>51</v>
      </c>
      <c r="C1724" s="3" t="s">
        <v>18</v>
      </c>
      <c r="D1724" s="3">
        <v>67844.2847484062</v>
      </c>
      <c r="E1724" s="3">
        <v>22343.264340495</v>
      </c>
      <c r="F1724" s="3">
        <v>14072.0624971605</v>
      </c>
      <c r="G1724" s="3">
        <v>13059.3456359621</v>
      </c>
      <c r="H1724" s="3">
        <v>1257.23396576996</v>
      </c>
      <c r="I1724" s="3">
        <v>69077.5830211049</v>
      </c>
      <c r="J1724" s="4">
        <v>45839.0</v>
      </c>
      <c r="K1724" s="3">
        <v>8.0</v>
      </c>
      <c r="L1724" s="3" t="s">
        <v>42</v>
      </c>
    </row>
    <row r="1725" ht="15.75" customHeight="1">
      <c r="A1725" s="3" t="s">
        <v>1803</v>
      </c>
      <c r="B1725" s="3" t="s">
        <v>17</v>
      </c>
      <c r="C1725" s="3" t="s">
        <v>26</v>
      </c>
      <c r="D1725" s="3">
        <v>67855.1677183124</v>
      </c>
      <c r="E1725" s="3">
        <v>22347.8790588225</v>
      </c>
      <c r="F1725" s="3">
        <v>14079.74250059</v>
      </c>
      <c r="G1725" s="3">
        <v>13062.7431866494</v>
      </c>
      <c r="H1725" s="3">
        <v>1207.73024802086</v>
      </c>
      <c r="I1725" s="3">
        <v>69080.9644955247</v>
      </c>
      <c r="J1725" s="4">
        <v>45809.0</v>
      </c>
      <c r="K1725" s="3">
        <v>25.0</v>
      </c>
      <c r="L1725" s="3" t="s">
        <v>15</v>
      </c>
    </row>
    <row r="1726" ht="15.75" customHeight="1">
      <c r="A1726" s="3" t="s">
        <v>1804</v>
      </c>
      <c r="B1726" s="3" t="s">
        <v>25</v>
      </c>
      <c r="C1726" s="3" t="s">
        <v>18</v>
      </c>
      <c r="D1726" s="3">
        <v>67876.9336581248</v>
      </c>
      <c r="E1726" s="3">
        <v>22357.1084954773</v>
      </c>
      <c r="F1726" s="3">
        <v>14095.102507449</v>
      </c>
      <c r="G1726" s="3">
        <v>13069.538288024</v>
      </c>
      <c r="H1726" s="3">
        <v>1108.72281252257</v>
      </c>
      <c r="I1726" s="3">
        <v>69087.7274443643</v>
      </c>
      <c r="J1726" s="4">
        <v>45870.0</v>
      </c>
      <c r="K1726" s="3">
        <v>8.0</v>
      </c>
      <c r="L1726" s="3" t="s">
        <v>21</v>
      </c>
    </row>
    <row r="1727" ht="15.75" customHeight="1">
      <c r="A1727" s="3" t="s">
        <v>1805</v>
      </c>
      <c r="B1727" s="3" t="s">
        <v>29</v>
      </c>
      <c r="C1727" s="3" t="s">
        <v>37</v>
      </c>
      <c r="D1727" s="3">
        <v>67887.816628031</v>
      </c>
      <c r="E1727" s="3">
        <v>22361.7232138047</v>
      </c>
      <c r="F1727" s="3">
        <v>14102.7825108785</v>
      </c>
      <c r="G1727" s="3">
        <v>13072.9358387113</v>
      </c>
      <c r="H1727" s="3">
        <v>1059.21909477346</v>
      </c>
      <c r="I1727" s="3">
        <v>69091.1089187841</v>
      </c>
      <c r="J1727" s="4">
        <v>45931.0</v>
      </c>
      <c r="K1727" s="3">
        <v>20.0</v>
      </c>
      <c r="L1727" s="3" t="s">
        <v>23</v>
      </c>
    </row>
    <row r="1728" ht="15.75" customHeight="1">
      <c r="A1728" s="3" t="s">
        <v>1806</v>
      </c>
      <c r="B1728" s="3" t="s">
        <v>53</v>
      </c>
      <c r="C1728" s="3" t="s">
        <v>33</v>
      </c>
      <c r="D1728" s="3">
        <v>67898.6995979372</v>
      </c>
      <c r="E1728" s="3">
        <v>22366.3379321322</v>
      </c>
      <c r="F1728" s="3">
        <v>14110.462514308</v>
      </c>
      <c r="G1728" s="3">
        <v>13076.3333893986</v>
      </c>
      <c r="H1728" s="3">
        <v>1009.71537702436</v>
      </c>
      <c r="I1728" s="3">
        <v>69094.4903932039</v>
      </c>
      <c r="J1728" s="4">
        <v>45748.0</v>
      </c>
      <c r="K1728" s="3">
        <v>19.0</v>
      </c>
      <c r="L1728" s="3" t="s">
        <v>27</v>
      </c>
    </row>
    <row r="1729" ht="15.75" customHeight="1">
      <c r="A1729" s="3" t="s">
        <v>1807</v>
      </c>
      <c r="B1729" s="3" t="s">
        <v>51</v>
      </c>
      <c r="C1729" s="3" t="s">
        <v>14</v>
      </c>
      <c r="D1729" s="3">
        <v>67909.5825678434</v>
      </c>
      <c r="E1729" s="3">
        <v>22370.9526504596</v>
      </c>
      <c r="F1729" s="3">
        <v>14118.1425177375</v>
      </c>
      <c r="G1729" s="3">
        <v>13079.7309400859</v>
      </c>
      <c r="H1729" s="3">
        <v>960.211659275155</v>
      </c>
      <c r="I1729" s="3">
        <v>69097.8718676237</v>
      </c>
      <c r="J1729" s="4">
        <v>45809.0</v>
      </c>
      <c r="K1729" s="3">
        <v>13.0</v>
      </c>
      <c r="L1729" s="3" t="s">
        <v>31</v>
      </c>
    </row>
    <row r="1730" ht="15.75" customHeight="1">
      <c r="A1730" s="3" t="s">
        <v>1808</v>
      </c>
      <c r="B1730" s="3" t="s">
        <v>25</v>
      </c>
      <c r="C1730" s="3" t="s">
        <v>30</v>
      </c>
      <c r="D1730" s="3">
        <v>67920.4655377496</v>
      </c>
      <c r="E1730" s="3">
        <v>22375.567368787</v>
      </c>
      <c r="F1730" s="3">
        <v>14125.822521167</v>
      </c>
      <c r="G1730" s="3">
        <v>13083.1284907731</v>
      </c>
      <c r="H1730" s="3">
        <v>910.707941526067</v>
      </c>
      <c r="I1730" s="3">
        <v>69101.2533420436</v>
      </c>
      <c r="J1730" s="4">
        <v>45689.0</v>
      </c>
      <c r="K1730" s="3">
        <v>18.0</v>
      </c>
      <c r="L1730" s="3" t="s">
        <v>34</v>
      </c>
    </row>
    <row r="1731" ht="15.75" customHeight="1">
      <c r="A1731" s="3" t="s">
        <v>1809</v>
      </c>
      <c r="B1731" s="3" t="s">
        <v>17</v>
      </c>
      <c r="C1731" s="3" t="s">
        <v>14</v>
      </c>
      <c r="D1731" s="3">
        <v>67931.3485076558</v>
      </c>
      <c r="E1731" s="3">
        <v>22380.1820871144</v>
      </c>
      <c r="F1731" s="3">
        <v>14133.5025245965</v>
      </c>
      <c r="G1731" s="3">
        <v>13086.5260414604</v>
      </c>
      <c r="H1731" s="3">
        <v>861.204223776964</v>
      </c>
      <c r="I1731" s="3">
        <v>69104.6348164634</v>
      </c>
      <c r="J1731" s="4">
        <v>45962.0</v>
      </c>
      <c r="K1731" s="3">
        <v>3.0</v>
      </c>
      <c r="L1731" s="3" t="s">
        <v>38</v>
      </c>
    </row>
    <row r="1732" ht="15.75" customHeight="1">
      <c r="A1732" s="3" t="s">
        <v>1810</v>
      </c>
      <c r="B1732" s="3" t="s">
        <v>25</v>
      </c>
      <c r="C1732" s="3" t="s">
        <v>37</v>
      </c>
      <c r="D1732" s="3">
        <v>67942.231477562</v>
      </c>
      <c r="E1732" s="3">
        <v>22384.7968054418</v>
      </c>
      <c r="F1732" s="3">
        <v>14141.182528026</v>
      </c>
      <c r="G1732" s="3">
        <v>13089.9235921477</v>
      </c>
      <c r="H1732" s="3">
        <v>811.700506027861</v>
      </c>
      <c r="I1732" s="3">
        <v>69108.0162908832</v>
      </c>
      <c r="J1732" s="4">
        <v>45717.0</v>
      </c>
      <c r="K1732" s="3">
        <v>19.0</v>
      </c>
      <c r="L1732" s="3" t="s">
        <v>40</v>
      </c>
    </row>
    <row r="1733" ht="15.75" customHeight="1">
      <c r="A1733" s="3" t="s">
        <v>1811</v>
      </c>
      <c r="B1733" s="3" t="s">
        <v>36</v>
      </c>
      <c r="C1733" s="3" t="s">
        <v>37</v>
      </c>
      <c r="D1733" s="3">
        <v>67953.1144474682</v>
      </c>
      <c r="E1733" s="3">
        <v>22389.4115237693</v>
      </c>
      <c r="F1733" s="3">
        <v>14148.8625314555</v>
      </c>
      <c r="G1733" s="3">
        <v>13093.321142835</v>
      </c>
      <c r="H1733" s="3">
        <v>762.196788278656</v>
      </c>
      <c r="I1733" s="3">
        <v>69111.397765303</v>
      </c>
      <c r="J1733" s="4">
        <v>45717.0</v>
      </c>
      <c r="K1733" s="3">
        <v>4.0</v>
      </c>
      <c r="L1733" s="3" t="s">
        <v>42</v>
      </c>
    </row>
    <row r="1734" ht="15.75" customHeight="1">
      <c r="A1734" s="3" t="s">
        <v>1812</v>
      </c>
      <c r="B1734" s="3" t="s">
        <v>13</v>
      </c>
      <c r="C1734" s="3" t="s">
        <v>54</v>
      </c>
      <c r="D1734" s="3">
        <v>67963.9974173744</v>
      </c>
      <c r="E1734" s="3">
        <v>22394.0262420967</v>
      </c>
      <c r="F1734" s="3">
        <v>14156.542534885</v>
      </c>
      <c r="G1734" s="3">
        <v>13096.7186935223</v>
      </c>
      <c r="H1734" s="3">
        <v>712.693070529567</v>
      </c>
      <c r="I1734" s="3">
        <v>69114.7792397228</v>
      </c>
      <c r="J1734" s="4">
        <v>45748.0</v>
      </c>
      <c r="K1734" s="3">
        <v>24.0</v>
      </c>
      <c r="L1734" s="3" t="s">
        <v>15</v>
      </c>
    </row>
    <row r="1735" ht="15.75" customHeight="1">
      <c r="A1735" s="3" t="s">
        <v>1813</v>
      </c>
      <c r="B1735" s="3" t="s">
        <v>13</v>
      </c>
      <c r="C1735" s="3" t="s">
        <v>37</v>
      </c>
      <c r="D1735" s="3">
        <v>67974.8803872806</v>
      </c>
      <c r="E1735" s="3">
        <v>22398.6409604241</v>
      </c>
      <c r="F1735" s="3">
        <v>14164.2225383145</v>
      </c>
      <c r="G1735" s="3">
        <v>13100.1162442096</v>
      </c>
      <c r="H1735" s="3">
        <v>663.189352780464</v>
      </c>
      <c r="I1735" s="3">
        <v>69118.1607141426</v>
      </c>
      <c r="J1735" s="4">
        <v>45778.0</v>
      </c>
      <c r="K1735" s="3">
        <v>16.0</v>
      </c>
      <c r="L1735" s="3" t="s">
        <v>19</v>
      </c>
    </row>
    <row r="1736" ht="15.75" customHeight="1">
      <c r="A1736" s="3" t="s">
        <v>1814</v>
      </c>
      <c r="B1736" s="3" t="s">
        <v>13</v>
      </c>
      <c r="C1736" s="3" t="s">
        <v>37</v>
      </c>
      <c r="D1736" s="3">
        <v>67985.7633571868</v>
      </c>
      <c r="E1736" s="3">
        <v>22403.2556787515</v>
      </c>
      <c r="F1736" s="3">
        <v>14171.902541744</v>
      </c>
      <c r="G1736" s="3">
        <v>13103.5137948969</v>
      </c>
      <c r="H1736" s="3">
        <v>613.685635031361</v>
      </c>
      <c r="I1736" s="3">
        <v>69121.5421885624</v>
      </c>
      <c r="J1736" s="4">
        <v>45839.0</v>
      </c>
      <c r="K1736" s="3">
        <v>19.0</v>
      </c>
      <c r="L1736" s="3" t="s">
        <v>21</v>
      </c>
    </row>
    <row r="1737" ht="15.75" customHeight="1">
      <c r="A1737" s="3" t="s">
        <v>1815</v>
      </c>
      <c r="B1737" s="3" t="s">
        <v>51</v>
      </c>
      <c r="C1737" s="3" t="s">
        <v>30</v>
      </c>
      <c r="D1737" s="3">
        <v>67996.646327093</v>
      </c>
      <c r="E1737" s="3">
        <v>22407.870397079</v>
      </c>
      <c r="F1737" s="3">
        <v>14179.5825451735</v>
      </c>
      <c r="G1737" s="3">
        <v>13106.9113455842</v>
      </c>
      <c r="H1737" s="3">
        <v>564.181917282156</v>
      </c>
      <c r="I1737" s="3">
        <v>69124.9236629823</v>
      </c>
      <c r="J1737" s="4">
        <v>45931.0</v>
      </c>
      <c r="K1737" s="3">
        <v>14.0</v>
      </c>
      <c r="L1737" s="3" t="s">
        <v>23</v>
      </c>
    </row>
    <row r="1738" ht="15.75" customHeight="1">
      <c r="A1738" s="3" t="s">
        <v>1816</v>
      </c>
      <c r="B1738" s="3" t="s">
        <v>25</v>
      </c>
      <c r="C1738" s="3" t="s">
        <v>26</v>
      </c>
      <c r="D1738" s="3">
        <v>68007.5292969991</v>
      </c>
      <c r="E1738" s="3">
        <v>22412.4851154064</v>
      </c>
      <c r="F1738" s="3">
        <v>14187.262548603</v>
      </c>
      <c r="G1738" s="3">
        <v>13110.3088962714</v>
      </c>
      <c r="H1738" s="3">
        <v>514.678199533068</v>
      </c>
      <c r="I1738" s="3">
        <v>69128.3051374021</v>
      </c>
      <c r="J1738" s="4">
        <v>45992.0</v>
      </c>
      <c r="K1738" s="3">
        <v>3.0</v>
      </c>
      <c r="L1738" s="3" t="s">
        <v>27</v>
      </c>
    </row>
    <row r="1739" ht="15.75" customHeight="1">
      <c r="A1739" s="3" t="s">
        <v>1817</v>
      </c>
      <c r="B1739" s="3" t="s">
        <v>51</v>
      </c>
      <c r="C1739" s="3" t="s">
        <v>18</v>
      </c>
      <c r="D1739" s="3">
        <v>68018.4122669053</v>
      </c>
      <c r="E1739" s="3">
        <v>22417.0998337338</v>
      </c>
      <c r="F1739" s="3">
        <v>14194.9425520325</v>
      </c>
      <c r="G1739" s="3">
        <v>13113.7064469587</v>
      </c>
      <c r="H1739" s="3">
        <v>465.174481783964</v>
      </c>
      <c r="I1739" s="3">
        <v>69131.6866118219</v>
      </c>
      <c r="J1739" s="4">
        <v>45689.0</v>
      </c>
      <c r="K1739" s="3">
        <v>25.0</v>
      </c>
      <c r="L1739" s="3" t="s">
        <v>31</v>
      </c>
    </row>
    <row r="1740" ht="15.75" customHeight="1">
      <c r="A1740" s="3" t="s">
        <v>1818</v>
      </c>
      <c r="B1740" s="3" t="s">
        <v>17</v>
      </c>
      <c r="C1740" s="3" t="s">
        <v>30</v>
      </c>
      <c r="D1740" s="3">
        <v>68029.2952368115</v>
      </c>
      <c r="E1740" s="3">
        <v>22421.7145520612</v>
      </c>
      <c r="F1740" s="3">
        <v>14202.622555462</v>
      </c>
      <c r="G1740" s="3">
        <v>13117.103997646</v>
      </c>
      <c r="H1740" s="3">
        <v>415.670764034759</v>
      </c>
      <c r="I1740" s="3">
        <v>69135.0680862417</v>
      </c>
      <c r="J1740" s="4">
        <v>45658.0</v>
      </c>
      <c r="K1740" s="3">
        <v>22.0</v>
      </c>
      <c r="L1740" s="3" t="s">
        <v>34</v>
      </c>
    </row>
    <row r="1741" ht="15.75" customHeight="1">
      <c r="A1741" s="3" t="s">
        <v>1819</v>
      </c>
      <c r="B1741" s="3" t="s">
        <v>25</v>
      </c>
      <c r="C1741" s="3" t="s">
        <v>18</v>
      </c>
      <c r="D1741" s="3">
        <v>68040.1782067177</v>
      </c>
      <c r="E1741" s="3">
        <v>22426.3292703886</v>
      </c>
      <c r="F1741" s="3">
        <v>14210.3025588915</v>
      </c>
      <c r="G1741" s="3">
        <v>13120.5015483333</v>
      </c>
      <c r="H1741" s="3">
        <v>366.167046285656</v>
      </c>
      <c r="I1741" s="3">
        <v>69138.4495606615</v>
      </c>
      <c r="J1741" s="4">
        <v>45689.0</v>
      </c>
      <c r="K1741" s="3">
        <v>17.0</v>
      </c>
      <c r="L1741" s="3" t="s">
        <v>38</v>
      </c>
    </row>
    <row r="1742" ht="15.75" customHeight="1">
      <c r="A1742" s="3" t="s">
        <v>1820</v>
      </c>
      <c r="B1742" s="3" t="s">
        <v>29</v>
      </c>
      <c r="C1742" s="3" t="s">
        <v>30</v>
      </c>
      <c r="D1742" s="3">
        <v>68051.0611766239</v>
      </c>
      <c r="E1742" s="3">
        <v>22430.9439887161</v>
      </c>
      <c r="F1742" s="3">
        <v>14217.982562321</v>
      </c>
      <c r="G1742" s="3">
        <v>13123.8990990206</v>
      </c>
      <c r="H1742" s="3">
        <v>316.663328536568</v>
      </c>
      <c r="I1742" s="3">
        <v>69141.8310350813</v>
      </c>
      <c r="J1742" s="4">
        <v>45717.0</v>
      </c>
      <c r="K1742" s="3">
        <v>11.0</v>
      </c>
      <c r="L1742" s="3" t="s">
        <v>40</v>
      </c>
    </row>
    <row r="1743" ht="15.75" customHeight="1">
      <c r="A1743" s="3" t="s">
        <v>1821</v>
      </c>
      <c r="B1743" s="3" t="s">
        <v>13</v>
      </c>
      <c r="C1743" s="3" t="s">
        <v>14</v>
      </c>
      <c r="D1743" s="3">
        <v>68061.9441465301</v>
      </c>
      <c r="E1743" s="3">
        <v>22435.5587070435</v>
      </c>
      <c r="F1743" s="3">
        <v>14225.6625657505</v>
      </c>
      <c r="G1743" s="3">
        <v>13127.2966497079</v>
      </c>
      <c r="H1743" s="3">
        <v>267.159610787465</v>
      </c>
      <c r="I1743" s="3">
        <v>69145.2125095011</v>
      </c>
      <c r="J1743" s="4">
        <v>45870.0</v>
      </c>
      <c r="K1743" s="3">
        <v>13.0</v>
      </c>
      <c r="L1743" s="3" t="s">
        <v>42</v>
      </c>
    </row>
    <row r="1744" ht="15.75" customHeight="1">
      <c r="A1744" s="3" t="s">
        <v>1822</v>
      </c>
      <c r="B1744" s="3" t="s">
        <v>36</v>
      </c>
      <c r="C1744" s="3" t="s">
        <v>54</v>
      </c>
      <c r="D1744" s="3">
        <v>68072.8271164363</v>
      </c>
      <c r="E1744" s="3">
        <v>22440.1734253709</v>
      </c>
      <c r="F1744" s="3">
        <v>14233.34256918</v>
      </c>
      <c r="G1744" s="3">
        <v>13130.6942003952</v>
      </c>
      <c r="H1744" s="3">
        <v>217.65589303826</v>
      </c>
      <c r="I1744" s="3">
        <v>69148.593983921</v>
      </c>
      <c r="J1744" s="4">
        <v>45870.0</v>
      </c>
      <c r="K1744" s="3">
        <v>5.0</v>
      </c>
      <c r="L1744" s="3" t="s">
        <v>15</v>
      </c>
    </row>
    <row r="1745" ht="15.75" customHeight="1">
      <c r="A1745" s="3" t="s">
        <v>1823</v>
      </c>
      <c r="B1745" s="3" t="s">
        <v>25</v>
      </c>
      <c r="C1745" s="3" t="s">
        <v>26</v>
      </c>
      <c r="D1745" s="3">
        <v>68083.7100863425</v>
      </c>
      <c r="E1745" s="3">
        <v>22444.7881436983</v>
      </c>
      <c r="F1745" s="3">
        <v>14241.0225726094</v>
      </c>
      <c r="G1745" s="3">
        <v>13134.0917510824</v>
      </c>
      <c r="H1745" s="3">
        <v>168.152175289157</v>
      </c>
      <c r="I1745" s="3">
        <v>69151.9754583408</v>
      </c>
      <c r="J1745" s="4">
        <v>45689.0</v>
      </c>
      <c r="K1745" s="3">
        <v>11.0</v>
      </c>
      <c r="L1745" s="3" t="s">
        <v>19</v>
      </c>
    </row>
    <row r="1746" ht="15.75" customHeight="1">
      <c r="A1746" s="3" t="s">
        <v>1824</v>
      </c>
      <c r="B1746" s="3" t="s">
        <v>17</v>
      </c>
      <c r="C1746" s="3" t="s">
        <v>26</v>
      </c>
      <c r="D1746" s="3">
        <v>68094.5930562487</v>
      </c>
      <c r="E1746" s="3">
        <v>22449.4028620258</v>
      </c>
      <c r="F1746" s="3">
        <v>14248.7025760389</v>
      </c>
      <c r="G1746" s="3">
        <v>13137.4893017697</v>
      </c>
      <c r="H1746" s="3">
        <v>118.648457540068</v>
      </c>
      <c r="I1746" s="3">
        <v>69155.3569327606</v>
      </c>
      <c r="J1746" s="4">
        <v>45901.0</v>
      </c>
      <c r="K1746" s="3">
        <v>4.0</v>
      </c>
      <c r="L1746" s="3" t="s">
        <v>21</v>
      </c>
    </row>
    <row r="1747" ht="15.75" customHeight="1">
      <c r="A1747" s="3" t="s">
        <v>1825</v>
      </c>
      <c r="B1747" s="3" t="s">
        <v>17</v>
      </c>
      <c r="C1747" s="3" t="s">
        <v>33</v>
      </c>
      <c r="D1747" s="3">
        <v>68105.4760261549</v>
      </c>
      <c r="E1747" s="3">
        <v>22454.0175803532</v>
      </c>
      <c r="F1747" s="3">
        <v>14256.3825794684</v>
      </c>
      <c r="G1747" s="3">
        <v>13140.886852457</v>
      </c>
      <c r="H1747" s="3">
        <v>69.1447397909651</v>
      </c>
      <c r="I1747" s="3">
        <v>69158.7384071804</v>
      </c>
      <c r="J1747" s="4">
        <v>45658.0</v>
      </c>
      <c r="K1747" s="3">
        <v>14.0</v>
      </c>
      <c r="L1747" s="3" t="s">
        <v>23</v>
      </c>
    </row>
    <row r="1748" ht="15.75" customHeight="1">
      <c r="A1748" s="3" t="s">
        <v>1826</v>
      </c>
      <c r="B1748" s="3" t="s">
        <v>17</v>
      </c>
      <c r="C1748" s="3" t="s">
        <v>33</v>
      </c>
      <c r="D1748" s="3">
        <v>68116.3589960611</v>
      </c>
      <c r="E1748" s="3">
        <v>22458.6322986806</v>
      </c>
      <c r="F1748" s="3">
        <v>14264.0625828979</v>
      </c>
      <c r="G1748" s="3">
        <v>13144.2844031443</v>
      </c>
      <c r="H1748" s="3">
        <v>19.6410220417602</v>
      </c>
      <c r="I1748" s="3">
        <v>69162.1198816002</v>
      </c>
      <c r="J1748" s="4">
        <v>45689.0</v>
      </c>
      <c r="K1748" s="3">
        <v>14.0</v>
      </c>
      <c r="L1748" s="3" t="s">
        <v>27</v>
      </c>
    </row>
    <row r="1749" ht="15.75" customHeight="1">
      <c r="A1749" s="3" t="s">
        <v>1827</v>
      </c>
      <c r="B1749" s="3" t="s">
        <v>36</v>
      </c>
      <c r="C1749" s="3" t="s">
        <v>18</v>
      </c>
      <c r="D1749" s="3">
        <v>68127.2419659673</v>
      </c>
      <c r="E1749" s="3">
        <v>22463.247017008</v>
      </c>
      <c r="F1749" s="3">
        <v>14271.7425863274</v>
      </c>
      <c r="G1749" s="3">
        <v>13147.6819538316</v>
      </c>
      <c r="H1749" s="3">
        <v>-29.8626957073429</v>
      </c>
      <c r="I1749" s="3">
        <v>69165.50135602</v>
      </c>
      <c r="J1749" s="4">
        <v>45992.0</v>
      </c>
      <c r="K1749" s="3">
        <v>9.0</v>
      </c>
      <c r="L1749" s="3" t="s">
        <v>31</v>
      </c>
    </row>
    <row r="1750" ht="15.75" customHeight="1">
      <c r="A1750" s="3" t="s">
        <v>1828</v>
      </c>
      <c r="B1750" s="3" t="s">
        <v>29</v>
      </c>
      <c r="C1750" s="3" t="s">
        <v>30</v>
      </c>
      <c r="D1750" s="3">
        <v>68138.1249358735</v>
      </c>
      <c r="E1750" s="3">
        <v>22467.8617353354</v>
      </c>
      <c r="F1750" s="3">
        <v>14279.4225897569</v>
      </c>
      <c r="G1750" s="3">
        <v>13151.0795045189</v>
      </c>
      <c r="H1750" s="3">
        <v>-79.3664134564315</v>
      </c>
      <c r="I1750" s="3">
        <v>69168.8828304398</v>
      </c>
      <c r="J1750" s="4">
        <v>45839.0</v>
      </c>
      <c r="K1750" s="3">
        <v>11.0</v>
      </c>
      <c r="L1750" s="3" t="s">
        <v>34</v>
      </c>
    </row>
    <row r="1751" ht="15.75" customHeight="1">
      <c r="A1751" s="3" t="s">
        <v>1829</v>
      </c>
      <c r="B1751" s="3" t="s">
        <v>53</v>
      </c>
      <c r="C1751" s="3" t="s">
        <v>33</v>
      </c>
      <c r="D1751" s="3">
        <v>68149.0079057797</v>
      </c>
      <c r="E1751" s="3">
        <v>22472.4764536629</v>
      </c>
      <c r="F1751" s="3">
        <v>14287.1025931864</v>
      </c>
      <c r="G1751" s="3">
        <v>13154.4770552062</v>
      </c>
      <c r="H1751" s="3">
        <v>-128.870131205636</v>
      </c>
      <c r="I1751" s="3">
        <v>69172.2643048597</v>
      </c>
      <c r="J1751" s="4">
        <v>45839.0</v>
      </c>
      <c r="K1751" s="3">
        <v>21.0</v>
      </c>
      <c r="L1751" s="3" t="s">
        <v>38</v>
      </c>
    </row>
    <row r="1752" ht="15.75" customHeight="1">
      <c r="A1752" s="3" t="s">
        <v>1830</v>
      </c>
      <c r="B1752" s="3" t="s">
        <v>53</v>
      </c>
      <c r="C1752" s="3" t="s">
        <v>37</v>
      </c>
      <c r="D1752" s="3">
        <v>68159.8908756859</v>
      </c>
      <c r="E1752" s="3">
        <v>22477.0911719903</v>
      </c>
      <c r="F1752" s="3">
        <v>14294.7825966159</v>
      </c>
      <c r="G1752" s="3">
        <v>13157.8746058935</v>
      </c>
      <c r="H1752" s="3">
        <v>-178.37384895474</v>
      </c>
      <c r="I1752" s="3">
        <v>69175.6457792795</v>
      </c>
      <c r="J1752" s="4">
        <v>45689.0</v>
      </c>
      <c r="K1752" s="3">
        <v>22.0</v>
      </c>
      <c r="L1752" s="3" t="s">
        <v>40</v>
      </c>
    </row>
    <row r="1753" ht="15.75" customHeight="1">
      <c r="A1753" s="3" t="s">
        <v>1831</v>
      </c>
      <c r="B1753" s="3" t="s">
        <v>17</v>
      </c>
      <c r="C1753" s="3" t="s">
        <v>33</v>
      </c>
      <c r="D1753" s="3">
        <v>68170.773845592</v>
      </c>
      <c r="E1753" s="3">
        <v>22481.7058903177</v>
      </c>
      <c r="F1753" s="3">
        <v>14302.4626000454</v>
      </c>
      <c r="G1753" s="3">
        <v>13161.2721565807</v>
      </c>
      <c r="H1753" s="3">
        <v>-227.877566703843</v>
      </c>
      <c r="I1753" s="3">
        <v>69179.0272536993</v>
      </c>
      <c r="J1753" s="4">
        <v>45689.0</v>
      </c>
      <c r="K1753" s="3">
        <v>6.0</v>
      </c>
      <c r="L1753" s="3" t="s">
        <v>42</v>
      </c>
    </row>
    <row r="1754" ht="15.75" customHeight="1">
      <c r="A1754" s="3" t="s">
        <v>1832</v>
      </c>
      <c r="B1754" s="3" t="s">
        <v>17</v>
      </c>
      <c r="C1754" s="3" t="s">
        <v>30</v>
      </c>
      <c r="D1754" s="3">
        <v>68181.6568154982</v>
      </c>
      <c r="E1754" s="3">
        <v>22486.3206086451</v>
      </c>
      <c r="F1754" s="3">
        <v>14310.1426034749</v>
      </c>
      <c r="G1754" s="3">
        <v>13164.669707268</v>
      </c>
      <c r="H1754" s="3">
        <v>-277.381284452931</v>
      </c>
      <c r="I1754" s="3">
        <v>69182.4087281191</v>
      </c>
      <c r="J1754" s="4">
        <v>45689.0</v>
      </c>
      <c r="K1754" s="3">
        <v>20.0</v>
      </c>
      <c r="L1754" s="3" t="s">
        <v>15</v>
      </c>
    </row>
    <row r="1755" ht="15.75" customHeight="1">
      <c r="A1755" s="3" t="s">
        <v>1833</v>
      </c>
      <c r="B1755" s="3" t="s">
        <v>29</v>
      </c>
      <c r="C1755" s="3" t="s">
        <v>26</v>
      </c>
      <c r="D1755" s="3">
        <v>68192.5397854044</v>
      </c>
      <c r="E1755" s="3">
        <v>22490.9353269726</v>
      </c>
      <c r="F1755" s="3">
        <v>14317.8226069044</v>
      </c>
      <c r="G1755" s="3">
        <v>13168.0672579553</v>
      </c>
      <c r="H1755" s="3">
        <v>-326.885002202136</v>
      </c>
      <c r="I1755" s="3">
        <v>69185.7902025389</v>
      </c>
      <c r="J1755" s="4">
        <v>45717.0</v>
      </c>
      <c r="K1755" s="3">
        <v>17.0</v>
      </c>
      <c r="L1755" s="3" t="s">
        <v>19</v>
      </c>
    </row>
    <row r="1756" ht="15.75" customHeight="1">
      <c r="A1756" s="3" t="s">
        <v>1834</v>
      </c>
      <c r="B1756" s="3" t="s">
        <v>13</v>
      </c>
      <c r="C1756" s="3" t="s">
        <v>37</v>
      </c>
      <c r="D1756" s="3">
        <v>68203.4227553106</v>
      </c>
      <c r="E1756" s="3">
        <v>22495.5500453</v>
      </c>
      <c r="F1756" s="3">
        <v>14325.5026103339</v>
      </c>
      <c r="G1756" s="3">
        <v>13171.4648086426</v>
      </c>
      <c r="H1756" s="3">
        <v>-376.388719951239</v>
      </c>
      <c r="I1756" s="3">
        <v>69189.1716769587</v>
      </c>
      <c r="J1756" s="4">
        <v>45778.0</v>
      </c>
      <c r="K1756" s="3">
        <v>11.0</v>
      </c>
      <c r="L1756" s="3" t="s">
        <v>21</v>
      </c>
    </row>
    <row r="1757" ht="15.75" customHeight="1">
      <c r="A1757" s="3" t="s">
        <v>1835</v>
      </c>
      <c r="B1757" s="3" t="s">
        <v>36</v>
      </c>
      <c r="C1757" s="3" t="s">
        <v>14</v>
      </c>
      <c r="D1757" s="3">
        <v>68214.3057252168</v>
      </c>
      <c r="E1757" s="3">
        <v>22500.1647636274</v>
      </c>
      <c r="F1757" s="3">
        <v>14333.1826137634</v>
      </c>
      <c r="G1757" s="3">
        <v>13174.8623593299</v>
      </c>
      <c r="H1757" s="3">
        <v>-425.892437700342</v>
      </c>
      <c r="I1757" s="3">
        <v>69192.5531513785</v>
      </c>
      <c r="J1757" s="4">
        <v>45962.0</v>
      </c>
      <c r="K1757" s="3">
        <v>4.0</v>
      </c>
      <c r="L1757" s="3" t="s">
        <v>23</v>
      </c>
    </row>
    <row r="1758" ht="15.75" customHeight="1">
      <c r="A1758" s="3" t="s">
        <v>1836</v>
      </c>
      <c r="B1758" s="3" t="s">
        <v>53</v>
      </c>
      <c r="C1758" s="3" t="s">
        <v>14</v>
      </c>
      <c r="D1758" s="3">
        <v>68225.188695123</v>
      </c>
      <c r="E1758" s="3">
        <v>22504.7794819548</v>
      </c>
      <c r="F1758" s="3">
        <v>14340.8626171929</v>
      </c>
      <c r="G1758" s="3">
        <v>13178.2599100172</v>
      </c>
      <c r="H1758" s="3">
        <v>-475.396155449431</v>
      </c>
      <c r="I1758" s="3">
        <v>69195.9346257984</v>
      </c>
      <c r="J1758" s="4">
        <v>45901.0</v>
      </c>
      <c r="K1758" s="3">
        <v>6.0</v>
      </c>
      <c r="L1758" s="3" t="s">
        <v>27</v>
      </c>
    </row>
    <row r="1759" ht="15.75" customHeight="1">
      <c r="A1759" s="3" t="s">
        <v>1837</v>
      </c>
      <c r="B1759" s="3" t="s">
        <v>29</v>
      </c>
      <c r="C1759" s="3" t="s">
        <v>26</v>
      </c>
      <c r="D1759" s="3">
        <v>68236.0716650292</v>
      </c>
      <c r="E1759" s="3">
        <v>22509.3942002822</v>
      </c>
      <c r="F1759" s="3">
        <v>14348.5426206224</v>
      </c>
      <c r="G1759" s="3">
        <v>13181.6574607045</v>
      </c>
      <c r="H1759" s="3">
        <v>-524.899873198636</v>
      </c>
      <c r="I1759" s="3">
        <v>69199.3161002182</v>
      </c>
      <c r="J1759" s="4">
        <v>45962.0</v>
      </c>
      <c r="K1759" s="3">
        <v>5.0</v>
      </c>
      <c r="L1759" s="3" t="s">
        <v>31</v>
      </c>
    </row>
    <row r="1760" ht="15.75" customHeight="1">
      <c r="A1760" s="3" t="s">
        <v>1838</v>
      </c>
      <c r="B1760" s="3" t="s">
        <v>17</v>
      </c>
      <c r="C1760" s="3" t="s">
        <v>26</v>
      </c>
      <c r="D1760" s="3">
        <v>68246.9546349354</v>
      </c>
      <c r="E1760" s="3">
        <v>22514.0089186097</v>
      </c>
      <c r="F1760" s="3">
        <v>14356.2226240519</v>
      </c>
      <c r="G1760" s="3">
        <v>13185.0550113918</v>
      </c>
      <c r="H1760" s="3">
        <v>-574.403590947739</v>
      </c>
      <c r="I1760" s="3">
        <v>69202.697574638</v>
      </c>
      <c r="J1760" s="4">
        <v>45839.0</v>
      </c>
      <c r="K1760" s="3">
        <v>5.0</v>
      </c>
      <c r="L1760" s="3" t="s">
        <v>34</v>
      </c>
    </row>
    <row r="1761" ht="15.75" customHeight="1">
      <c r="A1761" s="3" t="s">
        <v>1839</v>
      </c>
      <c r="B1761" s="3" t="s">
        <v>25</v>
      </c>
      <c r="C1761" s="3" t="s">
        <v>54</v>
      </c>
      <c r="D1761" s="3">
        <v>68257.8376048416</v>
      </c>
      <c r="E1761" s="3">
        <v>22518.6236369371</v>
      </c>
      <c r="F1761" s="3">
        <v>14363.9026274814</v>
      </c>
      <c r="G1761" s="3">
        <v>13188.452562079</v>
      </c>
      <c r="H1761" s="3">
        <v>-623.907308696842</v>
      </c>
      <c r="I1761" s="3">
        <v>69206.0790490578</v>
      </c>
      <c r="J1761" s="4">
        <v>45931.0</v>
      </c>
      <c r="K1761" s="3">
        <v>18.0</v>
      </c>
      <c r="L1761" s="3" t="s">
        <v>38</v>
      </c>
    </row>
    <row r="1762" ht="15.75" customHeight="1">
      <c r="A1762" s="3" t="s">
        <v>1840</v>
      </c>
      <c r="B1762" s="3" t="s">
        <v>25</v>
      </c>
      <c r="C1762" s="3" t="s">
        <v>18</v>
      </c>
      <c r="D1762" s="3">
        <v>68268.7205747478</v>
      </c>
      <c r="E1762" s="3">
        <v>22523.2383552645</v>
      </c>
      <c r="F1762" s="3">
        <v>14371.5826309109</v>
      </c>
      <c r="G1762" s="3">
        <v>13191.8501127663</v>
      </c>
      <c r="H1762" s="3">
        <v>-673.411026446032</v>
      </c>
      <c r="I1762" s="3">
        <v>69209.4605234776</v>
      </c>
      <c r="J1762" s="4">
        <v>45717.0</v>
      </c>
      <c r="K1762" s="3">
        <v>4.0</v>
      </c>
      <c r="L1762" s="3" t="s">
        <v>40</v>
      </c>
    </row>
    <row r="1763" ht="15.75" customHeight="1">
      <c r="A1763" s="3" t="s">
        <v>1841</v>
      </c>
      <c r="B1763" s="3" t="s">
        <v>13</v>
      </c>
      <c r="C1763" s="3" t="s">
        <v>37</v>
      </c>
      <c r="D1763" s="3">
        <v>68279.603544654</v>
      </c>
      <c r="E1763" s="3">
        <v>22527.8530735919</v>
      </c>
      <c r="F1763" s="3">
        <v>14379.2626343404</v>
      </c>
      <c r="G1763" s="3">
        <v>13195.2476634536</v>
      </c>
      <c r="H1763" s="3">
        <v>-722.914744195135</v>
      </c>
      <c r="I1763" s="3">
        <v>69212.8419978974</v>
      </c>
      <c r="J1763" s="4">
        <v>45962.0</v>
      </c>
      <c r="K1763" s="3">
        <v>7.0</v>
      </c>
      <c r="L1763" s="3" t="s">
        <v>42</v>
      </c>
    </row>
    <row r="1764" ht="15.75" customHeight="1">
      <c r="A1764" s="3" t="s">
        <v>1842</v>
      </c>
      <c r="B1764" s="3" t="s">
        <v>51</v>
      </c>
      <c r="C1764" s="3" t="s">
        <v>26</v>
      </c>
      <c r="D1764" s="3">
        <v>68290.4865145602</v>
      </c>
      <c r="E1764" s="3">
        <v>22532.4677919194</v>
      </c>
      <c r="F1764" s="3">
        <v>14386.9426377699</v>
      </c>
      <c r="G1764" s="3">
        <v>13198.6452141409</v>
      </c>
      <c r="H1764" s="3">
        <v>-772.418461944239</v>
      </c>
      <c r="I1764" s="3">
        <v>69216.2234723172</v>
      </c>
      <c r="J1764" s="4">
        <v>45778.0</v>
      </c>
      <c r="K1764" s="3">
        <v>25.0</v>
      </c>
      <c r="L1764" s="3" t="s">
        <v>15</v>
      </c>
    </row>
    <row r="1765" ht="15.75" customHeight="1">
      <c r="A1765" s="3" t="s">
        <v>1843</v>
      </c>
      <c r="B1765" s="3" t="s">
        <v>36</v>
      </c>
      <c r="C1765" s="3" t="s">
        <v>30</v>
      </c>
      <c r="D1765" s="3">
        <v>68301.3694844664</v>
      </c>
      <c r="E1765" s="3">
        <v>22537.0825102468</v>
      </c>
      <c r="F1765" s="3">
        <v>14394.6226411994</v>
      </c>
      <c r="G1765" s="3">
        <v>13202.0427648282</v>
      </c>
      <c r="H1765" s="3">
        <v>-821.922179693342</v>
      </c>
      <c r="I1765" s="3">
        <v>69219.6049467371</v>
      </c>
      <c r="J1765" s="4">
        <v>45839.0</v>
      </c>
      <c r="K1765" s="3">
        <v>3.0</v>
      </c>
      <c r="L1765" s="3" t="s">
        <v>19</v>
      </c>
    </row>
    <row r="1766" ht="15.75" customHeight="1">
      <c r="A1766" s="3" t="s">
        <v>1844</v>
      </c>
      <c r="B1766" s="3" t="s">
        <v>29</v>
      </c>
      <c r="C1766" s="3" t="s">
        <v>18</v>
      </c>
      <c r="D1766" s="3">
        <v>68312.2524543726</v>
      </c>
      <c r="E1766" s="3">
        <v>22541.6972285742</v>
      </c>
      <c r="F1766" s="3">
        <v>14402.3026446289</v>
      </c>
      <c r="G1766" s="3">
        <v>13205.4403155155</v>
      </c>
      <c r="H1766" s="3">
        <v>-871.425897442532</v>
      </c>
      <c r="I1766" s="3">
        <v>69222.9864211569</v>
      </c>
      <c r="J1766" s="4">
        <v>45658.0</v>
      </c>
      <c r="K1766" s="3">
        <v>19.0</v>
      </c>
      <c r="L1766" s="3" t="s">
        <v>21</v>
      </c>
    </row>
    <row r="1767" ht="15.75" customHeight="1">
      <c r="A1767" s="3" t="s">
        <v>1845</v>
      </c>
      <c r="B1767" s="3" t="s">
        <v>53</v>
      </c>
      <c r="C1767" s="3" t="s">
        <v>33</v>
      </c>
      <c r="D1767" s="3">
        <v>68323.1354242788</v>
      </c>
      <c r="E1767" s="3">
        <v>22546.3119469016</v>
      </c>
      <c r="F1767" s="3">
        <v>14409.9826480584</v>
      </c>
      <c r="G1767" s="3">
        <v>13208.8378662028</v>
      </c>
      <c r="H1767" s="3">
        <v>-920.929615191635</v>
      </c>
      <c r="I1767" s="3">
        <v>69226.3678955767</v>
      </c>
      <c r="J1767" s="4">
        <v>45839.0</v>
      </c>
      <c r="K1767" s="3">
        <v>8.0</v>
      </c>
      <c r="L1767" s="3" t="s">
        <v>23</v>
      </c>
    </row>
    <row r="1768" ht="15.75" customHeight="1">
      <c r="A1768" s="3" t="s">
        <v>1846</v>
      </c>
      <c r="B1768" s="3" t="s">
        <v>25</v>
      </c>
      <c r="C1768" s="3" t="s">
        <v>18</v>
      </c>
      <c r="D1768" s="3">
        <v>68334.0183941849</v>
      </c>
      <c r="E1768" s="3">
        <v>22550.926665229</v>
      </c>
      <c r="F1768" s="3">
        <v>14417.6626514879</v>
      </c>
      <c r="G1768" s="3">
        <v>13212.23541689</v>
      </c>
      <c r="H1768" s="3">
        <v>-970.433332940738</v>
      </c>
      <c r="I1768" s="3">
        <v>69229.7493699965</v>
      </c>
      <c r="J1768" s="4">
        <v>45689.0</v>
      </c>
      <c r="K1768" s="3">
        <v>14.0</v>
      </c>
      <c r="L1768" s="3" t="s">
        <v>27</v>
      </c>
    </row>
    <row r="1769" ht="15.75" customHeight="1">
      <c r="A1769" s="3" t="s">
        <v>1847</v>
      </c>
      <c r="B1769" s="3" t="s">
        <v>51</v>
      </c>
      <c r="C1769" s="3" t="s">
        <v>30</v>
      </c>
      <c r="D1769" s="3">
        <v>68344.9013640911</v>
      </c>
      <c r="E1769" s="3">
        <v>22555.5413835565</v>
      </c>
      <c r="F1769" s="3">
        <v>14425.3426549174</v>
      </c>
      <c r="G1769" s="3">
        <v>13215.6329675773</v>
      </c>
      <c r="H1769" s="3">
        <v>-1019.93705068984</v>
      </c>
      <c r="I1769" s="3">
        <v>69233.1308444163</v>
      </c>
      <c r="J1769" s="4">
        <v>45809.0</v>
      </c>
      <c r="K1769" s="3">
        <v>5.0</v>
      </c>
      <c r="L1769" s="3" t="s">
        <v>31</v>
      </c>
    </row>
    <row r="1770" ht="15.75" customHeight="1">
      <c r="A1770" s="3" t="s">
        <v>1848</v>
      </c>
      <c r="B1770" s="3" t="s">
        <v>17</v>
      </c>
      <c r="C1770" s="3" t="s">
        <v>37</v>
      </c>
      <c r="D1770" s="3">
        <v>68355.7843339973</v>
      </c>
      <c r="E1770" s="3">
        <v>22560.1561018839</v>
      </c>
      <c r="F1770" s="3">
        <v>14433.0226583469</v>
      </c>
      <c r="G1770" s="3">
        <v>13219.0305182646</v>
      </c>
      <c r="H1770" s="3">
        <v>-1069.44076843903</v>
      </c>
      <c r="I1770" s="3">
        <v>69236.5123188361</v>
      </c>
      <c r="J1770" s="4">
        <v>45658.0</v>
      </c>
      <c r="K1770" s="3">
        <v>1.0</v>
      </c>
      <c r="L1770" s="3" t="s">
        <v>34</v>
      </c>
    </row>
    <row r="1771" ht="15.75" customHeight="1">
      <c r="A1771" s="3" t="s">
        <v>1849</v>
      </c>
      <c r="B1771" s="3" t="s">
        <v>36</v>
      </c>
      <c r="C1771" s="3" t="s">
        <v>33</v>
      </c>
      <c r="D1771" s="3">
        <v>68366.6673039035</v>
      </c>
      <c r="E1771" s="3">
        <v>22564.7708202113</v>
      </c>
      <c r="F1771" s="3">
        <v>14440.7026617764</v>
      </c>
      <c r="G1771" s="3">
        <v>13222.4280689519</v>
      </c>
      <c r="H1771" s="3">
        <v>-1118.94448618813</v>
      </c>
      <c r="I1771" s="3">
        <v>69239.8937932559</v>
      </c>
      <c r="J1771" s="4">
        <v>45839.0</v>
      </c>
      <c r="K1771" s="3">
        <v>13.0</v>
      </c>
      <c r="L1771" s="3" t="s">
        <v>38</v>
      </c>
    </row>
    <row r="1772" ht="15.75" customHeight="1">
      <c r="A1772" s="3" t="s">
        <v>1850</v>
      </c>
      <c r="B1772" s="3" t="s">
        <v>51</v>
      </c>
      <c r="C1772" s="3" t="s">
        <v>33</v>
      </c>
      <c r="D1772" s="3">
        <v>68377.5502738097</v>
      </c>
      <c r="E1772" s="3">
        <v>22569.3855385387</v>
      </c>
      <c r="F1772" s="3">
        <v>14448.3826652059</v>
      </c>
      <c r="G1772" s="3">
        <v>13225.8256196392</v>
      </c>
      <c r="H1772" s="3">
        <v>-1168.44820393724</v>
      </c>
      <c r="I1772" s="3">
        <v>69243.2752676758</v>
      </c>
      <c r="J1772" s="4">
        <v>45992.0</v>
      </c>
      <c r="K1772" s="3">
        <v>9.0</v>
      </c>
      <c r="L1772" s="3" t="s">
        <v>40</v>
      </c>
    </row>
    <row r="1773" ht="15.75" customHeight="1">
      <c r="A1773" s="3" t="s">
        <v>1851</v>
      </c>
      <c r="B1773" s="3" t="s">
        <v>17</v>
      </c>
      <c r="C1773" s="3" t="s">
        <v>54</v>
      </c>
      <c r="D1773" s="3">
        <v>68388.4332437159</v>
      </c>
      <c r="E1773" s="3">
        <v>22574.0002568662</v>
      </c>
      <c r="F1773" s="3">
        <v>14456.0626686354</v>
      </c>
      <c r="G1773" s="3">
        <v>13229.2231703265</v>
      </c>
      <c r="H1773" s="3">
        <v>-1217.95192168634</v>
      </c>
      <c r="I1773" s="3">
        <v>69246.6567420956</v>
      </c>
      <c r="J1773" s="4">
        <v>45778.0</v>
      </c>
      <c r="K1773" s="3">
        <v>1.0</v>
      </c>
      <c r="L1773" s="3" t="s">
        <v>42</v>
      </c>
    </row>
    <row r="1774" ht="15.75" customHeight="1">
      <c r="A1774" s="3" t="s">
        <v>1852</v>
      </c>
      <c r="B1774" s="3" t="s">
        <v>36</v>
      </c>
      <c r="C1774" s="3" t="s">
        <v>33</v>
      </c>
      <c r="D1774" s="3">
        <v>68399.3162136221</v>
      </c>
      <c r="E1774" s="3">
        <v>22578.6149751936</v>
      </c>
      <c r="F1774" s="3">
        <v>14463.7426720649</v>
      </c>
      <c r="G1774" s="3">
        <v>13232.6207210138</v>
      </c>
      <c r="H1774" s="3">
        <v>-1267.45563943553</v>
      </c>
      <c r="I1774" s="3">
        <v>69250.0382165154</v>
      </c>
      <c r="J1774" s="4">
        <v>45748.0</v>
      </c>
      <c r="K1774" s="3">
        <v>13.0</v>
      </c>
      <c r="L1774" s="3" t="s">
        <v>15</v>
      </c>
    </row>
    <row r="1775" ht="15.75" customHeight="1">
      <c r="A1775" s="3" t="s">
        <v>1853</v>
      </c>
      <c r="B1775" s="3" t="s">
        <v>29</v>
      </c>
      <c r="C1775" s="3" t="s">
        <v>33</v>
      </c>
      <c r="D1775" s="3">
        <v>68410.1991835283</v>
      </c>
      <c r="E1775" s="3">
        <v>22583.229693521</v>
      </c>
      <c r="F1775" s="3">
        <v>14471.4226754944</v>
      </c>
      <c r="G1775" s="3">
        <v>13236.0182717011</v>
      </c>
      <c r="H1775" s="3">
        <v>-1316.95935718463</v>
      </c>
      <c r="I1775" s="3">
        <v>69253.4196909352</v>
      </c>
      <c r="J1775" s="4">
        <v>45778.0</v>
      </c>
      <c r="K1775" s="3">
        <v>5.0</v>
      </c>
      <c r="L1775" s="3" t="s">
        <v>19</v>
      </c>
    </row>
    <row r="1776" ht="15.75" customHeight="1">
      <c r="A1776" s="3" t="s">
        <v>1854</v>
      </c>
      <c r="B1776" s="3" t="s">
        <v>51</v>
      </c>
      <c r="C1776" s="3" t="s">
        <v>33</v>
      </c>
      <c r="D1776" s="3">
        <v>68421.0821534345</v>
      </c>
      <c r="E1776" s="3">
        <v>22587.8444118484</v>
      </c>
      <c r="F1776" s="3">
        <v>14479.1026789239</v>
      </c>
      <c r="G1776" s="3">
        <v>13239.4158223883</v>
      </c>
      <c r="H1776" s="3">
        <v>-1366.46307493374</v>
      </c>
      <c r="I1776" s="3">
        <v>69256.801165355</v>
      </c>
      <c r="J1776" s="4">
        <v>45839.0</v>
      </c>
      <c r="K1776" s="3">
        <v>16.0</v>
      </c>
      <c r="L1776" s="3" t="s">
        <v>21</v>
      </c>
    </row>
    <row r="1777" ht="15.75" customHeight="1">
      <c r="A1777" s="3" t="s">
        <v>1855</v>
      </c>
      <c r="B1777" s="3" t="s">
        <v>13</v>
      </c>
      <c r="C1777" s="3" t="s">
        <v>54</v>
      </c>
      <c r="D1777" s="3">
        <v>68431.9651233407</v>
      </c>
      <c r="E1777" s="3">
        <v>22592.4591301758</v>
      </c>
      <c r="F1777" s="3">
        <v>14486.7826823534</v>
      </c>
      <c r="G1777" s="3">
        <v>13242.8133730756</v>
      </c>
      <c r="H1777" s="3">
        <v>-1415.96679268284</v>
      </c>
      <c r="I1777" s="3">
        <v>69260.1826397748</v>
      </c>
      <c r="J1777" s="4">
        <v>45901.0</v>
      </c>
      <c r="K1777" s="3">
        <v>6.0</v>
      </c>
      <c r="L1777" s="3" t="s">
        <v>23</v>
      </c>
    </row>
    <row r="1778" ht="15.75" customHeight="1">
      <c r="A1778" s="3" t="s">
        <v>1856</v>
      </c>
      <c r="B1778" s="3" t="s">
        <v>13</v>
      </c>
      <c r="C1778" s="3" t="s">
        <v>54</v>
      </c>
      <c r="D1778" s="3">
        <v>68442.8480932469</v>
      </c>
      <c r="E1778" s="3">
        <v>22597.0738485033</v>
      </c>
      <c r="F1778" s="3">
        <v>14494.4626857829</v>
      </c>
      <c r="G1778" s="3">
        <v>13246.2109237629</v>
      </c>
      <c r="H1778" s="3">
        <v>-1465.47051043203</v>
      </c>
      <c r="I1778" s="3">
        <v>69263.5641141946</v>
      </c>
      <c r="J1778" s="4">
        <v>45901.0</v>
      </c>
      <c r="K1778" s="3">
        <v>24.0</v>
      </c>
      <c r="L1778" s="3" t="s">
        <v>27</v>
      </c>
    </row>
    <row r="1779" ht="15.75" customHeight="1">
      <c r="A1779" s="3" t="s">
        <v>1857</v>
      </c>
      <c r="B1779" s="3" t="s">
        <v>25</v>
      </c>
      <c r="C1779" s="3" t="s">
        <v>30</v>
      </c>
      <c r="D1779" s="3">
        <v>68453.7310631531</v>
      </c>
      <c r="E1779" s="3">
        <v>22601.6885668307</v>
      </c>
      <c r="F1779" s="3">
        <v>14502.1426892124</v>
      </c>
      <c r="G1779" s="3">
        <v>13249.6084744502</v>
      </c>
      <c r="H1779" s="3">
        <v>-1514.97422818113</v>
      </c>
      <c r="I1779" s="3">
        <v>69266.9455886145</v>
      </c>
      <c r="J1779" s="4">
        <v>45658.0</v>
      </c>
      <c r="K1779" s="3">
        <v>1.0</v>
      </c>
      <c r="L1779" s="3" t="s">
        <v>31</v>
      </c>
    </row>
    <row r="1780" ht="15.75" customHeight="1">
      <c r="A1780" s="3" t="s">
        <v>1858</v>
      </c>
      <c r="B1780" s="3" t="s">
        <v>53</v>
      </c>
      <c r="C1780" s="3" t="s">
        <v>14</v>
      </c>
      <c r="D1780" s="3">
        <v>68464.6140330593</v>
      </c>
      <c r="E1780" s="3">
        <v>22606.3032851581</v>
      </c>
      <c r="F1780" s="3">
        <v>14509.8226926419</v>
      </c>
      <c r="G1780" s="3">
        <v>13253.0060251375</v>
      </c>
      <c r="H1780" s="3">
        <v>-1564.47794593024</v>
      </c>
      <c r="I1780" s="3">
        <v>69270.3270630343</v>
      </c>
      <c r="J1780" s="4">
        <v>45778.0</v>
      </c>
      <c r="K1780" s="3">
        <v>18.0</v>
      </c>
      <c r="L1780" s="3" t="s">
        <v>34</v>
      </c>
    </row>
    <row r="1781" ht="15.75" customHeight="1">
      <c r="A1781" s="3" t="s">
        <v>1859</v>
      </c>
      <c r="B1781" s="3" t="s">
        <v>51</v>
      </c>
      <c r="C1781" s="3" t="s">
        <v>14</v>
      </c>
      <c r="D1781" s="3">
        <v>68475.4970029655</v>
      </c>
      <c r="E1781" s="3">
        <v>22610.9180034855</v>
      </c>
      <c r="F1781" s="3">
        <v>14517.5026960714</v>
      </c>
      <c r="G1781" s="3">
        <v>13256.4035758248</v>
      </c>
      <c r="H1781" s="3">
        <v>-1613.98166367944</v>
      </c>
      <c r="I1781" s="3">
        <v>69273.7085374541</v>
      </c>
      <c r="J1781" s="4">
        <v>45962.0</v>
      </c>
      <c r="K1781" s="3">
        <v>21.0</v>
      </c>
      <c r="L1781" s="3" t="s">
        <v>38</v>
      </c>
    </row>
    <row r="1782" ht="15.75" customHeight="1">
      <c r="A1782" s="3" t="s">
        <v>1860</v>
      </c>
      <c r="B1782" s="3" t="s">
        <v>29</v>
      </c>
      <c r="C1782" s="3" t="s">
        <v>26</v>
      </c>
      <c r="D1782" s="3">
        <v>68486.3799728717</v>
      </c>
      <c r="E1782" s="3">
        <v>22615.5327218129</v>
      </c>
      <c r="F1782" s="3">
        <v>14525.1826995008</v>
      </c>
      <c r="G1782" s="3">
        <v>13259.8011265121</v>
      </c>
      <c r="H1782" s="3">
        <v>-1663.48538142853</v>
      </c>
      <c r="I1782" s="3">
        <v>69277.0900118739</v>
      </c>
      <c r="J1782" s="4">
        <v>45870.0</v>
      </c>
      <c r="K1782" s="3">
        <v>4.0</v>
      </c>
      <c r="L1782" s="3" t="s">
        <v>40</v>
      </c>
    </row>
    <row r="1783" ht="15.75" customHeight="1">
      <c r="A1783" s="3" t="s">
        <v>1861</v>
      </c>
      <c r="B1783" s="3" t="s">
        <v>17</v>
      </c>
      <c r="C1783" s="3" t="s">
        <v>30</v>
      </c>
      <c r="D1783" s="3">
        <v>68497.2629427778</v>
      </c>
      <c r="E1783" s="3">
        <v>22620.1474401404</v>
      </c>
      <c r="F1783" s="3">
        <v>14532.8627029303</v>
      </c>
      <c r="G1783" s="3">
        <v>13263.1986771994</v>
      </c>
      <c r="H1783" s="3">
        <v>-1712.98909917763</v>
      </c>
      <c r="I1783" s="3">
        <v>69280.4714862937</v>
      </c>
      <c r="J1783" s="4">
        <v>45992.0</v>
      </c>
      <c r="K1783" s="3">
        <v>14.0</v>
      </c>
      <c r="L1783" s="3" t="s">
        <v>42</v>
      </c>
    </row>
    <row r="1784" ht="15.75" customHeight="1">
      <c r="A1784" s="3" t="s">
        <v>1862</v>
      </c>
      <c r="B1784" s="3" t="s">
        <v>53</v>
      </c>
      <c r="C1784" s="3" t="s">
        <v>37</v>
      </c>
      <c r="D1784" s="3">
        <v>68508.145912684</v>
      </c>
      <c r="E1784" s="3">
        <v>22624.7621584678</v>
      </c>
      <c r="F1784" s="3">
        <v>14540.5427063598</v>
      </c>
      <c r="G1784" s="3">
        <v>13266.5962278866</v>
      </c>
      <c r="H1784" s="3">
        <v>-1762.49281692674</v>
      </c>
      <c r="I1784" s="3">
        <v>69283.8529607135</v>
      </c>
      <c r="J1784" s="4">
        <v>45931.0</v>
      </c>
      <c r="K1784" s="3">
        <v>4.0</v>
      </c>
      <c r="L1784" s="3" t="s">
        <v>15</v>
      </c>
    </row>
    <row r="1785" ht="15.75" customHeight="1">
      <c r="A1785" s="3" t="s">
        <v>1863</v>
      </c>
      <c r="B1785" s="3" t="s">
        <v>25</v>
      </c>
      <c r="C1785" s="3" t="s">
        <v>18</v>
      </c>
      <c r="D1785" s="3">
        <v>68519.0288825902</v>
      </c>
      <c r="E1785" s="3">
        <v>22629.3768767952</v>
      </c>
      <c r="F1785" s="3">
        <v>14548.2227097893</v>
      </c>
      <c r="G1785" s="3">
        <v>13269.9937785739</v>
      </c>
      <c r="H1785" s="3">
        <v>-1811.99653467594</v>
      </c>
      <c r="I1785" s="3">
        <v>69287.2344351334</v>
      </c>
      <c r="J1785" s="4">
        <v>45778.0</v>
      </c>
      <c r="K1785" s="3">
        <v>5.0</v>
      </c>
      <c r="L1785" s="3" t="s">
        <v>19</v>
      </c>
    </row>
    <row r="1786" ht="15.75" customHeight="1">
      <c r="A1786" s="3" t="s">
        <v>1864</v>
      </c>
      <c r="B1786" s="3" t="s">
        <v>25</v>
      </c>
      <c r="C1786" s="3" t="s">
        <v>30</v>
      </c>
      <c r="D1786" s="3">
        <v>68529.9118524964</v>
      </c>
      <c r="E1786" s="3">
        <v>22633.9915951226</v>
      </c>
      <c r="F1786" s="3">
        <v>14555.9027132188</v>
      </c>
      <c r="G1786" s="3">
        <v>13273.3913292612</v>
      </c>
      <c r="H1786" s="3">
        <v>-1861.50025242503</v>
      </c>
      <c r="I1786" s="3">
        <v>69290.6159095532</v>
      </c>
      <c r="J1786" s="4">
        <v>45962.0</v>
      </c>
      <c r="K1786" s="3">
        <v>9.0</v>
      </c>
      <c r="L1786" s="3" t="s">
        <v>21</v>
      </c>
    </row>
    <row r="1787" ht="15.75" customHeight="1">
      <c r="A1787" s="3" t="s">
        <v>1865</v>
      </c>
      <c r="B1787" s="3" t="s">
        <v>13</v>
      </c>
      <c r="C1787" s="3" t="s">
        <v>54</v>
      </c>
      <c r="D1787" s="3">
        <v>68540.7948224026</v>
      </c>
      <c r="E1787" s="3">
        <v>22638.6063134501</v>
      </c>
      <c r="F1787" s="3">
        <v>14563.5827166483</v>
      </c>
      <c r="G1787" s="3">
        <v>13276.7888799485</v>
      </c>
      <c r="H1787" s="3">
        <v>-1911.00397017413</v>
      </c>
      <c r="I1787" s="3">
        <v>69293.997383973</v>
      </c>
      <c r="J1787" s="4">
        <v>45658.0</v>
      </c>
      <c r="K1787" s="3">
        <v>21.0</v>
      </c>
      <c r="L1787" s="3" t="s">
        <v>23</v>
      </c>
    </row>
    <row r="1788" ht="15.75" customHeight="1">
      <c r="A1788" s="3" t="s">
        <v>1866</v>
      </c>
      <c r="B1788" s="3" t="s">
        <v>51</v>
      </c>
      <c r="C1788" s="3" t="s">
        <v>33</v>
      </c>
      <c r="D1788" s="3">
        <v>68562.560762215</v>
      </c>
      <c r="E1788" s="3">
        <v>22647.8357501049</v>
      </c>
      <c r="F1788" s="3">
        <v>14578.9427235073</v>
      </c>
      <c r="G1788" s="3">
        <v>13283.5839813231</v>
      </c>
      <c r="H1788" s="3">
        <v>-2010.01140567244</v>
      </c>
      <c r="I1788" s="3">
        <v>69300.7603328126</v>
      </c>
      <c r="J1788" s="4">
        <v>45778.0</v>
      </c>
      <c r="K1788" s="3">
        <v>9.0</v>
      </c>
      <c r="L1788" s="3" t="s">
        <v>31</v>
      </c>
    </row>
    <row r="1789" ht="15.75" customHeight="1">
      <c r="A1789" s="3" t="s">
        <v>1867</v>
      </c>
      <c r="B1789" s="3" t="s">
        <v>13</v>
      </c>
      <c r="C1789" s="3" t="s">
        <v>33</v>
      </c>
      <c r="D1789" s="3">
        <v>68573.4437321212</v>
      </c>
      <c r="E1789" s="3">
        <v>22652.4504684323</v>
      </c>
      <c r="F1789" s="3">
        <v>14586.6227269368</v>
      </c>
      <c r="G1789" s="3">
        <v>13286.9815320104</v>
      </c>
      <c r="H1789" s="3">
        <v>-2059.51512342154</v>
      </c>
      <c r="I1789" s="3">
        <v>69304.1418072324</v>
      </c>
      <c r="J1789" s="3" t="s">
        <v>57</v>
      </c>
      <c r="K1789" s="3">
        <v>20.0</v>
      </c>
      <c r="L1789" s="3" t="s">
        <v>34</v>
      </c>
    </row>
    <row r="1790" ht="15.75" customHeight="1">
      <c r="A1790" s="3" t="s">
        <v>1868</v>
      </c>
      <c r="B1790" s="3" t="s">
        <v>51</v>
      </c>
      <c r="C1790" s="3" t="s">
        <v>54</v>
      </c>
      <c r="D1790" s="3">
        <v>68584.3267020274</v>
      </c>
      <c r="E1790" s="3">
        <v>22657.0651867597</v>
      </c>
      <c r="F1790" s="3">
        <v>14594.3027303663</v>
      </c>
      <c r="G1790" s="3">
        <v>13290.3790826976</v>
      </c>
      <c r="H1790" s="3">
        <v>-2109.01884117063</v>
      </c>
      <c r="I1790" s="3">
        <v>69307.5232816522</v>
      </c>
      <c r="J1790" s="4">
        <v>45809.0</v>
      </c>
      <c r="K1790" s="3">
        <v>11.0</v>
      </c>
      <c r="L1790" s="3" t="s">
        <v>38</v>
      </c>
    </row>
    <row r="1791" ht="15.75" customHeight="1">
      <c r="A1791" s="3" t="s">
        <v>1869</v>
      </c>
      <c r="B1791" s="3" t="s">
        <v>17</v>
      </c>
      <c r="C1791" s="3" t="s">
        <v>14</v>
      </c>
      <c r="D1791" s="3">
        <v>68595.2096719336</v>
      </c>
      <c r="E1791" s="3">
        <v>22661.6799050872</v>
      </c>
      <c r="F1791" s="3">
        <v>14601.9827337958</v>
      </c>
      <c r="G1791" s="3">
        <v>13293.7766333849</v>
      </c>
      <c r="H1791" s="3">
        <v>-2158.52255891984</v>
      </c>
      <c r="I1791" s="3">
        <v>69310.9047560721</v>
      </c>
      <c r="J1791" s="4">
        <v>45870.0</v>
      </c>
      <c r="K1791" s="3">
        <v>20.0</v>
      </c>
      <c r="L1791" s="3" t="s">
        <v>40</v>
      </c>
    </row>
    <row r="1792" ht="15.75" customHeight="1">
      <c r="A1792" s="3" t="s">
        <v>1870</v>
      </c>
      <c r="B1792" s="3" t="s">
        <v>17</v>
      </c>
      <c r="C1792" s="3" t="s">
        <v>33</v>
      </c>
      <c r="D1792" s="3">
        <v>68616.975611746</v>
      </c>
      <c r="E1792" s="3">
        <v>22670.909341742</v>
      </c>
      <c r="F1792" s="3">
        <v>14617.3427406548</v>
      </c>
      <c r="G1792" s="3">
        <v>13300.5717347595</v>
      </c>
      <c r="H1792" s="3">
        <v>-2257.52999441804</v>
      </c>
      <c r="I1792" s="3">
        <v>69317.6677049117</v>
      </c>
      <c r="J1792" s="4">
        <v>45901.0</v>
      </c>
      <c r="K1792" s="3">
        <v>3.0</v>
      </c>
      <c r="L1792" s="3" t="s">
        <v>15</v>
      </c>
    </row>
    <row r="1793" ht="15.75" customHeight="1">
      <c r="A1793" s="3" t="s">
        <v>1871</v>
      </c>
      <c r="B1793" s="3" t="s">
        <v>13</v>
      </c>
      <c r="C1793" s="3" t="s">
        <v>18</v>
      </c>
      <c r="D1793" s="3">
        <v>68627.8585816522</v>
      </c>
      <c r="E1793" s="3">
        <v>22675.5240600694</v>
      </c>
      <c r="F1793" s="3">
        <v>14625.0227440843</v>
      </c>
      <c r="G1793" s="3">
        <v>13303.9692854468</v>
      </c>
      <c r="H1793" s="3">
        <v>-2307.03371216713</v>
      </c>
      <c r="I1793" s="3">
        <v>69321.0491793315</v>
      </c>
      <c r="J1793" s="4">
        <v>45931.0</v>
      </c>
      <c r="K1793" s="3">
        <v>4.0</v>
      </c>
      <c r="L1793" s="3" t="s">
        <v>19</v>
      </c>
    </row>
    <row r="1794" ht="15.75" customHeight="1">
      <c r="A1794" s="3" t="s">
        <v>1872</v>
      </c>
      <c r="B1794" s="3" t="s">
        <v>25</v>
      </c>
      <c r="C1794" s="3" t="s">
        <v>30</v>
      </c>
      <c r="D1794" s="3">
        <v>68638.7415515584</v>
      </c>
      <c r="E1794" s="3">
        <v>22680.1387783969</v>
      </c>
      <c r="F1794" s="3">
        <v>14632.7027475138</v>
      </c>
      <c r="G1794" s="3">
        <v>13307.3668361341</v>
      </c>
      <c r="H1794" s="3">
        <v>-2356.53742991634</v>
      </c>
      <c r="I1794" s="3">
        <v>69324.4306537513</v>
      </c>
      <c r="J1794" s="4">
        <v>45870.0</v>
      </c>
      <c r="K1794" s="3">
        <v>23.0</v>
      </c>
      <c r="L1794" s="3" t="s">
        <v>21</v>
      </c>
    </row>
    <row r="1795" ht="15.75" customHeight="1">
      <c r="A1795" s="3" t="s">
        <v>1873</v>
      </c>
      <c r="B1795" s="3" t="s">
        <v>36</v>
      </c>
      <c r="C1795" s="3" t="s">
        <v>18</v>
      </c>
      <c r="D1795" s="3">
        <v>68649.6245214646</v>
      </c>
      <c r="E1795" s="3">
        <v>22684.7534967243</v>
      </c>
      <c r="F1795" s="3">
        <v>14640.3827509433</v>
      </c>
      <c r="G1795" s="3">
        <v>13310.7643868214</v>
      </c>
      <c r="H1795" s="3">
        <v>-2406.04114766544</v>
      </c>
      <c r="I1795" s="3">
        <v>69327.8121281711</v>
      </c>
      <c r="J1795" s="4">
        <v>45931.0</v>
      </c>
      <c r="K1795" s="3">
        <v>25.0</v>
      </c>
      <c r="L1795" s="3" t="s">
        <v>23</v>
      </c>
    </row>
    <row r="1796" ht="15.75" customHeight="1">
      <c r="A1796" s="3" t="s">
        <v>1874</v>
      </c>
      <c r="B1796" s="3" t="s">
        <v>29</v>
      </c>
      <c r="C1796" s="3" t="s">
        <v>33</v>
      </c>
      <c r="D1796" s="3">
        <v>68660.5074913707</v>
      </c>
      <c r="E1796" s="3">
        <v>22689.3682150517</v>
      </c>
      <c r="F1796" s="3">
        <v>14648.0627543728</v>
      </c>
      <c r="G1796" s="3">
        <v>13314.1619375087</v>
      </c>
      <c r="H1796" s="3">
        <v>-2455.54486541454</v>
      </c>
      <c r="I1796" s="3">
        <v>69331.1936025909</v>
      </c>
      <c r="J1796" s="4">
        <v>45962.0</v>
      </c>
      <c r="K1796" s="3">
        <v>6.0</v>
      </c>
      <c r="L1796" s="3" t="s">
        <v>27</v>
      </c>
    </row>
    <row r="1797" ht="15.75" customHeight="1">
      <c r="A1797" s="3" t="s">
        <v>1875</v>
      </c>
      <c r="B1797" s="3" t="s">
        <v>13</v>
      </c>
      <c r="C1797" s="3" t="s">
        <v>37</v>
      </c>
      <c r="D1797" s="3">
        <v>68671.3904612769</v>
      </c>
      <c r="E1797" s="3">
        <v>22693.9829333791</v>
      </c>
      <c r="F1797" s="3">
        <v>14655.7427578023</v>
      </c>
      <c r="G1797" s="3">
        <v>13317.5594881959</v>
      </c>
      <c r="H1797" s="3">
        <v>-2505.04858316363</v>
      </c>
      <c r="I1797" s="3">
        <v>69334.5750770108</v>
      </c>
      <c r="J1797" s="4">
        <v>45901.0</v>
      </c>
      <c r="K1797" s="3">
        <v>18.0</v>
      </c>
      <c r="L1797" s="3" t="s">
        <v>31</v>
      </c>
    </row>
    <row r="1798" ht="15.75" customHeight="1">
      <c r="A1798" s="3" t="s">
        <v>1876</v>
      </c>
      <c r="B1798" s="3" t="s">
        <v>53</v>
      </c>
      <c r="C1798" s="3" t="s">
        <v>18</v>
      </c>
      <c r="D1798" s="3">
        <v>68682.2734311831</v>
      </c>
      <c r="E1798" s="3">
        <v>22698.5976517065</v>
      </c>
      <c r="F1798" s="3">
        <v>14663.4227612318</v>
      </c>
      <c r="G1798" s="3">
        <v>13320.9570388832</v>
      </c>
      <c r="H1798" s="3">
        <v>-2554.55230091284</v>
      </c>
      <c r="I1798" s="3">
        <v>69337.9565514306</v>
      </c>
      <c r="J1798" s="4">
        <v>45778.0</v>
      </c>
      <c r="K1798" s="3">
        <v>10.0</v>
      </c>
      <c r="L1798" s="3" t="s">
        <v>34</v>
      </c>
    </row>
    <row r="1799" ht="15.75" customHeight="1">
      <c r="A1799" s="3" t="s">
        <v>1877</v>
      </c>
      <c r="B1799" s="3" t="s">
        <v>29</v>
      </c>
      <c r="C1799" s="3" t="s">
        <v>26</v>
      </c>
      <c r="D1799" s="3">
        <v>68693.1564010893</v>
      </c>
      <c r="E1799" s="3">
        <v>22703.212370034</v>
      </c>
      <c r="F1799" s="3">
        <v>14671.1027646613</v>
      </c>
      <c r="G1799" s="3">
        <v>13324.3545895705</v>
      </c>
      <c r="H1799" s="3">
        <v>-2604.05601866194</v>
      </c>
      <c r="I1799" s="3">
        <v>69341.3380258504</v>
      </c>
      <c r="J1799" s="4">
        <v>45717.0</v>
      </c>
      <c r="K1799" s="3">
        <v>24.0</v>
      </c>
      <c r="L1799" s="3" t="s">
        <v>38</v>
      </c>
    </row>
    <row r="1800" ht="15.75" customHeight="1">
      <c r="A1800" s="3" t="s">
        <v>1878</v>
      </c>
      <c r="B1800" s="3" t="s">
        <v>17</v>
      </c>
      <c r="C1800" s="3" t="s">
        <v>54</v>
      </c>
      <c r="D1800" s="3">
        <v>68704.0393709955</v>
      </c>
      <c r="E1800" s="3">
        <v>22707.8270883614</v>
      </c>
      <c r="F1800" s="3">
        <v>14678.7827680908</v>
      </c>
      <c r="G1800" s="3">
        <v>13327.7521402578</v>
      </c>
      <c r="H1800" s="3">
        <v>-2653.55973641104</v>
      </c>
      <c r="I1800" s="3">
        <v>69344.7195002702</v>
      </c>
      <c r="J1800" s="4">
        <v>45778.0</v>
      </c>
      <c r="K1800" s="3">
        <v>22.0</v>
      </c>
      <c r="L1800" s="3" t="s">
        <v>40</v>
      </c>
    </row>
    <row r="1801" ht="15.75" customHeight="1">
      <c r="A1801" s="3" t="s">
        <v>1879</v>
      </c>
      <c r="B1801" s="3" t="s">
        <v>13</v>
      </c>
      <c r="C1801" s="3" t="s">
        <v>33</v>
      </c>
      <c r="D1801" s="3">
        <v>68714.9223409017</v>
      </c>
      <c r="E1801" s="3">
        <v>22712.4418066888</v>
      </c>
      <c r="F1801" s="3">
        <v>14686.4627715203</v>
      </c>
      <c r="G1801" s="3">
        <v>13331.1496909451</v>
      </c>
      <c r="H1801" s="3">
        <v>-2703.06345416013</v>
      </c>
      <c r="I1801" s="3">
        <v>69348.10097469</v>
      </c>
      <c r="J1801" s="4">
        <v>45870.0</v>
      </c>
      <c r="K1801" s="3">
        <v>21.0</v>
      </c>
      <c r="L1801" s="3" t="s">
        <v>42</v>
      </c>
    </row>
    <row r="1802" ht="15.75" customHeight="1">
      <c r="A1802" s="3" t="s">
        <v>1880</v>
      </c>
      <c r="B1802" s="3" t="s">
        <v>36</v>
      </c>
      <c r="C1802" s="3" t="s">
        <v>26</v>
      </c>
      <c r="D1802" s="3">
        <v>68725.8053108079</v>
      </c>
      <c r="E1802" s="3">
        <v>22717.0565250162</v>
      </c>
      <c r="F1802" s="3">
        <v>14694.1427749498</v>
      </c>
      <c r="G1802" s="3">
        <v>13334.5472416324</v>
      </c>
      <c r="H1802" s="3">
        <v>-2752.56717190934</v>
      </c>
      <c r="I1802" s="3">
        <v>69351.4824491098</v>
      </c>
      <c r="J1802" s="4">
        <v>45931.0</v>
      </c>
      <c r="K1802" s="3">
        <v>3.0</v>
      </c>
      <c r="L1802" s="3" t="s">
        <v>15</v>
      </c>
    </row>
    <row r="1803" ht="15.75" customHeight="1">
      <c r="A1803" s="3" t="s">
        <v>1881</v>
      </c>
      <c r="B1803" s="3" t="s">
        <v>25</v>
      </c>
      <c r="C1803" s="3" t="s">
        <v>14</v>
      </c>
      <c r="D1803" s="3">
        <v>68736.6882807141</v>
      </c>
      <c r="E1803" s="3">
        <v>22721.6712433437</v>
      </c>
      <c r="F1803" s="3">
        <v>14701.8227783793</v>
      </c>
      <c r="G1803" s="3">
        <v>13337.9447923197</v>
      </c>
      <c r="H1803" s="3">
        <v>-2802.07088965844</v>
      </c>
      <c r="I1803" s="3">
        <v>69354.8639235296</v>
      </c>
      <c r="J1803" s="4">
        <v>45839.0</v>
      </c>
      <c r="K1803" s="3">
        <v>20.0</v>
      </c>
      <c r="L1803" s="3" t="s">
        <v>19</v>
      </c>
    </row>
    <row r="1804" ht="15.75" customHeight="1">
      <c r="A1804" s="3" t="s">
        <v>1882</v>
      </c>
      <c r="B1804" s="3" t="s">
        <v>17</v>
      </c>
      <c r="C1804" s="3" t="s">
        <v>54</v>
      </c>
      <c r="D1804" s="3">
        <v>68747.5712506203</v>
      </c>
      <c r="E1804" s="3">
        <v>22726.2859616711</v>
      </c>
      <c r="F1804" s="3">
        <v>14709.5027818088</v>
      </c>
      <c r="G1804" s="3">
        <v>13341.342343007</v>
      </c>
      <c r="H1804" s="3">
        <v>-2851.57460740754</v>
      </c>
      <c r="I1804" s="3">
        <v>69358.2453979495</v>
      </c>
      <c r="J1804" s="4">
        <v>45748.0</v>
      </c>
      <c r="K1804" s="3">
        <v>11.0</v>
      </c>
      <c r="L1804" s="3" t="s">
        <v>21</v>
      </c>
    </row>
    <row r="1805" ht="15.75" customHeight="1">
      <c r="A1805" s="3" t="s">
        <v>1883</v>
      </c>
      <c r="B1805" s="3" t="s">
        <v>53</v>
      </c>
      <c r="C1805" s="3" t="s">
        <v>33</v>
      </c>
      <c r="D1805" s="5"/>
      <c r="E1805" s="3">
        <v>22730.9006799985</v>
      </c>
      <c r="F1805" s="3">
        <v>14717.1827852383</v>
      </c>
      <c r="G1805" s="3">
        <v>13344.7398936942</v>
      </c>
      <c r="H1805" s="3">
        <v>-2901.07832515673</v>
      </c>
      <c r="I1805" s="3">
        <v>69361.6268723693</v>
      </c>
      <c r="J1805" s="4">
        <v>45717.0</v>
      </c>
      <c r="K1805" s="3">
        <v>13.0</v>
      </c>
      <c r="L1805" s="3" t="s">
        <v>23</v>
      </c>
    </row>
    <row r="1806" ht="15.75" customHeight="1">
      <c r="A1806" s="3" t="s">
        <v>1884</v>
      </c>
      <c r="B1806" s="3" t="s">
        <v>29</v>
      </c>
      <c r="C1806" s="3" t="s">
        <v>54</v>
      </c>
      <c r="D1806" s="3">
        <v>68769.3371904327</v>
      </c>
      <c r="E1806" s="3">
        <v>22735.5153983259</v>
      </c>
      <c r="F1806" s="3">
        <v>14724.8627886678</v>
      </c>
      <c r="G1806" s="3">
        <v>13348.1374443815</v>
      </c>
      <c r="H1806" s="3">
        <v>-2950.58204290584</v>
      </c>
      <c r="I1806" s="3">
        <v>69365.0083467891</v>
      </c>
      <c r="J1806" s="4">
        <v>45962.0</v>
      </c>
      <c r="K1806" s="3">
        <v>22.0</v>
      </c>
      <c r="L1806" s="3" t="s">
        <v>27</v>
      </c>
    </row>
    <row r="1807" ht="15.75" customHeight="1">
      <c r="A1807" s="3" t="s">
        <v>1885</v>
      </c>
      <c r="B1807" s="3" t="s">
        <v>29</v>
      </c>
      <c r="C1807" s="3" t="s">
        <v>26</v>
      </c>
      <c r="D1807" s="3">
        <v>68780.2201603389</v>
      </c>
      <c r="E1807" s="3">
        <v>22740.1301166533</v>
      </c>
      <c r="F1807" s="3">
        <v>14732.5427920973</v>
      </c>
      <c r="G1807" s="3">
        <v>13351.5349950688</v>
      </c>
      <c r="H1807" s="3">
        <v>-3000.08576065494</v>
      </c>
      <c r="I1807" s="3">
        <v>69368.3898212089</v>
      </c>
      <c r="J1807" s="4">
        <v>45717.0</v>
      </c>
      <c r="K1807" s="3">
        <v>2.0</v>
      </c>
      <c r="L1807" s="3" t="s">
        <v>31</v>
      </c>
    </row>
    <row r="1808" ht="15.75" customHeight="1">
      <c r="A1808" s="3" t="s">
        <v>1886</v>
      </c>
      <c r="B1808" s="3" t="s">
        <v>51</v>
      </c>
      <c r="C1808" s="3" t="s">
        <v>33</v>
      </c>
      <c r="D1808" s="3">
        <v>68791.1031302451</v>
      </c>
      <c r="E1808" s="3">
        <v>22744.7448349808</v>
      </c>
      <c r="F1808" s="3">
        <v>14740.2227955268</v>
      </c>
      <c r="G1808" s="3">
        <v>13354.9325457561</v>
      </c>
      <c r="H1808" s="3">
        <v>-3049.58947840404</v>
      </c>
      <c r="I1808" s="3">
        <v>69371.7712956287</v>
      </c>
      <c r="J1808" s="4">
        <v>45717.0</v>
      </c>
      <c r="K1808" s="3">
        <v>1.0</v>
      </c>
      <c r="L1808" s="3" t="s">
        <v>34</v>
      </c>
    </row>
    <row r="1809" ht="15.75" customHeight="1">
      <c r="A1809" s="3" t="s">
        <v>1887</v>
      </c>
      <c r="B1809" s="3" t="s">
        <v>53</v>
      </c>
      <c r="C1809" s="3" t="s">
        <v>26</v>
      </c>
      <c r="D1809" s="3">
        <v>68801.9861001513</v>
      </c>
      <c r="E1809" s="3">
        <v>22749.3595533082</v>
      </c>
      <c r="F1809" s="3">
        <v>14747.9027989563</v>
      </c>
      <c r="G1809" s="3">
        <v>13358.3300964434</v>
      </c>
      <c r="H1809" s="3">
        <v>-3099.09319615323</v>
      </c>
      <c r="I1809" s="3">
        <v>69375.1527700485</v>
      </c>
      <c r="J1809" s="4">
        <v>45839.0</v>
      </c>
      <c r="K1809" s="3">
        <v>3.0</v>
      </c>
      <c r="L1809" s="3" t="s">
        <v>38</v>
      </c>
    </row>
    <row r="1810" ht="15.75" customHeight="1">
      <c r="A1810" s="3" t="s">
        <v>1888</v>
      </c>
      <c r="B1810" s="3" t="s">
        <v>53</v>
      </c>
      <c r="C1810" s="3" t="s">
        <v>54</v>
      </c>
      <c r="D1810" s="3">
        <v>68812.8690700575</v>
      </c>
      <c r="E1810" s="3">
        <v>22753.9742716356</v>
      </c>
      <c r="F1810" s="3">
        <v>14755.5828023858</v>
      </c>
      <c r="G1810" s="3">
        <v>13361.7276471307</v>
      </c>
      <c r="H1810" s="3">
        <v>-3148.59691390234</v>
      </c>
      <c r="I1810" s="3">
        <v>69378.5342444683</v>
      </c>
      <c r="J1810" s="4">
        <v>45809.0</v>
      </c>
      <c r="K1810" s="3">
        <v>16.0</v>
      </c>
      <c r="L1810" s="3" t="s">
        <v>40</v>
      </c>
    </row>
    <row r="1811" ht="15.75" customHeight="1">
      <c r="A1811" s="3" t="s">
        <v>1889</v>
      </c>
      <c r="B1811" s="3" t="s">
        <v>17</v>
      </c>
      <c r="C1811" s="3" t="s">
        <v>14</v>
      </c>
      <c r="D1811" s="3">
        <v>68823.7520399636</v>
      </c>
      <c r="E1811" s="3">
        <v>22758.588989963</v>
      </c>
      <c r="F1811" s="3">
        <v>14763.2628058153</v>
      </c>
      <c r="G1811" s="3">
        <v>13365.125197818</v>
      </c>
      <c r="H1811" s="3">
        <v>-3198.10063165144</v>
      </c>
      <c r="I1811" s="3">
        <v>69381.9157188882</v>
      </c>
      <c r="J1811" s="4">
        <v>45992.0</v>
      </c>
      <c r="K1811" s="3">
        <v>12.0</v>
      </c>
      <c r="L1811" s="3" t="s">
        <v>42</v>
      </c>
    </row>
    <row r="1812" ht="15.75" customHeight="1">
      <c r="A1812" s="3" t="s">
        <v>1890</v>
      </c>
      <c r="B1812" s="3" t="s">
        <v>25</v>
      </c>
      <c r="C1812" s="3" t="s">
        <v>26</v>
      </c>
      <c r="D1812" s="3">
        <v>68834.6350098698</v>
      </c>
      <c r="E1812" s="3">
        <v>22763.2037082905</v>
      </c>
      <c r="F1812" s="3">
        <v>14770.9428092448</v>
      </c>
      <c r="G1812" s="3">
        <v>13368.5227485052</v>
      </c>
      <c r="H1812" s="3">
        <v>-3247.60434940054</v>
      </c>
      <c r="I1812" s="3">
        <v>69385.297193308</v>
      </c>
      <c r="J1812" s="4">
        <v>45839.0</v>
      </c>
      <c r="K1812" s="3">
        <v>7.0</v>
      </c>
      <c r="L1812" s="3" t="s">
        <v>15</v>
      </c>
    </row>
    <row r="1813" ht="15.75" customHeight="1">
      <c r="A1813" s="3" t="s">
        <v>1891</v>
      </c>
      <c r="B1813" s="3" t="s">
        <v>51</v>
      </c>
      <c r="C1813" s="3" t="s">
        <v>30</v>
      </c>
      <c r="D1813" s="3">
        <v>68845.517979776</v>
      </c>
      <c r="E1813" s="3">
        <v>22767.8184266179</v>
      </c>
      <c r="F1813" s="3">
        <v>14778.6228126743</v>
      </c>
      <c r="G1813" s="3">
        <v>13371.9202991925</v>
      </c>
      <c r="H1813" s="3">
        <v>-3297.10806714973</v>
      </c>
      <c r="I1813" s="3">
        <v>69388.6786677278</v>
      </c>
      <c r="J1813" s="4">
        <v>45778.0</v>
      </c>
      <c r="K1813" s="3">
        <v>18.0</v>
      </c>
      <c r="L1813" s="3" t="s">
        <v>19</v>
      </c>
    </row>
    <row r="1814" ht="15.75" customHeight="1">
      <c r="A1814" s="3" t="s">
        <v>1892</v>
      </c>
      <c r="B1814" s="3" t="s">
        <v>53</v>
      </c>
      <c r="C1814" s="3" t="s">
        <v>37</v>
      </c>
      <c r="D1814" s="3">
        <v>68856.4009496822</v>
      </c>
      <c r="E1814" s="3">
        <v>22772.4331449453</v>
      </c>
      <c r="F1814" s="3">
        <v>14786.3028161038</v>
      </c>
      <c r="G1814" s="3">
        <v>13375.3178498798</v>
      </c>
      <c r="H1814" s="3">
        <v>-3346.61178489884</v>
      </c>
      <c r="I1814" s="3">
        <v>69392.0601421476</v>
      </c>
      <c r="J1814" s="4">
        <v>45962.0</v>
      </c>
      <c r="K1814" s="3">
        <v>23.0</v>
      </c>
      <c r="L1814" s="3" t="s">
        <v>21</v>
      </c>
    </row>
    <row r="1815" ht="15.75" customHeight="1">
      <c r="A1815" s="3" t="s">
        <v>1893</v>
      </c>
      <c r="B1815" s="3" t="s">
        <v>36</v>
      </c>
      <c r="C1815" s="3" t="s">
        <v>18</v>
      </c>
      <c r="D1815" s="3">
        <v>68867.2839195884</v>
      </c>
      <c r="E1815" s="3">
        <v>22777.0478632727</v>
      </c>
      <c r="F1815" s="3">
        <v>14793.9828195333</v>
      </c>
      <c r="G1815" s="3">
        <v>13378.7154005671</v>
      </c>
      <c r="H1815" s="3">
        <v>-3396.11550264794</v>
      </c>
      <c r="I1815" s="3">
        <v>69395.4416165674</v>
      </c>
      <c r="J1815" s="4">
        <v>45717.0</v>
      </c>
      <c r="K1815" s="3">
        <v>23.0</v>
      </c>
      <c r="L1815" s="3" t="s">
        <v>23</v>
      </c>
    </row>
    <row r="1816" ht="15.75" customHeight="1">
      <c r="A1816" s="3" t="s">
        <v>1894</v>
      </c>
      <c r="B1816" s="5"/>
      <c r="C1816" s="3" t="s">
        <v>33</v>
      </c>
      <c r="D1816" s="3">
        <v>68878.1668894946</v>
      </c>
      <c r="E1816" s="3">
        <v>22781.6625816001</v>
      </c>
      <c r="F1816" s="3">
        <v>14801.6628229628</v>
      </c>
      <c r="G1816" s="3">
        <v>13382.1129512544</v>
      </c>
      <c r="H1816" s="3">
        <v>-3445.61922039704</v>
      </c>
      <c r="I1816" s="3">
        <v>69398.8230909872</v>
      </c>
      <c r="J1816" s="4">
        <v>45748.0</v>
      </c>
      <c r="K1816" s="3">
        <v>1.0</v>
      </c>
      <c r="L1816" s="3" t="s">
        <v>27</v>
      </c>
    </row>
    <row r="1817" ht="15.75" customHeight="1">
      <c r="A1817" s="3" t="s">
        <v>1895</v>
      </c>
      <c r="B1817" s="3" t="s">
        <v>25</v>
      </c>
      <c r="C1817" s="3" t="s">
        <v>54</v>
      </c>
      <c r="D1817" s="3">
        <v>68889.0498594008</v>
      </c>
      <c r="E1817" s="3">
        <v>22786.2772999276</v>
      </c>
      <c r="F1817" s="3">
        <v>14809.3428263922</v>
      </c>
      <c r="G1817" s="3">
        <v>13385.5105019417</v>
      </c>
      <c r="H1817" s="3">
        <v>-3495.12293814623</v>
      </c>
      <c r="I1817" s="3">
        <v>69402.204565407</v>
      </c>
      <c r="J1817" s="4">
        <v>45962.0</v>
      </c>
      <c r="K1817" s="3">
        <v>19.0</v>
      </c>
      <c r="L1817" s="3" t="s">
        <v>31</v>
      </c>
    </row>
    <row r="1818" ht="15.75" customHeight="1">
      <c r="A1818" s="3" t="s">
        <v>1896</v>
      </c>
      <c r="B1818" s="3" t="s">
        <v>13</v>
      </c>
      <c r="C1818" s="3" t="s">
        <v>14</v>
      </c>
      <c r="D1818" s="3">
        <v>68899.932829307</v>
      </c>
      <c r="E1818" s="3">
        <v>22790.892018255</v>
      </c>
      <c r="F1818" s="3">
        <v>14817.0228298217</v>
      </c>
      <c r="G1818" s="3">
        <v>13388.908052629</v>
      </c>
      <c r="H1818" s="3">
        <v>-3544.62665589534</v>
      </c>
      <c r="I1818" s="3">
        <v>69405.5860398269</v>
      </c>
      <c r="J1818" s="4">
        <v>45931.0</v>
      </c>
      <c r="K1818" s="3">
        <v>15.0</v>
      </c>
      <c r="L1818" s="3" t="s">
        <v>34</v>
      </c>
    </row>
    <row r="1819" ht="15.75" customHeight="1">
      <c r="A1819" s="3" t="s">
        <v>1897</v>
      </c>
      <c r="B1819" s="3" t="s">
        <v>25</v>
      </c>
      <c r="C1819" s="3" t="s">
        <v>14</v>
      </c>
      <c r="D1819" s="3">
        <v>68910.8157992132</v>
      </c>
      <c r="E1819" s="3">
        <v>22795.5067365824</v>
      </c>
      <c r="F1819" s="3">
        <v>14824.7028332512</v>
      </c>
      <c r="G1819" s="3">
        <v>13392.3056033163</v>
      </c>
      <c r="H1819" s="3">
        <v>-3594.13037364444</v>
      </c>
      <c r="I1819" s="3">
        <v>69408.9675142467</v>
      </c>
      <c r="J1819" s="4">
        <v>45658.0</v>
      </c>
      <c r="K1819" s="3">
        <v>15.0</v>
      </c>
      <c r="L1819" s="3" t="s">
        <v>38</v>
      </c>
    </row>
    <row r="1820" ht="15.75" customHeight="1">
      <c r="A1820" s="3" t="s">
        <v>1898</v>
      </c>
      <c r="B1820" s="3" t="s">
        <v>17</v>
      </c>
      <c r="C1820" s="3" t="s">
        <v>37</v>
      </c>
      <c r="D1820" s="3">
        <v>68921.6987691194</v>
      </c>
      <c r="E1820" s="3">
        <v>22800.1214549098</v>
      </c>
      <c r="F1820" s="3">
        <v>14832.3828366807</v>
      </c>
      <c r="G1820" s="3">
        <v>13395.7031540035</v>
      </c>
      <c r="H1820" s="3">
        <v>-3643.63409139354</v>
      </c>
      <c r="I1820" s="3">
        <v>69412.3489886665</v>
      </c>
      <c r="J1820" s="4">
        <v>45778.0</v>
      </c>
      <c r="K1820" s="3">
        <v>9.0</v>
      </c>
      <c r="L1820" s="3" t="s">
        <v>40</v>
      </c>
    </row>
    <row r="1821" ht="15.75" customHeight="1">
      <c r="A1821" s="3" t="s">
        <v>1899</v>
      </c>
      <c r="B1821" s="3" t="s">
        <v>17</v>
      </c>
      <c r="C1821" s="3" t="s">
        <v>18</v>
      </c>
      <c r="D1821" s="3">
        <v>68932.5817390256</v>
      </c>
      <c r="E1821" s="3">
        <v>22804.7361732373</v>
      </c>
      <c r="F1821" s="3">
        <v>14840.0628401102</v>
      </c>
      <c r="G1821" s="3">
        <v>13399.1007046908</v>
      </c>
      <c r="H1821" s="3">
        <v>-3693.13780914273</v>
      </c>
      <c r="I1821" s="3">
        <v>69415.7304630863</v>
      </c>
      <c r="J1821" s="4">
        <v>45778.0</v>
      </c>
      <c r="K1821" s="3">
        <v>15.0</v>
      </c>
      <c r="L1821" s="3" t="s">
        <v>42</v>
      </c>
    </row>
    <row r="1822" ht="15.75" customHeight="1">
      <c r="A1822" s="3" t="s">
        <v>1900</v>
      </c>
      <c r="B1822" s="3" t="s">
        <v>36</v>
      </c>
      <c r="C1822" s="3" t="s">
        <v>18</v>
      </c>
      <c r="D1822" s="3">
        <v>68943.4647089318</v>
      </c>
      <c r="E1822" s="3">
        <v>22809.3508915647</v>
      </c>
      <c r="F1822" s="3">
        <v>14847.7428435397</v>
      </c>
      <c r="G1822" s="3">
        <v>13402.4982553781</v>
      </c>
      <c r="H1822" s="3">
        <v>-3742.64152689184</v>
      </c>
      <c r="I1822" s="3">
        <v>69419.1119375061</v>
      </c>
      <c r="J1822" s="4">
        <v>45992.0</v>
      </c>
      <c r="K1822" s="3">
        <v>2.0</v>
      </c>
      <c r="L1822" s="3" t="s">
        <v>15</v>
      </c>
    </row>
    <row r="1823" ht="15.75" customHeight="1">
      <c r="A1823" s="3" t="s">
        <v>1901</v>
      </c>
      <c r="B1823" s="3" t="s">
        <v>36</v>
      </c>
      <c r="C1823" s="3" t="s">
        <v>18</v>
      </c>
      <c r="D1823" s="3">
        <v>68954.347678838</v>
      </c>
      <c r="E1823" s="3">
        <v>22813.9656098921</v>
      </c>
      <c r="F1823" s="3">
        <v>14855.4228469692</v>
      </c>
      <c r="G1823" s="3">
        <v>13405.8958060654</v>
      </c>
      <c r="H1823" s="3">
        <v>-3792.14524464094</v>
      </c>
      <c r="I1823" s="3">
        <v>69422.4934119259</v>
      </c>
      <c r="J1823" s="4">
        <v>45689.0</v>
      </c>
      <c r="K1823" s="3">
        <v>25.0</v>
      </c>
      <c r="L1823" s="3" t="s">
        <v>19</v>
      </c>
    </row>
    <row r="1824" ht="15.75" customHeight="1">
      <c r="A1824" s="3" t="s">
        <v>1902</v>
      </c>
      <c r="B1824" s="3" t="s">
        <v>51</v>
      </c>
      <c r="C1824" s="3" t="s">
        <v>54</v>
      </c>
      <c r="D1824" s="3">
        <v>68965.2306487442</v>
      </c>
      <c r="E1824" s="3">
        <v>22818.5803282195</v>
      </c>
      <c r="F1824" s="3">
        <v>14863.1028503987</v>
      </c>
      <c r="G1824" s="3">
        <v>13409.2933567527</v>
      </c>
      <c r="H1824" s="3">
        <v>-3841.64896239014</v>
      </c>
      <c r="I1824" s="3">
        <v>69425.8748863457</v>
      </c>
      <c r="J1824" s="4">
        <v>45778.0</v>
      </c>
      <c r="K1824" s="3">
        <v>10.0</v>
      </c>
      <c r="L1824" s="3" t="s">
        <v>21</v>
      </c>
    </row>
    <row r="1825" ht="15.75" customHeight="1">
      <c r="A1825" s="3" t="s">
        <v>1903</v>
      </c>
      <c r="B1825" s="3" t="s">
        <v>29</v>
      </c>
      <c r="C1825" s="3" t="s">
        <v>14</v>
      </c>
      <c r="D1825" s="3">
        <v>68976.1136186504</v>
      </c>
      <c r="E1825" s="3">
        <v>22823.1950465469</v>
      </c>
      <c r="F1825" s="3">
        <v>14870.7828538282</v>
      </c>
      <c r="G1825" s="3">
        <v>13412.69090744</v>
      </c>
      <c r="H1825" s="3">
        <v>-3891.15268013923</v>
      </c>
      <c r="I1825" s="3">
        <v>69429.2563607655</v>
      </c>
      <c r="J1825" s="4">
        <v>45717.0</v>
      </c>
      <c r="K1825" s="3">
        <v>7.0</v>
      </c>
      <c r="L1825" s="3" t="s">
        <v>23</v>
      </c>
    </row>
    <row r="1826" ht="15.75" customHeight="1">
      <c r="A1826" s="3" t="s">
        <v>1904</v>
      </c>
      <c r="B1826" s="3" t="s">
        <v>25</v>
      </c>
      <c r="C1826" s="3" t="s">
        <v>37</v>
      </c>
      <c r="D1826" s="3">
        <v>68986.9965885565</v>
      </c>
      <c r="E1826" s="3">
        <v>22827.8097648744</v>
      </c>
      <c r="F1826" s="3">
        <v>14878.4628572577</v>
      </c>
      <c r="G1826" s="3">
        <v>13416.0884581273</v>
      </c>
      <c r="H1826" s="3">
        <v>-3940.65639788834</v>
      </c>
      <c r="I1826" s="3">
        <v>69432.6378351854</v>
      </c>
      <c r="J1826" s="4">
        <v>45809.0</v>
      </c>
      <c r="K1826" s="3">
        <v>11.0</v>
      </c>
      <c r="L1826" s="3" t="s">
        <v>27</v>
      </c>
    </row>
    <row r="1827" ht="15.75" customHeight="1">
      <c r="A1827" s="3" t="s">
        <v>1905</v>
      </c>
      <c r="B1827" s="3" t="s">
        <v>17</v>
      </c>
      <c r="C1827" s="3" t="s">
        <v>37</v>
      </c>
      <c r="D1827" s="3">
        <v>68997.8795584627</v>
      </c>
      <c r="E1827" s="3">
        <v>22832.4244832018</v>
      </c>
      <c r="F1827" s="3">
        <v>14886.1428606872</v>
      </c>
      <c r="G1827" s="3">
        <v>13419.4860088146</v>
      </c>
      <c r="H1827" s="3">
        <v>-3990.16011563744</v>
      </c>
      <c r="I1827" s="3">
        <v>69436.0193096052</v>
      </c>
      <c r="J1827" s="4">
        <v>45931.0</v>
      </c>
      <c r="K1827" s="3">
        <v>6.0</v>
      </c>
      <c r="L1827" s="3" t="s">
        <v>31</v>
      </c>
    </row>
    <row r="1828" ht="15.75" customHeight="1">
      <c r="A1828" s="3" t="s">
        <v>1906</v>
      </c>
      <c r="B1828" s="3" t="s">
        <v>51</v>
      </c>
      <c r="C1828" s="3" t="s">
        <v>14</v>
      </c>
      <c r="D1828" s="3">
        <v>69008.7625283689</v>
      </c>
      <c r="E1828" s="3">
        <v>22837.0392015292</v>
      </c>
      <c r="F1828" s="3">
        <v>14893.8228641167</v>
      </c>
      <c r="G1828" s="3">
        <v>13422.8835595018</v>
      </c>
      <c r="H1828" s="3">
        <v>-4039.66383338664</v>
      </c>
      <c r="I1828" s="3">
        <v>69439.400784025</v>
      </c>
      <c r="J1828" s="4">
        <v>45992.0</v>
      </c>
      <c r="K1828" s="3">
        <v>13.0</v>
      </c>
      <c r="L1828" s="3" t="s">
        <v>34</v>
      </c>
    </row>
    <row r="1829" ht="15.75" customHeight="1">
      <c r="A1829" s="3" t="s">
        <v>1907</v>
      </c>
      <c r="B1829" s="3" t="s">
        <v>13</v>
      </c>
      <c r="C1829" s="3" t="s">
        <v>54</v>
      </c>
      <c r="D1829" s="3">
        <v>69019.6454982751</v>
      </c>
      <c r="E1829" s="3">
        <v>22841.6539198566</v>
      </c>
      <c r="F1829" s="3">
        <v>14901.5028675462</v>
      </c>
      <c r="G1829" s="3">
        <v>13426.2811101891</v>
      </c>
      <c r="H1829" s="3">
        <v>-4089.16755113573</v>
      </c>
      <c r="I1829" s="3">
        <v>69442.7822584448</v>
      </c>
      <c r="J1829" s="4">
        <v>45778.0</v>
      </c>
      <c r="K1829" s="3">
        <v>18.0</v>
      </c>
      <c r="L1829" s="3" t="s">
        <v>38</v>
      </c>
    </row>
    <row r="1830" ht="15.75" customHeight="1">
      <c r="A1830" s="3" t="s">
        <v>1908</v>
      </c>
      <c r="B1830" s="3" t="s">
        <v>13</v>
      </c>
      <c r="C1830" s="3" t="s">
        <v>14</v>
      </c>
      <c r="D1830" s="3">
        <v>69030.5284681813</v>
      </c>
      <c r="E1830" s="3">
        <v>22846.2686381841</v>
      </c>
      <c r="F1830" s="3">
        <v>14909.1828709757</v>
      </c>
      <c r="G1830" s="3">
        <v>13429.6786608764</v>
      </c>
      <c r="H1830" s="3">
        <v>-4138.67126888483</v>
      </c>
      <c r="I1830" s="3">
        <v>69446.1637328646</v>
      </c>
      <c r="J1830" s="4">
        <v>45778.0</v>
      </c>
      <c r="K1830" s="3">
        <v>15.0</v>
      </c>
      <c r="L1830" s="3" t="s">
        <v>40</v>
      </c>
    </row>
    <row r="1831" ht="15.75" customHeight="1">
      <c r="A1831" s="3" t="s">
        <v>1909</v>
      </c>
      <c r="B1831" s="3" t="s">
        <v>29</v>
      </c>
      <c r="C1831" s="3" t="s">
        <v>26</v>
      </c>
      <c r="D1831" s="3">
        <v>69052.2944079937</v>
      </c>
      <c r="E1831" s="3">
        <v>22855.4980748389</v>
      </c>
      <c r="F1831" s="3">
        <v>14924.5428778347</v>
      </c>
      <c r="G1831" s="3">
        <v>13436.473762251</v>
      </c>
      <c r="H1831" s="3">
        <v>-4237.67870438314</v>
      </c>
      <c r="I1831" s="3">
        <v>69452.9266817043</v>
      </c>
      <c r="J1831" s="4">
        <v>45870.0</v>
      </c>
      <c r="K1831" s="3">
        <v>25.0</v>
      </c>
      <c r="L1831" s="3" t="s">
        <v>15</v>
      </c>
    </row>
    <row r="1832" ht="15.75" customHeight="1">
      <c r="A1832" s="3" t="s">
        <v>1910</v>
      </c>
      <c r="B1832" s="3" t="s">
        <v>17</v>
      </c>
      <c r="C1832" s="3" t="s">
        <v>26</v>
      </c>
      <c r="D1832" s="3">
        <v>69063.1773778999</v>
      </c>
      <c r="E1832" s="3">
        <v>22860.1127931663</v>
      </c>
      <c r="F1832" s="3">
        <v>14932.2228812642</v>
      </c>
      <c r="G1832" s="3">
        <v>13439.8713129383</v>
      </c>
      <c r="H1832" s="3">
        <v>-4287.18242213223</v>
      </c>
      <c r="I1832" s="3">
        <v>69456.3081561241</v>
      </c>
      <c r="J1832" s="4">
        <v>45717.0</v>
      </c>
      <c r="K1832" s="3">
        <v>14.0</v>
      </c>
      <c r="L1832" s="3" t="s">
        <v>19</v>
      </c>
    </row>
    <row r="1833" ht="15.75" customHeight="1">
      <c r="A1833" s="3" t="s">
        <v>1911</v>
      </c>
      <c r="B1833" s="3" t="s">
        <v>53</v>
      </c>
      <c r="C1833" s="3" t="s">
        <v>33</v>
      </c>
      <c r="D1833" s="3">
        <v>69074.0603478061</v>
      </c>
      <c r="E1833" s="3">
        <v>22864.7275114937</v>
      </c>
      <c r="F1833" s="3">
        <v>14939.9028846937</v>
      </c>
      <c r="G1833" s="3">
        <v>13443.2688636256</v>
      </c>
      <c r="H1833" s="3">
        <v>-4336.68613988133</v>
      </c>
      <c r="I1833" s="3">
        <v>69459.6896305439</v>
      </c>
      <c r="J1833" s="4">
        <v>45992.0</v>
      </c>
      <c r="K1833" s="3">
        <v>20.0</v>
      </c>
      <c r="L1833" s="3" t="s">
        <v>21</v>
      </c>
    </row>
    <row r="1834" ht="15.75" customHeight="1">
      <c r="A1834" s="3" t="s">
        <v>1912</v>
      </c>
      <c r="B1834" s="3" t="s">
        <v>17</v>
      </c>
      <c r="C1834" s="3" t="s">
        <v>54</v>
      </c>
      <c r="D1834" s="3">
        <v>69084.9433177123</v>
      </c>
      <c r="E1834" s="3">
        <v>22869.3422298212</v>
      </c>
      <c r="F1834" s="3">
        <v>14947.5828881232</v>
      </c>
      <c r="G1834" s="3">
        <v>13446.6664143128</v>
      </c>
      <c r="H1834" s="3">
        <v>-4386.18985763054</v>
      </c>
      <c r="I1834" s="3">
        <v>69463.0711049637</v>
      </c>
      <c r="J1834" s="4">
        <v>45689.0</v>
      </c>
      <c r="K1834" s="3">
        <v>25.0</v>
      </c>
      <c r="L1834" s="3" t="s">
        <v>23</v>
      </c>
    </row>
    <row r="1835" ht="15.75" customHeight="1">
      <c r="A1835" s="3" t="s">
        <v>1913</v>
      </c>
      <c r="B1835" s="3" t="s">
        <v>25</v>
      </c>
      <c r="C1835" s="3" t="s">
        <v>54</v>
      </c>
      <c r="D1835" s="3">
        <v>69095.8262876185</v>
      </c>
      <c r="E1835" s="3">
        <v>22873.9569481486</v>
      </c>
      <c r="F1835" s="3">
        <v>14955.2628915527</v>
      </c>
      <c r="G1835" s="3">
        <v>13450.0639650001</v>
      </c>
      <c r="H1835" s="3">
        <v>-4435.69357537964</v>
      </c>
      <c r="I1835" s="3">
        <v>69466.4525793835</v>
      </c>
      <c r="J1835" s="4">
        <v>45689.0</v>
      </c>
      <c r="K1835" s="3">
        <v>5.0</v>
      </c>
      <c r="L1835" s="3" t="s">
        <v>27</v>
      </c>
    </row>
    <row r="1836" ht="15.75" customHeight="1">
      <c r="A1836" s="3" t="s">
        <v>1914</v>
      </c>
      <c r="B1836" s="3" t="s">
        <v>51</v>
      </c>
      <c r="C1836" s="3" t="s">
        <v>18</v>
      </c>
      <c r="D1836" s="3">
        <v>69106.7092575247</v>
      </c>
      <c r="E1836" s="3">
        <v>22878.571666476</v>
      </c>
      <c r="F1836" s="3">
        <v>14962.9428949822</v>
      </c>
      <c r="G1836" s="3">
        <v>13453.4615156874</v>
      </c>
      <c r="H1836" s="3">
        <v>-4485.19729312873</v>
      </c>
      <c r="I1836" s="3">
        <v>69469.8340538033</v>
      </c>
      <c r="J1836" s="4">
        <v>45931.0</v>
      </c>
      <c r="K1836" s="3">
        <v>20.0</v>
      </c>
      <c r="L1836" s="3" t="s">
        <v>31</v>
      </c>
    </row>
    <row r="1837" ht="15.75" customHeight="1">
      <c r="A1837" s="3" t="s">
        <v>1915</v>
      </c>
      <c r="B1837" s="3" t="s">
        <v>36</v>
      </c>
      <c r="C1837" s="3" t="s">
        <v>37</v>
      </c>
      <c r="D1837" s="3">
        <v>69117.5922274309</v>
      </c>
      <c r="E1837" s="3">
        <v>22883.1863848034</v>
      </c>
      <c r="F1837" s="3">
        <v>14970.6228984117</v>
      </c>
      <c r="G1837" s="3">
        <v>13456.8590663747</v>
      </c>
      <c r="H1837" s="3">
        <v>-4534.70101087783</v>
      </c>
      <c r="I1837" s="3">
        <v>69473.2155282231</v>
      </c>
      <c r="J1837" s="4">
        <v>45992.0</v>
      </c>
      <c r="K1837" s="3">
        <v>11.0</v>
      </c>
      <c r="L1837" s="3" t="s">
        <v>34</v>
      </c>
    </row>
    <row r="1838" ht="15.75" customHeight="1">
      <c r="A1838" s="3" t="s">
        <v>1916</v>
      </c>
      <c r="B1838" s="3" t="s">
        <v>36</v>
      </c>
      <c r="C1838" s="3" t="s">
        <v>26</v>
      </c>
      <c r="D1838" s="5"/>
      <c r="E1838" s="3">
        <v>22887.8011031309</v>
      </c>
      <c r="F1838" s="3">
        <v>14978.3029018412</v>
      </c>
      <c r="G1838" s="3">
        <v>13460.256617062</v>
      </c>
      <c r="H1838" s="3">
        <v>-4584.20472862704</v>
      </c>
      <c r="I1838" s="3">
        <v>69476.597002643</v>
      </c>
      <c r="J1838" s="4">
        <v>45658.0</v>
      </c>
      <c r="K1838" s="3">
        <v>6.0</v>
      </c>
      <c r="L1838" s="3" t="s">
        <v>38</v>
      </c>
    </row>
    <row r="1839" ht="15.75" customHeight="1">
      <c r="A1839" s="3" t="s">
        <v>1917</v>
      </c>
      <c r="B1839" s="3" t="s">
        <v>51</v>
      </c>
      <c r="C1839" s="3" t="s">
        <v>54</v>
      </c>
      <c r="D1839" s="3">
        <v>69139.3581672433</v>
      </c>
      <c r="E1839" s="3">
        <v>22892.4158214583</v>
      </c>
      <c r="F1839" s="3">
        <v>14985.9829052707</v>
      </c>
      <c r="G1839" s="5"/>
      <c r="H1839" s="3">
        <v>-4633.70844637614</v>
      </c>
      <c r="I1839" s="3">
        <v>69479.9784770628</v>
      </c>
      <c r="J1839" s="4">
        <v>45901.0</v>
      </c>
      <c r="K1839" s="3">
        <v>2.0</v>
      </c>
      <c r="L1839" s="3" t="s">
        <v>40</v>
      </c>
    </row>
    <row r="1840" ht="15.75" customHeight="1">
      <c r="A1840" s="3" t="s">
        <v>1918</v>
      </c>
      <c r="B1840" s="3" t="s">
        <v>17</v>
      </c>
      <c r="C1840" s="3" t="s">
        <v>33</v>
      </c>
      <c r="D1840" s="3">
        <v>69150.2411371494</v>
      </c>
      <c r="E1840" s="3">
        <v>22897.0305397857</v>
      </c>
      <c r="F1840" s="3">
        <v>14993.6629087002</v>
      </c>
      <c r="G1840" s="3">
        <v>13467.0517184366</v>
      </c>
      <c r="H1840" s="3">
        <v>-4683.21216412523</v>
      </c>
      <c r="I1840" s="3">
        <v>69483.3599514826</v>
      </c>
      <c r="J1840" s="4">
        <v>45962.0</v>
      </c>
      <c r="K1840" s="3">
        <v>15.0</v>
      </c>
      <c r="L1840" s="3" t="s">
        <v>42</v>
      </c>
    </row>
    <row r="1841" ht="15.75" customHeight="1">
      <c r="A1841" s="3" t="s">
        <v>1919</v>
      </c>
      <c r="B1841" s="3" t="s">
        <v>25</v>
      </c>
      <c r="C1841" s="3" t="s">
        <v>18</v>
      </c>
      <c r="D1841" s="3">
        <v>69161.1241070556</v>
      </c>
      <c r="E1841" s="3">
        <v>22901.6452581131</v>
      </c>
      <c r="F1841" s="3">
        <v>15001.3429121297</v>
      </c>
      <c r="G1841" s="3">
        <v>13470.4492691239</v>
      </c>
      <c r="H1841" s="3">
        <v>-4732.71588187433</v>
      </c>
      <c r="I1841" s="3">
        <v>69486.7414259024</v>
      </c>
      <c r="J1841" s="4">
        <v>45839.0</v>
      </c>
      <c r="K1841" s="3">
        <v>9.0</v>
      </c>
      <c r="L1841" s="3" t="s">
        <v>15</v>
      </c>
    </row>
    <row r="1842" ht="15.75" customHeight="1">
      <c r="A1842" s="3" t="s">
        <v>1920</v>
      </c>
      <c r="B1842" s="3" t="s">
        <v>25</v>
      </c>
      <c r="C1842" s="3" t="s">
        <v>33</v>
      </c>
      <c r="D1842" s="3">
        <v>69172.0070769618</v>
      </c>
      <c r="E1842" s="3">
        <v>22906.2599764405</v>
      </c>
      <c r="F1842" s="3">
        <v>15009.0229155592</v>
      </c>
      <c r="G1842" s="3">
        <v>13473.8468198111</v>
      </c>
      <c r="H1842" s="3">
        <v>-4782.21959962354</v>
      </c>
      <c r="I1842" s="3">
        <v>69490.1229003222</v>
      </c>
      <c r="J1842" s="4">
        <v>45839.0</v>
      </c>
      <c r="K1842" s="3">
        <v>9.0</v>
      </c>
      <c r="L1842" s="3" t="s">
        <v>19</v>
      </c>
    </row>
    <row r="1843" ht="15.75" customHeight="1">
      <c r="A1843" s="3" t="s">
        <v>1921</v>
      </c>
      <c r="B1843" s="3" t="s">
        <v>13</v>
      </c>
      <c r="C1843" s="3" t="s">
        <v>18</v>
      </c>
      <c r="D1843" s="3">
        <v>69182.890046868</v>
      </c>
      <c r="E1843" s="3">
        <v>22910.874694768</v>
      </c>
      <c r="F1843" s="3">
        <v>15016.7029189887</v>
      </c>
      <c r="G1843" s="3">
        <v>13477.2443704984</v>
      </c>
      <c r="H1843" s="3">
        <v>-4831.72331737264</v>
      </c>
      <c r="I1843" s="3">
        <v>69493.504374742</v>
      </c>
      <c r="J1843" s="4">
        <v>45658.0</v>
      </c>
      <c r="K1843" s="3">
        <v>9.0</v>
      </c>
      <c r="L1843" s="3" t="s">
        <v>21</v>
      </c>
    </row>
    <row r="1844" ht="15.75" customHeight="1">
      <c r="A1844" s="3" t="s">
        <v>1922</v>
      </c>
      <c r="B1844" s="3" t="s">
        <v>51</v>
      </c>
      <c r="C1844" s="3" t="s">
        <v>26</v>
      </c>
      <c r="D1844" s="3">
        <v>69193.7730167742</v>
      </c>
      <c r="E1844" s="3">
        <v>22915.4894130954</v>
      </c>
      <c r="F1844" s="3">
        <v>15024.3829224182</v>
      </c>
      <c r="G1844" s="3">
        <v>13480.6419211857</v>
      </c>
      <c r="H1844" s="3">
        <v>-4881.22703512173</v>
      </c>
      <c r="I1844" s="3">
        <v>69496.8858491618</v>
      </c>
      <c r="J1844" s="4">
        <v>45717.0</v>
      </c>
      <c r="K1844" s="3">
        <v>15.0</v>
      </c>
      <c r="L1844" s="3" t="s">
        <v>23</v>
      </c>
    </row>
    <row r="1845" ht="15.75" customHeight="1">
      <c r="A1845" s="3" t="s">
        <v>1923</v>
      </c>
      <c r="B1845" s="3" t="s">
        <v>13</v>
      </c>
      <c r="C1845" s="3" t="s">
        <v>30</v>
      </c>
      <c r="D1845" s="3">
        <v>69204.6559866804</v>
      </c>
      <c r="E1845" s="3">
        <v>22920.1041314228</v>
      </c>
      <c r="F1845" s="3">
        <v>15032.0629258477</v>
      </c>
      <c r="G1845" s="3">
        <v>13484.039471873</v>
      </c>
      <c r="H1845" s="3">
        <v>-4930.73075287094</v>
      </c>
      <c r="I1845" s="3">
        <v>69500.2673235816</v>
      </c>
      <c r="J1845" s="4">
        <v>45658.0</v>
      </c>
      <c r="K1845" s="3">
        <v>14.0</v>
      </c>
      <c r="L1845" s="3" t="s">
        <v>27</v>
      </c>
    </row>
    <row r="1846" ht="15.75" customHeight="1">
      <c r="A1846" s="3" t="s">
        <v>1924</v>
      </c>
      <c r="B1846" s="3" t="s">
        <v>17</v>
      </c>
      <c r="C1846" s="3" t="s">
        <v>26</v>
      </c>
      <c r="D1846" s="3">
        <v>69215.5389565866</v>
      </c>
      <c r="E1846" s="3">
        <v>22924.7188497502</v>
      </c>
      <c r="F1846" s="3">
        <v>15039.7429292772</v>
      </c>
      <c r="G1846" s="3">
        <v>13487.4370225603</v>
      </c>
      <c r="H1846" s="3">
        <v>-4980.23447062004</v>
      </c>
      <c r="I1846" s="3">
        <v>69503.6487980015</v>
      </c>
      <c r="J1846" s="4">
        <v>45689.0</v>
      </c>
      <c r="K1846" s="3">
        <v>20.0</v>
      </c>
      <c r="L1846" s="3" t="s">
        <v>31</v>
      </c>
    </row>
    <row r="1847" ht="15.75" customHeight="1">
      <c r="A1847" s="3" t="s">
        <v>1925</v>
      </c>
      <c r="B1847" s="3" t="s">
        <v>53</v>
      </c>
      <c r="C1847" s="3" t="s">
        <v>30</v>
      </c>
      <c r="D1847" s="3">
        <v>69226.4219264928</v>
      </c>
      <c r="E1847" s="3">
        <v>22929.3335680777</v>
      </c>
      <c r="F1847" s="3">
        <v>15047.4229327067</v>
      </c>
      <c r="G1847" s="3">
        <v>13490.8345732476</v>
      </c>
      <c r="H1847" s="3">
        <v>-5029.73818836914</v>
      </c>
      <c r="I1847" s="3">
        <v>69507.0302724213</v>
      </c>
      <c r="J1847" s="4">
        <v>45870.0</v>
      </c>
      <c r="K1847" s="3">
        <v>2.0</v>
      </c>
      <c r="L1847" s="3" t="s">
        <v>34</v>
      </c>
    </row>
    <row r="1848" ht="15.75" customHeight="1">
      <c r="A1848" s="3" t="s">
        <v>1926</v>
      </c>
      <c r="B1848" s="3" t="s">
        <v>36</v>
      </c>
      <c r="C1848" s="3" t="s">
        <v>54</v>
      </c>
      <c r="D1848" s="3">
        <v>69237.304896399</v>
      </c>
      <c r="E1848" s="3">
        <v>22933.9482864051</v>
      </c>
      <c r="F1848" s="3">
        <v>15055.1029361362</v>
      </c>
      <c r="G1848" s="3">
        <v>13494.2321239349</v>
      </c>
      <c r="H1848" s="3">
        <v>-5079.24190611824</v>
      </c>
      <c r="I1848" s="3">
        <v>69510.4117468411</v>
      </c>
      <c r="J1848" s="4">
        <v>45839.0</v>
      </c>
      <c r="K1848" s="3">
        <v>25.0</v>
      </c>
      <c r="L1848" s="3" t="s">
        <v>38</v>
      </c>
    </row>
    <row r="1849" ht="15.75" customHeight="1">
      <c r="A1849" s="3" t="s">
        <v>1927</v>
      </c>
      <c r="B1849" s="3" t="s">
        <v>29</v>
      </c>
      <c r="C1849" s="3" t="s">
        <v>14</v>
      </c>
      <c r="D1849" s="3">
        <v>69248.1878663052</v>
      </c>
      <c r="E1849" s="3">
        <v>22938.5630047325</v>
      </c>
      <c r="F1849" s="3">
        <v>15062.7829395657</v>
      </c>
      <c r="G1849" s="3">
        <v>13497.6296746222</v>
      </c>
      <c r="H1849" s="3">
        <v>-5128.74562386743</v>
      </c>
      <c r="I1849" s="3">
        <v>69513.7932212609</v>
      </c>
      <c r="J1849" s="4">
        <v>45931.0</v>
      </c>
      <c r="K1849" s="3">
        <v>22.0</v>
      </c>
      <c r="L1849" s="3" t="s">
        <v>40</v>
      </c>
    </row>
    <row r="1850" ht="15.75" customHeight="1">
      <c r="A1850" s="3" t="s">
        <v>1928</v>
      </c>
      <c r="B1850" s="3" t="s">
        <v>36</v>
      </c>
      <c r="C1850" s="3" t="s">
        <v>14</v>
      </c>
      <c r="D1850" s="3">
        <v>69259.0708362114</v>
      </c>
      <c r="E1850" s="3">
        <v>22943.1777230599</v>
      </c>
      <c r="F1850" s="3">
        <v>15070.4629429952</v>
      </c>
      <c r="G1850" s="3">
        <v>13501.0272253094</v>
      </c>
      <c r="H1850" s="3">
        <v>-5178.24934161654</v>
      </c>
      <c r="I1850" s="3">
        <v>69517.1746956807</v>
      </c>
      <c r="J1850" s="4">
        <v>45962.0</v>
      </c>
      <c r="K1850" s="3">
        <v>22.0</v>
      </c>
      <c r="L1850" s="3" t="s">
        <v>42</v>
      </c>
    </row>
    <row r="1851" ht="15.75" customHeight="1">
      <c r="A1851" s="3" t="s">
        <v>1929</v>
      </c>
      <c r="B1851" s="3" t="s">
        <v>53</v>
      </c>
      <c r="C1851" s="3" t="s">
        <v>18</v>
      </c>
      <c r="D1851" s="3">
        <v>69269.9538061176</v>
      </c>
      <c r="E1851" s="3">
        <v>22947.7924413873</v>
      </c>
      <c r="F1851" s="3">
        <v>15078.1429464247</v>
      </c>
      <c r="G1851" s="3">
        <v>13504.4247759967</v>
      </c>
      <c r="H1851" s="3">
        <v>-5227.75305936564</v>
      </c>
      <c r="I1851" s="3">
        <v>69520.5561701005</v>
      </c>
      <c r="J1851" s="4">
        <v>45870.0</v>
      </c>
      <c r="K1851" s="3">
        <v>8.0</v>
      </c>
      <c r="L1851" s="3" t="s">
        <v>15</v>
      </c>
    </row>
    <row r="1852" ht="15.75" customHeight="1">
      <c r="A1852" s="3" t="s">
        <v>1930</v>
      </c>
      <c r="B1852" s="3" t="s">
        <v>36</v>
      </c>
      <c r="C1852" s="3" t="s">
        <v>33</v>
      </c>
      <c r="D1852" s="3">
        <v>69280.8367760238</v>
      </c>
      <c r="E1852" s="3">
        <v>22952.4071597148</v>
      </c>
      <c r="F1852" s="3">
        <v>15085.8229498541</v>
      </c>
      <c r="G1852" s="3">
        <v>13507.822326684</v>
      </c>
      <c r="H1852" s="3">
        <v>-5277.25677711474</v>
      </c>
      <c r="I1852" s="3">
        <v>69523.9376445204</v>
      </c>
      <c r="J1852" s="4">
        <v>45809.0</v>
      </c>
      <c r="K1852" s="3">
        <v>1.0</v>
      </c>
      <c r="L1852" s="3" t="s">
        <v>19</v>
      </c>
    </row>
    <row r="1853" ht="15.75" customHeight="1">
      <c r="A1853" s="3" t="s">
        <v>1931</v>
      </c>
      <c r="B1853" s="3" t="s">
        <v>29</v>
      </c>
      <c r="C1853" s="3" t="s">
        <v>37</v>
      </c>
      <c r="D1853" s="3">
        <v>69291.71974593</v>
      </c>
      <c r="E1853" s="3">
        <v>22957.0218780422</v>
      </c>
      <c r="F1853" s="3">
        <v>15093.5029532836</v>
      </c>
      <c r="G1853" s="3">
        <v>13511.2198773713</v>
      </c>
      <c r="H1853" s="3">
        <v>-5326.76049486393</v>
      </c>
      <c r="I1853" s="3">
        <v>69527.3191189402</v>
      </c>
      <c r="J1853" s="4">
        <v>45809.0</v>
      </c>
      <c r="K1853" s="3">
        <v>12.0</v>
      </c>
      <c r="L1853" s="3" t="s">
        <v>21</v>
      </c>
    </row>
    <row r="1854" ht="15.75" customHeight="1">
      <c r="A1854" s="3" t="s">
        <v>1932</v>
      </c>
      <c r="B1854" s="3" t="s">
        <v>13</v>
      </c>
      <c r="C1854" s="3" t="s">
        <v>54</v>
      </c>
      <c r="D1854" s="3">
        <v>69302.6027158362</v>
      </c>
      <c r="E1854" s="3">
        <v>22961.6365963696</v>
      </c>
      <c r="F1854" s="3">
        <v>15101.1829567131</v>
      </c>
      <c r="G1854" s="3">
        <v>13514.6174280586</v>
      </c>
      <c r="H1854" s="3">
        <v>-5376.26421261304</v>
      </c>
      <c r="I1854" s="3">
        <v>69530.70059336</v>
      </c>
      <c r="J1854" s="4">
        <v>45809.0</v>
      </c>
      <c r="K1854" s="3">
        <v>6.0</v>
      </c>
      <c r="L1854" s="3" t="s">
        <v>23</v>
      </c>
    </row>
    <row r="1855" ht="15.75" customHeight="1">
      <c r="A1855" s="3" t="s">
        <v>1933</v>
      </c>
      <c r="B1855" s="3" t="s">
        <v>29</v>
      </c>
      <c r="C1855" s="3" t="s">
        <v>26</v>
      </c>
      <c r="D1855" s="3">
        <v>69313.4856857423</v>
      </c>
      <c r="E1855" s="3">
        <v>22966.251314697</v>
      </c>
      <c r="F1855" s="3">
        <v>15108.8629601426</v>
      </c>
      <c r="G1855" s="3">
        <v>13518.0149787459</v>
      </c>
      <c r="H1855" s="3">
        <v>-5425.76793036214</v>
      </c>
      <c r="I1855" s="3">
        <v>69534.0820677798</v>
      </c>
      <c r="J1855" s="4">
        <v>45992.0</v>
      </c>
      <c r="K1855" s="3">
        <v>8.0</v>
      </c>
      <c r="L1855" s="3" t="s">
        <v>27</v>
      </c>
    </row>
    <row r="1856" ht="15.75" customHeight="1">
      <c r="A1856" s="3" t="s">
        <v>1934</v>
      </c>
      <c r="B1856" s="3" t="s">
        <v>13</v>
      </c>
      <c r="C1856" s="3" t="s">
        <v>14</v>
      </c>
      <c r="D1856" s="3">
        <v>69324.3686556485</v>
      </c>
      <c r="E1856" s="3">
        <v>22970.8660330245</v>
      </c>
      <c r="F1856" s="3">
        <v>15116.5429635721</v>
      </c>
      <c r="G1856" s="5"/>
      <c r="H1856" s="3">
        <v>-5475.27164811124</v>
      </c>
      <c r="I1856" s="3">
        <v>69537.4635421996</v>
      </c>
      <c r="J1856" s="4">
        <v>45689.0</v>
      </c>
      <c r="K1856" s="3">
        <v>25.0</v>
      </c>
      <c r="L1856" s="3" t="s">
        <v>31</v>
      </c>
    </row>
    <row r="1857" ht="15.75" customHeight="1">
      <c r="A1857" s="3" t="s">
        <v>1935</v>
      </c>
      <c r="B1857" s="3" t="s">
        <v>13</v>
      </c>
      <c r="C1857" s="3" t="s">
        <v>18</v>
      </c>
      <c r="D1857" s="3">
        <v>69335.2516255547</v>
      </c>
      <c r="E1857" s="3">
        <v>22975.4807513519</v>
      </c>
      <c r="F1857" s="3">
        <v>15124.2229670016</v>
      </c>
      <c r="G1857" s="3">
        <v>13524.8100801204</v>
      </c>
      <c r="H1857" s="3">
        <v>-5524.77536586043</v>
      </c>
      <c r="I1857" s="3">
        <v>69540.8450166194</v>
      </c>
      <c r="J1857" s="4">
        <v>45809.0</v>
      </c>
      <c r="K1857" s="3">
        <v>23.0</v>
      </c>
      <c r="L1857" s="3" t="s">
        <v>34</v>
      </c>
    </row>
    <row r="1858" ht="15.75" customHeight="1">
      <c r="A1858" s="3" t="s">
        <v>1936</v>
      </c>
      <c r="B1858" s="3" t="s">
        <v>25</v>
      </c>
      <c r="C1858" s="3" t="s">
        <v>54</v>
      </c>
      <c r="D1858" s="3">
        <v>69346.1345954609</v>
      </c>
      <c r="E1858" s="3">
        <v>22980.0954696793</v>
      </c>
      <c r="F1858" s="3">
        <v>15131.9029704311</v>
      </c>
      <c r="G1858" s="3">
        <v>13528.2076308077</v>
      </c>
      <c r="H1858" s="3">
        <v>-5574.27908360954</v>
      </c>
      <c r="I1858" s="3">
        <v>69544.2264910392</v>
      </c>
      <c r="J1858" s="4">
        <v>45931.0</v>
      </c>
      <c r="K1858" s="3">
        <v>24.0</v>
      </c>
      <c r="L1858" s="3" t="s">
        <v>38</v>
      </c>
    </row>
    <row r="1859" ht="15.75" customHeight="1">
      <c r="A1859" s="3" t="s">
        <v>1937</v>
      </c>
      <c r="B1859" s="3" t="s">
        <v>17</v>
      </c>
      <c r="C1859" s="3" t="s">
        <v>26</v>
      </c>
      <c r="D1859" s="3">
        <v>69357.0175653671</v>
      </c>
      <c r="E1859" s="3">
        <v>22984.7101880067</v>
      </c>
      <c r="F1859" s="3">
        <v>15139.5829738606</v>
      </c>
      <c r="G1859" s="3">
        <v>13531.605181495</v>
      </c>
      <c r="H1859" s="3">
        <v>-5623.78280135864</v>
      </c>
      <c r="I1859" s="3">
        <v>69547.6079654591</v>
      </c>
      <c r="J1859" s="4">
        <v>45901.0</v>
      </c>
      <c r="K1859" s="3">
        <v>11.0</v>
      </c>
      <c r="L1859" s="3" t="s">
        <v>40</v>
      </c>
    </row>
    <row r="1860" ht="15.75" customHeight="1">
      <c r="A1860" s="3" t="s">
        <v>1938</v>
      </c>
      <c r="B1860" s="3" t="s">
        <v>17</v>
      </c>
      <c r="C1860" s="3" t="s">
        <v>26</v>
      </c>
      <c r="D1860" s="3">
        <v>69367.9005352733</v>
      </c>
      <c r="E1860" s="3">
        <v>22989.3249063341</v>
      </c>
      <c r="F1860" s="3">
        <v>15147.2629772901</v>
      </c>
      <c r="G1860" s="3">
        <v>13535.0027321823</v>
      </c>
      <c r="H1860" s="3">
        <v>-5673.28651910774</v>
      </c>
      <c r="I1860" s="3">
        <v>69550.9894398789</v>
      </c>
      <c r="J1860" s="4">
        <v>45839.0</v>
      </c>
      <c r="K1860" s="3">
        <v>7.0</v>
      </c>
      <c r="L1860" s="3" t="s">
        <v>42</v>
      </c>
    </row>
    <row r="1861" ht="15.75" customHeight="1">
      <c r="A1861" s="3" t="s">
        <v>1939</v>
      </c>
      <c r="B1861" s="3" t="s">
        <v>51</v>
      </c>
      <c r="C1861" s="3" t="s">
        <v>54</v>
      </c>
      <c r="D1861" s="3">
        <v>69378.7835051795</v>
      </c>
      <c r="E1861" s="3">
        <v>22993.9396246616</v>
      </c>
      <c r="F1861" s="3">
        <v>15154.9429807196</v>
      </c>
      <c r="G1861" s="3">
        <v>13538.4002828696</v>
      </c>
      <c r="H1861" s="3">
        <v>-5722.79023685693</v>
      </c>
      <c r="I1861" s="3">
        <v>69554.3709142987</v>
      </c>
      <c r="J1861" s="4">
        <v>45717.0</v>
      </c>
      <c r="K1861" s="3">
        <v>19.0</v>
      </c>
      <c r="L1861" s="3" t="s">
        <v>15</v>
      </c>
    </row>
    <row r="1862" ht="15.75" customHeight="1">
      <c r="A1862" s="3" t="s">
        <v>1940</v>
      </c>
      <c r="B1862" s="3" t="s">
        <v>25</v>
      </c>
      <c r="C1862" s="3" t="s">
        <v>37</v>
      </c>
      <c r="D1862" s="3">
        <v>69389.6664750857</v>
      </c>
      <c r="E1862" s="3">
        <v>22998.554342989</v>
      </c>
      <c r="F1862" s="3">
        <v>15162.6229841491</v>
      </c>
      <c r="G1862" s="3">
        <v>13541.7978335569</v>
      </c>
      <c r="H1862" s="3">
        <v>-5772.29395460604</v>
      </c>
      <c r="I1862" s="3">
        <v>69557.7523887185</v>
      </c>
      <c r="J1862" s="4">
        <v>45962.0</v>
      </c>
      <c r="K1862" s="3">
        <v>19.0</v>
      </c>
      <c r="L1862" s="3" t="s">
        <v>19</v>
      </c>
    </row>
    <row r="1863" ht="15.75" customHeight="1">
      <c r="A1863" s="3" t="s">
        <v>1941</v>
      </c>
      <c r="B1863" s="3" t="s">
        <v>13</v>
      </c>
      <c r="C1863" s="3" t="s">
        <v>37</v>
      </c>
      <c r="D1863" s="3">
        <v>69400.5494449919</v>
      </c>
      <c r="E1863" s="3">
        <v>23003.1690613164</v>
      </c>
      <c r="F1863" s="3">
        <v>15170.3029875786</v>
      </c>
      <c r="G1863" s="3">
        <v>13545.1953842442</v>
      </c>
      <c r="H1863" s="3">
        <v>-5821.79767235514</v>
      </c>
      <c r="I1863" s="3">
        <v>69561.1338631383</v>
      </c>
      <c r="J1863" s="4">
        <v>45931.0</v>
      </c>
      <c r="K1863" s="3">
        <v>13.0</v>
      </c>
      <c r="L1863" s="3" t="s">
        <v>21</v>
      </c>
    </row>
    <row r="1864" ht="15.75" customHeight="1">
      <c r="A1864" s="3" t="s">
        <v>1942</v>
      </c>
      <c r="B1864" s="3" t="s">
        <v>53</v>
      </c>
      <c r="C1864" s="3" t="s">
        <v>37</v>
      </c>
      <c r="D1864" s="3">
        <v>69411.4324148981</v>
      </c>
      <c r="E1864" s="3">
        <v>23007.7837796438</v>
      </c>
      <c r="F1864" s="3">
        <v>15177.9829910081</v>
      </c>
      <c r="G1864" s="3">
        <v>13548.5929349315</v>
      </c>
      <c r="H1864" s="3">
        <v>-5871.30139010424</v>
      </c>
      <c r="I1864" s="3">
        <v>69564.5153375581</v>
      </c>
      <c r="J1864" s="4">
        <v>45778.0</v>
      </c>
      <c r="K1864" s="3">
        <v>23.0</v>
      </c>
      <c r="L1864" s="3" t="s">
        <v>23</v>
      </c>
    </row>
    <row r="1865" ht="15.75" customHeight="1">
      <c r="A1865" s="3" t="s">
        <v>1943</v>
      </c>
      <c r="B1865" s="3" t="s">
        <v>13</v>
      </c>
      <c r="C1865" s="3" t="s">
        <v>26</v>
      </c>
      <c r="D1865" s="3">
        <v>69422.3153848043</v>
      </c>
      <c r="E1865" s="3">
        <v>23012.3984979712</v>
      </c>
      <c r="F1865" s="3">
        <v>15185.6629944376</v>
      </c>
      <c r="G1865" s="3">
        <v>13551.9904856187</v>
      </c>
      <c r="H1865" s="3">
        <v>-5920.80510785343</v>
      </c>
      <c r="I1865" s="3">
        <v>69567.8968119779</v>
      </c>
      <c r="J1865" s="4">
        <v>45992.0</v>
      </c>
      <c r="K1865" s="3">
        <v>1.0</v>
      </c>
      <c r="L1865" s="3" t="s">
        <v>27</v>
      </c>
    </row>
    <row r="1866" ht="15.75" customHeight="1">
      <c r="A1866" s="3" t="s">
        <v>1944</v>
      </c>
      <c r="B1866" s="3" t="s">
        <v>36</v>
      </c>
      <c r="C1866" s="3" t="s">
        <v>26</v>
      </c>
      <c r="D1866" s="3">
        <v>69433.1983547105</v>
      </c>
      <c r="E1866" s="3">
        <v>23017.0132162987</v>
      </c>
      <c r="F1866" s="3">
        <v>15193.3429978671</v>
      </c>
      <c r="G1866" s="3">
        <v>13555.388036306</v>
      </c>
      <c r="H1866" s="3">
        <v>-5970.30882560254</v>
      </c>
      <c r="I1866" s="3">
        <v>69571.2782863978</v>
      </c>
      <c r="J1866" s="4">
        <v>45992.0</v>
      </c>
      <c r="K1866" s="3">
        <v>6.0</v>
      </c>
      <c r="L1866" s="3" t="s">
        <v>31</v>
      </c>
    </row>
    <row r="1867" ht="15.75" customHeight="1">
      <c r="A1867" s="3" t="s">
        <v>1945</v>
      </c>
      <c r="B1867" s="3" t="s">
        <v>53</v>
      </c>
      <c r="C1867" s="3" t="s">
        <v>33</v>
      </c>
      <c r="D1867" s="3">
        <v>69444.0813246167</v>
      </c>
      <c r="E1867" s="3">
        <v>23021.6279346261</v>
      </c>
      <c r="F1867" s="3">
        <v>15201.0230012966</v>
      </c>
      <c r="G1867" s="3">
        <v>13558.7855869933</v>
      </c>
      <c r="H1867" s="3">
        <v>-6019.81254335164</v>
      </c>
      <c r="I1867" s="3">
        <v>69574.6597608176</v>
      </c>
      <c r="J1867" s="4">
        <v>45962.0</v>
      </c>
      <c r="K1867" s="3">
        <v>8.0</v>
      </c>
      <c r="L1867" s="3" t="s">
        <v>34</v>
      </c>
    </row>
    <row r="1868" ht="15.75" customHeight="1">
      <c r="A1868" s="3" t="s">
        <v>1946</v>
      </c>
      <c r="B1868" s="3" t="s">
        <v>53</v>
      </c>
      <c r="C1868" s="3" t="s">
        <v>18</v>
      </c>
      <c r="D1868" s="3">
        <v>69454.9642945229</v>
      </c>
      <c r="E1868" s="3">
        <v>23026.2426529535</v>
      </c>
      <c r="F1868" s="3">
        <v>15208.7030047261</v>
      </c>
      <c r="G1868" s="3">
        <v>13562.1831376806</v>
      </c>
      <c r="H1868" s="3">
        <v>-6069.31626110083</v>
      </c>
      <c r="I1868" s="3">
        <v>69578.0412352374</v>
      </c>
      <c r="J1868" s="4">
        <v>45717.0</v>
      </c>
      <c r="K1868" s="3">
        <v>13.0</v>
      </c>
      <c r="L1868" s="3" t="s">
        <v>38</v>
      </c>
    </row>
    <row r="1869" ht="15.75" customHeight="1">
      <c r="A1869" s="3" t="s">
        <v>1947</v>
      </c>
      <c r="B1869" s="3" t="s">
        <v>29</v>
      </c>
      <c r="C1869" s="3" t="s">
        <v>18</v>
      </c>
      <c r="D1869" s="3">
        <v>69465.8472644291</v>
      </c>
      <c r="E1869" s="3">
        <v>23030.8573712809</v>
      </c>
      <c r="F1869" s="3">
        <v>15216.3830081556</v>
      </c>
      <c r="G1869" s="3">
        <v>13565.5806883679</v>
      </c>
      <c r="H1869" s="3">
        <v>-6118.81997884993</v>
      </c>
      <c r="I1869" s="3">
        <v>69581.4227096572</v>
      </c>
      <c r="J1869" s="4">
        <v>45809.0</v>
      </c>
      <c r="K1869" s="3">
        <v>8.0</v>
      </c>
      <c r="L1869" s="3" t="s">
        <v>40</v>
      </c>
    </row>
    <row r="1870" ht="15.75" customHeight="1">
      <c r="A1870" s="3" t="s">
        <v>1948</v>
      </c>
      <c r="B1870" s="3" t="s">
        <v>53</v>
      </c>
      <c r="C1870" s="3" t="s">
        <v>37</v>
      </c>
      <c r="D1870" s="3">
        <v>69476.7302343352</v>
      </c>
      <c r="E1870" s="3">
        <v>23035.4720896084</v>
      </c>
      <c r="F1870" s="3">
        <v>15224.0630115851</v>
      </c>
      <c r="G1870" s="3">
        <v>13568.9782390552</v>
      </c>
      <c r="H1870" s="3">
        <v>-6168.32369659904</v>
      </c>
      <c r="I1870" s="3">
        <v>69584.804184077</v>
      </c>
      <c r="J1870" s="4">
        <v>45962.0</v>
      </c>
      <c r="K1870" s="3">
        <v>1.0</v>
      </c>
      <c r="L1870" s="3" t="s">
        <v>42</v>
      </c>
    </row>
    <row r="1871" ht="15.75" customHeight="1">
      <c r="A1871" s="3" t="s">
        <v>1949</v>
      </c>
      <c r="B1871" s="3" t="s">
        <v>53</v>
      </c>
      <c r="C1871" s="3" t="s">
        <v>54</v>
      </c>
      <c r="D1871" s="3">
        <v>69487.6132042414</v>
      </c>
      <c r="E1871" s="3">
        <v>23040.0868079358</v>
      </c>
      <c r="F1871" s="3">
        <v>15231.7430150146</v>
      </c>
      <c r="G1871" s="3">
        <v>13572.3757897425</v>
      </c>
      <c r="H1871" s="3">
        <v>-6217.82741434814</v>
      </c>
      <c r="I1871" s="3">
        <v>69588.1856584968</v>
      </c>
      <c r="J1871" s="4">
        <v>45658.0</v>
      </c>
      <c r="K1871" s="3">
        <v>23.0</v>
      </c>
      <c r="L1871" s="3" t="s">
        <v>15</v>
      </c>
    </row>
    <row r="1872" ht="15.75" customHeight="1">
      <c r="A1872" s="3" t="s">
        <v>1950</v>
      </c>
      <c r="B1872" s="3" t="s">
        <v>13</v>
      </c>
      <c r="C1872" s="3" t="s">
        <v>26</v>
      </c>
      <c r="D1872" s="3">
        <v>69498.4961741476</v>
      </c>
      <c r="E1872" s="3">
        <v>23044.7015262632</v>
      </c>
      <c r="F1872" s="3">
        <v>15239.4230184441</v>
      </c>
      <c r="G1872" s="3">
        <v>13575.7733404298</v>
      </c>
      <c r="H1872" s="3">
        <v>-6267.33113209734</v>
      </c>
      <c r="I1872" s="3">
        <v>69591.5671329167</v>
      </c>
      <c r="J1872" s="4">
        <v>45748.0</v>
      </c>
      <c r="K1872" s="3">
        <v>4.0</v>
      </c>
      <c r="L1872" s="3" t="s">
        <v>19</v>
      </c>
    </row>
    <row r="1873" ht="15.75" customHeight="1">
      <c r="A1873" s="3" t="s">
        <v>1951</v>
      </c>
      <c r="B1873" s="3" t="s">
        <v>53</v>
      </c>
      <c r="C1873" s="3" t="s">
        <v>14</v>
      </c>
      <c r="D1873" s="3">
        <v>69509.3791440538</v>
      </c>
      <c r="E1873" s="3">
        <v>23049.3162445906</v>
      </c>
      <c r="F1873" s="3">
        <v>15247.1030218736</v>
      </c>
      <c r="G1873" s="3">
        <v>13579.170891117</v>
      </c>
      <c r="H1873" s="3">
        <v>-6316.83484984643</v>
      </c>
      <c r="I1873" s="3">
        <v>69594.9486073365</v>
      </c>
      <c r="J1873" s="4">
        <v>45717.0</v>
      </c>
      <c r="K1873" s="3">
        <v>24.0</v>
      </c>
      <c r="L1873" s="3" t="s">
        <v>21</v>
      </c>
    </row>
    <row r="1874" ht="15.75" customHeight="1">
      <c r="A1874" s="3" t="s">
        <v>1952</v>
      </c>
      <c r="B1874" s="3" t="s">
        <v>29</v>
      </c>
      <c r="C1874" s="3" t="s">
        <v>26</v>
      </c>
      <c r="D1874" s="3">
        <v>69520.26211396</v>
      </c>
      <c r="E1874" s="3">
        <v>23053.930962918</v>
      </c>
      <c r="F1874" s="3">
        <v>15254.7830253031</v>
      </c>
      <c r="G1874" s="3">
        <v>13582.5684418043</v>
      </c>
      <c r="H1874" s="3">
        <v>-6366.33856759554</v>
      </c>
      <c r="I1874" s="3">
        <v>69598.3300817563</v>
      </c>
      <c r="J1874" s="4">
        <v>45658.0</v>
      </c>
      <c r="K1874" s="3">
        <v>20.0</v>
      </c>
      <c r="L1874" s="3" t="s">
        <v>23</v>
      </c>
    </row>
    <row r="1875" ht="15.75" customHeight="1">
      <c r="A1875" s="3" t="s">
        <v>1953</v>
      </c>
      <c r="B1875" s="3" t="s">
        <v>25</v>
      </c>
      <c r="C1875" s="3" t="s">
        <v>14</v>
      </c>
      <c r="D1875" s="3">
        <v>69531.1450838662</v>
      </c>
      <c r="E1875" s="3">
        <v>23058.5456812455</v>
      </c>
      <c r="F1875" s="3">
        <v>15262.4630287326</v>
      </c>
      <c r="G1875" s="3">
        <v>13585.9659924916</v>
      </c>
      <c r="H1875" s="3">
        <v>-6415.84228534464</v>
      </c>
      <c r="I1875" s="3">
        <v>69601.7115561761</v>
      </c>
      <c r="J1875" s="4">
        <v>45901.0</v>
      </c>
      <c r="K1875" s="3">
        <v>14.0</v>
      </c>
      <c r="L1875" s="3" t="s">
        <v>27</v>
      </c>
    </row>
    <row r="1876" ht="15.75" customHeight="1">
      <c r="A1876" s="3" t="s">
        <v>1954</v>
      </c>
      <c r="B1876" s="3" t="s">
        <v>29</v>
      </c>
      <c r="C1876" s="3" t="s">
        <v>26</v>
      </c>
      <c r="D1876" s="3">
        <v>69542.0280537724</v>
      </c>
      <c r="E1876" s="3">
        <v>23063.1603995729</v>
      </c>
      <c r="F1876" s="3">
        <v>15270.1430321621</v>
      </c>
      <c r="G1876" s="3">
        <v>13589.3635431789</v>
      </c>
      <c r="H1876" s="3">
        <v>-6465.34600309384</v>
      </c>
      <c r="I1876" s="3">
        <v>69605.0930305959</v>
      </c>
      <c r="J1876" s="4">
        <v>45992.0</v>
      </c>
      <c r="K1876" s="3">
        <v>14.0</v>
      </c>
      <c r="L1876" s="3" t="s">
        <v>31</v>
      </c>
    </row>
    <row r="1877" ht="15.75" customHeight="1">
      <c r="A1877" s="3" t="s">
        <v>1955</v>
      </c>
      <c r="B1877" s="3" t="s">
        <v>25</v>
      </c>
      <c r="C1877" s="3" t="s">
        <v>30</v>
      </c>
      <c r="D1877" s="3">
        <v>69552.9110236786</v>
      </c>
      <c r="E1877" s="3">
        <v>23067.7751179003</v>
      </c>
      <c r="F1877" s="3">
        <v>15277.8230355916</v>
      </c>
      <c r="G1877" s="3">
        <v>13592.7610938662</v>
      </c>
      <c r="H1877" s="3">
        <v>-6514.84972084293</v>
      </c>
      <c r="I1877" s="3">
        <v>69608.4745050157</v>
      </c>
      <c r="J1877" s="4">
        <v>45962.0</v>
      </c>
      <c r="K1877" s="3">
        <v>19.0</v>
      </c>
      <c r="L1877" s="3" t="s">
        <v>34</v>
      </c>
    </row>
    <row r="1878" ht="15.75" customHeight="1">
      <c r="A1878" s="3" t="s">
        <v>1956</v>
      </c>
      <c r="B1878" s="3" t="s">
        <v>29</v>
      </c>
      <c r="C1878" s="3" t="s">
        <v>18</v>
      </c>
      <c r="D1878" s="3">
        <v>69563.7939935848</v>
      </c>
      <c r="E1878" s="3">
        <v>23072.3898362277</v>
      </c>
      <c r="F1878" s="3">
        <v>15285.5030390211</v>
      </c>
      <c r="G1878" s="3">
        <v>13596.1586445535</v>
      </c>
      <c r="H1878" s="3">
        <v>-6564.35343859204</v>
      </c>
      <c r="I1878" s="3">
        <v>69611.8559794355</v>
      </c>
      <c r="J1878" s="4">
        <v>45870.0</v>
      </c>
      <c r="K1878" s="3">
        <v>18.0</v>
      </c>
      <c r="L1878" s="3" t="s">
        <v>38</v>
      </c>
    </row>
    <row r="1879" ht="15.75" customHeight="1">
      <c r="A1879" s="3" t="s">
        <v>1957</v>
      </c>
      <c r="B1879" s="3" t="s">
        <v>29</v>
      </c>
      <c r="C1879" s="3" t="s">
        <v>37</v>
      </c>
      <c r="D1879" s="3">
        <v>69574.676963491</v>
      </c>
      <c r="E1879" s="3">
        <v>23077.0045545552</v>
      </c>
      <c r="F1879" s="3">
        <v>15293.1830424506</v>
      </c>
      <c r="G1879" s="3">
        <v>13599.5561952408</v>
      </c>
      <c r="H1879" s="3">
        <v>-6613.85715634124</v>
      </c>
      <c r="I1879" s="3">
        <v>69615.2374538553</v>
      </c>
      <c r="J1879" s="4">
        <v>45931.0</v>
      </c>
      <c r="K1879" s="3">
        <v>22.0</v>
      </c>
      <c r="L1879" s="3" t="s">
        <v>40</v>
      </c>
    </row>
    <row r="1880" ht="15.75" customHeight="1">
      <c r="A1880" s="3" t="s">
        <v>1958</v>
      </c>
      <c r="B1880" s="3" t="s">
        <v>25</v>
      </c>
      <c r="C1880" s="3" t="s">
        <v>30</v>
      </c>
      <c r="D1880" s="3">
        <v>69585.5599333972</v>
      </c>
      <c r="E1880" s="3">
        <v>23081.6192728826</v>
      </c>
      <c r="F1880" s="3">
        <v>15300.8630458801</v>
      </c>
      <c r="G1880" s="3">
        <v>13602.953745928</v>
      </c>
      <c r="H1880" s="3">
        <v>-6663.36087409034</v>
      </c>
      <c r="I1880" s="3">
        <v>69618.6189282752</v>
      </c>
      <c r="J1880" s="4">
        <v>45778.0</v>
      </c>
      <c r="K1880" s="3">
        <v>4.0</v>
      </c>
      <c r="L1880" s="3" t="s">
        <v>42</v>
      </c>
    </row>
    <row r="1881" ht="15.75" customHeight="1">
      <c r="A1881" s="3" t="s">
        <v>1959</v>
      </c>
      <c r="B1881" s="3" t="s">
        <v>53</v>
      </c>
      <c r="C1881" s="3" t="s">
        <v>18</v>
      </c>
      <c r="D1881" s="3">
        <v>69596.4429033034</v>
      </c>
      <c r="E1881" s="3">
        <v>23086.23399121</v>
      </c>
      <c r="F1881" s="3">
        <v>15308.5430493096</v>
      </c>
      <c r="G1881" s="3">
        <v>13606.3512966153</v>
      </c>
      <c r="H1881" s="3">
        <v>-6712.86459183943</v>
      </c>
      <c r="I1881" s="3">
        <v>69622.000402695</v>
      </c>
      <c r="J1881" s="4">
        <v>45992.0</v>
      </c>
      <c r="K1881" s="3">
        <v>11.0</v>
      </c>
      <c r="L1881" s="3" t="s">
        <v>15</v>
      </c>
    </row>
    <row r="1882" ht="15.75" customHeight="1">
      <c r="A1882" s="3" t="s">
        <v>1960</v>
      </c>
      <c r="B1882" s="3" t="s">
        <v>36</v>
      </c>
      <c r="C1882" s="3" t="s">
        <v>30</v>
      </c>
      <c r="D1882" s="3">
        <v>69607.3258732096</v>
      </c>
      <c r="E1882" s="3">
        <v>23090.8487095374</v>
      </c>
      <c r="F1882" s="3">
        <v>15316.2230527391</v>
      </c>
      <c r="G1882" s="3">
        <v>13609.7488473026</v>
      </c>
      <c r="H1882" s="3">
        <v>-6762.36830958854</v>
      </c>
      <c r="I1882" s="3">
        <v>69625.3818771148</v>
      </c>
      <c r="J1882" s="4">
        <v>45717.0</v>
      </c>
      <c r="K1882" s="3">
        <v>21.0</v>
      </c>
      <c r="L1882" s="3" t="s">
        <v>19</v>
      </c>
    </row>
    <row r="1883" ht="15.75" customHeight="1">
      <c r="A1883" s="3" t="s">
        <v>1961</v>
      </c>
      <c r="B1883" s="3" t="s">
        <v>53</v>
      </c>
      <c r="C1883" s="3" t="s">
        <v>14</v>
      </c>
      <c r="D1883" s="3">
        <v>69618.2088431158</v>
      </c>
      <c r="E1883" s="3">
        <v>23095.4634278648</v>
      </c>
      <c r="F1883" s="3">
        <v>15323.9030561686</v>
      </c>
      <c r="G1883" s="3">
        <v>13613.1463979899</v>
      </c>
      <c r="H1883" s="3">
        <v>-6811.87202733774</v>
      </c>
      <c r="I1883" s="3">
        <v>69628.7633515346</v>
      </c>
      <c r="J1883" s="4">
        <v>45717.0</v>
      </c>
      <c r="K1883" s="3">
        <v>6.0</v>
      </c>
      <c r="L1883" s="3" t="s">
        <v>21</v>
      </c>
    </row>
    <row r="1884" ht="15.75" customHeight="1">
      <c r="A1884" s="3" t="s">
        <v>1962</v>
      </c>
      <c r="B1884" s="3" t="s">
        <v>51</v>
      </c>
      <c r="C1884" s="3" t="s">
        <v>37</v>
      </c>
      <c r="D1884" s="3">
        <v>69629.091813022</v>
      </c>
      <c r="E1884" s="3">
        <v>23100.0781461923</v>
      </c>
      <c r="F1884" s="3">
        <v>15331.5830595981</v>
      </c>
      <c r="G1884" s="3">
        <v>13616.5439486772</v>
      </c>
      <c r="H1884" s="3">
        <v>-6861.37574508684</v>
      </c>
      <c r="I1884" s="3">
        <v>69632.1448259544</v>
      </c>
      <c r="J1884" s="4">
        <v>45962.0</v>
      </c>
      <c r="K1884" s="3">
        <v>14.0</v>
      </c>
      <c r="L1884" s="3" t="s">
        <v>23</v>
      </c>
    </row>
    <row r="1885" ht="15.75" customHeight="1">
      <c r="A1885" s="3" t="s">
        <v>1963</v>
      </c>
      <c r="B1885" s="3" t="s">
        <v>17</v>
      </c>
      <c r="C1885" s="3" t="s">
        <v>30</v>
      </c>
      <c r="D1885" s="3">
        <v>69639.9747829281</v>
      </c>
      <c r="E1885" s="3">
        <v>23104.6928645197</v>
      </c>
      <c r="F1885" s="3">
        <v>15339.2630630276</v>
      </c>
      <c r="G1885" s="3">
        <v>13619.9414993645</v>
      </c>
      <c r="H1885" s="3">
        <v>-6910.87946283593</v>
      </c>
      <c r="I1885" s="3">
        <v>69635.5263003742</v>
      </c>
      <c r="J1885" s="4">
        <v>45809.0</v>
      </c>
      <c r="K1885" s="3">
        <v>14.0</v>
      </c>
      <c r="L1885" s="3" t="s">
        <v>27</v>
      </c>
    </row>
    <row r="1886" ht="15.75" customHeight="1">
      <c r="A1886" s="3" t="s">
        <v>1964</v>
      </c>
      <c r="B1886" s="5"/>
      <c r="C1886" s="3" t="s">
        <v>26</v>
      </c>
      <c r="D1886" s="3">
        <v>69661.7407227405</v>
      </c>
      <c r="E1886" s="3">
        <v>23113.9223011745</v>
      </c>
      <c r="F1886" s="3">
        <v>15354.6230698866</v>
      </c>
      <c r="G1886" s="3">
        <v>13626.7366007391</v>
      </c>
      <c r="H1886" s="3">
        <v>-7009.88689833424</v>
      </c>
      <c r="I1886" s="3">
        <v>69642.2892492139</v>
      </c>
      <c r="J1886" s="4">
        <v>45689.0</v>
      </c>
      <c r="K1886" s="3">
        <v>23.0</v>
      </c>
      <c r="L1886" s="3" t="s">
        <v>34</v>
      </c>
    </row>
    <row r="1887" ht="15.75" customHeight="1">
      <c r="A1887" s="3" t="s">
        <v>1965</v>
      </c>
      <c r="B1887" s="3" t="s">
        <v>17</v>
      </c>
      <c r="C1887" s="3" t="s">
        <v>26</v>
      </c>
      <c r="D1887" s="3">
        <v>69672.6236926467</v>
      </c>
      <c r="E1887" s="3">
        <v>23118.537019502</v>
      </c>
      <c r="F1887" s="3">
        <v>15362.303073316</v>
      </c>
      <c r="G1887" s="3">
        <v>13630.1341514263</v>
      </c>
      <c r="H1887" s="3">
        <v>-7059.39061608334</v>
      </c>
      <c r="I1887" s="3">
        <v>69645.6707236337</v>
      </c>
      <c r="J1887" s="4">
        <v>45778.0</v>
      </c>
      <c r="K1887" s="3">
        <v>5.0</v>
      </c>
      <c r="L1887" s="3" t="s">
        <v>38</v>
      </c>
    </row>
    <row r="1888" ht="15.75" customHeight="1">
      <c r="A1888" s="3" t="s">
        <v>1966</v>
      </c>
      <c r="B1888" s="3" t="s">
        <v>29</v>
      </c>
      <c r="C1888" s="3" t="s">
        <v>30</v>
      </c>
      <c r="D1888" s="3">
        <v>69683.5066625529</v>
      </c>
      <c r="E1888" s="3">
        <v>23123.1517378294</v>
      </c>
      <c r="F1888" s="3">
        <v>15369.9830767455</v>
      </c>
      <c r="G1888" s="3">
        <v>13633.5317021136</v>
      </c>
      <c r="H1888" s="3">
        <v>-7108.89433383243</v>
      </c>
      <c r="I1888" s="3">
        <v>69649.0521980535</v>
      </c>
      <c r="J1888" s="4">
        <v>45962.0</v>
      </c>
      <c r="K1888" s="3">
        <v>5.0</v>
      </c>
      <c r="L1888" s="3" t="s">
        <v>40</v>
      </c>
    </row>
    <row r="1889" ht="15.75" customHeight="1">
      <c r="A1889" s="3" t="s">
        <v>1967</v>
      </c>
      <c r="B1889" s="3" t="s">
        <v>51</v>
      </c>
      <c r="C1889" s="3" t="s">
        <v>26</v>
      </c>
      <c r="D1889" s="3">
        <v>69694.3896324591</v>
      </c>
      <c r="E1889" s="3">
        <v>23127.7664561568</v>
      </c>
      <c r="F1889" s="3">
        <v>15377.663080175</v>
      </c>
      <c r="G1889" s="3">
        <v>13636.9292528009</v>
      </c>
      <c r="H1889" s="3">
        <v>-7158.39805158164</v>
      </c>
      <c r="I1889" s="3">
        <v>69652.4336724733</v>
      </c>
      <c r="J1889" s="4">
        <v>45931.0</v>
      </c>
      <c r="K1889" s="3">
        <v>12.0</v>
      </c>
      <c r="L1889" s="3" t="s">
        <v>42</v>
      </c>
    </row>
    <row r="1890" ht="15.75" customHeight="1">
      <c r="A1890" s="3" t="s">
        <v>1968</v>
      </c>
      <c r="B1890" s="3" t="s">
        <v>17</v>
      </c>
      <c r="C1890" s="3" t="s">
        <v>14</v>
      </c>
      <c r="D1890" s="3">
        <v>69705.2726023653</v>
      </c>
      <c r="E1890" s="3">
        <v>23132.3811744842</v>
      </c>
      <c r="F1890" s="3">
        <v>15385.3430836045</v>
      </c>
      <c r="G1890" s="3">
        <v>13640.3268034882</v>
      </c>
      <c r="H1890" s="3">
        <v>-7207.90176933074</v>
      </c>
      <c r="I1890" s="3">
        <v>69655.8151468931</v>
      </c>
      <c r="J1890" s="4">
        <v>45689.0</v>
      </c>
      <c r="K1890" s="3">
        <v>12.0</v>
      </c>
      <c r="L1890" s="3" t="s">
        <v>15</v>
      </c>
    </row>
    <row r="1891" ht="15.75" customHeight="1">
      <c r="A1891" s="3" t="s">
        <v>1969</v>
      </c>
      <c r="B1891" s="3" t="s">
        <v>53</v>
      </c>
      <c r="C1891" s="3" t="s">
        <v>30</v>
      </c>
      <c r="D1891" s="3">
        <v>69716.1555722715</v>
      </c>
      <c r="E1891" s="3">
        <v>23136.9958928116</v>
      </c>
      <c r="F1891" s="3">
        <v>15393.023087034</v>
      </c>
      <c r="G1891" s="3">
        <v>13643.7243541755</v>
      </c>
      <c r="H1891" s="3">
        <v>-7257.40548707984</v>
      </c>
      <c r="I1891" s="3">
        <v>69659.1966213129</v>
      </c>
      <c r="J1891" s="4">
        <v>45809.0</v>
      </c>
      <c r="K1891" s="3">
        <v>1.0</v>
      </c>
      <c r="L1891" s="3" t="s">
        <v>19</v>
      </c>
    </row>
    <row r="1892" ht="15.75" customHeight="1">
      <c r="A1892" s="3" t="s">
        <v>1970</v>
      </c>
      <c r="B1892" s="3" t="s">
        <v>36</v>
      </c>
      <c r="C1892" s="3" t="s">
        <v>33</v>
      </c>
      <c r="D1892" s="3">
        <v>69727.0385421777</v>
      </c>
      <c r="E1892" s="3">
        <v>23141.6106111391</v>
      </c>
      <c r="F1892" s="3">
        <v>15400.7030904635</v>
      </c>
      <c r="G1892" s="3">
        <v>13647.1219048628</v>
      </c>
      <c r="H1892" s="3">
        <v>-7306.90920482893</v>
      </c>
      <c r="I1892" s="3">
        <v>69662.5780957328</v>
      </c>
      <c r="J1892" s="4">
        <v>45962.0</v>
      </c>
      <c r="K1892" s="3">
        <v>2.0</v>
      </c>
      <c r="L1892" s="3" t="s">
        <v>21</v>
      </c>
    </row>
    <row r="1893" ht="15.75" customHeight="1">
      <c r="A1893" s="3" t="s">
        <v>1971</v>
      </c>
      <c r="B1893" s="3" t="s">
        <v>53</v>
      </c>
      <c r="C1893" s="3" t="s">
        <v>26</v>
      </c>
      <c r="D1893" s="3">
        <v>69737.9215120839</v>
      </c>
      <c r="E1893" s="3">
        <v>23146.2253294665</v>
      </c>
      <c r="F1893" s="3">
        <v>15408.383093893</v>
      </c>
      <c r="G1893" s="3">
        <v>13650.5194555501</v>
      </c>
      <c r="H1893" s="3">
        <v>-7356.41292257814</v>
      </c>
      <c r="I1893" s="3">
        <v>69665.9595701526</v>
      </c>
      <c r="J1893" s="4">
        <v>45901.0</v>
      </c>
      <c r="K1893" s="3">
        <v>12.0</v>
      </c>
      <c r="L1893" s="3" t="s">
        <v>23</v>
      </c>
    </row>
    <row r="1894" ht="15.75" customHeight="1">
      <c r="A1894" s="3" t="s">
        <v>1972</v>
      </c>
      <c r="B1894" s="3" t="s">
        <v>51</v>
      </c>
      <c r="C1894" s="3" t="s">
        <v>33</v>
      </c>
      <c r="D1894" s="3">
        <v>69748.8044819901</v>
      </c>
      <c r="E1894" s="3">
        <v>23150.8400477939</v>
      </c>
      <c r="F1894" s="3">
        <v>15416.0630973225</v>
      </c>
      <c r="G1894" s="3">
        <v>13653.9170062374</v>
      </c>
      <c r="H1894" s="3">
        <v>-7405.91664032724</v>
      </c>
      <c r="I1894" s="3">
        <v>69669.3410445724</v>
      </c>
      <c r="J1894" s="4">
        <v>45748.0</v>
      </c>
      <c r="K1894" s="3">
        <v>17.0</v>
      </c>
      <c r="L1894" s="3" t="s">
        <v>27</v>
      </c>
    </row>
    <row r="1895" ht="15.75" customHeight="1">
      <c r="A1895" s="3" t="s">
        <v>1973</v>
      </c>
      <c r="B1895" s="3" t="s">
        <v>53</v>
      </c>
      <c r="C1895" s="3" t="s">
        <v>14</v>
      </c>
      <c r="D1895" s="3">
        <v>69759.6874518963</v>
      </c>
      <c r="E1895" s="3">
        <v>23155.4547661213</v>
      </c>
      <c r="F1895" s="3">
        <v>15423.743100752</v>
      </c>
      <c r="G1895" s="3">
        <v>13657.3145569246</v>
      </c>
      <c r="H1895" s="3">
        <v>-7455.42035807634</v>
      </c>
      <c r="I1895" s="3">
        <v>69672.7225189922</v>
      </c>
      <c r="J1895" s="4">
        <v>45992.0</v>
      </c>
      <c r="K1895" s="3">
        <v>21.0</v>
      </c>
      <c r="L1895" s="3" t="s">
        <v>31</v>
      </c>
    </row>
    <row r="1896" ht="15.75" customHeight="1">
      <c r="A1896" s="3" t="s">
        <v>1974</v>
      </c>
      <c r="B1896" s="3" t="s">
        <v>25</v>
      </c>
      <c r="C1896" s="3" t="s">
        <v>18</v>
      </c>
      <c r="D1896" s="3">
        <v>69770.5704218025</v>
      </c>
      <c r="E1896" s="3">
        <v>23160.0694844488</v>
      </c>
      <c r="F1896" s="3">
        <v>15431.4231041815</v>
      </c>
      <c r="G1896" s="3">
        <v>13660.7121076119</v>
      </c>
      <c r="H1896" s="3">
        <v>-7504.92407582543</v>
      </c>
      <c r="I1896" s="3">
        <v>69676.103993412</v>
      </c>
      <c r="J1896" s="4">
        <v>45962.0</v>
      </c>
      <c r="K1896" s="3">
        <v>20.0</v>
      </c>
      <c r="L1896" s="3" t="s">
        <v>34</v>
      </c>
    </row>
    <row r="1897" ht="15.75" customHeight="1">
      <c r="A1897" s="3" t="s">
        <v>1975</v>
      </c>
      <c r="B1897" s="3" t="s">
        <v>13</v>
      </c>
      <c r="C1897" s="3" t="s">
        <v>26</v>
      </c>
      <c r="D1897" s="3">
        <v>69781.4533917087</v>
      </c>
      <c r="E1897" s="3">
        <v>23164.6842027762</v>
      </c>
      <c r="F1897" s="3">
        <v>15439.103107611</v>
      </c>
      <c r="G1897" s="3">
        <v>13664.1096582992</v>
      </c>
      <c r="H1897" s="3">
        <v>-7554.42779357464</v>
      </c>
      <c r="I1897" s="3">
        <v>69679.4854678318</v>
      </c>
      <c r="J1897" s="4">
        <v>45658.0</v>
      </c>
      <c r="K1897" s="3">
        <v>13.0</v>
      </c>
      <c r="L1897" s="3" t="s">
        <v>38</v>
      </c>
    </row>
    <row r="1898" ht="15.75" customHeight="1">
      <c r="A1898" s="3" t="s">
        <v>1976</v>
      </c>
      <c r="B1898" s="3" t="s">
        <v>51</v>
      </c>
      <c r="C1898" s="3" t="s">
        <v>14</v>
      </c>
      <c r="D1898" s="3">
        <v>69792.3363616149</v>
      </c>
      <c r="E1898" s="3">
        <v>23169.2989211036</v>
      </c>
      <c r="F1898" s="3">
        <v>15446.7831110405</v>
      </c>
      <c r="G1898" s="3">
        <v>13667.5072089865</v>
      </c>
      <c r="H1898" s="3">
        <v>-7603.93151132374</v>
      </c>
      <c r="I1898" s="3">
        <v>69682.8669422516</v>
      </c>
      <c r="J1898" s="4">
        <v>45778.0</v>
      </c>
      <c r="K1898" s="3">
        <v>10.0</v>
      </c>
      <c r="L1898" s="3" t="s">
        <v>40</v>
      </c>
    </row>
    <row r="1899" ht="15.75" customHeight="1">
      <c r="A1899" s="3" t="s">
        <v>1977</v>
      </c>
      <c r="B1899" s="3" t="s">
        <v>51</v>
      </c>
      <c r="C1899" s="3" t="s">
        <v>26</v>
      </c>
      <c r="D1899" s="3">
        <v>69803.2193315211</v>
      </c>
      <c r="E1899" s="3">
        <v>23173.913639431</v>
      </c>
      <c r="F1899" s="3">
        <v>15454.46311447</v>
      </c>
      <c r="G1899" s="3">
        <v>13670.9047596738</v>
      </c>
      <c r="H1899" s="3">
        <v>-7653.43522907284</v>
      </c>
      <c r="I1899" s="3">
        <v>69686.2484166715</v>
      </c>
      <c r="J1899" s="4">
        <v>45839.0</v>
      </c>
      <c r="K1899" s="3">
        <v>5.0</v>
      </c>
      <c r="L1899" s="3" t="s">
        <v>42</v>
      </c>
    </row>
    <row r="1900" ht="15.75" customHeight="1">
      <c r="A1900" s="3" t="s">
        <v>1978</v>
      </c>
      <c r="B1900" s="3" t="s">
        <v>36</v>
      </c>
      <c r="C1900" s="3" t="s">
        <v>54</v>
      </c>
      <c r="D1900" s="3">
        <v>69814.1023014272</v>
      </c>
      <c r="E1900" s="3">
        <v>23178.5283577584</v>
      </c>
      <c r="F1900" s="3">
        <v>15462.1431178995</v>
      </c>
      <c r="G1900" s="3">
        <v>13674.3023103611</v>
      </c>
      <c r="H1900" s="3">
        <v>56139.7999910661</v>
      </c>
      <c r="I1900" s="3">
        <v>61139.7999910661</v>
      </c>
      <c r="J1900" s="4">
        <v>45992.0</v>
      </c>
      <c r="K1900" s="3">
        <v>4.0</v>
      </c>
      <c r="L1900" s="3" t="s">
        <v>15</v>
      </c>
    </row>
    <row r="1901" ht="15.75" customHeight="1">
      <c r="A1901" s="3" t="s">
        <v>1979</v>
      </c>
      <c r="B1901" s="3" t="s">
        <v>13</v>
      </c>
      <c r="C1901" s="3" t="s">
        <v>14</v>
      </c>
      <c r="D1901" s="3">
        <v>69824.9852713334</v>
      </c>
      <c r="E1901" s="3">
        <v>23183.1430760859</v>
      </c>
      <c r="F1901" s="3">
        <v>15469.823121329</v>
      </c>
      <c r="G1901" s="3">
        <v>13677.6998610484</v>
      </c>
      <c r="H1901" s="3">
        <v>-7752.44266457114</v>
      </c>
      <c r="I1901" s="3">
        <v>69693.0113655111</v>
      </c>
      <c r="J1901" s="4">
        <v>45689.0</v>
      </c>
      <c r="K1901" s="3">
        <v>21.0</v>
      </c>
      <c r="L1901" s="3" t="s">
        <v>19</v>
      </c>
    </row>
    <row r="1902" ht="15.75" customHeight="1">
      <c r="A1902" s="3" t="s">
        <v>1980</v>
      </c>
      <c r="B1902" s="3" t="s">
        <v>53</v>
      </c>
      <c r="C1902" s="3" t="s">
        <v>14</v>
      </c>
      <c r="D1902" s="3">
        <v>69835.8682412396</v>
      </c>
      <c r="E1902" s="3">
        <v>23187.7577944133</v>
      </c>
      <c r="F1902" s="3">
        <v>15477.5031247585</v>
      </c>
      <c r="G1902" s="3">
        <v>13681.0974117356</v>
      </c>
      <c r="H1902" s="3">
        <v>-7801.94638232024</v>
      </c>
      <c r="I1902" s="3">
        <v>69696.3928399309</v>
      </c>
      <c r="J1902" s="4">
        <v>45870.0</v>
      </c>
      <c r="K1902" s="3">
        <v>14.0</v>
      </c>
      <c r="L1902" s="3" t="s">
        <v>21</v>
      </c>
    </row>
    <row r="1903" ht="15.75" customHeight="1">
      <c r="A1903" s="3" t="s">
        <v>1981</v>
      </c>
      <c r="B1903" s="3" t="s">
        <v>29</v>
      </c>
      <c r="C1903" s="3" t="s">
        <v>26</v>
      </c>
      <c r="D1903" s="3">
        <v>69846.7512111458</v>
      </c>
      <c r="E1903" s="3">
        <v>23192.3725127407</v>
      </c>
      <c r="F1903" s="3">
        <v>15485.183128188</v>
      </c>
      <c r="G1903" s="3">
        <v>13684.4949624229</v>
      </c>
      <c r="H1903" s="3">
        <v>-7851.45010006934</v>
      </c>
      <c r="I1903" s="3">
        <v>69699.7743143507</v>
      </c>
      <c r="J1903" s="4">
        <v>45748.0</v>
      </c>
      <c r="K1903" s="3">
        <v>1.0</v>
      </c>
      <c r="L1903" s="3" t="s">
        <v>23</v>
      </c>
    </row>
    <row r="1904" ht="15.75" customHeight="1">
      <c r="A1904" s="3" t="s">
        <v>1982</v>
      </c>
      <c r="B1904" s="3" t="s">
        <v>51</v>
      </c>
      <c r="C1904" s="3" t="s">
        <v>18</v>
      </c>
      <c r="D1904" s="3">
        <v>69868.5171509582</v>
      </c>
      <c r="E1904" s="3">
        <v>23201.6019493956</v>
      </c>
      <c r="F1904" s="3">
        <v>15500.543135047</v>
      </c>
      <c r="G1904" s="3">
        <v>13691.2900637975</v>
      </c>
      <c r="H1904" s="3">
        <v>-7950.45753556764</v>
      </c>
      <c r="I1904" s="3">
        <v>69706.5372631903</v>
      </c>
      <c r="J1904" s="3" t="s">
        <v>1640</v>
      </c>
      <c r="K1904" s="3">
        <v>18.0</v>
      </c>
      <c r="L1904" s="3" t="s">
        <v>31</v>
      </c>
    </row>
    <row r="1905" ht="15.75" customHeight="1">
      <c r="A1905" s="3" t="s">
        <v>1983</v>
      </c>
      <c r="B1905" s="3" t="s">
        <v>13</v>
      </c>
      <c r="C1905" s="3" t="s">
        <v>33</v>
      </c>
      <c r="D1905" s="3">
        <v>69890.2830907706</v>
      </c>
      <c r="E1905" s="3">
        <v>23210.8313860504</v>
      </c>
      <c r="F1905" s="3">
        <v>15515.903141906</v>
      </c>
      <c r="G1905" s="3">
        <v>13698.0851651721</v>
      </c>
      <c r="H1905" s="3">
        <v>-8049.46497106584</v>
      </c>
      <c r="I1905" s="3">
        <v>69713.30021203</v>
      </c>
      <c r="J1905" s="4">
        <v>45689.0</v>
      </c>
      <c r="K1905" s="3">
        <v>15.0</v>
      </c>
      <c r="L1905" s="3" t="s">
        <v>38</v>
      </c>
    </row>
    <row r="1906" ht="15.75" customHeight="1">
      <c r="A1906" s="3" t="s">
        <v>1984</v>
      </c>
      <c r="B1906" s="3" t="s">
        <v>17</v>
      </c>
      <c r="C1906" s="3" t="s">
        <v>14</v>
      </c>
      <c r="D1906" s="3">
        <v>69901.1660606768</v>
      </c>
      <c r="E1906" s="3">
        <v>23215.4461043778</v>
      </c>
      <c r="F1906" s="3">
        <v>15523.5831453355</v>
      </c>
      <c r="G1906" s="3">
        <v>13701.4827158594</v>
      </c>
      <c r="H1906" s="3">
        <v>-8098.96868881503</v>
      </c>
      <c r="I1906" s="3">
        <v>69716.6816864498</v>
      </c>
      <c r="J1906" s="4">
        <v>45839.0</v>
      </c>
      <c r="K1906" s="3">
        <v>1.0</v>
      </c>
      <c r="L1906" s="3" t="s">
        <v>40</v>
      </c>
    </row>
    <row r="1907" ht="15.75" customHeight="1">
      <c r="A1907" s="3" t="s">
        <v>1985</v>
      </c>
      <c r="B1907" s="3" t="s">
        <v>29</v>
      </c>
      <c r="C1907" s="3" t="s">
        <v>30</v>
      </c>
      <c r="D1907" s="3">
        <v>69912.049030583</v>
      </c>
      <c r="E1907" s="3">
        <v>23220.0608227052</v>
      </c>
      <c r="F1907" s="3">
        <v>15531.263148765</v>
      </c>
      <c r="G1907" s="5"/>
      <c r="H1907" s="3">
        <v>-8148.47240656413</v>
      </c>
      <c r="I1907" s="3">
        <v>69720.0631608696</v>
      </c>
      <c r="J1907" s="4">
        <v>45778.0</v>
      </c>
      <c r="K1907" s="3">
        <v>18.0</v>
      </c>
      <c r="L1907" s="3" t="s">
        <v>42</v>
      </c>
    </row>
    <row r="1908" ht="15.75" customHeight="1">
      <c r="A1908" s="3" t="s">
        <v>1986</v>
      </c>
      <c r="B1908" s="3" t="s">
        <v>13</v>
      </c>
      <c r="C1908" s="3" t="s">
        <v>26</v>
      </c>
      <c r="D1908" s="3">
        <v>69922.9320004892</v>
      </c>
      <c r="E1908" s="3">
        <v>23224.6755410327</v>
      </c>
      <c r="F1908" s="3">
        <v>15538.9431521945</v>
      </c>
      <c r="G1908" s="3">
        <v>13708.2778172339</v>
      </c>
      <c r="H1908" s="3">
        <v>-8197.97612431324</v>
      </c>
      <c r="I1908" s="3">
        <v>69723.4446352894</v>
      </c>
      <c r="J1908" s="4">
        <v>45901.0</v>
      </c>
      <c r="K1908" s="3">
        <v>18.0</v>
      </c>
      <c r="L1908" s="3" t="s">
        <v>15</v>
      </c>
    </row>
    <row r="1909" ht="15.75" customHeight="1">
      <c r="A1909" s="3" t="s">
        <v>1987</v>
      </c>
      <c r="B1909" s="3" t="s">
        <v>51</v>
      </c>
      <c r="C1909" s="3" t="s">
        <v>14</v>
      </c>
      <c r="D1909" s="3">
        <v>69933.8149703954</v>
      </c>
      <c r="E1909" s="3">
        <v>23229.2902593601</v>
      </c>
      <c r="F1909" s="3">
        <v>15546.623155624</v>
      </c>
      <c r="G1909" s="3">
        <v>13711.6753679212</v>
      </c>
      <c r="H1909" s="3">
        <v>-8247.47984206234</v>
      </c>
      <c r="I1909" s="3">
        <v>69726.8261097092</v>
      </c>
      <c r="J1909" s="4">
        <v>45689.0</v>
      </c>
      <c r="K1909" s="3">
        <v>23.0</v>
      </c>
      <c r="L1909" s="3" t="s">
        <v>19</v>
      </c>
    </row>
    <row r="1910" ht="15.75" customHeight="1">
      <c r="A1910" s="3" t="s">
        <v>1988</v>
      </c>
      <c r="B1910" s="3" t="s">
        <v>36</v>
      </c>
      <c r="C1910" s="3" t="s">
        <v>18</v>
      </c>
      <c r="D1910" s="3">
        <v>69944.6979403016</v>
      </c>
      <c r="E1910" s="3">
        <v>23233.9049776875</v>
      </c>
      <c r="F1910" s="3">
        <v>15554.3031590535</v>
      </c>
      <c r="G1910" s="3">
        <v>13715.0729186085</v>
      </c>
      <c r="H1910" s="3">
        <v>-8296.98355981153</v>
      </c>
      <c r="I1910" s="3">
        <v>69730.207584129</v>
      </c>
      <c r="J1910" s="4">
        <v>45962.0</v>
      </c>
      <c r="K1910" s="3">
        <v>16.0</v>
      </c>
      <c r="L1910" s="3" t="s">
        <v>21</v>
      </c>
    </row>
    <row r="1911" ht="15.75" customHeight="1">
      <c r="A1911" s="3" t="s">
        <v>1989</v>
      </c>
      <c r="B1911" s="3" t="s">
        <v>51</v>
      </c>
      <c r="C1911" s="3" t="s">
        <v>18</v>
      </c>
      <c r="D1911" s="3">
        <v>69955.5809102078</v>
      </c>
      <c r="E1911" s="3">
        <v>23238.5196960149</v>
      </c>
      <c r="F1911" s="3">
        <v>15561.983162483</v>
      </c>
      <c r="G1911" s="3">
        <v>13718.4704692958</v>
      </c>
      <c r="H1911" s="3">
        <v>-8346.48727756063</v>
      </c>
      <c r="I1911" s="3">
        <v>69733.5890585489</v>
      </c>
      <c r="J1911" s="4">
        <v>45809.0</v>
      </c>
      <c r="K1911" s="3">
        <v>23.0</v>
      </c>
      <c r="L1911" s="3" t="s">
        <v>23</v>
      </c>
    </row>
    <row r="1912" ht="15.75" customHeight="1">
      <c r="A1912" s="3" t="s">
        <v>1990</v>
      </c>
      <c r="B1912" s="3" t="s">
        <v>13</v>
      </c>
      <c r="C1912" s="3" t="s">
        <v>30</v>
      </c>
      <c r="D1912" s="3">
        <v>69966.4638801139</v>
      </c>
      <c r="E1912" s="3">
        <v>23243.1344143424</v>
      </c>
      <c r="F1912" s="3">
        <v>15569.6631659125</v>
      </c>
      <c r="G1912" s="3">
        <v>13721.8680199831</v>
      </c>
      <c r="H1912" s="3">
        <v>-8395.99099530974</v>
      </c>
      <c r="I1912" s="3">
        <v>69736.9705329687</v>
      </c>
      <c r="J1912" s="4">
        <v>45717.0</v>
      </c>
      <c r="K1912" s="3">
        <v>21.0</v>
      </c>
      <c r="L1912" s="3" t="s">
        <v>27</v>
      </c>
    </row>
    <row r="1913" ht="15.75" customHeight="1">
      <c r="A1913" s="3" t="s">
        <v>1991</v>
      </c>
      <c r="B1913" s="3" t="s">
        <v>36</v>
      </c>
      <c r="C1913" s="3" t="s">
        <v>54</v>
      </c>
      <c r="D1913" s="3">
        <v>69977.3468500201</v>
      </c>
      <c r="E1913" s="3">
        <v>23247.7491326698</v>
      </c>
      <c r="F1913" s="3">
        <v>15577.343169342</v>
      </c>
      <c r="G1913" s="3">
        <v>13725.2655706704</v>
      </c>
      <c r="H1913" s="3">
        <v>-8445.49471305884</v>
      </c>
      <c r="I1913" s="3">
        <v>69740.3520073885</v>
      </c>
      <c r="J1913" s="4">
        <v>45658.0</v>
      </c>
      <c r="K1913" s="3">
        <v>5.0</v>
      </c>
      <c r="L1913" s="3" t="s">
        <v>31</v>
      </c>
    </row>
    <row r="1914" ht="15.75" customHeight="1">
      <c r="A1914" s="3" t="s">
        <v>1992</v>
      </c>
      <c r="B1914" s="3" t="s">
        <v>53</v>
      </c>
      <c r="C1914" s="3" t="s">
        <v>37</v>
      </c>
      <c r="D1914" s="3">
        <v>69988.2298199263</v>
      </c>
      <c r="E1914" s="3">
        <v>23252.3638509972</v>
      </c>
      <c r="F1914" s="3">
        <v>15585.0231727715</v>
      </c>
      <c r="G1914" s="3">
        <v>13728.6631213577</v>
      </c>
      <c r="H1914" s="3">
        <v>-8494.99843080803</v>
      </c>
      <c r="I1914" s="3">
        <v>69743.7334818083</v>
      </c>
      <c r="J1914" s="4">
        <v>45778.0</v>
      </c>
      <c r="K1914" s="3">
        <v>11.0</v>
      </c>
      <c r="L1914" s="3" t="s">
        <v>34</v>
      </c>
    </row>
    <row r="1915" ht="15.75" customHeight="1">
      <c r="A1915" s="3" t="s">
        <v>1993</v>
      </c>
      <c r="B1915" s="3" t="s">
        <v>25</v>
      </c>
      <c r="C1915" s="3" t="s">
        <v>33</v>
      </c>
      <c r="D1915" s="3">
        <v>70009.9957597387</v>
      </c>
      <c r="E1915" s="3">
        <v>23261.593287652</v>
      </c>
      <c r="F1915" s="3">
        <v>15600.3831796305</v>
      </c>
      <c r="G1915" s="3">
        <v>13735.4582227322</v>
      </c>
      <c r="H1915" s="3">
        <v>-8594.00586630624</v>
      </c>
      <c r="I1915" s="3">
        <v>69750.4964306479</v>
      </c>
      <c r="J1915" s="4">
        <v>45962.0</v>
      </c>
      <c r="K1915" s="3">
        <v>5.0</v>
      </c>
      <c r="L1915" s="3" t="s">
        <v>40</v>
      </c>
    </row>
    <row r="1916" ht="15.75" customHeight="1">
      <c r="A1916" s="3" t="s">
        <v>1994</v>
      </c>
      <c r="B1916" s="3" t="s">
        <v>36</v>
      </c>
      <c r="C1916" s="3" t="s">
        <v>33</v>
      </c>
      <c r="D1916" s="3">
        <v>70020.8787296449</v>
      </c>
      <c r="E1916" s="3">
        <v>23266.2080059795</v>
      </c>
      <c r="F1916" s="3">
        <v>15608.06318306</v>
      </c>
      <c r="G1916" s="3">
        <v>13738.8557734195</v>
      </c>
      <c r="H1916" s="3">
        <v>-8643.50958405544</v>
      </c>
      <c r="I1916" s="3">
        <v>69753.8779050677</v>
      </c>
      <c r="J1916" s="4">
        <v>45901.0</v>
      </c>
      <c r="K1916" s="3">
        <v>3.0</v>
      </c>
      <c r="L1916" s="3" t="s">
        <v>42</v>
      </c>
    </row>
    <row r="1917" ht="15.75" customHeight="1">
      <c r="A1917" s="3" t="s">
        <v>1995</v>
      </c>
      <c r="B1917" s="3" t="s">
        <v>53</v>
      </c>
      <c r="C1917" s="3" t="s">
        <v>14</v>
      </c>
      <c r="D1917" s="3">
        <v>70031.7616995511</v>
      </c>
      <c r="E1917" s="3">
        <v>23270.8227243069</v>
      </c>
      <c r="F1917" s="3">
        <v>15615.7431864895</v>
      </c>
      <c r="G1917" s="3">
        <v>13742.2533241068</v>
      </c>
      <c r="H1917" s="3">
        <v>-8693.01330180453</v>
      </c>
      <c r="I1917" s="3">
        <v>69757.2593794876</v>
      </c>
      <c r="J1917" s="4">
        <v>45658.0</v>
      </c>
      <c r="K1917" s="3">
        <v>3.0</v>
      </c>
      <c r="L1917" s="3" t="s">
        <v>15</v>
      </c>
    </row>
    <row r="1918" ht="15.75" customHeight="1">
      <c r="A1918" s="3" t="s">
        <v>1996</v>
      </c>
      <c r="B1918" s="3" t="s">
        <v>51</v>
      </c>
      <c r="C1918" s="3" t="s">
        <v>33</v>
      </c>
      <c r="D1918" s="3">
        <v>70042.6446694573</v>
      </c>
      <c r="E1918" s="3">
        <v>23275.4374426343</v>
      </c>
      <c r="F1918" s="3">
        <v>15623.423189919</v>
      </c>
      <c r="G1918" s="3">
        <v>13745.6508747941</v>
      </c>
      <c r="H1918" s="3">
        <v>-8742.51701955363</v>
      </c>
      <c r="I1918" s="3">
        <v>69760.6408539074</v>
      </c>
      <c r="J1918" s="4">
        <v>45931.0</v>
      </c>
      <c r="K1918" s="3">
        <v>21.0</v>
      </c>
      <c r="L1918" s="3" t="s">
        <v>19</v>
      </c>
    </row>
    <row r="1919" ht="15.75" customHeight="1">
      <c r="A1919" s="3" t="s">
        <v>1997</v>
      </c>
      <c r="B1919" s="5"/>
      <c r="C1919" s="3" t="s">
        <v>37</v>
      </c>
      <c r="D1919" s="3">
        <v>70053.5276393635</v>
      </c>
      <c r="E1919" s="3">
        <v>23280.0521609617</v>
      </c>
      <c r="F1919" s="3">
        <v>15631.1031933485</v>
      </c>
      <c r="G1919" s="3">
        <v>13749.0484254814</v>
      </c>
      <c r="H1919" s="3">
        <v>-8792.02073730274</v>
      </c>
      <c r="I1919" s="3">
        <v>69764.0223283272</v>
      </c>
      <c r="J1919" s="4">
        <v>45870.0</v>
      </c>
      <c r="K1919" s="3">
        <v>10.0</v>
      </c>
      <c r="L1919" s="3" t="s">
        <v>21</v>
      </c>
    </row>
    <row r="1920" ht="15.75" customHeight="1">
      <c r="A1920" s="3" t="s">
        <v>1998</v>
      </c>
      <c r="B1920" s="3" t="s">
        <v>51</v>
      </c>
      <c r="C1920" s="3" t="s">
        <v>14</v>
      </c>
      <c r="D1920" s="3">
        <v>70064.4106092697</v>
      </c>
      <c r="E1920" s="3">
        <v>23284.6668792892</v>
      </c>
      <c r="F1920" s="3">
        <v>15638.783196778</v>
      </c>
      <c r="G1920" s="3">
        <v>13752.4459761687</v>
      </c>
      <c r="H1920" s="3">
        <v>-8841.52445505194</v>
      </c>
      <c r="I1920" s="3">
        <v>69767.403802747</v>
      </c>
      <c r="J1920" s="4">
        <v>45931.0</v>
      </c>
      <c r="K1920" s="3">
        <v>22.0</v>
      </c>
      <c r="L1920" s="3" t="s">
        <v>23</v>
      </c>
    </row>
    <row r="1921" ht="15.75" customHeight="1">
      <c r="A1921" s="3" t="s">
        <v>1999</v>
      </c>
      <c r="B1921" s="3" t="s">
        <v>13</v>
      </c>
      <c r="C1921" s="3" t="s">
        <v>26</v>
      </c>
      <c r="D1921" s="3">
        <v>70075.2935791759</v>
      </c>
      <c r="E1921" s="3">
        <v>23289.2815976166</v>
      </c>
      <c r="F1921" s="3">
        <v>15646.4632002074</v>
      </c>
      <c r="G1921" s="3">
        <v>13755.843526856</v>
      </c>
      <c r="H1921" s="3">
        <v>-8891.02817280103</v>
      </c>
      <c r="I1921" s="3">
        <v>69770.7852771668</v>
      </c>
      <c r="J1921" s="4">
        <v>45839.0</v>
      </c>
      <c r="K1921" s="3">
        <v>21.0</v>
      </c>
      <c r="L1921" s="3" t="s">
        <v>27</v>
      </c>
    </row>
    <row r="1922" ht="15.75" customHeight="1">
      <c r="A1922" s="3" t="s">
        <v>2000</v>
      </c>
      <c r="B1922" s="3" t="s">
        <v>13</v>
      </c>
      <c r="C1922" s="3" t="s">
        <v>26</v>
      </c>
      <c r="D1922" s="3">
        <v>70086.1765490821</v>
      </c>
      <c r="E1922" s="3">
        <v>23293.896315944</v>
      </c>
      <c r="F1922" s="3">
        <v>15654.1432036369</v>
      </c>
      <c r="G1922" s="3">
        <v>13759.2410775432</v>
      </c>
      <c r="H1922" s="3">
        <v>-8940.53189055013</v>
      </c>
      <c r="I1922" s="3">
        <v>69774.1667515866</v>
      </c>
      <c r="J1922" s="4">
        <v>45931.0</v>
      </c>
      <c r="K1922" s="3">
        <v>5.0</v>
      </c>
      <c r="L1922" s="3" t="s">
        <v>31</v>
      </c>
    </row>
    <row r="1923" ht="15.75" customHeight="1">
      <c r="A1923" s="3" t="s">
        <v>2001</v>
      </c>
      <c r="B1923" s="3" t="s">
        <v>29</v>
      </c>
      <c r="C1923" s="3" t="s">
        <v>37</v>
      </c>
      <c r="D1923" s="3">
        <v>70097.0595189883</v>
      </c>
      <c r="E1923" s="3">
        <v>23298.5110342714</v>
      </c>
      <c r="F1923" s="3">
        <v>15661.8232070664</v>
      </c>
      <c r="G1923" s="3">
        <v>13762.6386282305</v>
      </c>
      <c r="H1923" s="3">
        <v>-8990.03560829924</v>
      </c>
      <c r="I1923" s="3">
        <v>69777.5482260064</v>
      </c>
      <c r="J1923" s="4">
        <v>45931.0</v>
      </c>
      <c r="K1923" s="3">
        <v>24.0</v>
      </c>
      <c r="L1923" s="3" t="s">
        <v>34</v>
      </c>
    </row>
    <row r="1924" ht="15.75" customHeight="1">
      <c r="A1924" s="3" t="s">
        <v>2002</v>
      </c>
      <c r="B1924" s="3" t="s">
        <v>13</v>
      </c>
      <c r="C1924" s="3" t="s">
        <v>30</v>
      </c>
      <c r="D1924" s="5"/>
      <c r="E1924" s="3">
        <v>23303.1257525988</v>
      </c>
      <c r="F1924" s="3">
        <v>15669.5032104959</v>
      </c>
      <c r="G1924" s="3">
        <v>13766.0361789178</v>
      </c>
      <c r="H1924" s="3">
        <v>-9039.53932604844</v>
      </c>
      <c r="I1924" s="3">
        <v>69780.9297004262</v>
      </c>
      <c r="J1924" s="4">
        <v>45809.0</v>
      </c>
      <c r="K1924" s="3">
        <v>10.0</v>
      </c>
      <c r="L1924" s="3" t="s">
        <v>38</v>
      </c>
    </row>
    <row r="1925" ht="15.75" customHeight="1">
      <c r="A1925" s="3" t="s">
        <v>2003</v>
      </c>
      <c r="B1925" s="3" t="s">
        <v>53</v>
      </c>
      <c r="C1925" s="3" t="s">
        <v>18</v>
      </c>
      <c r="D1925" s="3">
        <v>70118.8254588007</v>
      </c>
      <c r="E1925" s="3">
        <v>23307.7404709263</v>
      </c>
      <c r="F1925" s="3">
        <v>15677.1832139254</v>
      </c>
      <c r="G1925" s="3">
        <v>13769.4337296051</v>
      </c>
      <c r="H1925" s="3">
        <v>-9089.04304379754</v>
      </c>
      <c r="I1925" s="3">
        <v>69784.3111748461</v>
      </c>
      <c r="J1925" s="4">
        <v>45748.0</v>
      </c>
      <c r="K1925" s="3">
        <v>20.0</v>
      </c>
      <c r="L1925" s="3" t="s">
        <v>40</v>
      </c>
    </row>
    <row r="1926" ht="15.75" customHeight="1">
      <c r="A1926" s="3" t="s">
        <v>2004</v>
      </c>
      <c r="B1926" s="3" t="s">
        <v>17</v>
      </c>
      <c r="C1926" s="3" t="s">
        <v>30</v>
      </c>
      <c r="D1926" s="3">
        <v>70129.7084287069</v>
      </c>
      <c r="E1926" s="3">
        <v>23312.3551892537</v>
      </c>
      <c r="F1926" s="3">
        <v>15684.8632173549</v>
      </c>
      <c r="G1926" s="3">
        <v>13772.8312802924</v>
      </c>
      <c r="H1926" s="3">
        <v>-9138.54676154663</v>
      </c>
      <c r="I1926" s="3">
        <v>69787.6926492659</v>
      </c>
      <c r="J1926" s="4">
        <v>45870.0</v>
      </c>
      <c r="K1926" s="3">
        <v>14.0</v>
      </c>
      <c r="L1926" s="3" t="s">
        <v>42</v>
      </c>
    </row>
    <row r="1927" ht="15.75" customHeight="1">
      <c r="A1927" s="3" t="s">
        <v>2005</v>
      </c>
      <c r="B1927" s="3" t="s">
        <v>17</v>
      </c>
      <c r="C1927" s="3" t="s">
        <v>18</v>
      </c>
      <c r="D1927" s="3">
        <v>70140.591398613</v>
      </c>
      <c r="E1927" s="3">
        <v>23316.9699075811</v>
      </c>
      <c r="F1927" s="3">
        <v>15692.5432207844</v>
      </c>
      <c r="G1927" s="3">
        <v>13776.2288309797</v>
      </c>
      <c r="H1927" s="3">
        <v>-9188.05047929574</v>
      </c>
      <c r="I1927" s="3">
        <v>69791.0741236857</v>
      </c>
      <c r="J1927" s="4">
        <v>45901.0</v>
      </c>
      <c r="K1927" s="3">
        <v>8.0</v>
      </c>
      <c r="L1927" s="3" t="s">
        <v>15</v>
      </c>
    </row>
    <row r="1928" ht="15.75" customHeight="1">
      <c r="A1928" s="3" t="s">
        <v>2006</v>
      </c>
      <c r="B1928" s="3" t="s">
        <v>36</v>
      </c>
      <c r="C1928" s="3" t="s">
        <v>14</v>
      </c>
      <c r="D1928" s="3">
        <v>70151.4743685192</v>
      </c>
      <c r="E1928" s="3">
        <v>23321.5846259085</v>
      </c>
      <c r="F1928" s="3">
        <v>15700.2232242139</v>
      </c>
      <c r="G1928" s="3">
        <v>13779.626381667</v>
      </c>
      <c r="H1928" s="3">
        <v>-9237.55419704474</v>
      </c>
      <c r="I1928" s="3">
        <v>69794.4555981055</v>
      </c>
      <c r="J1928" s="4">
        <v>45931.0</v>
      </c>
      <c r="K1928" s="3">
        <v>15.0</v>
      </c>
      <c r="L1928" s="3" t="s">
        <v>19</v>
      </c>
    </row>
    <row r="1929" ht="15.75" customHeight="1">
      <c r="A1929" s="3" t="s">
        <v>2007</v>
      </c>
      <c r="B1929" s="3" t="s">
        <v>13</v>
      </c>
      <c r="C1929" s="3" t="s">
        <v>26</v>
      </c>
      <c r="D1929" s="3">
        <v>70162.3573384254</v>
      </c>
      <c r="E1929" s="3">
        <v>23326.199344236</v>
      </c>
      <c r="F1929" s="3">
        <v>15707.9032276434</v>
      </c>
      <c r="G1929" s="3">
        <v>13783.0239323543</v>
      </c>
      <c r="H1929" s="3">
        <v>-9287.05791479374</v>
      </c>
      <c r="I1929" s="3">
        <v>69797.8370725253</v>
      </c>
      <c r="J1929" s="4">
        <v>45689.0</v>
      </c>
      <c r="K1929" s="3">
        <v>4.0</v>
      </c>
      <c r="L1929" s="3" t="s">
        <v>21</v>
      </c>
    </row>
    <row r="1930" ht="15.75" customHeight="1">
      <c r="A1930" s="3" t="s">
        <v>2008</v>
      </c>
      <c r="B1930" s="3" t="s">
        <v>51</v>
      </c>
      <c r="C1930" s="3" t="s">
        <v>54</v>
      </c>
      <c r="D1930" s="3">
        <v>70173.2403083316</v>
      </c>
      <c r="E1930" s="3">
        <v>23330.8140625634</v>
      </c>
      <c r="F1930" s="3">
        <v>15715.5832310729</v>
      </c>
      <c r="G1930" s="3">
        <v>13786.4214830415</v>
      </c>
      <c r="H1930" s="3">
        <v>-9336.56163254274</v>
      </c>
      <c r="I1930" s="3">
        <v>69801.2185469452</v>
      </c>
      <c r="J1930" s="4">
        <v>45809.0</v>
      </c>
      <c r="K1930" s="3">
        <v>15.0</v>
      </c>
      <c r="L1930" s="3" t="s">
        <v>23</v>
      </c>
    </row>
    <row r="1931" ht="15.75" customHeight="1">
      <c r="A1931" s="3" t="s">
        <v>2009</v>
      </c>
      <c r="B1931" s="3" t="s">
        <v>53</v>
      </c>
      <c r="C1931" s="3" t="s">
        <v>33</v>
      </c>
      <c r="D1931" s="3">
        <v>70184.1232782378</v>
      </c>
      <c r="E1931" s="3">
        <v>23335.4287808908</v>
      </c>
      <c r="F1931" s="3">
        <v>15723.2632345024</v>
      </c>
      <c r="G1931" s="3">
        <v>13789.8190337288</v>
      </c>
      <c r="H1931" s="3">
        <v>-9386.06535029273</v>
      </c>
      <c r="I1931" s="3">
        <v>69804.600021365</v>
      </c>
      <c r="J1931" s="4">
        <v>45658.0</v>
      </c>
      <c r="K1931" s="3">
        <v>22.0</v>
      </c>
      <c r="L1931" s="3" t="s">
        <v>27</v>
      </c>
    </row>
    <row r="1932" ht="15.75" customHeight="1">
      <c r="A1932" s="3" t="s">
        <v>2010</v>
      </c>
      <c r="B1932" s="3" t="s">
        <v>25</v>
      </c>
      <c r="C1932" s="3" t="s">
        <v>26</v>
      </c>
      <c r="D1932" s="3">
        <v>70195.006248144</v>
      </c>
      <c r="E1932" s="3">
        <v>23340.0434992182</v>
      </c>
      <c r="F1932" s="3">
        <v>15730.9432379319</v>
      </c>
      <c r="G1932" s="3">
        <v>13793.2165844161</v>
      </c>
      <c r="H1932" s="3">
        <v>-9435.56906804173</v>
      </c>
      <c r="I1932" s="3">
        <v>69807.9814957848</v>
      </c>
      <c r="J1932" s="4">
        <v>45778.0</v>
      </c>
      <c r="K1932" s="3">
        <v>4.0</v>
      </c>
      <c r="L1932" s="3" t="s">
        <v>31</v>
      </c>
    </row>
    <row r="1933" ht="15.75" customHeight="1">
      <c r="A1933" s="3" t="s">
        <v>2011</v>
      </c>
      <c r="B1933" s="3" t="s">
        <v>53</v>
      </c>
      <c r="C1933" s="3" t="s">
        <v>30</v>
      </c>
      <c r="D1933" s="3">
        <v>70205.8892180502</v>
      </c>
      <c r="E1933" s="3">
        <v>23344.6582175456</v>
      </c>
      <c r="F1933" s="3">
        <v>15738.6232413614</v>
      </c>
      <c r="G1933" s="3">
        <v>13796.6141351034</v>
      </c>
      <c r="H1933" s="3">
        <v>-9485.07278579073</v>
      </c>
      <c r="I1933" s="3">
        <v>69811.3629702046</v>
      </c>
      <c r="J1933" s="4">
        <v>45689.0</v>
      </c>
      <c r="K1933" s="3">
        <v>18.0</v>
      </c>
      <c r="L1933" s="3" t="s">
        <v>34</v>
      </c>
    </row>
    <row r="1934" ht="15.75" customHeight="1">
      <c r="A1934" s="3" t="s">
        <v>2012</v>
      </c>
      <c r="B1934" s="3" t="s">
        <v>51</v>
      </c>
      <c r="C1934" s="3" t="s">
        <v>30</v>
      </c>
      <c r="D1934" s="3">
        <v>70216.7721879564</v>
      </c>
      <c r="E1934" s="3">
        <v>23349.2729358731</v>
      </c>
      <c r="F1934" s="3">
        <v>15746.3032447909</v>
      </c>
      <c r="G1934" s="3">
        <v>13800.0116857907</v>
      </c>
      <c r="H1934" s="3">
        <v>-9534.57650353973</v>
      </c>
      <c r="I1934" s="3">
        <v>69814.7444446244</v>
      </c>
      <c r="J1934" s="4">
        <v>45962.0</v>
      </c>
      <c r="K1934" s="3">
        <v>13.0</v>
      </c>
      <c r="L1934" s="3" t="s">
        <v>38</v>
      </c>
    </row>
    <row r="1935" ht="15.75" customHeight="1">
      <c r="A1935" s="3" t="s">
        <v>2013</v>
      </c>
      <c r="B1935" s="3" t="s">
        <v>13</v>
      </c>
      <c r="C1935" s="3" t="s">
        <v>30</v>
      </c>
      <c r="D1935" s="3">
        <v>70227.6551578626</v>
      </c>
      <c r="E1935" s="3">
        <v>23353.8876542005</v>
      </c>
      <c r="F1935" s="3">
        <v>15753.9832482204</v>
      </c>
      <c r="G1935" s="3">
        <v>13803.409236478</v>
      </c>
      <c r="H1935" s="3">
        <v>-9584.08022128874</v>
      </c>
      <c r="I1935" s="3">
        <v>69818.1259190442</v>
      </c>
      <c r="J1935" s="4">
        <v>45658.0</v>
      </c>
      <c r="K1935" s="3">
        <v>8.0</v>
      </c>
      <c r="L1935" s="3" t="s">
        <v>40</v>
      </c>
    </row>
    <row r="1936" ht="15.75" customHeight="1">
      <c r="A1936" s="3" t="s">
        <v>2014</v>
      </c>
      <c r="B1936" s="3" t="s">
        <v>36</v>
      </c>
      <c r="C1936" s="3" t="s">
        <v>54</v>
      </c>
      <c r="D1936" s="3">
        <v>70238.5381277688</v>
      </c>
      <c r="E1936" s="3">
        <v>23358.5023725279</v>
      </c>
      <c r="F1936" s="3">
        <v>15761.6632516499</v>
      </c>
      <c r="G1936" s="3">
        <v>13806.8067871653</v>
      </c>
      <c r="H1936" s="3">
        <v>-9633.58393903774</v>
      </c>
      <c r="I1936" s="3">
        <v>69821.507393464</v>
      </c>
      <c r="J1936" s="4">
        <v>45901.0</v>
      </c>
      <c r="K1936" s="3">
        <v>6.0</v>
      </c>
      <c r="L1936" s="3" t="s">
        <v>42</v>
      </c>
    </row>
    <row r="1937" ht="15.75" customHeight="1">
      <c r="A1937" s="3" t="s">
        <v>2015</v>
      </c>
      <c r="B1937" s="3" t="s">
        <v>51</v>
      </c>
      <c r="C1937" s="3" t="s">
        <v>14</v>
      </c>
      <c r="D1937" s="3">
        <v>70249.421097675</v>
      </c>
      <c r="E1937" s="3">
        <v>23363.1170908553</v>
      </c>
      <c r="F1937" s="3">
        <v>15769.3432550794</v>
      </c>
      <c r="G1937" s="3">
        <v>13810.2043378526</v>
      </c>
      <c r="H1937" s="3">
        <v>-9683.08765678674</v>
      </c>
      <c r="I1937" s="3">
        <v>69824.8888678838</v>
      </c>
      <c r="J1937" s="4">
        <v>45901.0</v>
      </c>
      <c r="K1937" s="3">
        <v>9.0</v>
      </c>
      <c r="L1937" s="3" t="s">
        <v>15</v>
      </c>
    </row>
    <row r="1938" ht="15.75" customHeight="1">
      <c r="A1938" s="3" t="s">
        <v>2016</v>
      </c>
      <c r="B1938" s="3" t="s">
        <v>17</v>
      </c>
      <c r="C1938" s="3" t="s">
        <v>37</v>
      </c>
      <c r="D1938" s="3">
        <v>70260.3040675812</v>
      </c>
      <c r="E1938" s="3">
        <v>23367.7318091828</v>
      </c>
      <c r="F1938" s="3">
        <v>15777.0232585089</v>
      </c>
      <c r="G1938" s="3">
        <v>13813.6018885398</v>
      </c>
      <c r="H1938" s="3">
        <v>-9732.59137453574</v>
      </c>
      <c r="I1938" s="3">
        <v>69828.2703423037</v>
      </c>
      <c r="J1938" s="4">
        <v>45992.0</v>
      </c>
      <c r="K1938" s="3">
        <v>1.0</v>
      </c>
      <c r="L1938" s="3" t="s">
        <v>19</v>
      </c>
    </row>
    <row r="1939" ht="15.75" customHeight="1">
      <c r="A1939" s="3" t="s">
        <v>2017</v>
      </c>
      <c r="B1939" s="3" t="s">
        <v>36</v>
      </c>
      <c r="C1939" s="3" t="s">
        <v>37</v>
      </c>
      <c r="D1939" s="3">
        <v>70271.1870374874</v>
      </c>
      <c r="E1939" s="3">
        <v>23372.3465275102</v>
      </c>
      <c r="F1939" s="3">
        <v>15784.7032619384</v>
      </c>
      <c r="G1939" s="3">
        <v>13816.9994392271</v>
      </c>
      <c r="H1939" s="3">
        <v>-9782.09509228574</v>
      </c>
      <c r="I1939" s="3">
        <v>69831.6518167235</v>
      </c>
      <c r="J1939" s="4">
        <v>45870.0</v>
      </c>
      <c r="K1939" s="3">
        <v>22.0</v>
      </c>
      <c r="L1939" s="3" t="s">
        <v>21</v>
      </c>
    </row>
    <row r="1940" ht="15.75" customHeight="1">
      <c r="A1940" s="3" t="s">
        <v>2018</v>
      </c>
      <c r="B1940" s="3" t="s">
        <v>13</v>
      </c>
      <c r="C1940" s="3" t="s">
        <v>26</v>
      </c>
      <c r="D1940" s="3">
        <v>70282.0700073936</v>
      </c>
      <c r="E1940" s="3">
        <v>23376.9612458376</v>
      </c>
      <c r="F1940" s="3">
        <v>15792.3832653679</v>
      </c>
      <c r="G1940" s="3">
        <v>13820.3969899144</v>
      </c>
      <c r="H1940" s="3">
        <v>-9831.59881003473</v>
      </c>
      <c r="I1940" s="3">
        <v>69835.0332911433</v>
      </c>
      <c r="J1940" s="4">
        <v>45931.0</v>
      </c>
      <c r="K1940" s="3">
        <v>17.0</v>
      </c>
      <c r="L1940" s="3" t="s">
        <v>23</v>
      </c>
    </row>
    <row r="1941" ht="15.75" customHeight="1">
      <c r="A1941" s="3" t="s">
        <v>2019</v>
      </c>
      <c r="B1941" s="3" t="s">
        <v>25</v>
      </c>
      <c r="C1941" s="3" t="s">
        <v>54</v>
      </c>
      <c r="D1941" s="3">
        <v>70292.9529772998</v>
      </c>
      <c r="E1941" s="3">
        <v>23381.575964165</v>
      </c>
      <c r="F1941" s="3">
        <v>15800.0632687974</v>
      </c>
      <c r="G1941" s="3">
        <v>13823.7945406017</v>
      </c>
      <c r="H1941" s="3">
        <v>-9881.10252778373</v>
      </c>
      <c r="I1941" s="3">
        <v>69838.4147655631</v>
      </c>
      <c r="J1941" s="3" t="s">
        <v>882</v>
      </c>
      <c r="K1941" s="3">
        <v>24.0</v>
      </c>
      <c r="L1941" s="3" t="s">
        <v>27</v>
      </c>
    </row>
    <row r="1942" ht="15.75" customHeight="1">
      <c r="A1942" s="3" t="s">
        <v>2020</v>
      </c>
      <c r="B1942" s="3" t="s">
        <v>25</v>
      </c>
      <c r="C1942" s="3" t="s">
        <v>26</v>
      </c>
      <c r="D1942" s="3">
        <v>70303.8359472059</v>
      </c>
      <c r="E1942" s="3">
        <v>23386.1906824924</v>
      </c>
      <c r="F1942" s="3">
        <v>15807.7432722269</v>
      </c>
      <c r="G1942" s="3">
        <v>13827.192091289</v>
      </c>
      <c r="H1942" s="3">
        <v>-9930.60624553273</v>
      </c>
      <c r="I1942" s="3">
        <v>69841.7962399829</v>
      </c>
      <c r="J1942" s="4">
        <v>45839.0</v>
      </c>
      <c r="K1942" s="3">
        <v>16.0</v>
      </c>
      <c r="L1942" s="3" t="s">
        <v>31</v>
      </c>
    </row>
    <row r="1943" ht="15.75" customHeight="1">
      <c r="A1943" s="3" t="s">
        <v>2021</v>
      </c>
      <c r="B1943" s="3" t="s">
        <v>13</v>
      </c>
      <c r="C1943" s="3" t="s">
        <v>33</v>
      </c>
      <c r="D1943" s="3">
        <v>70314.7189171121</v>
      </c>
      <c r="E1943" s="3">
        <v>23390.8054008199</v>
      </c>
      <c r="F1943" s="3">
        <v>15815.4232756564</v>
      </c>
      <c r="G1943" s="3">
        <v>13830.5896419763</v>
      </c>
      <c r="H1943" s="3">
        <v>-9980.10996328173</v>
      </c>
      <c r="I1943" s="3">
        <v>69845.1777144027</v>
      </c>
      <c r="J1943" s="4">
        <v>45901.0</v>
      </c>
      <c r="K1943" s="3">
        <v>3.0</v>
      </c>
      <c r="L1943" s="3" t="s">
        <v>34</v>
      </c>
    </row>
    <row r="1944" ht="15.75" customHeight="1">
      <c r="A1944" s="3" t="s">
        <v>2022</v>
      </c>
      <c r="B1944" s="3" t="s">
        <v>36</v>
      </c>
      <c r="C1944" s="3" t="s">
        <v>30</v>
      </c>
      <c r="D1944" s="3">
        <v>70325.6018870183</v>
      </c>
      <c r="E1944" s="3">
        <v>23395.4201191473</v>
      </c>
      <c r="F1944" s="3">
        <v>15823.1032790859</v>
      </c>
      <c r="G1944" s="3">
        <v>13833.9871926636</v>
      </c>
      <c r="H1944" s="3">
        <v>-10029.6136810307</v>
      </c>
      <c r="I1944" s="3">
        <v>69848.5591888225</v>
      </c>
      <c r="J1944" s="4">
        <v>45931.0</v>
      </c>
      <c r="K1944" s="3">
        <v>19.0</v>
      </c>
      <c r="L1944" s="3" t="s">
        <v>38</v>
      </c>
    </row>
    <row r="1945" ht="15.75" customHeight="1">
      <c r="A1945" s="3" t="s">
        <v>2023</v>
      </c>
      <c r="B1945" s="3" t="s">
        <v>13</v>
      </c>
      <c r="C1945" s="3" t="s">
        <v>54</v>
      </c>
      <c r="D1945" s="3">
        <v>70336.4848569245</v>
      </c>
      <c r="E1945" s="3">
        <v>23400.0348374747</v>
      </c>
      <c r="F1945" s="3">
        <v>15830.7832825154</v>
      </c>
      <c r="G1945" s="3">
        <v>13837.3847433508</v>
      </c>
      <c r="H1945" s="3">
        <v>-10079.1173987797</v>
      </c>
      <c r="I1945" s="3">
        <v>69851.9406632423</v>
      </c>
      <c r="J1945" s="4">
        <v>45689.0</v>
      </c>
      <c r="K1945" s="3">
        <v>9.0</v>
      </c>
      <c r="L1945" s="3" t="s">
        <v>40</v>
      </c>
    </row>
    <row r="1946" ht="15.75" customHeight="1">
      <c r="A1946" s="3" t="s">
        <v>2024</v>
      </c>
      <c r="B1946" s="3" t="s">
        <v>53</v>
      </c>
      <c r="C1946" s="3" t="s">
        <v>14</v>
      </c>
      <c r="D1946" s="3">
        <v>70347.3678268307</v>
      </c>
      <c r="E1946" s="3">
        <v>23404.6495558021</v>
      </c>
      <c r="F1946" s="3">
        <v>15838.4632859449</v>
      </c>
      <c r="G1946" s="3">
        <v>13840.7822940381</v>
      </c>
      <c r="H1946" s="3">
        <v>-10128.6211165287</v>
      </c>
      <c r="I1946" s="3">
        <v>69855.3221376622</v>
      </c>
      <c r="J1946" s="4">
        <v>45962.0</v>
      </c>
      <c r="K1946" s="3">
        <v>7.0</v>
      </c>
      <c r="L1946" s="3" t="s">
        <v>42</v>
      </c>
    </row>
    <row r="1947" ht="15.75" customHeight="1">
      <c r="A1947" s="3" t="s">
        <v>2025</v>
      </c>
      <c r="B1947" s="3" t="s">
        <v>36</v>
      </c>
      <c r="C1947" s="3" t="s">
        <v>18</v>
      </c>
      <c r="D1947" s="3">
        <v>70358.2507967369</v>
      </c>
      <c r="E1947" s="3">
        <v>23409.2642741296</v>
      </c>
      <c r="F1947" s="3">
        <v>15846.1432893744</v>
      </c>
      <c r="G1947" s="3">
        <v>13844.1798447254</v>
      </c>
      <c r="H1947" s="3">
        <v>-10178.1248342787</v>
      </c>
      <c r="I1947" s="3">
        <v>69858.703612082</v>
      </c>
      <c r="J1947" s="4">
        <v>45901.0</v>
      </c>
      <c r="K1947" s="3">
        <v>19.0</v>
      </c>
      <c r="L1947" s="3" t="s">
        <v>15</v>
      </c>
    </row>
    <row r="1948" ht="15.75" customHeight="1">
      <c r="A1948" s="3" t="s">
        <v>2026</v>
      </c>
      <c r="B1948" s="3" t="s">
        <v>13</v>
      </c>
      <c r="C1948" s="3" t="s">
        <v>54</v>
      </c>
      <c r="D1948" s="3">
        <v>70369.1337666431</v>
      </c>
      <c r="E1948" s="3">
        <v>23413.878992457</v>
      </c>
      <c r="F1948" s="3">
        <v>15853.8232928039</v>
      </c>
      <c r="G1948" s="3">
        <v>13847.5773954127</v>
      </c>
      <c r="H1948" s="3">
        <v>-10227.6285520277</v>
      </c>
      <c r="I1948" s="3">
        <v>69862.0850865018</v>
      </c>
      <c r="J1948" s="4">
        <v>45809.0</v>
      </c>
      <c r="K1948" s="3">
        <v>10.0</v>
      </c>
      <c r="L1948" s="3" t="s">
        <v>19</v>
      </c>
    </row>
    <row r="1949" ht="15.75" customHeight="1">
      <c r="A1949" s="3" t="s">
        <v>2027</v>
      </c>
      <c r="B1949" s="3" t="s">
        <v>36</v>
      </c>
      <c r="C1949" s="3" t="s">
        <v>30</v>
      </c>
      <c r="D1949" s="3">
        <v>70380.0167365493</v>
      </c>
      <c r="E1949" s="3">
        <v>23418.4937107844</v>
      </c>
      <c r="F1949" s="3">
        <v>15861.5032962334</v>
      </c>
      <c r="G1949" s="3">
        <v>13850.9749461</v>
      </c>
      <c r="H1949" s="3">
        <v>-10277.1322697767</v>
      </c>
      <c r="I1949" s="3">
        <v>69865.4665609216</v>
      </c>
      <c r="J1949" s="4">
        <v>45689.0</v>
      </c>
      <c r="K1949" s="3">
        <v>7.0</v>
      </c>
      <c r="L1949" s="3" t="s">
        <v>21</v>
      </c>
    </row>
    <row r="1950" ht="15.75" customHeight="1">
      <c r="A1950" s="3" t="s">
        <v>2028</v>
      </c>
      <c r="B1950" s="3" t="s">
        <v>53</v>
      </c>
      <c r="C1950" s="3" t="s">
        <v>26</v>
      </c>
      <c r="D1950" s="3">
        <v>70390.8997064555</v>
      </c>
      <c r="E1950" s="3">
        <v>23423.1084291118</v>
      </c>
      <c r="F1950" s="3">
        <v>15869.1832996629</v>
      </c>
      <c r="G1950" s="3">
        <v>13854.3724967873</v>
      </c>
      <c r="H1950" s="3">
        <v>-10326.6359875257</v>
      </c>
      <c r="I1950" s="3">
        <v>69868.8480353414</v>
      </c>
      <c r="J1950" s="4">
        <v>45689.0</v>
      </c>
      <c r="K1950" s="3">
        <v>20.0</v>
      </c>
      <c r="L1950" s="3" t="s">
        <v>23</v>
      </c>
    </row>
    <row r="1951" ht="15.75" customHeight="1">
      <c r="A1951" s="3" t="s">
        <v>2029</v>
      </c>
      <c r="B1951" s="3" t="s">
        <v>36</v>
      </c>
      <c r="C1951" s="3" t="s">
        <v>30</v>
      </c>
      <c r="D1951" s="3">
        <v>70401.7826763617</v>
      </c>
      <c r="E1951" s="3">
        <v>23427.7231474392</v>
      </c>
      <c r="F1951" s="3">
        <v>15876.8633030924</v>
      </c>
      <c r="G1951" s="3">
        <v>13857.7700474746</v>
      </c>
      <c r="H1951" s="3">
        <v>-10376.1397052747</v>
      </c>
      <c r="I1951" s="3">
        <v>69872.2295097612</v>
      </c>
      <c r="J1951" s="4">
        <v>45992.0</v>
      </c>
      <c r="K1951" s="3">
        <v>14.0</v>
      </c>
      <c r="L1951" s="3" t="s">
        <v>27</v>
      </c>
    </row>
    <row r="1952" ht="15.75" customHeight="1">
      <c r="A1952" s="3" t="s">
        <v>2030</v>
      </c>
      <c r="B1952" s="3" t="s">
        <v>29</v>
      </c>
      <c r="C1952" s="3" t="s">
        <v>37</v>
      </c>
      <c r="D1952" s="3">
        <v>70412.6656462679</v>
      </c>
      <c r="E1952" s="3">
        <v>23432.3378657667</v>
      </c>
      <c r="F1952" s="3">
        <v>15884.5433065219</v>
      </c>
      <c r="G1952" s="3">
        <v>13861.1675981619</v>
      </c>
      <c r="H1952" s="3">
        <v>-10425.6434230237</v>
      </c>
      <c r="I1952" s="3">
        <v>69875.6109841811</v>
      </c>
      <c r="J1952" s="4">
        <v>45839.0</v>
      </c>
      <c r="K1952" s="3">
        <v>20.0</v>
      </c>
      <c r="L1952" s="3" t="s">
        <v>31</v>
      </c>
    </row>
    <row r="1953" ht="15.75" customHeight="1">
      <c r="A1953" s="3" t="s">
        <v>2031</v>
      </c>
      <c r="B1953" s="3" t="s">
        <v>13</v>
      </c>
      <c r="C1953" s="3" t="s">
        <v>26</v>
      </c>
      <c r="D1953" s="3">
        <v>70423.5486161741</v>
      </c>
      <c r="E1953" s="3">
        <v>23436.9525840941</v>
      </c>
      <c r="F1953" s="3">
        <v>15892.2233099514</v>
      </c>
      <c r="G1953" s="3">
        <v>13864.5651488491</v>
      </c>
      <c r="H1953" s="3">
        <v>-10475.1471407727</v>
      </c>
      <c r="I1953" s="3">
        <v>69878.9924586009</v>
      </c>
      <c r="J1953" s="4">
        <v>45717.0</v>
      </c>
      <c r="K1953" s="3">
        <v>3.0</v>
      </c>
      <c r="L1953" s="3" t="s">
        <v>34</v>
      </c>
    </row>
    <row r="1954" ht="15.75" customHeight="1">
      <c r="A1954" s="3" t="s">
        <v>2032</v>
      </c>
      <c r="B1954" s="3" t="s">
        <v>13</v>
      </c>
      <c r="C1954" s="3" t="s">
        <v>30</v>
      </c>
      <c r="D1954" s="3">
        <v>70434.4315860803</v>
      </c>
      <c r="E1954" s="3">
        <v>23441.5673024215</v>
      </c>
      <c r="F1954" s="3">
        <v>15899.9033133809</v>
      </c>
      <c r="G1954" s="3">
        <v>13867.9626995364</v>
      </c>
      <c r="H1954" s="3">
        <v>-10524.6508585217</v>
      </c>
      <c r="I1954" s="3">
        <v>69882.3739330207</v>
      </c>
      <c r="J1954" s="4">
        <v>45931.0</v>
      </c>
      <c r="K1954" s="3">
        <v>14.0</v>
      </c>
      <c r="L1954" s="3" t="s">
        <v>38</v>
      </c>
    </row>
    <row r="1955" ht="15.75" customHeight="1">
      <c r="A1955" s="3" t="s">
        <v>2033</v>
      </c>
      <c r="B1955" s="3" t="s">
        <v>36</v>
      </c>
      <c r="C1955" s="3" t="s">
        <v>18</v>
      </c>
      <c r="D1955" s="3">
        <v>70445.3145559865</v>
      </c>
      <c r="E1955" s="3">
        <v>23446.1820207489</v>
      </c>
      <c r="F1955" s="3">
        <v>15907.5833168104</v>
      </c>
      <c r="G1955" s="3">
        <v>13871.3602502237</v>
      </c>
      <c r="H1955" s="3">
        <v>-10574.1545762717</v>
      </c>
      <c r="I1955" s="3">
        <v>69885.7554074405</v>
      </c>
      <c r="J1955" s="4">
        <v>45839.0</v>
      </c>
      <c r="K1955" s="3">
        <v>25.0</v>
      </c>
      <c r="L1955" s="3" t="s">
        <v>40</v>
      </c>
    </row>
    <row r="1956" ht="15.75" customHeight="1">
      <c r="A1956" s="3" t="s">
        <v>2034</v>
      </c>
      <c r="B1956" s="3" t="s">
        <v>29</v>
      </c>
      <c r="C1956" s="3" t="s">
        <v>37</v>
      </c>
      <c r="D1956" s="3">
        <v>70456.1975258927</v>
      </c>
      <c r="E1956" s="3">
        <v>23450.7967390763</v>
      </c>
      <c r="F1956" s="3">
        <v>15915.2633202399</v>
      </c>
      <c r="G1956" s="3">
        <v>13874.757800911</v>
      </c>
      <c r="H1956" s="3">
        <v>-10623.6582940207</v>
      </c>
      <c r="I1956" s="3">
        <v>69889.1368818603</v>
      </c>
      <c r="J1956" s="4">
        <v>45870.0</v>
      </c>
      <c r="K1956" s="3">
        <v>15.0</v>
      </c>
      <c r="L1956" s="3" t="s">
        <v>42</v>
      </c>
    </row>
    <row r="1957" ht="15.75" customHeight="1">
      <c r="A1957" s="3" t="s">
        <v>2035</v>
      </c>
      <c r="B1957" s="3" t="s">
        <v>53</v>
      </c>
      <c r="C1957" s="3" t="s">
        <v>26</v>
      </c>
      <c r="D1957" s="3">
        <v>70467.0804957988</v>
      </c>
      <c r="E1957" s="3">
        <v>23455.4114574038</v>
      </c>
      <c r="F1957" s="3">
        <v>15922.9433236694</v>
      </c>
      <c r="G1957" s="3">
        <v>13878.1553515983</v>
      </c>
      <c r="H1957" s="3">
        <v>-10673.1620117697</v>
      </c>
      <c r="I1957" s="3">
        <v>69892.5183562801</v>
      </c>
      <c r="J1957" s="4">
        <v>45717.0</v>
      </c>
      <c r="K1957" s="3">
        <v>8.0</v>
      </c>
      <c r="L1957" s="3" t="s">
        <v>15</v>
      </c>
    </row>
    <row r="1958" ht="15.75" customHeight="1">
      <c r="A1958" s="3" t="s">
        <v>2036</v>
      </c>
      <c r="B1958" s="3" t="s">
        <v>25</v>
      </c>
      <c r="C1958" s="3" t="s">
        <v>26</v>
      </c>
      <c r="D1958" s="5"/>
      <c r="E1958" s="3">
        <v>23464.6408940586</v>
      </c>
      <c r="F1958" s="3">
        <v>15938.3033305283</v>
      </c>
      <c r="G1958" s="3">
        <v>13884.9504529729</v>
      </c>
      <c r="H1958" s="3">
        <v>-10772.1694472677</v>
      </c>
      <c r="I1958" s="3">
        <v>69899.2813051198</v>
      </c>
      <c r="J1958" s="4">
        <v>45901.0</v>
      </c>
      <c r="K1958" s="3">
        <v>5.0</v>
      </c>
      <c r="L1958" s="3" t="s">
        <v>21</v>
      </c>
    </row>
    <row r="1959" ht="15.75" customHeight="1">
      <c r="A1959" s="3" t="s">
        <v>2037</v>
      </c>
      <c r="B1959" s="3" t="s">
        <v>51</v>
      </c>
      <c r="C1959" s="3" t="s">
        <v>14</v>
      </c>
      <c r="D1959" s="3">
        <v>70499.7294055174</v>
      </c>
      <c r="E1959" s="3">
        <v>23469.255612386</v>
      </c>
      <c r="F1959" s="3">
        <v>15945.9833339578</v>
      </c>
      <c r="G1959" s="3">
        <v>13888.3480036602</v>
      </c>
      <c r="H1959" s="3">
        <v>-10821.6731650167</v>
      </c>
      <c r="I1959" s="3">
        <v>69902.6627795396</v>
      </c>
      <c r="J1959" s="4">
        <v>45962.0</v>
      </c>
      <c r="K1959" s="3">
        <v>5.0</v>
      </c>
      <c r="L1959" s="3" t="s">
        <v>23</v>
      </c>
    </row>
    <row r="1960" ht="15.75" customHeight="1">
      <c r="A1960" s="3" t="s">
        <v>2038</v>
      </c>
      <c r="B1960" s="3" t="s">
        <v>53</v>
      </c>
      <c r="C1960" s="3" t="s">
        <v>18</v>
      </c>
      <c r="D1960" s="3">
        <v>70510.6123754236</v>
      </c>
      <c r="E1960" s="3">
        <v>23473.8703307135</v>
      </c>
      <c r="F1960" s="3">
        <v>15953.6633373873</v>
      </c>
      <c r="G1960" s="3">
        <v>13891.7455543474</v>
      </c>
      <c r="H1960" s="3">
        <v>-10871.1768827657</v>
      </c>
      <c r="I1960" s="3">
        <v>69906.0442539594</v>
      </c>
      <c r="J1960" s="4">
        <v>45839.0</v>
      </c>
      <c r="K1960" s="3">
        <v>14.0</v>
      </c>
      <c r="L1960" s="3" t="s">
        <v>27</v>
      </c>
    </row>
    <row r="1961" ht="15.75" customHeight="1">
      <c r="A1961" s="3" t="s">
        <v>2039</v>
      </c>
      <c r="B1961" s="3" t="s">
        <v>17</v>
      </c>
      <c r="C1961" s="3" t="s">
        <v>26</v>
      </c>
      <c r="D1961" s="3">
        <v>70521.4953453298</v>
      </c>
      <c r="E1961" s="3">
        <v>23478.4850490409</v>
      </c>
      <c r="F1961" s="3">
        <v>15961.3433408168</v>
      </c>
      <c r="G1961" s="3">
        <v>13895.1431050347</v>
      </c>
      <c r="H1961" s="3">
        <v>-10920.6806005147</v>
      </c>
      <c r="I1961" s="3">
        <v>69909.4257283792</v>
      </c>
      <c r="J1961" s="4">
        <v>45992.0</v>
      </c>
      <c r="K1961" s="3">
        <v>18.0</v>
      </c>
      <c r="L1961" s="3" t="s">
        <v>31</v>
      </c>
    </row>
    <row r="1962" ht="15.75" customHeight="1">
      <c r="A1962" s="3" t="s">
        <v>2040</v>
      </c>
      <c r="B1962" s="3" t="s">
        <v>36</v>
      </c>
      <c r="C1962" s="3" t="s">
        <v>54</v>
      </c>
      <c r="D1962" s="3">
        <v>70543.2612851422</v>
      </c>
      <c r="E1962" s="3">
        <v>23487.7144856957</v>
      </c>
      <c r="F1962" s="3">
        <v>15976.7033476758</v>
      </c>
      <c r="G1962" s="3">
        <v>13901.9382064093</v>
      </c>
      <c r="H1962" s="3">
        <v>-11019.6880360137</v>
      </c>
      <c r="I1962" s="3">
        <v>69916.1886772188</v>
      </c>
      <c r="J1962" s="4">
        <v>45748.0</v>
      </c>
      <c r="K1962" s="3">
        <v>9.0</v>
      </c>
      <c r="L1962" s="3" t="s">
        <v>38</v>
      </c>
    </row>
    <row r="1963" ht="15.75" customHeight="1">
      <c r="A1963" s="3" t="s">
        <v>2041</v>
      </c>
      <c r="B1963" s="3" t="s">
        <v>17</v>
      </c>
      <c r="C1963" s="3" t="s">
        <v>26</v>
      </c>
      <c r="D1963" s="3">
        <v>70554.1442550484</v>
      </c>
      <c r="E1963" s="3">
        <v>23492.3292040231</v>
      </c>
      <c r="F1963" s="3">
        <v>15984.3833511053</v>
      </c>
      <c r="G1963" s="3">
        <v>13905.3357570966</v>
      </c>
      <c r="H1963" s="3">
        <v>-11069.1917537627</v>
      </c>
      <c r="I1963" s="3">
        <v>69919.5701516386</v>
      </c>
      <c r="J1963" s="4">
        <v>45931.0</v>
      </c>
      <c r="K1963" s="3">
        <v>21.0</v>
      </c>
      <c r="L1963" s="3" t="s">
        <v>40</v>
      </c>
    </row>
    <row r="1964" ht="15.75" customHeight="1">
      <c r="A1964" s="3" t="s">
        <v>2042</v>
      </c>
      <c r="B1964" s="3" t="s">
        <v>25</v>
      </c>
      <c r="C1964" s="3" t="s">
        <v>18</v>
      </c>
      <c r="D1964" s="3">
        <v>70565.0272249546</v>
      </c>
      <c r="E1964" s="3">
        <v>23496.9439223506</v>
      </c>
      <c r="F1964" s="3">
        <v>15992.0633545348</v>
      </c>
      <c r="G1964" s="3">
        <v>13908.7333077839</v>
      </c>
      <c r="H1964" s="3">
        <v>-11118.6954715117</v>
      </c>
      <c r="I1964" s="3">
        <v>69922.9516260585</v>
      </c>
      <c r="J1964" s="4">
        <v>45809.0</v>
      </c>
      <c r="K1964" s="3">
        <v>1.0</v>
      </c>
      <c r="L1964" s="3" t="s">
        <v>42</v>
      </c>
    </row>
    <row r="1965" ht="15.75" customHeight="1">
      <c r="A1965" s="3" t="s">
        <v>2043</v>
      </c>
      <c r="B1965" s="3" t="s">
        <v>53</v>
      </c>
      <c r="C1965" s="3" t="s">
        <v>37</v>
      </c>
      <c r="D1965" s="3">
        <v>70575.9101948608</v>
      </c>
      <c r="E1965" s="3">
        <v>23501.558640678</v>
      </c>
      <c r="F1965" s="3">
        <v>15999.7433579643</v>
      </c>
      <c r="G1965" s="5"/>
      <c r="H1965" s="3">
        <v>-11168.1991892607</v>
      </c>
      <c r="I1965" s="3">
        <v>69926.3331004783</v>
      </c>
      <c r="J1965" s="4">
        <v>45839.0</v>
      </c>
      <c r="K1965" s="3">
        <v>14.0</v>
      </c>
      <c r="L1965" s="3" t="s">
        <v>15</v>
      </c>
    </row>
    <row r="1966" ht="15.75" customHeight="1">
      <c r="A1966" s="3" t="s">
        <v>2044</v>
      </c>
      <c r="B1966" s="3" t="s">
        <v>51</v>
      </c>
      <c r="C1966" s="3" t="s">
        <v>18</v>
      </c>
      <c r="D1966" s="3">
        <v>70586.793164767</v>
      </c>
      <c r="E1966" s="3">
        <v>23506.1733590054</v>
      </c>
      <c r="F1966" s="3">
        <v>16007.4233613938</v>
      </c>
      <c r="G1966" s="3">
        <v>13915.5284091584</v>
      </c>
      <c r="H1966" s="3">
        <v>-11217.7029070097</v>
      </c>
      <c r="I1966" s="3">
        <v>69929.7145748981</v>
      </c>
      <c r="J1966" s="4">
        <v>45992.0</v>
      </c>
      <c r="K1966" s="3">
        <v>7.0</v>
      </c>
      <c r="L1966" s="3" t="s">
        <v>19</v>
      </c>
    </row>
    <row r="1967" ht="15.75" customHeight="1">
      <c r="A1967" s="3" t="s">
        <v>2045</v>
      </c>
      <c r="B1967" s="3" t="s">
        <v>29</v>
      </c>
      <c r="C1967" s="3" t="s">
        <v>18</v>
      </c>
      <c r="D1967" s="3">
        <v>70597.6761346732</v>
      </c>
      <c r="E1967" s="3">
        <v>23510.7880773328</v>
      </c>
      <c r="F1967" s="3">
        <v>16015.1033648233</v>
      </c>
      <c r="G1967" s="3">
        <v>13918.9259598457</v>
      </c>
      <c r="H1967" s="3">
        <v>-11267.2066247587</v>
      </c>
      <c r="I1967" s="3">
        <v>69933.0960493179</v>
      </c>
      <c r="J1967" s="4">
        <v>45901.0</v>
      </c>
      <c r="K1967" s="3">
        <v>24.0</v>
      </c>
      <c r="L1967" s="3" t="s">
        <v>21</v>
      </c>
    </row>
    <row r="1968" ht="15.75" customHeight="1">
      <c r="A1968" s="3" t="s">
        <v>2046</v>
      </c>
      <c r="B1968" s="3" t="s">
        <v>13</v>
      </c>
      <c r="C1968" s="3" t="s">
        <v>14</v>
      </c>
      <c r="D1968" s="3">
        <v>70608.5591045794</v>
      </c>
      <c r="E1968" s="3">
        <v>23515.4027956603</v>
      </c>
      <c r="F1968" s="3">
        <v>16022.7833682528</v>
      </c>
      <c r="G1968" s="3">
        <v>13922.323510533</v>
      </c>
      <c r="H1968" s="3">
        <v>-11316.7103425077</v>
      </c>
      <c r="I1968" s="3">
        <v>69936.4775237377</v>
      </c>
      <c r="J1968" s="4">
        <v>45748.0</v>
      </c>
      <c r="K1968" s="3">
        <v>11.0</v>
      </c>
      <c r="L1968" s="3" t="s">
        <v>23</v>
      </c>
    </row>
    <row r="1969" ht="15.75" customHeight="1">
      <c r="A1969" s="3" t="s">
        <v>2047</v>
      </c>
      <c r="B1969" s="3" t="s">
        <v>53</v>
      </c>
      <c r="C1969" s="3" t="s">
        <v>33</v>
      </c>
      <c r="D1969" s="3">
        <v>70619.4420744856</v>
      </c>
      <c r="E1969" s="3">
        <v>23520.0175139877</v>
      </c>
      <c r="F1969" s="3">
        <v>16030.4633716823</v>
      </c>
      <c r="G1969" s="3">
        <v>13925.7210612203</v>
      </c>
      <c r="H1969" s="3">
        <v>-11366.2140602577</v>
      </c>
      <c r="I1969" s="3">
        <v>69939.8589981575</v>
      </c>
      <c r="J1969" s="4">
        <v>45689.0</v>
      </c>
      <c r="K1969" s="3">
        <v>15.0</v>
      </c>
      <c r="L1969" s="3" t="s">
        <v>27</v>
      </c>
    </row>
    <row r="1970" ht="15.75" customHeight="1">
      <c r="A1970" s="3" t="s">
        <v>2048</v>
      </c>
      <c r="B1970" s="3" t="s">
        <v>36</v>
      </c>
      <c r="C1970" s="3" t="s">
        <v>54</v>
      </c>
      <c r="D1970" s="3">
        <v>70630.3250443917</v>
      </c>
      <c r="E1970" s="3">
        <v>23524.6322323151</v>
      </c>
      <c r="F1970" s="3">
        <v>16038.1433751118</v>
      </c>
      <c r="G1970" s="3">
        <v>13929.1186119076</v>
      </c>
      <c r="H1970" s="3">
        <v>-11415.7177780067</v>
      </c>
      <c r="I1970" s="3">
        <v>69943.2404725773</v>
      </c>
      <c r="J1970" s="4">
        <v>45901.0</v>
      </c>
      <c r="K1970" s="3">
        <v>12.0</v>
      </c>
      <c r="L1970" s="3" t="s">
        <v>31</v>
      </c>
    </row>
    <row r="1971" ht="15.75" customHeight="1">
      <c r="A1971" s="3" t="s">
        <v>2049</v>
      </c>
      <c r="B1971" s="5"/>
      <c r="C1971" s="3" t="s">
        <v>14</v>
      </c>
      <c r="D1971" s="3">
        <v>70641.2080142979</v>
      </c>
      <c r="E1971" s="3">
        <v>23529.2469506425</v>
      </c>
      <c r="F1971" s="3">
        <v>16045.8233785413</v>
      </c>
      <c r="G1971" s="3">
        <v>13932.5161625949</v>
      </c>
      <c r="H1971" s="3">
        <v>-11465.2214957557</v>
      </c>
      <c r="I1971" s="3">
        <v>69946.6219469972</v>
      </c>
      <c r="J1971" s="4">
        <v>45839.0</v>
      </c>
      <c r="K1971" s="3">
        <v>2.0</v>
      </c>
      <c r="L1971" s="3" t="s">
        <v>34</v>
      </c>
    </row>
    <row r="1972" ht="15.75" customHeight="1">
      <c r="A1972" s="3" t="s">
        <v>2050</v>
      </c>
      <c r="B1972" s="3" t="s">
        <v>29</v>
      </c>
      <c r="C1972" s="3" t="s">
        <v>37</v>
      </c>
      <c r="D1972" s="3">
        <v>70652.0909842041</v>
      </c>
      <c r="E1972" s="3">
        <v>23533.8616689699</v>
      </c>
      <c r="F1972" s="3">
        <v>16053.5033819708</v>
      </c>
      <c r="G1972" s="3">
        <v>13935.9137132822</v>
      </c>
      <c r="H1972" s="3">
        <v>-11514.7252135047</v>
      </c>
      <c r="I1972" s="3">
        <v>69950.003421417</v>
      </c>
      <c r="J1972" s="4">
        <v>45870.0</v>
      </c>
      <c r="K1972" s="3">
        <v>5.0</v>
      </c>
      <c r="L1972" s="3" t="s">
        <v>38</v>
      </c>
    </row>
    <row r="1973" ht="15.75" customHeight="1">
      <c r="A1973" s="3" t="s">
        <v>2051</v>
      </c>
      <c r="B1973" s="3" t="s">
        <v>53</v>
      </c>
      <c r="C1973" s="3" t="s">
        <v>54</v>
      </c>
      <c r="D1973" s="3">
        <v>70662.9739541103</v>
      </c>
      <c r="E1973" s="3">
        <v>23538.4763872974</v>
      </c>
      <c r="F1973" s="3">
        <v>16061.1833854003</v>
      </c>
      <c r="G1973" s="3">
        <v>13939.3112639695</v>
      </c>
      <c r="H1973" s="3">
        <v>-11564.2289312537</v>
      </c>
      <c r="I1973" s="3">
        <v>69953.3848958368</v>
      </c>
      <c r="J1973" s="4">
        <v>45778.0</v>
      </c>
      <c r="K1973" s="3">
        <v>10.0</v>
      </c>
      <c r="L1973" s="3" t="s">
        <v>40</v>
      </c>
    </row>
    <row r="1974" ht="15.75" customHeight="1">
      <c r="A1974" s="3" t="s">
        <v>2052</v>
      </c>
      <c r="B1974" s="3" t="s">
        <v>13</v>
      </c>
      <c r="C1974" s="3" t="s">
        <v>54</v>
      </c>
      <c r="D1974" s="3">
        <v>70673.8569240165</v>
      </c>
      <c r="E1974" s="3">
        <v>23543.0911056248</v>
      </c>
      <c r="F1974" s="3">
        <v>16068.8633888298</v>
      </c>
      <c r="G1974" s="3">
        <v>13942.7088146567</v>
      </c>
      <c r="H1974" s="3">
        <v>-11613.7326490027</v>
      </c>
      <c r="I1974" s="3">
        <v>69956.7663702566</v>
      </c>
      <c r="J1974" s="4">
        <v>45748.0</v>
      </c>
      <c r="K1974" s="3">
        <v>10.0</v>
      </c>
      <c r="L1974" s="3" t="s">
        <v>42</v>
      </c>
    </row>
    <row r="1975" ht="15.75" customHeight="1">
      <c r="A1975" s="3" t="s">
        <v>2053</v>
      </c>
      <c r="B1975" s="3" t="s">
        <v>17</v>
      </c>
      <c r="C1975" s="3" t="s">
        <v>54</v>
      </c>
      <c r="D1975" s="3">
        <v>70684.7398939227</v>
      </c>
      <c r="E1975" s="3">
        <v>23547.7058239522</v>
      </c>
      <c r="F1975" s="3">
        <v>16076.5433922593</v>
      </c>
      <c r="G1975" s="3">
        <v>13946.106365344</v>
      </c>
      <c r="H1975" s="3">
        <v>-11663.2363667517</v>
      </c>
      <c r="I1975" s="3">
        <v>69960.1478446764</v>
      </c>
      <c r="J1975" s="4">
        <v>45992.0</v>
      </c>
      <c r="K1975" s="3">
        <v>22.0</v>
      </c>
      <c r="L1975" s="3" t="s">
        <v>15</v>
      </c>
    </row>
    <row r="1976" ht="15.75" customHeight="1">
      <c r="A1976" s="3" t="s">
        <v>2054</v>
      </c>
      <c r="B1976" s="3" t="s">
        <v>25</v>
      </c>
      <c r="C1976" s="3" t="s">
        <v>33</v>
      </c>
      <c r="D1976" s="3">
        <v>70695.6228638289</v>
      </c>
      <c r="E1976" s="3">
        <v>23552.3205422796</v>
      </c>
      <c r="F1976" s="3">
        <v>16084.2233956888</v>
      </c>
      <c r="G1976" s="3">
        <v>13949.5039160313</v>
      </c>
      <c r="H1976" s="3">
        <v>-11712.7400845017</v>
      </c>
      <c r="I1976" s="3">
        <v>69963.5293190962</v>
      </c>
      <c r="J1976" s="4">
        <v>45809.0</v>
      </c>
      <c r="K1976" s="3">
        <v>7.0</v>
      </c>
      <c r="L1976" s="3" t="s">
        <v>19</v>
      </c>
    </row>
    <row r="1977" ht="15.75" customHeight="1">
      <c r="A1977" s="3" t="s">
        <v>2055</v>
      </c>
      <c r="B1977" s="3" t="s">
        <v>25</v>
      </c>
      <c r="C1977" s="3" t="s">
        <v>33</v>
      </c>
      <c r="D1977" s="3">
        <v>70706.5058337351</v>
      </c>
      <c r="E1977" s="3">
        <v>23556.9352606071</v>
      </c>
      <c r="F1977" s="3">
        <v>16091.9033991183</v>
      </c>
      <c r="G1977" s="3">
        <v>13952.9014667186</v>
      </c>
      <c r="H1977" s="3">
        <v>-11762.2438022507</v>
      </c>
      <c r="I1977" s="3">
        <v>69966.910793516</v>
      </c>
      <c r="J1977" s="4">
        <v>45931.0</v>
      </c>
      <c r="K1977" s="3">
        <v>17.0</v>
      </c>
      <c r="L1977" s="3" t="s">
        <v>21</v>
      </c>
    </row>
    <row r="1978" ht="15.75" customHeight="1">
      <c r="A1978" s="3" t="s">
        <v>2056</v>
      </c>
      <c r="B1978" s="3" t="s">
        <v>17</v>
      </c>
      <c r="C1978" s="3" t="s">
        <v>37</v>
      </c>
      <c r="D1978" s="3">
        <v>70717.3888036413</v>
      </c>
      <c r="E1978" s="3">
        <v>23561.5499789345</v>
      </c>
      <c r="F1978" s="3">
        <v>16099.5834025478</v>
      </c>
      <c r="G1978" s="3">
        <v>13956.2990174059</v>
      </c>
      <c r="H1978" s="3">
        <v>-11811.7475199997</v>
      </c>
      <c r="I1978" s="3">
        <v>69970.2922679359</v>
      </c>
      <c r="J1978" s="4">
        <v>45870.0</v>
      </c>
      <c r="K1978" s="3">
        <v>15.0</v>
      </c>
      <c r="L1978" s="3" t="s">
        <v>23</v>
      </c>
    </row>
    <row r="1979" ht="15.75" customHeight="1">
      <c r="A1979" s="3" t="s">
        <v>2057</v>
      </c>
      <c r="B1979" s="3" t="s">
        <v>29</v>
      </c>
      <c r="C1979" s="3" t="s">
        <v>30</v>
      </c>
      <c r="D1979" s="3">
        <v>70728.2717735475</v>
      </c>
      <c r="E1979" s="3">
        <v>23566.1646972619</v>
      </c>
      <c r="F1979" s="3">
        <v>16107.2634059773</v>
      </c>
      <c r="G1979" s="3">
        <v>13959.6965680932</v>
      </c>
      <c r="H1979" s="3">
        <v>-11861.2512377487</v>
      </c>
      <c r="I1979" s="3">
        <v>69973.6737423557</v>
      </c>
      <c r="J1979" s="4">
        <v>45748.0</v>
      </c>
      <c r="K1979" s="3">
        <v>2.0</v>
      </c>
      <c r="L1979" s="3" t="s">
        <v>27</v>
      </c>
    </row>
    <row r="1980" ht="15.75" customHeight="1">
      <c r="A1980" s="3" t="s">
        <v>2058</v>
      </c>
      <c r="B1980" s="3" t="s">
        <v>51</v>
      </c>
      <c r="C1980" s="3" t="s">
        <v>26</v>
      </c>
      <c r="D1980" s="3">
        <v>70750.0377133599</v>
      </c>
      <c r="E1980" s="3">
        <v>23575.3941339167</v>
      </c>
      <c r="F1980" s="3">
        <v>16122.6234128363</v>
      </c>
      <c r="G1980" s="3">
        <v>13966.4916694678</v>
      </c>
      <c r="H1980" s="3">
        <v>-11960.2586732467</v>
      </c>
      <c r="I1980" s="3">
        <v>69980.4366911953</v>
      </c>
      <c r="J1980" s="4">
        <v>45901.0</v>
      </c>
      <c r="K1980" s="3">
        <v>1.0</v>
      </c>
      <c r="L1980" s="3" t="s">
        <v>34</v>
      </c>
    </row>
    <row r="1981" ht="15.75" customHeight="1">
      <c r="A1981" s="3" t="s">
        <v>2059</v>
      </c>
      <c r="B1981" s="3" t="s">
        <v>17</v>
      </c>
      <c r="C1981" s="3" t="s">
        <v>14</v>
      </c>
      <c r="D1981" s="3">
        <v>70760.9206832661</v>
      </c>
      <c r="E1981" s="3">
        <v>23580.0088522442</v>
      </c>
      <c r="F1981" s="3">
        <v>16130.3034162658</v>
      </c>
      <c r="G1981" s="3">
        <v>13969.889220155</v>
      </c>
      <c r="H1981" s="3">
        <v>-12009.7623909957</v>
      </c>
      <c r="I1981" s="3">
        <v>69983.8181656151</v>
      </c>
      <c r="J1981" s="4">
        <v>45931.0</v>
      </c>
      <c r="K1981" s="3">
        <v>4.0</v>
      </c>
      <c r="L1981" s="3" t="s">
        <v>38</v>
      </c>
    </row>
    <row r="1982" ht="15.75" customHeight="1">
      <c r="A1982" s="3" t="s">
        <v>2060</v>
      </c>
      <c r="B1982" s="3" t="s">
        <v>17</v>
      </c>
      <c r="C1982" s="3" t="s">
        <v>26</v>
      </c>
      <c r="D1982" s="3">
        <v>70771.8036531723</v>
      </c>
      <c r="E1982" s="3">
        <v>23584.6235705716</v>
      </c>
      <c r="F1982" s="3">
        <v>16137.9834196953</v>
      </c>
      <c r="G1982" s="3">
        <v>13973.2867708423</v>
      </c>
      <c r="H1982" s="3">
        <v>-12059.2661087447</v>
      </c>
      <c r="I1982" s="3">
        <v>69987.1996400349</v>
      </c>
      <c r="J1982" s="4">
        <v>45778.0</v>
      </c>
      <c r="K1982" s="3">
        <v>21.0</v>
      </c>
      <c r="L1982" s="3" t="s">
        <v>40</v>
      </c>
    </row>
    <row r="1983" ht="15.75" customHeight="1">
      <c r="A1983" s="3" t="s">
        <v>2061</v>
      </c>
      <c r="B1983" s="3" t="s">
        <v>25</v>
      </c>
      <c r="C1983" s="3" t="s">
        <v>33</v>
      </c>
      <c r="D1983" s="3">
        <v>70782.6866230785</v>
      </c>
      <c r="E1983" s="3">
        <v>23589.238288899</v>
      </c>
      <c r="F1983" s="3">
        <v>16145.6634231248</v>
      </c>
      <c r="G1983" s="3">
        <v>13976.6843215296</v>
      </c>
      <c r="H1983" s="3">
        <v>-12108.7698264947</v>
      </c>
      <c r="I1983" s="3">
        <v>69990.5811144547</v>
      </c>
      <c r="J1983" s="4">
        <v>45839.0</v>
      </c>
      <c r="K1983" s="3">
        <v>3.0</v>
      </c>
      <c r="L1983" s="3" t="s">
        <v>42</v>
      </c>
    </row>
    <row r="1984" ht="15.75" customHeight="1">
      <c r="A1984" s="3" t="s">
        <v>2062</v>
      </c>
      <c r="B1984" s="3" t="s">
        <v>36</v>
      </c>
      <c r="C1984" s="3" t="s">
        <v>30</v>
      </c>
      <c r="D1984" s="3">
        <v>70793.5695929846</v>
      </c>
      <c r="E1984" s="3">
        <v>23593.8530072264</v>
      </c>
      <c r="F1984" s="3">
        <v>16153.3434265543</v>
      </c>
      <c r="G1984" s="3">
        <v>13980.0818722169</v>
      </c>
      <c r="H1984" s="3">
        <v>-12158.2735442437</v>
      </c>
      <c r="I1984" s="3">
        <v>69993.9625888746</v>
      </c>
      <c r="J1984" s="4">
        <v>45717.0</v>
      </c>
      <c r="K1984" s="3">
        <v>5.0</v>
      </c>
      <c r="L1984" s="3" t="s">
        <v>15</v>
      </c>
    </row>
    <row r="1985" ht="15.75" customHeight="1">
      <c r="A1985" s="3" t="s">
        <v>2063</v>
      </c>
      <c r="B1985" s="3" t="s">
        <v>36</v>
      </c>
      <c r="C1985" s="3" t="s">
        <v>37</v>
      </c>
      <c r="D1985" s="3">
        <v>70804.4525628908</v>
      </c>
      <c r="E1985" s="3">
        <v>23598.4677255539</v>
      </c>
      <c r="F1985" s="3">
        <v>16161.0234299838</v>
      </c>
      <c r="G1985" s="3">
        <v>13983.4794229042</v>
      </c>
      <c r="H1985" s="3">
        <v>-12207.7772619927</v>
      </c>
      <c r="I1985" s="3">
        <v>69997.3440632944</v>
      </c>
      <c r="J1985" s="4">
        <v>45658.0</v>
      </c>
      <c r="K1985" s="3">
        <v>4.0</v>
      </c>
      <c r="L1985" s="3" t="s">
        <v>19</v>
      </c>
    </row>
    <row r="1986" ht="15.75" customHeight="1">
      <c r="A1986" s="3" t="s">
        <v>2064</v>
      </c>
      <c r="B1986" s="3" t="s">
        <v>36</v>
      </c>
      <c r="C1986" s="3" t="s">
        <v>14</v>
      </c>
      <c r="D1986" s="3">
        <v>70815.335532797</v>
      </c>
      <c r="E1986" s="3">
        <v>23603.0824438813</v>
      </c>
      <c r="F1986" s="3">
        <v>16168.7034334133</v>
      </c>
      <c r="G1986" s="3">
        <v>13986.8769735915</v>
      </c>
      <c r="H1986" s="3">
        <v>-12257.2809797417</v>
      </c>
      <c r="I1986" s="3">
        <v>70000.7255377142</v>
      </c>
      <c r="J1986" s="4">
        <v>45778.0</v>
      </c>
      <c r="K1986" s="3">
        <v>10.0</v>
      </c>
      <c r="L1986" s="3" t="s">
        <v>21</v>
      </c>
    </row>
    <row r="1987" ht="15.75" customHeight="1">
      <c r="A1987" s="3" t="s">
        <v>2065</v>
      </c>
      <c r="B1987" s="3" t="s">
        <v>51</v>
      </c>
      <c r="C1987" s="3" t="s">
        <v>37</v>
      </c>
      <c r="D1987" s="3">
        <v>70837.1014726094</v>
      </c>
      <c r="E1987" s="3">
        <v>23612.3118805361</v>
      </c>
      <c r="F1987" s="3">
        <v>16184.0634402723</v>
      </c>
      <c r="G1987" s="3">
        <v>13993.672074966</v>
      </c>
      <c r="H1987" s="3">
        <v>-12356.2884152397</v>
      </c>
      <c r="I1987" s="3">
        <v>70007.4884865538</v>
      </c>
      <c r="J1987" s="4">
        <v>45809.0</v>
      </c>
      <c r="K1987" s="3">
        <v>22.0</v>
      </c>
      <c r="L1987" s="3" t="s">
        <v>27</v>
      </c>
    </row>
    <row r="1988" ht="15.75" customHeight="1">
      <c r="A1988" s="3" t="s">
        <v>2066</v>
      </c>
      <c r="B1988" s="3" t="s">
        <v>29</v>
      </c>
      <c r="C1988" s="3" t="s">
        <v>30</v>
      </c>
      <c r="D1988" s="3">
        <v>70847.9844425156</v>
      </c>
      <c r="E1988" s="3">
        <v>23616.9265988635</v>
      </c>
      <c r="F1988" s="3">
        <v>16191.7434437018</v>
      </c>
      <c r="G1988" s="3">
        <v>13997.0696256533</v>
      </c>
      <c r="H1988" s="3">
        <v>-12405.7921329887</v>
      </c>
      <c r="I1988" s="3">
        <v>70010.8699609736</v>
      </c>
      <c r="J1988" s="4">
        <v>45931.0</v>
      </c>
      <c r="K1988" s="3">
        <v>23.0</v>
      </c>
      <c r="L1988" s="3" t="s">
        <v>31</v>
      </c>
    </row>
    <row r="1989" ht="15.75" customHeight="1">
      <c r="A1989" s="3" t="s">
        <v>2067</v>
      </c>
      <c r="B1989" s="3" t="s">
        <v>29</v>
      </c>
      <c r="C1989" s="3" t="s">
        <v>26</v>
      </c>
      <c r="D1989" s="3">
        <v>70858.8674124218</v>
      </c>
      <c r="E1989" s="3">
        <v>23621.541317191</v>
      </c>
      <c r="F1989" s="3">
        <v>16199.4234471313</v>
      </c>
      <c r="G1989" s="3">
        <v>14000.4671763406</v>
      </c>
      <c r="H1989" s="3">
        <v>-12455.2958507377</v>
      </c>
      <c r="I1989" s="3">
        <v>70014.2514353935</v>
      </c>
      <c r="J1989" s="4">
        <v>45901.0</v>
      </c>
      <c r="K1989" s="3">
        <v>22.0</v>
      </c>
      <c r="L1989" s="3" t="s">
        <v>34</v>
      </c>
    </row>
    <row r="1990" ht="15.75" customHeight="1">
      <c r="A1990" s="3" t="s">
        <v>2068</v>
      </c>
      <c r="B1990" s="3" t="s">
        <v>13</v>
      </c>
      <c r="C1990" s="3" t="s">
        <v>30</v>
      </c>
      <c r="D1990" s="3">
        <v>70869.750382328</v>
      </c>
      <c r="E1990" s="3">
        <v>23626.1560355184</v>
      </c>
      <c r="F1990" s="3">
        <v>16207.1034505608</v>
      </c>
      <c r="G1990" s="3">
        <v>14003.8647270279</v>
      </c>
      <c r="H1990" s="3">
        <v>-12504.7995684877</v>
      </c>
      <c r="I1990" s="3">
        <v>70017.6329098133</v>
      </c>
      <c r="J1990" s="4">
        <v>45717.0</v>
      </c>
      <c r="K1990" s="3">
        <v>23.0</v>
      </c>
      <c r="L1990" s="3" t="s">
        <v>38</v>
      </c>
    </row>
    <row r="1991" ht="15.75" customHeight="1">
      <c r="A1991" s="3" t="s">
        <v>2069</v>
      </c>
      <c r="B1991" s="3" t="s">
        <v>36</v>
      </c>
      <c r="C1991" s="3" t="s">
        <v>26</v>
      </c>
      <c r="D1991" s="3">
        <v>70880.6333522342</v>
      </c>
      <c r="E1991" s="3">
        <v>23630.7707538458</v>
      </c>
      <c r="F1991" s="3">
        <v>16214.7834539902</v>
      </c>
      <c r="G1991" s="3">
        <v>14007.2622777152</v>
      </c>
      <c r="H1991" s="3">
        <v>-12554.3032862367</v>
      </c>
      <c r="I1991" s="3">
        <v>70021.0143842331</v>
      </c>
      <c r="J1991" s="4">
        <v>45962.0</v>
      </c>
      <c r="K1991" s="3">
        <v>9.0</v>
      </c>
      <c r="L1991" s="3" t="s">
        <v>40</v>
      </c>
    </row>
    <row r="1992" ht="15.75" customHeight="1">
      <c r="A1992" s="3" t="s">
        <v>2070</v>
      </c>
      <c r="B1992" s="3" t="s">
        <v>36</v>
      </c>
      <c r="C1992" s="3" t="s">
        <v>26</v>
      </c>
      <c r="D1992" s="3">
        <v>70891.5163221404</v>
      </c>
      <c r="E1992" s="3">
        <v>23635.3854721732</v>
      </c>
      <c r="F1992" s="3">
        <v>16222.4634574197</v>
      </c>
      <c r="G1992" s="3">
        <v>14010.6598284025</v>
      </c>
      <c r="H1992" s="3">
        <v>-12603.8070039857</v>
      </c>
      <c r="I1992" s="3">
        <v>70024.3958586529</v>
      </c>
      <c r="J1992" s="4">
        <v>45901.0</v>
      </c>
      <c r="K1992" s="3">
        <v>20.0</v>
      </c>
      <c r="L1992" s="3" t="s">
        <v>42</v>
      </c>
    </row>
    <row r="1993" ht="15.75" customHeight="1">
      <c r="A1993" s="3" t="s">
        <v>2071</v>
      </c>
      <c r="B1993" s="3" t="s">
        <v>53</v>
      </c>
      <c r="C1993" s="3" t="s">
        <v>37</v>
      </c>
      <c r="D1993" s="3">
        <v>70902.3992920466</v>
      </c>
      <c r="E1993" s="3">
        <v>23640.0001905007</v>
      </c>
      <c r="F1993" s="3">
        <v>16230.1434608492</v>
      </c>
      <c r="G1993" s="3">
        <v>14014.0573790898</v>
      </c>
      <c r="H1993" s="3">
        <v>-12653.3107217347</v>
      </c>
      <c r="I1993" s="3">
        <v>70027.7773330727</v>
      </c>
      <c r="J1993" s="4">
        <v>45748.0</v>
      </c>
      <c r="K1993" s="3">
        <v>19.0</v>
      </c>
      <c r="L1993" s="3" t="s">
        <v>15</v>
      </c>
    </row>
    <row r="1994" ht="15.75" customHeight="1">
      <c r="A1994" s="3" t="s">
        <v>2072</v>
      </c>
      <c r="B1994" s="3" t="s">
        <v>25</v>
      </c>
      <c r="C1994" s="3" t="s">
        <v>37</v>
      </c>
      <c r="D1994" s="3">
        <v>70913.2822619528</v>
      </c>
      <c r="E1994" s="3">
        <v>23644.6149088281</v>
      </c>
      <c r="F1994" s="3">
        <v>16237.8234642787</v>
      </c>
      <c r="G1994" s="3">
        <v>14017.4549297771</v>
      </c>
      <c r="H1994" s="3">
        <v>-12702.8144394837</v>
      </c>
      <c r="I1994" s="3">
        <v>70031.1588074925</v>
      </c>
      <c r="J1994" s="4">
        <v>45809.0</v>
      </c>
      <c r="K1994" s="3">
        <v>21.0</v>
      </c>
      <c r="L1994" s="3" t="s">
        <v>19</v>
      </c>
    </row>
    <row r="1995" ht="15.75" customHeight="1">
      <c r="A1995" s="3" t="s">
        <v>2073</v>
      </c>
      <c r="B1995" s="3" t="s">
        <v>25</v>
      </c>
      <c r="C1995" s="3" t="s">
        <v>33</v>
      </c>
      <c r="D1995" s="3">
        <v>70924.165231859</v>
      </c>
      <c r="E1995" s="3">
        <v>23649.2296271555</v>
      </c>
      <c r="F1995" s="3">
        <v>16245.5034677082</v>
      </c>
      <c r="G1995" s="3">
        <v>14020.8524804643</v>
      </c>
      <c r="H1995" s="3">
        <v>-12752.3181572327</v>
      </c>
      <c r="I1995" s="3">
        <v>70034.5402819123</v>
      </c>
      <c r="J1995" s="4">
        <v>45809.0</v>
      </c>
      <c r="K1995" s="3">
        <v>1.0</v>
      </c>
      <c r="L1995" s="3" t="s">
        <v>21</v>
      </c>
    </row>
    <row r="1996" ht="15.75" customHeight="1">
      <c r="A1996" s="3" t="s">
        <v>2074</v>
      </c>
      <c r="B1996" s="3" t="s">
        <v>29</v>
      </c>
      <c r="C1996" s="3" t="s">
        <v>14</v>
      </c>
      <c r="D1996" s="3">
        <v>70935.0482017652</v>
      </c>
      <c r="E1996" s="3">
        <v>23653.8443454829</v>
      </c>
      <c r="F1996" s="3">
        <v>16253.1834711377</v>
      </c>
      <c r="G1996" s="3">
        <v>14024.2500311516</v>
      </c>
      <c r="H1996" s="3">
        <v>-12801.8218749817</v>
      </c>
      <c r="I1996" s="3">
        <v>70037.9217563322</v>
      </c>
      <c r="J1996" s="4">
        <v>45748.0</v>
      </c>
      <c r="K1996" s="3">
        <v>9.0</v>
      </c>
      <c r="L1996" s="3" t="s">
        <v>23</v>
      </c>
    </row>
    <row r="1997" ht="15.75" customHeight="1">
      <c r="A1997" s="3" t="s">
        <v>2075</v>
      </c>
      <c r="B1997" s="3" t="s">
        <v>17</v>
      </c>
      <c r="C1997" s="3" t="s">
        <v>18</v>
      </c>
      <c r="D1997" s="3">
        <v>70945.9311716714</v>
      </c>
      <c r="E1997" s="3">
        <v>23658.4590638103</v>
      </c>
      <c r="F1997" s="3">
        <v>16260.8634745672</v>
      </c>
      <c r="G1997" s="3">
        <v>14027.6475818389</v>
      </c>
      <c r="H1997" s="3">
        <v>-12851.3255927307</v>
      </c>
      <c r="I1997" s="3">
        <v>70041.303230752</v>
      </c>
      <c r="J1997" s="4">
        <v>45778.0</v>
      </c>
      <c r="K1997" s="3">
        <v>12.0</v>
      </c>
      <c r="L1997" s="3" t="s">
        <v>27</v>
      </c>
    </row>
    <row r="1998" ht="15.75" customHeight="1">
      <c r="A1998" s="3" t="s">
        <v>2076</v>
      </c>
      <c r="B1998" s="3" t="s">
        <v>53</v>
      </c>
      <c r="C1998" s="3" t="s">
        <v>14</v>
      </c>
      <c r="D1998" s="3">
        <v>70956.8141415775</v>
      </c>
      <c r="E1998" s="3">
        <v>23663.0737821378</v>
      </c>
      <c r="F1998" s="3">
        <v>16268.5434779967</v>
      </c>
      <c r="G1998" s="3">
        <v>14031.0451325262</v>
      </c>
      <c r="H1998" s="3">
        <v>-12900.8293104807</v>
      </c>
      <c r="I1998" s="3">
        <v>70044.6847051718</v>
      </c>
      <c r="J1998" s="4">
        <v>45689.0</v>
      </c>
      <c r="K1998" s="3">
        <v>19.0</v>
      </c>
      <c r="L1998" s="3" t="s">
        <v>31</v>
      </c>
    </row>
    <row r="1999" ht="15.75" customHeight="1">
      <c r="A1999" s="3" t="s">
        <v>2077</v>
      </c>
      <c r="B1999" s="3" t="s">
        <v>29</v>
      </c>
      <c r="C1999" s="3" t="s">
        <v>18</v>
      </c>
      <c r="D1999" s="3">
        <v>70967.6971114837</v>
      </c>
      <c r="E1999" s="3">
        <v>23667.6885004652</v>
      </c>
      <c r="F1999" s="3">
        <v>16276.2234814262</v>
      </c>
      <c r="G1999" s="3">
        <v>14034.4426832135</v>
      </c>
      <c r="H1999" s="3">
        <v>-12950.3330282297</v>
      </c>
      <c r="I1999" s="3">
        <v>70048.0661795916</v>
      </c>
      <c r="J1999" s="4">
        <v>45717.0</v>
      </c>
      <c r="K1999" s="3">
        <v>4.0</v>
      </c>
      <c r="L1999" s="3" t="s">
        <v>34</v>
      </c>
    </row>
    <row r="2000" ht="15.75" customHeight="1">
      <c r="A2000" s="3" t="s">
        <v>2078</v>
      </c>
      <c r="B2000" s="3" t="s">
        <v>36</v>
      </c>
      <c r="C2000" s="3" t="s">
        <v>26</v>
      </c>
      <c r="D2000" s="3">
        <v>70978.5800813899</v>
      </c>
      <c r="E2000" s="3">
        <v>23672.3032187926</v>
      </c>
      <c r="F2000" s="3">
        <v>16283.9034848557</v>
      </c>
      <c r="G2000" s="3">
        <v>14037.8402339008</v>
      </c>
      <c r="H2000" s="3">
        <v>-12999.8367459787</v>
      </c>
      <c r="I2000" s="3">
        <v>70051.4476540114</v>
      </c>
      <c r="J2000" s="4">
        <v>45839.0</v>
      </c>
      <c r="K2000" s="3">
        <v>22.0</v>
      </c>
      <c r="L2000" s="3" t="s">
        <v>38</v>
      </c>
    </row>
    <row r="2001" ht="15.75" customHeight="1">
      <c r="A2001" s="3" t="s">
        <v>2079</v>
      </c>
      <c r="B2001" s="3" t="s">
        <v>13</v>
      </c>
      <c r="C2001" s="3" t="s">
        <v>30</v>
      </c>
      <c r="D2001" s="3">
        <v>70989.4630512961</v>
      </c>
      <c r="E2001" s="3">
        <v>23676.91793712</v>
      </c>
      <c r="F2001" s="3">
        <v>16291.5834882852</v>
      </c>
      <c r="G2001" s="3">
        <v>14041.2377845881</v>
      </c>
      <c r="H2001" s="3">
        <v>-13049.3404637277</v>
      </c>
      <c r="I2001" s="3">
        <v>70054.8291284312</v>
      </c>
      <c r="J2001" s="4">
        <v>45962.0</v>
      </c>
      <c r="K2001" s="3">
        <v>22.0</v>
      </c>
      <c r="L2001" s="3" t="s">
        <v>40</v>
      </c>
    </row>
    <row r="2002" ht="15.75" customHeight="1">
      <c r="A2002" s="3" t="s">
        <v>2080</v>
      </c>
      <c r="B2002" s="3" t="s">
        <v>25</v>
      </c>
      <c r="C2002" s="3" t="s">
        <v>33</v>
      </c>
      <c r="D2002" s="3">
        <v>71000.3460212023</v>
      </c>
      <c r="E2002" s="3">
        <v>23681.5326554475</v>
      </c>
      <c r="F2002" s="3">
        <v>16299.2634917147</v>
      </c>
      <c r="G2002" s="3">
        <v>14044.6353352754</v>
      </c>
      <c r="H2002" s="3">
        <v>-13098.8441814767</v>
      </c>
      <c r="I2002" s="3">
        <v>70058.210602851</v>
      </c>
      <c r="J2002" s="4">
        <v>45870.0</v>
      </c>
      <c r="K2002" s="3">
        <v>9.0</v>
      </c>
      <c r="L2002" s="3" t="s">
        <v>42</v>
      </c>
    </row>
    <row r="2003" ht="15.75" customHeight="1">
      <c r="A2003" s="3" t="s">
        <v>2081</v>
      </c>
      <c r="B2003" s="3" t="s">
        <v>29</v>
      </c>
      <c r="C2003" s="3" t="s">
        <v>37</v>
      </c>
      <c r="D2003" s="3">
        <v>71011.2289911085</v>
      </c>
      <c r="E2003" s="3">
        <v>23686.1473737749</v>
      </c>
      <c r="F2003" s="3">
        <v>16306.9434951442</v>
      </c>
      <c r="G2003" s="3">
        <v>14048.0328859626</v>
      </c>
      <c r="H2003" s="3">
        <v>-13148.3478992257</v>
      </c>
      <c r="I2003" s="3">
        <v>70061.5920772708</v>
      </c>
      <c r="J2003" s="4">
        <v>45870.0</v>
      </c>
      <c r="K2003" s="3">
        <v>7.0</v>
      </c>
      <c r="L2003" s="3" t="s">
        <v>15</v>
      </c>
    </row>
    <row r="2004" ht="15.75" customHeight="1">
      <c r="A2004" s="3" t="s">
        <v>2082</v>
      </c>
      <c r="B2004" s="3" t="s">
        <v>25</v>
      </c>
      <c r="C2004" s="3" t="s">
        <v>18</v>
      </c>
      <c r="D2004" s="3">
        <v>71022.1119610147</v>
      </c>
      <c r="E2004" s="3">
        <v>23690.7620921023</v>
      </c>
      <c r="F2004" s="3">
        <v>16314.6234985737</v>
      </c>
      <c r="G2004" s="3">
        <v>14051.4304366499</v>
      </c>
      <c r="H2004" s="3">
        <v>-13197.8516169747</v>
      </c>
      <c r="I2004" s="3">
        <v>70064.9735516907</v>
      </c>
      <c r="J2004" s="4">
        <v>45962.0</v>
      </c>
      <c r="K2004" s="3">
        <v>8.0</v>
      </c>
      <c r="L2004" s="3" t="s">
        <v>19</v>
      </c>
    </row>
    <row r="2005" ht="15.75" customHeight="1">
      <c r="A2005" s="3" t="s">
        <v>2083</v>
      </c>
      <c r="B2005" s="3" t="s">
        <v>36</v>
      </c>
      <c r="C2005" s="3" t="s">
        <v>14</v>
      </c>
      <c r="D2005" s="3">
        <v>71032.9949309209</v>
      </c>
      <c r="E2005" s="3">
        <v>23695.3768104297</v>
      </c>
      <c r="F2005" s="3">
        <v>16322.3035020032</v>
      </c>
      <c r="G2005" s="3">
        <v>14054.8279873372</v>
      </c>
      <c r="H2005" s="3">
        <v>-13247.3553347237</v>
      </c>
      <c r="I2005" s="3">
        <v>70068.3550261105</v>
      </c>
      <c r="J2005" s="4">
        <v>45689.0</v>
      </c>
      <c r="K2005" s="3">
        <v>24.0</v>
      </c>
      <c r="L2005" s="3" t="s">
        <v>21</v>
      </c>
    </row>
    <row r="2006" ht="15.75" customHeight="1">
      <c r="A2006" s="3" t="s">
        <v>2084</v>
      </c>
      <c r="B2006" s="3" t="s">
        <v>29</v>
      </c>
      <c r="C2006" s="3" t="s">
        <v>14</v>
      </c>
      <c r="D2006" s="3">
        <v>71043.8779008271</v>
      </c>
      <c r="E2006" s="3">
        <v>23699.9915287571</v>
      </c>
      <c r="F2006" s="3">
        <v>16329.9835054327</v>
      </c>
      <c r="G2006" s="3">
        <v>14058.2255380245</v>
      </c>
      <c r="H2006" s="3">
        <v>-13296.8590524737</v>
      </c>
      <c r="I2006" s="3">
        <v>70071.7365005303</v>
      </c>
      <c r="J2006" s="4">
        <v>45839.0</v>
      </c>
      <c r="K2006" s="3">
        <v>17.0</v>
      </c>
      <c r="L2006" s="3" t="s">
        <v>23</v>
      </c>
    </row>
    <row r="2007" ht="15.75" customHeight="1">
      <c r="A2007" s="3" t="s">
        <v>2085</v>
      </c>
      <c r="B2007" s="3" t="s">
        <v>53</v>
      </c>
      <c r="C2007" s="3" t="s">
        <v>37</v>
      </c>
      <c r="D2007" s="3">
        <v>71065.6438406395</v>
      </c>
      <c r="E2007" s="3">
        <v>23709.220965412</v>
      </c>
      <c r="F2007" s="3">
        <v>16345.3435122917</v>
      </c>
      <c r="G2007" s="3">
        <v>14065.0206393991</v>
      </c>
      <c r="H2007" s="3">
        <v>-13395.8664879717</v>
      </c>
      <c r="I2007" s="3">
        <v>70078.4994493699</v>
      </c>
      <c r="J2007" s="4">
        <v>45962.0</v>
      </c>
      <c r="K2007" s="3">
        <v>19.0</v>
      </c>
      <c r="L2007" s="3" t="s">
        <v>31</v>
      </c>
    </row>
    <row r="2008" ht="15.75" customHeight="1">
      <c r="A2008" s="3" t="s">
        <v>2086</v>
      </c>
      <c r="B2008" s="3" t="s">
        <v>13</v>
      </c>
      <c r="C2008" s="3" t="s">
        <v>33</v>
      </c>
      <c r="D2008" s="3">
        <v>71076.5268105457</v>
      </c>
      <c r="E2008" s="3">
        <v>23713.8356837394</v>
      </c>
      <c r="F2008" s="3">
        <v>16353.0235157212</v>
      </c>
      <c r="G2008" s="3">
        <v>14068.4181900864</v>
      </c>
      <c r="H2008" s="3">
        <v>-13445.3702057207</v>
      </c>
      <c r="I2008" s="3">
        <v>70081.8809237897</v>
      </c>
      <c r="J2008" s="4">
        <v>45809.0</v>
      </c>
      <c r="K2008" s="3">
        <v>20.0</v>
      </c>
      <c r="L2008" s="3" t="s">
        <v>34</v>
      </c>
    </row>
    <row r="2009" ht="15.75" customHeight="1">
      <c r="A2009" s="3" t="s">
        <v>2087</v>
      </c>
      <c r="B2009" s="3" t="s">
        <v>51</v>
      </c>
      <c r="C2009" s="3" t="s">
        <v>26</v>
      </c>
      <c r="D2009" s="3">
        <v>71087.4097804519</v>
      </c>
      <c r="E2009" s="3">
        <v>23718.4504020668</v>
      </c>
      <c r="F2009" s="3">
        <v>16360.7035191507</v>
      </c>
      <c r="G2009" s="3">
        <v>14071.8157407736</v>
      </c>
      <c r="H2009" s="3">
        <v>-13494.8739234697</v>
      </c>
      <c r="I2009" s="3">
        <v>70085.2623982096</v>
      </c>
      <c r="J2009" s="4">
        <v>45778.0</v>
      </c>
      <c r="K2009" s="3">
        <v>16.0</v>
      </c>
      <c r="L2009" s="3" t="s">
        <v>38</v>
      </c>
    </row>
    <row r="2010" ht="15.75" customHeight="1">
      <c r="A2010" s="3" t="s">
        <v>2088</v>
      </c>
      <c r="B2010" s="3" t="s">
        <v>25</v>
      </c>
      <c r="C2010" s="3" t="s">
        <v>33</v>
      </c>
      <c r="D2010" s="3">
        <v>71098.2927503581</v>
      </c>
      <c r="E2010" s="3">
        <v>23723.0651203943</v>
      </c>
      <c r="F2010" s="3">
        <v>16368.3835225802</v>
      </c>
      <c r="G2010" s="3">
        <v>14075.2132914609</v>
      </c>
      <c r="H2010" s="3">
        <v>-13544.3776412187</v>
      </c>
      <c r="I2010" s="3">
        <v>70088.6438726294</v>
      </c>
      <c r="J2010" s="4">
        <v>45931.0</v>
      </c>
      <c r="K2010" s="3">
        <v>14.0</v>
      </c>
      <c r="L2010" s="3" t="s">
        <v>40</v>
      </c>
    </row>
    <row r="2011" ht="15.75" customHeight="1">
      <c r="A2011" s="3" t="s">
        <v>2089</v>
      </c>
      <c r="B2011" s="3" t="s">
        <v>53</v>
      </c>
      <c r="C2011" s="3" t="s">
        <v>33</v>
      </c>
      <c r="D2011" s="3">
        <v>71120.0586901704</v>
      </c>
      <c r="E2011" s="3">
        <v>23732.2945570491</v>
      </c>
      <c r="F2011" s="3">
        <v>16383.7435294392</v>
      </c>
      <c r="G2011" s="3">
        <v>14082.0083928355</v>
      </c>
      <c r="H2011" s="3">
        <v>-13643.3850767167</v>
      </c>
      <c r="I2011" s="3">
        <v>70095.406821469</v>
      </c>
      <c r="J2011" s="4">
        <v>45748.0</v>
      </c>
      <c r="K2011" s="3">
        <v>1.0</v>
      </c>
      <c r="L2011" s="3" t="s">
        <v>15</v>
      </c>
    </row>
    <row r="2012" ht="15.75" customHeight="1">
      <c r="A2012" s="3" t="s">
        <v>2090</v>
      </c>
      <c r="B2012" s="3" t="s">
        <v>13</v>
      </c>
      <c r="C2012" s="3" t="s">
        <v>54</v>
      </c>
      <c r="D2012" s="3">
        <v>71130.9416600766</v>
      </c>
      <c r="E2012" s="3">
        <v>23736.9092753765</v>
      </c>
      <c r="F2012" s="3">
        <v>16391.4235328687</v>
      </c>
      <c r="G2012" s="3">
        <v>14085.4059435228</v>
      </c>
      <c r="H2012" s="3">
        <v>-13692.8887944667</v>
      </c>
      <c r="I2012" s="3">
        <v>70098.7882958888</v>
      </c>
      <c r="J2012" s="4">
        <v>45778.0</v>
      </c>
      <c r="K2012" s="3">
        <v>6.0</v>
      </c>
      <c r="L2012" s="3" t="s">
        <v>19</v>
      </c>
    </row>
    <row r="2013" ht="15.75" customHeight="1">
      <c r="A2013" s="3" t="s">
        <v>2091</v>
      </c>
      <c r="B2013" s="3" t="s">
        <v>25</v>
      </c>
      <c r="C2013" s="3" t="s">
        <v>54</v>
      </c>
      <c r="D2013" s="3">
        <v>71141.8246299828</v>
      </c>
      <c r="E2013" s="3">
        <v>23741.5239937039</v>
      </c>
      <c r="F2013" s="3">
        <v>16399.1035362982</v>
      </c>
      <c r="G2013" s="3">
        <v>14088.8034942101</v>
      </c>
      <c r="H2013" s="3">
        <v>-13742.3925122157</v>
      </c>
      <c r="I2013" s="3">
        <v>70102.1697703086</v>
      </c>
      <c r="J2013" s="4">
        <v>45778.0</v>
      </c>
      <c r="K2013" s="3">
        <v>5.0</v>
      </c>
      <c r="L2013" s="3" t="s">
        <v>21</v>
      </c>
    </row>
    <row r="2014" ht="15.75" customHeight="1">
      <c r="A2014" s="3" t="s">
        <v>2092</v>
      </c>
      <c r="B2014" s="3" t="s">
        <v>17</v>
      </c>
      <c r="C2014" s="3" t="s">
        <v>26</v>
      </c>
      <c r="D2014" s="3">
        <v>71152.707599889</v>
      </c>
      <c r="E2014" s="3">
        <v>23746.1387120314</v>
      </c>
      <c r="F2014" s="3">
        <v>16406.7835397277</v>
      </c>
      <c r="G2014" s="3">
        <v>14092.2010448974</v>
      </c>
      <c r="H2014" s="3">
        <v>-13791.8962299647</v>
      </c>
      <c r="I2014" s="3">
        <v>70105.5512447284</v>
      </c>
      <c r="J2014" s="4">
        <v>45870.0</v>
      </c>
      <c r="K2014" s="3">
        <v>23.0</v>
      </c>
      <c r="L2014" s="3" t="s">
        <v>23</v>
      </c>
    </row>
    <row r="2015" ht="15.75" customHeight="1">
      <c r="A2015" s="3" t="s">
        <v>2093</v>
      </c>
      <c r="B2015" s="3" t="s">
        <v>36</v>
      </c>
      <c r="C2015" s="3" t="s">
        <v>37</v>
      </c>
      <c r="D2015" s="3">
        <v>71163.5905697952</v>
      </c>
      <c r="E2015" s="3">
        <v>23750.7534303588</v>
      </c>
      <c r="F2015" s="3">
        <v>16414.4635431572</v>
      </c>
      <c r="G2015" s="3">
        <v>14095.5985955847</v>
      </c>
      <c r="H2015" s="3">
        <v>-13841.3999477137</v>
      </c>
      <c r="I2015" s="3">
        <v>70108.9327191483</v>
      </c>
      <c r="J2015" s="4">
        <v>45658.0</v>
      </c>
      <c r="K2015" s="3">
        <v>21.0</v>
      </c>
      <c r="L2015" s="3" t="s">
        <v>27</v>
      </c>
    </row>
    <row r="2016" ht="15.75" customHeight="1">
      <c r="A2016" s="3" t="s">
        <v>2094</v>
      </c>
      <c r="B2016" s="3" t="s">
        <v>29</v>
      </c>
      <c r="C2016" s="3" t="s">
        <v>14</v>
      </c>
      <c r="D2016" s="3">
        <v>71174.4735397014</v>
      </c>
      <c r="E2016" s="3">
        <v>23755.3681486862</v>
      </c>
      <c r="F2016" s="3">
        <v>16422.1435465867</v>
      </c>
      <c r="G2016" s="3">
        <v>14098.9961462719</v>
      </c>
      <c r="H2016" s="3">
        <v>-13890.9036654627</v>
      </c>
      <c r="I2016" s="3">
        <v>70112.3141935681</v>
      </c>
      <c r="J2016" s="4">
        <v>45748.0</v>
      </c>
      <c r="K2016" s="3">
        <v>21.0</v>
      </c>
      <c r="L2016" s="3" t="s">
        <v>31</v>
      </c>
    </row>
    <row r="2017" ht="15.75" customHeight="1">
      <c r="A2017" s="3" t="s">
        <v>2095</v>
      </c>
      <c r="B2017" s="3" t="s">
        <v>51</v>
      </c>
      <c r="C2017" s="3" t="s">
        <v>33</v>
      </c>
      <c r="D2017" s="3">
        <v>71196.2394795138</v>
      </c>
      <c r="E2017" s="3">
        <v>23764.5975853411</v>
      </c>
      <c r="F2017" s="3">
        <v>16437.5035534457</v>
      </c>
      <c r="G2017" s="3">
        <v>14105.7912476465</v>
      </c>
      <c r="H2017" s="3">
        <v>-13989.9111009607</v>
      </c>
      <c r="I2017" s="3">
        <v>70119.0771424077</v>
      </c>
      <c r="J2017" s="4">
        <v>45931.0</v>
      </c>
      <c r="K2017" s="3">
        <v>3.0</v>
      </c>
      <c r="L2017" s="3" t="s">
        <v>38</v>
      </c>
    </row>
    <row r="2018" ht="15.75" customHeight="1">
      <c r="A2018" s="3" t="s">
        <v>2096</v>
      </c>
      <c r="B2018" s="3" t="s">
        <v>17</v>
      </c>
      <c r="C2018" s="3" t="s">
        <v>18</v>
      </c>
      <c r="D2018" s="3">
        <v>71207.12244942</v>
      </c>
      <c r="E2018" s="3">
        <v>23769.2123036685</v>
      </c>
      <c r="F2018" s="3">
        <v>16445.1835568752</v>
      </c>
      <c r="G2018" s="3">
        <v>14109.1887983338</v>
      </c>
      <c r="H2018" s="3">
        <v>-14039.4148187097</v>
      </c>
      <c r="I2018" s="3">
        <v>70122.4586168275</v>
      </c>
      <c r="J2018" s="4">
        <v>45778.0</v>
      </c>
      <c r="K2018" s="3">
        <v>8.0</v>
      </c>
      <c r="L2018" s="3" t="s">
        <v>40</v>
      </c>
    </row>
    <row r="2019" ht="15.75" customHeight="1">
      <c r="A2019" s="3" t="s">
        <v>2097</v>
      </c>
      <c r="B2019" s="3" t="s">
        <v>25</v>
      </c>
      <c r="C2019" s="3" t="s">
        <v>26</v>
      </c>
      <c r="D2019" s="3">
        <v>71218.0054193262</v>
      </c>
      <c r="E2019" s="3">
        <v>23773.8270219959</v>
      </c>
      <c r="F2019" s="3">
        <v>16452.8635603047</v>
      </c>
      <c r="G2019" s="3">
        <v>14112.5863490211</v>
      </c>
      <c r="H2019" s="3">
        <v>-14088.9185364597</v>
      </c>
      <c r="I2019" s="3">
        <v>70125.8400912473</v>
      </c>
      <c r="J2019" s="4">
        <v>45962.0</v>
      </c>
      <c r="K2019" s="3">
        <v>11.0</v>
      </c>
      <c r="L2019" s="3" t="s">
        <v>42</v>
      </c>
    </row>
    <row r="2020" ht="15.75" customHeight="1">
      <c r="A2020" s="3" t="s">
        <v>2098</v>
      </c>
      <c r="B2020" s="3" t="s">
        <v>36</v>
      </c>
      <c r="C2020" s="3" t="s">
        <v>33</v>
      </c>
      <c r="D2020" s="3">
        <v>71228.8883892324</v>
      </c>
      <c r="E2020" s="3">
        <v>23778.4417403233</v>
      </c>
      <c r="F2020" s="3">
        <v>16460.5435637342</v>
      </c>
      <c r="G2020" s="3">
        <v>14115.9838997084</v>
      </c>
      <c r="H2020" s="3">
        <v>-14138.4222542087</v>
      </c>
      <c r="I2020" s="3">
        <v>70129.2215656671</v>
      </c>
      <c r="J2020" s="4">
        <v>45809.0</v>
      </c>
      <c r="K2020" s="3">
        <v>17.0</v>
      </c>
      <c r="L2020" s="3" t="s">
        <v>15</v>
      </c>
    </row>
    <row r="2021" ht="15.75" customHeight="1">
      <c r="A2021" s="3" t="s">
        <v>2099</v>
      </c>
      <c r="B2021" s="3" t="s">
        <v>36</v>
      </c>
      <c r="C2021" s="3" t="s">
        <v>14</v>
      </c>
      <c r="D2021" s="3">
        <v>71239.7713591386</v>
      </c>
      <c r="E2021" s="3">
        <v>23783.0564586507</v>
      </c>
      <c r="F2021" s="3">
        <v>16468.2235671637</v>
      </c>
      <c r="G2021" s="3">
        <v>14119.3814503957</v>
      </c>
      <c r="H2021" s="3">
        <v>-14187.9259719577</v>
      </c>
      <c r="I2021" s="3">
        <v>70132.6030400869</v>
      </c>
      <c r="J2021" s="4">
        <v>45689.0</v>
      </c>
      <c r="K2021" s="3">
        <v>21.0</v>
      </c>
      <c r="L2021" s="3" t="s">
        <v>19</v>
      </c>
    </row>
    <row r="2022" ht="15.75" customHeight="1">
      <c r="A2022" s="3" t="s">
        <v>2100</v>
      </c>
      <c r="B2022" s="3" t="s">
        <v>17</v>
      </c>
      <c r="C2022" s="3" t="s">
        <v>26</v>
      </c>
      <c r="D2022" s="3">
        <v>71250.6543290448</v>
      </c>
      <c r="E2022" s="3">
        <v>23787.6711769782</v>
      </c>
      <c r="F2022" s="3">
        <v>16475.9035705932</v>
      </c>
      <c r="G2022" s="3">
        <v>14122.779001083</v>
      </c>
      <c r="H2022" s="3">
        <v>-14237.4296897067</v>
      </c>
      <c r="I2022" s="3">
        <v>70135.9845145068</v>
      </c>
      <c r="J2022" s="4">
        <v>45689.0</v>
      </c>
      <c r="K2022" s="3">
        <v>6.0</v>
      </c>
      <c r="L2022" s="3" t="s">
        <v>21</v>
      </c>
    </row>
    <row r="2023" ht="15.75" customHeight="1">
      <c r="A2023" s="3" t="s">
        <v>2101</v>
      </c>
      <c r="B2023" s="3" t="s">
        <v>29</v>
      </c>
      <c r="C2023" s="3" t="s">
        <v>54</v>
      </c>
      <c r="D2023" s="3">
        <v>71261.537298951</v>
      </c>
      <c r="E2023" s="3">
        <v>23792.2858953056</v>
      </c>
      <c r="F2023" s="3">
        <v>16483.5835740227</v>
      </c>
      <c r="G2023" s="3">
        <v>14126.1765517702</v>
      </c>
      <c r="H2023" s="3">
        <v>-14286.9334074557</v>
      </c>
      <c r="I2023" s="3">
        <v>70139.3659889266</v>
      </c>
      <c r="J2023" s="4">
        <v>45870.0</v>
      </c>
      <c r="K2023" s="3">
        <v>19.0</v>
      </c>
      <c r="L2023" s="3" t="s">
        <v>23</v>
      </c>
    </row>
    <row r="2024" ht="15.75" customHeight="1">
      <c r="A2024" s="3" t="s">
        <v>2102</v>
      </c>
      <c r="B2024" s="3" t="s">
        <v>51</v>
      </c>
      <c r="C2024" s="3" t="s">
        <v>30</v>
      </c>
      <c r="D2024" s="3">
        <v>71272.4202688572</v>
      </c>
      <c r="E2024" s="3">
        <v>23796.900613633</v>
      </c>
      <c r="F2024" s="3">
        <v>16491.2635774521</v>
      </c>
      <c r="G2024" s="3">
        <v>14129.5741024575</v>
      </c>
      <c r="H2024" s="3">
        <v>-14336.4371252047</v>
      </c>
      <c r="I2024" s="3">
        <v>70142.7474633464</v>
      </c>
      <c r="J2024" s="4">
        <v>45717.0</v>
      </c>
      <c r="K2024" s="3">
        <v>12.0</v>
      </c>
      <c r="L2024" s="3" t="s">
        <v>27</v>
      </c>
    </row>
    <row r="2025" ht="15.75" customHeight="1">
      <c r="A2025" s="3" t="s">
        <v>2103</v>
      </c>
      <c r="B2025" s="3" t="s">
        <v>29</v>
      </c>
      <c r="C2025" s="3" t="s">
        <v>54</v>
      </c>
      <c r="D2025" s="3">
        <v>71283.3032387633</v>
      </c>
      <c r="E2025" s="3">
        <v>23801.5153319604</v>
      </c>
      <c r="F2025" s="3">
        <v>16498.9435808816</v>
      </c>
      <c r="G2025" s="3">
        <v>14132.9716531448</v>
      </c>
      <c r="H2025" s="3">
        <v>-14385.9408429537</v>
      </c>
      <c r="I2025" s="3">
        <v>70146.1289377662</v>
      </c>
      <c r="J2025" s="4">
        <v>45748.0</v>
      </c>
      <c r="K2025" s="3">
        <v>9.0</v>
      </c>
      <c r="L2025" s="3" t="s">
        <v>31</v>
      </c>
    </row>
    <row r="2026" ht="15.75" customHeight="1">
      <c r="A2026" s="3" t="s">
        <v>2104</v>
      </c>
      <c r="B2026" s="3" t="s">
        <v>17</v>
      </c>
      <c r="C2026" s="3" t="s">
        <v>14</v>
      </c>
      <c r="D2026" s="3">
        <v>71294.1862086695</v>
      </c>
      <c r="E2026" s="3">
        <v>23806.1300502879</v>
      </c>
      <c r="F2026" s="3">
        <v>16506.6235843111</v>
      </c>
      <c r="G2026" s="3">
        <v>14136.3692038321</v>
      </c>
      <c r="H2026" s="3">
        <v>-14435.4445607027</v>
      </c>
      <c r="I2026" s="3">
        <v>70149.510412186</v>
      </c>
      <c r="J2026" s="4">
        <v>45992.0</v>
      </c>
      <c r="K2026" s="3">
        <v>12.0</v>
      </c>
      <c r="L2026" s="3" t="s">
        <v>34</v>
      </c>
    </row>
    <row r="2027" ht="15.75" customHeight="1">
      <c r="A2027" s="3" t="s">
        <v>2105</v>
      </c>
      <c r="B2027" s="3" t="s">
        <v>51</v>
      </c>
      <c r="C2027" s="3" t="s">
        <v>14</v>
      </c>
      <c r="D2027" s="3">
        <v>71315.9521484819</v>
      </c>
      <c r="E2027" s="3">
        <v>23815.3594869427</v>
      </c>
      <c r="F2027" s="3">
        <v>16521.9835911701</v>
      </c>
      <c r="G2027" s="3">
        <v>14143.1643052067</v>
      </c>
      <c r="H2027" s="3">
        <v>-14534.4519962017</v>
      </c>
      <c r="I2027" s="3">
        <v>70156.2733610257</v>
      </c>
      <c r="J2027" s="4">
        <v>45748.0</v>
      </c>
      <c r="K2027" s="3">
        <v>1.0</v>
      </c>
      <c r="L2027" s="3" t="s">
        <v>40</v>
      </c>
    </row>
    <row r="2028" ht="15.75" customHeight="1">
      <c r="A2028" s="3" t="s">
        <v>2106</v>
      </c>
      <c r="B2028" s="3" t="s">
        <v>51</v>
      </c>
      <c r="C2028" s="3" t="s">
        <v>30</v>
      </c>
      <c r="D2028" s="3">
        <v>71326.8351183881</v>
      </c>
      <c r="E2028" s="3">
        <v>23819.9742052701</v>
      </c>
      <c r="F2028" s="3">
        <v>16529.6635945996</v>
      </c>
      <c r="G2028" s="3">
        <v>14146.561855894</v>
      </c>
      <c r="H2028" s="3">
        <v>-14583.9557139507</v>
      </c>
      <c r="I2028" s="3">
        <v>70159.6548354455</v>
      </c>
      <c r="J2028" s="4">
        <v>45962.0</v>
      </c>
      <c r="K2028" s="3">
        <v>10.0</v>
      </c>
      <c r="L2028" s="3" t="s">
        <v>42</v>
      </c>
    </row>
    <row r="2029" ht="15.75" customHeight="1">
      <c r="A2029" s="3" t="s">
        <v>2107</v>
      </c>
      <c r="B2029" s="3" t="s">
        <v>36</v>
      </c>
      <c r="C2029" s="3" t="s">
        <v>30</v>
      </c>
      <c r="D2029" s="3">
        <v>71337.7180882943</v>
      </c>
      <c r="E2029" s="3">
        <v>23824.5889235975</v>
      </c>
      <c r="F2029" s="3">
        <v>16537.3435980291</v>
      </c>
      <c r="G2029" s="3">
        <v>14149.9594065812</v>
      </c>
      <c r="H2029" s="3">
        <v>-14633.4594316997</v>
      </c>
      <c r="I2029" s="3">
        <v>70163.0363098653</v>
      </c>
      <c r="J2029" s="4">
        <v>45870.0</v>
      </c>
      <c r="K2029" s="3">
        <v>21.0</v>
      </c>
      <c r="L2029" s="3" t="s">
        <v>15</v>
      </c>
    </row>
    <row r="2030" ht="15.75" customHeight="1">
      <c r="A2030" s="3" t="s">
        <v>2108</v>
      </c>
      <c r="B2030" s="3" t="s">
        <v>13</v>
      </c>
      <c r="C2030" s="3" t="s">
        <v>54</v>
      </c>
      <c r="D2030" s="3">
        <v>71348.6010582005</v>
      </c>
      <c r="E2030" s="3">
        <v>23829.203641925</v>
      </c>
      <c r="F2030" s="3">
        <v>16545.0236014586</v>
      </c>
      <c r="G2030" s="3">
        <v>14153.3569572685</v>
      </c>
      <c r="H2030" s="3">
        <v>-14682.9631494487</v>
      </c>
      <c r="I2030" s="3">
        <v>70166.4177842851</v>
      </c>
      <c r="J2030" s="4">
        <v>45748.0</v>
      </c>
      <c r="K2030" s="3">
        <v>11.0</v>
      </c>
      <c r="L2030" s="3" t="s">
        <v>19</v>
      </c>
    </row>
    <row r="2031" ht="15.75" customHeight="1">
      <c r="A2031" s="3" t="s">
        <v>2109</v>
      </c>
      <c r="B2031" s="3" t="s">
        <v>17</v>
      </c>
      <c r="C2031" s="3" t="s">
        <v>26</v>
      </c>
      <c r="D2031" s="3">
        <v>71370.3669980129</v>
      </c>
      <c r="E2031" s="3">
        <v>23838.4330785798</v>
      </c>
      <c r="F2031" s="3">
        <v>16560.3836083176</v>
      </c>
      <c r="G2031" s="3">
        <v>14160.1520586431</v>
      </c>
      <c r="H2031" s="3">
        <v>-14781.9705849467</v>
      </c>
      <c r="I2031" s="3">
        <v>70173.1807331247</v>
      </c>
      <c r="J2031" s="4">
        <v>45931.0</v>
      </c>
      <c r="K2031" s="3">
        <v>2.0</v>
      </c>
      <c r="L2031" s="3" t="s">
        <v>23</v>
      </c>
    </row>
    <row r="2032" ht="15.75" customHeight="1">
      <c r="A2032" s="3" t="s">
        <v>2110</v>
      </c>
      <c r="B2032" s="3" t="s">
        <v>53</v>
      </c>
      <c r="C2032" s="3" t="s">
        <v>30</v>
      </c>
      <c r="D2032" s="3">
        <v>71381.2499679191</v>
      </c>
      <c r="E2032" s="3">
        <v>23843.0477969072</v>
      </c>
      <c r="F2032" s="3">
        <v>16568.0636117471</v>
      </c>
      <c r="G2032" s="3">
        <v>14163.5496093304</v>
      </c>
      <c r="H2032" s="3">
        <v>-14831.4743026967</v>
      </c>
      <c r="I2032" s="3">
        <v>70176.5622075445</v>
      </c>
      <c r="J2032" s="4">
        <v>45689.0</v>
      </c>
      <c r="K2032" s="3">
        <v>5.0</v>
      </c>
      <c r="L2032" s="3" t="s">
        <v>27</v>
      </c>
    </row>
    <row r="2033" ht="15.75" customHeight="1">
      <c r="A2033" s="3" t="s">
        <v>2111</v>
      </c>
      <c r="B2033" s="3" t="s">
        <v>51</v>
      </c>
      <c r="C2033" s="3" t="s">
        <v>14</v>
      </c>
      <c r="D2033" s="3">
        <v>71403.0159077315</v>
      </c>
      <c r="E2033" s="3">
        <v>23852.2772335621</v>
      </c>
      <c r="F2033" s="3">
        <v>16583.4236186061</v>
      </c>
      <c r="G2033" s="3">
        <v>14170.344710705</v>
      </c>
      <c r="H2033" s="3">
        <v>-14930.4817381947</v>
      </c>
      <c r="I2033" s="3">
        <v>70183.3251563842</v>
      </c>
      <c r="J2033" s="4">
        <v>45689.0</v>
      </c>
      <c r="K2033" s="3">
        <v>15.0</v>
      </c>
      <c r="L2033" s="3" t="s">
        <v>34</v>
      </c>
    </row>
    <row r="2034" ht="15.75" customHeight="1">
      <c r="A2034" s="3" t="s">
        <v>2112</v>
      </c>
      <c r="B2034" s="3" t="s">
        <v>17</v>
      </c>
      <c r="C2034" s="3" t="s">
        <v>54</v>
      </c>
      <c r="D2034" s="3">
        <v>71413.8988776377</v>
      </c>
      <c r="E2034" s="3">
        <v>23856.8919518895</v>
      </c>
      <c r="F2034" s="3">
        <v>16591.1036220356</v>
      </c>
      <c r="G2034" s="3">
        <v>14173.7422613923</v>
      </c>
      <c r="H2034" s="3">
        <v>-14979.9854559437</v>
      </c>
      <c r="I2034" s="3">
        <v>70186.706630804</v>
      </c>
      <c r="J2034" s="4">
        <v>45809.0</v>
      </c>
      <c r="K2034" s="3">
        <v>6.0</v>
      </c>
      <c r="L2034" s="3" t="s">
        <v>38</v>
      </c>
    </row>
    <row r="2035" ht="15.75" customHeight="1">
      <c r="A2035" s="3" t="s">
        <v>2113</v>
      </c>
      <c r="B2035" s="3" t="s">
        <v>25</v>
      </c>
      <c r="C2035" s="3" t="s">
        <v>54</v>
      </c>
      <c r="D2035" s="3">
        <v>71435.6648174501</v>
      </c>
      <c r="E2035" s="3">
        <v>23866.1213885443</v>
      </c>
      <c r="F2035" s="3">
        <v>16606.4636288946</v>
      </c>
      <c r="G2035" s="3">
        <v>14180.5373627668</v>
      </c>
      <c r="H2035" s="3">
        <v>-15078.9928914417</v>
      </c>
      <c r="I2035" s="3">
        <v>70193.4695796436</v>
      </c>
      <c r="J2035" s="4">
        <v>45778.0</v>
      </c>
      <c r="K2035" s="3">
        <v>21.0</v>
      </c>
      <c r="L2035" s="3" t="s">
        <v>42</v>
      </c>
    </row>
    <row r="2036" ht="15.75" customHeight="1">
      <c r="A2036" s="3" t="s">
        <v>2114</v>
      </c>
      <c r="B2036" s="3" t="s">
        <v>51</v>
      </c>
      <c r="C2036" s="3" t="s">
        <v>54</v>
      </c>
      <c r="D2036" s="3">
        <v>71446.5477873563</v>
      </c>
      <c r="E2036" s="3">
        <v>23870.7361068718</v>
      </c>
      <c r="F2036" s="3">
        <v>16614.1436323241</v>
      </c>
      <c r="G2036" s="3">
        <v>14183.9349134541</v>
      </c>
      <c r="H2036" s="3">
        <v>-15128.4966091907</v>
      </c>
      <c r="I2036" s="3">
        <v>70196.8510540634</v>
      </c>
      <c r="J2036" s="4">
        <v>45809.0</v>
      </c>
      <c r="K2036" s="3">
        <v>1.0</v>
      </c>
      <c r="L2036" s="3" t="s">
        <v>15</v>
      </c>
    </row>
    <row r="2037" ht="15.75" customHeight="1">
      <c r="A2037" s="3" t="s">
        <v>2115</v>
      </c>
      <c r="B2037" s="3" t="s">
        <v>53</v>
      </c>
      <c r="C2037" s="3" t="s">
        <v>37</v>
      </c>
      <c r="D2037" s="3">
        <v>71457.4307572624</v>
      </c>
      <c r="E2037" s="3">
        <v>23875.3508251992</v>
      </c>
      <c r="F2037" s="3">
        <v>16621.8236357536</v>
      </c>
      <c r="G2037" s="3">
        <v>14187.3324641414</v>
      </c>
      <c r="H2037" s="3">
        <v>-15178.0003269397</v>
      </c>
      <c r="I2037" s="3">
        <v>70200.2325284832</v>
      </c>
      <c r="J2037" s="4">
        <v>45901.0</v>
      </c>
      <c r="K2037" s="3">
        <v>17.0</v>
      </c>
      <c r="L2037" s="3" t="s">
        <v>19</v>
      </c>
    </row>
    <row r="2038" ht="15.75" customHeight="1">
      <c r="A2038" s="3" t="s">
        <v>2116</v>
      </c>
      <c r="B2038" s="3" t="s">
        <v>13</v>
      </c>
      <c r="C2038" s="3" t="s">
        <v>26</v>
      </c>
      <c r="D2038" s="3">
        <v>71468.3137271686</v>
      </c>
      <c r="E2038" s="3">
        <v>23879.9655435266</v>
      </c>
      <c r="F2038" s="3">
        <v>16629.5036391831</v>
      </c>
      <c r="G2038" s="3">
        <v>14190.7300148287</v>
      </c>
      <c r="H2038" s="3">
        <v>-15227.5040446897</v>
      </c>
      <c r="I2038" s="3">
        <v>70203.6140029031</v>
      </c>
      <c r="J2038" s="4">
        <v>45901.0</v>
      </c>
      <c r="K2038" s="3">
        <v>9.0</v>
      </c>
      <c r="L2038" s="3" t="s">
        <v>21</v>
      </c>
    </row>
    <row r="2039" ht="15.75" customHeight="1">
      <c r="A2039" s="3" t="s">
        <v>2117</v>
      </c>
      <c r="B2039" s="5"/>
      <c r="C2039" s="3" t="s">
        <v>37</v>
      </c>
      <c r="D2039" s="3">
        <v>71479.1966970748</v>
      </c>
      <c r="E2039" s="3">
        <v>23884.580261854</v>
      </c>
      <c r="F2039" s="3">
        <v>16637.1836426126</v>
      </c>
      <c r="G2039" s="3">
        <v>14194.127565516</v>
      </c>
      <c r="H2039" s="3">
        <v>-15277.0077624387</v>
      </c>
      <c r="I2039" s="3">
        <v>70206.9954773229</v>
      </c>
      <c r="J2039" s="4">
        <v>45717.0</v>
      </c>
      <c r="K2039" s="3">
        <v>17.0</v>
      </c>
      <c r="L2039" s="3" t="s">
        <v>23</v>
      </c>
    </row>
    <row r="2040" ht="15.75" customHeight="1">
      <c r="A2040" s="3" t="s">
        <v>2118</v>
      </c>
      <c r="B2040" s="3" t="s">
        <v>29</v>
      </c>
      <c r="C2040" s="3" t="s">
        <v>37</v>
      </c>
      <c r="D2040" s="3">
        <v>71490.079666981</v>
      </c>
      <c r="E2040" s="3">
        <v>23889.1949801814</v>
      </c>
      <c r="F2040" s="3">
        <v>16644.8636460421</v>
      </c>
      <c r="G2040" s="3">
        <v>14197.5251162033</v>
      </c>
      <c r="H2040" s="3">
        <v>-15326.5114801877</v>
      </c>
      <c r="I2040" s="3">
        <v>70210.3769517427</v>
      </c>
      <c r="J2040" s="4">
        <v>45992.0</v>
      </c>
      <c r="K2040" s="3">
        <v>25.0</v>
      </c>
      <c r="L2040" s="3" t="s">
        <v>27</v>
      </c>
    </row>
    <row r="2041" ht="15.75" customHeight="1">
      <c r="A2041" s="3" t="s">
        <v>2119</v>
      </c>
      <c r="B2041" s="3" t="s">
        <v>17</v>
      </c>
      <c r="C2041" s="3" t="s">
        <v>33</v>
      </c>
      <c r="D2041" s="3">
        <v>71511.8456067934</v>
      </c>
      <c r="E2041" s="3">
        <v>23898.4244168363</v>
      </c>
      <c r="F2041" s="3">
        <v>16660.2236529011</v>
      </c>
      <c r="G2041" s="5"/>
      <c r="H2041" s="3">
        <v>-15425.5189156857</v>
      </c>
      <c r="I2041" s="3">
        <v>70217.1399005823</v>
      </c>
      <c r="J2041" s="4">
        <v>45962.0</v>
      </c>
      <c r="K2041" s="3">
        <v>1.0</v>
      </c>
      <c r="L2041" s="3" t="s">
        <v>34</v>
      </c>
    </row>
    <row r="2042" ht="15.75" customHeight="1">
      <c r="A2042" s="3" t="s">
        <v>2120</v>
      </c>
      <c r="B2042" s="3" t="s">
        <v>36</v>
      </c>
      <c r="C2042" s="3" t="s">
        <v>14</v>
      </c>
      <c r="D2042" s="3">
        <v>71522.7285766996</v>
      </c>
      <c r="E2042" s="3">
        <v>23903.0391351637</v>
      </c>
      <c r="F2042" s="3">
        <v>16667.9036563306</v>
      </c>
      <c r="G2042" s="3">
        <v>14207.7177682651</v>
      </c>
      <c r="H2042" s="3">
        <v>-15475.0226334347</v>
      </c>
      <c r="I2042" s="3">
        <v>70220.5213750021</v>
      </c>
      <c r="J2042" s="4">
        <v>45717.0</v>
      </c>
      <c r="K2042" s="3">
        <v>21.0</v>
      </c>
      <c r="L2042" s="3" t="s">
        <v>38</v>
      </c>
    </row>
    <row r="2043" ht="15.75" customHeight="1">
      <c r="A2043" s="3" t="s">
        <v>2121</v>
      </c>
      <c r="B2043" s="3" t="s">
        <v>29</v>
      </c>
      <c r="C2043" s="3" t="s">
        <v>37</v>
      </c>
      <c r="D2043" s="3">
        <v>71533.6115466058</v>
      </c>
      <c r="E2043" s="3">
        <v>23907.6538534911</v>
      </c>
      <c r="F2043" s="3">
        <v>16675.5836597601</v>
      </c>
      <c r="G2043" s="3">
        <v>14211.1153189524</v>
      </c>
      <c r="H2043" s="3">
        <v>-15524.5263511837</v>
      </c>
      <c r="I2043" s="3">
        <v>70223.9028494219</v>
      </c>
      <c r="J2043" s="4">
        <v>45658.0</v>
      </c>
      <c r="K2043" s="3">
        <v>4.0</v>
      </c>
      <c r="L2043" s="3" t="s">
        <v>40</v>
      </c>
    </row>
    <row r="2044" ht="15.75" customHeight="1">
      <c r="A2044" s="3" t="s">
        <v>2122</v>
      </c>
      <c r="B2044" s="3" t="s">
        <v>51</v>
      </c>
      <c r="C2044" s="3" t="s">
        <v>33</v>
      </c>
      <c r="D2044" s="3">
        <v>71544.494516512</v>
      </c>
      <c r="E2044" s="3">
        <v>23912.2685718186</v>
      </c>
      <c r="F2044" s="3">
        <v>16683.2636631896</v>
      </c>
      <c r="G2044" s="3">
        <v>14214.5128696397</v>
      </c>
      <c r="H2044" s="3">
        <v>-15574.0300689327</v>
      </c>
      <c r="I2044" s="3">
        <v>70227.2843238418</v>
      </c>
      <c r="J2044" s="4">
        <v>45992.0</v>
      </c>
      <c r="K2044" s="3">
        <v>22.0</v>
      </c>
      <c r="L2044" s="3" t="s">
        <v>42</v>
      </c>
    </row>
    <row r="2045" ht="15.75" customHeight="1">
      <c r="A2045" s="3" t="s">
        <v>2123</v>
      </c>
      <c r="B2045" s="3" t="s">
        <v>53</v>
      </c>
      <c r="C2045" s="3" t="s">
        <v>14</v>
      </c>
      <c r="D2045" s="3">
        <v>71566.2604563244</v>
      </c>
      <c r="E2045" s="3">
        <v>23921.4980084734</v>
      </c>
      <c r="F2045" s="3">
        <v>16698.6236700486</v>
      </c>
      <c r="G2045" s="3">
        <v>14221.3079710143</v>
      </c>
      <c r="H2045" s="3">
        <v>-15673.0375044317</v>
      </c>
      <c r="I2045" s="3">
        <v>70234.0472726814</v>
      </c>
      <c r="J2045" s="4">
        <v>45962.0</v>
      </c>
      <c r="K2045" s="3">
        <v>18.0</v>
      </c>
      <c r="L2045" s="3" t="s">
        <v>19</v>
      </c>
    </row>
    <row r="2046" ht="15.75" customHeight="1">
      <c r="A2046" s="3" t="s">
        <v>2124</v>
      </c>
      <c r="B2046" s="3" t="s">
        <v>17</v>
      </c>
      <c r="C2046" s="3" t="s">
        <v>18</v>
      </c>
      <c r="D2046" s="3">
        <v>71588.0263961368</v>
      </c>
      <c r="E2046" s="3">
        <v>23930.7274451282</v>
      </c>
      <c r="F2046" s="3">
        <v>16713.9836769076</v>
      </c>
      <c r="G2046" s="3">
        <v>14228.1030723888</v>
      </c>
      <c r="H2046" s="3">
        <v>-15772.0449399297</v>
      </c>
      <c r="I2046" s="3">
        <v>70240.810221521</v>
      </c>
      <c r="J2046" s="4">
        <v>45992.0</v>
      </c>
      <c r="K2046" s="3">
        <v>23.0</v>
      </c>
      <c r="L2046" s="3" t="s">
        <v>23</v>
      </c>
    </row>
    <row r="2047" ht="15.75" customHeight="1">
      <c r="A2047" s="3" t="s">
        <v>2125</v>
      </c>
      <c r="B2047" s="3" t="s">
        <v>25</v>
      </c>
      <c r="C2047" s="3" t="s">
        <v>18</v>
      </c>
      <c r="D2047" s="3">
        <v>71598.909366043</v>
      </c>
      <c r="E2047" s="3">
        <v>23935.3421634557</v>
      </c>
      <c r="F2047" s="3">
        <v>16721.6636803371</v>
      </c>
      <c r="G2047" s="3">
        <v>14231.5006230761</v>
      </c>
      <c r="H2047" s="3">
        <v>-15821.5486576787</v>
      </c>
      <c r="I2047" s="3">
        <v>70244.1916959408</v>
      </c>
      <c r="J2047" s="4">
        <v>45689.0</v>
      </c>
      <c r="K2047" s="3">
        <v>23.0</v>
      </c>
      <c r="L2047" s="3" t="s">
        <v>27</v>
      </c>
    </row>
    <row r="2048" ht="15.75" customHeight="1">
      <c r="A2048" s="3" t="s">
        <v>2126</v>
      </c>
      <c r="B2048" s="3" t="s">
        <v>17</v>
      </c>
      <c r="C2048" s="3" t="s">
        <v>33</v>
      </c>
      <c r="D2048" s="3">
        <v>71609.7923359491</v>
      </c>
      <c r="E2048" s="3">
        <v>23939.9568817831</v>
      </c>
      <c r="F2048" s="3">
        <v>16729.3436837666</v>
      </c>
      <c r="G2048" s="3">
        <v>14234.8981737634</v>
      </c>
      <c r="H2048" s="3">
        <v>-15871.0523754277</v>
      </c>
      <c r="I2048" s="3">
        <v>70247.5731703606</v>
      </c>
      <c r="J2048" s="4">
        <v>45962.0</v>
      </c>
      <c r="K2048" s="3">
        <v>13.0</v>
      </c>
      <c r="L2048" s="3" t="s">
        <v>31</v>
      </c>
    </row>
    <row r="2049" ht="15.75" customHeight="1">
      <c r="A2049" s="3" t="s">
        <v>2127</v>
      </c>
      <c r="B2049" s="3" t="s">
        <v>17</v>
      </c>
      <c r="C2049" s="3" t="s">
        <v>14</v>
      </c>
      <c r="D2049" s="3">
        <v>71620.6753058553</v>
      </c>
      <c r="E2049" s="3">
        <v>23944.5716001105</v>
      </c>
      <c r="F2049" s="3">
        <v>16737.0236871961</v>
      </c>
      <c r="G2049" s="3">
        <v>14238.2957244507</v>
      </c>
      <c r="H2049" s="3">
        <v>-15920.5560931767</v>
      </c>
      <c r="I2049" s="3">
        <v>70250.9546447805</v>
      </c>
      <c r="J2049" s="4">
        <v>45839.0</v>
      </c>
      <c r="K2049" s="3">
        <v>10.0</v>
      </c>
      <c r="L2049" s="3" t="s">
        <v>34</v>
      </c>
    </row>
    <row r="2050" ht="15.75" customHeight="1">
      <c r="A2050" s="3" t="s">
        <v>2128</v>
      </c>
      <c r="B2050" s="3" t="s">
        <v>51</v>
      </c>
      <c r="C2050" s="3" t="s">
        <v>26</v>
      </c>
      <c r="D2050" s="5"/>
      <c r="E2050" s="3">
        <v>23949.1863184379</v>
      </c>
      <c r="F2050" s="3">
        <v>16744.7036906256</v>
      </c>
      <c r="G2050" s="3">
        <v>14241.693275138</v>
      </c>
      <c r="H2050" s="3">
        <v>-15970.0598109257</v>
      </c>
      <c r="I2050" s="3">
        <v>70254.3361192003</v>
      </c>
      <c r="J2050" s="3" t="s">
        <v>61</v>
      </c>
      <c r="K2050" s="3">
        <v>7.0</v>
      </c>
      <c r="L2050" s="3" t="s">
        <v>38</v>
      </c>
    </row>
    <row r="2051" ht="15.75" customHeight="1">
      <c r="A2051" s="3" t="s">
        <v>2129</v>
      </c>
      <c r="B2051" s="3" t="s">
        <v>13</v>
      </c>
      <c r="C2051" s="3" t="s">
        <v>33</v>
      </c>
      <c r="D2051" s="3">
        <v>71642.4412456677</v>
      </c>
      <c r="E2051" s="3">
        <v>23953.8010367654</v>
      </c>
      <c r="F2051" s="3">
        <v>16752.3836940551</v>
      </c>
      <c r="G2051" s="3">
        <v>14245.0908258253</v>
      </c>
      <c r="H2051" s="3">
        <v>-16019.5635286757</v>
      </c>
      <c r="I2051" s="3">
        <v>70257.7175936201</v>
      </c>
      <c r="J2051" s="4">
        <v>45839.0</v>
      </c>
      <c r="K2051" s="3">
        <v>22.0</v>
      </c>
      <c r="L2051" s="3" t="s">
        <v>40</v>
      </c>
    </row>
    <row r="2052" ht="15.75" customHeight="1">
      <c r="A2052" s="3" t="s">
        <v>2130</v>
      </c>
      <c r="B2052" s="3" t="s">
        <v>13</v>
      </c>
      <c r="C2052" s="3" t="s">
        <v>18</v>
      </c>
      <c r="D2052" s="3">
        <v>71653.3242155739</v>
      </c>
      <c r="E2052" s="3">
        <v>23958.4157550928</v>
      </c>
      <c r="F2052" s="3">
        <v>16760.0636974846</v>
      </c>
      <c r="G2052" s="3">
        <v>14248.4883765126</v>
      </c>
      <c r="H2052" s="3">
        <v>-16069.0672464247</v>
      </c>
      <c r="I2052" s="3">
        <v>70261.0990680399</v>
      </c>
      <c r="J2052" s="4">
        <v>45809.0</v>
      </c>
      <c r="K2052" s="3">
        <v>24.0</v>
      </c>
      <c r="L2052" s="3" t="s">
        <v>42</v>
      </c>
    </row>
    <row r="2053" ht="15.75" customHeight="1">
      <c r="A2053" s="3" t="s">
        <v>2131</v>
      </c>
      <c r="B2053" s="3" t="s">
        <v>53</v>
      </c>
      <c r="C2053" s="3" t="s">
        <v>18</v>
      </c>
      <c r="D2053" s="3">
        <v>71664.2071854801</v>
      </c>
      <c r="E2053" s="3">
        <v>23963.0304734202</v>
      </c>
      <c r="F2053" s="3">
        <v>16767.743700914</v>
      </c>
      <c r="G2053" s="3">
        <v>14251.8859271999</v>
      </c>
      <c r="H2053" s="3">
        <v>-16118.5709641737</v>
      </c>
      <c r="I2053" s="3">
        <v>70264.4805424597</v>
      </c>
      <c r="J2053" s="4">
        <v>45962.0</v>
      </c>
      <c r="K2053" s="3">
        <v>13.0</v>
      </c>
      <c r="L2053" s="3" t="s">
        <v>15</v>
      </c>
    </row>
    <row r="2054" ht="15.75" customHeight="1">
      <c r="A2054" s="3" t="s">
        <v>2132</v>
      </c>
      <c r="B2054" s="3" t="s">
        <v>29</v>
      </c>
      <c r="C2054" s="3" t="s">
        <v>14</v>
      </c>
      <c r="D2054" s="3">
        <v>71675.0901553863</v>
      </c>
      <c r="E2054" s="3">
        <v>23967.6451917476</v>
      </c>
      <c r="F2054" s="3">
        <v>16775.4237043435</v>
      </c>
      <c r="G2054" s="3">
        <v>14255.2834778871</v>
      </c>
      <c r="H2054" s="3">
        <v>-16168.0746819227</v>
      </c>
      <c r="I2054" s="3">
        <v>70267.8620168795</v>
      </c>
      <c r="J2054" s="4">
        <v>45748.0</v>
      </c>
      <c r="K2054" s="3">
        <v>3.0</v>
      </c>
      <c r="L2054" s="3" t="s">
        <v>19</v>
      </c>
    </row>
    <row r="2055" ht="15.75" customHeight="1">
      <c r="A2055" s="3" t="s">
        <v>2133</v>
      </c>
      <c r="B2055" s="3" t="s">
        <v>36</v>
      </c>
      <c r="C2055" s="3" t="s">
        <v>18</v>
      </c>
      <c r="D2055" s="3">
        <v>71685.9731252925</v>
      </c>
      <c r="E2055" s="3">
        <v>23972.259910075</v>
      </c>
      <c r="F2055" s="3">
        <v>16783.103707773</v>
      </c>
      <c r="G2055" s="3">
        <v>14258.6810285744</v>
      </c>
      <c r="H2055" s="3">
        <v>-16217.5783996717</v>
      </c>
      <c r="I2055" s="3">
        <v>70271.2434912993</v>
      </c>
      <c r="J2055" s="4">
        <v>45870.0</v>
      </c>
      <c r="K2055" s="3">
        <v>22.0</v>
      </c>
      <c r="L2055" s="3" t="s">
        <v>21</v>
      </c>
    </row>
    <row r="2056" ht="15.75" customHeight="1">
      <c r="A2056" s="3" t="s">
        <v>2134</v>
      </c>
      <c r="B2056" s="3" t="s">
        <v>36</v>
      </c>
      <c r="C2056" s="3" t="s">
        <v>54</v>
      </c>
      <c r="D2056" s="3">
        <v>71696.8560951987</v>
      </c>
      <c r="E2056" s="3">
        <v>23976.8746284025</v>
      </c>
      <c r="F2056" s="3">
        <v>16790.7837112025</v>
      </c>
      <c r="G2056" s="3">
        <v>14262.0785792617</v>
      </c>
      <c r="H2056" s="3">
        <v>-16267.0821174207</v>
      </c>
      <c r="I2056" s="3">
        <v>70274.6249657192</v>
      </c>
      <c r="J2056" s="4">
        <v>45658.0</v>
      </c>
      <c r="K2056" s="3">
        <v>18.0</v>
      </c>
      <c r="L2056" s="3" t="s">
        <v>23</v>
      </c>
    </row>
    <row r="2057" ht="15.75" customHeight="1">
      <c r="A2057" s="3" t="s">
        <v>2135</v>
      </c>
      <c r="B2057" s="3" t="s">
        <v>36</v>
      </c>
      <c r="C2057" s="3" t="s">
        <v>33</v>
      </c>
      <c r="D2057" s="3">
        <v>71707.7390651049</v>
      </c>
      <c r="E2057" s="3">
        <v>23981.4893467299</v>
      </c>
      <c r="F2057" s="3">
        <v>16798.463714632</v>
      </c>
      <c r="G2057" s="5"/>
      <c r="H2057" s="3">
        <v>-16316.5858351697</v>
      </c>
      <c r="I2057" s="3">
        <v>70278.006440139</v>
      </c>
      <c r="J2057" s="4">
        <v>45748.0</v>
      </c>
      <c r="K2057" s="3">
        <v>20.0</v>
      </c>
      <c r="L2057" s="3" t="s">
        <v>27</v>
      </c>
    </row>
    <row r="2058" ht="15.75" customHeight="1">
      <c r="A2058" s="3" t="s">
        <v>2136</v>
      </c>
      <c r="B2058" s="3" t="s">
        <v>53</v>
      </c>
      <c r="C2058" s="3" t="s">
        <v>54</v>
      </c>
      <c r="D2058" s="3">
        <v>71718.6220350111</v>
      </c>
      <c r="E2058" s="3">
        <v>23986.1040650573</v>
      </c>
      <c r="F2058" s="3">
        <v>16806.1437180615</v>
      </c>
      <c r="G2058" s="3">
        <v>14268.8736806363</v>
      </c>
      <c r="H2058" s="3">
        <v>-16366.0895529187</v>
      </c>
      <c r="I2058" s="3">
        <v>70281.3879145588</v>
      </c>
      <c r="J2058" s="4">
        <v>45778.0</v>
      </c>
      <c r="K2058" s="3">
        <v>19.0</v>
      </c>
      <c r="L2058" s="3" t="s">
        <v>31</v>
      </c>
    </row>
    <row r="2059" ht="15.75" customHeight="1">
      <c r="A2059" s="3" t="s">
        <v>2137</v>
      </c>
      <c r="B2059" s="3" t="s">
        <v>51</v>
      </c>
      <c r="C2059" s="3" t="s">
        <v>18</v>
      </c>
      <c r="D2059" s="3">
        <v>71729.5050049173</v>
      </c>
      <c r="E2059" s="3">
        <v>23990.7187833847</v>
      </c>
      <c r="F2059" s="3">
        <v>16813.823721491</v>
      </c>
      <c r="G2059" s="3">
        <v>14272.2712313236</v>
      </c>
      <c r="H2059" s="3">
        <v>-16415.5932706687</v>
      </c>
      <c r="I2059" s="3">
        <v>70284.7693889786</v>
      </c>
      <c r="J2059" s="4">
        <v>45658.0</v>
      </c>
      <c r="K2059" s="3">
        <v>25.0</v>
      </c>
      <c r="L2059" s="3" t="s">
        <v>34</v>
      </c>
    </row>
    <row r="2060" ht="15.75" customHeight="1">
      <c r="A2060" s="3" t="s">
        <v>2138</v>
      </c>
      <c r="B2060" s="3" t="s">
        <v>53</v>
      </c>
      <c r="C2060" s="3" t="s">
        <v>14</v>
      </c>
      <c r="D2060" s="3">
        <v>71740.3879748235</v>
      </c>
      <c r="E2060" s="3">
        <v>23995.3335017122</v>
      </c>
      <c r="F2060" s="3">
        <v>16821.5037249205</v>
      </c>
      <c r="G2060" s="3">
        <v>14275.6687820109</v>
      </c>
      <c r="H2060" s="3">
        <v>-16465.0969884177</v>
      </c>
      <c r="I2060" s="3">
        <v>70288.1508633984</v>
      </c>
      <c r="J2060" s="4">
        <v>45748.0</v>
      </c>
      <c r="K2060" s="3">
        <v>24.0</v>
      </c>
      <c r="L2060" s="3" t="s">
        <v>38</v>
      </c>
    </row>
    <row r="2061" ht="15.75" customHeight="1">
      <c r="A2061" s="3" t="s">
        <v>2139</v>
      </c>
      <c r="B2061" s="3" t="s">
        <v>36</v>
      </c>
      <c r="C2061" s="3" t="s">
        <v>14</v>
      </c>
      <c r="D2061" s="3">
        <v>71751.2709447297</v>
      </c>
      <c r="E2061" s="3">
        <v>23999.9482200396</v>
      </c>
      <c r="F2061" s="3">
        <v>16829.18372835</v>
      </c>
      <c r="G2061" s="3">
        <v>14279.0663326982</v>
      </c>
      <c r="H2061" s="3">
        <v>-16514.6007061667</v>
      </c>
      <c r="I2061" s="3">
        <v>70291.5323378182</v>
      </c>
      <c r="J2061" s="4">
        <v>45748.0</v>
      </c>
      <c r="K2061" s="3">
        <v>20.0</v>
      </c>
      <c r="L2061" s="3" t="s">
        <v>40</v>
      </c>
    </row>
    <row r="2062" ht="15.75" customHeight="1">
      <c r="A2062" s="3" t="s">
        <v>2140</v>
      </c>
      <c r="B2062" s="3" t="s">
        <v>51</v>
      </c>
      <c r="C2062" s="3" t="s">
        <v>37</v>
      </c>
      <c r="D2062" s="3">
        <v>71762.1539146359</v>
      </c>
      <c r="E2062" s="3">
        <v>24004.562938367</v>
      </c>
      <c r="F2062" s="3">
        <v>16836.8637317795</v>
      </c>
      <c r="G2062" s="3">
        <v>14282.4638833854</v>
      </c>
      <c r="H2062" s="3">
        <v>-16564.1044239157</v>
      </c>
      <c r="I2062" s="3">
        <v>70294.913812238</v>
      </c>
      <c r="J2062" s="4">
        <v>45992.0</v>
      </c>
      <c r="K2062" s="3">
        <v>23.0</v>
      </c>
      <c r="L2062" s="3" t="s">
        <v>42</v>
      </c>
    </row>
    <row r="2063" ht="15.75" customHeight="1">
      <c r="A2063" s="3" t="s">
        <v>2141</v>
      </c>
      <c r="B2063" s="3" t="s">
        <v>13</v>
      </c>
      <c r="C2063" s="3" t="s">
        <v>54</v>
      </c>
      <c r="D2063" s="3">
        <v>71773.0368845421</v>
      </c>
      <c r="E2063" s="3">
        <v>24009.1776566944</v>
      </c>
      <c r="F2063" s="3">
        <v>16844.543735209</v>
      </c>
      <c r="G2063" s="3">
        <v>14285.8614340727</v>
      </c>
      <c r="H2063" s="3">
        <v>-16613.6081416647</v>
      </c>
      <c r="I2063" s="3">
        <v>70298.2952866579</v>
      </c>
      <c r="J2063" s="4">
        <v>45658.0</v>
      </c>
      <c r="K2063" s="3">
        <v>1.0</v>
      </c>
      <c r="L2063" s="3" t="s">
        <v>15</v>
      </c>
    </row>
    <row r="2064" ht="15.75" customHeight="1">
      <c r="A2064" s="3" t="s">
        <v>2142</v>
      </c>
      <c r="B2064" s="3" t="s">
        <v>13</v>
      </c>
      <c r="C2064" s="3" t="s">
        <v>18</v>
      </c>
      <c r="D2064" s="3">
        <v>71783.9198544482</v>
      </c>
      <c r="E2064" s="3">
        <v>24013.7923750219</v>
      </c>
      <c r="F2064" s="3">
        <v>16852.2237386385</v>
      </c>
      <c r="G2064" s="3">
        <v>14289.25898476</v>
      </c>
      <c r="H2064" s="3">
        <v>-16663.1118594137</v>
      </c>
      <c r="I2064" s="3">
        <v>70301.6767610777</v>
      </c>
      <c r="J2064" s="4">
        <v>45809.0</v>
      </c>
      <c r="K2064" s="3">
        <v>17.0</v>
      </c>
      <c r="L2064" s="3" t="s">
        <v>19</v>
      </c>
    </row>
    <row r="2065" ht="15.75" customHeight="1">
      <c r="A2065" s="3" t="s">
        <v>2143</v>
      </c>
      <c r="B2065" s="3" t="s">
        <v>13</v>
      </c>
      <c r="C2065" s="3" t="s">
        <v>37</v>
      </c>
      <c r="D2065" s="3">
        <v>71794.8028243544</v>
      </c>
      <c r="E2065" s="3">
        <v>24018.4070933493</v>
      </c>
      <c r="F2065" s="3">
        <v>16859.903742068</v>
      </c>
      <c r="G2065" s="3">
        <v>14292.6565354473</v>
      </c>
      <c r="H2065" s="3">
        <v>-16712.6155771627</v>
      </c>
      <c r="I2065" s="3">
        <v>70305.0582354975</v>
      </c>
      <c r="J2065" s="4">
        <v>45748.0</v>
      </c>
      <c r="K2065" s="3">
        <v>24.0</v>
      </c>
      <c r="L2065" s="3" t="s">
        <v>21</v>
      </c>
    </row>
    <row r="2066" ht="15.75" customHeight="1">
      <c r="A2066" s="3" t="s">
        <v>2144</v>
      </c>
      <c r="B2066" s="3" t="s">
        <v>29</v>
      </c>
      <c r="C2066" s="3" t="s">
        <v>33</v>
      </c>
      <c r="D2066" s="3">
        <v>71805.6857942606</v>
      </c>
      <c r="E2066" s="3">
        <v>24023.0218116767</v>
      </c>
      <c r="F2066" s="3">
        <v>16867.5837454975</v>
      </c>
      <c r="G2066" s="3">
        <v>14296.0540861346</v>
      </c>
      <c r="H2066" s="3">
        <v>-16762.1192949117</v>
      </c>
      <c r="I2066" s="3">
        <v>70308.4397099173</v>
      </c>
      <c r="J2066" s="4">
        <v>45962.0</v>
      </c>
      <c r="K2066" s="3">
        <v>24.0</v>
      </c>
      <c r="L2066" s="3" t="s">
        <v>23</v>
      </c>
    </row>
    <row r="2067" ht="15.75" customHeight="1">
      <c r="A2067" s="3" t="s">
        <v>2145</v>
      </c>
      <c r="B2067" s="3" t="s">
        <v>13</v>
      </c>
      <c r="C2067" s="3" t="s">
        <v>30</v>
      </c>
      <c r="D2067" s="3">
        <v>71816.5687641668</v>
      </c>
      <c r="E2067" s="3">
        <v>24027.6365300041</v>
      </c>
      <c r="F2067" s="3">
        <v>16875.263748927</v>
      </c>
      <c r="G2067" s="3">
        <v>14299.4516368219</v>
      </c>
      <c r="H2067" s="3">
        <v>-16811.6230126617</v>
      </c>
      <c r="I2067" s="3">
        <v>70311.8211843371</v>
      </c>
      <c r="J2067" s="4">
        <v>45717.0</v>
      </c>
      <c r="K2067" s="3">
        <v>18.0</v>
      </c>
      <c r="L2067" s="3" t="s">
        <v>27</v>
      </c>
    </row>
    <row r="2068" ht="15.75" customHeight="1">
      <c r="A2068" s="3" t="s">
        <v>2146</v>
      </c>
      <c r="B2068" s="3" t="s">
        <v>36</v>
      </c>
      <c r="C2068" s="3" t="s">
        <v>37</v>
      </c>
      <c r="D2068" s="3">
        <v>71827.451734073</v>
      </c>
      <c r="E2068" s="3">
        <v>24032.2512483316</v>
      </c>
      <c r="F2068" s="3">
        <v>16882.9437523565</v>
      </c>
      <c r="G2068" s="3">
        <v>14302.8491875092</v>
      </c>
      <c r="H2068" s="3">
        <v>-16861.1267304107</v>
      </c>
      <c r="I2068" s="3">
        <v>70315.2026587569</v>
      </c>
      <c r="J2068" s="4">
        <v>45839.0</v>
      </c>
      <c r="K2068" s="3">
        <v>6.0</v>
      </c>
      <c r="L2068" s="3" t="s">
        <v>31</v>
      </c>
    </row>
    <row r="2069" ht="15.75" customHeight="1">
      <c r="A2069" s="3" t="s">
        <v>2147</v>
      </c>
      <c r="B2069" s="3" t="s">
        <v>29</v>
      </c>
      <c r="C2069" s="3" t="s">
        <v>54</v>
      </c>
      <c r="D2069" s="3">
        <v>71838.3347039792</v>
      </c>
      <c r="E2069" s="3">
        <v>24036.865966659</v>
      </c>
      <c r="F2069" s="3">
        <v>16890.623755786</v>
      </c>
      <c r="G2069" s="3">
        <v>14306.2467381964</v>
      </c>
      <c r="H2069" s="3">
        <v>-16910.6304481597</v>
      </c>
      <c r="I2069" s="3">
        <v>70318.5841331767</v>
      </c>
      <c r="J2069" s="4">
        <v>45778.0</v>
      </c>
      <c r="K2069" s="3">
        <v>20.0</v>
      </c>
      <c r="L2069" s="3" t="s">
        <v>34</v>
      </c>
    </row>
    <row r="2070" ht="15.75" customHeight="1">
      <c r="A2070" s="3" t="s">
        <v>2148</v>
      </c>
      <c r="B2070" s="3" t="s">
        <v>36</v>
      </c>
      <c r="C2070" s="3" t="s">
        <v>18</v>
      </c>
      <c r="D2070" s="3">
        <v>71849.2176738854</v>
      </c>
      <c r="E2070" s="3">
        <v>24041.4806849864</v>
      </c>
      <c r="F2070" s="3">
        <v>16898.3037592155</v>
      </c>
      <c r="G2070" s="3">
        <v>14309.6442888837</v>
      </c>
      <c r="H2070" s="3">
        <v>-16960.1341659087</v>
      </c>
      <c r="I2070" s="3">
        <v>70321.9656075966</v>
      </c>
      <c r="J2070" s="4">
        <v>45992.0</v>
      </c>
      <c r="K2070" s="3">
        <v>18.0</v>
      </c>
      <c r="L2070" s="3" t="s">
        <v>38</v>
      </c>
    </row>
    <row r="2071" ht="15.75" customHeight="1">
      <c r="A2071" s="3" t="s">
        <v>2149</v>
      </c>
      <c r="B2071" s="3" t="s">
        <v>25</v>
      </c>
      <c r="C2071" s="3" t="s">
        <v>18</v>
      </c>
      <c r="D2071" s="3">
        <v>71860.1006437916</v>
      </c>
      <c r="E2071" s="3">
        <v>24046.0954033138</v>
      </c>
      <c r="F2071" s="3">
        <v>16905.983762645</v>
      </c>
      <c r="G2071" s="3">
        <v>14313.041839571</v>
      </c>
      <c r="H2071" s="3">
        <v>-17009.6378836577</v>
      </c>
      <c r="I2071" s="3">
        <v>70325.3470820164</v>
      </c>
      <c r="J2071" s="4">
        <v>45992.0</v>
      </c>
      <c r="K2071" s="3">
        <v>15.0</v>
      </c>
      <c r="L2071" s="3" t="s">
        <v>40</v>
      </c>
    </row>
    <row r="2072" ht="15.75" customHeight="1">
      <c r="A2072" s="3" t="s">
        <v>2150</v>
      </c>
      <c r="B2072" s="3" t="s">
        <v>17</v>
      </c>
      <c r="C2072" s="3" t="s">
        <v>26</v>
      </c>
      <c r="D2072" s="3">
        <v>71870.9836136978</v>
      </c>
      <c r="E2072" s="3">
        <v>24050.7101216412</v>
      </c>
      <c r="F2072" s="3">
        <v>16913.6637660745</v>
      </c>
      <c r="G2072" s="3">
        <v>14316.4393902583</v>
      </c>
      <c r="H2072" s="3">
        <v>-17059.1416014067</v>
      </c>
      <c r="I2072" s="3">
        <v>70328.7285564362</v>
      </c>
      <c r="J2072" s="4">
        <v>45962.0</v>
      </c>
      <c r="K2072" s="3">
        <v>12.0</v>
      </c>
      <c r="L2072" s="3" t="s">
        <v>42</v>
      </c>
    </row>
    <row r="2073" ht="15.75" customHeight="1">
      <c r="A2073" s="3" t="s">
        <v>2151</v>
      </c>
      <c r="B2073" s="3" t="s">
        <v>51</v>
      </c>
      <c r="C2073" s="3" t="s">
        <v>14</v>
      </c>
      <c r="D2073" s="3">
        <v>71881.866583604</v>
      </c>
      <c r="E2073" s="3">
        <v>24055.3248399687</v>
      </c>
      <c r="F2073" s="3">
        <v>16921.343769504</v>
      </c>
      <c r="G2073" s="3">
        <v>14319.8369409456</v>
      </c>
      <c r="H2073" s="3">
        <v>-17108.6453191557</v>
      </c>
      <c r="I2073" s="3">
        <v>70332.110030856</v>
      </c>
      <c r="J2073" s="4">
        <v>45748.0</v>
      </c>
      <c r="K2073" s="3">
        <v>15.0</v>
      </c>
      <c r="L2073" s="3" t="s">
        <v>15</v>
      </c>
    </row>
    <row r="2074" ht="15.75" customHeight="1">
      <c r="A2074" s="3" t="s">
        <v>2152</v>
      </c>
      <c r="B2074" s="3" t="s">
        <v>53</v>
      </c>
      <c r="C2074" s="3" t="s">
        <v>54</v>
      </c>
      <c r="D2074" s="3">
        <v>71892.7495535102</v>
      </c>
      <c r="E2074" s="3">
        <v>24059.9395582961</v>
      </c>
      <c r="F2074" s="3">
        <v>16929.0237729335</v>
      </c>
      <c r="G2074" s="3">
        <v>14323.2344916329</v>
      </c>
      <c r="H2074" s="3">
        <v>-17158.1490369047</v>
      </c>
      <c r="I2074" s="3">
        <v>70335.4915052758</v>
      </c>
      <c r="J2074" s="4">
        <v>45689.0</v>
      </c>
      <c r="K2074" s="3">
        <v>7.0</v>
      </c>
      <c r="L2074" s="3" t="s">
        <v>19</v>
      </c>
    </row>
    <row r="2075" ht="15.75" customHeight="1">
      <c r="A2075" s="3" t="s">
        <v>2153</v>
      </c>
      <c r="B2075" s="3" t="s">
        <v>17</v>
      </c>
      <c r="C2075" s="3" t="s">
        <v>54</v>
      </c>
      <c r="D2075" s="3">
        <v>71903.6325234164</v>
      </c>
      <c r="E2075" s="3">
        <v>24064.5542766235</v>
      </c>
      <c r="F2075" s="3">
        <v>16936.703776363</v>
      </c>
      <c r="G2075" s="3">
        <v>14326.6320423202</v>
      </c>
      <c r="H2075" s="3">
        <v>-17207.6527546547</v>
      </c>
      <c r="I2075" s="3">
        <v>70338.8729796956</v>
      </c>
      <c r="J2075" s="4">
        <v>45809.0</v>
      </c>
      <c r="K2075" s="3">
        <v>10.0</v>
      </c>
      <c r="L2075" s="3" t="s">
        <v>21</v>
      </c>
    </row>
    <row r="2076" ht="15.75" customHeight="1">
      <c r="A2076" s="3" t="s">
        <v>2154</v>
      </c>
      <c r="B2076" s="3" t="s">
        <v>17</v>
      </c>
      <c r="C2076" s="3" t="s">
        <v>54</v>
      </c>
      <c r="D2076" s="3">
        <v>71914.5154933226</v>
      </c>
      <c r="E2076" s="3">
        <v>24069.1689949509</v>
      </c>
      <c r="F2076" s="3">
        <v>16944.3837797925</v>
      </c>
      <c r="G2076" s="3">
        <v>14330.0295930075</v>
      </c>
      <c r="H2076" s="3">
        <v>-17257.1564724037</v>
      </c>
      <c r="I2076" s="3">
        <v>70342.2544541154</v>
      </c>
      <c r="J2076" s="3" t="s">
        <v>57</v>
      </c>
      <c r="K2076" s="3">
        <v>20.0</v>
      </c>
      <c r="L2076" s="3" t="s">
        <v>23</v>
      </c>
    </row>
    <row r="2077" ht="15.75" customHeight="1">
      <c r="A2077" s="3" t="s">
        <v>2155</v>
      </c>
      <c r="B2077" s="3" t="s">
        <v>53</v>
      </c>
      <c r="C2077" s="3" t="s">
        <v>37</v>
      </c>
      <c r="D2077" s="5"/>
      <c r="E2077" s="3">
        <v>24073.7837132784</v>
      </c>
      <c r="F2077" s="3">
        <v>16952.063783222</v>
      </c>
      <c r="G2077" s="3">
        <v>14333.4271436947</v>
      </c>
      <c r="H2077" s="3">
        <v>-17306.6601901527</v>
      </c>
      <c r="I2077" s="3">
        <v>70345.6359285353</v>
      </c>
      <c r="J2077" s="4">
        <v>45748.0</v>
      </c>
      <c r="K2077" s="3">
        <v>22.0</v>
      </c>
      <c r="L2077" s="3" t="s">
        <v>27</v>
      </c>
    </row>
    <row r="2078" ht="15.75" customHeight="1">
      <c r="A2078" s="3" t="s">
        <v>2156</v>
      </c>
      <c r="B2078" s="3" t="s">
        <v>25</v>
      </c>
      <c r="C2078" s="3" t="s">
        <v>37</v>
      </c>
      <c r="D2078" s="3">
        <v>71936.281433135</v>
      </c>
      <c r="E2078" s="3">
        <v>24078.3984316058</v>
      </c>
      <c r="F2078" s="3">
        <v>16959.7437866515</v>
      </c>
      <c r="G2078" s="3">
        <v>14336.824694382</v>
      </c>
      <c r="H2078" s="3">
        <v>-17356.1639079017</v>
      </c>
      <c r="I2078" s="3">
        <v>70349.0174029551</v>
      </c>
      <c r="J2078" s="4">
        <v>45689.0</v>
      </c>
      <c r="K2078" s="3">
        <v>23.0</v>
      </c>
      <c r="L2078" s="3" t="s">
        <v>31</v>
      </c>
    </row>
    <row r="2079" ht="15.75" customHeight="1">
      <c r="A2079" s="3" t="s">
        <v>2157</v>
      </c>
      <c r="B2079" s="3" t="s">
        <v>51</v>
      </c>
      <c r="C2079" s="3" t="s">
        <v>26</v>
      </c>
      <c r="D2079" s="3">
        <v>71947.1644030411</v>
      </c>
      <c r="E2079" s="3">
        <v>24083.0131499332</v>
      </c>
      <c r="F2079" s="3">
        <v>16967.423790081</v>
      </c>
      <c r="G2079" s="3">
        <v>14340.2222450693</v>
      </c>
      <c r="H2079" s="3">
        <v>-17405.6676256507</v>
      </c>
      <c r="I2079" s="3">
        <v>70352.3988773749</v>
      </c>
      <c r="J2079" s="4">
        <v>45778.0</v>
      </c>
      <c r="K2079" s="3">
        <v>25.0</v>
      </c>
      <c r="L2079" s="3" t="s">
        <v>34</v>
      </c>
    </row>
    <row r="2080" ht="15.75" customHeight="1">
      <c r="A2080" s="3" t="s">
        <v>2158</v>
      </c>
      <c r="B2080" s="3" t="s">
        <v>13</v>
      </c>
      <c r="C2080" s="3" t="s">
        <v>30</v>
      </c>
      <c r="D2080" s="3">
        <v>71958.0473729473</v>
      </c>
      <c r="E2080" s="3">
        <v>24087.6278682606</v>
      </c>
      <c r="F2080" s="3">
        <v>16975.1037935105</v>
      </c>
      <c r="G2080" s="3">
        <v>14343.6197957566</v>
      </c>
      <c r="H2080" s="3">
        <v>-17455.1713433997</v>
      </c>
      <c r="I2080" s="3">
        <v>70355.7803517947</v>
      </c>
      <c r="J2080" s="4">
        <v>45658.0</v>
      </c>
      <c r="K2080" s="3">
        <v>25.0</v>
      </c>
      <c r="L2080" s="3" t="s">
        <v>38</v>
      </c>
    </row>
    <row r="2081" ht="15.75" customHeight="1">
      <c r="A2081" s="3" t="s">
        <v>2159</v>
      </c>
      <c r="B2081" s="3" t="s">
        <v>17</v>
      </c>
      <c r="C2081" s="3" t="s">
        <v>18</v>
      </c>
      <c r="D2081" s="3">
        <v>71968.9303428535</v>
      </c>
      <c r="E2081" s="3">
        <v>24092.242586588</v>
      </c>
      <c r="F2081" s="3">
        <v>16982.78379694</v>
      </c>
      <c r="G2081" s="3">
        <v>14347.0173464439</v>
      </c>
      <c r="H2081" s="3">
        <v>-17504.6750611487</v>
      </c>
      <c r="I2081" s="3">
        <v>70359.1618262145</v>
      </c>
      <c r="J2081" s="4">
        <v>45778.0</v>
      </c>
      <c r="K2081" s="3">
        <v>13.0</v>
      </c>
      <c r="L2081" s="3" t="s">
        <v>40</v>
      </c>
    </row>
    <row r="2082" ht="15.75" customHeight="1">
      <c r="A2082" s="3" t="s">
        <v>2160</v>
      </c>
      <c r="B2082" s="3" t="s">
        <v>29</v>
      </c>
      <c r="C2082" s="3" t="s">
        <v>54</v>
      </c>
      <c r="D2082" s="3">
        <v>71979.8133127597</v>
      </c>
      <c r="E2082" s="3">
        <v>24096.8573049155</v>
      </c>
      <c r="F2082" s="3">
        <v>16990.4638003695</v>
      </c>
      <c r="G2082" s="3">
        <v>14350.4148971312</v>
      </c>
      <c r="H2082" s="3">
        <v>-17554.1787788977</v>
      </c>
      <c r="I2082" s="3">
        <v>70362.5433006343</v>
      </c>
      <c r="J2082" s="4">
        <v>45962.0</v>
      </c>
      <c r="K2082" s="3">
        <v>2.0</v>
      </c>
      <c r="L2082" s="3" t="s">
        <v>42</v>
      </c>
    </row>
    <row r="2083" ht="15.75" customHeight="1">
      <c r="A2083" s="3" t="s">
        <v>2161</v>
      </c>
      <c r="B2083" s="3" t="s">
        <v>53</v>
      </c>
      <c r="C2083" s="3" t="s">
        <v>14</v>
      </c>
      <c r="D2083" s="3">
        <v>71990.6962826659</v>
      </c>
      <c r="E2083" s="3">
        <v>24101.4720232429</v>
      </c>
      <c r="F2083" s="3">
        <v>16998.143803799</v>
      </c>
      <c r="G2083" s="3">
        <v>14353.8124478185</v>
      </c>
      <c r="H2083" s="3">
        <v>-17603.6824966477</v>
      </c>
      <c r="I2083" s="3">
        <v>70365.9247750542</v>
      </c>
      <c r="J2083" s="4">
        <v>45717.0</v>
      </c>
      <c r="K2083" s="3">
        <v>24.0</v>
      </c>
      <c r="L2083" s="3" t="s">
        <v>15</v>
      </c>
    </row>
    <row r="2084" ht="15.75" customHeight="1">
      <c r="A2084" s="3" t="s">
        <v>2162</v>
      </c>
      <c r="B2084" s="3" t="s">
        <v>17</v>
      </c>
      <c r="C2084" s="3" t="s">
        <v>14</v>
      </c>
      <c r="D2084" s="3">
        <v>72001.5792525721</v>
      </c>
      <c r="E2084" s="3">
        <v>24106.0867415703</v>
      </c>
      <c r="F2084" s="3">
        <v>17005.8238072285</v>
      </c>
      <c r="G2084" s="3">
        <v>14357.2099985058</v>
      </c>
      <c r="H2084" s="3">
        <v>-17653.1862143967</v>
      </c>
      <c r="I2084" s="3">
        <v>70369.306249474</v>
      </c>
      <c r="J2084" s="4">
        <v>45870.0</v>
      </c>
      <c r="K2084" s="3">
        <v>6.0</v>
      </c>
      <c r="L2084" s="3" t="s">
        <v>19</v>
      </c>
    </row>
    <row r="2085" ht="15.75" customHeight="1">
      <c r="A2085" s="3" t="s">
        <v>2163</v>
      </c>
      <c r="B2085" s="3" t="s">
        <v>17</v>
      </c>
      <c r="C2085" s="3" t="s">
        <v>26</v>
      </c>
      <c r="D2085" s="3">
        <v>72012.4622224783</v>
      </c>
      <c r="E2085" s="3">
        <v>24110.7014598977</v>
      </c>
      <c r="F2085" s="3">
        <v>17013.503810658</v>
      </c>
      <c r="G2085" s="3">
        <v>14360.607549193</v>
      </c>
      <c r="H2085" s="3">
        <v>-17702.6899321457</v>
      </c>
      <c r="I2085" s="3">
        <v>70372.6877238938</v>
      </c>
      <c r="J2085" s="4">
        <v>45962.0</v>
      </c>
      <c r="K2085" s="3">
        <v>8.0</v>
      </c>
      <c r="L2085" s="3" t="s">
        <v>21</v>
      </c>
    </row>
    <row r="2086" ht="15.75" customHeight="1">
      <c r="A2086" s="3" t="s">
        <v>2164</v>
      </c>
      <c r="B2086" s="3" t="s">
        <v>13</v>
      </c>
      <c r="C2086" s="3" t="s">
        <v>26</v>
      </c>
      <c r="D2086" s="3">
        <v>72023.3451923845</v>
      </c>
      <c r="E2086" s="3">
        <v>24115.3161782252</v>
      </c>
      <c r="F2086" s="3">
        <v>17021.1838140875</v>
      </c>
      <c r="G2086" s="3">
        <v>14364.0050998803</v>
      </c>
      <c r="H2086" s="3">
        <v>-17752.1936498947</v>
      </c>
      <c r="I2086" s="3">
        <v>70376.0691983136</v>
      </c>
      <c r="J2086" s="4">
        <v>45839.0</v>
      </c>
      <c r="K2086" s="3">
        <v>8.0</v>
      </c>
      <c r="L2086" s="3" t="s">
        <v>23</v>
      </c>
    </row>
    <row r="2087" ht="15.75" customHeight="1">
      <c r="A2087" s="3" t="s">
        <v>2165</v>
      </c>
      <c r="B2087" s="3" t="s">
        <v>29</v>
      </c>
      <c r="C2087" s="3" t="s">
        <v>26</v>
      </c>
      <c r="D2087" s="3">
        <v>72034.2281622907</v>
      </c>
      <c r="E2087" s="3">
        <v>24119.9308965526</v>
      </c>
      <c r="F2087" s="3">
        <v>17028.863817517</v>
      </c>
      <c r="G2087" s="3">
        <v>14367.4026505676</v>
      </c>
      <c r="H2087" s="3">
        <v>-17801.6973676437</v>
      </c>
      <c r="I2087" s="3">
        <v>70379.4506727334</v>
      </c>
      <c r="J2087" s="4">
        <v>45870.0</v>
      </c>
      <c r="K2087" s="3">
        <v>2.0</v>
      </c>
      <c r="L2087" s="3" t="s">
        <v>27</v>
      </c>
    </row>
    <row r="2088" ht="15.75" customHeight="1">
      <c r="A2088" s="3" t="s">
        <v>2166</v>
      </c>
      <c r="B2088" s="3" t="s">
        <v>51</v>
      </c>
      <c r="C2088" s="3" t="s">
        <v>18</v>
      </c>
      <c r="D2088" s="3">
        <v>72045.1111321969</v>
      </c>
      <c r="E2088" s="3">
        <v>24124.54561488</v>
      </c>
      <c r="F2088" s="3">
        <v>17036.5438209465</v>
      </c>
      <c r="G2088" s="3">
        <v>14370.8002012549</v>
      </c>
      <c r="H2088" s="3">
        <v>-17851.2010853927</v>
      </c>
      <c r="I2088" s="3">
        <v>70382.8321471532</v>
      </c>
      <c r="J2088" s="4">
        <v>45870.0</v>
      </c>
      <c r="K2088" s="3">
        <v>22.0</v>
      </c>
      <c r="L2088" s="3" t="s">
        <v>31</v>
      </c>
    </row>
    <row r="2089" ht="15.75" customHeight="1">
      <c r="A2089" s="3" t="s">
        <v>2167</v>
      </c>
      <c r="B2089" s="3" t="s">
        <v>25</v>
      </c>
      <c r="C2089" s="3" t="s">
        <v>54</v>
      </c>
      <c r="D2089" s="3">
        <v>72055.9941021031</v>
      </c>
      <c r="E2089" s="3">
        <v>24129.1603332074</v>
      </c>
      <c r="F2089" s="3">
        <v>17044.223824376</v>
      </c>
      <c r="G2089" s="3">
        <v>14374.1977519422</v>
      </c>
      <c r="H2089" s="3">
        <v>-17900.7048031417</v>
      </c>
      <c r="I2089" s="3">
        <v>70386.213621573</v>
      </c>
      <c r="J2089" s="4">
        <v>45809.0</v>
      </c>
      <c r="K2089" s="3">
        <v>6.0</v>
      </c>
      <c r="L2089" s="3" t="s">
        <v>34</v>
      </c>
    </row>
    <row r="2090" ht="15.75" customHeight="1">
      <c r="A2090" s="3" t="s">
        <v>2168</v>
      </c>
      <c r="B2090" s="3" t="s">
        <v>53</v>
      </c>
      <c r="C2090" s="3" t="s">
        <v>30</v>
      </c>
      <c r="D2090" s="3">
        <v>72066.8770720093</v>
      </c>
      <c r="E2090" s="3">
        <v>24133.7750515348</v>
      </c>
      <c r="F2090" s="3">
        <v>17051.9038278054</v>
      </c>
      <c r="G2090" s="3">
        <v>14377.5953026295</v>
      </c>
      <c r="H2090" s="3">
        <v>-17950.2085208907</v>
      </c>
      <c r="I2090" s="3">
        <v>70389.5950959929</v>
      </c>
      <c r="J2090" s="4">
        <v>45809.0</v>
      </c>
      <c r="K2090" s="3">
        <v>18.0</v>
      </c>
      <c r="L2090" s="3" t="s">
        <v>38</v>
      </c>
    </row>
    <row r="2091" ht="15.75" customHeight="1">
      <c r="A2091" s="3" t="s">
        <v>2169</v>
      </c>
      <c r="B2091" s="3" t="s">
        <v>36</v>
      </c>
      <c r="C2091" s="3" t="s">
        <v>54</v>
      </c>
      <c r="D2091" s="3">
        <v>72077.7600419155</v>
      </c>
      <c r="E2091" s="3">
        <v>24138.3897698623</v>
      </c>
      <c r="F2091" s="3">
        <v>17059.5838312349</v>
      </c>
      <c r="G2091" s="3">
        <v>14380.9928533168</v>
      </c>
      <c r="H2091" s="3">
        <v>-17999.7122386407</v>
      </c>
      <c r="I2091" s="3">
        <v>70392.9765704127</v>
      </c>
      <c r="J2091" s="4">
        <v>45658.0</v>
      </c>
      <c r="K2091" s="3">
        <v>24.0</v>
      </c>
      <c r="L2091" s="3" t="s">
        <v>40</v>
      </c>
    </row>
    <row r="2092" ht="15.75" customHeight="1">
      <c r="A2092" s="3" t="s">
        <v>2170</v>
      </c>
      <c r="B2092" s="3" t="s">
        <v>13</v>
      </c>
      <c r="C2092" s="3" t="s">
        <v>33</v>
      </c>
      <c r="D2092" s="3">
        <v>72099.5259817279</v>
      </c>
      <c r="E2092" s="3">
        <v>24147.6192065171</v>
      </c>
      <c r="F2092" s="3">
        <v>17074.9438380939</v>
      </c>
      <c r="G2092" s="3">
        <v>14387.7879546913</v>
      </c>
      <c r="H2092" s="3">
        <v>-18098.7196741387</v>
      </c>
      <c r="I2092" s="3">
        <v>70399.7395192523</v>
      </c>
      <c r="J2092" s="4">
        <v>45717.0</v>
      </c>
      <c r="K2092" s="3">
        <v>6.0</v>
      </c>
      <c r="L2092" s="3" t="s">
        <v>15</v>
      </c>
    </row>
    <row r="2093" ht="15.75" customHeight="1">
      <c r="A2093" s="3" t="s">
        <v>2171</v>
      </c>
      <c r="B2093" s="3" t="s">
        <v>53</v>
      </c>
      <c r="C2093" s="3" t="s">
        <v>26</v>
      </c>
      <c r="D2093" s="3">
        <v>72110.408951634</v>
      </c>
      <c r="E2093" s="3">
        <v>24152.2339248445</v>
      </c>
      <c r="F2093" s="3">
        <v>17082.6238415234</v>
      </c>
      <c r="G2093" s="3">
        <v>14391.1855053786</v>
      </c>
      <c r="H2093" s="3">
        <v>-18148.2233918877</v>
      </c>
      <c r="I2093" s="3">
        <v>70403.1209936721</v>
      </c>
      <c r="J2093" s="4">
        <v>45962.0</v>
      </c>
      <c r="K2093" s="3">
        <v>14.0</v>
      </c>
      <c r="L2093" s="3" t="s">
        <v>19</v>
      </c>
    </row>
    <row r="2094" ht="15.75" customHeight="1">
      <c r="A2094" s="3" t="s">
        <v>2172</v>
      </c>
      <c r="B2094" s="3" t="s">
        <v>17</v>
      </c>
      <c r="C2094" s="3" t="s">
        <v>18</v>
      </c>
      <c r="D2094" s="3">
        <v>72121.2919215402</v>
      </c>
      <c r="E2094" s="3">
        <v>24156.848643172</v>
      </c>
      <c r="F2094" s="3">
        <v>17090.3038449529</v>
      </c>
      <c r="G2094" s="3">
        <v>14394.5830560659</v>
      </c>
      <c r="H2094" s="3">
        <v>-18197.7271096367</v>
      </c>
      <c r="I2094" s="3">
        <v>70406.5024680919</v>
      </c>
      <c r="J2094" s="4">
        <v>45778.0</v>
      </c>
      <c r="K2094" s="3">
        <v>13.0</v>
      </c>
      <c r="L2094" s="3" t="s">
        <v>21</v>
      </c>
    </row>
    <row r="2095" ht="15.75" customHeight="1">
      <c r="A2095" s="3" t="s">
        <v>2173</v>
      </c>
      <c r="B2095" s="3" t="s">
        <v>13</v>
      </c>
      <c r="C2095" s="3" t="s">
        <v>30</v>
      </c>
      <c r="D2095" s="3">
        <v>72132.1748914464</v>
      </c>
      <c r="E2095" s="3">
        <v>24161.4633614994</v>
      </c>
      <c r="F2095" s="3">
        <v>17097.9838483824</v>
      </c>
      <c r="G2095" s="3">
        <v>14397.9806067532</v>
      </c>
      <c r="H2095" s="3">
        <v>-18247.2308273857</v>
      </c>
      <c r="I2095" s="3">
        <v>70409.8839425117</v>
      </c>
      <c r="J2095" s="4">
        <v>45931.0</v>
      </c>
      <c r="K2095" s="3">
        <v>10.0</v>
      </c>
      <c r="L2095" s="3" t="s">
        <v>23</v>
      </c>
    </row>
    <row r="2096" ht="15.75" customHeight="1">
      <c r="A2096" s="3" t="s">
        <v>2174</v>
      </c>
      <c r="B2096" s="3" t="s">
        <v>53</v>
      </c>
      <c r="C2096" s="3" t="s">
        <v>14</v>
      </c>
      <c r="D2096" s="3">
        <v>72143.0578613526</v>
      </c>
      <c r="E2096" s="3">
        <v>24166.0780798268</v>
      </c>
      <c r="F2096" s="3">
        <v>17105.6638518119</v>
      </c>
      <c r="G2096" s="3">
        <v>14401.3781574405</v>
      </c>
      <c r="H2096" s="3">
        <v>98870.4051434366</v>
      </c>
      <c r="I2096" s="3">
        <v>70276.9342993633</v>
      </c>
      <c r="J2096" s="3" t="s">
        <v>1012</v>
      </c>
      <c r="K2096" s="3">
        <v>15.0</v>
      </c>
      <c r="L2096" s="3" t="s">
        <v>34</v>
      </c>
    </row>
    <row r="2097" ht="15.75" customHeight="1">
      <c r="A2097" s="3" t="s">
        <v>2175</v>
      </c>
      <c r="B2097" s="3" t="s">
        <v>17</v>
      </c>
      <c r="C2097" s="3" t="s">
        <v>37</v>
      </c>
      <c r="D2097" s="3">
        <v>72153.9408312588</v>
      </c>
      <c r="E2097" s="3">
        <v>24170.6927981542</v>
      </c>
      <c r="F2097" s="3">
        <v>17113.3438552414</v>
      </c>
      <c r="G2097" s="3">
        <v>14404.7757081278</v>
      </c>
      <c r="H2097" s="3">
        <v>98885.0529597571</v>
      </c>
      <c r="I2097" s="3">
        <v>70279.850317036</v>
      </c>
      <c r="J2097" s="3" t="s">
        <v>1014</v>
      </c>
      <c r="K2097" s="3">
        <v>25.0</v>
      </c>
      <c r="L2097" s="3" t="s">
        <v>23</v>
      </c>
    </row>
    <row r="2098" ht="15.75" customHeight="1">
      <c r="A2098" s="3" t="s">
        <v>2176</v>
      </c>
      <c r="B2098" s="3" t="s">
        <v>51</v>
      </c>
      <c r="C2098" s="3" t="s">
        <v>14</v>
      </c>
      <c r="D2098" s="3">
        <v>72164.823801165</v>
      </c>
      <c r="E2098" s="3">
        <v>24175.3075164816</v>
      </c>
      <c r="F2098" s="3">
        <v>17121.0238586709</v>
      </c>
      <c r="G2098" s="3">
        <v>14408.1732588151</v>
      </c>
      <c r="H2098" s="3">
        <v>98899.7007760776</v>
      </c>
      <c r="I2098" s="3">
        <v>70282.7663347088</v>
      </c>
      <c r="J2098" s="3" t="s">
        <v>1016</v>
      </c>
      <c r="K2098" s="3">
        <v>14.0</v>
      </c>
      <c r="L2098" s="3" t="s">
        <v>15</v>
      </c>
    </row>
    <row r="2099" ht="15.75" customHeight="1">
      <c r="A2099" s="3" t="s">
        <v>2177</v>
      </c>
      <c r="B2099" s="3" t="s">
        <v>13</v>
      </c>
      <c r="C2099" s="3" t="s">
        <v>18</v>
      </c>
      <c r="D2099" s="3">
        <v>72175.7067710712</v>
      </c>
      <c r="E2099" s="3">
        <v>24179.9222348091</v>
      </c>
      <c r="F2099" s="3">
        <v>17128.7038621004</v>
      </c>
      <c r="G2099" s="3">
        <v>14411.5708095023</v>
      </c>
      <c r="H2099" s="3">
        <v>98914.348592398</v>
      </c>
      <c r="I2099" s="3">
        <v>70285.6823523816</v>
      </c>
      <c r="J2099" s="3" t="s">
        <v>1018</v>
      </c>
      <c r="K2099" s="3">
        <v>17.0</v>
      </c>
      <c r="L2099" s="3" t="s">
        <v>19</v>
      </c>
    </row>
    <row r="2100" ht="15.75" customHeight="1">
      <c r="A2100" s="3" t="s">
        <v>2178</v>
      </c>
      <c r="B2100" s="3" t="s">
        <v>25</v>
      </c>
      <c r="C2100" s="3" t="s">
        <v>18</v>
      </c>
      <c r="D2100" s="3">
        <v>72186.5897409774</v>
      </c>
      <c r="E2100" s="3">
        <v>24184.5369531365</v>
      </c>
      <c r="F2100" s="3">
        <v>17136.3838655299</v>
      </c>
      <c r="G2100" s="3">
        <v>14414.9683601896</v>
      </c>
      <c r="H2100" s="3">
        <v>98928.9964087185</v>
      </c>
      <c r="I2100" s="3">
        <v>70288.5983700543</v>
      </c>
      <c r="J2100" s="3" t="s">
        <v>1016</v>
      </c>
      <c r="K2100" s="3">
        <v>18.0</v>
      </c>
      <c r="L2100" s="3" t="s">
        <v>23</v>
      </c>
    </row>
    <row r="2101" ht="15.75" customHeight="1">
      <c r="A2101" s="3" t="s">
        <v>2179</v>
      </c>
      <c r="B2101" s="3" t="s">
        <v>51</v>
      </c>
      <c r="C2101" s="3" t="s">
        <v>37</v>
      </c>
      <c r="D2101" s="3">
        <v>72197.4727108836</v>
      </c>
      <c r="E2101" s="3">
        <v>24189.1516714639</v>
      </c>
      <c r="F2101" s="3">
        <v>17144.0638689594</v>
      </c>
      <c r="G2101" s="3">
        <v>14418.3659108769</v>
      </c>
      <c r="H2101" s="3">
        <v>98943.644225039</v>
      </c>
      <c r="I2101" s="3">
        <v>70291.5143877271</v>
      </c>
      <c r="J2101" s="3" t="s">
        <v>1014</v>
      </c>
      <c r="K2101" s="3">
        <v>11.0</v>
      </c>
      <c r="L2101" s="3" t="s">
        <v>34</v>
      </c>
    </row>
    <row r="2102" ht="15.75" customHeight="1">
      <c r="A2102" s="3" t="s">
        <v>2180</v>
      </c>
      <c r="B2102" s="3" t="s">
        <v>17</v>
      </c>
      <c r="C2102" s="3" t="s">
        <v>37</v>
      </c>
      <c r="D2102" s="5"/>
      <c r="E2102" s="3">
        <v>24193.7663897913</v>
      </c>
      <c r="F2102" s="3">
        <v>17151.7438723889</v>
      </c>
      <c r="G2102" s="3">
        <v>14421.7634615642</v>
      </c>
      <c r="H2102" s="3">
        <v>98958.2920413595</v>
      </c>
      <c r="I2102" s="3">
        <v>70294.4304053999</v>
      </c>
      <c r="J2102" s="3" t="s">
        <v>1021</v>
      </c>
      <c r="K2102" s="3">
        <v>11.0</v>
      </c>
      <c r="L2102" s="3" t="s">
        <v>38</v>
      </c>
    </row>
    <row r="2103" ht="15.75" customHeight="1">
      <c r="A2103" s="3" t="s">
        <v>2181</v>
      </c>
      <c r="B2103" s="3" t="s">
        <v>36</v>
      </c>
      <c r="C2103" s="3" t="s">
        <v>54</v>
      </c>
      <c r="D2103" s="3">
        <v>72219.238650696</v>
      </c>
      <c r="E2103" s="3">
        <v>24198.3811081188</v>
      </c>
      <c r="F2103" s="3">
        <v>17159.4238758184</v>
      </c>
      <c r="G2103" s="3">
        <v>14425.1610122515</v>
      </c>
      <c r="H2103" s="3">
        <v>98972.9398576799</v>
      </c>
      <c r="I2103" s="3">
        <v>70297.3464230727</v>
      </c>
      <c r="J2103" s="3" t="s">
        <v>1023</v>
      </c>
      <c r="K2103" s="3">
        <v>17.0</v>
      </c>
      <c r="L2103" s="3" t="s">
        <v>27</v>
      </c>
    </row>
    <row r="2104" ht="15.75" customHeight="1">
      <c r="A2104" s="3" t="s">
        <v>2182</v>
      </c>
      <c r="B2104" s="3" t="s">
        <v>51</v>
      </c>
      <c r="C2104" s="3" t="s">
        <v>54</v>
      </c>
      <c r="D2104" s="3">
        <v>72230.1216206022</v>
      </c>
      <c r="E2104" s="3">
        <v>24202.9958264462</v>
      </c>
      <c r="F2104" s="3">
        <v>17167.1038792479</v>
      </c>
      <c r="G2104" s="3">
        <v>14428.5585629388</v>
      </c>
      <c r="H2104" s="3">
        <v>98987.5876740004</v>
      </c>
      <c r="I2104" s="3">
        <v>70300.2624407454</v>
      </c>
      <c r="J2104" s="3" t="s">
        <v>1012</v>
      </c>
      <c r="K2104" s="3">
        <v>2.0</v>
      </c>
      <c r="L2104" s="3" t="s">
        <v>42</v>
      </c>
    </row>
    <row r="2105" ht="15.75" customHeight="1">
      <c r="A2105" s="3" t="s">
        <v>2183</v>
      </c>
      <c r="B2105" s="3" t="s">
        <v>51</v>
      </c>
      <c r="C2105" s="3" t="s">
        <v>37</v>
      </c>
      <c r="D2105" s="3">
        <v>72241.0045905084</v>
      </c>
      <c r="E2105" s="3">
        <v>24207.6105447736</v>
      </c>
      <c r="F2105" s="3">
        <v>17174.7838826774</v>
      </c>
      <c r="G2105" s="3">
        <v>14431.9561136261</v>
      </c>
      <c r="H2105" s="3">
        <v>99002.2354903209</v>
      </c>
      <c r="I2105" s="3">
        <v>70303.1784584182</v>
      </c>
      <c r="J2105" s="3" t="s">
        <v>1026</v>
      </c>
      <c r="K2105" s="3">
        <v>6.0</v>
      </c>
      <c r="L2105" s="3" t="s">
        <v>21</v>
      </c>
    </row>
    <row r="2106" ht="15.75" customHeight="1">
      <c r="A2106" s="3" t="s">
        <v>2184</v>
      </c>
      <c r="B2106" s="3" t="s">
        <v>36</v>
      </c>
      <c r="C2106" s="3" t="s">
        <v>33</v>
      </c>
      <c r="D2106" s="3">
        <v>72251.8875604146</v>
      </c>
      <c r="E2106" s="3">
        <v>24212.225263101</v>
      </c>
      <c r="F2106" s="3">
        <v>17182.4638861069</v>
      </c>
      <c r="G2106" s="3">
        <v>14435.3536643134</v>
      </c>
      <c r="H2106" s="3">
        <v>99016.8833066414</v>
      </c>
      <c r="I2106" s="3">
        <v>70306.0944760909</v>
      </c>
      <c r="J2106" s="3" t="s">
        <v>1018</v>
      </c>
      <c r="K2106" s="3">
        <v>14.0</v>
      </c>
      <c r="L2106" s="3" t="s">
        <v>34</v>
      </c>
    </row>
    <row r="2107" ht="15.75" customHeight="1">
      <c r="A2107" s="3" t="s">
        <v>2185</v>
      </c>
      <c r="B2107" s="3" t="s">
        <v>13</v>
      </c>
      <c r="C2107" s="3" t="s">
        <v>26</v>
      </c>
      <c r="D2107" s="3">
        <v>72262.7705303208</v>
      </c>
      <c r="E2107" s="3">
        <v>24216.8399814284</v>
      </c>
      <c r="F2107" s="3">
        <v>17190.1438895364</v>
      </c>
      <c r="G2107" s="3">
        <v>14438.7512150006</v>
      </c>
      <c r="H2107" s="3">
        <v>99031.5311229618</v>
      </c>
      <c r="I2107" s="3">
        <v>70309.0104937637</v>
      </c>
      <c r="J2107" s="3" t="s">
        <v>1018</v>
      </c>
      <c r="K2107" s="3">
        <v>18.0</v>
      </c>
      <c r="L2107" s="3" t="s">
        <v>19</v>
      </c>
    </row>
    <row r="2108" ht="15.75" customHeight="1">
      <c r="A2108" s="3" t="s">
        <v>2186</v>
      </c>
      <c r="B2108" s="3" t="s">
        <v>29</v>
      </c>
      <c r="C2108" s="3" t="s">
        <v>26</v>
      </c>
      <c r="D2108" s="3">
        <v>72273.6535002269</v>
      </c>
      <c r="E2108" s="3">
        <v>24221.4546997559</v>
      </c>
      <c r="F2108" s="3">
        <v>17197.8238929659</v>
      </c>
      <c r="G2108" s="3">
        <v>14442.1487656879</v>
      </c>
      <c r="H2108" s="3">
        <v>99046.1789392823</v>
      </c>
      <c r="I2108" s="3">
        <v>70311.9265114365</v>
      </c>
      <c r="J2108" s="3" t="s">
        <v>1018</v>
      </c>
      <c r="K2108" s="3">
        <v>6.0</v>
      </c>
      <c r="L2108" s="3" t="s">
        <v>38</v>
      </c>
    </row>
    <row r="2109" ht="15.75" customHeight="1">
      <c r="A2109" s="3" t="s">
        <v>2187</v>
      </c>
      <c r="B2109" s="3" t="s">
        <v>17</v>
      </c>
      <c r="C2109" s="3" t="s">
        <v>33</v>
      </c>
      <c r="D2109" s="3">
        <v>72284.5364701331</v>
      </c>
      <c r="E2109" s="3">
        <v>24226.0694180833</v>
      </c>
      <c r="F2109" s="3">
        <v>17205.5038963954</v>
      </c>
      <c r="G2109" s="3">
        <v>14445.5463163752</v>
      </c>
      <c r="H2109" s="3">
        <v>99060.8267556028</v>
      </c>
      <c r="I2109" s="3">
        <v>70314.8425291093</v>
      </c>
      <c r="J2109" s="3" t="s">
        <v>1031</v>
      </c>
      <c r="K2109" s="3">
        <v>14.0</v>
      </c>
      <c r="L2109" s="3" t="s">
        <v>34</v>
      </c>
    </row>
    <row r="2110" ht="15.75" customHeight="1">
      <c r="A2110" s="3" t="s">
        <v>2188</v>
      </c>
      <c r="B2110" s="3" t="s">
        <v>53</v>
      </c>
      <c r="C2110" s="3" t="s">
        <v>54</v>
      </c>
      <c r="D2110" s="3">
        <v>72306.3024099455</v>
      </c>
      <c r="E2110" s="3">
        <v>24235.2988547381</v>
      </c>
      <c r="F2110" s="3">
        <v>17220.8639032544</v>
      </c>
      <c r="G2110" s="3">
        <v>14452.3414177498</v>
      </c>
      <c r="H2110" s="3">
        <v>99090.1223882437</v>
      </c>
      <c r="I2110" s="3">
        <v>70320.6745644548</v>
      </c>
      <c r="J2110" s="3" t="s">
        <v>1034</v>
      </c>
      <c r="K2110" s="3">
        <v>7.0</v>
      </c>
      <c r="L2110" s="3" t="s">
        <v>38</v>
      </c>
    </row>
    <row r="2111" ht="15.75" customHeight="1">
      <c r="A2111" s="3" t="s">
        <v>2189</v>
      </c>
      <c r="B2111" s="3" t="s">
        <v>29</v>
      </c>
      <c r="C2111" s="3" t="s">
        <v>30</v>
      </c>
      <c r="D2111" s="3">
        <v>72317.1853798517</v>
      </c>
      <c r="E2111" s="3">
        <v>24239.9135730656</v>
      </c>
      <c r="F2111" s="3">
        <v>17228.5439066839</v>
      </c>
      <c r="G2111" s="3">
        <v>14455.7389684371</v>
      </c>
      <c r="H2111" s="3">
        <v>99104.7702045642</v>
      </c>
      <c r="I2111" s="3">
        <v>70323.5905821276</v>
      </c>
      <c r="J2111" s="3" t="s">
        <v>1034</v>
      </c>
      <c r="K2111" s="3">
        <v>4.0</v>
      </c>
      <c r="L2111" s="3" t="s">
        <v>31</v>
      </c>
    </row>
    <row r="2112" ht="15.75" customHeight="1">
      <c r="A2112" s="3" t="s">
        <v>2190</v>
      </c>
      <c r="B2112" s="3" t="s">
        <v>29</v>
      </c>
      <c r="C2112" s="3" t="s">
        <v>37</v>
      </c>
      <c r="D2112" s="3">
        <v>72328.0683497579</v>
      </c>
      <c r="E2112" s="3">
        <v>24244.528291393</v>
      </c>
      <c r="F2112" s="3">
        <v>17236.2239101134</v>
      </c>
      <c r="G2112" s="3">
        <v>14459.1365191244</v>
      </c>
      <c r="H2112" s="3">
        <v>99119.4180208847</v>
      </c>
      <c r="I2112" s="3">
        <v>70326.5065998003</v>
      </c>
      <c r="J2112" s="3" t="s">
        <v>1014</v>
      </c>
      <c r="K2112" s="3">
        <v>3.0</v>
      </c>
      <c r="L2112" s="3" t="s">
        <v>15</v>
      </c>
    </row>
    <row r="2113" ht="15.75" customHeight="1">
      <c r="A2113" s="3" t="s">
        <v>2191</v>
      </c>
      <c r="B2113" s="3" t="s">
        <v>29</v>
      </c>
      <c r="C2113" s="3" t="s">
        <v>18</v>
      </c>
      <c r="D2113" s="3">
        <v>72338.9513196641</v>
      </c>
      <c r="E2113" s="3">
        <v>24249.1430097204</v>
      </c>
      <c r="F2113" s="3">
        <v>17243.9039135429</v>
      </c>
      <c r="G2113" s="3">
        <v>14462.5340698116</v>
      </c>
      <c r="H2113" s="3">
        <v>99134.0658372051</v>
      </c>
      <c r="I2113" s="3">
        <v>70329.4226174731</v>
      </c>
      <c r="J2113" s="3" t="s">
        <v>1023</v>
      </c>
      <c r="K2113" s="3">
        <v>12.0</v>
      </c>
      <c r="L2113" s="3" t="s">
        <v>19</v>
      </c>
    </row>
    <row r="2114" ht="15.75" customHeight="1">
      <c r="A2114" s="3" t="s">
        <v>2192</v>
      </c>
      <c r="B2114" s="3" t="s">
        <v>29</v>
      </c>
      <c r="C2114" s="3" t="s">
        <v>33</v>
      </c>
      <c r="D2114" s="3">
        <v>72349.8342895703</v>
      </c>
      <c r="E2114" s="3">
        <v>24253.7577280478</v>
      </c>
      <c r="F2114" s="3">
        <v>17251.5839169724</v>
      </c>
      <c r="G2114" s="3">
        <v>14465.9316204989</v>
      </c>
      <c r="H2114" s="3">
        <v>99148.7136535256</v>
      </c>
      <c r="I2114" s="3">
        <v>70332.3386351458</v>
      </c>
      <c r="J2114" s="3" t="s">
        <v>1026</v>
      </c>
      <c r="K2114" s="3">
        <v>5.0</v>
      </c>
      <c r="L2114" s="3" t="s">
        <v>19</v>
      </c>
    </row>
    <row r="2115" ht="15.75" customHeight="1">
      <c r="A2115" s="3" t="s">
        <v>2193</v>
      </c>
      <c r="B2115" s="3" t="s">
        <v>17</v>
      </c>
      <c r="C2115" s="3" t="s">
        <v>30</v>
      </c>
      <c r="D2115" s="3">
        <v>72360.7172594765</v>
      </c>
      <c r="E2115" s="3">
        <v>24258.3724463752</v>
      </c>
      <c r="F2115" s="3">
        <v>17259.2639204019</v>
      </c>
      <c r="G2115" s="3">
        <v>14469.3291711862</v>
      </c>
      <c r="H2115" s="3">
        <v>99163.3614698461</v>
      </c>
      <c r="I2115" s="3">
        <v>70335.2546528186</v>
      </c>
      <c r="J2115" s="3" t="s">
        <v>1040</v>
      </c>
      <c r="K2115" s="3">
        <v>22.0</v>
      </c>
      <c r="L2115" s="3" t="s">
        <v>19</v>
      </c>
    </row>
    <row r="2116" ht="15.75" customHeight="1">
      <c r="A2116" s="3" t="s">
        <v>2194</v>
      </c>
      <c r="B2116" s="3" t="s">
        <v>25</v>
      </c>
      <c r="C2116" s="3" t="s">
        <v>33</v>
      </c>
      <c r="D2116" s="3">
        <v>72371.6002293827</v>
      </c>
      <c r="E2116" s="3">
        <v>24262.9871647027</v>
      </c>
      <c r="F2116" s="3">
        <v>17266.9439238314</v>
      </c>
      <c r="G2116" s="3">
        <v>14472.7267218735</v>
      </c>
      <c r="H2116" s="3">
        <v>99178.0092861666</v>
      </c>
      <c r="I2116" s="3">
        <v>70338.1706704914</v>
      </c>
      <c r="J2116" s="3" t="s">
        <v>1042</v>
      </c>
      <c r="K2116" s="3">
        <v>17.0</v>
      </c>
      <c r="L2116" s="3" t="s">
        <v>19</v>
      </c>
    </row>
    <row r="2117" ht="15.75" customHeight="1">
      <c r="A2117" s="3" t="s">
        <v>2195</v>
      </c>
      <c r="B2117" s="3" t="s">
        <v>51</v>
      </c>
      <c r="C2117" s="3" t="s">
        <v>33</v>
      </c>
      <c r="D2117" s="3">
        <v>72382.4831992889</v>
      </c>
      <c r="E2117" s="3">
        <v>24267.6018830301</v>
      </c>
      <c r="F2117" s="3">
        <v>17274.6239272609</v>
      </c>
      <c r="G2117" s="3">
        <v>14476.1242725608</v>
      </c>
      <c r="H2117" s="3">
        <v>99192.657102487</v>
      </c>
      <c r="I2117" s="3">
        <v>70341.0866881642</v>
      </c>
      <c r="J2117" s="3" t="s">
        <v>1014</v>
      </c>
      <c r="K2117" s="3">
        <v>25.0</v>
      </c>
      <c r="L2117" s="3" t="s">
        <v>38</v>
      </c>
    </row>
    <row r="2118" ht="15.75" customHeight="1">
      <c r="A2118" s="3" t="s">
        <v>2196</v>
      </c>
      <c r="B2118" s="3" t="s">
        <v>36</v>
      </c>
      <c r="C2118" s="3" t="s">
        <v>26</v>
      </c>
      <c r="D2118" s="3">
        <v>72404.2491391013</v>
      </c>
      <c r="E2118" s="3">
        <v>24276.8313196849</v>
      </c>
      <c r="F2118" s="3">
        <v>17289.9839341199</v>
      </c>
      <c r="G2118" s="3">
        <v>14482.9193739354</v>
      </c>
      <c r="H2118" s="3">
        <v>99221.952735128</v>
      </c>
      <c r="I2118" s="3">
        <v>70346.9187235097</v>
      </c>
      <c r="J2118" s="3" t="s">
        <v>1034</v>
      </c>
      <c r="K2118" s="3">
        <v>12.0</v>
      </c>
      <c r="L2118" s="3" t="s">
        <v>23</v>
      </c>
    </row>
    <row r="2119" ht="15.75" customHeight="1">
      <c r="A2119" s="3" t="s">
        <v>2197</v>
      </c>
      <c r="B2119" s="3" t="s">
        <v>25</v>
      </c>
      <c r="C2119" s="3" t="s">
        <v>54</v>
      </c>
      <c r="D2119" s="3">
        <v>72426.0150789137</v>
      </c>
      <c r="E2119" s="3">
        <v>24286.0607563398</v>
      </c>
      <c r="F2119" s="3">
        <v>17305.3439409789</v>
      </c>
      <c r="G2119" s="3">
        <v>14489.7144753099</v>
      </c>
      <c r="H2119" s="3">
        <v>99251.2483677689</v>
      </c>
      <c r="I2119" s="3">
        <v>70352.7507588552</v>
      </c>
      <c r="J2119" s="3" t="s">
        <v>1034</v>
      </c>
      <c r="K2119" s="3">
        <v>13.0</v>
      </c>
      <c r="L2119" s="3" t="s">
        <v>42</v>
      </c>
    </row>
    <row r="2120" ht="15.75" customHeight="1">
      <c r="A2120" s="3" t="s">
        <v>2198</v>
      </c>
      <c r="B2120" s="3" t="s">
        <v>25</v>
      </c>
      <c r="C2120" s="3" t="s">
        <v>37</v>
      </c>
      <c r="D2120" s="3">
        <v>72436.8980488198</v>
      </c>
      <c r="E2120" s="3">
        <v>24290.6754746672</v>
      </c>
      <c r="F2120" s="3">
        <v>17313.0239444084</v>
      </c>
      <c r="G2120" s="3">
        <v>14493.1120259972</v>
      </c>
      <c r="H2120" s="3">
        <v>99265.8961840894</v>
      </c>
      <c r="I2120" s="3">
        <v>70355.666776528</v>
      </c>
      <c r="J2120" s="3" t="s">
        <v>1014</v>
      </c>
      <c r="K2120" s="3">
        <v>9.0</v>
      </c>
      <c r="L2120" s="3" t="s">
        <v>42</v>
      </c>
    </row>
    <row r="2121" ht="15.75" customHeight="1">
      <c r="A2121" s="3" t="s">
        <v>2199</v>
      </c>
      <c r="B2121" s="3" t="s">
        <v>53</v>
      </c>
      <c r="C2121" s="3" t="s">
        <v>54</v>
      </c>
      <c r="D2121" s="3">
        <v>72447.781018726</v>
      </c>
      <c r="E2121" s="3">
        <v>24295.2901929946</v>
      </c>
      <c r="F2121" s="3">
        <v>17320.7039478379</v>
      </c>
      <c r="G2121" s="3">
        <v>14496.5095766845</v>
      </c>
      <c r="H2121" s="3">
        <v>99280.5440004099</v>
      </c>
      <c r="I2121" s="3">
        <v>70358.5827942008</v>
      </c>
      <c r="J2121" s="3" t="s">
        <v>1034</v>
      </c>
      <c r="K2121" s="3">
        <v>10.0</v>
      </c>
      <c r="L2121" s="3" t="s">
        <v>42</v>
      </c>
    </row>
    <row r="2122" ht="15.75" customHeight="1">
      <c r="A2122" s="3" t="s">
        <v>2200</v>
      </c>
      <c r="B2122" s="3" t="s">
        <v>13</v>
      </c>
      <c r="C2122" s="3" t="s">
        <v>54</v>
      </c>
      <c r="D2122" s="3">
        <v>72458.6639886322</v>
      </c>
      <c r="E2122" s="3">
        <v>24299.904911322</v>
      </c>
      <c r="F2122" s="3">
        <v>17328.3839512674</v>
      </c>
      <c r="G2122" s="3">
        <v>14499.9071273718</v>
      </c>
      <c r="H2122" s="3">
        <v>99295.1918167303</v>
      </c>
      <c r="I2122" s="3">
        <v>70361.4988118735</v>
      </c>
      <c r="J2122" s="3" t="s">
        <v>1018</v>
      </c>
      <c r="K2122" s="3">
        <v>9.0</v>
      </c>
      <c r="L2122" s="3" t="s">
        <v>38</v>
      </c>
    </row>
    <row r="2123" ht="15.75" customHeight="1">
      <c r="A2123" s="3" t="s">
        <v>2201</v>
      </c>
      <c r="B2123" s="3" t="s">
        <v>13</v>
      </c>
      <c r="C2123" s="3" t="s">
        <v>37</v>
      </c>
      <c r="D2123" s="3">
        <v>72469.5469585384</v>
      </c>
      <c r="E2123" s="3">
        <v>24304.5196296495</v>
      </c>
      <c r="F2123" s="3">
        <v>17336.0639546968</v>
      </c>
      <c r="G2123" s="3">
        <v>14503.3046780591</v>
      </c>
      <c r="H2123" s="3">
        <v>99309.8396330508</v>
      </c>
      <c r="I2123" s="3">
        <v>70364.4148295463</v>
      </c>
      <c r="J2123" s="3" t="s">
        <v>1014</v>
      </c>
      <c r="K2123" s="3">
        <v>25.0</v>
      </c>
      <c r="L2123" s="3" t="s">
        <v>27</v>
      </c>
    </row>
    <row r="2124" ht="15.75" customHeight="1">
      <c r="A2124" s="3" t="s">
        <v>2202</v>
      </c>
      <c r="B2124" s="3" t="s">
        <v>53</v>
      </c>
      <c r="C2124" s="3" t="s">
        <v>30</v>
      </c>
      <c r="D2124" s="3">
        <v>72480.4299284446</v>
      </c>
      <c r="E2124" s="3">
        <v>24309.1343479769</v>
      </c>
      <c r="F2124" s="3">
        <v>17343.7439581263</v>
      </c>
      <c r="G2124" s="3">
        <v>14506.7022287464</v>
      </c>
      <c r="H2124" s="3">
        <v>99324.4874493713</v>
      </c>
      <c r="I2124" s="3">
        <v>70367.3308472191</v>
      </c>
      <c r="J2124" s="3" t="s">
        <v>1023</v>
      </c>
      <c r="K2124" s="3">
        <v>9.0</v>
      </c>
      <c r="L2124" s="3" t="s">
        <v>19</v>
      </c>
    </row>
    <row r="2125" ht="15.75" customHeight="1">
      <c r="A2125" s="3" t="s">
        <v>2203</v>
      </c>
      <c r="B2125" s="3" t="s">
        <v>29</v>
      </c>
      <c r="C2125" s="3" t="s">
        <v>30</v>
      </c>
      <c r="D2125" s="3">
        <v>72491.3128983508</v>
      </c>
      <c r="E2125" s="3">
        <v>24313.7490663043</v>
      </c>
      <c r="F2125" s="3">
        <v>17351.4239615558</v>
      </c>
      <c r="G2125" s="3">
        <v>14510.0997794337</v>
      </c>
      <c r="H2125" s="3">
        <v>99339.1352656918</v>
      </c>
      <c r="I2125" s="3">
        <v>70370.2468648918</v>
      </c>
      <c r="J2125" s="3" t="s">
        <v>1031</v>
      </c>
      <c r="K2125" s="3">
        <v>17.0</v>
      </c>
      <c r="L2125" s="3" t="s">
        <v>42</v>
      </c>
    </row>
    <row r="2126" ht="15.75" customHeight="1">
      <c r="A2126" s="3" t="s">
        <v>2204</v>
      </c>
      <c r="B2126" s="3" t="s">
        <v>36</v>
      </c>
      <c r="C2126" s="3" t="s">
        <v>30</v>
      </c>
      <c r="D2126" s="3">
        <v>72502.195868257</v>
      </c>
      <c r="E2126" s="3">
        <v>24318.3637846317</v>
      </c>
      <c r="F2126" s="3">
        <v>17359.1039649853</v>
      </c>
      <c r="G2126" s="3">
        <v>14513.497330121</v>
      </c>
      <c r="H2126" s="3">
        <v>57988.698538136</v>
      </c>
      <c r="I2126" s="3">
        <v>62988.698538136</v>
      </c>
      <c r="J2126" s="3" t="s">
        <v>1018</v>
      </c>
      <c r="K2126" s="3">
        <v>19.0</v>
      </c>
      <c r="L2126" s="3" t="s">
        <v>21</v>
      </c>
    </row>
    <row r="2127" ht="15.75" customHeight="1">
      <c r="A2127" s="3" t="s">
        <v>2205</v>
      </c>
      <c r="B2127" s="3" t="s">
        <v>17</v>
      </c>
      <c r="C2127" s="3" t="s">
        <v>30</v>
      </c>
      <c r="D2127" s="3">
        <v>72513.0788381632</v>
      </c>
      <c r="E2127" s="3">
        <v>24322.9785029592</v>
      </c>
      <c r="F2127" s="3">
        <v>17366.7839684148</v>
      </c>
      <c r="G2127" s="3">
        <v>14516.8948808082</v>
      </c>
      <c r="H2127" s="3">
        <v>99368.4308983327</v>
      </c>
      <c r="I2127" s="3">
        <v>70376.0789002374</v>
      </c>
      <c r="J2127" s="3" t="s">
        <v>1031</v>
      </c>
      <c r="K2127" s="3">
        <v>22.0</v>
      </c>
      <c r="L2127" s="3" t="s">
        <v>34</v>
      </c>
    </row>
    <row r="2128" ht="15.75" customHeight="1">
      <c r="A2128" s="3" t="s">
        <v>2206</v>
      </c>
      <c r="B2128" s="3" t="s">
        <v>51</v>
      </c>
      <c r="C2128" s="3" t="s">
        <v>30</v>
      </c>
      <c r="D2128" s="3">
        <v>72534.8447779756</v>
      </c>
      <c r="E2128" s="3">
        <v>24332.207939614</v>
      </c>
      <c r="F2128" s="3">
        <v>17382.1439752738</v>
      </c>
      <c r="G2128" s="3">
        <v>14523.6899821828</v>
      </c>
      <c r="H2128" s="3">
        <v>99397.7265309737</v>
      </c>
      <c r="I2128" s="3">
        <v>70381.9109355829</v>
      </c>
      <c r="J2128" s="3" t="s">
        <v>1012</v>
      </c>
      <c r="K2128" s="3">
        <v>3.0</v>
      </c>
      <c r="L2128" s="3" t="s">
        <v>34</v>
      </c>
    </row>
    <row r="2129" ht="15.75" customHeight="1">
      <c r="A2129" s="3" t="s">
        <v>2207</v>
      </c>
      <c r="B2129" s="3" t="s">
        <v>51</v>
      </c>
      <c r="C2129" s="3" t="s">
        <v>37</v>
      </c>
      <c r="D2129" s="3">
        <v>72545.7277478818</v>
      </c>
      <c r="E2129" s="3">
        <v>24336.8226579414</v>
      </c>
      <c r="F2129" s="3">
        <v>17389.8239787033</v>
      </c>
      <c r="G2129" s="3">
        <v>14527.0875328701</v>
      </c>
      <c r="H2129" s="3">
        <v>99412.3743472941</v>
      </c>
      <c r="I2129" s="3">
        <v>70384.8269532557</v>
      </c>
      <c r="J2129" s="3" t="s">
        <v>1031</v>
      </c>
      <c r="K2129" s="3">
        <v>19.0</v>
      </c>
      <c r="L2129" s="3" t="s">
        <v>27</v>
      </c>
    </row>
    <row r="2130" ht="15.75" customHeight="1">
      <c r="A2130" s="3" t="s">
        <v>2208</v>
      </c>
      <c r="B2130" s="3" t="s">
        <v>17</v>
      </c>
      <c r="C2130" s="3" t="s">
        <v>54</v>
      </c>
      <c r="D2130" s="3">
        <v>72556.610717788</v>
      </c>
      <c r="E2130" s="3">
        <v>24341.4373762688</v>
      </c>
      <c r="F2130" s="3">
        <v>17397.5039821328</v>
      </c>
      <c r="G2130" s="3">
        <v>14530.4850835574</v>
      </c>
      <c r="H2130" s="3">
        <v>99427.0221636146</v>
      </c>
      <c r="I2130" s="3">
        <v>70387.7429709284</v>
      </c>
      <c r="J2130" s="3" t="s">
        <v>1026</v>
      </c>
      <c r="K2130" s="3">
        <v>1.0</v>
      </c>
      <c r="L2130" s="3" t="s">
        <v>42</v>
      </c>
    </row>
    <row r="2131" ht="15.75" customHeight="1">
      <c r="A2131" s="3" t="s">
        <v>2209</v>
      </c>
      <c r="B2131" s="3" t="s">
        <v>13</v>
      </c>
      <c r="C2131" s="3" t="s">
        <v>14</v>
      </c>
      <c r="D2131" s="3">
        <v>72567.4936876942</v>
      </c>
      <c r="E2131" s="3">
        <v>24346.0520945963</v>
      </c>
      <c r="F2131" s="3">
        <v>17405.1839855623</v>
      </c>
      <c r="G2131" s="3">
        <v>14533.8826342447</v>
      </c>
      <c r="H2131" s="3">
        <v>99441.6699799351</v>
      </c>
      <c r="I2131" s="3">
        <v>70390.6589886012</v>
      </c>
      <c r="J2131" s="3" t="s">
        <v>1031</v>
      </c>
      <c r="K2131" s="3">
        <v>10.0</v>
      </c>
      <c r="L2131" s="3" t="s">
        <v>21</v>
      </c>
    </row>
    <row r="2132" ht="15.75" customHeight="1">
      <c r="A2132" s="3" t="s">
        <v>2210</v>
      </c>
      <c r="B2132" s="3" t="s">
        <v>53</v>
      </c>
      <c r="C2132" s="3" t="s">
        <v>30</v>
      </c>
      <c r="D2132" s="3">
        <v>72578.3766576004</v>
      </c>
      <c r="E2132" s="3">
        <v>24350.6668129237</v>
      </c>
      <c r="F2132" s="3">
        <v>17412.8639889918</v>
      </c>
      <c r="G2132" s="3">
        <v>14537.280184932</v>
      </c>
      <c r="H2132" s="3">
        <v>99456.3177962555</v>
      </c>
      <c r="I2132" s="3">
        <v>70393.575006274</v>
      </c>
      <c r="J2132" s="3" t="s">
        <v>1062</v>
      </c>
      <c r="K2132" s="3">
        <v>11.0</v>
      </c>
      <c r="L2132" s="3" t="s">
        <v>19</v>
      </c>
    </row>
    <row r="2133" ht="15.75" customHeight="1">
      <c r="A2133" s="3" t="s">
        <v>2211</v>
      </c>
      <c r="B2133" s="3" t="s">
        <v>29</v>
      </c>
      <c r="C2133" s="3" t="s">
        <v>18</v>
      </c>
      <c r="D2133" s="3">
        <v>72589.2596275066</v>
      </c>
      <c r="E2133" s="3">
        <v>24355.2815312511</v>
      </c>
      <c r="F2133" s="3">
        <v>17420.5439924213</v>
      </c>
      <c r="G2133" s="3">
        <v>14540.6777356193</v>
      </c>
      <c r="H2133" s="3">
        <v>99470.965612576</v>
      </c>
      <c r="I2133" s="3">
        <v>70396.4910239467</v>
      </c>
      <c r="J2133" s="3" t="s">
        <v>1014</v>
      </c>
      <c r="K2133" s="3">
        <v>13.0</v>
      </c>
      <c r="L2133" s="3" t="s">
        <v>31</v>
      </c>
    </row>
    <row r="2134" ht="15.75" customHeight="1">
      <c r="A2134" s="3" t="s">
        <v>2212</v>
      </c>
      <c r="B2134" s="3" t="s">
        <v>36</v>
      </c>
      <c r="C2134" s="3" t="s">
        <v>37</v>
      </c>
      <c r="D2134" s="3">
        <v>72600.1425974127</v>
      </c>
      <c r="E2134" s="3">
        <v>24359.8962495785</v>
      </c>
      <c r="F2134" s="3">
        <v>17428.2239958508</v>
      </c>
      <c r="G2134" s="3">
        <v>14544.0752863065</v>
      </c>
      <c r="H2134" s="3">
        <v>99485.6134288965</v>
      </c>
      <c r="I2134" s="3">
        <v>70399.4070416195</v>
      </c>
      <c r="J2134" s="3" t="s">
        <v>1016</v>
      </c>
      <c r="K2134" s="3">
        <v>5.0</v>
      </c>
      <c r="L2134" s="3" t="s">
        <v>19</v>
      </c>
    </row>
    <row r="2135" ht="15.75" customHeight="1">
      <c r="A2135" s="3" t="s">
        <v>2213</v>
      </c>
      <c r="B2135" s="3" t="s">
        <v>25</v>
      </c>
      <c r="C2135" s="3" t="s">
        <v>18</v>
      </c>
      <c r="D2135" s="3">
        <v>72611.0255673189</v>
      </c>
      <c r="E2135" s="3">
        <v>24364.5109679059</v>
      </c>
      <c r="F2135" s="3">
        <v>17435.9039992803</v>
      </c>
      <c r="G2135" s="3">
        <v>14547.4728369938</v>
      </c>
      <c r="H2135" s="3">
        <v>99500.261245217</v>
      </c>
      <c r="I2135" s="3">
        <v>70402.3230592923</v>
      </c>
      <c r="J2135" s="3" t="s">
        <v>1034</v>
      </c>
      <c r="K2135" s="3">
        <v>11.0</v>
      </c>
      <c r="L2135" s="3" t="s">
        <v>40</v>
      </c>
    </row>
    <row r="2136" ht="15.75" customHeight="1">
      <c r="A2136" s="3" t="s">
        <v>2214</v>
      </c>
      <c r="B2136" s="3" t="s">
        <v>13</v>
      </c>
      <c r="C2136" s="3" t="s">
        <v>33</v>
      </c>
      <c r="D2136" s="3">
        <v>72621.9085372251</v>
      </c>
      <c r="E2136" s="3">
        <v>24369.1256862334</v>
      </c>
      <c r="F2136" s="3">
        <v>17443.5840027098</v>
      </c>
      <c r="G2136" s="3">
        <v>14550.8703876811</v>
      </c>
      <c r="H2136" s="3">
        <v>99514.9090615374</v>
      </c>
      <c r="I2136" s="3">
        <v>70405.239076965</v>
      </c>
      <c r="J2136" s="3" t="s">
        <v>1042</v>
      </c>
      <c r="K2136" s="3">
        <v>23.0</v>
      </c>
      <c r="L2136" s="3" t="s">
        <v>21</v>
      </c>
    </row>
    <row r="2137" ht="15.75" customHeight="1">
      <c r="A2137" s="3" t="s">
        <v>2215</v>
      </c>
      <c r="B2137" s="3" t="s">
        <v>36</v>
      </c>
      <c r="C2137" s="3" t="s">
        <v>33</v>
      </c>
      <c r="D2137" s="3">
        <v>72632.7915071313</v>
      </c>
      <c r="E2137" s="3">
        <v>24373.7404045608</v>
      </c>
      <c r="F2137" s="3">
        <v>17451.2640061393</v>
      </c>
      <c r="G2137" s="3">
        <v>14554.2679383684</v>
      </c>
      <c r="H2137" s="3">
        <v>99529.5568778579</v>
      </c>
      <c r="I2137" s="3">
        <v>70408.1550946378</v>
      </c>
      <c r="J2137" s="3" t="s">
        <v>1018</v>
      </c>
      <c r="K2137" s="3">
        <v>7.0</v>
      </c>
      <c r="L2137" s="3" t="s">
        <v>34</v>
      </c>
    </row>
    <row r="2138" ht="15.75" customHeight="1">
      <c r="A2138" s="3" t="s">
        <v>2216</v>
      </c>
      <c r="B2138" s="3" t="s">
        <v>29</v>
      </c>
      <c r="C2138" s="3" t="s">
        <v>14</v>
      </c>
      <c r="D2138" s="3">
        <v>72643.6744770375</v>
      </c>
      <c r="E2138" s="3">
        <v>24378.3551228882</v>
      </c>
      <c r="F2138" s="3">
        <v>17458.9440095688</v>
      </c>
      <c r="G2138" s="3">
        <v>14557.6654890557</v>
      </c>
      <c r="H2138" s="3">
        <v>99544.2046941784</v>
      </c>
      <c r="I2138" s="3">
        <v>70411.0711123106</v>
      </c>
      <c r="J2138" s="3" t="s">
        <v>1031</v>
      </c>
      <c r="K2138" s="3">
        <v>1.0</v>
      </c>
      <c r="L2138" s="3" t="s">
        <v>15</v>
      </c>
    </row>
    <row r="2139" ht="15.75" customHeight="1">
      <c r="A2139" s="3" t="s">
        <v>2217</v>
      </c>
      <c r="B2139" s="3" t="s">
        <v>51</v>
      </c>
      <c r="C2139" s="3" t="s">
        <v>37</v>
      </c>
      <c r="D2139" s="3">
        <v>72654.5574469437</v>
      </c>
      <c r="E2139" s="3">
        <v>24382.9698412156</v>
      </c>
      <c r="F2139" s="3">
        <v>17466.6240129983</v>
      </c>
      <c r="G2139" s="3">
        <v>14561.063039743</v>
      </c>
      <c r="H2139" s="3">
        <v>99558.8525104989</v>
      </c>
      <c r="I2139" s="3">
        <v>70413.9871299833</v>
      </c>
      <c r="J2139" s="3" t="s">
        <v>1042</v>
      </c>
      <c r="K2139" s="3">
        <v>7.0</v>
      </c>
      <c r="L2139" s="3" t="s">
        <v>34</v>
      </c>
    </row>
    <row r="2140" ht="15.75" customHeight="1">
      <c r="A2140" s="3" t="s">
        <v>2218</v>
      </c>
      <c r="B2140" s="3" t="s">
        <v>53</v>
      </c>
      <c r="C2140" s="3" t="s">
        <v>14</v>
      </c>
      <c r="D2140" s="3">
        <v>72665.4404168499</v>
      </c>
      <c r="E2140" s="3">
        <v>24387.5845595431</v>
      </c>
      <c r="F2140" s="3">
        <v>17474.3040164278</v>
      </c>
      <c r="G2140" s="3">
        <v>14564.4605904303</v>
      </c>
      <c r="H2140" s="3">
        <v>99573.5003268193</v>
      </c>
      <c r="I2140" s="3">
        <v>70416.9031476561</v>
      </c>
      <c r="J2140" s="3" t="s">
        <v>1031</v>
      </c>
      <c r="K2140" s="3">
        <v>22.0</v>
      </c>
      <c r="L2140" s="3" t="s">
        <v>40</v>
      </c>
    </row>
    <row r="2141" ht="15.75" customHeight="1">
      <c r="A2141" s="3" t="s">
        <v>2219</v>
      </c>
      <c r="B2141" s="3" t="s">
        <v>29</v>
      </c>
      <c r="C2141" s="3" t="s">
        <v>26</v>
      </c>
      <c r="D2141" s="3">
        <v>72676.3233867561</v>
      </c>
      <c r="E2141" s="3">
        <v>24392.1992778705</v>
      </c>
      <c r="F2141" s="3">
        <v>17481.9840198573</v>
      </c>
      <c r="G2141" s="3">
        <v>14567.8581411175</v>
      </c>
      <c r="H2141" s="3">
        <v>99588.1481431398</v>
      </c>
      <c r="I2141" s="3">
        <v>70419.8191653289</v>
      </c>
      <c r="J2141" s="3" t="s">
        <v>1034</v>
      </c>
      <c r="K2141" s="3">
        <v>17.0</v>
      </c>
      <c r="L2141" s="3" t="s">
        <v>40</v>
      </c>
    </row>
    <row r="2142" ht="15.75" customHeight="1">
      <c r="A2142" s="3" t="s">
        <v>2220</v>
      </c>
      <c r="B2142" s="3" t="s">
        <v>13</v>
      </c>
      <c r="C2142" s="3" t="s">
        <v>18</v>
      </c>
      <c r="D2142" s="3">
        <v>72687.2063566623</v>
      </c>
      <c r="E2142" s="3">
        <v>24396.8139961979</v>
      </c>
      <c r="F2142" s="3">
        <v>17489.6640232868</v>
      </c>
      <c r="G2142" s="3">
        <v>14571.2556918048</v>
      </c>
      <c r="H2142" s="3">
        <v>99602.7959594603</v>
      </c>
      <c r="I2142" s="3">
        <v>70422.7351830016</v>
      </c>
      <c r="J2142" s="3" t="s">
        <v>1026</v>
      </c>
      <c r="K2142" s="3">
        <v>2.0</v>
      </c>
      <c r="L2142" s="3" t="s">
        <v>40</v>
      </c>
    </row>
    <row r="2143" ht="15.75" customHeight="1">
      <c r="A2143" s="3" t="s">
        <v>2221</v>
      </c>
      <c r="B2143" s="3" t="s">
        <v>51</v>
      </c>
      <c r="C2143" s="3" t="s">
        <v>30</v>
      </c>
      <c r="D2143" s="3">
        <v>72698.0893265685</v>
      </c>
      <c r="E2143" s="3">
        <v>24401.4287145253</v>
      </c>
      <c r="F2143" s="3">
        <v>17497.3440267163</v>
      </c>
      <c r="G2143" s="3">
        <v>14574.6532424921</v>
      </c>
      <c r="H2143" s="3">
        <v>99617.4437757807</v>
      </c>
      <c r="I2143" s="3">
        <v>70425.6512006744</v>
      </c>
      <c r="J2143" s="3" t="s">
        <v>1012</v>
      </c>
      <c r="K2143" s="3">
        <v>24.0</v>
      </c>
      <c r="L2143" s="3" t="s">
        <v>38</v>
      </c>
    </row>
    <row r="2144" ht="15.75" customHeight="1">
      <c r="A2144" s="3" t="s">
        <v>2222</v>
      </c>
      <c r="B2144" s="3" t="s">
        <v>25</v>
      </c>
      <c r="C2144" s="3" t="s">
        <v>14</v>
      </c>
      <c r="D2144" s="3">
        <v>72708.9722964747</v>
      </c>
      <c r="E2144" s="3">
        <v>24406.0434328527</v>
      </c>
      <c r="F2144" s="3">
        <v>17505.0240301458</v>
      </c>
      <c r="G2144" s="3">
        <v>14578.0507931794</v>
      </c>
      <c r="H2144" s="3">
        <v>99632.0915921012</v>
      </c>
      <c r="I2144" s="3">
        <v>70428.5672183472</v>
      </c>
      <c r="J2144" s="3" t="s">
        <v>1062</v>
      </c>
      <c r="K2144" s="3">
        <v>9.0</v>
      </c>
      <c r="L2144" s="3" t="s">
        <v>19</v>
      </c>
    </row>
    <row r="2145" ht="15.75" customHeight="1">
      <c r="A2145" s="3" t="s">
        <v>2223</v>
      </c>
      <c r="B2145" s="3" t="s">
        <v>25</v>
      </c>
      <c r="C2145" s="3" t="s">
        <v>33</v>
      </c>
      <c r="D2145" s="3">
        <v>72719.8552663809</v>
      </c>
      <c r="E2145" s="3">
        <v>24410.6581511802</v>
      </c>
      <c r="F2145" s="3">
        <v>17512.7040335753</v>
      </c>
      <c r="G2145" s="3">
        <v>14581.4483438667</v>
      </c>
      <c r="H2145" s="3">
        <v>99646.7394084217</v>
      </c>
      <c r="I2145" s="3">
        <v>70431.4832360199</v>
      </c>
      <c r="J2145" s="3" t="s">
        <v>1031</v>
      </c>
      <c r="K2145" s="3">
        <v>15.0</v>
      </c>
      <c r="L2145" s="3" t="s">
        <v>40</v>
      </c>
    </row>
    <row r="2146" ht="15.75" customHeight="1">
      <c r="A2146" s="3" t="s">
        <v>2224</v>
      </c>
      <c r="B2146" s="3" t="s">
        <v>29</v>
      </c>
      <c r="C2146" s="3" t="s">
        <v>54</v>
      </c>
      <c r="D2146" s="3">
        <v>72730.7382362871</v>
      </c>
      <c r="E2146" s="3">
        <v>24415.2728695076</v>
      </c>
      <c r="F2146" s="3">
        <v>17520.3840370048</v>
      </c>
      <c r="G2146" s="3">
        <v>14584.845894554</v>
      </c>
      <c r="H2146" s="3">
        <v>99661.3872247422</v>
      </c>
      <c r="I2146" s="3">
        <v>70434.3992536927</v>
      </c>
      <c r="J2146" s="3" t="s">
        <v>1012</v>
      </c>
      <c r="K2146" s="3">
        <v>25.0</v>
      </c>
      <c r="L2146" s="3" t="s">
        <v>42</v>
      </c>
    </row>
    <row r="2147" ht="15.75" customHeight="1">
      <c r="A2147" s="3" t="s">
        <v>2225</v>
      </c>
      <c r="B2147" s="3" t="s">
        <v>51</v>
      </c>
      <c r="C2147" s="3" t="s">
        <v>30</v>
      </c>
      <c r="D2147" s="3">
        <v>72741.6212061933</v>
      </c>
      <c r="E2147" s="3">
        <v>24419.887587835</v>
      </c>
      <c r="F2147" s="3">
        <v>17528.0640404343</v>
      </c>
      <c r="G2147" s="3">
        <v>14588.2434452413</v>
      </c>
      <c r="H2147" s="3">
        <v>99676.0350410626</v>
      </c>
      <c r="I2147" s="3">
        <v>70437.3152713655</v>
      </c>
      <c r="J2147" s="3" t="s">
        <v>1034</v>
      </c>
      <c r="K2147" s="3">
        <v>17.0</v>
      </c>
      <c r="L2147" s="3" t="s">
        <v>40</v>
      </c>
    </row>
    <row r="2148" ht="15.75" customHeight="1">
      <c r="A2148" s="3" t="s">
        <v>2226</v>
      </c>
      <c r="B2148" s="3" t="s">
        <v>51</v>
      </c>
      <c r="C2148" s="3" t="s">
        <v>37</v>
      </c>
      <c r="D2148" s="3">
        <v>72763.3871460056</v>
      </c>
      <c r="E2148" s="3">
        <v>24429.1170244899</v>
      </c>
      <c r="F2148" s="3">
        <v>17543.4240472933</v>
      </c>
      <c r="G2148" s="3">
        <v>14595.0385466158</v>
      </c>
      <c r="H2148" s="3">
        <v>99705.3306737036</v>
      </c>
      <c r="I2148" s="3">
        <v>70443.147306711</v>
      </c>
      <c r="J2148" s="3" t="s">
        <v>1021</v>
      </c>
      <c r="K2148" s="3">
        <v>20.0</v>
      </c>
      <c r="L2148" s="3" t="s">
        <v>23</v>
      </c>
    </row>
    <row r="2149" ht="15.75" customHeight="1">
      <c r="A2149" s="3" t="s">
        <v>2227</v>
      </c>
      <c r="B2149" s="3" t="s">
        <v>36</v>
      </c>
      <c r="C2149" s="3" t="s">
        <v>54</v>
      </c>
      <c r="D2149" s="3">
        <v>72774.2701159118</v>
      </c>
      <c r="E2149" s="3">
        <v>24433.7317428173</v>
      </c>
      <c r="F2149" s="3">
        <v>17551.1040507228</v>
      </c>
      <c r="G2149" s="3">
        <v>14598.4360973031</v>
      </c>
      <c r="H2149" s="3">
        <v>99719.978490024</v>
      </c>
      <c r="I2149" s="3">
        <v>70446.0633243838</v>
      </c>
      <c r="J2149" s="3" t="s">
        <v>1040</v>
      </c>
      <c r="K2149" s="3">
        <v>6.0</v>
      </c>
      <c r="L2149" s="3" t="s">
        <v>19</v>
      </c>
    </row>
    <row r="2150" ht="15.75" customHeight="1">
      <c r="A2150" s="3" t="s">
        <v>2228</v>
      </c>
      <c r="B2150" s="3" t="s">
        <v>13</v>
      </c>
      <c r="C2150" s="3" t="s">
        <v>26</v>
      </c>
      <c r="D2150" s="3">
        <v>72796.0360557242</v>
      </c>
      <c r="E2150" s="3">
        <v>24442.9611794721</v>
      </c>
      <c r="F2150" s="3">
        <v>17566.4640575818</v>
      </c>
      <c r="G2150" s="3">
        <v>14605.2311986777</v>
      </c>
      <c r="H2150" s="3">
        <v>99749.274122665</v>
      </c>
      <c r="I2150" s="3">
        <v>70451.8953597293</v>
      </c>
      <c r="J2150" s="3" t="s">
        <v>1034</v>
      </c>
      <c r="K2150" s="3">
        <v>11.0</v>
      </c>
      <c r="L2150" s="3" t="s">
        <v>42</v>
      </c>
    </row>
    <row r="2151" ht="15.75" customHeight="1">
      <c r="A2151" s="3" t="s">
        <v>2229</v>
      </c>
      <c r="B2151" s="3" t="s">
        <v>29</v>
      </c>
      <c r="C2151" s="3" t="s">
        <v>18</v>
      </c>
      <c r="D2151" s="3">
        <v>72806.9190256304</v>
      </c>
      <c r="E2151" s="3">
        <v>24447.5758977995</v>
      </c>
      <c r="F2151" s="3">
        <v>17574.1440610113</v>
      </c>
      <c r="G2151" s="3">
        <v>14608.628749365</v>
      </c>
      <c r="H2151" s="3">
        <v>99763.9219389855</v>
      </c>
      <c r="I2151" s="3">
        <v>70454.8113774021</v>
      </c>
      <c r="J2151" s="3" t="s">
        <v>1023</v>
      </c>
      <c r="K2151" s="3">
        <v>22.0</v>
      </c>
      <c r="L2151" s="3" t="s">
        <v>21</v>
      </c>
    </row>
    <row r="2152" ht="15.75" customHeight="1">
      <c r="A2152" s="3" t="s">
        <v>2230</v>
      </c>
      <c r="B2152" s="3" t="s">
        <v>53</v>
      </c>
      <c r="C2152" s="3" t="s">
        <v>37</v>
      </c>
      <c r="D2152" s="3">
        <v>72817.8019955366</v>
      </c>
      <c r="E2152" s="3">
        <v>24452.190616127</v>
      </c>
      <c r="F2152" s="3">
        <v>17581.8240644408</v>
      </c>
      <c r="G2152" s="3">
        <v>14612.0263000523</v>
      </c>
      <c r="H2152" s="3">
        <v>99778.5697553059</v>
      </c>
      <c r="I2152" s="3">
        <v>70457.7273950748</v>
      </c>
      <c r="J2152" s="3" t="s">
        <v>1012</v>
      </c>
      <c r="K2152" s="3">
        <v>18.0</v>
      </c>
      <c r="L2152" s="3" t="s">
        <v>15</v>
      </c>
    </row>
    <row r="2153" ht="15.75" customHeight="1">
      <c r="A2153" s="3" t="s">
        <v>2231</v>
      </c>
      <c r="B2153" s="3" t="s">
        <v>17</v>
      </c>
      <c r="C2153" s="3" t="s">
        <v>37</v>
      </c>
      <c r="D2153" s="3">
        <v>72828.6849654428</v>
      </c>
      <c r="E2153" s="3">
        <v>24456.8053344544</v>
      </c>
      <c r="F2153" s="3">
        <v>17589.5040678703</v>
      </c>
      <c r="G2153" s="3">
        <v>14615.4238507396</v>
      </c>
      <c r="H2153" s="3">
        <v>99793.2175716264</v>
      </c>
      <c r="I2153" s="3">
        <v>70460.6434127476</v>
      </c>
      <c r="J2153" s="3" t="s">
        <v>1042</v>
      </c>
      <c r="K2153" s="3">
        <v>24.0</v>
      </c>
      <c r="L2153" s="3" t="s">
        <v>40</v>
      </c>
    </row>
    <row r="2154" ht="15.75" customHeight="1">
      <c r="A2154" s="3" t="s">
        <v>2232</v>
      </c>
      <c r="B2154" s="3" t="s">
        <v>29</v>
      </c>
      <c r="C2154" s="3" t="s">
        <v>14</v>
      </c>
      <c r="D2154" s="5"/>
      <c r="E2154" s="3">
        <v>24461.4200527818</v>
      </c>
      <c r="F2154" s="3">
        <v>17597.1840712998</v>
      </c>
      <c r="G2154" s="3">
        <v>14618.8214014269</v>
      </c>
      <c r="H2154" s="3">
        <v>99807.8653879469</v>
      </c>
      <c r="I2154" s="3">
        <v>70463.5594304204</v>
      </c>
      <c r="J2154" s="3" t="s">
        <v>1012</v>
      </c>
      <c r="K2154" s="3">
        <v>7.0</v>
      </c>
      <c r="L2154" s="3" t="s">
        <v>38</v>
      </c>
    </row>
    <row r="2155" ht="15.75" customHeight="1">
      <c r="A2155" s="3" t="s">
        <v>2233</v>
      </c>
      <c r="B2155" s="3" t="s">
        <v>51</v>
      </c>
      <c r="C2155" s="3" t="s">
        <v>18</v>
      </c>
      <c r="D2155" s="3">
        <v>72850.4509052552</v>
      </c>
      <c r="E2155" s="3">
        <v>24466.0347711092</v>
      </c>
      <c r="F2155" s="3">
        <v>17604.8640747293</v>
      </c>
      <c r="G2155" s="3">
        <v>14622.2189521141</v>
      </c>
      <c r="H2155" s="3">
        <v>99822.5132042674</v>
      </c>
      <c r="I2155" s="3">
        <v>70466.4754480931</v>
      </c>
      <c r="J2155" s="3" t="s">
        <v>1012</v>
      </c>
      <c r="K2155" s="3">
        <v>19.0</v>
      </c>
      <c r="L2155" s="3" t="s">
        <v>31</v>
      </c>
    </row>
    <row r="2156" ht="15.75" customHeight="1">
      <c r="A2156" s="3" t="s">
        <v>2234</v>
      </c>
      <c r="B2156" s="3" t="s">
        <v>13</v>
      </c>
      <c r="C2156" s="3" t="s">
        <v>33</v>
      </c>
      <c r="D2156" s="3">
        <v>72861.3338751614</v>
      </c>
      <c r="E2156" s="3">
        <v>24470.6494894367</v>
      </c>
      <c r="F2156" s="3">
        <v>17612.5440781587</v>
      </c>
      <c r="G2156" s="3">
        <v>14625.6165028014</v>
      </c>
      <c r="H2156" s="3">
        <v>99837.1610205878</v>
      </c>
      <c r="I2156" s="3">
        <v>70469.3914657659</v>
      </c>
      <c r="J2156" s="3" t="s">
        <v>1023</v>
      </c>
      <c r="K2156" s="3">
        <v>19.0</v>
      </c>
      <c r="L2156" s="3" t="s">
        <v>19</v>
      </c>
    </row>
    <row r="2157" ht="15.75" customHeight="1">
      <c r="A2157" s="3" t="s">
        <v>2235</v>
      </c>
      <c r="B2157" s="3" t="s">
        <v>13</v>
      </c>
      <c r="C2157" s="3" t="s">
        <v>37</v>
      </c>
      <c r="D2157" s="3">
        <v>72872.2168450676</v>
      </c>
      <c r="E2157" s="3">
        <v>24475.2642077641</v>
      </c>
      <c r="F2157" s="3">
        <v>17620.2240815882</v>
      </c>
      <c r="G2157" s="3">
        <v>14629.0140534887</v>
      </c>
      <c r="H2157" s="3">
        <v>99851.8088369083</v>
      </c>
      <c r="I2157" s="3">
        <v>70472.3074834387</v>
      </c>
      <c r="J2157" s="3" t="s">
        <v>1018</v>
      </c>
      <c r="K2157" s="3">
        <v>6.0</v>
      </c>
      <c r="L2157" s="3" t="s">
        <v>15</v>
      </c>
    </row>
    <row r="2158" ht="15.75" customHeight="1">
      <c r="A2158" s="3" t="s">
        <v>2236</v>
      </c>
      <c r="B2158" s="3" t="s">
        <v>25</v>
      </c>
      <c r="C2158" s="3" t="s">
        <v>30</v>
      </c>
      <c r="D2158" s="3">
        <v>72893.98278488</v>
      </c>
      <c r="E2158" s="3">
        <v>24484.4936444189</v>
      </c>
      <c r="F2158" s="3">
        <v>17635.5840884472</v>
      </c>
      <c r="G2158" s="3">
        <v>14635.8091548633</v>
      </c>
      <c r="H2158" s="3">
        <v>58258.1736300167</v>
      </c>
      <c r="I2158" s="3">
        <v>63258.1736300167</v>
      </c>
      <c r="J2158" s="3" t="s">
        <v>1012</v>
      </c>
      <c r="K2158" s="3">
        <v>25.0</v>
      </c>
      <c r="L2158" s="3" t="s">
        <v>42</v>
      </c>
    </row>
    <row r="2159" ht="15.75" customHeight="1">
      <c r="A2159" s="3" t="s">
        <v>2237</v>
      </c>
      <c r="B2159" s="3" t="s">
        <v>51</v>
      </c>
      <c r="C2159" s="3" t="s">
        <v>33</v>
      </c>
      <c r="D2159" s="3">
        <v>72904.8657547862</v>
      </c>
      <c r="E2159" s="3">
        <v>24489.1083627463</v>
      </c>
      <c r="F2159" s="3">
        <v>17643.2640918767</v>
      </c>
      <c r="G2159" s="3">
        <v>14639.2067055506</v>
      </c>
      <c r="H2159" s="3">
        <v>99895.7522858697</v>
      </c>
      <c r="I2159" s="3">
        <v>70481.055536457</v>
      </c>
      <c r="J2159" s="3" t="s">
        <v>1042</v>
      </c>
      <c r="K2159" s="3">
        <v>2.0</v>
      </c>
      <c r="L2159" s="3" t="s">
        <v>23</v>
      </c>
    </row>
    <row r="2160" ht="15.75" customHeight="1">
      <c r="A2160" s="3" t="s">
        <v>2238</v>
      </c>
      <c r="B2160" s="3" t="s">
        <v>51</v>
      </c>
      <c r="C2160" s="3" t="s">
        <v>26</v>
      </c>
      <c r="D2160" s="3">
        <v>72915.7487246924</v>
      </c>
      <c r="E2160" s="3">
        <v>24493.7230810738</v>
      </c>
      <c r="F2160" s="3">
        <v>17650.9440953062</v>
      </c>
      <c r="G2160" s="3">
        <v>14642.6042562379</v>
      </c>
      <c r="H2160" s="3">
        <v>99910.4001021902</v>
      </c>
      <c r="I2160" s="3">
        <v>70483.9715541297</v>
      </c>
      <c r="J2160" s="3" t="s">
        <v>1023</v>
      </c>
      <c r="K2160" s="3">
        <v>1.0</v>
      </c>
      <c r="L2160" s="3" t="s">
        <v>21</v>
      </c>
    </row>
    <row r="2161" ht="15.75" customHeight="1">
      <c r="A2161" s="3" t="s">
        <v>2239</v>
      </c>
      <c r="B2161" s="3" t="s">
        <v>13</v>
      </c>
      <c r="C2161" s="3" t="s">
        <v>18</v>
      </c>
      <c r="D2161" s="3">
        <v>72926.6316945985</v>
      </c>
      <c r="E2161" s="3">
        <v>24498.3377994012</v>
      </c>
      <c r="F2161" s="3">
        <v>17658.6240987357</v>
      </c>
      <c r="G2161" s="3">
        <v>14646.0018069251</v>
      </c>
      <c r="H2161" s="3">
        <v>99925.0479185107</v>
      </c>
      <c r="I2161" s="3">
        <v>70486.8875718025</v>
      </c>
      <c r="J2161" s="3" t="s">
        <v>1023</v>
      </c>
      <c r="K2161" s="3">
        <v>25.0</v>
      </c>
      <c r="L2161" s="3" t="s">
        <v>19</v>
      </c>
    </row>
    <row r="2162" ht="15.75" customHeight="1">
      <c r="A2162" s="3" t="s">
        <v>2240</v>
      </c>
      <c r="B2162" s="3" t="s">
        <v>53</v>
      </c>
      <c r="C2162" s="3" t="s">
        <v>33</v>
      </c>
      <c r="D2162" s="3">
        <v>72937.5146645047</v>
      </c>
      <c r="E2162" s="3">
        <v>24502.9525177286</v>
      </c>
      <c r="F2162" s="3">
        <v>17666.3041021652</v>
      </c>
      <c r="G2162" s="3">
        <v>14649.3993576124</v>
      </c>
      <c r="H2162" s="3">
        <v>99939.6957348311</v>
      </c>
      <c r="I2162" s="3">
        <v>70489.8035894753</v>
      </c>
      <c r="J2162" s="3" t="s">
        <v>1012</v>
      </c>
      <c r="K2162" s="3">
        <v>23.0</v>
      </c>
      <c r="L2162" s="3" t="s">
        <v>40</v>
      </c>
    </row>
    <row r="2163" ht="15.75" customHeight="1">
      <c r="A2163" s="3" t="s">
        <v>2241</v>
      </c>
      <c r="B2163" s="3" t="s">
        <v>13</v>
      </c>
      <c r="C2163" s="3" t="s">
        <v>18</v>
      </c>
      <c r="D2163" s="3">
        <v>72948.3976344109</v>
      </c>
      <c r="E2163" s="3">
        <v>24507.567236056</v>
      </c>
      <c r="F2163" s="3">
        <v>17673.9841055947</v>
      </c>
      <c r="G2163" s="3">
        <v>14652.7969082997</v>
      </c>
      <c r="H2163" s="3">
        <v>99954.3435511516</v>
      </c>
      <c r="I2163" s="3">
        <v>70492.7196071481</v>
      </c>
      <c r="J2163" s="3" t="s">
        <v>1042</v>
      </c>
      <c r="K2163" s="3">
        <v>21.0</v>
      </c>
      <c r="L2163" s="3" t="s">
        <v>27</v>
      </c>
    </row>
    <row r="2164" ht="15.75" customHeight="1">
      <c r="A2164" s="3" t="s">
        <v>2242</v>
      </c>
      <c r="B2164" s="3" t="s">
        <v>17</v>
      </c>
      <c r="C2164" s="3" t="s">
        <v>18</v>
      </c>
      <c r="D2164" s="3">
        <v>72959.2806043171</v>
      </c>
      <c r="E2164" s="3">
        <v>24512.1819543835</v>
      </c>
      <c r="F2164" s="3">
        <v>17681.6641090242</v>
      </c>
      <c r="G2164" s="3">
        <v>14656.194458987</v>
      </c>
      <c r="H2164" s="3">
        <v>99968.9913674721</v>
      </c>
      <c r="I2164" s="3">
        <v>70495.6356248208</v>
      </c>
      <c r="J2164" s="3" t="s">
        <v>1034</v>
      </c>
      <c r="K2164" s="3">
        <v>9.0</v>
      </c>
      <c r="L2164" s="3" t="s">
        <v>15</v>
      </c>
    </row>
    <row r="2165" ht="15.75" customHeight="1">
      <c r="A2165" s="3" t="s">
        <v>2243</v>
      </c>
      <c r="B2165" s="3" t="s">
        <v>53</v>
      </c>
      <c r="C2165" s="3" t="s">
        <v>54</v>
      </c>
      <c r="D2165" s="3">
        <v>72970.1635742233</v>
      </c>
      <c r="E2165" s="3">
        <v>24516.7966727109</v>
      </c>
      <c r="F2165" s="3">
        <v>17689.3441124537</v>
      </c>
      <c r="G2165" s="3">
        <v>14659.5920096743</v>
      </c>
      <c r="H2165" s="3">
        <v>99983.6391837926</v>
      </c>
      <c r="I2165" s="3">
        <v>70498.5516424936</v>
      </c>
      <c r="J2165" s="3" t="s">
        <v>1014</v>
      </c>
      <c r="K2165" s="3">
        <v>15.0</v>
      </c>
      <c r="L2165" s="3" t="s">
        <v>19</v>
      </c>
    </row>
    <row r="2166" ht="15.75" customHeight="1">
      <c r="A2166" s="3" t="s">
        <v>2244</v>
      </c>
      <c r="B2166" s="3" t="s">
        <v>53</v>
      </c>
      <c r="C2166" s="3" t="s">
        <v>33</v>
      </c>
      <c r="D2166" s="5"/>
      <c r="E2166" s="3">
        <v>24521.4113910383</v>
      </c>
      <c r="F2166" s="3">
        <v>17697.0241158832</v>
      </c>
      <c r="G2166" s="3">
        <v>14662.9895603616</v>
      </c>
      <c r="H2166" s="3">
        <v>99998.287000113</v>
      </c>
      <c r="I2166" s="3">
        <v>70501.4676601664</v>
      </c>
      <c r="J2166" s="3" t="s">
        <v>1021</v>
      </c>
      <c r="K2166" s="3">
        <v>3.0</v>
      </c>
      <c r="L2166" s="3" t="s">
        <v>19</v>
      </c>
    </row>
    <row r="2167" ht="15.75" customHeight="1">
      <c r="A2167" s="3" t="s">
        <v>2245</v>
      </c>
      <c r="B2167" s="3" t="s">
        <v>25</v>
      </c>
      <c r="C2167" s="3" t="s">
        <v>33</v>
      </c>
      <c r="D2167" s="3">
        <v>72991.9295140357</v>
      </c>
      <c r="E2167" s="3">
        <v>24526.0261093657</v>
      </c>
      <c r="F2167" s="3">
        <v>17704.7041193127</v>
      </c>
      <c r="G2167" s="3">
        <v>14666.3871110489</v>
      </c>
      <c r="H2167" s="3">
        <v>100012.934816434</v>
      </c>
      <c r="I2167" s="3">
        <v>70504.3836778391</v>
      </c>
      <c r="J2167" s="3" t="s">
        <v>1034</v>
      </c>
      <c r="K2167" s="3">
        <v>19.0</v>
      </c>
      <c r="L2167" s="3" t="s">
        <v>40</v>
      </c>
    </row>
    <row r="2168" ht="15.75" customHeight="1">
      <c r="A2168" s="3" t="s">
        <v>2246</v>
      </c>
      <c r="B2168" s="3" t="s">
        <v>17</v>
      </c>
      <c r="C2168" s="3" t="s">
        <v>18</v>
      </c>
      <c r="D2168" s="3">
        <v>73002.8124839419</v>
      </c>
      <c r="E2168" s="3">
        <v>24530.6408276931</v>
      </c>
      <c r="F2168" s="3">
        <v>17712.3841227422</v>
      </c>
      <c r="G2168" s="3">
        <v>14669.7846617362</v>
      </c>
      <c r="H2168" s="3">
        <v>100027.582632754</v>
      </c>
      <c r="I2168" s="3">
        <v>70507.2996955119</v>
      </c>
      <c r="J2168" s="3" t="s">
        <v>1026</v>
      </c>
      <c r="K2168" s="3">
        <v>12.0</v>
      </c>
      <c r="L2168" s="3" t="s">
        <v>27</v>
      </c>
    </row>
    <row r="2169" ht="15.75" customHeight="1">
      <c r="A2169" s="3" t="s">
        <v>2247</v>
      </c>
      <c r="B2169" s="3" t="s">
        <v>25</v>
      </c>
      <c r="C2169" s="3" t="s">
        <v>26</v>
      </c>
      <c r="D2169" s="3">
        <v>73013.6954538481</v>
      </c>
      <c r="E2169" s="3">
        <v>24535.2555460206</v>
      </c>
      <c r="F2169" s="3">
        <v>17720.0641261717</v>
      </c>
      <c r="G2169" s="3">
        <v>14673.1822124234</v>
      </c>
      <c r="H2169" s="3">
        <v>100042.230449074</v>
      </c>
      <c r="I2169" s="3">
        <v>70510.2157131846</v>
      </c>
      <c r="J2169" s="3" t="s">
        <v>1040</v>
      </c>
      <c r="K2169" s="3">
        <v>19.0</v>
      </c>
      <c r="L2169" s="3" t="s">
        <v>31</v>
      </c>
    </row>
    <row r="2170" ht="15.75" customHeight="1">
      <c r="A2170" s="3" t="s">
        <v>2248</v>
      </c>
      <c r="B2170" s="3" t="s">
        <v>53</v>
      </c>
      <c r="C2170" s="3" t="s">
        <v>18</v>
      </c>
      <c r="D2170" s="3">
        <v>73024.5784237543</v>
      </c>
      <c r="E2170" s="3">
        <v>24539.870264348</v>
      </c>
      <c r="F2170" s="3">
        <v>17727.7441296012</v>
      </c>
      <c r="G2170" s="3">
        <v>14676.5797631107</v>
      </c>
      <c r="H2170" s="3">
        <v>100056.878265395</v>
      </c>
      <c r="I2170" s="3">
        <v>70513.1317308574</v>
      </c>
      <c r="J2170" s="3" t="s">
        <v>1023</v>
      </c>
      <c r="K2170" s="3">
        <v>19.0</v>
      </c>
      <c r="L2170" s="3" t="s">
        <v>40</v>
      </c>
    </row>
    <row r="2171" ht="15.75" customHeight="1">
      <c r="A2171" s="3" t="s">
        <v>2249</v>
      </c>
      <c r="B2171" s="3" t="s">
        <v>36</v>
      </c>
      <c r="C2171" s="3" t="s">
        <v>18</v>
      </c>
      <c r="D2171" s="3">
        <v>73035.4613936605</v>
      </c>
      <c r="E2171" s="3">
        <v>24544.4849826754</v>
      </c>
      <c r="F2171" s="3">
        <v>17735.4241330307</v>
      </c>
      <c r="G2171" s="5"/>
      <c r="H2171" s="3">
        <v>100071.526081715</v>
      </c>
      <c r="I2171" s="3">
        <v>70516.0477485302</v>
      </c>
      <c r="J2171" s="3" t="s">
        <v>1034</v>
      </c>
      <c r="K2171" s="3">
        <v>20.0</v>
      </c>
      <c r="L2171" s="3" t="s">
        <v>21</v>
      </c>
    </row>
    <row r="2172" ht="15.75" customHeight="1">
      <c r="A2172" s="3" t="s">
        <v>2250</v>
      </c>
      <c r="B2172" s="3" t="s">
        <v>25</v>
      </c>
      <c r="C2172" s="3" t="s">
        <v>30</v>
      </c>
      <c r="D2172" s="3">
        <v>73046.3443635667</v>
      </c>
      <c r="E2172" s="3">
        <v>24549.0997010028</v>
      </c>
      <c r="F2172" s="3">
        <v>17743.1041364602</v>
      </c>
      <c r="G2172" s="3">
        <v>14683.3748644853</v>
      </c>
      <c r="H2172" s="3">
        <v>100086.173898036</v>
      </c>
      <c r="I2172" s="3">
        <v>70518.963766203</v>
      </c>
      <c r="J2172" s="3" t="s">
        <v>1034</v>
      </c>
      <c r="K2172" s="3">
        <v>7.0</v>
      </c>
      <c r="L2172" s="3" t="s">
        <v>34</v>
      </c>
    </row>
    <row r="2173" ht="15.75" customHeight="1">
      <c r="A2173" s="3" t="s">
        <v>2251</v>
      </c>
      <c r="B2173" s="3" t="s">
        <v>17</v>
      </c>
      <c r="C2173" s="3" t="s">
        <v>26</v>
      </c>
      <c r="D2173" s="3">
        <v>73068.1103033791</v>
      </c>
      <c r="E2173" s="3">
        <v>24558.3291376577</v>
      </c>
      <c r="F2173" s="3">
        <v>17758.4641433192</v>
      </c>
      <c r="G2173" s="3">
        <v>14690.1699658599</v>
      </c>
      <c r="H2173" s="3">
        <v>100115.469530677</v>
      </c>
      <c r="I2173" s="3">
        <v>70524.7958015485</v>
      </c>
      <c r="J2173" s="3" t="s">
        <v>1021</v>
      </c>
      <c r="K2173" s="3">
        <v>17.0</v>
      </c>
      <c r="L2173" s="3" t="s">
        <v>23</v>
      </c>
    </row>
    <row r="2174" ht="15.75" customHeight="1">
      <c r="A2174" s="3" t="s">
        <v>2252</v>
      </c>
      <c r="B2174" s="3" t="s">
        <v>51</v>
      </c>
      <c r="C2174" s="3" t="s">
        <v>26</v>
      </c>
      <c r="D2174" s="3">
        <v>73078.9932732853</v>
      </c>
      <c r="E2174" s="3">
        <v>24562.9438559851</v>
      </c>
      <c r="F2174" s="3">
        <v>17766.1441467487</v>
      </c>
      <c r="G2174" s="3">
        <v>14693.5675165472</v>
      </c>
      <c r="H2174" s="3">
        <v>58385.4257567381</v>
      </c>
      <c r="I2174" s="3">
        <v>63385.4257567381</v>
      </c>
      <c r="J2174" s="3" t="s">
        <v>1014</v>
      </c>
      <c r="K2174" s="3">
        <v>22.0</v>
      </c>
      <c r="L2174" s="3" t="s">
        <v>27</v>
      </c>
    </row>
    <row r="2175" ht="15.75" customHeight="1">
      <c r="A2175" s="3" t="s">
        <v>2253</v>
      </c>
      <c r="B2175" s="3" t="s">
        <v>25</v>
      </c>
      <c r="C2175" s="3" t="s">
        <v>30</v>
      </c>
      <c r="D2175" s="3">
        <v>73089.8762431914</v>
      </c>
      <c r="E2175" s="3">
        <v>24567.5585743125</v>
      </c>
      <c r="F2175" s="3">
        <v>17773.8241501782</v>
      </c>
      <c r="G2175" s="3">
        <v>14696.9650672345</v>
      </c>
      <c r="H2175" s="3">
        <v>100144.765163318</v>
      </c>
      <c r="I2175" s="3">
        <v>70530.627836894</v>
      </c>
      <c r="J2175" s="3" t="s">
        <v>1062</v>
      </c>
      <c r="K2175" s="3">
        <v>1.0</v>
      </c>
      <c r="L2175" s="3" t="s">
        <v>15</v>
      </c>
    </row>
    <row r="2176" ht="15.75" customHeight="1">
      <c r="A2176" s="3" t="s">
        <v>2254</v>
      </c>
      <c r="B2176" s="3" t="s">
        <v>25</v>
      </c>
      <c r="C2176" s="3" t="s">
        <v>14</v>
      </c>
      <c r="D2176" s="3">
        <v>73122.52515291</v>
      </c>
      <c r="E2176" s="3">
        <v>24581.4027292948</v>
      </c>
      <c r="F2176" s="3">
        <v>17796.8641604667</v>
      </c>
      <c r="G2176" s="3">
        <v>14707.1577192963</v>
      </c>
      <c r="H2176" s="3">
        <v>100188.708612279</v>
      </c>
      <c r="I2176" s="3">
        <v>70539.3758899123</v>
      </c>
      <c r="J2176" s="3" t="s">
        <v>1014</v>
      </c>
      <c r="K2176" s="3">
        <v>9.0</v>
      </c>
      <c r="L2176" s="3" t="s">
        <v>40</v>
      </c>
    </row>
    <row r="2177" ht="15.75" customHeight="1">
      <c r="A2177" s="3" t="s">
        <v>2255</v>
      </c>
      <c r="B2177" s="3" t="s">
        <v>36</v>
      </c>
      <c r="C2177" s="3" t="s">
        <v>37</v>
      </c>
      <c r="D2177" s="3">
        <v>73133.4081228162</v>
      </c>
      <c r="E2177" s="3">
        <v>24586.0174476222</v>
      </c>
      <c r="F2177" s="3">
        <v>17804.5441638962</v>
      </c>
      <c r="G2177" s="3">
        <v>14710.5552699836</v>
      </c>
      <c r="H2177" s="3">
        <v>100203.3564286</v>
      </c>
      <c r="I2177" s="3">
        <v>70542.2919075851</v>
      </c>
      <c r="J2177" s="3" t="s">
        <v>1034</v>
      </c>
      <c r="K2177" s="3">
        <v>1.0</v>
      </c>
      <c r="L2177" s="3" t="s">
        <v>38</v>
      </c>
    </row>
    <row r="2178" ht="15.75" customHeight="1">
      <c r="A2178" s="3" t="s">
        <v>2256</v>
      </c>
      <c r="B2178" s="3" t="s">
        <v>53</v>
      </c>
      <c r="C2178" s="3" t="s">
        <v>18</v>
      </c>
      <c r="D2178" s="3">
        <v>73144.2910927224</v>
      </c>
      <c r="E2178" s="3">
        <v>24590.6321659496</v>
      </c>
      <c r="F2178" s="3">
        <v>17812.2241673257</v>
      </c>
      <c r="G2178" s="3">
        <v>14713.9528206709</v>
      </c>
      <c r="H2178" s="3">
        <v>100218.00424492</v>
      </c>
      <c r="I2178" s="3">
        <v>70545.2079252579</v>
      </c>
      <c r="J2178" s="3" t="s">
        <v>1040</v>
      </c>
      <c r="K2178" s="3">
        <v>19.0</v>
      </c>
      <c r="L2178" s="3" t="s">
        <v>21</v>
      </c>
    </row>
    <row r="2179" ht="15.75" customHeight="1">
      <c r="A2179" s="3" t="s">
        <v>2257</v>
      </c>
      <c r="B2179" s="3" t="s">
        <v>25</v>
      </c>
      <c r="C2179" s="3" t="s">
        <v>14</v>
      </c>
      <c r="D2179" s="3">
        <v>73155.1740626286</v>
      </c>
      <c r="E2179" s="3">
        <v>24595.2468842771</v>
      </c>
      <c r="F2179" s="3">
        <v>17819.9041707552</v>
      </c>
      <c r="G2179" s="3">
        <v>14717.3503713582</v>
      </c>
      <c r="H2179" s="3">
        <v>100232.652061241</v>
      </c>
      <c r="I2179" s="3">
        <v>70548.1239429306</v>
      </c>
      <c r="J2179" s="3" t="s">
        <v>1042</v>
      </c>
      <c r="K2179" s="3">
        <v>4.0</v>
      </c>
      <c r="L2179" s="3" t="s">
        <v>42</v>
      </c>
    </row>
    <row r="2180" ht="15.75" customHeight="1">
      <c r="A2180" s="3" t="s">
        <v>2258</v>
      </c>
      <c r="B2180" s="3" t="s">
        <v>13</v>
      </c>
      <c r="C2180" s="3" t="s">
        <v>18</v>
      </c>
      <c r="D2180" s="3">
        <v>73166.0570325348</v>
      </c>
      <c r="E2180" s="3">
        <v>24599.8616026045</v>
      </c>
      <c r="F2180" s="3">
        <v>17827.5841741847</v>
      </c>
      <c r="G2180" s="3">
        <v>14720.7479220455</v>
      </c>
      <c r="H2180" s="3">
        <v>100247.299877561</v>
      </c>
      <c r="I2180" s="3">
        <v>70551.0399606034</v>
      </c>
      <c r="J2180" s="3" t="s">
        <v>1042</v>
      </c>
      <c r="K2180" s="3">
        <v>13.0</v>
      </c>
      <c r="L2180" s="3" t="s">
        <v>38</v>
      </c>
    </row>
    <row r="2181" ht="15.75" customHeight="1">
      <c r="A2181" s="3" t="s">
        <v>2259</v>
      </c>
      <c r="B2181" s="3" t="s">
        <v>53</v>
      </c>
      <c r="C2181" s="3" t="s">
        <v>18</v>
      </c>
      <c r="D2181" s="3">
        <v>73176.940002441</v>
      </c>
      <c r="E2181" s="3">
        <v>24604.4763209319</v>
      </c>
      <c r="F2181" s="3">
        <v>17835.2641776142</v>
      </c>
      <c r="G2181" s="3">
        <v>14724.1454727327</v>
      </c>
      <c r="H2181" s="3">
        <v>100261.947693882</v>
      </c>
      <c r="I2181" s="3">
        <v>70553.9559782762</v>
      </c>
      <c r="J2181" s="3" t="s">
        <v>1023</v>
      </c>
      <c r="K2181" s="3">
        <v>6.0</v>
      </c>
      <c r="L2181" s="3" t="s">
        <v>31</v>
      </c>
    </row>
    <row r="2182" ht="15.75" customHeight="1">
      <c r="A2182" s="3" t="s">
        <v>2260</v>
      </c>
      <c r="B2182" s="3" t="s">
        <v>53</v>
      </c>
      <c r="C2182" s="3" t="s">
        <v>54</v>
      </c>
      <c r="D2182" s="3">
        <v>73187.8229723472</v>
      </c>
      <c r="E2182" s="3">
        <v>24609.0910392593</v>
      </c>
      <c r="F2182" s="3">
        <v>17842.9441810437</v>
      </c>
      <c r="G2182" s="3">
        <v>14727.54302342</v>
      </c>
      <c r="H2182" s="3">
        <v>100276.595510202</v>
      </c>
      <c r="I2182" s="3">
        <v>70556.8719959489</v>
      </c>
      <c r="J2182" s="3" t="s">
        <v>1021</v>
      </c>
      <c r="K2182" s="3">
        <v>23.0</v>
      </c>
      <c r="L2182" s="3" t="s">
        <v>40</v>
      </c>
    </row>
    <row r="2183" ht="15.75" customHeight="1">
      <c r="A2183" s="3" t="s">
        <v>2261</v>
      </c>
      <c r="B2183" s="3" t="s">
        <v>17</v>
      </c>
      <c r="C2183" s="3" t="s">
        <v>54</v>
      </c>
      <c r="D2183" s="3">
        <v>73198.7059422534</v>
      </c>
      <c r="E2183" s="3">
        <v>24613.7057575867</v>
      </c>
      <c r="F2183" s="3">
        <v>17850.6241844732</v>
      </c>
      <c r="G2183" s="3">
        <v>14730.9405741073</v>
      </c>
      <c r="H2183" s="3">
        <v>100291.243326522</v>
      </c>
      <c r="I2183" s="3">
        <v>70559.7880136217</v>
      </c>
      <c r="J2183" s="3" t="s">
        <v>1018</v>
      </c>
      <c r="K2183" s="3">
        <v>22.0</v>
      </c>
      <c r="L2183" s="3" t="s">
        <v>31</v>
      </c>
    </row>
    <row r="2184" ht="15.75" customHeight="1">
      <c r="A2184" s="3" t="s">
        <v>2262</v>
      </c>
      <c r="B2184" s="3" t="s">
        <v>13</v>
      </c>
      <c r="C2184" s="3" t="s">
        <v>37</v>
      </c>
      <c r="D2184" s="3">
        <v>73209.5889121596</v>
      </c>
      <c r="E2184" s="3">
        <v>24618.3204759142</v>
      </c>
      <c r="F2184" s="3">
        <v>17858.3041879027</v>
      </c>
      <c r="G2184" s="3">
        <v>14734.3381247946</v>
      </c>
      <c r="H2184" s="3">
        <v>100305.891142843</v>
      </c>
      <c r="I2184" s="3">
        <v>70562.7040312945</v>
      </c>
      <c r="J2184" s="3" t="s">
        <v>1014</v>
      </c>
      <c r="K2184" s="3">
        <v>7.0</v>
      </c>
      <c r="L2184" s="3" t="s">
        <v>42</v>
      </c>
    </row>
    <row r="2185" ht="15.75" customHeight="1">
      <c r="A2185" s="3" t="s">
        <v>2263</v>
      </c>
      <c r="B2185" s="3" t="s">
        <v>36</v>
      </c>
      <c r="C2185" s="3" t="s">
        <v>14</v>
      </c>
      <c r="D2185" s="3">
        <v>73220.4718820658</v>
      </c>
      <c r="E2185" s="3">
        <v>24622.9351942416</v>
      </c>
      <c r="F2185" s="3">
        <v>17865.9841913322</v>
      </c>
      <c r="G2185" s="3">
        <v>14737.7356754819</v>
      </c>
      <c r="H2185" s="3">
        <v>100320.538959163</v>
      </c>
      <c r="I2185" s="3">
        <v>70565.6200489672</v>
      </c>
      <c r="J2185" s="3" t="s">
        <v>1018</v>
      </c>
      <c r="K2185" s="3">
        <v>10.0</v>
      </c>
      <c r="L2185" s="3" t="s">
        <v>40</v>
      </c>
    </row>
    <row r="2186" ht="15.75" customHeight="1">
      <c r="A2186" s="3" t="s">
        <v>2264</v>
      </c>
      <c r="B2186" s="3" t="s">
        <v>29</v>
      </c>
      <c r="C2186" s="3" t="s">
        <v>26</v>
      </c>
      <c r="D2186" s="3">
        <v>73242.2378218782</v>
      </c>
      <c r="E2186" s="3">
        <v>24632.1646308964</v>
      </c>
      <c r="F2186" s="3">
        <v>17881.3441981912</v>
      </c>
      <c r="G2186" s="3">
        <v>14744.5307768565</v>
      </c>
      <c r="H2186" s="3">
        <v>100349.834591804</v>
      </c>
      <c r="I2186" s="3">
        <v>70571.4520843128</v>
      </c>
      <c r="J2186" s="3" t="s">
        <v>1012</v>
      </c>
      <c r="K2186" s="3">
        <v>20.0</v>
      </c>
      <c r="L2186" s="3" t="s">
        <v>23</v>
      </c>
    </row>
    <row r="2187" ht="15.75" customHeight="1">
      <c r="A2187" s="3" t="s">
        <v>2265</v>
      </c>
      <c r="B2187" s="3" t="s">
        <v>13</v>
      </c>
      <c r="C2187" s="3" t="s">
        <v>30</v>
      </c>
      <c r="D2187" s="3">
        <v>73253.1207917843</v>
      </c>
      <c r="E2187" s="3">
        <v>24636.7793492239</v>
      </c>
      <c r="F2187" s="3">
        <v>17889.0242016207</v>
      </c>
      <c r="G2187" s="3">
        <v>14747.9283275438</v>
      </c>
      <c r="H2187" s="3">
        <v>100364.482408125</v>
      </c>
      <c r="I2187" s="3">
        <v>70574.3681019855</v>
      </c>
      <c r="J2187" s="3" t="s">
        <v>1023</v>
      </c>
      <c r="K2187" s="3">
        <v>1.0</v>
      </c>
      <c r="L2187" s="3" t="s">
        <v>19</v>
      </c>
    </row>
    <row r="2188" ht="15.75" customHeight="1">
      <c r="A2188" s="3" t="s">
        <v>2266</v>
      </c>
      <c r="B2188" s="3" t="s">
        <v>13</v>
      </c>
      <c r="C2188" s="3" t="s">
        <v>33</v>
      </c>
      <c r="D2188" s="3">
        <v>73264.0037616905</v>
      </c>
      <c r="E2188" s="3">
        <v>24641.3940675513</v>
      </c>
      <c r="F2188" s="3">
        <v>17896.7042050501</v>
      </c>
      <c r="G2188" s="3">
        <v>14751.325878231</v>
      </c>
      <c r="H2188" s="3">
        <v>100379.130224445</v>
      </c>
      <c r="I2188" s="3">
        <v>70577.2841196583</v>
      </c>
      <c r="J2188" s="3" t="s">
        <v>1012</v>
      </c>
      <c r="K2188" s="3">
        <v>14.0</v>
      </c>
      <c r="L2188" s="3" t="s">
        <v>15</v>
      </c>
    </row>
    <row r="2189" ht="15.75" customHeight="1">
      <c r="A2189" s="3" t="s">
        <v>2267</v>
      </c>
      <c r="B2189" s="3" t="s">
        <v>13</v>
      </c>
      <c r="C2189" s="3" t="s">
        <v>30</v>
      </c>
      <c r="D2189" s="3">
        <v>73274.8867315967</v>
      </c>
      <c r="E2189" s="3">
        <v>24646.0087858787</v>
      </c>
      <c r="F2189" s="3">
        <v>17904.3842084796</v>
      </c>
      <c r="G2189" s="3">
        <v>14754.7234289183</v>
      </c>
      <c r="H2189" s="3">
        <v>100393.778040766</v>
      </c>
      <c r="I2189" s="3">
        <v>70580.2001373311</v>
      </c>
      <c r="J2189" s="3" t="s">
        <v>1040</v>
      </c>
      <c r="K2189" s="3">
        <v>22.0</v>
      </c>
      <c r="L2189" s="3" t="s">
        <v>23</v>
      </c>
    </row>
    <row r="2190" ht="15.75" customHeight="1">
      <c r="A2190" s="3" t="s">
        <v>2268</v>
      </c>
      <c r="B2190" s="3" t="s">
        <v>13</v>
      </c>
      <c r="C2190" s="3" t="s">
        <v>26</v>
      </c>
      <c r="D2190" s="3">
        <v>73285.7697015029</v>
      </c>
      <c r="E2190" s="3">
        <v>24650.6235042061</v>
      </c>
      <c r="F2190" s="3">
        <v>17912.0642119091</v>
      </c>
      <c r="G2190" s="3">
        <v>14758.1209796056</v>
      </c>
      <c r="H2190" s="3">
        <v>100408.425857086</v>
      </c>
      <c r="I2190" s="3">
        <v>70583.1161550038</v>
      </c>
      <c r="J2190" s="3" t="s">
        <v>1023</v>
      </c>
      <c r="K2190" s="3">
        <v>17.0</v>
      </c>
      <c r="L2190" s="3" t="s">
        <v>15</v>
      </c>
    </row>
    <row r="2191" ht="15.75" customHeight="1">
      <c r="A2191" s="3" t="s">
        <v>2269</v>
      </c>
      <c r="B2191" s="3" t="s">
        <v>17</v>
      </c>
      <c r="C2191" s="3" t="s">
        <v>18</v>
      </c>
      <c r="D2191" s="3">
        <v>73296.6526714091</v>
      </c>
      <c r="E2191" s="3">
        <v>24655.2382225335</v>
      </c>
      <c r="F2191" s="3">
        <v>17919.7442153386</v>
      </c>
      <c r="G2191" s="3">
        <v>14761.5185302929</v>
      </c>
      <c r="H2191" s="3">
        <v>100423.073673407</v>
      </c>
      <c r="I2191" s="3">
        <v>70586.0321726766</v>
      </c>
      <c r="J2191" s="3" t="s">
        <v>1034</v>
      </c>
      <c r="K2191" s="3">
        <v>21.0</v>
      </c>
      <c r="L2191" s="3" t="s">
        <v>23</v>
      </c>
    </row>
    <row r="2192" ht="15.75" customHeight="1">
      <c r="A2192" s="3" t="s">
        <v>2270</v>
      </c>
      <c r="B2192" s="3" t="s">
        <v>25</v>
      </c>
      <c r="C2192" s="3" t="s">
        <v>33</v>
      </c>
      <c r="D2192" s="3">
        <v>73307.5356413153</v>
      </c>
      <c r="E2192" s="3">
        <v>24659.852940861</v>
      </c>
      <c r="F2192" s="3">
        <v>17927.4242187681</v>
      </c>
      <c r="G2192" s="3">
        <v>14764.9160809802</v>
      </c>
      <c r="H2192" s="3">
        <v>100437.721489727</v>
      </c>
      <c r="I2192" s="3">
        <v>70588.9481903494</v>
      </c>
      <c r="J2192" s="3" t="s">
        <v>1014</v>
      </c>
      <c r="K2192" s="3">
        <v>7.0</v>
      </c>
      <c r="L2192" s="3" t="s">
        <v>21</v>
      </c>
    </row>
    <row r="2193" ht="15.75" customHeight="1">
      <c r="A2193" s="3" t="s">
        <v>2271</v>
      </c>
      <c r="B2193" s="3" t="s">
        <v>29</v>
      </c>
      <c r="C2193" s="3" t="s">
        <v>18</v>
      </c>
      <c r="D2193" s="3">
        <v>73318.4186112215</v>
      </c>
      <c r="E2193" s="3">
        <v>24664.4676591884</v>
      </c>
      <c r="F2193" s="3">
        <v>17935.1042221976</v>
      </c>
      <c r="G2193" s="3">
        <v>14768.3136316675</v>
      </c>
      <c r="H2193" s="3">
        <v>100452.369306048</v>
      </c>
      <c r="I2193" s="3">
        <v>70591.8642080221</v>
      </c>
      <c r="J2193" s="3" t="s">
        <v>1042</v>
      </c>
      <c r="K2193" s="3">
        <v>24.0</v>
      </c>
      <c r="L2193" s="3" t="s">
        <v>27</v>
      </c>
    </row>
    <row r="2194" ht="15.75" customHeight="1">
      <c r="A2194" s="3" t="s">
        <v>2272</v>
      </c>
      <c r="B2194" s="3" t="s">
        <v>51</v>
      </c>
      <c r="C2194" s="3" t="s">
        <v>14</v>
      </c>
      <c r="D2194" s="3">
        <v>73329.3015811277</v>
      </c>
      <c r="E2194" s="3">
        <v>24669.0823775158</v>
      </c>
      <c r="F2194" s="3">
        <v>17942.7842256271</v>
      </c>
      <c r="G2194" s="3">
        <v>14771.7111823548</v>
      </c>
      <c r="H2194" s="3">
        <v>100467.017122368</v>
      </c>
      <c r="I2194" s="3">
        <v>70594.7802256949</v>
      </c>
      <c r="J2194" s="3" t="s">
        <v>1012</v>
      </c>
      <c r="K2194" s="3">
        <v>24.0</v>
      </c>
      <c r="L2194" s="3" t="s">
        <v>23</v>
      </c>
    </row>
    <row r="2195" ht="15.75" customHeight="1">
      <c r="A2195" s="3" t="s">
        <v>2273</v>
      </c>
      <c r="B2195" s="3" t="s">
        <v>13</v>
      </c>
      <c r="C2195" s="3" t="s">
        <v>54</v>
      </c>
      <c r="D2195" s="3">
        <v>73340.1845510339</v>
      </c>
      <c r="E2195" s="3">
        <v>24673.6970958432</v>
      </c>
      <c r="F2195" s="3">
        <v>17950.4642290566</v>
      </c>
      <c r="G2195" s="3">
        <v>14775.1087330421</v>
      </c>
      <c r="H2195" s="3">
        <v>100481.664938689</v>
      </c>
      <c r="I2195" s="3">
        <v>70597.6962433677</v>
      </c>
      <c r="J2195" s="3" t="s">
        <v>1031</v>
      </c>
      <c r="K2195" s="3">
        <v>16.0</v>
      </c>
      <c r="L2195" s="3" t="s">
        <v>21</v>
      </c>
    </row>
    <row r="2196" ht="15.75" customHeight="1">
      <c r="A2196" s="3" t="s">
        <v>2274</v>
      </c>
      <c r="B2196" s="3" t="s">
        <v>51</v>
      </c>
      <c r="C2196" s="3" t="s">
        <v>30</v>
      </c>
      <c r="D2196" s="3">
        <v>73351.0675209401</v>
      </c>
      <c r="E2196" s="3">
        <v>24678.3118141707</v>
      </c>
      <c r="F2196" s="3">
        <v>17958.1442324861</v>
      </c>
      <c r="G2196" s="3">
        <v>14778.5062837293</v>
      </c>
      <c r="H2196" s="3">
        <v>100496.312755009</v>
      </c>
      <c r="I2196" s="3">
        <v>70600.6122610404</v>
      </c>
      <c r="J2196" s="3" t="s">
        <v>1018</v>
      </c>
      <c r="K2196" s="3">
        <v>24.0</v>
      </c>
      <c r="L2196" s="3" t="s">
        <v>42</v>
      </c>
    </row>
    <row r="2197" ht="15.75" customHeight="1">
      <c r="A2197" s="3" t="s">
        <v>2275</v>
      </c>
      <c r="B2197" s="3" t="s">
        <v>25</v>
      </c>
      <c r="C2197" s="3" t="s">
        <v>33</v>
      </c>
      <c r="D2197" s="3">
        <v>73361.9504908463</v>
      </c>
      <c r="E2197" s="3">
        <v>24682.9265324981</v>
      </c>
      <c r="F2197" s="3">
        <v>17965.8242359156</v>
      </c>
      <c r="G2197" s="3">
        <v>14781.9038344166</v>
      </c>
      <c r="H2197" s="3">
        <v>100510.96057133</v>
      </c>
      <c r="I2197" s="3">
        <v>70603.5282787132</v>
      </c>
      <c r="J2197" s="3" t="s">
        <v>1031</v>
      </c>
      <c r="K2197" s="3">
        <v>8.0</v>
      </c>
      <c r="L2197" s="3" t="s">
        <v>40</v>
      </c>
    </row>
    <row r="2198" ht="15.75" customHeight="1">
      <c r="A2198" s="3" t="s">
        <v>2276</v>
      </c>
      <c r="B2198" s="3" t="s">
        <v>17</v>
      </c>
      <c r="C2198" s="3" t="s">
        <v>54</v>
      </c>
      <c r="D2198" s="3">
        <v>73372.8334607525</v>
      </c>
      <c r="E2198" s="3">
        <v>24687.5412508255</v>
      </c>
      <c r="F2198" s="3">
        <v>17973.5042393451</v>
      </c>
      <c r="G2198" s="3">
        <v>14785.3013851039</v>
      </c>
      <c r="H2198" s="3">
        <v>100525.60838765</v>
      </c>
      <c r="I2198" s="3">
        <v>70606.444296386</v>
      </c>
      <c r="J2198" s="3" t="s">
        <v>1042</v>
      </c>
      <c r="K2198" s="3">
        <v>24.0</v>
      </c>
      <c r="L2198" s="3" t="s">
        <v>23</v>
      </c>
    </row>
    <row r="2199" ht="15.75" customHeight="1">
      <c r="A2199" s="3" t="s">
        <v>2277</v>
      </c>
      <c r="B2199" s="3" t="s">
        <v>29</v>
      </c>
      <c r="C2199" s="3" t="s">
        <v>37</v>
      </c>
      <c r="D2199" s="3">
        <v>73383.7164306587</v>
      </c>
      <c r="E2199" s="3">
        <v>24692.1559691529</v>
      </c>
      <c r="F2199" s="3">
        <v>17981.1842427746</v>
      </c>
      <c r="G2199" s="3">
        <v>14788.6989357912</v>
      </c>
      <c r="H2199" s="3">
        <v>100540.256203971</v>
      </c>
      <c r="I2199" s="3">
        <v>70609.3603140587</v>
      </c>
      <c r="J2199" s="3" t="s">
        <v>1021</v>
      </c>
      <c r="K2199" s="3">
        <v>4.0</v>
      </c>
      <c r="L2199" s="3" t="s">
        <v>42</v>
      </c>
    </row>
    <row r="2200" ht="15.75" customHeight="1">
      <c r="A2200" s="3" t="s">
        <v>2278</v>
      </c>
      <c r="B2200" s="3" t="s">
        <v>36</v>
      </c>
      <c r="C2200" s="3" t="s">
        <v>33</v>
      </c>
      <c r="D2200" s="3">
        <v>73394.5994005649</v>
      </c>
      <c r="E2200" s="3">
        <v>24696.7706874803</v>
      </c>
      <c r="F2200" s="3">
        <v>17988.8642462041</v>
      </c>
      <c r="G2200" s="3">
        <v>14792.0964864785</v>
      </c>
      <c r="H2200" s="3">
        <v>100554.904020291</v>
      </c>
      <c r="I2200" s="3">
        <v>70612.2763317315</v>
      </c>
      <c r="J2200" s="3" t="s">
        <v>1040</v>
      </c>
      <c r="K2200" s="3">
        <v>20.0</v>
      </c>
      <c r="L2200" s="3" t="s">
        <v>31</v>
      </c>
    </row>
    <row r="2201" ht="15.75" customHeight="1">
      <c r="A2201" s="3" t="s">
        <v>2279</v>
      </c>
      <c r="B2201" s="3" t="s">
        <v>36</v>
      </c>
      <c r="C2201" s="3" t="s">
        <v>33</v>
      </c>
      <c r="D2201" s="3">
        <v>73405.4823704711</v>
      </c>
      <c r="E2201" s="3">
        <v>24701.3854058078</v>
      </c>
      <c r="F2201" s="3">
        <v>17996.5442496336</v>
      </c>
      <c r="G2201" s="3">
        <v>14795.4940371658</v>
      </c>
      <c r="H2201" s="3">
        <v>100569.551836611</v>
      </c>
      <c r="I2201" s="3">
        <v>70615.1923494043</v>
      </c>
      <c r="J2201" s="3" t="s">
        <v>1021</v>
      </c>
      <c r="K2201" s="3">
        <v>11.0</v>
      </c>
      <c r="L2201" s="3" t="s">
        <v>27</v>
      </c>
    </row>
    <row r="2202" ht="15.75" customHeight="1">
      <c r="A2202" s="3" t="s">
        <v>2280</v>
      </c>
      <c r="B2202" s="3" t="s">
        <v>36</v>
      </c>
      <c r="C2202" s="3" t="s">
        <v>14</v>
      </c>
      <c r="D2202" s="3">
        <v>73416.3653403772</v>
      </c>
      <c r="E2202" s="3">
        <v>24706.0001241352</v>
      </c>
      <c r="F2202" s="3">
        <v>18004.2242530631</v>
      </c>
      <c r="G2202" s="3">
        <v>14798.8915878531</v>
      </c>
      <c r="H2202" s="3">
        <v>100584.199652932</v>
      </c>
      <c r="I2202" s="3">
        <v>70618.108367077</v>
      </c>
      <c r="J2202" s="3" t="s">
        <v>1018</v>
      </c>
      <c r="K2202" s="3">
        <v>16.0</v>
      </c>
      <c r="L2202" s="3" t="s">
        <v>21</v>
      </c>
    </row>
    <row r="2203" ht="15.75" customHeight="1">
      <c r="A2203" s="3" t="s">
        <v>2281</v>
      </c>
      <c r="B2203" s="3" t="s">
        <v>53</v>
      </c>
      <c r="C2203" s="3" t="s">
        <v>26</v>
      </c>
      <c r="D2203" s="3">
        <v>73427.2483102834</v>
      </c>
      <c r="E2203" s="3">
        <v>24710.6148424626</v>
      </c>
      <c r="F2203" s="3">
        <v>18011.9042564926</v>
      </c>
      <c r="G2203" s="3">
        <v>14802.2891385403</v>
      </c>
      <c r="H2203" s="3">
        <v>100598.847469252</v>
      </c>
      <c r="I2203" s="3">
        <v>70621.0243847498</v>
      </c>
      <c r="J2203" s="3" t="s">
        <v>1062</v>
      </c>
      <c r="K2203" s="3">
        <v>23.0</v>
      </c>
      <c r="L2203" s="3" t="s">
        <v>42</v>
      </c>
    </row>
    <row r="2204" ht="15.75" customHeight="1">
      <c r="A2204" s="3" t="s">
        <v>2282</v>
      </c>
      <c r="B2204" s="3" t="s">
        <v>36</v>
      </c>
      <c r="C2204" s="3" t="s">
        <v>18</v>
      </c>
      <c r="D2204" s="3">
        <v>73438.1312801896</v>
      </c>
      <c r="E2204" s="3">
        <v>24715.22956079</v>
      </c>
      <c r="F2204" s="3">
        <v>18019.5842599221</v>
      </c>
      <c r="G2204" s="3">
        <v>14805.6866892276</v>
      </c>
      <c r="H2204" s="3">
        <v>100613.495285573</v>
      </c>
      <c r="I2204" s="3">
        <v>70623.9404024226</v>
      </c>
      <c r="J2204" s="3" t="s">
        <v>1021</v>
      </c>
      <c r="K2204" s="3">
        <v>17.0</v>
      </c>
      <c r="L2204" s="3" t="s">
        <v>34</v>
      </c>
    </row>
    <row r="2205" ht="15.75" customHeight="1">
      <c r="A2205" s="3" t="s">
        <v>2283</v>
      </c>
      <c r="B2205" s="3" t="s">
        <v>36</v>
      </c>
      <c r="C2205" s="3" t="s">
        <v>18</v>
      </c>
      <c r="D2205" s="3">
        <v>73449.0142500958</v>
      </c>
      <c r="E2205" s="3">
        <v>24719.8442791175</v>
      </c>
      <c r="F2205" s="3">
        <v>18027.2642633516</v>
      </c>
      <c r="G2205" s="3">
        <v>14809.0842399149</v>
      </c>
      <c r="H2205" s="3">
        <v>100628.143101893</v>
      </c>
      <c r="I2205" s="3">
        <v>70626.8564200953</v>
      </c>
      <c r="J2205" s="3" t="s">
        <v>1021</v>
      </c>
      <c r="K2205" s="3">
        <v>20.0</v>
      </c>
      <c r="L2205" s="3" t="s">
        <v>19</v>
      </c>
    </row>
    <row r="2206" ht="15.75" customHeight="1">
      <c r="A2206" s="3" t="s">
        <v>2284</v>
      </c>
      <c r="B2206" s="3" t="s">
        <v>29</v>
      </c>
      <c r="C2206" s="3" t="s">
        <v>37</v>
      </c>
      <c r="D2206" s="3">
        <v>73459.897220002</v>
      </c>
      <c r="E2206" s="3">
        <v>24724.4589974449</v>
      </c>
      <c r="F2206" s="3">
        <v>18034.9442667811</v>
      </c>
      <c r="G2206" s="3">
        <v>14812.4817906022</v>
      </c>
      <c r="H2206" s="3">
        <v>100642.790918214</v>
      </c>
      <c r="I2206" s="3">
        <v>70629.7724377681</v>
      </c>
      <c r="J2206" s="3" t="s">
        <v>1031</v>
      </c>
      <c r="K2206" s="3">
        <v>24.0</v>
      </c>
      <c r="L2206" s="3" t="s">
        <v>40</v>
      </c>
    </row>
    <row r="2207" ht="15.75" customHeight="1">
      <c r="A2207" s="3" t="s">
        <v>2285</v>
      </c>
      <c r="B2207" s="3" t="s">
        <v>13</v>
      </c>
      <c r="C2207" s="3" t="s">
        <v>26</v>
      </c>
      <c r="D2207" s="3">
        <v>73470.7801899082</v>
      </c>
      <c r="E2207" s="3">
        <v>24729.0737157723</v>
      </c>
      <c r="F2207" s="3">
        <v>18042.6242702106</v>
      </c>
      <c r="G2207" s="3">
        <v>14815.8793412895</v>
      </c>
      <c r="H2207" s="3">
        <v>100657.438734534</v>
      </c>
      <c r="I2207" s="3">
        <v>70632.6884554409</v>
      </c>
      <c r="J2207" s="3" t="s">
        <v>1042</v>
      </c>
      <c r="K2207" s="3">
        <v>25.0</v>
      </c>
      <c r="L2207" s="3" t="s">
        <v>27</v>
      </c>
    </row>
    <row r="2208" ht="15.75" customHeight="1">
      <c r="A2208" s="3" t="s">
        <v>2286</v>
      </c>
      <c r="B2208" s="3" t="s">
        <v>36</v>
      </c>
      <c r="C2208" s="3" t="s">
        <v>54</v>
      </c>
      <c r="D2208" s="3">
        <v>73481.6631598144</v>
      </c>
      <c r="E2208" s="3">
        <v>24733.6884340997</v>
      </c>
      <c r="F2208" s="3">
        <v>18050.3042736401</v>
      </c>
      <c r="G2208" s="3">
        <v>14819.2768919768</v>
      </c>
      <c r="H2208" s="3">
        <v>100672.086550855</v>
      </c>
      <c r="I2208" s="3">
        <v>70635.6044731136</v>
      </c>
      <c r="J2208" s="3" t="s">
        <v>1021</v>
      </c>
      <c r="K2208" s="3">
        <v>4.0</v>
      </c>
      <c r="L2208" s="3" t="s">
        <v>27</v>
      </c>
    </row>
    <row r="2209" ht="15.75" customHeight="1">
      <c r="A2209" s="3" t="s">
        <v>2287</v>
      </c>
      <c r="B2209" s="3" t="s">
        <v>53</v>
      </c>
      <c r="C2209" s="3" t="s">
        <v>18</v>
      </c>
      <c r="D2209" s="3">
        <v>73492.5461297206</v>
      </c>
      <c r="E2209" s="3">
        <v>24738.3031524271</v>
      </c>
      <c r="F2209" s="3">
        <v>18057.9842770696</v>
      </c>
      <c r="G2209" s="3">
        <v>14822.6744426641</v>
      </c>
      <c r="H2209" s="3">
        <v>100686.734367175</v>
      </c>
      <c r="I2209" s="3">
        <v>70638.5204907864</v>
      </c>
      <c r="J2209" s="3" t="s">
        <v>1040</v>
      </c>
      <c r="K2209" s="3">
        <v>25.0</v>
      </c>
      <c r="L2209" s="3" t="s">
        <v>34</v>
      </c>
    </row>
    <row r="2210" ht="15.75" customHeight="1">
      <c r="A2210" s="3" t="s">
        <v>2288</v>
      </c>
      <c r="B2210" s="3" t="s">
        <v>13</v>
      </c>
      <c r="C2210" s="3" t="s">
        <v>14</v>
      </c>
      <c r="D2210" s="3">
        <v>73503.4290996268</v>
      </c>
      <c r="E2210" s="3">
        <v>24742.9178707546</v>
      </c>
      <c r="F2210" s="3">
        <v>18065.6642804991</v>
      </c>
      <c r="G2210" s="3">
        <v>14826.0719933514</v>
      </c>
      <c r="H2210" s="3">
        <v>100701.382183496</v>
      </c>
      <c r="I2210" s="3">
        <v>70641.4365084592</v>
      </c>
      <c r="J2210" s="3" t="s">
        <v>1023</v>
      </c>
      <c r="K2210" s="3">
        <v>5.0</v>
      </c>
      <c r="L2210" s="3" t="s">
        <v>21</v>
      </c>
    </row>
    <row r="2211" ht="15.75" customHeight="1">
      <c r="A2211" s="3" t="s">
        <v>2289</v>
      </c>
      <c r="B2211" s="3" t="s">
        <v>51</v>
      </c>
      <c r="C2211" s="3" t="s">
        <v>14</v>
      </c>
      <c r="D2211" s="3">
        <v>73514.312069533</v>
      </c>
      <c r="E2211" s="3">
        <v>24747.532589082</v>
      </c>
      <c r="F2211" s="3">
        <v>18073.3442839286</v>
      </c>
      <c r="G2211" s="5"/>
      <c r="H2211" s="3">
        <v>100716.029999816</v>
      </c>
      <c r="I2211" s="3">
        <v>70644.3525261319</v>
      </c>
      <c r="J2211" s="3" t="s">
        <v>1034</v>
      </c>
      <c r="K2211" s="3">
        <v>18.0</v>
      </c>
      <c r="L2211" s="3" t="s">
        <v>34</v>
      </c>
    </row>
    <row r="2212" ht="15.75" customHeight="1">
      <c r="A2212" s="3" t="s">
        <v>2290</v>
      </c>
      <c r="B2212" s="3" t="s">
        <v>13</v>
      </c>
      <c r="C2212" s="3" t="s">
        <v>18</v>
      </c>
      <c r="D2212" s="3">
        <v>73525.1950394392</v>
      </c>
      <c r="E2212" s="3">
        <v>24752.1473074094</v>
      </c>
      <c r="F2212" s="3">
        <v>18081.0242873581</v>
      </c>
      <c r="G2212" s="3">
        <v>14832.8670947259</v>
      </c>
      <c r="H2212" s="3">
        <v>100730.677816137</v>
      </c>
      <c r="I2212" s="3">
        <v>70647.2685438047</v>
      </c>
      <c r="J2212" s="3" t="s">
        <v>1042</v>
      </c>
      <c r="K2212" s="3">
        <v>8.0</v>
      </c>
      <c r="L2212" s="3" t="s">
        <v>38</v>
      </c>
    </row>
    <row r="2213" ht="15.75" customHeight="1">
      <c r="A2213" s="3" t="s">
        <v>2291</v>
      </c>
      <c r="B2213" s="3" t="s">
        <v>53</v>
      </c>
      <c r="C2213" s="3" t="s">
        <v>54</v>
      </c>
      <c r="D2213" s="3">
        <v>73536.0780093454</v>
      </c>
      <c r="E2213" s="3">
        <v>24756.7620257368</v>
      </c>
      <c r="F2213" s="3">
        <v>18088.7042907876</v>
      </c>
      <c r="G2213" s="3">
        <v>14836.2646454132</v>
      </c>
      <c r="H2213" s="3">
        <v>100745.325632457</v>
      </c>
      <c r="I2213" s="3">
        <v>70650.1845614775</v>
      </c>
      <c r="J2213" s="3" t="s">
        <v>1031</v>
      </c>
      <c r="K2213" s="3">
        <v>20.0</v>
      </c>
      <c r="L2213" s="3" t="s">
        <v>19</v>
      </c>
    </row>
    <row r="2214" ht="15.75" customHeight="1">
      <c r="A2214" s="3" t="s">
        <v>2292</v>
      </c>
      <c r="B2214" s="3" t="s">
        <v>53</v>
      </c>
      <c r="C2214" s="3" t="s">
        <v>37</v>
      </c>
      <c r="D2214" s="3">
        <v>73546.9609792516</v>
      </c>
      <c r="E2214" s="3">
        <v>24761.3767440642</v>
      </c>
      <c r="F2214" s="3">
        <v>18096.3842942171</v>
      </c>
      <c r="G2214" s="3">
        <v>14839.6621961005</v>
      </c>
      <c r="H2214" s="3">
        <v>100759.973448778</v>
      </c>
      <c r="I2214" s="3">
        <v>70653.1005791502</v>
      </c>
      <c r="J2214" s="3" t="s">
        <v>1062</v>
      </c>
      <c r="K2214" s="3">
        <v>15.0</v>
      </c>
      <c r="L2214" s="3" t="s">
        <v>27</v>
      </c>
    </row>
    <row r="2215" ht="15.75" customHeight="1">
      <c r="A2215" s="3" t="s">
        <v>2293</v>
      </c>
      <c r="B2215" s="3" t="s">
        <v>51</v>
      </c>
      <c r="C2215" s="3" t="s">
        <v>18</v>
      </c>
      <c r="D2215" s="3">
        <v>73557.8439491578</v>
      </c>
      <c r="E2215" s="3">
        <v>24765.9914623917</v>
      </c>
      <c r="F2215" s="3">
        <v>18104.0642976466</v>
      </c>
      <c r="G2215" s="3">
        <v>14843.0597467878</v>
      </c>
      <c r="H2215" s="3">
        <v>100774.621265098</v>
      </c>
      <c r="I2215" s="3">
        <v>70656.016596823</v>
      </c>
      <c r="J2215" s="3" t="s">
        <v>1016</v>
      </c>
      <c r="K2215" s="3">
        <v>9.0</v>
      </c>
      <c r="L2215" s="3" t="s">
        <v>34</v>
      </c>
    </row>
    <row r="2216" ht="15.75" customHeight="1">
      <c r="A2216" s="3" t="s">
        <v>2294</v>
      </c>
      <c r="B2216" s="3" t="s">
        <v>13</v>
      </c>
      <c r="C2216" s="3" t="s">
        <v>54</v>
      </c>
      <c r="D2216" s="3">
        <v>73568.726919064</v>
      </c>
      <c r="E2216" s="3">
        <v>24770.6061807191</v>
      </c>
      <c r="F2216" s="3">
        <v>18111.7443010761</v>
      </c>
      <c r="G2216" s="3">
        <v>14846.4572974751</v>
      </c>
      <c r="H2216" s="3">
        <v>100789.269081419</v>
      </c>
      <c r="I2216" s="3">
        <v>70658.9326144958</v>
      </c>
      <c r="J2216" s="3" t="s">
        <v>1012</v>
      </c>
      <c r="K2216" s="3">
        <v>7.0</v>
      </c>
      <c r="L2216" s="3" t="s">
        <v>21</v>
      </c>
    </row>
    <row r="2217" ht="15.75" customHeight="1">
      <c r="A2217" s="3" t="s">
        <v>2295</v>
      </c>
      <c r="B2217" s="3" t="s">
        <v>25</v>
      </c>
      <c r="C2217" s="3" t="s">
        <v>33</v>
      </c>
      <c r="D2217" s="3">
        <v>73579.6098889702</v>
      </c>
      <c r="E2217" s="3">
        <v>24775.2208990465</v>
      </c>
      <c r="F2217" s="3">
        <v>18119.4243045056</v>
      </c>
      <c r="G2217" s="3">
        <v>14849.8548481624</v>
      </c>
      <c r="H2217" s="3">
        <v>100803.916897739</v>
      </c>
      <c r="I2217" s="3">
        <v>70661.8486321685</v>
      </c>
      <c r="J2217" s="3" t="s">
        <v>1018</v>
      </c>
      <c r="K2217" s="3">
        <v>17.0</v>
      </c>
      <c r="L2217" s="3" t="s">
        <v>40</v>
      </c>
    </row>
    <row r="2218" ht="15.75" customHeight="1">
      <c r="A2218" s="3" t="s">
        <v>2296</v>
      </c>
      <c r="B2218" s="3" t="s">
        <v>53</v>
      </c>
      <c r="C2218" s="3" t="s">
        <v>30</v>
      </c>
      <c r="D2218" s="3">
        <v>73590.4928588763</v>
      </c>
      <c r="E2218" s="3">
        <v>24779.8356173739</v>
      </c>
      <c r="F2218" s="3">
        <v>18127.1043079351</v>
      </c>
      <c r="G2218" s="3">
        <v>14853.2523988497</v>
      </c>
      <c r="H2218" s="3">
        <v>100818.56471406</v>
      </c>
      <c r="I2218" s="3">
        <v>70664.7646498413</v>
      </c>
      <c r="J2218" s="3" t="s">
        <v>1012</v>
      </c>
      <c r="K2218" s="3">
        <v>3.0</v>
      </c>
      <c r="L2218" s="3" t="s">
        <v>23</v>
      </c>
    </row>
    <row r="2219" ht="15.75" customHeight="1">
      <c r="A2219" s="3" t="s">
        <v>2297</v>
      </c>
      <c r="B2219" s="3" t="s">
        <v>51</v>
      </c>
      <c r="C2219" s="3" t="s">
        <v>26</v>
      </c>
      <c r="D2219" s="3">
        <v>73601.3758287825</v>
      </c>
      <c r="E2219" s="3">
        <v>24784.4503357014</v>
      </c>
      <c r="F2219" s="3">
        <v>18134.7843113646</v>
      </c>
      <c r="G2219" s="3">
        <v>14856.6499495369</v>
      </c>
      <c r="H2219" s="3">
        <v>100833.21253038</v>
      </c>
      <c r="I2219" s="3">
        <v>70667.6806675141</v>
      </c>
      <c r="J2219" s="3" t="s">
        <v>1034</v>
      </c>
      <c r="K2219" s="3">
        <v>12.0</v>
      </c>
      <c r="L2219" s="3" t="s">
        <v>19</v>
      </c>
    </row>
    <row r="2220" ht="15.75" customHeight="1">
      <c r="A2220" s="3" t="s">
        <v>2298</v>
      </c>
      <c r="B2220" s="3" t="s">
        <v>13</v>
      </c>
      <c r="C2220" s="3" t="s">
        <v>18</v>
      </c>
      <c r="D2220" s="3">
        <v>73612.2587986887</v>
      </c>
      <c r="E2220" s="3">
        <v>24789.0650540288</v>
      </c>
      <c r="F2220" s="3">
        <v>18142.4643147941</v>
      </c>
      <c r="G2220" s="3">
        <v>14860.0475002242</v>
      </c>
      <c r="H2220" s="3">
        <v>100847.8603467</v>
      </c>
      <c r="I2220" s="3">
        <v>70670.5966851868</v>
      </c>
      <c r="J2220" s="3" t="s">
        <v>1012</v>
      </c>
      <c r="K2220" s="3">
        <v>12.0</v>
      </c>
      <c r="L2220" s="3" t="s">
        <v>27</v>
      </c>
    </row>
    <row r="2221" ht="15.75" customHeight="1">
      <c r="A2221" s="3" t="s">
        <v>2299</v>
      </c>
      <c r="B2221" s="3" t="s">
        <v>53</v>
      </c>
      <c r="C2221" s="3" t="s">
        <v>37</v>
      </c>
      <c r="D2221" s="3">
        <v>73623.1417685949</v>
      </c>
      <c r="E2221" s="3">
        <v>24793.6797723562</v>
      </c>
      <c r="F2221" s="3">
        <v>18150.1443182236</v>
      </c>
      <c r="G2221" s="3">
        <v>14863.4450509115</v>
      </c>
      <c r="H2221" s="3">
        <v>100862.508163021</v>
      </c>
      <c r="I2221" s="3">
        <v>70673.5127028596</v>
      </c>
      <c r="J2221" s="3" t="s">
        <v>1040</v>
      </c>
      <c r="K2221" s="3">
        <v>10.0</v>
      </c>
      <c r="L2221" s="3" t="s">
        <v>23</v>
      </c>
    </row>
    <row r="2222" ht="15.75" customHeight="1">
      <c r="A2222" s="3" t="s">
        <v>2300</v>
      </c>
      <c r="B2222" s="3" t="s">
        <v>25</v>
      </c>
      <c r="C2222" s="3" t="s">
        <v>54</v>
      </c>
      <c r="D2222" s="3">
        <v>73634.0247385011</v>
      </c>
      <c r="E2222" s="3">
        <v>24798.2944906836</v>
      </c>
      <c r="F2222" s="3">
        <v>18157.8243216531</v>
      </c>
      <c r="G2222" s="3">
        <v>14866.8426015988</v>
      </c>
      <c r="H2222" s="3">
        <v>100877.155979341</v>
      </c>
      <c r="I2222" s="3">
        <v>70676.4287205324</v>
      </c>
      <c r="J2222" s="3" t="s">
        <v>1021</v>
      </c>
      <c r="K2222" s="3">
        <v>7.0</v>
      </c>
      <c r="L2222" s="3" t="s">
        <v>31</v>
      </c>
    </row>
    <row r="2223" ht="15.75" customHeight="1">
      <c r="A2223" s="3" t="s">
        <v>2301</v>
      </c>
      <c r="B2223" s="3" t="s">
        <v>13</v>
      </c>
      <c r="C2223" s="3" t="s">
        <v>37</v>
      </c>
      <c r="D2223" s="3">
        <v>73644.9077084073</v>
      </c>
      <c r="E2223" s="3">
        <v>24802.909209011</v>
      </c>
      <c r="F2223" s="3">
        <v>18165.5043250826</v>
      </c>
      <c r="G2223" s="3">
        <v>14870.2401522861</v>
      </c>
      <c r="H2223" s="3">
        <v>100891.803795662</v>
      </c>
      <c r="I2223" s="3">
        <v>70679.3447382051</v>
      </c>
      <c r="J2223" s="3" t="s">
        <v>1012</v>
      </c>
      <c r="K2223" s="3">
        <v>8.0</v>
      </c>
      <c r="L2223" s="3" t="s">
        <v>42</v>
      </c>
    </row>
    <row r="2224" ht="15.75" customHeight="1">
      <c r="A2224" s="3" t="s">
        <v>2302</v>
      </c>
      <c r="B2224" s="3" t="s">
        <v>29</v>
      </c>
      <c r="C2224" s="3" t="s">
        <v>33</v>
      </c>
      <c r="D2224" s="3">
        <v>73655.7906783135</v>
      </c>
      <c r="E2224" s="3">
        <v>24807.5239273385</v>
      </c>
      <c r="F2224" s="3">
        <v>18173.184328512</v>
      </c>
      <c r="G2224" s="3">
        <v>14873.6377029734</v>
      </c>
      <c r="H2224" s="3">
        <v>100906.451611982</v>
      </c>
      <c r="I2224" s="3">
        <v>70682.2607558779</v>
      </c>
      <c r="J2224" s="3" t="s">
        <v>1040</v>
      </c>
      <c r="K2224" s="3">
        <v>2.0</v>
      </c>
      <c r="L2224" s="3" t="s">
        <v>40</v>
      </c>
    </row>
    <row r="2225" ht="15.75" customHeight="1">
      <c r="A2225" s="3" t="s">
        <v>2303</v>
      </c>
      <c r="B2225" s="3" t="s">
        <v>51</v>
      </c>
      <c r="C2225" s="3" t="s">
        <v>14</v>
      </c>
      <c r="D2225" s="3">
        <v>73666.6736482197</v>
      </c>
      <c r="E2225" s="3">
        <v>24812.1386456659</v>
      </c>
      <c r="F2225" s="3">
        <v>18180.8643319415</v>
      </c>
      <c r="G2225" s="3">
        <v>14877.0352536607</v>
      </c>
      <c r="H2225" s="3">
        <v>100921.099428303</v>
      </c>
      <c r="I2225" s="3">
        <v>70685.1767735507</v>
      </c>
      <c r="J2225" s="3" t="s">
        <v>1016</v>
      </c>
      <c r="K2225" s="3">
        <v>24.0</v>
      </c>
      <c r="L2225" s="3" t="s">
        <v>42</v>
      </c>
    </row>
    <row r="2226" ht="15.75" customHeight="1">
      <c r="A2226" s="3" t="s">
        <v>2304</v>
      </c>
      <c r="B2226" s="3" t="s">
        <v>13</v>
      </c>
      <c r="C2226" s="3" t="s">
        <v>14</v>
      </c>
      <c r="D2226" s="5"/>
      <c r="E2226" s="3">
        <v>24816.7533639933</v>
      </c>
      <c r="F2226" s="3">
        <v>18188.544335371</v>
      </c>
      <c r="G2226" s="3">
        <v>14880.4328043479</v>
      </c>
      <c r="H2226" s="3">
        <v>100935.747244623</v>
      </c>
      <c r="I2226" s="3">
        <v>70688.0927912234</v>
      </c>
      <c r="J2226" s="3" t="s">
        <v>1040</v>
      </c>
      <c r="K2226" s="3">
        <v>5.0</v>
      </c>
      <c r="L2226" s="3" t="s">
        <v>21</v>
      </c>
    </row>
    <row r="2227" ht="15.75" customHeight="1">
      <c r="A2227" s="3" t="s">
        <v>2305</v>
      </c>
      <c r="B2227" s="3" t="s">
        <v>29</v>
      </c>
      <c r="C2227" s="3" t="s">
        <v>30</v>
      </c>
      <c r="D2227" s="3">
        <v>73688.4395880321</v>
      </c>
      <c r="E2227" s="3">
        <v>24821.3680823207</v>
      </c>
      <c r="F2227" s="3">
        <v>18196.2243388005</v>
      </c>
      <c r="G2227" s="3">
        <v>14883.8303550352</v>
      </c>
      <c r="H2227" s="3">
        <v>100950.395060944</v>
      </c>
      <c r="I2227" s="3">
        <v>70691.0088088962</v>
      </c>
      <c r="J2227" s="3" t="s">
        <v>1016</v>
      </c>
      <c r="K2227" s="3">
        <v>14.0</v>
      </c>
      <c r="L2227" s="3" t="s">
        <v>34</v>
      </c>
    </row>
    <row r="2228" ht="15.75" customHeight="1">
      <c r="A2228" s="3" t="s">
        <v>2306</v>
      </c>
      <c r="B2228" s="3" t="s">
        <v>25</v>
      </c>
      <c r="C2228" s="3" t="s">
        <v>33</v>
      </c>
      <c r="D2228" s="3">
        <v>73699.3225579383</v>
      </c>
      <c r="E2228" s="3">
        <v>24825.9828006482</v>
      </c>
      <c r="F2228" s="3">
        <v>18203.90434223</v>
      </c>
      <c r="G2228" s="3">
        <v>14887.2279057225</v>
      </c>
      <c r="H2228" s="3">
        <v>100965.042877264</v>
      </c>
      <c r="I2228" s="3">
        <v>70693.924826569</v>
      </c>
      <c r="J2228" s="3" t="s">
        <v>1040</v>
      </c>
      <c r="K2228" s="3">
        <v>16.0</v>
      </c>
      <c r="L2228" s="3" t="s">
        <v>21</v>
      </c>
    </row>
    <row r="2229" ht="15.75" customHeight="1">
      <c r="A2229" s="3" t="s">
        <v>2307</v>
      </c>
      <c r="B2229" s="3" t="s">
        <v>53</v>
      </c>
      <c r="C2229" s="3" t="s">
        <v>14</v>
      </c>
      <c r="D2229" s="3">
        <v>73710.2055278445</v>
      </c>
      <c r="E2229" s="3">
        <v>24830.5975189756</v>
      </c>
      <c r="F2229" s="3">
        <v>18211.5843456595</v>
      </c>
      <c r="G2229" s="3">
        <v>14890.6254564098</v>
      </c>
      <c r="H2229" s="3">
        <v>100979.690693585</v>
      </c>
      <c r="I2229" s="3">
        <v>70696.8408442418</v>
      </c>
      <c r="J2229" s="3" t="s">
        <v>1034</v>
      </c>
      <c r="K2229" s="3">
        <v>7.0</v>
      </c>
      <c r="L2229" s="3" t="s">
        <v>31</v>
      </c>
    </row>
    <row r="2230" ht="15.75" customHeight="1">
      <c r="A2230" s="3" t="s">
        <v>2308</v>
      </c>
      <c r="B2230" s="3" t="s">
        <v>29</v>
      </c>
      <c r="C2230" s="3" t="s">
        <v>30</v>
      </c>
      <c r="D2230" s="3">
        <v>73721.0884977507</v>
      </c>
      <c r="E2230" s="3">
        <v>24835.212237303</v>
      </c>
      <c r="F2230" s="3">
        <v>18219.264349089</v>
      </c>
      <c r="G2230" s="3">
        <v>14894.0230070971</v>
      </c>
      <c r="H2230" s="3">
        <v>100994.338509905</v>
      </c>
      <c r="I2230" s="3">
        <v>70699.7568619145</v>
      </c>
      <c r="J2230" s="3" t="s">
        <v>1012</v>
      </c>
      <c r="K2230" s="3">
        <v>24.0</v>
      </c>
      <c r="L2230" s="3" t="s">
        <v>34</v>
      </c>
    </row>
    <row r="2231" ht="15.75" customHeight="1">
      <c r="A2231" s="3" t="s">
        <v>2309</v>
      </c>
      <c r="B2231" s="3" t="s">
        <v>51</v>
      </c>
      <c r="C2231" s="3" t="s">
        <v>37</v>
      </c>
      <c r="D2231" s="3">
        <v>73731.9714676569</v>
      </c>
      <c r="E2231" s="3">
        <v>24839.8269556304</v>
      </c>
      <c r="F2231" s="3">
        <v>18226.9443525185</v>
      </c>
      <c r="G2231" s="3">
        <v>14897.4205577844</v>
      </c>
      <c r="H2231" s="3">
        <v>101008.986326226</v>
      </c>
      <c r="I2231" s="3">
        <v>70702.6728795873</v>
      </c>
      <c r="J2231" s="3" t="s">
        <v>1062</v>
      </c>
      <c r="K2231" s="3">
        <v>3.0</v>
      </c>
      <c r="L2231" s="3" t="s">
        <v>34</v>
      </c>
    </row>
    <row r="2232" ht="15.75" customHeight="1">
      <c r="A2232" s="3" t="s">
        <v>2310</v>
      </c>
      <c r="B2232" s="3" t="s">
        <v>13</v>
      </c>
      <c r="C2232" s="3" t="s">
        <v>33</v>
      </c>
      <c r="D2232" s="3">
        <v>73742.854437563</v>
      </c>
      <c r="E2232" s="3">
        <v>24844.4416739578</v>
      </c>
      <c r="F2232" s="3">
        <v>18234.624355948</v>
      </c>
      <c r="G2232" s="3">
        <v>14900.8181084717</v>
      </c>
      <c r="H2232" s="3">
        <v>101023.634142546</v>
      </c>
      <c r="I2232" s="3">
        <v>70705.5888972601</v>
      </c>
      <c r="J2232" s="3" t="s">
        <v>1031</v>
      </c>
      <c r="K2232" s="3">
        <v>17.0</v>
      </c>
      <c r="L2232" s="3" t="s">
        <v>15</v>
      </c>
    </row>
    <row r="2233" ht="15.75" customHeight="1">
      <c r="A2233" s="3" t="s">
        <v>2311</v>
      </c>
      <c r="B2233" s="3" t="s">
        <v>29</v>
      </c>
      <c r="C2233" s="3" t="s">
        <v>54</v>
      </c>
      <c r="D2233" s="3">
        <v>73753.7374074692</v>
      </c>
      <c r="E2233" s="3">
        <v>24849.0563922853</v>
      </c>
      <c r="F2233" s="3">
        <v>18242.3043593775</v>
      </c>
      <c r="G2233" s="3">
        <v>14904.215659159</v>
      </c>
      <c r="H2233" s="3">
        <v>101038.281958867</v>
      </c>
      <c r="I2233" s="3">
        <v>70708.5049149328</v>
      </c>
      <c r="J2233" s="3" t="s">
        <v>1062</v>
      </c>
      <c r="K2233" s="3">
        <v>16.0</v>
      </c>
      <c r="L2233" s="3" t="s">
        <v>42</v>
      </c>
    </row>
    <row r="2234" ht="15.75" customHeight="1">
      <c r="A2234" s="3" t="s">
        <v>2312</v>
      </c>
      <c r="B2234" s="3" t="s">
        <v>25</v>
      </c>
      <c r="C2234" s="3" t="s">
        <v>14</v>
      </c>
      <c r="D2234" s="3">
        <v>73764.6203773754</v>
      </c>
      <c r="E2234" s="3">
        <v>24853.6711106127</v>
      </c>
      <c r="F2234" s="3">
        <v>18249.984362807</v>
      </c>
      <c r="G2234" s="3">
        <v>14907.6132098462</v>
      </c>
      <c r="H2234" s="3">
        <v>101052.929775187</v>
      </c>
      <c r="I2234" s="3">
        <v>70711.4209326056</v>
      </c>
      <c r="J2234" s="3" t="s">
        <v>1062</v>
      </c>
      <c r="K2234" s="3">
        <v>6.0</v>
      </c>
      <c r="L2234" s="3" t="s">
        <v>23</v>
      </c>
    </row>
    <row r="2235" ht="15.75" customHeight="1">
      <c r="A2235" s="3" t="s">
        <v>2313</v>
      </c>
      <c r="B2235" s="3" t="s">
        <v>36</v>
      </c>
      <c r="C2235" s="3" t="s">
        <v>18</v>
      </c>
      <c r="D2235" s="5"/>
      <c r="E2235" s="3">
        <v>24858.2858289401</v>
      </c>
      <c r="F2235" s="3">
        <v>18257.6643662365</v>
      </c>
      <c r="G2235" s="3">
        <v>14911.0107605335</v>
      </c>
      <c r="H2235" s="3">
        <v>101067.577591508</v>
      </c>
      <c r="I2235" s="3">
        <v>70714.3369502783</v>
      </c>
      <c r="J2235" s="3" t="s">
        <v>1026</v>
      </c>
      <c r="K2235" s="3">
        <v>24.0</v>
      </c>
      <c r="L2235" s="3" t="s">
        <v>19</v>
      </c>
    </row>
    <row r="2236" ht="15.75" customHeight="1">
      <c r="A2236" s="3" t="s">
        <v>2314</v>
      </c>
      <c r="B2236" s="3" t="s">
        <v>36</v>
      </c>
      <c r="C2236" s="3" t="s">
        <v>54</v>
      </c>
      <c r="D2236" s="3">
        <v>73786.3863171878</v>
      </c>
      <c r="E2236" s="3">
        <v>24862.9005472675</v>
      </c>
      <c r="F2236" s="3">
        <v>18265.344369666</v>
      </c>
      <c r="G2236" s="3">
        <v>14914.4083112208</v>
      </c>
      <c r="H2236" s="3">
        <v>101082.225407828</v>
      </c>
      <c r="I2236" s="3">
        <v>70717.2529679511</v>
      </c>
      <c r="J2236" s="3" t="s">
        <v>1062</v>
      </c>
      <c r="K2236" s="3">
        <v>5.0</v>
      </c>
      <c r="L2236" s="3" t="s">
        <v>27</v>
      </c>
    </row>
    <row r="2237" ht="15.75" customHeight="1">
      <c r="A2237" s="3" t="s">
        <v>2315</v>
      </c>
      <c r="B2237" s="3" t="s">
        <v>36</v>
      </c>
      <c r="C2237" s="3" t="s">
        <v>26</v>
      </c>
      <c r="D2237" s="3">
        <v>73797.269287094</v>
      </c>
      <c r="E2237" s="3">
        <v>24867.515265595</v>
      </c>
      <c r="F2237" s="3">
        <v>18273.0243730955</v>
      </c>
      <c r="G2237" s="3">
        <v>14917.8058619081</v>
      </c>
      <c r="H2237" s="3">
        <v>101096.873224148</v>
      </c>
      <c r="I2237" s="3">
        <v>70720.1689856239</v>
      </c>
      <c r="J2237" s="3" t="s">
        <v>1026</v>
      </c>
      <c r="K2237" s="3">
        <v>15.0</v>
      </c>
      <c r="L2237" s="3" t="s">
        <v>19</v>
      </c>
    </row>
    <row r="2238" ht="15.75" customHeight="1">
      <c r="A2238" s="3" t="s">
        <v>2316</v>
      </c>
      <c r="B2238" s="3" t="s">
        <v>25</v>
      </c>
      <c r="C2238" s="3" t="s">
        <v>14</v>
      </c>
      <c r="D2238" s="3">
        <v>73808.1522570002</v>
      </c>
      <c r="E2238" s="3">
        <v>24872.1299839224</v>
      </c>
      <c r="F2238" s="3">
        <v>18280.704376525</v>
      </c>
      <c r="G2238" s="3">
        <v>14921.2034125954</v>
      </c>
      <c r="H2238" s="3">
        <v>101111.521040469</v>
      </c>
      <c r="I2238" s="3">
        <v>70723.0850032967</v>
      </c>
      <c r="J2238" s="3" t="s">
        <v>1062</v>
      </c>
      <c r="K2238" s="3">
        <v>11.0</v>
      </c>
      <c r="L2238" s="3" t="s">
        <v>40</v>
      </c>
    </row>
    <row r="2239" ht="15.75" customHeight="1">
      <c r="A2239" s="3" t="s">
        <v>2317</v>
      </c>
      <c r="B2239" s="3" t="s">
        <v>53</v>
      </c>
      <c r="C2239" s="3" t="s">
        <v>37</v>
      </c>
      <c r="D2239" s="3">
        <v>73819.0352269064</v>
      </c>
      <c r="E2239" s="3">
        <v>24876.7447022498</v>
      </c>
      <c r="F2239" s="3">
        <v>18288.3843799545</v>
      </c>
      <c r="G2239" s="3">
        <v>14924.6009632827</v>
      </c>
      <c r="H2239" s="3">
        <v>101126.168856789</v>
      </c>
      <c r="I2239" s="3">
        <v>70726.0010209694</v>
      </c>
      <c r="J2239" s="3" t="s">
        <v>1040</v>
      </c>
      <c r="K2239" s="3">
        <v>5.0</v>
      </c>
      <c r="L2239" s="3" t="s">
        <v>19</v>
      </c>
    </row>
    <row r="2240" ht="15.75" customHeight="1">
      <c r="A2240" s="3" t="s">
        <v>2318</v>
      </c>
      <c r="B2240" s="3" t="s">
        <v>13</v>
      </c>
      <c r="C2240" s="3" t="s">
        <v>37</v>
      </c>
      <c r="D2240" s="3">
        <v>73829.9181968126</v>
      </c>
      <c r="E2240" s="3">
        <v>24881.3594205772</v>
      </c>
      <c r="F2240" s="3">
        <v>18296.064383384</v>
      </c>
      <c r="G2240" s="3">
        <v>14927.99851397</v>
      </c>
      <c r="H2240" s="3">
        <v>101140.81667311</v>
      </c>
      <c r="I2240" s="3">
        <v>70728.9170386422</v>
      </c>
      <c r="J2240" s="3" t="s">
        <v>1042</v>
      </c>
      <c r="K2240" s="3">
        <v>16.0</v>
      </c>
      <c r="L2240" s="3" t="s">
        <v>40</v>
      </c>
    </row>
    <row r="2241" ht="15.75" customHeight="1">
      <c r="A2241" s="3" t="s">
        <v>2319</v>
      </c>
      <c r="B2241" s="3" t="s">
        <v>36</v>
      </c>
      <c r="C2241" s="3" t="s">
        <v>26</v>
      </c>
      <c r="D2241" s="3">
        <v>73840.8011667188</v>
      </c>
      <c r="E2241" s="3">
        <v>24885.9741389046</v>
      </c>
      <c r="F2241" s="3">
        <v>18303.7443868135</v>
      </c>
      <c r="G2241" s="3">
        <v>14931.3960646573</v>
      </c>
      <c r="H2241" s="3">
        <v>101155.46448943</v>
      </c>
      <c r="I2241" s="3">
        <v>70731.833056315</v>
      </c>
      <c r="J2241" s="3" t="s">
        <v>1021</v>
      </c>
      <c r="K2241" s="3">
        <v>23.0</v>
      </c>
      <c r="L2241" s="3" t="s">
        <v>34</v>
      </c>
    </row>
    <row r="2242" ht="15.75" customHeight="1">
      <c r="A2242" s="3" t="s">
        <v>2320</v>
      </c>
      <c r="B2242" s="3" t="s">
        <v>17</v>
      </c>
      <c r="C2242" s="3" t="s">
        <v>14</v>
      </c>
      <c r="D2242" s="3">
        <v>73851.684136625</v>
      </c>
      <c r="E2242" s="3">
        <v>24890.5888572321</v>
      </c>
      <c r="F2242" s="3">
        <v>18311.424390243</v>
      </c>
      <c r="G2242" s="3">
        <v>14934.7936153445</v>
      </c>
      <c r="H2242" s="3">
        <v>101170.112305751</v>
      </c>
      <c r="I2242" s="3">
        <v>70734.7490739877</v>
      </c>
      <c r="J2242" s="3" t="s">
        <v>2321</v>
      </c>
      <c r="K2242" s="3">
        <v>9.0</v>
      </c>
      <c r="L2242" s="3" t="s">
        <v>19</v>
      </c>
    </row>
    <row r="2243" ht="15.75" customHeight="1">
      <c r="A2243" s="3" t="s">
        <v>2322</v>
      </c>
      <c r="B2243" s="3" t="s">
        <v>51</v>
      </c>
      <c r="C2243" s="3" t="s">
        <v>26</v>
      </c>
      <c r="D2243" s="3">
        <v>73862.5671065312</v>
      </c>
      <c r="E2243" s="3">
        <v>24895.2035755595</v>
      </c>
      <c r="F2243" s="3">
        <v>18319.1043936725</v>
      </c>
      <c r="G2243" s="3">
        <v>14938.1911660318</v>
      </c>
      <c r="H2243" s="3">
        <v>101184.760122071</v>
      </c>
      <c r="I2243" s="3">
        <v>70737.6650916605</v>
      </c>
      <c r="J2243" s="3" t="s">
        <v>1012</v>
      </c>
      <c r="K2243" s="3">
        <v>13.0</v>
      </c>
      <c r="L2243" s="3" t="s">
        <v>31</v>
      </c>
    </row>
    <row r="2244" ht="15.75" customHeight="1">
      <c r="A2244" s="3" t="s">
        <v>2323</v>
      </c>
      <c r="B2244" s="3" t="s">
        <v>17</v>
      </c>
      <c r="C2244" s="3" t="s">
        <v>37</v>
      </c>
      <c r="D2244" s="3">
        <v>73873.4500764374</v>
      </c>
      <c r="E2244" s="3">
        <v>24899.8182938869</v>
      </c>
      <c r="F2244" s="3">
        <v>18326.784397102</v>
      </c>
      <c r="G2244" s="3">
        <v>14941.5887167191</v>
      </c>
      <c r="H2244" s="3">
        <v>101199.407938392</v>
      </c>
      <c r="I2244" s="3">
        <v>70740.5811093333</v>
      </c>
      <c r="J2244" s="3" t="s">
        <v>1026</v>
      </c>
      <c r="K2244" s="3">
        <v>16.0</v>
      </c>
      <c r="L2244" s="3" t="s">
        <v>19</v>
      </c>
    </row>
    <row r="2245" ht="15.75" customHeight="1">
      <c r="A2245" s="3" t="s">
        <v>2324</v>
      </c>
      <c r="B2245" s="3" t="s">
        <v>17</v>
      </c>
      <c r="C2245" s="3" t="s">
        <v>18</v>
      </c>
      <c r="D2245" s="3">
        <v>73884.3330463436</v>
      </c>
      <c r="E2245" s="3">
        <v>24904.4330122143</v>
      </c>
      <c r="F2245" s="3">
        <v>18334.4644005315</v>
      </c>
      <c r="G2245" s="3">
        <v>14944.9862674064</v>
      </c>
      <c r="H2245" s="3">
        <v>101214.055754712</v>
      </c>
      <c r="I2245" s="3">
        <v>70743.497127006</v>
      </c>
      <c r="J2245" s="3" t="s">
        <v>1016</v>
      </c>
      <c r="K2245" s="3">
        <v>19.0</v>
      </c>
      <c r="L2245" s="3" t="s">
        <v>31</v>
      </c>
    </row>
    <row r="2246" ht="15.75" customHeight="1">
      <c r="A2246" s="3" t="s">
        <v>2325</v>
      </c>
      <c r="B2246" s="3" t="s">
        <v>53</v>
      </c>
      <c r="C2246" s="3" t="s">
        <v>54</v>
      </c>
      <c r="D2246" s="3">
        <v>73895.2160162498</v>
      </c>
      <c r="E2246" s="3">
        <v>24909.0477305418</v>
      </c>
      <c r="F2246" s="3">
        <v>18342.144403961</v>
      </c>
      <c r="G2246" s="3">
        <v>14948.3838180937</v>
      </c>
      <c r="H2246" s="3">
        <v>101228.703571033</v>
      </c>
      <c r="I2246" s="3">
        <v>70746.4131446788</v>
      </c>
      <c r="J2246" s="3" t="s">
        <v>1018</v>
      </c>
      <c r="K2246" s="3">
        <v>10.0</v>
      </c>
      <c r="L2246" s="3" t="s">
        <v>31</v>
      </c>
    </row>
    <row r="2247" ht="15.75" customHeight="1">
      <c r="A2247" s="3" t="s">
        <v>2326</v>
      </c>
      <c r="B2247" s="3" t="s">
        <v>36</v>
      </c>
      <c r="C2247" s="3" t="s">
        <v>18</v>
      </c>
      <c r="D2247" s="3">
        <v>73906.098986156</v>
      </c>
      <c r="E2247" s="3">
        <v>24913.6624488692</v>
      </c>
      <c r="F2247" s="3">
        <v>18349.8244073905</v>
      </c>
      <c r="G2247" s="3">
        <v>14951.781368781</v>
      </c>
      <c r="H2247" s="3">
        <v>101243.351387353</v>
      </c>
      <c r="I2247" s="3">
        <v>70749.3291623516</v>
      </c>
      <c r="J2247" s="3" t="s">
        <v>1018</v>
      </c>
      <c r="K2247" s="3">
        <v>3.0</v>
      </c>
      <c r="L2247" s="3" t="s">
        <v>27</v>
      </c>
    </row>
    <row r="2248" ht="15.75" customHeight="1">
      <c r="A2248" s="3" t="s">
        <v>2327</v>
      </c>
      <c r="B2248" s="3" t="s">
        <v>25</v>
      </c>
      <c r="C2248" s="3" t="s">
        <v>37</v>
      </c>
      <c r="D2248" s="3">
        <v>73916.9819560621</v>
      </c>
      <c r="E2248" s="3">
        <v>24918.2771671966</v>
      </c>
      <c r="F2248" s="3">
        <v>18357.50441082</v>
      </c>
      <c r="G2248" s="3">
        <v>14955.1789194683</v>
      </c>
      <c r="H2248" s="3">
        <v>101257.999203674</v>
      </c>
      <c r="I2248" s="3">
        <v>70752.2451800243</v>
      </c>
      <c r="J2248" s="3" t="s">
        <v>1042</v>
      </c>
      <c r="K2248" s="3">
        <v>19.0</v>
      </c>
      <c r="L2248" s="3" t="s">
        <v>21</v>
      </c>
    </row>
    <row r="2249" ht="15.75" customHeight="1">
      <c r="A2249" s="3" t="s">
        <v>2328</v>
      </c>
      <c r="B2249" s="3" t="s">
        <v>25</v>
      </c>
      <c r="C2249" s="3" t="s">
        <v>26</v>
      </c>
      <c r="D2249" s="3">
        <v>73927.8649259683</v>
      </c>
      <c r="E2249" s="3">
        <v>24922.891885524</v>
      </c>
      <c r="F2249" s="3">
        <v>18365.1844142495</v>
      </c>
      <c r="G2249" s="3">
        <v>14958.5764701555</v>
      </c>
      <c r="H2249" s="3">
        <v>101272.647019994</v>
      </c>
      <c r="I2249" s="3">
        <v>70755.1611976971</v>
      </c>
      <c r="J2249" s="3" t="s">
        <v>1016</v>
      </c>
      <c r="K2249" s="3">
        <v>7.0</v>
      </c>
      <c r="L2249" s="3" t="s">
        <v>23</v>
      </c>
    </row>
    <row r="2250" ht="15.75" customHeight="1">
      <c r="A2250" s="3" t="s">
        <v>2329</v>
      </c>
      <c r="B2250" s="3" t="s">
        <v>25</v>
      </c>
      <c r="C2250" s="3" t="s">
        <v>26</v>
      </c>
      <c r="D2250" s="3">
        <v>73938.7478958745</v>
      </c>
      <c r="E2250" s="3">
        <v>24927.5066038514</v>
      </c>
      <c r="F2250" s="3">
        <v>18372.864417679</v>
      </c>
      <c r="G2250" s="3">
        <v>14961.9740208428</v>
      </c>
      <c r="H2250" s="3">
        <v>101287.294836315</v>
      </c>
      <c r="I2250" s="3">
        <v>70758.0772153699</v>
      </c>
      <c r="J2250" s="3" t="s">
        <v>1012</v>
      </c>
      <c r="K2250" s="3">
        <v>10.0</v>
      </c>
      <c r="L2250" s="3" t="s">
        <v>27</v>
      </c>
    </row>
    <row r="2251" ht="15.75" customHeight="1">
      <c r="A2251" s="3" t="s">
        <v>2330</v>
      </c>
      <c r="B2251" s="3" t="s">
        <v>51</v>
      </c>
      <c r="C2251" s="3" t="s">
        <v>14</v>
      </c>
      <c r="D2251" s="3">
        <v>73949.6308657807</v>
      </c>
      <c r="E2251" s="3">
        <v>24932.1213221789</v>
      </c>
      <c r="F2251" s="3">
        <v>18380.5444211085</v>
      </c>
      <c r="G2251" s="3">
        <v>14965.3715715301</v>
      </c>
      <c r="H2251" s="3">
        <v>101301.942652635</v>
      </c>
      <c r="I2251" s="3">
        <v>70760.9932330426</v>
      </c>
      <c r="J2251" s="3" t="s">
        <v>917</v>
      </c>
      <c r="K2251" s="3">
        <v>2.0</v>
      </c>
      <c r="L2251" s="3" t="s">
        <v>15</v>
      </c>
    </row>
    <row r="2252" ht="15.75" customHeight="1">
      <c r="A2252" s="3" t="s">
        <v>2331</v>
      </c>
      <c r="B2252" s="3" t="s">
        <v>29</v>
      </c>
      <c r="C2252" s="3" t="s">
        <v>30</v>
      </c>
      <c r="D2252" s="3">
        <v>73960.5138356869</v>
      </c>
      <c r="E2252" s="3">
        <v>24936.7360405063</v>
      </c>
      <c r="F2252" s="3">
        <v>18388.224424538</v>
      </c>
      <c r="G2252" s="3">
        <v>14968.7691222174</v>
      </c>
      <c r="H2252" s="3">
        <v>101316.590468956</v>
      </c>
      <c r="I2252" s="3">
        <v>70763.9092507154</v>
      </c>
      <c r="J2252" s="3" t="s">
        <v>1040</v>
      </c>
      <c r="K2252" s="3">
        <v>18.0</v>
      </c>
      <c r="L2252" s="3" t="s">
        <v>19</v>
      </c>
    </row>
    <row r="2253" ht="15.75" customHeight="1">
      <c r="A2253" s="3" t="s">
        <v>2332</v>
      </c>
      <c r="B2253" s="3" t="s">
        <v>53</v>
      </c>
      <c r="C2253" s="3" t="s">
        <v>54</v>
      </c>
      <c r="D2253" s="3">
        <v>73971.3968055931</v>
      </c>
      <c r="E2253" s="3">
        <v>24941.3507588337</v>
      </c>
      <c r="F2253" s="3">
        <v>18395.9044279675</v>
      </c>
      <c r="G2253" s="3">
        <v>14972.1666729047</v>
      </c>
      <c r="H2253" s="3">
        <v>101331.238285276</v>
      </c>
      <c r="I2253" s="3">
        <v>70766.8252683882</v>
      </c>
      <c r="J2253" s="3" t="s">
        <v>190</v>
      </c>
      <c r="K2253" s="3">
        <v>18.0</v>
      </c>
      <c r="L2253" s="3" t="s">
        <v>34</v>
      </c>
    </row>
    <row r="2254" ht="15.75" customHeight="1">
      <c r="A2254" s="3" t="s">
        <v>2333</v>
      </c>
      <c r="B2254" s="3" t="s">
        <v>17</v>
      </c>
      <c r="C2254" s="3" t="s">
        <v>33</v>
      </c>
      <c r="D2254" s="3">
        <v>73982.2797754993</v>
      </c>
      <c r="E2254" s="3">
        <v>24945.9654771611</v>
      </c>
      <c r="F2254" s="3">
        <v>18403.584431397</v>
      </c>
      <c r="G2254" s="3">
        <v>14975.564223592</v>
      </c>
      <c r="H2254" s="3">
        <v>101345.886101597</v>
      </c>
      <c r="I2254" s="3">
        <v>70769.7412860609</v>
      </c>
      <c r="J2254" s="3" t="s">
        <v>1040</v>
      </c>
      <c r="K2254" s="3">
        <v>9.0</v>
      </c>
      <c r="L2254" s="3" t="s">
        <v>23</v>
      </c>
    </row>
    <row r="2255" ht="15.75" customHeight="1">
      <c r="A2255" s="3" t="s">
        <v>2334</v>
      </c>
      <c r="B2255" s="3" t="s">
        <v>29</v>
      </c>
      <c r="C2255" s="3" t="s">
        <v>26</v>
      </c>
      <c r="D2255" s="3">
        <v>73993.1627454055</v>
      </c>
      <c r="E2255" s="3">
        <v>24950.5801954886</v>
      </c>
      <c r="F2255" s="3">
        <v>18411.2644348265</v>
      </c>
      <c r="G2255" s="3">
        <v>14978.9617742793</v>
      </c>
      <c r="H2255" s="3">
        <v>101360.533917917</v>
      </c>
      <c r="I2255" s="3">
        <v>70772.6573037337</v>
      </c>
      <c r="J2255" s="3" t="s">
        <v>1062</v>
      </c>
      <c r="K2255" s="3">
        <v>14.0</v>
      </c>
      <c r="L2255" s="3" t="s">
        <v>34</v>
      </c>
    </row>
    <row r="2256" ht="15.75" customHeight="1">
      <c r="A2256" s="3" t="s">
        <v>2335</v>
      </c>
      <c r="B2256" s="3" t="s">
        <v>53</v>
      </c>
      <c r="C2256" s="3" t="s">
        <v>54</v>
      </c>
      <c r="D2256" s="3">
        <v>74004.0457153117</v>
      </c>
      <c r="E2256" s="3">
        <v>24955.194913816</v>
      </c>
      <c r="F2256" s="3">
        <v>18418.944438256</v>
      </c>
      <c r="G2256" s="3">
        <v>14982.3593249666</v>
      </c>
      <c r="H2256" s="3">
        <v>101375.181734237</v>
      </c>
      <c r="I2256" s="3">
        <v>70775.5733214065</v>
      </c>
      <c r="J2256" s="3" t="s">
        <v>1062</v>
      </c>
      <c r="K2256" s="3">
        <v>4.0</v>
      </c>
      <c r="L2256" s="3" t="s">
        <v>19</v>
      </c>
    </row>
    <row r="2257" ht="15.75" customHeight="1">
      <c r="A2257" s="3" t="s">
        <v>2336</v>
      </c>
      <c r="B2257" s="3" t="s">
        <v>25</v>
      </c>
      <c r="C2257" s="3" t="s">
        <v>30</v>
      </c>
      <c r="D2257" s="3">
        <v>74014.9286852179</v>
      </c>
      <c r="E2257" s="3">
        <v>24959.8096321434</v>
      </c>
      <c r="F2257" s="3">
        <v>18426.6244416855</v>
      </c>
      <c r="G2257" s="3">
        <v>14985.7568756538</v>
      </c>
      <c r="H2257" s="3">
        <v>101389.829550558</v>
      </c>
      <c r="I2257" s="3">
        <v>70778.4893390792</v>
      </c>
      <c r="J2257" s="3" t="s">
        <v>1040</v>
      </c>
      <c r="K2257" s="3">
        <v>21.0</v>
      </c>
      <c r="L2257" s="3" t="s">
        <v>19</v>
      </c>
    </row>
    <row r="2258" ht="15.75" customHeight="1">
      <c r="A2258" s="3" t="s">
        <v>2337</v>
      </c>
      <c r="B2258" s="3" t="s">
        <v>25</v>
      </c>
      <c r="C2258" s="3" t="s">
        <v>18</v>
      </c>
      <c r="D2258" s="3">
        <v>74025.8116551241</v>
      </c>
      <c r="E2258" s="3">
        <v>24964.4243504708</v>
      </c>
      <c r="F2258" s="3">
        <v>18434.304445115</v>
      </c>
      <c r="G2258" s="3">
        <v>14989.1544263411</v>
      </c>
      <c r="H2258" s="3">
        <v>101404.477366878</v>
      </c>
      <c r="I2258" s="3">
        <v>70781.405356752</v>
      </c>
      <c r="J2258" s="3" t="s">
        <v>1023</v>
      </c>
      <c r="K2258" s="3">
        <v>6.0</v>
      </c>
      <c r="L2258" s="3" t="s">
        <v>21</v>
      </c>
    </row>
    <row r="2259" ht="15.75" customHeight="1">
      <c r="A2259" s="3" t="s">
        <v>2338</v>
      </c>
      <c r="B2259" s="3" t="s">
        <v>53</v>
      </c>
      <c r="C2259" s="3" t="s">
        <v>37</v>
      </c>
      <c r="D2259" s="3">
        <v>74036.6946250303</v>
      </c>
      <c r="E2259" s="3">
        <v>24969.0390687982</v>
      </c>
      <c r="F2259" s="3">
        <v>18441.9844485445</v>
      </c>
      <c r="G2259" s="3">
        <v>14992.5519770284</v>
      </c>
      <c r="H2259" s="3">
        <v>101419.125183199</v>
      </c>
      <c r="I2259" s="3">
        <v>70784.3213744248</v>
      </c>
      <c r="J2259" s="3" t="s">
        <v>1023</v>
      </c>
      <c r="K2259" s="3">
        <v>9.0</v>
      </c>
      <c r="L2259" s="3" t="s">
        <v>40</v>
      </c>
    </row>
    <row r="2260" ht="15.75" customHeight="1">
      <c r="A2260" s="3" t="s">
        <v>2339</v>
      </c>
      <c r="B2260" s="3" t="s">
        <v>53</v>
      </c>
      <c r="C2260" s="3" t="s">
        <v>37</v>
      </c>
      <c r="D2260" s="3">
        <v>74047.5775949365</v>
      </c>
      <c r="E2260" s="3">
        <v>24973.6537871257</v>
      </c>
      <c r="F2260" s="3">
        <v>18449.664451974</v>
      </c>
      <c r="G2260" s="3">
        <v>14995.9495277157</v>
      </c>
      <c r="H2260" s="3">
        <v>101433.772999519</v>
      </c>
      <c r="I2260" s="3">
        <v>70787.2373920975</v>
      </c>
      <c r="J2260" s="3" t="s">
        <v>1016</v>
      </c>
      <c r="K2260" s="3">
        <v>19.0</v>
      </c>
      <c r="L2260" s="3" t="s">
        <v>27</v>
      </c>
    </row>
    <row r="2261" ht="15.75" customHeight="1">
      <c r="A2261" s="3" t="s">
        <v>2340</v>
      </c>
      <c r="B2261" s="3" t="s">
        <v>29</v>
      </c>
      <c r="C2261" s="3" t="s">
        <v>54</v>
      </c>
      <c r="D2261" s="3">
        <v>74058.4605648427</v>
      </c>
      <c r="E2261" s="3">
        <v>24978.2685054531</v>
      </c>
      <c r="F2261" s="3">
        <v>18457.3444554034</v>
      </c>
      <c r="G2261" s="3">
        <v>14999.347078403</v>
      </c>
      <c r="H2261" s="3">
        <v>101448.42081584</v>
      </c>
      <c r="I2261" s="3">
        <v>70790.1534097703</v>
      </c>
      <c r="J2261" s="3" t="s">
        <v>1018</v>
      </c>
      <c r="K2261" s="3">
        <v>2.0</v>
      </c>
      <c r="L2261" s="3" t="s">
        <v>42</v>
      </c>
    </row>
    <row r="2262" ht="15.75" customHeight="1">
      <c r="A2262" s="3" t="s">
        <v>2341</v>
      </c>
      <c r="B2262" s="3" t="s">
        <v>13</v>
      </c>
      <c r="C2262" s="3" t="s">
        <v>33</v>
      </c>
      <c r="D2262" s="3">
        <v>74069.3435347489</v>
      </c>
      <c r="E2262" s="3">
        <v>24982.8832237805</v>
      </c>
      <c r="F2262" s="3">
        <v>18465.0244588329</v>
      </c>
      <c r="G2262" s="3">
        <v>15002.7446290903</v>
      </c>
      <c r="H2262" s="3">
        <v>101463.06863216</v>
      </c>
      <c r="I2262" s="3">
        <v>70793.0694274431</v>
      </c>
      <c r="J2262" s="3" t="s">
        <v>1018</v>
      </c>
      <c r="K2262" s="3">
        <v>23.0</v>
      </c>
      <c r="L2262" s="3" t="s">
        <v>38</v>
      </c>
    </row>
    <row r="2263" ht="15.75" customHeight="1">
      <c r="A2263" s="3" t="s">
        <v>2342</v>
      </c>
      <c r="B2263" s="3" t="s">
        <v>51</v>
      </c>
      <c r="C2263" s="3" t="s">
        <v>14</v>
      </c>
      <c r="D2263" s="3">
        <v>74080.226504655</v>
      </c>
      <c r="E2263" s="3">
        <v>24987.4979421079</v>
      </c>
      <c r="F2263" s="3">
        <v>18472.7044622624</v>
      </c>
      <c r="G2263" s="3">
        <v>15006.1421797776</v>
      </c>
      <c r="H2263" s="3">
        <v>101477.716448481</v>
      </c>
      <c r="I2263" s="3">
        <v>70795.9854451158</v>
      </c>
      <c r="J2263" s="3" t="s">
        <v>1031</v>
      </c>
      <c r="K2263" s="3">
        <v>15.0</v>
      </c>
      <c r="L2263" s="3" t="s">
        <v>19</v>
      </c>
    </row>
    <row r="2264" ht="15.75" customHeight="1">
      <c r="A2264" s="3" t="s">
        <v>2343</v>
      </c>
      <c r="B2264" s="3" t="s">
        <v>25</v>
      </c>
      <c r="C2264" s="3" t="s">
        <v>33</v>
      </c>
      <c r="D2264" s="3">
        <v>74091.1094745612</v>
      </c>
      <c r="E2264" s="3">
        <v>24992.1126604354</v>
      </c>
      <c r="F2264" s="3">
        <v>18480.3844656919</v>
      </c>
      <c r="G2264" s="3">
        <v>15009.5397304649</v>
      </c>
      <c r="H2264" s="3">
        <v>101492.364264801</v>
      </c>
      <c r="I2264" s="3">
        <v>70798.9014627886</v>
      </c>
      <c r="J2264" s="3" t="s">
        <v>1023</v>
      </c>
      <c r="K2264" s="3">
        <v>6.0</v>
      </c>
      <c r="L2264" s="3" t="s">
        <v>40</v>
      </c>
    </row>
    <row r="2265" ht="15.75" customHeight="1">
      <c r="A2265" s="3" t="s">
        <v>2344</v>
      </c>
      <c r="B2265" s="3" t="s">
        <v>17</v>
      </c>
      <c r="C2265" s="3" t="s">
        <v>30</v>
      </c>
      <c r="D2265" s="3">
        <v>74112.8754143736</v>
      </c>
      <c r="E2265" s="3">
        <v>25001.3420970902</v>
      </c>
      <c r="F2265" s="3">
        <v>18495.7444725509</v>
      </c>
      <c r="G2265" s="3">
        <v>15016.3348318394</v>
      </c>
      <c r="H2265" s="3">
        <v>101521.659897442</v>
      </c>
      <c r="I2265" s="3">
        <v>70804.7334981341</v>
      </c>
      <c r="J2265" s="3" t="s">
        <v>1012</v>
      </c>
      <c r="K2265" s="3">
        <v>18.0</v>
      </c>
      <c r="L2265" s="3" t="s">
        <v>42</v>
      </c>
    </row>
    <row r="2266" ht="15.75" customHeight="1">
      <c r="A2266" s="3" t="s">
        <v>2345</v>
      </c>
      <c r="B2266" s="3" t="s">
        <v>13</v>
      </c>
      <c r="C2266" s="3" t="s">
        <v>33</v>
      </c>
      <c r="D2266" s="3">
        <v>74123.7583842798</v>
      </c>
      <c r="E2266" s="3">
        <v>25005.9568154176</v>
      </c>
      <c r="F2266" s="3">
        <v>18503.4244759804</v>
      </c>
      <c r="G2266" s="3">
        <v>15019.7323825267</v>
      </c>
      <c r="H2266" s="3">
        <v>101536.307713763</v>
      </c>
      <c r="I2266" s="3">
        <v>70807.6495158069</v>
      </c>
      <c r="J2266" s="3" t="s">
        <v>1014</v>
      </c>
      <c r="K2266" s="3">
        <v>20.0</v>
      </c>
      <c r="L2266" s="3" t="s">
        <v>27</v>
      </c>
    </row>
    <row r="2267" ht="15.75" customHeight="1">
      <c r="A2267" s="3" t="s">
        <v>2346</v>
      </c>
      <c r="B2267" s="3" t="s">
        <v>13</v>
      </c>
      <c r="C2267" s="3" t="s">
        <v>37</v>
      </c>
      <c r="D2267" s="3">
        <v>74134.641354186</v>
      </c>
      <c r="E2267" s="3">
        <v>25010.571533745</v>
      </c>
      <c r="F2267" s="3">
        <v>18511.1044794099</v>
      </c>
      <c r="G2267" s="3">
        <v>15023.129933214</v>
      </c>
      <c r="H2267" s="3">
        <v>101550.955530083</v>
      </c>
      <c r="I2267" s="3">
        <v>70810.5655334797</v>
      </c>
      <c r="J2267" s="3" t="s">
        <v>1014</v>
      </c>
      <c r="K2267" s="3">
        <v>15.0</v>
      </c>
      <c r="L2267" s="3" t="s">
        <v>40</v>
      </c>
    </row>
    <row r="2268" ht="15.75" customHeight="1">
      <c r="A2268" s="3" t="s">
        <v>2347</v>
      </c>
      <c r="B2268" s="3" t="s">
        <v>51</v>
      </c>
      <c r="C2268" s="3" t="s">
        <v>14</v>
      </c>
      <c r="D2268" s="3">
        <v>74156.4072939984</v>
      </c>
      <c r="E2268" s="3">
        <v>25019.8009703999</v>
      </c>
      <c r="F2268" s="3">
        <v>18526.4644862689</v>
      </c>
      <c r="G2268" s="3">
        <v>15029.9250345886</v>
      </c>
      <c r="H2268" s="3">
        <v>101580.251162724</v>
      </c>
      <c r="I2268" s="3">
        <v>70816.3975688252</v>
      </c>
      <c r="J2268" s="3" t="s">
        <v>1021</v>
      </c>
      <c r="K2268" s="3">
        <v>20.0</v>
      </c>
      <c r="L2268" s="3" t="s">
        <v>42</v>
      </c>
    </row>
    <row r="2269" ht="15.75" customHeight="1">
      <c r="A2269" s="3" t="s">
        <v>2348</v>
      </c>
      <c r="B2269" s="3" t="s">
        <v>51</v>
      </c>
      <c r="C2269" s="3" t="s">
        <v>14</v>
      </c>
      <c r="D2269" s="3">
        <v>74167.2902639046</v>
      </c>
      <c r="E2269" s="3">
        <v>25024.4156887273</v>
      </c>
      <c r="F2269" s="3">
        <v>18534.1444896984</v>
      </c>
      <c r="G2269" s="3">
        <v>15033.3225852759</v>
      </c>
      <c r="H2269" s="3">
        <v>101594.898979045</v>
      </c>
      <c r="I2269" s="3">
        <v>70819.313586498</v>
      </c>
      <c r="J2269" s="3" t="s">
        <v>1040</v>
      </c>
      <c r="K2269" s="3">
        <v>9.0</v>
      </c>
      <c r="L2269" s="3" t="s">
        <v>19</v>
      </c>
    </row>
    <row r="2270" ht="15.75" customHeight="1">
      <c r="A2270" s="3" t="s">
        <v>2349</v>
      </c>
      <c r="B2270" s="3" t="s">
        <v>36</v>
      </c>
      <c r="C2270" s="3" t="s">
        <v>26</v>
      </c>
      <c r="D2270" s="3">
        <v>74178.1732338108</v>
      </c>
      <c r="E2270" s="3">
        <v>25029.0304070547</v>
      </c>
      <c r="F2270" s="3">
        <v>18541.8244931279</v>
      </c>
      <c r="G2270" s="5"/>
      <c r="H2270" s="3">
        <v>101609.546795365</v>
      </c>
      <c r="I2270" s="3">
        <v>70822.2296041707</v>
      </c>
      <c r="J2270" s="3" t="s">
        <v>1016</v>
      </c>
      <c r="K2270" s="3">
        <v>20.0</v>
      </c>
      <c r="L2270" s="3" t="s">
        <v>15</v>
      </c>
    </row>
    <row r="2271" ht="15.75" customHeight="1">
      <c r="A2271" s="3" t="s">
        <v>2350</v>
      </c>
      <c r="B2271" s="3" t="s">
        <v>51</v>
      </c>
      <c r="C2271" s="3" t="s">
        <v>18</v>
      </c>
      <c r="D2271" s="3">
        <v>74189.056203717</v>
      </c>
      <c r="E2271" s="3">
        <v>25033.6451253822</v>
      </c>
      <c r="F2271" s="3">
        <v>18549.5044965574</v>
      </c>
      <c r="G2271" s="3">
        <v>15040.1176866504</v>
      </c>
      <c r="H2271" s="3">
        <v>101624.194611686</v>
      </c>
      <c r="I2271" s="3">
        <v>70825.1456218435</v>
      </c>
      <c r="J2271" s="3" t="s">
        <v>1034</v>
      </c>
      <c r="K2271" s="3">
        <v>21.0</v>
      </c>
      <c r="L2271" s="3" t="s">
        <v>21</v>
      </c>
    </row>
    <row r="2272" ht="15.75" customHeight="1">
      <c r="A2272" s="3" t="s">
        <v>2351</v>
      </c>
      <c r="B2272" s="3" t="s">
        <v>51</v>
      </c>
      <c r="C2272" s="3" t="s">
        <v>14</v>
      </c>
      <c r="D2272" s="3">
        <v>74199.9391736232</v>
      </c>
      <c r="E2272" s="3">
        <v>25038.2598437096</v>
      </c>
      <c r="F2272" s="3">
        <v>18557.1844999869</v>
      </c>
      <c r="G2272" s="3">
        <v>15043.5152373377</v>
      </c>
      <c r="H2272" s="3">
        <v>101638.842428006</v>
      </c>
      <c r="I2272" s="3">
        <v>70828.0616395163</v>
      </c>
      <c r="J2272" s="3" t="s">
        <v>1016</v>
      </c>
      <c r="K2272" s="3">
        <v>11.0</v>
      </c>
      <c r="L2272" s="3" t="s">
        <v>31</v>
      </c>
    </row>
    <row r="2273" ht="15.75" customHeight="1">
      <c r="A2273" s="3" t="s">
        <v>2352</v>
      </c>
      <c r="B2273" s="3" t="s">
        <v>13</v>
      </c>
      <c r="C2273" s="3" t="s">
        <v>26</v>
      </c>
      <c r="D2273" s="3">
        <v>74210.8221435294</v>
      </c>
      <c r="E2273" s="3">
        <v>25042.874562037</v>
      </c>
      <c r="F2273" s="3">
        <v>18564.8645034164</v>
      </c>
      <c r="G2273" s="3">
        <v>15046.912788025</v>
      </c>
      <c r="H2273" s="3">
        <v>101653.490244326</v>
      </c>
      <c r="I2273" s="3">
        <v>70830.977657189</v>
      </c>
      <c r="J2273" s="3" t="s">
        <v>1031</v>
      </c>
      <c r="K2273" s="3">
        <v>7.0</v>
      </c>
      <c r="L2273" s="3" t="s">
        <v>34</v>
      </c>
    </row>
    <row r="2274" ht="15.75" customHeight="1">
      <c r="A2274" s="3" t="s">
        <v>2353</v>
      </c>
      <c r="B2274" s="3" t="s">
        <v>29</v>
      </c>
      <c r="C2274" s="3" t="s">
        <v>26</v>
      </c>
      <c r="D2274" s="3">
        <v>74221.7051134356</v>
      </c>
      <c r="E2274" s="3">
        <v>25047.4892803644</v>
      </c>
      <c r="F2274" s="3">
        <v>18572.5445068459</v>
      </c>
      <c r="G2274" s="3">
        <v>15050.3103387123</v>
      </c>
      <c r="H2274" s="3">
        <v>101668.138060647</v>
      </c>
      <c r="I2274" s="3">
        <v>70833.8936748618</v>
      </c>
      <c r="J2274" s="3" t="s">
        <v>1034</v>
      </c>
      <c r="K2274" s="3">
        <v>12.0</v>
      </c>
      <c r="L2274" s="3" t="s">
        <v>21</v>
      </c>
    </row>
    <row r="2275" ht="15.75" customHeight="1">
      <c r="A2275" s="3" t="s">
        <v>2354</v>
      </c>
      <c r="B2275" s="3" t="s">
        <v>17</v>
      </c>
      <c r="C2275" s="3" t="s">
        <v>26</v>
      </c>
      <c r="D2275" s="3">
        <v>74232.5880833418</v>
      </c>
      <c r="E2275" s="3">
        <v>25052.1039986918</v>
      </c>
      <c r="F2275" s="3">
        <v>18580.2245102754</v>
      </c>
      <c r="G2275" s="3">
        <v>15053.7078893996</v>
      </c>
      <c r="H2275" s="3">
        <v>101682.785876967</v>
      </c>
      <c r="I2275" s="3">
        <v>70836.8096925346</v>
      </c>
      <c r="J2275" s="3" t="s">
        <v>1026</v>
      </c>
      <c r="K2275" s="3">
        <v>18.0</v>
      </c>
      <c r="L2275" s="3" t="s">
        <v>31</v>
      </c>
    </row>
    <row r="2276" ht="15.75" customHeight="1">
      <c r="A2276" s="3" t="s">
        <v>2355</v>
      </c>
      <c r="B2276" s="3" t="s">
        <v>53</v>
      </c>
      <c r="C2276" s="3" t="s">
        <v>30</v>
      </c>
      <c r="D2276" s="3">
        <v>74243.4710532479</v>
      </c>
      <c r="E2276" s="3">
        <v>25056.7187170193</v>
      </c>
      <c r="F2276" s="3">
        <v>18587.9045137049</v>
      </c>
      <c r="G2276" s="3">
        <v>15057.1054400869</v>
      </c>
      <c r="H2276" s="3">
        <v>101697.433693288</v>
      </c>
      <c r="I2276" s="3">
        <v>70839.7257102073</v>
      </c>
      <c r="J2276" s="3" t="s">
        <v>1042</v>
      </c>
      <c r="K2276" s="3">
        <v>9.0</v>
      </c>
      <c r="L2276" s="3" t="s">
        <v>40</v>
      </c>
    </row>
    <row r="2277" ht="15.75" customHeight="1">
      <c r="A2277" s="3" t="s">
        <v>2356</v>
      </c>
      <c r="B2277" s="3" t="s">
        <v>53</v>
      </c>
      <c r="C2277" s="3" t="s">
        <v>54</v>
      </c>
      <c r="D2277" s="3">
        <v>74254.3540231541</v>
      </c>
      <c r="E2277" s="3">
        <v>25061.3334353467</v>
      </c>
      <c r="F2277" s="3">
        <v>18595.5845171344</v>
      </c>
      <c r="G2277" s="3">
        <v>15060.5029907742</v>
      </c>
      <c r="H2277" s="3">
        <v>101712.081509608</v>
      </c>
      <c r="I2277" s="3">
        <v>70842.6417278801</v>
      </c>
      <c r="J2277" s="3" t="s">
        <v>1062</v>
      </c>
      <c r="K2277" s="3">
        <v>8.0</v>
      </c>
      <c r="L2277" s="3" t="s">
        <v>40</v>
      </c>
    </row>
    <row r="2278" ht="15.75" customHeight="1">
      <c r="A2278" s="3" t="s">
        <v>2357</v>
      </c>
      <c r="B2278" s="3" t="s">
        <v>53</v>
      </c>
      <c r="C2278" s="3" t="s">
        <v>33</v>
      </c>
      <c r="D2278" s="3">
        <v>74265.2369930603</v>
      </c>
      <c r="E2278" s="3">
        <v>25065.9481536741</v>
      </c>
      <c r="F2278" s="3">
        <v>18603.2645205639</v>
      </c>
      <c r="G2278" s="3">
        <v>15063.9005414614</v>
      </c>
      <c r="H2278" s="3">
        <v>101726.729325929</v>
      </c>
      <c r="I2278" s="3">
        <v>70845.5577455529</v>
      </c>
      <c r="J2278" s="3" t="s">
        <v>1016</v>
      </c>
      <c r="K2278" s="3">
        <v>24.0</v>
      </c>
      <c r="L2278" s="3" t="s">
        <v>42</v>
      </c>
    </row>
    <row r="2279" ht="15.75" customHeight="1">
      <c r="A2279" s="3" t="s">
        <v>2358</v>
      </c>
      <c r="B2279" s="3" t="s">
        <v>29</v>
      </c>
      <c r="C2279" s="3" t="s">
        <v>14</v>
      </c>
      <c r="D2279" s="3">
        <v>74276.1199629665</v>
      </c>
      <c r="E2279" s="3">
        <v>25070.5628720015</v>
      </c>
      <c r="F2279" s="3">
        <v>18610.9445239934</v>
      </c>
      <c r="G2279" s="3">
        <v>15067.2980921487</v>
      </c>
      <c r="H2279" s="3">
        <v>101741.377142249</v>
      </c>
      <c r="I2279" s="3">
        <v>70848.4737632256</v>
      </c>
      <c r="J2279" s="3" t="s">
        <v>1016</v>
      </c>
      <c r="K2279" s="3">
        <v>13.0</v>
      </c>
      <c r="L2279" s="3" t="s">
        <v>34</v>
      </c>
    </row>
    <row r="2280" ht="15.75" customHeight="1">
      <c r="A2280" s="3" t="s">
        <v>2359</v>
      </c>
      <c r="B2280" s="3" t="s">
        <v>17</v>
      </c>
      <c r="C2280" s="3" t="s">
        <v>33</v>
      </c>
      <c r="D2280" s="3">
        <v>74287.0029328727</v>
      </c>
      <c r="E2280" s="3">
        <v>25075.177590329</v>
      </c>
      <c r="F2280" s="3">
        <v>18618.6245274229</v>
      </c>
      <c r="G2280" s="3">
        <v>15070.695642836</v>
      </c>
      <c r="H2280" s="3">
        <v>101756.02495857</v>
      </c>
      <c r="I2280" s="3">
        <v>70851.3897808984</v>
      </c>
      <c r="J2280" s="3" t="s">
        <v>1034</v>
      </c>
      <c r="K2280" s="3">
        <v>2.0</v>
      </c>
      <c r="L2280" s="3" t="s">
        <v>38</v>
      </c>
    </row>
    <row r="2281" ht="15.75" customHeight="1">
      <c r="A2281" s="3" t="s">
        <v>2360</v>
      </c>
      <c r="B2281" s="3" t="s">
        <v>36</v>
      </c>
      <c r="C2281" s="3" t="s">
        <v>26</v>
      </c>
      <c r="D2281" s="3">
        <v>74297.8859027789</v>
      </c>
      <c r="E2281" s="3">
        <v>25079.7923086564</v>
      </c>
      <c r="F2281" s="3">
        <v>18626.3045308524</v>
      </c>
      <c r="G2281" s="3">
        <v>15074.0931935233</v>
      </c>
      <c r="H2281" s="3">
        <v>101770.67277489</v>
      </c>
      <c r="I2281" s="3">
        <v>70854.3057985712</v>
      </c>
      <c r="J2281" s="3" t="s">
        <v>1018</v>
      </c>
      <c r="K2281" s="3">
        <v>11.0</v>
      </c>
      <c r="L2281" s="3" t="s">
        <v>42</v>
      </c>
    </row>
    <row r="2282" ht="15.75" customHeight="1">
      <c r="A2282" s="3" t="s">
        <v>2361</v>
      </c>
      <c r="B2282" s="3" t="s">
        <v>53</v>
      </c>
      <c r="C2282" s="3" t="s">
        <v>33</v>
      </c>
      <c r="D2282" s="3">
        <v>74308.7688726851</v>
      </c>
      <c r="E2282" s="3">
        <v>25084.4070269838</v>
      </c>
      <c r="F2282" s="3">
        <v>18633.9845342819</v>
      </c>
      <c r="G2282" s="3">
        <v>15077.4907442106</v>
      </c>
      <c r="H2282" s="3">
        <v>101785.320591211</v>
      </c>
      <c r="I2282" s="3">
        <v>70857.2218162439</v>
      </c>
      <c r="J2282" s="3" t="s">
        <v>1012</v>
      </c>
      <c r="K2282" s="3">
        <v>19.0</v>
      </c>
      <c r="L2282" s="3" t="s">
        <v>21</v>
      </c>
    </row>
    <row r="2283" ht="15.75" customHeight="1">
      <c r="A2283" s="3" t="s">
        <v>2362</v>
      </c>
      <c r="B2283" s="3" t="s">
        <v>25</v>
      </c>
      <c r="C2283" s="3" t="s">
        <v>37</v>
      </c>
      <c r="D2283" s="3">
        <v>74319.6518425913</v>
      </c>
      <c r="E2283" s="3">
        <v>25089.0217453112</v>
      </c>
      <c r="F2283" s="3">
        <v>18641.6645377114</v>
      </c>
      <c r="G2283" s="3">
        <v>15080.8882948979</v>
      </c>
      <c r="H2283" s="3">
        <v>101799.968407531</v>
      </c>
      <c r="I2283" s="3">
        <v>70860.1378339167</v>
      </c>
      <c r="J2283" s="3" t="s">
        <v>1031</v>
      </c>
      <c r="K2283" s="3">
        <v>21.0</v>
      </c>
      <c r="L2283" s="3" t="s">
        <v>27</v>
      </c>
    </row>
    <row r="2284" ht="15.75" customHeight="1">
      <c r="A2284" s="3" t="s">
        <v>2363</v>
      </c>
      <c r="B2284" s="3" t="s">
        <v>51</v>
      </c>
      <c r="C2284" s="3" t="s">
        <v>18</v>
      </c>
      <c r="D2284" s="3">
        <v>74330.5348124975</v>
      </c>
      <c r="E2284" s="3">
        <v>25093.6364636386</v>
      </c>
      <c r="F2284" s="3">
        <v>18649.3445411409</v>
      </c>
      <c r="G2284" s="3">
        <v>15084.2858455852</v>
      </c>
      <c r="H2284" s="3">
        <v>101814.616223852</v>
      </c>
      <c r="I2284" s="3">
        <v>70863.0538515895</v>
      </c>
      <c r="J2284" s="3" t="s">
        <v>1031</v>
      </c>
      <c r="K2284" s="3">
        <v>24.0</v>
      </c>
      <c r="L2284" s="3" t="s">
        <v>15</v>
      </c>
    </row>
    <row r="2285" ht="15.75" customHeight="1">
      <c r="A2285" s="3" t="s">
        <v>2364</v>
      </c>
      <c r="B2285" s="3" t="s">
        <v>17</v>
      </c>
      <c r="C2285" s="3" t="s">
        <v>26</v>
      </c>
      <c r="D2285" s="3">
        <v>74341.4177824037</v>
      </c>
      <c r="E2285" s="3">
        <v>25098.2511819661</v>
      </c>
      <c r="F2285" s="3">
        <v>18657.0245445704</v>
      </c>
      <c r="G2285" s="3">
        <v>15087.6833962725</v>
      </c>
      <c r="H2285" s="3">
        <v>101829.264040172</v>
      </c>
      <c r="I2285" s="3">
        <v>70865.9698692622</v>
      </c>
      <c r="J2285" s="3" t="s">
        <v>1062</v>
      </c>
      <c r="K2285" s="3">
        <v>14.0</v>
      </c>
      <c r="L2285" s="3" t="s">
        <v>40</v>
      </c>
    </row>
    <row r="2286" ht="15.75" customHeight="1">
      <c r="A2286" s="3" t="s">
        <v>2365</v>
      </c>
      <c r="B2286" s="3" t="s">
        <v>17</v>
      </c>
      <c r="C2286" s="3" t="s">
        <v>26</v>
      </c>
      <c r="D2286" s="3">
        <v>74352.3007523099</v>
      </c>
      <c r="E2286" s="3">
        <v>25102.8659002935</v>
      </c>
      <c r="F2286" s="3">
        <v>18664.7045479999</v>
      </c>
      <c r="G2286" s="3">
        <v>15091.0809469597</v>
      </c>
      <c r="H2286" s="3">
        <v>101843.911856493</v>
      </c>
      <c r="I2286" s="3">
        <v>70868.885886935</v>
      </c>
      <c r="J2286" s="3" t="s">
        <v>1026</v>
      </c>
      <c r="K2286" s="3">
        <v>24.0</v>
      </c>
      <c r="L2286" s="3" t="s">
        <v>21</v>
      </c>
    </row>
    <row r="2287" ht="15.75" customHeight="1">
      <c r="A2287" s="3" t="s">
        <v>2366</v>
      </c>
      <c r="B2287" s="3" t="s">
        <v>17</v>
      </c>
      <c r="C2287" s="3" t="s">
        <v>26</v>
      </c>
      <c r="D2287" s="3">
        <v>74363.1837222161</v>
      </c>
      <c r="E2287" s="3">
        <v>25107.4806186209</v>
      </c>
      <c r="F2287" s="3">
        <v>18672.3845514294</v>
      </c>
      <c r="G2287" s="3">
        <v>15094.478497647</v>
      </c>
      <c r="H2287" s="3">
        <v>-28395.4929659567</v>
      </c>
      <c r="I2287" s="3">
        <v>70413.2654169316</v>
      </c>
      <c r="J2287" s="4">
        <v>45992.0</v>
      </c>
      <c r="K2287" s="3">
        <v>16.0</v>
      </c>
      <c r="L2287" s="3" t="s">
        <v>40</v>
      </c>
    </row>
    <row r="2288" ht="15.75" customHeight="1">
      <c r="A2288" s="3" t="s">
        <v>2367</v>
      </c>
      <c r="B2288" s="3" t="s">
        <v>17</v>
      </c>
      <c r="C2288" s="3" t="s">
        <v>33</v>
      </c>
      <c r="D2288" s="3">
        <v>74374.0666921223</v>
      </c>
      <c r="E2288" s="3">
        <v>25112.0953369483</v>
      </c>
      <c r="F2288" s="3">
        <v>18680.0645548589</v>
      </c>
      <c r="G2288" s="3">
        <v>15097.8760483343</v>
      </c>
      <c r="H2288" s="3">
        <v>-28444.9966837057</v>
      </c>
      <c r="I2288" s="3">
        <v>70416.6468913514</v>
      </c>
      <c r="J2288" s="4">
        <v>45658.0</v>
      </c>
      <c r="K2288" s="3">
        <v>20.0</v>
      </c>
      <c r="L2288" s="3" t="s">
        <v>42</v>
      </c>
    </row>
    <row r="2289" ht="15.75" customHeight="1">
      <c r="A2289" s="3" t="s">
        <v>2368</v>
      </c>
      <c r="B2289" s="3" t="s">
        <v>13</v>
      </c>
      <c r="C2289" s="3" t="s">
        <v>33</v>
      </c>
      <c r="D2289" s="3">
        <v>74384.9496620285</v>
      </c>
      <c r="E2289" s="3">
        <v>25116.7100552758</v>
      </c>
      <c r="F2289" s="3">
        <v>18687.7445582884</v>
      </c>
      <c r="G2289" s="3">
        <v>15101.2735990216</v>
      </c>
      <c r="H2289" s="3">
        <v>-28494.5004014547</v>
      </c>
      <c r="I2289" s="3">
        <v>70420.0283657712</v>
      </c>
      <c r="J2289" s="4">
        <v>45748.0</v>
      </c>
      <c r="K2289" s="3">
        <v>10.0</v>
      </c>
      <c r="L2289" s="3" t="s">
        <v>15</v>
      </c>
    </row>
    <row r="2290" ht="15.75" customHeight="1">
      <c r="A2290" s="3" t="s">
        <v>2369</v>
      </c>
      <c r="B2290" s="3" t="s">
        <v>17</v>
      </c>
      <c r="C2290" s="3" t="s">
        <v>54</v>
      </c>
      <c r="D2290" s="3">
        <v>74395.8326319347</v>
      </c>
      <c r="E2290" s="3">
        <v>25121.3247736032</v>
      </c>
      <c r="F2290" s="3">
        <v>18695.4245617179</v>
      </c>
      <c r="G2290" s="3">
        <v>15104.6711497089</v>
      </c>
      <c r="H2290" s="3">
        <v>-28544.0041192047</v>
      </c>
      <c r="I2290" s="3">
        <v>70423.409840191</v>
      </c>
      <c r="J2290" s="4">
        <v>45778.0</v>
      </c>
      <c r="K2290" s="3">
        <v>20.0</v>
      </c>
      <c r="L2290" s="3" t="s">
        <v>19</v>
      </c>
    </row>
    <row r="2291" ht="15.75" customHeight="1">
      <c r="A2291" s="3" t="s">
        <v>2370</v>
      </c>
      <c r="B2291" s="3" t="s">
        <v>17</v>
      </c>
      <c r="C2291" s="3" t="s">
        <v>30</v>
      </c>
      <c r="D2291" s="3">
        <v>74406.7156018408</v>
      </c>
      <c r="E2291" s="3">
        <v>25125.9394919306</v>
      </c>
      <c r="F2291" s="3">
        <v>18703.1045651474</v>
      </c>
      <c r="G2291" s="3">
        <v>15108.0687003962</v>
      </c>
      <c r="H2291" s="3">
        <v>-28593.5078369537</v>
      </c>
      <c r="I2291" s="3">
        <v>70426.7913146108</v>
      </c>
      <c r="J2291" s="4">
        <v>45809.0</v>
      </c>
      <c r="K2291" s="3">
        <v>2.0</v>
      </c>
      <c r="L2291" s="3" t="s">
        <v>21</v>
      </c>
    </row>
    <row r="2292" ht="15.75" customHeight="1">
      <c r="A2292" s="3" t="s">
        <v>2371</v>
      </c>
      <c r="B2292" s="3" t="s">
        <v>13</v>
      </c>
      <c r="C2292" s="3" t="s">
        <v>33</v>
      </c>
      <c r="D2292" s="3">
        <v>74417.598571747</v>
      </c>
      <c r="E2292" s="3">
        <v>25130.554210258</v>
      </c>
      <c r="F2292" s="3">
        <v>18710.7845685769</v>
      </c>
      <c r="G2292" s="3">
        <v>15111.4662510835</v>
      </c>
      <c r="H2292" s="3">
        <v>-28643.0115547027</v>
      </c>
      <c r="I2292" s="3">
        <v>70430.1727890306</v>
      </c>
      <c r="J2292" s="4">
        <v>45839.0</v>
      </c>
      <c r="K2292" s="3">
        <v>8.0</v>
      </c>
      <c r="L2292" s="3" t="s">
        <v>23</v>
      </c>
    </row>
    <row r="2293" ht="15.75" customHeight="1">
      <c r="A2293" s="3" t="s">
        <v>2372</v>
      </c>
      <c r="B2293" s="3" t="s">
        <v>25</v>
      </c>
      <c r="C2293" s="3" t="s">
        <v>30</v>
      </c>
      <c r="D2293" s="3">
        <v>74428.4815416532</v>
      </c>
      <c r="E2293" s="3">
        <v>25135.1689285854</v>
      </c>
      <c r="F2293" s="3">
        <v>18718.4645720064</v>
      </c>
      <c r="G2293" s="3">
        <v>15114.8638017707</v>
      </c>
      <c r="H2293" s="3">
        <v>-28692.5152724517</v>
      </c>
      <c r="I2293" s="3">
        <v>70433.5542634504</v>
      </c>
      <c r="J2293" s="4">
        <v>45992.0</v>
      </c>
      <c r="K2293" s="3">
        <v>23.0</v>
      </c>
      <c r="L2293" s="3" t="s">
        <v>27</v>
      </c>
    </row>
    <row r="2294" ht="15.75" customHeight="1">
      <c r="A2294" s="3" t="s">
        <v>2373</v>
      </c>
      <c r="B2294" s="3" t="s">
        <v>29</v>
      </c>
      <c r="C2294" s="3" t="s">
        <v>14</v>
      </c>
      <c r="D2294" s="3">
        <v>20500.0</v>
      </c>
      <c r="E2294" s="3">
        <v>25139.7836469129</v>
      </c>
      <c r="F2294" s="3">
        <v>18726.1445754359</v>
      </c>
      <c r="G2294" s="3">
        <v>15118.261352458</v>
      </c>
      <c r="H2294" s="3">
        <v>-28742.0189902007</v>
      </c>
      <c r="I2294" s="3">
        <v>70436.9357378703</v>
      </c>
      <c r="J2294" s="4">
        <v>45778.0</v>
      </c>
      <c r="K2294" s="3">
        <v>2.0</v>
      </c>
      <c r="L2294" s="3" t="s">
        <v>31</v>
      </c>
    </row>
    <row r="2295" ht="15.75" customHeight="1">
      <c r="A2295" s="3" t="s">
        <v>2374</v>
      </c>
      <c r="B2295" s="3" t="s">
        <v>17</v>
      </c>
      <c r="C2295" s="3" t="s">
        <v>18</v>
      </c>
      <c r="D2295" s="3">
        <v>21000.0</v>
      </c>
      <c r="E2295" s="3">
        <v>25144.3983652403</v>
      </c>
      <c r="F2295" s="3">
        <v>18733.8245788654</v>
      </c>
      <c r="G2295" s="3">
        <v>15121.6589031453</v>
      </c>
      <c r="H2295" s="3">
        <v>-28791.5227079497</v>
      </c>
      <c r="I2295" s="3">
        <v>70440.3172122901</v>
      </c>
      <c r="J2295" s="4">
        <v>45992.0</v>
      </c>
      <c r="K2295" s="3">
        <v>9.0</v>
      </c>
      <c r="L2295" s="3" t="s">
        <v>34</v>
      </c>
    </row>
    <row r="2296" ht="15.75" customHeight="1">
      <c r="A2296" s="3" t="s">
        <v>2375</v>
      </c>
      <c r="B2296" s="3" t="s">
        <v>36</v>
      </c>
      <c r="C2296" s="3" t="s">
        <v>18</v>
      </c>
      <c r="D2296" s="3">
        <v>21500.0</v>
      </c>
      <c r="E2296" s="3">
        <v>25149.0130835677</v>
      </c>
      <c r="F2296" s="3">
        <v>18741.5045822948</v>
      </c>
      <c r="G2296" s="3">
        <v>15125.0564538326</v>
      </c>
      <c r="H2296" s="3">
        <v>-28841.0264256987</v>
      </c>
      <c r="I2296" s="3">
        <v>70443.6986867099</v>
      </c>
      <c r="J2296" s="4">
        <v>45748.0</v>
      </c>
      <c r="K2296" s="3">
        <v>8.0</v>
      </c>
      <c r="L2296" s="3" t="s">
        <v>38</v>
      </c>
    </row>
    <row r="2297" ht="15.75" customHeight="1">
      <c r="A2297" s="3" t="s">
        <v>2376</v>
      </c>
      <c r="B2297" s="3" t="s">
        <v>25</v>
      </c>
      <c r="C2297" s="3" t="s">
        <v>14</v>
      </c>
      <c r="D2297" s="3">
        <v>21500.0</v>
      </c>
      <c r="E2297" s="3">
        <v>25153.6278018951</v>
      </c>
      <c r="F2297" s="3">
        <v>18749.1845857243</v>
      </c>
      <c r="G2297" s="3">
        <v>15128.4540045199</v>
      </c>
      <c r="H2297" s="3">
        <v>-28890.5301434487</v>
      </c>
      <c r="I2297" s="3">
        <v>70447.0801611297</v>
      </c>
      <c r="J2297" s="4">
        <v>45717.0</v>
      </c>
      <c r="K2297" s="3">
        <v>22.0</v>
      </c>
      <c r="L2297" s="3" t="s">
        <v>40</v>
      </c>
    </row>
    <row r="2298" ht="15.75" customHeight="1">
      <c r="A2298" s="3" t="s">
        <v>2377</v>
      </c>
      <c r="B2298" s="3" t="s">
        <v>17</v>
      </c>
      <c r="C2298" s="3" t="s">
        <v>33</v>
      </c>
      <c r="D2298" s="3">
        <v>240200.0</v>
      </c>
      <c r="E2298" s="3">
        <v>25158.2425202225</v>
      </c>
      <c r="F2298" s="3">
        <v>18756.8645891538</v>
      </c>
      <c r="G2298" s="3">
        <v>15131.8515552072</v>
      </c>
      <c r="H2298" s="3">
        <v>-28940.0338611977</v>
      </c>
      <c r="I2298" s="3">
        <v>70450.4616355495</v>
      </c>
      <c r="J2298" s="4">
        <v>45962.0</v>
      </c>
      <c r="K2298" s="3">
        <v>8.0</v>
      </c>
      <c r="L2298" s="3" t="s">
        <v>42</v>
      </c>
    </row>
    <row r="2299" ht="15.75" customHeight="1">
      <c r="A2299" s="3" t="s">
        <v>2378</v>
      </c>
      <c r="B2299" s="3" t="s">
        <v>25</v>
      </c>
      <c r="C2299" s="3" t="s">
        <v>37</v>
      </c>
      <c r="D2299" s="3">
        <v>74439.3645115594</v>
      </c>
      <c r="E2299" s="3">
        <v>25162.85723855</v>
      </c>
      <c r="F2299" s="3">
        <v>18764.5445925833</v>
      </c>
      <c r="G2299" s="3">
        <v>15135.2491058945</v>
      </c>
      <c r="H2299" s="3">
        <v>-28989.5375789467</v>
      </c>
      <c r="I2299" s="3">
        <v>70453.8431099693</v>
      </c>
      <c r="J2299" s="4">
        <v>45870.0</v>
      </c>
      <c r="K2299" s="3">
        <v>13.0</v>
      </c>
      <c r="L2299" s="3" t="s">
        <v>15</v>
      </c>
    </row>
    <row r="2300" ht="15.75" customHeight="1">
      <c r="A2300" s="3" t="s">
        <v>2379</v>
      </c>
      <c r="B2300" s="3" t="s">
        <v>29</v>
      </c>
      <c r="C2300" s="3" t="s">
        <v>54</v>
      </c>
      <c r="D2300" s="3">
        <v>74450.2474814656</v>
      </c>
      <c r="E2300" s="3">
        <v>25167.4719568774</v>
      </c>
      <c r="F2300" s="3">
        <v>18772.2245960128</v>
      </c>
      <c r="G2300" s="3">
        <v>15138.6466565818</v>
      </c>
      <c r="H2300" s="3">
        <v>-29039.0412966957</v>
      </c>
      <c r="I2300" s="3">
        <v>70457.2245843891</v>
      </c>
      <c r="J2300" s="4">
        <v>45962.0</v>
      </c>
      <c r="K2300" s="3">
        <v>7.0</v>
      </c>
      <c r="L2300" s="3" t="s">
        <v>19</v>
      </c>
    </row>
    <row r="2301" ht="15.75" customHeight="1">
      <c r="A2301" s="3" t="s">
        <v>2380</v>
      </c>
      <c r="B2301" s="3" t="s">
        <v>17</v>
      </c>
      <c r="C2301" s="3" t="s">
        <v>33</v>
      </c>
      <c r="D2301" s="3">
        <v>74461.1304513718</v>
      </c>
      <c r="E2301" s="3">
        <v>25172.0866752048</v>
      </c>
      <c r="F2301" s="3">
        <v>18779.9045994423</v>
      </c>
      <c r="G2301" s="3">
        <v>15142.044207269</v>
      </c>
      <c r="H2301" s="3">
        <v>-29088.5450144447</v>
      </c>
      <c r="I2301" s="3">
        <v>70460.606058809</v>
      </c>
      <c r="J2301" s="4">
        <v>45809.0</v>
      </c>
      <c r="K2301" s="3">
        <v>1.0</v>
      </c>
      <c r="L2301" s="3" t="s">
        <v>21</v>
      </c>
    </row>
    <row r="2302" ht="15.75" customHeight="1">
      <c r="A2302" s="3" t="s">
        <v>2381</v>
      </c>
      <c r="B2302" s="3" t="s">
        <v>36</v>
      </c>
      <c r="C2302" s="3" t="s">
        <v>26</v>
      </c>
      <c r="D2302" s="3">
        <v>74472.013421278</v>
      </c>
      <c r="E2302" s="3">
        <v>25176.7013935322</v>
      </c>
      <c r="F2302" s="3">
        <v>18787.5846028718</v>
      </c>
      <c r="G2302" s="3">
        <v>15145.4417579563</v>
      </c>
      <c r="H2302" s="3">
        <v>-29138.0487321937</v>
      </c>
      <c r="I2302" s="3">
        <v>70463.9875332288</v>
      </c>
      <c r="J2302" s="4">
        <v>45992.0</v>
      </c>
      <c r="K2302" s="3">
        <v>23.0</v>
      </c>
      <c r="L2302" s="3" t="s">
        <v>23</v>
      </c>
    </row>
    <row r="2303" ht="15.75" customHeight="1">
      <c r="A2303" s="3" t="s">
        <v>2382</v>
      </c>
      <c r="B2303" s="3" t="s">
        <v>29</v>
      </c>
      <c r="C2303" s="3" t="s">
        <v>37</v>
      </c>
      <c r="D2303" s="3">
        <v>74482.8963911842</v>
      </c>
      <c r="E2303" s="3">
        <v>25181.3161118597</v>
      </c>
      <c r="F2303" s="3">
        <v>18795.2646063013</v>
      </c>
      <c r="G2303" s="3">
        <v>15148.8393086436</v>
      </c>
      <c r="H2303" s="3">
        <v>-29187.5524499427</v>
      </c>
      <c r="I2303" s="3">
        <v>70467.3690076486</v>
      </c>
      <c r="J2303" s="4">
        <v>45870.0</v>
      </c>
      <c r="K2303" s="3">
        <v>6.0</v>
      </c>
      <c r="L2303" s="3" t="s">
        <v>27</v>
      </c>
    </row>
    <row r="2304" ht="15.75" customHeight="1">
      <c r="A2304" s="3" t="s">
        <v>2383</v>
      </c>
      <c r="B2304" s="3" t="s">
        <v>36</v>
      </c>
      <c r="C2304" s="3" t="s">
        <v>30</v>
      </c>
      <c r="D2304" s="3">
        <v>74493.7793610904</v>
      </c>
      <c r="E2304" s="3">
        <v>25185.9308301871</v>
      </c>
      <c r="F2304" s="3">
        <v>18802.9446097308</v>
      </c>
      <c r="G2304" s="3">
        <v>15152.2368593309</v>
      </c>
      <c r="H2304" s="3">
        <v>-29237.0561676917</v>
      </c>
      <c r="I2304" s="3">
        <v>70470.7504820684</v>
      </c>
      <c r="J2304" s="4">
        <v>45992.0</v>
      </c>
      <c r="K2304" s="3">
        <v>17.0</v>
      </c>
      <c r="L2304" s="3" t="s">
        <v>31</v>
      </c>
    </row>
    <row r="2305" ht="15.75" customHeight="1">
      <c r="A2305" s="3" t="s">
        <v>2384</v>
      </c>
      <c r="B2305" s="3" t="s">
        <v>29</v>
      </c>
      <c r="C2305" s="3" t="s">
        <v>26</v>
      </c>
      <c r="D2305" s="3">
        <v>74504.6623309966</v>
      </c>
      <c r="E2305" s="3">
        <v>25190.5455485145</v>
      </c>
      <c r="F2305" s="3">
        <v>18810.6246131603</v>
      </c>
      <c r="G2305" s="3">
        <v>15155.6344100182</v>
      </c>
      <c r="H2305" s="3">
        <v>-29286.5598854417</v>
      </c>
      <c r="I2305" s="3">
        <v>70474.1319564882</v>
      </c>
      <c r="J2305" s="4">
        <v>45717.0</v>
      </c>
      <c r="K2305" s="3">
        <v>10.0</v>
      </c>
      <c r="L2305" s="3" t="s">
        <v>34</v>
      </c>
    </row>
    <row r="2306" ht="15.75" customHeight="1">
      <c r="A2306" s="3" t="s">
        <v>2385</v>
      </c>
      <c r="B2306" s="3" t="s">
        <v>51</v>
      </c>
      <c r="C2306" s="3" t="s">
        <v>18</v>
      </c>
      <c r="D2306" s="3">
        <v>74515.5453009028</v>
      </c>
      <c r="E2306" s="3">
        <v>25195.1602668419</v>
      </c>
      <c r="F2306" s="3">
        <v>18818.3046165898</v>
      </c>
      <c r="G2306" s="3">
        <v>15159.0319607055</v>
      </c>
      <c r="H2306" s="3">
        <v>-29336.0636031907</v>
      </c>
      <c r="I2306" s="3">
        <v>70477.513430908</v>
      </c>
      <c r="J2306" s="4">
        <v>45962.0</v>
      </c>
      <c r="K2306" s="3">
        <v>3.0</v>
      </c>
      <c r="L2306" s="3" t="s">
        <v>38</v>
      </c>
    </row>
    <row r="2307" ht="15.75" customHeight="1">
      <c r="A2307" s="3" t="s">
        <v>2386</v>
      </c>
      <c r="B2307" s="3" t="s">
        <v>53</v>
      </c>
      <c r="C2307" s="3" t="s">
        <v>37</v>
      </c>
      <c r="D2307" s="3">
        <v>74526.428270809</v>
      </c>
      <c r="E2307" s="3">
        <v>25199.7749851693</v>
      </c>
      <c r="F2307" s="3">
        <v>18825.9846200193</v>
      </c>
      <c r="G2307" s="5"/>
      <c r="H2307" s="3">
        <v>-29385.5673209397</v>
      </c>
      <c r="I2307" s="3">
        <v>70480.8949053278</v>
      </c>
      <c r="J2307" s="4">
        <v>45931.0</v>
      </c>
      <c r="K2307" s="3">
        <v>4.0</v>
      </c>
      <c r="L2307" s="3" t="s">
        <v>40</v>
      </c>
    </row>
    <row r="2308" ht="15.75" customHeight="1">
      <c r="A2308" s="3" t="s">
        <v>2387</v>
      </c>
      <c r="B2308" s="3" t="s">
        <v>53</v>
      </c>
      <c r="C2308" s="3" t="s">
        <v>26</v>
      </c>
      <c r="D2308" s="3">
        <v>74537.3112407152</v>
      </c>
      <c r="E2308" s="3">
        <v>25204.3897034968</v>
      </c>
      <c r="F2308" s="3">
        <v>18833.6646234488</v>
      </c>
      <c r="G2308" s="3">
        <v>15165.8270620801</v>
      </c>
      <c r="H2308" s="3">
        <v>-29435.0710386887</v>
      </c>
      <c r="I2308" s="3">
        <v>70484.2763797477</v>
      </c>
      <c r="J2308" s="4">
        <v>45962.0</v>
      </c>
      <c r="K2308" s="3">
        <v>2.0</v>
      </c>
      <c r="L2308" s="3" t="s">
        <v>42</v>
      </c>
    </row>
    <row r="2309" ht="15.75" customHeight="1">
      <c r="A2309" s="3" t="s">
        <v>2388</v>
      </c>
      <c r="B2309" s="3" t="s">
        <v>51</v>
      </c>
      <c r="C2309" s="3" t="s">
        <v>18</v>
      </c>
      <c r="D2309" s="3">
        <v>74548.1942106214</v>
      </c>
      <c r="E2309" s="3">
        <v>25209.0044218242</v>
      </c>
      <c r="F2309" s="3">
        <v>18841.3446268783</v>
      </c>
      <c r="G2309" s="3">
        <v>15169.2246127673</v>
      </c>
      <c r="H2309" s="3">
        <v>-29484.5747564377</v>
      </c>
      <c r="I2309" s="3">
        <v>70487.6578541675</v>
      </c>
      <c r="J2309" s="4">
        <v>45962.0</v>
      </c>
      <c r="K2309" s="3">
        <v>6.0</v>
      </c>
      <c r="L2309" s="3" t="s">
        <v>15</v>
      </c>
    </row>
    <row r="2310" ht="15.75" customHeight="1">
      <c r="A2310" s="3" t="s">
        <v>2389</v>
      </c>
      <c r="B2310" s="3" t="s">
        <v>36</v>
      </c>
      <c r="C2310" s="3" t="s">
        <v>37</v>
      </c>
      <c r="D2310" s="3">
        <v>74559.0771805276</v>
      </c>
      <c r="E2310" s="3">
        <v>25213.6191401516</v>
      </c>
      <c r="F2310" s="3">
        <v>18849.0246303078</v>
      </c>
      <c r="G2310" s="3">
        <v>15172.6221634546</v>
      </c>
      <c r="H2310" s="3">
        <v>-29534.0784741867</v>
      </c>
      <c r="I2310" s="3">
        <v>70491.0393285873</v>
      </c>
      <c r="J2310" s="4">
        <v>45992.0</v>
      </c>
      <c r="K2310" s="3">
        <v>23.0</v>
      </c>
      <c r="L2310" s="3" t="s">
        <v>19</v>
      </c>
    </row>
    <row r="2311" ht="15.75" customHeight="1">
      <c r="A2311" s="3" t="s">
        <v>2390</v>
      </c>
      <c r="B2311" s="3" t="s">
        <v>13</v>
      </c>
      <c r="C2311" s="3" t="s">
        <v>33</v>
      </c>
      <c r="D2311" s="3">
        <v>74569.9601504337</v>
      </c>
      <c r="E2311" s="3">
        <v>25218.233858479</v>
      </c>
      <c r="F2311" s="3">
        <v>18856.7046337373</v>
      </c>
      <c r="G2311" s="3">
        <v>15176.0197141419</v>
      </c>
      <c r="H2311" s="3">
        <v>-29583.5821919357</v>
      </c>
      <c r="I2311" s="3">
        <v>70494.4208030071</v>
      </c>
      <c r="J2311" s="4">
        <v>45689.0</v>
      </c>
      <c r="K2311" s="3">
        <v>20.0</v>
      </c>
      <c r="L2311" s="3" t="s">
        <v>21</v>
      </c>
    </row>
    <row r="2312" ht="15.75" customHeight="1">
      <c r="A2312" s="3" t="s">
        <v>2391</v>
      </c>
      <c r="B2312" s="3" t="s">
        <v>29</v>
      </c>
      <c r="C2312" s="3" t="s">
        <v>14</v>
      </c>
      <c r="D2312" s="3">
        <v>74580.8431203399</v>
      </c>
      <c r="E2312" s="3">
        <v>25222.8485768065</v>
      </c>
      <c r="F2312" s="3">
        <v>18864.3846371668</v>
      </c>
      <c r="G2312" s="3">
        <v>15179.4172648292</v>
      </c>
      <c r="H2312" s="3">
        <v>-29633.0859096847</v>
      </c>
      <c r="I2312" s="3">
        <v>70497.8022774269</v>
      </c>
      <c r="J2312" s="4">
        <v>45717.0</v>
      </c>
      <c r="K2312" s="3">
        <v>4.0</v>
      </c>
      <c r="L2312" s="3" t="s">
        <v>23</v>
      </c>
    </row>
    <row r="2313" ht="15.75" customHeight="1">
      <c r="A2313" s="3" t="s">
        <v>2392</v>
      </c>
      <c r="B2313" s="3" t="s">
        <v>13</v>
      </c>
      <c r="C2313" s="3" t="s">
        <v>33</v>
      </c>
      <c r="D2313" s="3">
        <v>74591.7260902461</v>
      </c>
      <c r="E2313" s="3">
        <v>25227.4632951339</v>
      </c>
      <c r="F2313" s="3">
        <v>18872.0646405963</v>
      </c>
      <c r="G2313" s="3">
        <v>15182.8148155165</v>
      </c>
      <c r="H2313" s="3">
        <v>-29682.5896274347</v>
      </c>
      <c r="I2313" s="3">
        <v>70501.1837518467</v>
      </c>
      <c r="J2313" s="4">
        <v>45658.0</v>
      </c>
      <c r="K2313" s="3">
        <v>16.0</v>
      </c>
      <c r="L2313" s="3" t="s">
        <v>27</v>
      </c>
    </row>
    <row r="2314" ht="15.75" customHeight="1">
      <c r="A2314" s="3" t="s">
        <v>2393</v>
      </c>
      <c r="B2314" s="3" t="s">
        <v>25</v>
      </c>
      <c r="C2314" s="3" t="s">
        <v>33</v>
      </c>
      <c r="D2314" s="3">
        <v>74602.6090601523</v>
      </c>
      <c r="E2314" s="3">
        <v>25232.0780134613</v>
      </c>
      <c r="F2314" s="3">
        <v>18879.7446440258</v>
      </c>
      <c r="G2314" s="3">
        <v>15186.2123662038</v>
      </c>
      <c r="H2314" s="3">
        <v>-29732.0933451837</v>
      </c>
      <c r="I2314" s="3">
        <v>70504.5652262665</v>
      </c>
      <c r="J2314" s="4">
        <v>45778.0</v>
      </c>
      <c r="K2314" s="3">
        <v>5.0</v>
      </c>
      <c r="L2314" s="3" t="s">
        <v>31</v>
      </c>
    </row>
    <row r="2315" ht="15.75" customHeight="1">
      <c r="A2315" s="3" t="s">
        <v>2394</v>
      </c>
      <c r="B2315" s="3" t="s">
        <v>29</v>
      </c>
      <c r="C2315" s="3" t="s">
        <v>33</v>
      </c>
      <c r="D2315" s="3">
        <v>74613.4920300585</v>
      </c>
      <c r="E2315" s="3">
        <v>25236.6927317887</v>
      </c>
      <c r="F2315" s="3">
        <v>18887.4246474553</v>
      </c>
      <c r="G2315" s="3">
        <v>15189.6099168911</v>
      </c>
      <c r="H2315" s="3">
        <v>-29781.5970629327</v>
      </c>
      <c r="I2315" s="3">
        <v>70507.9467006864</v>
      </c>
      <c r="J2315" s="4">
        <v>45992.0</v>
      </c>
      <c r="K2315" s="3">
        <v>17.0</v>
      </c>
      <c r="L2315" s="3" t="s">
        <v>34</v>
      </c>
    </row>
    <row r="2316" ht="15.75" customHeight="1">
      <c r="A2316" s="3" t="s">
        <v>2395</v>
      </c>
      <c r="B2316" s="3" t="s">
        <v>53</v>
      </c>
      <c r="C2316" s="3" t="s">
        <v>14</v>
      </c>
      <c r="D2316" s="3">
        <v>74624.3749999647</v>
      </c>
      <c r="E2316" s="3">
        <v>25241.3074501161</v>
      </c>
      <c r="F2316" s="3">
        <v>18895.1046508848</v>
      </c>
      <c r="G2316" s="3">
        <v>15193.0074675783</v>
      </c>
      <c r="H2316" s="3">
        <v>-29831.1007806817</v>
      </c>
      <c r="I2316" s="3">
        <v>70511.3281751062</v>
      </c>
      <c r="J2316" s="4">
        <v>45717.0</v>
      </c>
      <c r="K2316" s="3">
        <v>25.0</v>
      </c>
      <c r="L2316" s="3" t="s">
        <v>38</v>
      </c>
    </row>
    <row r="2317" ht="15.75" customHeight="1">
      <c r="A2317" s="3" t="s">
        <v>2396</v>
      </c>
      <c r="B2317" s="3" t="s">
        <v>51</v>
      </c>
      <c r="C2317" s="3" t="s">
        <v>30</v>
      </c>
      <c r="D2317" s="3">
        <v>74635.2579698709</v>
      </c>
      <c r="E2317" s="3">
        <v>25245.9221684436</v>
      </c>
      <c r="F2317" s="3">
        <v>18902.7846543143</v>
      </c>
      <c r="G2317" s="3">
        <v>15196.4050182656</v>
      </c>
      <c r="H2317" s="3">
        <v>-29880.6044984307</v>
      </c>
      <c r="I2317" s="3">
        <v>70514.709649526</v>
      </c>
      <c r="J2317" s="4">
        <v>45931.0</v>
      </c>
      <c r="K2317" s="3">
        <v>21.0</v>
      </c>
      <c r="L2317" s="3" t="s">
        <v>40</v>
      </c>
    </row>
    <row r="2318" ht="15.75" customHeight="1">
      <c r="A2318" s="3" t="s">
        <v>2397</v>
      </c>
      <c r="B2318" s="3" t="s">
        <v>36</v>
      </c>
      <c r="C2318" s="3" t="s">
        <v>30</v>
      </c>
      <c r="D2318" s="3">
        <v>74646.1409397771</v>
      </c>
      <c r="E2318" s="3">
        <v>25250.536886771</v>
      </c>
      <c r="F2318" s="3">
        <v>18910.4646577438</v>
      </c>
      <c r="G2318" s="3">
        <v>15199.8025689529</v>
      </c>
      <c r="H2318" s="3">
        <v>-29930.1082161797</v>
      </c>
      <c r="I2318" s="3">
        <v>70518.0911239458</v>
      </c>
      <c r="J2318" s="4">
        <v>45992.0</v>
      </c>
      <c r="K2318" s="3">
        <v>10.0</v>
      </c>
      <c r="L2318" s="3" t="s">
        <v>42</v>
      </c>
    </row>
    <row r="2319" ht="15.75" customHeight="1">
      <c r="A2319" s="3" t="s">
        <v>2398</v>
      </c>
      <c r="B2319" s="3" t="s">
        <v>13</v>
      </c>
      <c r="C2319" s="3" t="s">
        <v>14</v>
      </c>
      <c r="D2319" s="5"/>
      <c r="E2319" s="3">
        <v>25255.1516050984</v>
      </c>
      <c r="F2319" s="3">
        <v>18918.1446611733</v>
      </c>
      <c r="G2319" s="3">
        <v>15203.2001196402</v>
      </c>
      <c r="H2319" s="3">
        <v>-29979.6119339287</v>
      </c>
      <c r="I2319" s="3">
        <v>70521.4725983656</v>
      </c>
      <c r="J2319" s="4">
        <v>45901.0</v>
      </c>
      <c r="K2319" s="3">
        <v>24.0</v>
      </c>
      <c r="L2319" s="3" t="s">
        <v>15</v>
      </c>
    </row>
    <row r="2320" ht="15.75" customHeight="1">
      <c r="A2320" s="3" t="s">
        <v>2399</v>
      </c>
      <c r="B2320" s="3" t="s">
        <v>36</v>
      </c>
      <c r="C2320" s="3" t="s">
        <v>37</v>
      </c>
      <c r="D2320" s="3">
        <v>74667.9068795895</v>
      </c>
      <c r="E2320" s="3">
        <v>25259.7663234258</v>
      </c>
      <c r="F2320" s="3">
        <v>18925.8246646028</v>
      </c>
      <c r="G2320" s="3">
        <v>15206.5976703275</v>
      </c>
      <c r="H2320" s="3">
        <v>-30029.1156516777</v>
      </c>
      <c r="I2320" s="3">
        <v>70524.8540727854</v>
      </c>
      <c r="J2320" s="4">
        <v>45901.0</v>
      </c>
      <c r="K2320" s="3">
        <v>20.0</v>
      </c>
      <c r="L2320" s="3" t="s">
        <v>19</v>
      </c>
    </row>
    <row r="2321" ht="15.75" customHeight="1">
      <c r="A2321" s="3" t="s">
        <v>2400</v>
      </c>
      <c r="B2321" s="3" t="s">
        <v>51</v>
      </c>
      <c r="C2321" s="3" t="s">
        <v>37</v>
      </c>
      <c r="D2321" s="3">
        <v>74700.5557893081</v>
      </c>
      <c r="E2321" s="3">
        <v>25273.6104784081</v>
      </c>
      <c r="F2321" s="3">
        <v>18948.8646748913</v>
      </c>
      <c r="G2321" s="3">
        <v>15216.7903223894</v>
      </c>
      <c r="H2321" s="3">
        <v>-30177.6268049257</v>
      </c>
      <c r="I2321" s="3">
        <v>70534.9984960449</v>
      </c>
      <c r="J2321" s="4">
        <v>45931.0</v>
      </c>
      <c r="K2321" s="3">
        <v>17.0</v>
      </c>
      <c r="L2321" s="3" t="s">
        <v>27</v>
      </c>
    </row>
    <row r="2322" ht="15.75" customHeight="1">
      <c r="A2322" s="3" t="s">
        <v>2401</v>
      </c>
      <c r="B2322" s="3" t="s">
        <v>17</v>
      </c>
      <c r="C2322" s="3" t="s">
        <v>26</v>
      </c>
      <c r="D2322" s="3">
        <v>74711.4387592143</v>
      </c>
      <c r="E2322" s="3">
        <v>25278.2251967355</v>
      </c>
      <c r="F2322" s="3">
        <v>18956.5446783208</v>
      </c>
      <c r="G2322" s="3">
        <v>15220.1878730766</v>
      </c>
      <c r="H2322" s="3">
        <v>-30227.1305226747</v>
      </c>
      <c r="I2322" s="3">
        <v>70538.3799704647</v>
      </c>
      <c r="J2322" s="4">
        <v>45689.0</v>
      </c>
      <c r="K2322" s="3">
        <v>25.0</v>
      </c>
      <c r="L2322" s="3" t="s">
        <v>31</v>
      </c>
    </row>
    <row r="2323" ht="15.75" customHeight="1">
      <c r="A2323" s="3" t="s">
        <v>2402</v>
      </c>
      <c r="B2323" s="3" t="s">
        <v>36</v>
      </c>
      <c r="C2323" s="3" t="s">
        <v>30</v>
      </c>
      <c r="D2323" s="3">
        <v>74722.3217291205</v>
      </c>
      <c r="E2323" s="3">
        <v>25282.8399150629</v>
      </c>
      <c r="F2323" s="3">
        <v>18964.2246817503</v>
      </c>
      <c r="G2323" s="3">
        <v>15223.5854237639</v>
      </c>
      <c r="H2323" s="3">
        <v>-30276.6342404237</v>
      </c>
      <c r="I2323" s="3">
        <v>70541.7614448845</v>
      </c>
      <c r="J2323" s="4">
        <v>45658.0</v>
      </c>
      <c r="K2323" s="3">
        <v>22.0</v>
      </c>
      <c r="L2323" s="3" t="s">
        <v>34</v>
      </c>
    </row>
    <row r="2324" ht="15.75" customHeight="1">
      <c r="A2324" s="3" t="s">
        <v>2403</v>
      </c>
      <c r="B2324" s="3" t="s">
        <v>36</v>
      </c>
      <c r="C2324" s="3" t="s">
        <v>33</v>
      </c>
      <c r="D2324" s="3">
        <v>74733.2046990266</v>
      </c>
      <c r="E2324" s="3">
        <v>25287.4546333904</v>
      </c>
      <c r="F2324" s="3">
        <v>18971.9046851798</v>
      </c>
      <c r="G2324" s="3">
        <v>15226.9829744512</v>
      </c>
      <c r="H2324" s="3">
        <v>-30326.1379581727</v>
      </c>
      <c r="I2324" s="3">
        <v>70545.1429193043</v>
      </c>
      <c r="J2324" s="4">
        <v>45809.0</v>
      </c>
      <c r="K2324" s="3">
        <v>13.0</v>
      </c>
      <c r="L2324" s="3" t="s">
        <v>38</v>
      </c>
    </row>
    <row r="2325" ht="15.75" customHeight="1">
      <c r="A2325" s="3" t="s">
        <v>2404</v>
      </c>
      <c r="B2325" s="3" t="s">
        <v>13</v>
      </c>
      <c r="C2325" s="3" t="s">
        <v>14</v>
      </c>
      <c r="D2325" s="3">
        <v>74744.0876689328</v>
      </c>
      <c r="E2325" s="3">
        <v>25292.0693517178</v>
      </c>
      <c r="F2325" s="3">
        <v>18979.5846886093</v>
      </c>
      <c r="G2325" s="3">
        <v>15230.3805251385</v>
      </c>
      <c r="H2325" s="3">
        <v>-30375.6416759217</v>
      </c>
      <c r="I2325" s="3">
        <v>70548.5243937241</v>
      </c>
      <c r="J2325" s="4">
        <v>45717.0</v>
      </c>
      <c r="K2325" s="3">
        <v>4.0</v>
      </c>
      <c r="L2325" s="3" t="s">
        <v>40</v>
      </c>
    </row>
    <row r="2326" ht="15.75" customHeight="1">
      <c r="A2326" s="3" t="s">
        <v>2405</v>
      </c>
      <c r="B2326" s="3" t="s">
        <v>36</v>
      </c>
      <c r="C2326" s="3" t="s">
        <v>37</v>
      </c>
      <c r="D2326" s="3">
        <v>74776.7365786514</v>
      </c>
      <c r="E2326" s="3">
        <v>25305.9135067001</v>
      </c>
      <c r="F2326" s="3">
        <v>19002.6246988978</v>
      </c>
      <c r="G2326" s="3">
        <v>15240.5731772004</v>
      </c>
      <c r="H2326" s="3">
        <v>-30524.1528291697</v>
      </c>
      <c r="I2326" s="3">
        <v>70558.6688169836</v>
      </c>
      <c r="J2326" s="4">
        <v>45717.0</v>
      </c>
      <c r="K2326" s="3">
        <v>24.0</v>
      </c>
      <c r="L2326" s="3" t="s">
        <v>19</v>
      </c>
    </row>
    <row r="2327" ht="15.75" customHeight="1">
      <c r="A2327" s="3" t="s">
        <v>2406</v>
      </c>
      <c r="B2327" s="3" t="s">
        <v>25</v>
      </c>
      <c r="C2327" s="3" t="s">
        <v>26</v>
      </c>
      <c r="D2327" s="3">
        <v>74787.6195485576</v>
      </c>
      <c r="E2327" s="3">
        <v>25310.5282250275</v>
      </c>
      <c r="F2327" s="3">
        <v>19010.3047023273</v>
      </c>
      <c r="G2327" s="3">
        <v>15243.9707278877</v>
      </c>
      <c r="H2327" s="3">
        <v>-30573.6565469187</v>
      </c>
      <c r="I2327" s="3">
        <v>70562.0502914034</v>
      </c>
      <c r="J2327" s="4">
        <v>45717.0</v>
      </c>
      <c r="K2327" s="3">
        <v>10.0</v>
      </c>
      <c r="L2327" s="3" t="s">
        <v>21</v>
      </c>
    </row>
    <row r="2328" ht="15.75" customHeight="1">
      <c r="A2328" s="3" t="s">
        <v>2407</v>
      </c>
      <c r="B2328" s="3" t="s">
        <v>36</v>
      </c>
      <c r="C2328" s="3" t="s">
        <v>54</v>
      </c>
      <c r="D2328" s="3">
        <v>74809.38548837</v>
      </c>
      <c r="E2328" s="3">
        <v>25319.7576616823</v>
      </c>
      <c r="F2328" s="3">
        <v>19025.6647091862</v>
      </c>
      <c r="G2328" s="3">
        <v>15250.7658292622</v>
      </c>
      <c r="H2328" s="3">
        <v>-30672.6639824167</v>
      </c>
      <c r="I2328" s="3">
        <v>70568.813240243</v>
      </c>
      <c r="J2328" s="4">
        <v>45962.0</v>
      </c>
      <c r="K2328" s="3">
        <v>19.0</v>
      </c>
      <c r="L2328" s="3" t="s">
        <v>27</v>
      </c>
    </row>
    <row r="2329" ht="15.75" customHeight="1">
      <c r="A2329" s="3" t="s">
        <v>2408</v>
      </c>
      <c r="B2329" s="3" t="s">
        <v>36</v>
      </c>
      <c r="C2329" s="3" t="s">
        <v>30</v>
      </c>
      <c r="D2329" s="3">
        <v>74820.2684582762</v>
      </c>
      <c r="E2329" s="3">
        <v>25324.3723800097</v>
      </c>
      <c r="F2329" s="3">
        <v>19033.3447126157</v>
      </c>
      <c r="G2329" s="3">
        <v>15254.1633799495</v>
      </c>
      <c r="H2329" s="3">
        <v>-30722.1677001657</v>
      </c>
      <c r="I2329" s="3">
        <v>70572.1947146628</v>
      </c>
      <c r="J2329" s="4">
        <v>45931.0</v>
      </c>
      <c r="K2329" s="3">
        <v>6.0</v>
      </c>
      <c r="L2329" s="3" t="s">
        <v>31</v>
      </c>
    </row>
    <row r="2330" ht="15.75" customHeight="1">
      <c r="A2330" s="3" t="s">
        <v>2409</v>
      </c>
      <c r="B2330" s="3" t="s">
        <v>13</v>
      </c>
      <c r="C2330" s="3" t="s">
        <v>37</v>
      </c>
      <c r="D2330" s="3">
        <v>74842.0343980886</v>
      </c>
      <c r="E2330" s="3">
        <v>25333.6018166646</v>
      </c>
      <c r="F2330" s="3">
        <v>19048.7047194747</v>
      </c>
      <c r="G2330" s="3">
        <v>15260.9584813241</v>
      </c>
      <c r="H2330" s="3">
        <v>-30821.1751356637</v>
      </c>
      <c r="I2330" s="3">
        <v>70578.9576635025</v>
      </c>
      <c r="J2330" s="4">
        <v>45717.0</v>
      </c>
      <c r="K2330" s="3">
        <v>7.0</v>
      </c>
      <c r="L2330" s="3" t="s">
        <v>38</v>
      </c>
    </row>
    <row r="2331" ht="15.75" customHeight="1">
      <c r="A2331" s="3" t="s">
        <v>2410</v>
      </c>
      <c r="B2331" s="5"/>
      <c r="C2331" s="3" t="s">
        <v>30</v>
      </c>
      <c r="D2331" s="3">
        <v>74852.9173679948</v>
      </c>
      <c r="E2331" s="3">
        <v>25338.216534992</v>
      </c>
      <c r="F2331" s="3">
        <v>19056.3847229042</v>
      </c>
      <c r="G2331" s="3">
        <v>15264.3560320114</v>
      </c>
      <c r="H2331" s="3">
        <v>-30870.6788534137</v>
      </c>
      <c r="I2331" s="3">
        <v>70582.3391379223</v>
      </c>
      <c r="J2331" s="4">
        <v>45931.0</v>
      </c>
      <c r="K2331" s="3">
        <v>6.0</v>
      </c>
      <c r="L2331" s="3" t="s">
        <v>40</v>
      </c>
    </row>
    <row r="2332" ht="15.75" customHeight="1">
      <c r="A2332" s="3" t="s">
        <v>2411</v>
      </c>
      <c r="B2332" s="3" t="s">
        <v>53</v>
      </c>
      <c r="C2332" s="3" t="s">
        <v>26</v>
      </c>
      <c r="D2332" s="3">
        <v>74863.800337901</v>
      </c>
      <c r="E2332" s="3">
        <v>25342.8312533194</v>
      </c>
      <c r="F2332" s="3">
        <v>19064.0647263337</v>
      </c>
      <c r="G2332" s="3">
        <v>15267.7535826987</v>
      </c>
      <c r="H2332" s="3">
        <v>-30920.1825711627</v>
      </c>
      <c r="I2332" s="3">
        <v>70585.7206123421</v>
      </c>
      <c r="J2332" s="3" t="s">
        <v>57</v>
      </c>
      <c r="K2332" s="3">
        <v>21.0</v>
      </c>
      <c r="L2332" s="3" t="s">
        <v>42</v>
      </c>
    </row>
    <row r="2333" ht="15.75" customHeight="1">
      <c r="A2333" s="3" t="s">
        <v>2412</v>
      </c>
      <c r="B2333" s="3" t="s">
        <v>17</v>
      </c>
      <c r="C2333" s="3" t="s">
        <v>37</v>
      </c>
      <c r="D2333" s="3">
        <v>74874.6833078072</v>
      </c>
      <c r="E2333" s="3">
        <v>25347.4459716469</v>
      </c>
      <c r="F2333" s="3">
        <v>19071.7447297632</v>
      </c>
      <c r="G2333" s="3">
        <v>15271.1511333859</v>
      </c>
      <c r="H2333" s="3">
        <v>-30969.6862889117</v>
      </c>
      <c r="I2333" s="3">
        <v>70589.1020867619</v>
      </c>
      <c r="J2333" s="4">
        <v>45809.0</v>
      </c>
      <c r="K2333" s="3">
        <v>7.0</v>
      </c>
      <c r="L2333" s="3" t="s">
        <v>15</v>
      </c>
    </row>
    <row r="2334" ht="15.75" customHeight="1">
      <c r="A2334" s="3" t="s">
        <v>2413</v>
      </c>
      <c r="B2334" s="3" t="s">
        <v>51</v>
      </c>
      <c r="C2334" s="3" t="s">
        <v>54</v>
      </c>
      <c r="D2334" s="3">
        <v>74885.5662777134</v>
      </c>
      <c r="E2334" s="3">
        <v>25352.0606899743</v>
      </c>
      <c r="F2334" s="3">
        <v>19079.4247331927</v>
      </c>
      <c r="G2334" s="3">
        <v>15274.5486840732</v>
      </c>
      <c r="H2334" s="3">
        <v>-31019.1900066607</v>
      </c>
      <c r="I2334" s="3">
        <v>70592.4835611817</v>
      </c>
      <c r="J2334" s="4">
        <v>45809.0</v>
      </c>
      <c r="K2334" s="3">
        <v>22.0</v>
      </c>
      <c r="L2334" s="3" t="s">
        <v>19</v>
      </c>
    </row>
    <row r="2335" ht="15.75" customHeight="1">
      <c r="A2335" s="3" t="s">
        <v>2414</v>
      </c>
      <c r="B2335" s="3" t="s">
        <v>53</v>
      </c>
      <c r="C2335" s="3" t="s">
        <v>18</v>
      </c>
      <c r="D2335" s="3">
        <v>74896.4492476195</v>
      </c>
      <c r="E2335" s="3">
        <v>25356.6754083017</v>
      </c>
      <c r="F2335" s="3">
        <v>19087.1047366222</v>
      </c>
      <c r="G2335" s="3">
        <v>15277.9462347605</v>
      </c>
      <c r="H2335" s="3">
        <v>-31068.6937244097</v>
      </c>
      <c r="I2335" s="3">
        <v>70595.8650356015</v>
      </c>
      <c r="J2335" s="4">
        <v>45689.0</v>
      </c>
      <c r="K2335" s="3">
        <v>12.0</v>
      </c>
      <c r="L2335" s="3" t="s">
        <v>21</v>
      </c>
    </row>
    <row r="2336" ht="15.75" customHeight="1">
      <c r="A2336" s="3" t="s">
        <v>2415</v>
      </c>
      <c r="B2336" s="3" t="s">
        <v>51</v>
      </c>
      <c r="C2336" s="3" t="s">
        <v>37</v>
      </c>
      <c r="D2336" s="3">
        <v>74907.3322175257</v>
      </c>
      <c r="E2336" s="3">
        <v>25361.2901266291</v>
      </c>
      <c r="F2336" s="3">
        <v>19094.7847400517</v>
      </c>
      <c r="G2336" s="3">
        <v>15281.3437854478</v>
      </c>
      <c r="H2336" s="3">
        <v>-31118.1974421587</v>
      </c>
      <c r="I2336" s="3">
        <v>70599.2465100213</v>
      </c>
      <c r="J2336" s="4">
        <v>45689.0</v>
      </c>
      <c r="K2336" s="3">
        <v>10.0</v>
      </c>
      <c r="L2336" s="3" t="s">
        <v>23</v>
      </c>
    </row>
    <row r="2337" ht="15.75" customHeight="1">
      <c r="A2337" s="3" t="s">
        <v>2416</v>
      </c>
      <c r="B2337" s="3" t="s">
        <v>25</v>
      </c>
      <c r="C2337" s="3" t="s">
        <v>30</v>
      </c>
      <c r="D2337" s="3">
        <v>74918.2151874319</v>
      </c>
      <c r="E2337" s="3">
        <v>25365.9048449565</v>
      </c>
      <c r="F2337" s="3">
        <v>19102.4647434812</v>
      </c>
      <c r="G2337" s="3">
        <v>15284.7413361351</v>
      </c>
      <c r="H2337" s="3">
        <v>-31167.7011599077</v>
      </c>
      <c r="I2337" s="3">
        <v>70602.6279844411</v>
      </c>
      <c r="J2337" s="4">
        <v>45778.0</v>
      </c>
      <c r="K2337" s="3">
        <v>24.0</v>
      </c>
      <c r="L2337" s="3" t="s">
        <v>27</v>
      </c>
    </row>
    <row r="2338" ht="15.75" customHeight="1">
      <c r="A2338" s="3" t="s">
        <v>2417</v>
      </c>
      <c r="B2338" s="3" t="s">
        <v>17</v>
      </c>
      <c r="C2338" s="3" t="s">
        <v>18</v>
      </c>
      <c r="D2338" s="3">
        <v>74929.0981573381</v>
      </c>
      <c r="E2338" s="3">
        <v>25370.519563284</v>
      </c>
      <c r="F2338" s="3">
        <v>19110.1447469107</v>
      </c>
      <c r="G2338" s="3">
        <v>15288.1388868224</v>
      </c>
      <c r="H2338" s="3">
        <v>-31217.2048776567</v>
      </c>
      <c r="I2338" s="3">
        <v>70606.009458861</v>
      </c>
      <c r="J2338" s="4">
        <v>45778.0</v>
      </c>
      <c r="K2338" s="3">
        <v>6.0</v>
      </c>
      <c r="L2338" s="3" t="s">
        <v>31</v>
      </c>
    </row>
    <row r="2339" ht="15.75" customHeight="1">
      <c r="A2339" s="3" t="s">
        <v>2418</v>
      </c>
      <c r="B2339" s="3" t="s">
        <v>51</v>
      </c>
      <c r="C2339" s="3" t="s">
        <v>26</v>
      </c>
      <c r="D2339" s="3">
        <v>74939.9811272443</v>
      </c>
      <c r="E2339" s="3">
        <v>25375.1342816114</v>
      </c>
      <c r="F2339" s="3">
        <v>19117.8247503402</v>
      </c>
      <c r="G2339" s="3">
        <v>15291.5364375097</v>
      </c>
      <c r="H2339" s="3">
        <v>59648.4446897346</v>
      </c>
      <c r="I2339" s="3">
        <v>64648.4446897346</v>
      </c>
      <c r="J2339" s="4">
        <v>45689.0</v>
      </c>
      <c r="K2339" s="3">
        <v>11.0</v>
      </c>
      <c r="L2339" s="3" t="s">
        <v>34</v>
      </c>
    </row>
    <row r="2340" ht="15.75" customHeight="1">
      <c r="A2340" s="3" t="s">
        <v>2419</v>
      </c>
      <c r="B2340" s="3" t="s">
        <v>13</v>
      </c>
      <c r="C2340" s="3" t="s">
        <v>30</v>
      </c>
      <c r="D2340" s="3">
        <v>74961.7470670567</v>
      </c>
      <c r="E2340" s="3">
        <v>25384.3637182662</v>
      </c>
      <c r="F2340" s="3">
        <v>19133.1847571992</v>
      </c>
      <c r="G2340" s="3">
        <v>15298.3315388842</v>
      </c>
      <c r="H2340" s="3">
        <v>-31365.7160309047</v>
      </c>
      <c r="I2340" s="3">
        <v>70616.1538821204</v>
      </c>
      <c r="J2340" s="4">
        <v>45658.0</v>
      </c>
      <c r="K2340" s="3">
        <v>16.0</v>
      </c>
      <c r="L2340" s="3" t="s">
        <v>40</v>
      </c>
    </row>
    <row r="2341" ht="15.75" customHeight="1">
      <c r="A2341" s="3" t="s">
        <v>2420</v>
      </c>
      <c r="B2341" s="3" t="s">
        <v>13</v>
      </c>
      <c r="C2341" s="3" t="s">
        <v>30</v>
      </c>
      <c r="D2341" s="3">
        <v>74972.6300369629</v>
      </c>
      <c r="E2341" s="3">
        <v>25388.9784365937</v>
      </c>
      <c r="F2341" s="3">
        <v>19140.8647606287</v>
      </c>
      <c r="G2341" s="3">
        <v>15301.7290895715</v>
      </c>
      <c r="H2341" s="3">
        <v>-31415.2197486537</v>
      </c>
      <c r="I2341" s="3">
        <v>70619.5353565402</v>
      </c>
      <c r="J2341" s="4">
        <v>45717.0</v>
      </c>
      <c r="K2341" s="3">
        <v>25.0</v>
      </c>
      <c r="L2341" s="3" t="s">
        <v>42</v>
      </c>
    </row>
    <row r="2342" ht="15.75" customHeight="1">
      <c r="A2342" s="3" t="s">
        <v>2421</v>
      </c>
      <c r="B2342" s="3" t="s">
        <v>51</v>
      </c>
      <c r="C2342" s="3" t="s">
        <v>37</v>
      </c>
      <c r="D2342" s="3">
        <v>74983.5130068691</v>
      </c>
      <c r="E2342" s="3">
        <v>25393.5931549211</v>
      </c>
      <c r="F2342" s="3">
        <v>19148.5447640582</v>
      </c>
      <c r="G2342" s="3">
        <v>15305.1266402588</v>
      </c>
      <c r="H2342" s="3">
        <v>-31464.7234664027</v>
      </c>
      <c r="I2342" s="3">
        <v>70622.91683096</v>
      </c>
      <c r="J2342" s="4">
        <v>45901.0</v>
      </c>
      <c r="K2342" s="3">
        <v>15.0</v>
      </c>
      <c r="L2342" s="3" t="s">
        <v>15</v>
      </c>
    </row>
    <row r="2343" ht="15.75" customHeight="1">
      <c r="A2343" s="3" t="s">
        <v>2422</v>
      </c>
      <c r="B2343" s="3" t="s">
        <v>17</v>
      </c>
      <c r="C2343" s="3" t="s">
        <v>54</v>
      </c>
      <c r="D2343" s="3">
        <v>74994.3959767753</v>
      </c>
      <c r="E2343" s="3">
        <v>25398.2078732485</v>
      </c>
      <c r="F2343" s="3">
        <v>19156.2247674877</v>
      </c>
      <c r="G2343" s="3">
        <v>15308.5241909461</v>
      </c>
      <c r="H2343" s="3">
        <v>-31514.2271841517</v>
      </c>
      <c r="I2343" s="3">
        <v>70626.2983053799</v>
      </c>
      <c r="J2343" s="4">
        <v>45901.0</v>
      </c>
      <c r="K2343" s="3">
        <v>7.0</v>
      </c>
      <c r="L2343" s="3" t="s">
        <v>19</v>
      </c>
    </row>
    <row r="2344" ht="15.75" customHeight="1">
      <c r="A2344" s="3" t="s">
        <v>2423</v>
      </c>
      <c r="B2344" s="3" t="s">
        <v>13</v>
      </c>
      <c r="C2344" s="3" t="s">
        <v>54</v>
      </c>
      <c r="D2344" s="5"/>
      <c r="E2344" s="3">
        <v>25402.8225915759</v>
      </c>
      <c r="F2344" s="3">
        <v>19163.9047709172</v>
      </c>
      <c r="G2344" s="3">
        <v>15311.9217416334</v>
      </c>
      <c r="H2344" s="3">
        <v>-31563.7309019007</v>
      </c>
      <c r="I2344" s="3">
        <v>70629.6797797997</v>
      </c>
      <c r="J2344" s="4">
        <v>45658.0</v>
      </c>
      <c r="K2344" s="3">
        <v>20.0</v>
      </c>
      <c r="L2344" s="3" t="s">
        <v>21</v>
      </c>
    </row>
    <row r="2345" ht="15.75" customHeight="1">
      <c r="A2345" s="3" t="s">
        <v>2424</v>
      </c>
      <c r="B2345" s="3" t="s">
        <v>17</v>
      </c>
      <c r="C2345" s="3" t="s">
        <v>26</v>
      </c>
      <c r="D2345" s="3">
        <v>75016.1619165877</v>
      </c>
      <c r="E2345" s="3">
        <v>25407.4373099033</v>
      </c>
      <c r="F2345" s="3">
        <v>19171.5847743467</v>
      </c>
      <c r="G2345" s="3">
        <v>15315.3192923207</v>
      </c>
      <c r="H2345" s="3">
        <v>-31613.2346196497</v>
      </c>
      <c r="I2345" s="3">
        <v>70633.0612542195</v>
      </c>
      <c r="J2345" s="4">
        <v>45809.0</v>
      </c>
      <c r="K2345" s="3">
        <v>5.0</v>
      </c>
      <c r="L2345" s="3" t="s">
        <v>23</v>
      </c>
    </row>
    <row r="2346" ht="15.75" customHeight="1">
      <c r="A2346" s="3" t="s">
        <v>2425</v>
      </c>
      <c r="B2346" s="3" t="s">
        <v>17</v>
      </c>
      <c r="C2346" s="3" t="s">
        <v>37</v>
      </c>
      <c r="D2346" s="3">
        <v>75027.0448864939</v>
      </c>
      <c r="E2346" s="3">
        <v>25412.0520282308</v>
      </c>
      <c r="F2346" s="3">
        <v>19179.2647777762</v>
      </c>
      <c r="G2346" s="3">
        <v>15318.716843008</v>
      </c>
      <c r="H2346" s="3">
        <v>-31662.7383373997</v>
      </c>
      <c r="I2346" s="3">
        <v>70636.4427286393</v>
      </c>
      <c r="J2346" s="4">
        <v>45839.0</v>
      </c>
      <c r="K2346" s="3">
        <v>7.0</v>
      </c>
      <c r="L2346" s="3" t="s">
        <v>27</v>
      </c>
    </row>
    <row r="2347" ht="15.75" customHeight="1">
      <c r="A2347" s="3" t="s">
        <v>2426</v>
      </c>
      <c r="B2347" s="3" t="s">
        <v>29</v>
      </c>
      <c r="C2347" s="3" t="s">
        <v>54</v>
      </c>
      <c r="D2347" s="3">
        <v>75037.9278564001</v>
      </c>
      <c r="E2347" s="3">
        <v>25416.6667465582</v>
      </c>
      <c r="F2347" s="3">
        <v>19186.9447812057</v>
      </c>
      <c r="G2347" s="3">
        <v>15322.1143936953</v>
      </c>
      <c r="H2347" s="3">
        <v>-31712.2420551487</v>
      </c>
      <c r="I2347" s="3">
        <v>70639.8242030591</v>
      </c>
      <c r="J2347" s="4">
        <v>45717.0</v>
      </c>
      <c r="K2347" s="3">
        <v>8.0</v>
      </c>
      <c r="L2347" s="3" t="s">
        <v>31</v>
      </c>
    </row>
    <row r="2348" ht="15.75" customHeight="1">
      <c r="A2348" s="3" t="s">
        <v>2427</v>
      </c>
      <c r="B2348" s="3" t="s">
        <v>53</v>
      </c>
      <c r="C2348" s="3" t="s">
        <v>14</v>
      </c>
      <c r="D2348" s="3">
        <v>75059.6937962124</v>
      </c>
      <c r="E2348" s="3">
        <v>25425.896183213</v>
      </c>
      <c r="F2348" s="3">
        <v>19202.3047880647</v>
      </c>
      <c r="G2348" s="5"/>
      <c r="H2348" s="3">
        <v>-31811.2494906467</v>
      </c>
      <c r="I2348" s="3">
        <v>70646.5871518987</v>
      </c>
      <c r="J2348" s="4">
        <v>45992.0</v>
      </c>
      <c r="K2348" s="3">
        <v>8.0</v>
      </c>
      <c r="L2348" s="3" t="s">
        <v>38</v>
      </c>
    </row>
    <row r="2349" ht="15.75" customHeight="1">
      <c r="A2349" s="3" t="s">
        <v>2428</v>
      </c>
      <c r="B2349" s="3" t="s">
        <v>36</v>
      </c>
      <c r="C2349" s="3" t="s">
        <v>54</v>
      </c>
      <c r="D2349" s="3">
        <v>75070.5767661186</v>
      </c>
      <c r="E2349" s="3">
        <v>25430.5109015405</v>
      </c>
      <c r="F2349" s="3">
        <v>19209.9847914942</v>
      </c>
      <c r="G2349" s="3">
        <v>15332.3070457571</v>
      </c>
      <c r="H2349" s="3">
        <v>-31860.7532083957</v>
      </c>
      <c r="I2349" s="3">
        <v>70649.9686263186</v>
      </c>
      <c r="J2349" s="4">
        <v>45870.0</v>
      </c>
      <c r="K2349" s="3">
        <v>22.0</v>
      </c>
      <c r="L2349" s="3" t="s">
        <v>40</v>
      </c>
    </row>
    <row r="2350" ht="15.75" customHeight="1">
      <c r="A2350" s="3" t="s">
        <v>2429</v>
      </c>
      <c r="B2350" s="3" t="s">
        <v>25</v>
      </c>
      <c r="C2350" s="3" t="s">
        <v>37</v>
      </c>
      <c r="D2350" s="3">
        <v>75081.4597360248</v>
      </c>
      <c r="E2350" s="3">
        <v>25435.1256198679</v>
      </c>
      <c r="F2350" s="3">
        <v>19217.6647949237</v>
      </c>
      <c r="G2350" s="3">
        <v>15335.7045964444</v>
      </c>
      <c r="H2350" s="3">
        <v>-31910.2569261447</v>
      </c>
      <c r="I2350" s="3">
        <v>70653.3501007384</v>
      </c>
      <c r="J2350" s="4">
        <v>45962.0</v>
      </c>
      <c r="K2350" s="3">
        <v>22.0</v>
      </c>
      <c r="L2350" s="3" t="s">
        <v>42</v>
      </c>
    </row>
    <row r="2351" ht="15.75" customHeight="1">
      <c r="A2351" s="3" t="s">
        <v>2430</v>
      </c>
      <c r="B2351" s="3" t="s">
        <v>17</v>
      </c>
      <c r="C2351" s="3" t="s">
        <v>54</v>
      </c>
      <c r="D2351" s="3">
        <v>75092.342705931</v>
      </c>
      <c r="E2351" s="3">
        <v>25439.7403381953</v>
      </c>
      <c r="F2351" s="3">
        <v>19225.3447983532</v>
      </c>
      <c r="G2351" s="3">
        <v>15339.1021471317</v>
      </c>
      <c r="H2351" s="3">
        <v>-31959.7606438937</v>
      </c>
      <c r="I2351" s="3">
        <v>70656.7315751582</v>
      </c>
      <c r="J2351" s="4">
        <v>45778.0</v>
      </c>
      <c r="K2351" s="3">
        <v>9.0</v>
      </c>
      <c r="L2351" s="3" t="s">
        <v>15</v>
      </c>
    </row>
    <row r="2352" ht="15.75" customHeight="1">
      <c r="A2352" s="3" t="s">
        <v>2431</v>
      </c>
      <c r="B2352" s="3" t="s">
        <v>29</v>
      </c>
      <c r="C2352" s="3" t="s">
        <v>33</v>
      </c>
      <c r="D2352" s="3">
        <v>75103.2256758372</v>
      </c>
      <c r="E2352" s="3">
        <v>25444.3550565227</v>
      </c>
      <c r="F2352" s="3">
        <v>19233.0248017827</v>
      </c>
      <c r="G2352" s="3">
        <v>15342.499697819</v>
      </c>
      <c r="H2352" s="3">
        <v>-32009.2643616427</v>
      </c>
      <c r="I2352" s="3">
        <v>70660.113049578</v>
      </c>
      <c r="J2352" s="4">
        <v>45809.0</v>
      </c>
      <c r="K2352" s="3">
        <v>24.0</v>
      </c>
      <c r="L2352" s="3" t="s">
        <v>19</v>
      </c>
    </row>
    <row r="2353" ht="15.75" customHeight="1">
      <c r="A2353" s="3" t="s">
        <v>2432</v>
      </c>
      <c r="B2353" s="3" t="s">
        <v>51</v>
      </c>
      <c r="C2353" s="3" t="s">
        <v>26</v>
      </c>
      <c r="D2353" s="3">
        <v>75114.1086457434</v>
      </c>
      <c r="E2353" s="3">
        <v>25448.9697748501</v>
      </c>
      <c r="F2353" s="3">
        <v>19240.7048052122</v>
      </c>
      <c r="G2353" s="3">
        <v>15345.8972485063</v>
      </c>
      <c r="H2353" s="3">
        <v>-32058.7680793927</v>
      </c>
      <c r="I2353" s="3">
        <v>70663.4945239978</v>
      </c>
      <c r="J2353" s="4">
        <v>45778.0</v>
      </c>
      <c r="K2353" s="3">
        <v>16.0</v>
      </c>
      <c r="L2353" s="3" t="s">
        <v>21</v>
      </c>
    </row>
    <row r="2354" ht="15.75" customHeight="1">
      <c r="A2354" s="3" t="s">
        <v>2433</v>
      </c>
      <c r="B2354" s="3" t="s">
        <v>29</v>
      </c>
      <c r="C2354" s="3" t="s">
        <v>30</v>
      </c>
      <c r="D2354" s="3">
        <v>75124.9916156496</v>
      </c>
      <c r="E2354" s="3">
        <v>25453.5844931776</v>
      </c>
      <c r="F2354" s="3">
        <v>19248.3848086417</v>
      </c>
      <c r="G2354" s="3">
        <v>15349.2947991935</v>
      </c>
      <c r="H2354" s="3">
        <v>-32108.2717971417</v>
      </c>
      <c r="I2354" s="3">
        <v>70666.8759984176</v>
      </c>
      <c r="J2354" s="4">
        <v>45839.0</v>
      </c>
      <c r="K2354" s="3">
        <v>3.0</v>
      </c>
      <c r="L2354" s="3" t="s">
        <v>23</v>
      </c>
    </row>
    <row r="2355" ht="15.75" customHeight="1">
      <c r="A2355" s="3" t="s">
        <v>2434</v>
      </c>
      <c r="B2355" s="3" t="s">
        <v>17</v>
      </c>
      <c r="C2355" s="3" t="s">
        <v>54</v>
      </c>
      <c r="D2355" s="3">
        <v>75135.8745855558</v>
      </c>
      <c r="E2355" s="3">
        <v>25458.199211505</v>
      </c>
      <c r="F2355" s="3">
        <v>19256.0648120712</v>
      </c>
      <c r="G2355" s="3">
        <v>15352.6923498808</v>
      </c>
      <c r="H2355" s="3">
        <v>-32157.7755148907</v>
      </c>
      <c r="I2355" s="3">
        <v>70670.2574728374</v>
      </c>
      <c r="J2355" s="4">
        <v>45658.0</v>
      </c>
      <c r="K2355" s="3">
        <v>25.0</v>
      </c>
      <c r="L2355" s="3" t="s">
        <v>27</v>
      </c>
    </row>
    <row r="2356" ht="15.75" customHeight="1">
      <c r="A2356" s="3" t="s">
        <v>2435</v>
      </c>
      <c r="B2356" s="3" t="s">
        <v>17</v>
      </c>
      <c r="C2356" s="3" t="s">
        <v>14</v>
      </c>
      <c r="D2356" s="3">
        <v>75146.757555462</v>
      </c>
      <c r="E2356" s="3">
        <v>25462.8139298324</v>
      </c>
      <c r="F2356" s="3">
        <v>19263.7448155007</v>
      </c>
      <c r="G2356" s="3">
        <v>15356.0899005681</v>
      </c>
      <c r="H2356" s="3">
        <v>-32207.2792326397</v>
      </c>
      <c r="I2356" s="3">
        <v>70673.6389472573</v>
      </c>
      <c r="J2356" s="4">
        <v>45992.0</v>
      </c>
      <c r="K2356" s="3">
        <v>9.0</v>
      </c>
      <c r="L2356" s="3" t="s">
        <v>31</v>
      </c>
    </row>
    <row r="2357" ht="15.75" customHeight="1">
      <c r="A2357" s="3" t="s">
        <v>2436</v>
      </c>
      <c r="B2357" s="3" t="s">
        <v>53</v>
      </c>
      <c r="C2357" s="3" t="s">
        <v>54</v>
      </c>
      <c r="D2357" s="3">
        <v>75157.6405253682</v>
      </c>
      <c r="E2357" s="3">
        <v>25467.4286481598</v>
      </c>
      <c r="F2357" s="3">
        <v>19271.4248189302</v>
      </c>
      <c r="G2357" s="3">
        <v>15359.4874512554</v>
      </c>
      <c r="H2357" s="3">
        <v>-32256.7829503887</v>
      </c>
      <c r="I2357" s="3">
        <v>70677.0204216771</v>
      </c>
      <c r="J2357" s="4">
        <v>45962.0</v>
      </c>
      <c r="K2357" s="3">
        <v>10.0</v>
      </c>
      <c r="L2357" s="3" t="s">
        <v>34</v>
      </c>
    </row>
    <row r="2358" ht="15.75" customHeight="1">
      <c r="A2358" s="3" t="s">
        <v>2437</v>
      </c>
      <c r="B2358" s="3" t="s">
        <v>13</v>
      </c>
      <c r="C2358" s="3" t="s">
        <v>33</v>
      </c>
      <c r="D2358" s="3">
        <v>75168.5234952744</v>
      </c>
      <c r="E2358" s="3">
        <v>25472.0433664873</v>
      </c>
      <c r="F2358" s="3">
        <v>19279.1048223597</v>
      </c>
      <c r="G2358" s="3">
        <v>15362.8850019427</v>
      </c>
      <c r="H2358" s="3">
        <v>-32306.2866681377</v>
      </c>
      <c r="I2358" s="3">
        <v>70680.4018960969</v>
      </c>
      <c r="J2358" s="4">
        <v>45778.0</v>
      </c>
      <c r="K2358" s="3">
        <v>2.0</v>
      </c>
      <c r="L2358" s="3" t="s">
        <v>38</v>
      </c>
    </row>
    <row r="2359" ht="15.75" customHeight="1">
      <c r="A2359" s="3" t="s">
        <v>2438</v>
      </c>
      <c r="B2359" s="3" t="s">
        <v>13</v>
      </c>
      <c r="C2359" s="3" t="s">
        <v>30</v>
      </c>
      <c r="D2359" s="3">
        <v>75179.4064651806</v>
      </c>
      <c r="E2359" s="3">
        <v>25476.6580848147</v>
      </c>
      <c r="F2359" s="3">
        <v>19286.7848257892</v>
      </c>
      <c r="G2359" s="3">
        <v>15366.28255263</v>
      </c>
      <c r="H2359" s="3">
        <v>-32355.7903858867</v>
      </c>
      <c r="I2359" s="3">
        <v>70683.7833705167</v>
      </c>
      <c r="J2359" s="4">
        <v>45901.0</v>
      </c>
      <c r="K2359" s="3">
        <v>5.0</v>
      </c>
      <c r="L2359" s="3" t="s">
        <v>40</v>
      </c>
    </row>
    <row r="2360" ht="15.75" customHeight="1">
      <c r="A2360" s="3" t="s">
        <v>2439</v>
      </c>
      <c r="B2360" s="3" t="s">
        <v>29</v>
      </c>
      <c r="C2360" s="3" t="s">
        <v>33</v>
      </c>
      <c r="D2360" s="3">
        <v>75190.2894350868</v>
      </c>
      <c r="E2360" s="3">
        <v>25481.2728031421</v>
      </c>
      <c r="F2360" s="3">
        <v>19294.4648292186</v>
      </c>
      <c r="G2360" s="3">
        <v>15369.6801033173</v>
      </c>
      <c r="H2360" s="3">
        <v>-32405.2941036357</v>
      </c>
      <c r="I2360" s="3">
        <v>70687.1648449365</v>
      </c>
      <c r="J2360" s="4">
        <v>45717.0</v>
      </c>
      <c r="K2360" s="3">
        <v>21.0</v>
      </c>
      <c r="L2360" s="3" t="s">
        <v>42</v>
      </c>
    </row>
    <row r="2361" ht="15.75" customHeight="1">
      <c r="A2361" s="3" t="s">
        <v>2440</v>
      </c>
      <c r="B2361" s="3" t="s">
        <v>53</v>
      </c>
      <c r="C2361" s="3" t="s">
        <v>18</v>
      </c>
      <c r="D2361" s="3">
        <v>75201.172404993</v>
      </c>
      <c r="E2361" s="3">
        <v>25485.8875214695</v>
      </c>
      <c r="F2361" s="3">
        <v>19302.1448326481</v>
      </c>
      <c r="G2361" s="3">
        <v>15373.0776540046</v>
      </c>
      <c r="H2361" s="3">
        <v>-32454.7978213857</v>
      </c>
      <c r="I2361" s="3">
        <v>70690.5463193563</v>
      </c>
      <c r="J2361" s="4">
        <v>45778.0</v>
      </c>
      <c r="K2361" s="3">
        <v>8.0</v>
      </c>
      <c r="L2361" s="3" t="s">
        <v>15</v>
      </c>
    </row>
    <row r="2362" ht="15.75" customHeight="1">
      <c r="A2362" s="3" t="s">
        <v>2441</v>
      </c>
      <c r="B2362" s="3" t="s">
        <v>51</v>
      </c>
      <c r="C2362" s="3" t="s">
        <v>26</v>
      </c>
      <c r="D2362" s="3">
        <v>75212.0553748992</v>
      </c>
      <c r="E2362" s="3">
        <v>25490.5022397969</v>
      </c>
      <c r="F2362" s="3">
        <v>19309.8248360776</v>
      </c>
      <c r="G2362" s="3">
        <v>15376.4752046918</v>
      </c>
      <c r="H2362" s="3">
        <v>-32504.3015391347</v>
      </c>
      <c r="I2362" s="3">
        <v>70693.9277937762</v>
      </c>
      <c r="J2362" s="4">
        <v>45870.0</v>
      </c>
      <c r="K2362" s="3">
        <v>5.0</v>
      </c>
      <c r="L2362" s="3" t="s">
        <v>19</v>
      </c>
    </row>
    <row r="2363" ht="15.75" customHeight="1">
      <c r="A2363" s="3" t="s">
        <v>2442</v>
      </c>
      <c r="B2363" s="3" t="s">
        <v>53</v>
      </c>
      <c r="C2363" s="3" t="s">
        <v>14</v>
      </c>
      <c r="D2363" s="3">
        <v>75222.9383448054</v>
      </c>
      <c r="E2363" s="3">
        <v>25495.1169581244</v>
      </c>
      <c r="F2363" s="3">
        <v>19317.5048395071</v>
      </c>
      <c r="G2363" s="3">
        <v>15379.8727553791</v>
      </c>
      <c r="H2363" s="3">
        <v>-32553.8052568837</v>
      </c>
      <c r="I2363" s="3">
        <v>70697.309268196</v>
      </c>
      <c r="J2363" s="4">
        <v>45992.0</v>
      </c>
      <c r="K2363" s="3">
        <v>17.0</v>
      </c>
      <c r="L2363" s="3" t="s">
        <v>21</v>
      </c>
    </row>
    <row r="2364" ht="15.75" customHeight="1">
      <c r="A2364" s="3" t="s">
        <v>2443</v>
      </c>
      <c r="B2364" s="3" t="s">
        <v>51</v>
      </c>
      <c r="C2364" s="3" t="s">
        <v>30</v>
      </c>
      <c r="D2364" s="3">
        <v>75233.8213147115</v>
      </c>
      <c r="E2364" s="3">
        <v>25499.7316764518</v>
      </c>
      <c r="F2364" s="3">
        <v>19325.1848429366</v>
      </c>
      <c r="G2364" s="3">
        <v>15383.2703060664</v>
      </c>
      <c r="H2364" s="3">
        <v>-32603.3089746327</v>
      </c>
      <c r="I2364" s="3">
        <v>70700.6907426158</v>
      </c>
      <c r="J2364" s="4">
        <v>45809.0</v>
      </c>
      <c r="K2364" s="3">
        <v>6.0</v>
      </c>
      <c r="L2364" s="3" t="s">
        <v>23</v>
      </c>
    </row>
    <row r="2365" ht="15.75" customHeight="1">
      <c r="A2365" s="3" t="s">
        <v>2444</v>
      </c>
      <c r="B2365" s="3" t="s">
        <v>36</v>
      </c>
      <c r="C2365" s="3" t="s">
        <v>18</v>
      </c>
      <c r="D2365" s="3">
        <v>75244.7042846177</v>
      </c>
      <c r="E2365" s="3">
        <v>25504.3463947792</v>
      </c>
      <c r="F2365" s="3">
        <v>19332.8648463661</v>
      </c>
      <c r="G2365" s="3">
        <v>15386.6678567537</v>
      </c>
      <c r="H2365" s="3">
        <v>59858.036427864</v>
      </c>
      <c r="I2365" s="3">
        <v>64858.036427864</v>
      </c>
      <c r="J2365" s="4">
        <v>45748.0</v>
      </c>
      <c r="K2365" s="3">
        <v>11.0</v>
      </c>
      <c r="L2365" s="3" t="s">
        <v>27</v>
      </c>
    </row>
    <row r="2366" ht="15.75" customHeight="1">
      <c r="A2366" s="3" t="s">
        <v>2445</v>
      </c>
      <c r="B2366" s="3" t="s">
        <v>51</v>
      </c>
      <c r="C2366" s="3" t="s">
        <v>30</v>
      </c>
      <c r="D2366" s="3">
        <v>75255.5872545239</v>
      </c>
      <c r="E2366" s="3">
        <v>25508.9611131066</v>
      </c>
      <c r="F2366" s="3">
        <v>19340.5448497956</v>
      </c>
      <c r="G2366" s="3">
        <v>15390.065407441</v>
      </c>
      <c r="H2366" s="3">
        <v>-32702.3164101307</v>
      </c>
      <c r="I2366" s="3">
        <v>70707.4536914554</v>
      </c>
      <c r="J2366" s="4">
        <v>45689.0</v>
      </c>
      <c r="K2366" s="3">
        <v>10.0</v>
      </c>
      <c r="L2366" s="3" t="s">
        <v>31</v>
      </c>
    </row>
    <row r="2367" ht="15.75" customHeight="1">
      <c r="A2367" s="3" t="s">
        <v>2446</v>
      </c>
      <c r="B2367" s="3" t="s">
        <v>17</v>
      </c>
      <c r="C2367" s="3" t="s">
        <v>26</v>
      </c>
      <c r="D2367" s="3">
        <v>75266.4702244301</v>
      </c>
      <c r="E2367" s="3">
        <v>25513.575831434</v>
      </c>
      <c r="F2367" s="3">
        <v>19348.2248532251</v>
      </c>
      <c r="G2367" s="3">
        <v>15393.4629581283</v>
      </c>
      <c r="H2367" s="3">
        <v>-32751.8201278797</v>
      </c>
      <c r="I2367" s="3">
        <v>70710.8351658752</v>
      </c>
      <c r="J2367" s="4">
        <v>45839.0</v>
      </c>
      <c r="K2367" s="3">
        <v>1.0</v>
      </c>
      <c r="L2367" s="3" t="s">
        <v>34</v>
      </c>
    </row>
    <row r="2368" ht="15.75" customHeight="1">
      <c r="A2368" s="3" t="s">
        <v>2447</v>
      </c>
      <c r="B2368" s="3" t="s">
        <v>51</v>
      </c>
      <c r="C2368" s="3" t="s">
        <v>30</v>
      </c>
      <c r="D2368" s="3">
        <v>75277.3531943363</v>
      </c>
      <c r="E2368" s="3">
        <v>25518.1905497615</v>
      </c>
      <c r="F2368" s="3">
        <v>19355.9048566546</v>
      </c>
      <c r="G2368" s="3">
        <v>15396.8605088156</v>
      </c>
      <c r="H2368" s="3">
        <v>-32801.3238456297</v>
      </c>
      <c r="I2368" s="3">
        <v>70714.216640295</v>
      </c>
      <c r="J2368" s="4">
        <v>45689.0</v>
      </c>
      <c r="K2368" s="3">
        <v>16.0</v>
      </c>
      <c r="L2368" s="3" t="s">
        <v>38</v>
      </c>
    </row>
    <row r="2369" ht="15.75" customHeight="1">
      <c r="A2369" s="3" t="s">
        <v>2448</v>
      </c>
      <c r="B2369" s="3" t="s">
        <v>36</v>
      </c>
      <c r="C2369" s="3" t="s">
        <v>14</v>
      </c>
      <c r="D2369" s="3">
        <v>75288.2361642425</v>
      </c>
      <c r="E2369" s="3">
        <v>25522.8052680889</v>
      </c>
      <c r="F2369" s="3">
        <v>19363.5848600841</v>
      </c>
      <c r="G2369" s="3">
        <v>15400.2580595029</v>
      </c>
      <c r="H2369" s="3">
        <v>-32850.8275633787</v>
      </c>
      <c r="I2369" s="3">
        <v>70717.5981147148</v>
      </c>
      <c r="J2369" s="4">
        <v>45870.0</v>
      </c>
      <c r="K2369" s="3">
        <v>11.0</v>
      </c>
      <c r="L2369" s="3" t="s">
        <v>40</v>
      </c>
    </row>
    <row r="2370" ht="15.75" customHeight="1">
      <c r="A2370" s="3" t="s">
        <v>2449</v>
      </c>
      <c r="B2370" s="3" t="s">
        <v>36</v>
      </c>
      <c r="C2370" s="3" t="s">
        <v>54</v>
      </c>
      <c r="D2370" s="3">
        <v>75299.1191341487</v>
      </c>
      <c r="E2370" s="3">
        <v>25527.4199864163</v>
      </c>
      <c r="F2370" s="3">
        <v>19371.2648635136</v>
      </c>
      <c r="G2370" s="3">
        <v>15403.6556101901</v>
      </c>
      <c r="H2370" s="3">
        <v>-32900.3312811277</v>
      </c>
      <c r="I2370" s="3">
        <v>70720.9795891347</v>
      </c>
      <c r="J2370" s="4">
        <v>45870.0</v>
      </c>
      <c r="K2370" s="3">
        <v>7.0</v>
      </c>
      <c r="L2370" s="3" t="s">
        <v>42</v>
      </c>
    </row>
    <row r="2371" ht="15.75" customHeight="1">
      <c r="A2371" s="3" t="s">
        <v>2450</v>
      </c>
      <c r="B2371" s="3" t="s">
        <v>25</v>
      </c>
      <c r="C2371" s="3" t="s">
        <v>54</v>
      </c>
      <c r="D2371" s="3">
        <v>75310.0021040549</v>
      </c>
      <c r="E2371" s="3">
        <v>25532.0347047437</v>
      </c>
      <c r="F2371" s="3">
        <v>19378.9448669431</v>
      </c>
      <c r="G2371" s="3">
        <v>15407.0531608774</v>
      </c>
      <c r="H2371" s="3">
        <v>-32949.8349988767</v>
      </c>
      <c r="I2371" s="3">
        <v>70724.3610635545</v>
      </c>
      <c r="J2371" s="4">
        <v>45870.0</v>
      </c>
      <c r="K2371" s="3">
        <v>4.0</v>
      </c>
      <c r="L2371" s="3" t="s">
        <v>15</v>
      </c>
    </row>
    <row r="2372" ht="15.75" customHeight="1">
      <c r="A2372" s="3" t="s">
        <v>2451</v>
      </c>
      <c r="B2372" s="3" t="s">
        <v>17</v>
      </c>
      <c r="C2372" s="3" t="s">
        <v>14</v>
      </c>
      <c r="D2372" s="3">
        <v>75320.8850739611</v>
      </c>
      <c r="E2372" s="3">
        <v>25536.6494230712</v>
      </c>
      <c r="F2372" s="3">
        <v>19386.6248703726</v>
      </c>
      <c r="G2372" s="3">
        <v>15410.4507115647</v>
      </c>
      <c r="H2372" s="3">
        <v>-32999.3387166257</v>
      </c>
      <c r="I2372" s="3">
        <v>70727.7425379743</v>
      </c>
      <c r="J2372" s="4">
        <v>45901.0</v>
      </c>
      <c r="K2372" s="3">
        <v>25.0</v>
      </c>
      <c r="L2372" s="3" t="s">
        <v>19</v>
      </c>
    </row>
    <row r="2373" ht="15.75" customHeight="1">
      <c r="A2373" s="3" t="s">
        <v>2452</v>
      </c>
      <c r="B2373" s="3" t="s">
        <v>13</v>
      </c>
      <c r="C2373" s="3" t="s">
        <v>33</v>
      </c>
      <c r="D2373" s="3">
        <v>75331.7680438673</v>
      </c>
      <c r="E2373" s="3">
        <v>25541.2641413986</v>
      </c>
      <c r="F2373" s="3">
        <v>19394.3048738021</v>
      </c>
      <c r="G2373" s="3">
        <v>15413.848262252</v>
      </c>
      <c r="H2373" s="3">
        <v>-33048.8424343747</v>
      </c>
      <c r="I2373" s="3">
        <v>70731.1240123941</v>
      </c>
      <c r="J2373" s="4">
        <v>45748.0</v>
      </c>
      <c r="K2373" s="3">
        <v>23.0</v>
      </c>
      <c r="L2373" s="3" t="s">
        <v>21</v>
      </c>
    </row>
    <row r="2374" ht="15.75" customHeight="1">
      <c r="A2374" s="3" t="s">
        <v>2453</v>
      </c>
      <c r="B2374" s="3" t="s">
        <v>36</v>
      </c>
      <c r="C2374" s="3" t="s">
        <v>18</v>
      </c>
      <c r="D2374" s="3">
        <v>75353.5339836797</v>
      </c>
      <c r="E2374" s="3">
        <v>25550.4935780534</v>
      </c>
      <c r="F2374" s="3">
        <v>19409.6648806611</v>
      </c>
      <c r="G2374" s="3">
        <v>15420.6433636266</v>
      </c>
      <c r="H2374" s="3">
        <v>-33147.8498698727</v>
      </c>
      <c r="I2374" s="3">
        <v>70737.8869612337</v>
      </c>
      <c r="J2374" s="4">
        <v>45809.0</v>
      </c>
      <c r="K2374" s="3">
        <v>24.0</v>
      </c>
      <c r="L2374" s="3" t="s">
        <v>27</v>
      </c>
    </row>
    <row r="2375" ht="15.75" customHeight="1">
      <c r="A2375" s="3" t="s">
        <v>2454</v>
      </c>
      <c r="B2375" s="3" t="s">
        <v>25</v>
      </c>
      <c r="C2375" s="3" t="s">
        <v>33</v>
      </c>
      <c r="D2375" s="3">
        <v>75364.4169535859</v>
      </c>
      <c r="E2375" s="3">
        <v>25555.1082963809</v>
      </c>
      <c r="F2375" s="3">
        <v>19417.3448840906</v>
      </c>
      <c r="G2375" s="3">
        <v>15424.0409143139</v>
      </c>
      <c r="H2375" s="3">
        <v>-33197.3535876227</v>
      </c>
      <c r="I2375" s="3">
        <v>70741.2684356536</v>
      </c>
      <c r="J2375" s="4">
        <v>45992.0</v>
      </c>
      <c r="K2375" s="3">
        <v>14.0</v>
      </c>
      <c r="L2375" s="3" t="s">
        <v>31</v>
      </c>
    </row>
    <row r="2376" ht="15.75" customHeight="1">
      <c r="A2376" s="3" t="s">
        <v>2455</v>
      </c>
      <c r="B2376" s="3" t="s">
        <v>29</v>
      </c>
      <c r="C2376" s="3" t="s">
        <v>26</v>
      </c>
      <c r="D2376" s="3">
        <v>75375.2999234921</v>
      </c>
      <c r="E2376" s="3">
        <v>25559.7230147083</v>
      </c>
      <c r="F2376" s="3">
        <v>19425.0248875201</v>
      </c>
      <c r="G2376" s="3">
        <v>15427.4384650011</v>
      </c>
      <c r="H2376" s="3">
        <v>-33246.8573053717</v>
      </c>
      <c r="I2376" s="3">
        <v>70744.6499100734</v>
      </c>
      <c r="J2376" s="4">
        <v>45658.0</v>
      </c>
      <c r="K2376" s="3">
        <v>20.0</v>
      </c>
      <c r="L2376" s="3" t="s">
        <v>34</v>
      </c>
    </row>
    <row r="2377" ht="15.75" customHeight="1">
      <c r="A2377" s="3" t="s">
        <v>2456</v>
      </c>
      <c r="B2377" s="3" t="s">
        <v>53</v>
      </c>
      <c r="C2377" s="3" t="s">
        <v>30</v>
      </c>
      <c r="D2377" s="3">
        <v>75386.1828933982</v>
      </c>
      <c r="E2377" s="3">
        <v>25564.3377330357</v>
      </c>
      <c r="F2377" s="3">
        <v>19432.7048909496</v>
      </c>
      <c r="G2377" s="3">
        <v>15430.8360156884</v>
      </c>
      <c r="H2377" s="3">
        <v>-33296.3610231207</v>
      </c>
      <c r="I2377" s="3">
        <v>70748.0313844932</v>
      </c>
      <c r="J2377" s="4">
        <v>45992.0</v>
      </c>
      <c r="K2377" s="3">
        <v>18.0</v>
      </c>
      <c r="L2377" s="3" t="s">
        <v>38</v>
      </c>
    </row>
    <row r="2378" ht="15.75" customHeight="1">
      <c r="A2378" s="3" t="s">
        <v>2457</v>
      </c>
      <c r="B2378" s="3" t="s">
        <v>51</v>
      </c>
      <c r="C2378" s="3" t="s">
        <v>26</v>
      </c>
      <c r="D2378" s="3">
        <v>75397.0658633044</v>
      </c>
      <c r="E2378" s="3">
        <v>25568.9524513631</v>
      </c>
      <c r="F2378" s="3">
        <v>19440.3848943791</v>
      </c>
      <c r="G2378" s="3">
        <v>15434.2335663757</v>
      </c>
      <c r="H2378" s="3">
        <v>-33345.8647408697</v>
      </c>
      <c r="I2378" s="3">
        <v>70751.412858913</v>
      </c>
      <c r="J2378" s="4">
        <v>45809.0</v>
      </c>
      <c r="K2378" s="3">
        <v>14.0</v>
      </c>
      <c r="L2378" s="3" t="s">
        <v>40</v>
      </c>
    </row>
    <row r="2379" ht="15.75" customHeight="1">
      <c r="A2379" s="3" t="s">
        <v>2458</v>
      </c>
      <c r="B2379" s="3" t="s">
        <v>51</v>
      </c>
      <c r="C2379" s="3" t="s">
        <v>30</v>
      </c>
      <c r="D2379" s="3">
        <v>75407.9488332106</v>
      </c>
      <c r="E2379" s="3">
        <v>25573.5671696905</v>
      </c>
      <c r="F2379" s="3">
        <v>19448.0648978086</v>
      </c>
      <c r="G2379" s="3">
        <v>15437.631117063</v>
      </c>
      <c r="H2379" s="3">
        <v>-33395.3684586187</v>
      </c>
      <c r="I2379" s="3">
        <v>70754.7943333328</v>
      </c>
      <c r="J2379" s="4">
        <v>45901.0</v>
      </c>
      <c r="K2379" s="3">
        <v>23.0</v>
      </c>
      <c r="L2379" s="3" t="s">
        <v>42</v>
      </c>
    </row>
    <row r="2380" ht="15.75" customHeight="1">
      <c r="A2380" s="3" t="s">
        <v>2459</v>
      </c>
      <c r="B2380" s="3" t="s">
        <v>17</v>
      </c>
      <c r="C2380" s="3" t="s">
        <v>26</v>
      </c>
      <c r="D2380" s="3">
        <v>75418.8318031168</v>
      </c>
      <c r="E2380" s="3">
        <v>25578.181888018</v>
      </c>
      <c r="F2380" s="3">
        <v>19455.7449012381</v>
      </c>
      <c r="G2380" s="3">
        <v>15441.0286677503</v>
      </c>
      <c r="H2380" s="3">
        <v>-33444.8721763677</v>
      </c>
      <c r="I2380" s="3">
        <v>70758.1758077526</v>
      </c>
      <c r="J2380" s="4">
        <v>45748.0</v>
      </c>
      <c r="K2380" s="3">
        <v>4.0</v>
      </c>
      <c r="L2380" s="3" t="s">
        <v>15</v>
      </c>
    </row>
    <row r="2381" ht="15.75" customHeight="1">
      <c r="A2381" s="3" t="s">
        <v>2460</v>
      </c>
      <c r="B2381" s="3" t="s">
        <v>29</v>
      </c>
      <c r="C2381" s="3" t="s">
        <v>33</v>
      </c>
      <c r="D2381" s="3">
        <v>75429.714773023</v>
      </c>
      <c r="E2381" s="3">
        <v>25582.7966063454</v>
      </c>
      <c r="F2381" s="3">
        <v>19463.4249046676</v>
      </c>
      <c r="G2381" s="3">
        <v>15444.4262184376</v>
      </c>
      <c r="H2381" s="3">
        <v>-33494.3758941167</v>
      </c>
      <c r="I2381" s="3">
        <v>70761.5572821724</v>
      </c>
      <c r="J2381" s="4">
        <v>45839.0</v>
      </c>
      <c r="K2381" s="3">
        <v>13.0</v>
      </c>
      <c r="L2381" s="3" t="s">
        <v>19</v>
      </c>
    </row>
    <row r="2382" ht="15.75" customHeight="1">
      <c r="A2382" s="3" t="s">
        <v>2461</v>
      </c>
      <c r="B2382" s="3" t="s">
        <v>13</v>
      </c>
      <c r="C2382" s="3" t="s">
        <v>54</v>
      </c>
      <c r="D2382" s="3">
        <v>75440.5977429292</v>
      </c>
      <c r="E2382" s="3">
        <v>25587.4113246728</v>
      </c>
      <c r="F2382" s="3">
        <v>19471.1049080971</v>
      </c>
      <c r="G2382" s="3">
        <v>15447.8237691249</v>
      </c>
      <c r="H2382" s="3">
        <v>-33543.8796118657</v>
      </c>
      <c r="I2382" s="3">
        <v>70764.9387565923</v>
      </c>
      <c r="J2382" s="4">
        <v>45901.0</v>
      </c>
      <c r="K2382" s="3">
        <v>18.0</v>
      </c>
      <c r="L2382" s="3" t="s">
        <v>21</v>
      </c>
    </row>
    <row r="2383" ht="15.75" customHeight="1">
      <c r="A2383" s="3" t="s">
        <v>2462</v>
      </c>
      <c r="B2383" s="3" t="s">
        <v>29</v>
      </c>
      <c r="C2383" s="3" t="s">
        <v>18</v>
      </c>
      <c r="D2383" s="3">
        <v>75451.4807128354</v>
      </c>
      <c r="E2383" s="3">
        <v>25592.0260430002</v>
      </c>
      <c r="F2383" s="3">
        <v>19478.7849115266</v>
      </c>
      <c r="G2383" s="3">
        <v>15451.2213198122</v>
      </c>
      <c r="H2383" s="3">
        <v>-33593.3833296157</v>
      </c>
      <c r="I2383" s="3">
        <v>70768.3202310121</v>
      </c>
      <c r="J2383" s="4">
        <v>45839.0</v>
      </c>
      <c r="K2383" s="3">
        <v>1.0</v>
      </c>
      <c r="L2383" s="3" t="s">
        <v>23</v>
      </c>
    </row>
    <row r="2384" ht="15.75" customHeight="1">
      <c r="A2384" s="3" t="s">
        <v>2463</v>
      </c>
      <c r="B2384" s="3" t="s">
        <v>13</v>
      </c>
      <c r="C2384" s="3" t="s">
        <v>18</v>
      </c>
      <c r="D2384" s="3">
        <v>75462.3636827416</v>
      </c>
      <c r="E2384" s="3">
        <v>25596.6407613276</v>
      </c>
      <c r="F2384" s="3">
        <v>19486.4649149561</v>
      </c>
      <c r="G2384" s="3">
        <v>15454.6188704994</v>
      </c>
      <c r="H2384" s="3">
        <v>-33642.8870473647</v>
      </c>
      <c r="I2384" s="3">
        <v>70771.7017054319</v>
      </c>
      <c r="J2384" s="4">
        <v>45748.0</v>
      </c>
      <c r="K2384" s="3">
        <v>25.0</v>
      </c>
      <c r="L2384" s="3" t="s">
        <v>27</v>
      </c>
    </row>
    <row r="2385" ht="15.75" customHeight="1">
      <c r="A2385" s="3" t="s">
        <v>2464</v>
      </c>
      <c r="B2385" s="3" t="s">
        <v>17</v>
      </c>
      <c r="C2385" s="3" t="s">
        <v>33</v>
      </c>
      <c r="D2385" s="3">
        <v>75473.2466526478</v>
      </c>
      <c r="E2385" s="3">
        <v>25601.2554796551</v>
      </c>
      <c r="F2385" s="3">
        <v>19494.1449183856</v>
      </c>
      <c r="G2385" s="3">
        <v>15458.0164211867</v>
      </c>
      <c r="H2385" s="3">
        <v>-33692.3907651137</v>
      </c>
      <c r="I2385" s="3">
        <v>70775.0831798517</v>
      </c>
      <c r="J2385" s="4">
        <v>45839.0</v>
      </c>
      <c r="K2385" s="3">
        <v>8.0</v>
      </c>
      <c r="L2385" s="3" t="s">
        <v>31</v>
      </c>
    </row>
    <row r="2386" ht="15.75" customHeight="1">
      <c r="A2386" s="3" t="s">
        <v>2465</v>
      </c>
      <c r="B2386" s="3" t="s">
        <v>51</v>
      </c>
      <c r="C2386" s="3" t="s">
        <v>26</v>
      </c>
      <c r="D2386" s="3">
        <v>75484.129622554</v>
      </c>
      <c r="E2386" s="3">
        <v>25605.8701979825</v>
      </c>
      <c r="F2386" s="3">
        <v>19501.8249218151</v>
      </c>
      <c r="G2386" s="3">
        <v>15461.413971874</v>
      </c>
      <c r="H2386" s="3">
        <v>-33741.8944828627</v>
      </c>
      <c r="I2386" s="3">
        <v>70778.4646542715</v>
      </c>
      <c r="J2386" s="4">
        <v>45809.0</v>
      </c>
      <c r="K2386" s="3">
        <v>21.0</v>
      </c>
      <c r="L2386" s="3" t="s">
        <v>34</v>
      </c>
    </row>
    <row r="2387" ht="15.75" customHeight="1">
      <c r="A2387" s="3" t="s">
        <v>2466</v>
      </c>
      <c r="B2387" s="3" t="s">
        <v>36</v>
      </c>
      <c r="C2387" s="3" t="s">
        <v>54</v>
      </c>
      <c r="D2387" s="3">
        <v>75495.0125924602</v>
      </c>
      <c r="E2387" s="3">
        <v>25610.4849163099</v>
      </c>
      <c r="F2387" s="3">
        <v>19509.5049252446</v>
      </c>
      <c r="G2387" s="3">
        <v>15464.8115225613</v>
      </c>
      <c r="H2387" s="3">
        <v>-33791.3982006117</v>
      </c>
      <c r="I2387" s="3">
        <v>70781.8461286913</v>
      </c>
      <c r="J2387" s="4">
        <v>45658.0</v>
      </c>
      <c r="K2387" s="3">
        <v>23.0</v>
      </c>
      <c r="L2387" s="3" t="s">
        <v>38</v>
      </c>
    </row>
    <row r="2388" ht="15.75" customHeight="1">
      <c r="A2388" s="3" t="s">
        <v>2467</v>
      </c>
      <c r="B2388" s="3" t="s">
        <v>29</v>
      </c>
      <c r="C2388" s="3" t="s">
        <v>18</v>
      </c>
      <c r="D2388" s="3">
        <v>75505.8955623664</v>
      </c>
      <c r="E2388" s="3">
        <v>25615.0996346373</v>
      </c>
      <c r="F2388" s="3">
        <v>19517.1849286741</v>
      </c>
      <c r="G2388" s="3">
        <v>15468.2090732486</v>
      </c>
      <c r="H2388" s="3">
        <v>-33840.9019183607</v>
      </c>
      <c r="I2388" s="3">
        <v>70785.2276031111</v>
      </c>
      <c r="J2388" s="4">
        <v>45870.0</v>
      </c>
      <c r="K2388" s="3">
        <v>9.0</v>
      </c>
      <c r="L2388" s="3" t="s">
        <v>40</v>
      </c>
    </row>
    <row r="2389" ht="15.75" customHeight="1">
      <c r="A2389" s="3" t="s">
        <v>2468</v>
      </c>
      <c r="B2389" s="3" t="s">
        <v>51</v>
      </c>
      <c r="C2389" s="3" t="s">
        <v>26</v>
      </c>
      <c r="D2389" s="3">
        <v>75516.7785322726</v>
      </c>
      <c r="E2389" s="3">
        <v>25619.7143529648</v>
      </c>
      <c r="F2389" s="3">
        <v>19524.8649321036</v>
      </c>
      <c r="G2389" s="3">
        <v>15471.6066239359</v>
      </c>
      <c r="H2389" s="3">
        <v>-33890.4056361097</v>
      </c>
      <c r="I2389" s="3">
        <v>70788.609077531</v>
      </c>
      <c r="J2389" s="4">
        <v>45809.0</v>
      </c>
      <c r="K2389" s="3">
        <v>24.0</v>
      </c>
      <c r="L2389" s="3" t="s">
        <v>42</v>
      </c>
    </row>
    <row r="2390" ht="15.75" customHeight="1">
      <c r="A2390" s="3" t="s">
        <v>2469</v>
      </c>
      <c r="B2390" s="3" t="s">
        <v>51</v>
      </c>
      <c r="C2390" s="3" t="s">
        <v>26</v>
      </c>
      <c r="D2390" s="3">
        <v>75527.6615021788</v>
      </c>
      <c r="E2390" s="3">
        <v>25624.3290712922</v>
      </c>
      <c r="F2390" s="3">
        <v>19532.5449355331</v>
      </c>
      <c r="G2390" s="3">
        <v>15475.0041746232</v>
      </c>
      <c r="H2390" s="3">
        <v>-33939.9093538587</v>
      </c>
      <c r="I2390" s="3">
        <v>70791.9905519508</v>
      </c>
      <c r="J2390" s="4">
        <v>45717.0</v>
      </c>
      <c r="K2390" s="3">
        <v>4.0</v>
      </c>
      <c r="L2390" s="3" t="s">
        <v>15</v>
      </c>
    </row>
    <row r="2391" ht="15.75" customHeight="1">
      <c r="A2391" s="3" t="s">
        <v>2470</v>
      </c>
      <c r="B2391" s="3" t="s">
        <v>13</v>
      </c>
      <c r="C2391" s="3" t="s">
        <v>30</v>
      </c>
      <c r="D2391" s="3">
        <v>75538.544472085</v>
      </c>
      <c r="E2391" s="3">
        <v>25628.9437896196</v>
      </c>
      <c r="F2391" s="3">
        <v>19540.2249389626</v>
      </c>
      <c r="G2391" s="3">
        <v>15478.4017253105</v>
      </c>
      <c r="H2391" s="3">
        <v>-33989.4130716087</v>
      </c>
      <c r="I2391" s="3">
        <v>70795.3720263706</v>
      </c>
      <c r="J2391" s="4">
        <v>45839.0</v>
      </c>
      <c r="K2391" s="3">
        <v>10.0</v>
      </c>
      <c r="L2391" s="3" t="s">
        <v>19</v>
      </c>
    </row>
    <row r="2392" ht="15.75" customHeight="1">
      <c r="A2392" s="3" t="s">
        <v>2471</v>
      </c>
      <c r="B2392" s="3" t="s">
        <v>51</v>
      </c>
      <c r="C2392" s="3" t="s">
        <v>30</v>
      </c>
      <c r="D2392" s="3">
        <v>75549.4274419912</v>
      </c>
      <c r="E2392" s="3">
        <v>25633.558507947</v>
      </c>
      <c r="F2392" s="3">
        <v>19547.9049423921</v>
      </c>
      <c r="G2392" s="3">
        <v>15481.7992759977</v>
      </c>
      <c r="H2392" s="3">
        <v>-34038.9167893577</v>
      </c>
      <c r="I2392" s="3">
        <v>70798.7535007904</v>
      </c>
      <c r="J2392" s="4">
        <v>45748.0</v>
      </c>
      <c r="K2392" s="3">
        <v>20.0</v>
      </c>
      <c r="L2392" s="3" t="s">
        <v>21</v>
      </c>
    </row>
    <row r="2393" ht="15.75" customHeight="1">
      <c r="A2393" s="3" t="s">
        <v>2472</v>
      </c>
      <c r="B2393" s="3" t="s">
        <v>29</v>
      </c>
      <c r="C2393" s="3" t="s">
        <v>18</v>
      </c>
      <c r="D2393" s="3">
        <v>75560.3104118973</v>
      </c>
      <c r="E2393" s="3">
        <v>25638.1732262744</v>
      </c>
      <c r="F2393" s="3">
        <v>19555.5849458216</v>
      </c>
      <c r="G2393" s="3">
        <v>15485.196826685</v>
      </c>
      <c r="H2393" s="3">
        <v>-34088.4205071067</v>
      </c>
      <c r="I2393" s="3">
        <v>70802.1349752102</v>
      </c>
      <c r="J2393" s="4">
        <v>45689.0</v>
      </c>
      <c r="K2393" s="3">
        <v>23.0</v>
      </c>
      <c r="L2393" s="3" t="s">
        <v>23</v>
      </c>
    </row>
    <row r="2394" ht="15.75" customHeight="1">
      <c r="A2394" s="3" t="s">
        <v>2473</v>
      </c>
      <c r="B2394" s="3" t="s">
        <v>36</v>
      </c>
      <c r="C2394" s="3" t="s">
        <v>26</v>
      </c>
      <c r="D2394" s="3">
        <v>75571.1933818035</v>
      </c>
      <c r="E2394" s="3">
        <v>25642.7879446019</v>
      </c>
      <c r="F2394" s="3">
        <v>19563.2649492511</v>
      </c>
      <c r="G2394" s="3">
        <v>15488.5943773723</v>
      </c>
      <c r="H2394" s="3">
        <v>-34137.9242248557</v>
      </c>
      <c r="I2394" s="3">
        <v>70805.51644963</v>
      </c>
      <c r="J2394" s="4">
        <v>45809.0</v>
      </c>
      <c r="K2394" s="3">
        <v>6.0</v>
      </c>
      <c r="L2394" s="3" t="s">
        <v>27</v>
      </c>
    </row>
    <row r="2395" ht="15.75" customHeight="1">
      <c r="A2395" s="3" t="s">
        <v>2474</v>
      </c>
      <c r="B2395" s="3" t="s">
        <v>17</v>
      </c>
      <c r="C2395" s="3" t="s">
        <v>33</v>
      </c>
      <c r="D2395" s="3">
        <v>75582.0763517097</v>
      </c>
      <c r="E2395" s="3">
        <v>25647.4026629293</v>
      </c>
      <c r="F2395" s="3">
        <v>19570.9449526806</v>
      </c>
      <c r="G2395" s="3">
        <v>15491.9919280596</v>
      </c>
      <c r="H2395" s="3">
        <v>-34187.4279426047</v>
      </c>
      <c r="I2395" s="3">
        <v>70808.8979240498</v>
      </c>
      <c r="J2395" s="4">
        <v>45870.0</v>
      </c>
      <c r="K2395" s="3">
        <v>8.0</v>
      </c>
      <c r="L2395" s="3" t="s">
        <v>31</v>
      </c>
    </row>
    <row r="2396" ht="15.75" customHeight="1">
      <c r="A2396" s="3" t="s">
        <v>2475</v>
      </c>
      <c r="B2396" s="3" t="s">
        <v>25</v>
      </c>
      <c r="C2396" s="3" t="s">
        <v>26</v>
      </c>
      <c r="D2396" s="5"/>
      <c r="E2396" s="3">
        <v>25652.0173812567</v>
      </c>
      <c r="F2396" s="3">
        <v>19578.62495611</v>
      </c>
      <c r="G2396" s="3">
        <v>15495.3894787469</v>
      </c>
      <c r="H2396" s="3">
        <v>-34236.9316603537</v>
      </c>
      <c r="I2396" s="3">
        <v>70812.2793984696</v>
      </c>
      <c r="J2396" s="4">
        <v>45992.0</v>
      </c>
      <c r="K2396" s="3">
        <v>18.0</v>
      </c>
      <c r="L2396" s="3" t="s">
        <v>34</v>
      </c>
    </row>
    <row r="2397" ht="15.75" customHeight="1">
      <c r="A2397" s="3" t="s">
        <v>2476</v>
      </c>
      <c r="B2397" s="3" t="s">
        <v>17</v>
      </c>
      <c r="C2397" s="3" t="s">
        <v>37</v>
      </c>
      <c r="D2397" s="3">
        <v>75603.8422915221</v>
      </c>
      <c r="E2397" s="3">
        <v>25656.6320995841</v>
      </c>
      <c r="F2397" s="3">
        <v>19586.3049595395</v>
      </c>
      <c r="G2397" s="3">
        <v>15498.7870294342</v>
      </c>
      <c r="H2397" s="3">
        <v>-34286.4353781027</v>
      </c>
      <c r="I2397" s="3">
        <v>70815.6608728895</v>
      </c>
      <c r="J2397" s="4">
        <v>45931.0</v>
      </c>
      <c r="K2397" s="3">
        <v>2.0</v>
      </c>
      <c r="L2397" s="3" t="s">
        <v>38</v>
      </c>
    </row>
    <row r="2398" ht="15.75" customHeight="1">
      <c r="A2398" s="3" t="s">
        <v>2477</v>
      </c>
      <c r="B2398" s="3" t="s">
        <v>17</v>
      </c>
      <c r="C2398" s="3" t="s">
        <v>37</v>
      </c>
      <c r="D2398" s="3">
        <v>75614.7252614283</v>
      </c>
      <c r="E2398" s="3">
        <v>25661.2468179116</v>
      </c>
      <c r="F2398" s="3">
        <v>19593.984962969</v>
      </c>
      <c r="G2398" s="3">
        <v>15502.1845801215</v>
      </c>
      <c r="H2398" s="3">
        <v>-34335.9390958517</v>
      </c>
      <c r="I2398" s="3">
        <v>70819.0423473093</v>
      </c>
      <c r="J2398" s="4">
        <v>45931.0</v>
      </c>
      <c r="K2398" s="3">
        <v>23.0</v>
      </c>
      <c r="L2398" s="3" t="s">
        <v>40</v>
      </c>
    </row>
    <row r="2399" ht="15.75" customHeight="1">
      <c r="A2399" s="3" t="s">
        <v>2478</v>
      </c>
      <c r="B2399" s="3" t="s">
        <v>51</v>
      </c>
      <c r="C2399" s="3" t="s">
        <v>37</v>
      </c>
      <c r="D2399" s="3">
        <v>75625.6082313345</v>
      </c>
      <c r="E2399" s="3">
        <v>25665.861536239</v>
      </c>
      <c r="F2399" s="3">
        <v>19601.6649663985</v>
      </c>
      <c r="G2399" s="3">
        <v>15505.5821308087</v>
      </c>
      <c r="H2399" s="3">
        <v>-34385.4428136017</v>
      </c>
      <c r="I2399" s="3">
        <v>70822.4238217291</v>
      </c>
      <c r="J2399" s="4">
        <v>45870.0</v>
      </c>
      <c r="K2399" s="3">
        <v>22.0</v>
      </c>
      <c r="L2399" s="3" t="s">
        <v>42</v>
      </c>
    </row>
    <row r="2400" ht="15.75" customHeight="1">
      <c r="A2400" s="3" t="s">
        <v>2479</v>
      </c>
      <c r="B2400" s="3" t="s">
        <v>25</v>
      </c>
      <c r="C2400" s="3" t="s">
        <v>33</v>
      </c>
      <c r="D2400" s="3">
        <v>75636.4912012407</v>
      </c>
      <c r="E2400" s="3">
        <v>25670.4762545664</v>
      </c>
      <c r="F2400" s="3">
        <v>19609.344969828</v>
      </c>
      <c r="G2400" s="3">
        <v>15508.979681496</v>
      </c>
      <c r="H2400" s="3">
        <v>-34434.9465313507</v>
      </c>
      <c r="I2400" s="3">
        <v>70825.8052961489</v>
      </c>
      <c r="J2400" s="4">
        <v>45658.0</v>
      </c>
      <c r="K2400" s="3">
        <v>19.0</v>
      </c>
      <c r="L2400" s="3" t="s">
        <v>15</v>
      </c>
    </row>
    <row r="2401" ht="15.75" customHeight="1">
      <c r="A2401" s="3" t="s">
        <v>2480</v>
      </c>
      <c r="B2401" s="3" t="s">
        <v>29</v>
      </c>
      <c r="C2401" s="3" t="s">
        <v>54</v>
      </c>
      <c r="D2401" s="5"/>
      <c r="E2401" s="3">
        <v>25675.0909728938</v>
      </c>
      <c r="F2401" s="3">
        <v>19617.0249732575</v>
      </c>
      <c r="G2401" s="3">
        <v>15512.3772321833</v>
      </c>
      <c r="H2401" s="3">
        <v>-34484.4502490997</v>
      </c>
      <c r="I2401" s="3">
        <v>70829.1867705687</v>
      </c>
      <c r="J2401" s="4">
        <v>45778.0</v>
      </c>
      <c r="K2401" s="3">
        <v>25.0</v>
      </c>
      <c r="L2401" s="3" t="s">
        <v>19</v>
      </c>
    </row>
    <row r="2402" ht="15.75" customHeight="1">
      <c r="A2402" s="3" t="s">
        <v>2481</v>
      </c>
      <c r="B2402" s="3" t="s">
        <v>51</v>
      </c>
      <c r="C2402" s="3" t="s">
        <v>54</v>
      </c>
      <c r="D2402" s="3">
        <v>75658.2571410531</v>
      </c>
      <c r="E2402" s="3">
        <v>25679.7056912212</v>
      </c>
      <c r="F2402" s="3">
        <v>19624.704976687</v>
      </c>
      <c r="G2402" s="3">
        <v>15515.7747828706</v>
      </c>
      <c r="H2402" s="3">
        <v>-34533.9539668487</v>
      </c>
      <c r="I2402" s="3">
        <v>70832.5682449885</v>
      </c>
      <c r="J2402" s="4">
        <v>45658.0</v>
      </c>
      <c r="K2402" s="3">
        <v>17.0</v>
      </c>
      <c r="L2402" s="3" t="s">
        <v>21</v>
      </c>
    </row>
    <row r="2403" ht="15.75" customHeight="1">
      <c r="A2403" s="3" t="s">
        <v>2482</v>
      </c>
      <c r="B2403" s="3" t="s">
        <v>36</v>
      </c>
      <c r="C2403" s="3" t="s">
        <v>14</v>
      </c>
      <c r="D2403" s="3">
        <v>75669.1401109593</v>
      </c>
      <c r="E2403" s="3">
        <v>25684.3204095487</v>
      </c>
      <c r="F2403" s="3">
        <v>19632.3849801165</v>
      </c>
      <c r="G2403" s="3">
        <v>15519.1723335579</v>
      </c>
      <c r="H2403" s="3">
        <v>-34583.4576845977</v>
      </c>
      <c r="I2403" s="3">
        <v>70835.9497194084</v>
      </c>
      <c r="J2403" s="4">
        <v>45748.0</v>
      </c>
      <c r="K2403" s="3">
        <v>22.0</v>
      </c>
      <c r="L2403" s="3" t="s">
        <v>23</v>
      </c>
    </row>
    <row r="2404" ht="15.75" customHeight="1">
      <c r="A2404" s="3" t="s">
        <v>2483</v>
      </c>
      <c r="B2404" s="3" t="s">
        <v>29</v>
      </c>
      <c r="C2404" s="3" t="s">
        <v>14</v>
      </c>
      <c r="D2404" s="3">
        <v>75680.0230808655</v>
      </c>
      <c r="E2404" s="3">
        <v>25688.9351278761</v>
      </c>
      <c r="F2404" s="3">
        <v>19640.064983546</v>
      </c>
      <c r="G2404" s="3">
        <v>15522.5698842452</v>
      </c>
      <c r="H2404" s="3">
        <v>-34632.9614023467</v>
      </c>
      <c r="I2404" s="3">
        <v>70839.3311938282</v>
      </c>
      <c r="J2404" s="4">
        <v>45689.0</v>
      </c>
      <c r="K2404" s="3">
        <v>8.0</v>
      </c>
      <c r="L2404" s="3" t="s">
        <v>27</v>
      </c>
    </row>
    <row r="2405" ht="15.75" customHeight="1">
      <c r="A2405" s="3" t="s">
        <v>2484</v>
      </c>
      <c r="B2405" s="3" t="s">
        <v>53</v>
      </c>
      <c r="C2405" s="3" t="s">
        <v>14</v>
      </c>
      <c r="D2405" s="3">
        <v>75690.9060507717</v>
      </c>
      <c r="E2405" s="3">
        <v>25693.5498462035</v>
      </c>
      <c r="F2405" s="3">
        <v>19647.7449869755</v>
      </c>
      <c r="G2405" s="3">
        <v>15525.9674349325</v>
      </c>
      <c r="H2405" s="3">
        <v>-34682.4651200957</v>
      </c>
      <c r="I2405" s="3">
        <v>70842.712668248</v>
      </c>
      <c r="J2405" s="4">
        <v>45809.0</v>
      </c>
      <c r="K2405" s="3">
        <v>2.0</v>
      </c>
      <c r="L2405" s="3" t="s">
        <v>31</v>
      </c>
    </row>
    <row r="2406" ht="15.75" customHeight="1">
      <c r="A2406" s="3" t="s">
        <v>2485</v>
      </c>
      <c r="B2406" s="3" t="s">
        <v>13</v>
      </c>
      <c r="C2406" s="3" t="s">
        <v>37</v>
      </c>
      <c r="D2406" s="3">
        <v>75701.7890206779</v>
      </c>
      <c r="E2406" s="3">
        <v>25698.1645645309</v>
      </c>
      <c r="F2406" s="3">
        <v>19655.424990405</v>
      </c>
      <c r="G2406" s="3">
        <v>15529.3649856198</v>
      </c>
      <c r="H2406" s="3">
        <v>-34731.9688378447</v>
      </c>
      <c r="I2406" s="3">
        <v>70846.0941426678</v>
      </c>
      <c r="J2406" s="4">
        <v>45809.0</v>
      </c>
      <c r="K2406" s="3">
        <v>9.0</v>
      </c>
      <c r="L2406" s="3" t="s">
        <v>34</v>
      </c>
    </row>
    <row r="2407" ht="15.75" customHeight="1">
      <c r="A2407" s="3" t="s">
        <v>2486</v>
      </c>
      <c r="B2407" s="3" t="s">
        <v>29</v>
      </c>
      <c r="C2407" s="3" t="s">
        <v>54</v>
      </c>
      <c r="D2407" s="3">
        <v>75712.6719905841</v>
      </c>
      <c r="E2407" s="3">
        <v>25702.7792828584</v>
      </c>
      <c r="F2407" s="3">
        <v>19663.1049938345</v>
      </c>
      <c r="G2407" s="3">
        <v>15532.762536307</v>
      </c>
      <c r="H2407" s="3">
        <v>-34781.4725555947</v>
      </c>
      <c r="I2407" s="3">
        <v>70849.4756170876</v>
      </c>
      <c r="J2407" s="4">
        <v>45992.0</v>
      </c>
      <c r="K2407" s="3">
        <v>3.0</v>
      </c>
      <c r="L2407" s="3" t="s">
        <v>38</v>
      </c>
    </row>
    <row r="2408" ht="15.75" customHeight="1">
      <c r="A2408" s="3" t="s">
        <v>2487</v>
      </c>
      <c r="B2408" s="3" t="s">
        <v>36</v>
      </c>
      <c r="C2408" s="3" t="s">
        <v>37</v>
      </c>
      <c r="D2408" s="3">
        <v>75723.5549604902</v>
      </c>
      <c r="E2408" s="3">
        <v>25707.3940011858</v>
      </c>
      <c r="F2408" s="3">
        <v>19670.784997264</v>
      </c>
      <c r="G2408" s="3">
        <v>15536.1600869943</v>
      </c>
      <c r="H2408" s="3">
        <v>-34830.9762733437</v>
      </c>
      <c r="I2408" s="3">
        <v>70852.8570915074</v>
      </c>
      <c r="J2408" s="4">
        <v>45717.0</v>
      </c>
      <c r="K2408" s="3">
        <v>22.0</v>
      </c>
      <c r="L2408" s="3" t="s">
        <v>40</v>
      </c>
    </row>
    <row r="2409" ht="15.75" customHeight="1">
      <c r="A2409" s="3" t="s">
        <v>2488</v>
      </c>
      <c r="B2409" s="3" t="s">
        <v>29</v>
      </c>
      <c r="C2409" s="3" t="s">
        <v>14</v>
      </c>
      <c r="D2409" s="3">
        <v>75734.4379303964</v>
      </c>
      <c r="E2409" s="3">
        <v>25712.0087195132</v>
      </c>
      <c r="F2409" s="3">
        <v>19678.4650006935</v>
      </c>
      <c r="G2409" s="3">
        <v>15539.5576376816</v>
      </c>
      <c r="H2409" s="3">
        <v>-34880.4799910927</v>
      </c>
      <c r="I2409" s="3">
        <v>70856.2385659272</v>
      </c>
      <c r="J2409" s="4">
        <v>45901.0</v>
      </c>
      <c r="K2409" s="3">
        <v>4.0</v>
      </c>
      <c r="L2409" s="3" t="s">
        <v>42</v>
      </c>
    </row>
    <row r="2410" ht="15.75" customHeight="1">
      <c r="A2410" s="3" t="s">
        <v>2489</v>
      </c>
      <c r="B2410" s="3" t="s">
        <v>51</v>
      </c>
      <c r="C2410" s="3" t="s">
        <v>33</v>
      </c>
      <c r="D2410" s="3">
        <v>75745.3209003026</v>
      </c>
      <c r="E2410" s="3">
        <v>25716.6234378406</v>
      </c>
      <c r="F2410" s="3">
        <v>19686.145004123</v>
      </c>
      <c r="G2410" s="3">
        <v>15542.9551883689</v>
      </c>
      <c r="H2410" s="3">
        <v>-34929.9837088417</v>
      </c>
      <c r="I2410" s="3">
        <v>70859.6200403471</v>
      </c>
      <c r="J2410" s="4">
        <v>45809.0</v>
      </c>
      <c r="K2410" s="3">
        <v>16.0</v>
      </c>
      <c r="L2410" s="3" t="s">
        <v>15</v>
      </c>
    </row>
    <row r="2411" ht="15.75" customHeight="1">
      <c r="A2411" s="3" t="s">
        <v>2490</v>
      </c>
      <c r="B2411" s="3" t="s">
        <v>51</v>
      </c>
      <c r="C2411" s="3" t="s">
        <v>37</v>
      </c>
      <c r="D2411" s="3">
        <v>75756.2038702088</v>
      </c>
      <c r="E2411" s="3">
        <v>25721.238156168</v>
      </c>
      <c r="F2411" s="3">
        <v>19693.8250075525</v>
      </c>
      <c r="G2411" s="3">
        <v>15546.3527390562</v>
      </c>
      <c r="H2411" s="3">
        <v>-34979.4874265907</v>
      </c>
      <c r="I2411" s="3">
        <v>70863.0015147669</v>
      </c>
      <c r="J2411" s="4">
        <v>45658.0</v>
      </c>
      <c r="K2411" s="3">
        <v>9.0</v>
      </c>
      <c r="L2411" s="3" t="s">
        <v>19</v>
      </c>
    </row>
    <row r="2412" ht="15.75" customHeight="1">
      <c r="A2412" s="3" t="s">
        <v>2491</v>
      </c>
      <c r="B2412" s="3" t="s">
        <v>53</v>
      </c>
      <c r="C2412" s="3" t="s">
        <v>26</v>
      </c>
      <c r="D2412" s="3">
        <v>75767.086840115</v>
      </c>
      <c r="E2412" s="3">
        <v>25725.8528744955</v>
      </c>
      <c r="F2412" s="3">
        <v>19701.505010982</v>
      </c>
      <c r="G2412" s="3">
        <v>15549.7502897435</v>
      </c>
      <c r="H2412" s="3">
        <v>-35028.9911443397</v>
      </c>
      <c r="I2412" s="3">
        <v>70866.3829891867</v>
      </c>
      <c r="J2412" s="4">
        <v>45870.0</v>
      </c>
      <c r="K2412" s="3">
        <v>13.0</v>
      </c>
      <c r="L2412" s="3" t="s">
        <v>21</v>
      </c>
    </row>
    <row r="2413" ht="15.75" customHeight="1">
      <c r="A2413" s="3" t="s">
        <v>2492</v>
      </c>
      <c r="B2413" s="3" t="s">
        <v>51</v>
      </c>
      <c r="C2413" s="3" t="s">
        <v>54</v>
      </c>
      <c r="D2413" s="3">
        <v>75777.9698100212</v>
      </c>
      <c r="E2413" s="3">
        <v>25730.4675928229</v>
      </c>
      <c r="F2413" s="3">
        <v>19709.1850144115</v>
      </c>
      <c r="G2413" s="3">
        <v>15553.1478404308</v>
      </c>
      <c r="H2413" s="3">
        <v>-35078.4948620887</v>
      </c>
      <c r="I2413" s="3">
        <v>70869.7644636065</v>
      </c>
      <c r="J2413" s="4">
        <v>45809.0</v>
      </c>
      <c r="K2413" s="3">
        <v>19.0</v>
      </c>
      <c r="L2413" s="3" t="s">
        <v>23</v>
      </c>
    </row>
    <row r="2414" ht="15.75" customHeight="1">
      <c r="A2414" s="3" t="s">
        <v>2493</v>
      </c>
      <c r="B2414" s="3" t="s">
        <v>53</v>
      </c>
      <c r="C2414" s="3" t="s">
        <v>54</v>
      </c>
      <c r="D2414" s="3">
        <v>75788.8527799274</v>
      </c>
      <c r="E2414" s="3">
        <v>25735.0823111503</v>
      </c>
      <c r="F2414" s="3">
        <v>19716.865017841</v>
      </c>
      <c r="G2414" s="3">
        <v>15556.5453911181</v>
      </c>
      <c r="H2414" s="3">
        <v>-35127.9985798377</v>
      </c>
      <c r="I2414" s="3">
        <v>70873.1459380263</v>
      </c>
      <c r="J2414" s="4">
        <v>45689.0</v>
      </c>
      <c r="K2414" s="3">
        <v>15.0</v>
      </c>
      <c r="L2414" s="3" t="s">
        <v>27</v>
      </c>
    </row>
    <row r="2415" ht="15.75" customHeight="1">
      <c r="A2415" s="3" t="s">
        <v>2494</v>
      </c>
      <c r="B2415" s="3" t="s">
        <v>17</v>
      </c>
      <c r="C2415" s="3" t="s">
        <v>14</v>
      </c>
      <c r="D2415" s="3">
        <v>75799.7357498336</v>
      </c>
      <c r="E2415" s="3">
        <v>25739.6970294777</v>
      </c>
      <c r="F2415" s="3">
        <v>19724.5450212705</v>
      </c>
      <c r="G2415" s="3">
        <v>15559.9429418053</v>
      </c>
      <c r="H2415" s="3">
        <v>-35177.5022975877</v>
      </c>
      <c r="I2415" s="3">
        <v>70876.5274124461</v>
      </c>
      <c r="J2415" s="4">
        <v>45717.0</v>
      </c>
      <c r="K2415" s="3">
        <v>5.0</v>
      </c>
      <c r="L2415" s="3" t="s">
        <v>31</v>
      </c>
    </row>
    <row r="2416" ht="15.75" customHeight="1">
      <c r="A2416" s="3" t="s">
        <v>2495</v>
      </c>
      <c r="B2416" s="3" t="s">
        <v>51</v>
      </c>
      <c r="C2416" s="3" t="s">
        <v>33</v>
      </c>
      <c r="D2416" s="3">
        <v>75810.6187197398</v>
      </c>
      <c r="E2416" s="3">
        <v>25744.3117478052</v>
      </c>
      <c r="F2416" s="3">
        <v>19732.2250247</v>
      </c>
      <c r="G2416" s="3">
        <v>15563.3404924926</v>
      </c>
      <c r="H2416" s="3">
        <v>-35227.0060153367</v>
      </c>
      <c r="I2416" s="3">
        <v>70879.9088868659</v>
      </c>
      <c r="J2416" s="4">
        <v>45901.0</v>
      </c>
      <c r="K2416" s="3">
        <v>1.0</v>
      </c>
      <c r="L2416" s="3" t="s">
        <v>34</v>
      </c>
    </row>
    <row r="2417" ht="15.75" customHeight="1">
      <c r="A2417" s="3" t="s">
        <v>2496</v>
      </c>
      <c r="B2417" s="3" t="s">
        <v>36</v>
      </c>
      <c r="C2417" s="3" t="s">
        <v>18</v>
      </c>
      <c r="D2417" s="3">
        <v>75821.501689646</v>
      </c>
      <c r="E2417" s="3">
        <v>25748.9264661326</v>
      </c>
      <c r="F2417" s="3">
        <v>19739.9050281295</v>
      </c>
      <c r="G2417" s="3">
        <v>15566.7380431799</v>
      </c>
      <c r="H2417" s="3">
        <v>-35276.5097330857</v>
      </c>
      <c r="I2417" s="3">
        <v>70883.2903612857</v>
      </c>
      <c r="J2417" s="4">
        <v>45901.0</v>
      </c>
      <c r="K2417" s="3">
        <v>15.0</v>
      </c>
      <c r="L2417" s="3" t="s">
        <v>38</v>
      </c>
    </row>
    <row r="2418" ht="15.75" customHeight="1">
      <c r="A2418" s="3" t="s">
        <v>2497</v>
      </c>
      <c r="B2418" s="3" t="s">
        <v>25</v>
      </c>
      <c r="C2418" s="3" t="s">
        <v>30</v>
      </c>
      <c r="D2418" s="3">
        <v>75832.3846595522</v>
      </c>
      <c r="E2418" s="3">
        <v>25753.54118446</v>
      </c>
      <c r="F2418" s="3">
        <v>19747.585031559</v>
      </c>
      <c r="G2418" s="3">
        <v>15570.1355938672</v>
      </c>
      <c r="H2418" s="3">
        <v>-35326.0134508347</v>
      </c>
      <c r="I2418" s="3">
        <v>70886.6718357056</v>
      </c>
      <c r="J2418" s="4">
        <v>45839.0</v>
      </c>
      <c r="K2418" s="3">
        <v>11.0</v>
      </c>
      <c r="L2418" s="3" t="s">
        <v>40</v>
      </c>
    </row>
    <row r="2419" ht="15.75" customHeight="1">
      <c r="A2419" s="3" t="s">
        <v>2498</v>
      </c>
      <c r="B2419" s="3" t="s">
        <v>25</v>
      </c>
      <c r="C2419" s="3" t="s">
        <v>30</v>
      </c>
      <c r="D2419" s="3">
        <v>75843.2676294584</v>
      </c>
      <c r="E2419" s="3">
        <v>25758.1559027874</v>
      </c>
      <c r="F2419" s="3">
        <v>19755.2650349885</v>
      </c>
      <c r="G2419" s="3">
        <v>15573.5331445545</v>
      </c>
      <c r="H2419" s="3">
        <v>-35375.5171685837</v>
      </c>
      <c r="I2419" s="3">
        <v>70890.0533101254</v>
      </c>
      <c r="J2419" s="4">
        <v>45748.0</v>
      </c>
      <c r="K2419" s="3">
        <v>22.0</v>
      </c>
      <c r="L2419" s="3" t="s">
        <v>42</v>
      </c>
    </row>
    <row r="2420" ht="15.75" customHeight="1">
      <c r="A2420" s="3" t="s">
        <v>2499</v>
      </c>
      <c r="B2420" s="3" t="s">
        <v>36</v>
      </c>
      <c r="C2420" s="3" t="s">
        <v>33</v>
      </c>
      <c r="D2420" s="3">
        <v>75854.1505993646</v>
      </c>
      <c r="E2420" s="3">
        <v>25762.7706211148</v>
      </c>
      <c r="F2420" s="3">
        <v>19762.945038418</v>
      </c>
      <c r="G2420" s="3">
        <v>15576.9306952418</v>
      </c>
      <c r="H2420" s="3">
        <v>-35425.0208863327</v>
      </c>
      <c r="I2420" s="3">
        <v>70893.4347845452</v>
      </c>
      <c r="J2420" s="4">
        <v>45901.0</v>
      </c>
      <c r="K2420" s="3">
        <v>15.0</v>
      </c>
      <c r="L2420" s="3" t="s">
        <v>15</v>
      </c>
    </row>
    <row r="2421" ht="15.75" customHeight="1">
      <c r="A2421" s="3" t="s">
        <v>2500</v>
      </c>
      <c r="B2421" s="3" t="s">
        <v>29</v>
      </c>
      <c r="C2421" s="3" t="s">
        <v>14</v>
      </c>
      <c r="D2421" s="3">
        <v>75865.0335692708</v>
      </c>
      <c r="E2421" s="3">
        <v>25767.3853394423</v>
      </c>
      <c r="F2421" s="3">
        <v>19770.6250418475</v>
      </c>
      <c r="G2421" s="3">
        <v>15580.3282459291</v>
      </c>
      <c r="H2421" s="3">
        <v>-35474.5246040817</v>
      </c>
      <c r="I2421" s="3">
        <v>70896.816258965</v>
      </c>
      <c r="J2421" s="4">
        <v>45778.0</v>
      </c>
      <c r="K2421" s="3">
        <v>12.0</v>
      </c>
      <c r="L2421" s="3" t="s">
        <v>19</v>
      </c>
    </row>
    <row r="2422" ht="15.75" customHeight="1">
      <c r="A2422" s="3" t="s">
        <v>2501</v>
      </c>
      <c r="B2422" s="3" t="s">
        <v>13</v>
      </c>
      <c r="C2422" s="3" t="s">
        <v>26</v>
      </c>
      <c r="D2422" s="3">
        <v>75875.916539177</v>
      </c>
      <c r="E2422" s="3">
        <v>25772.0000577697</v>
      </c>
      <c r="F2422" s="3">
        <v>19778.305045277</v>
      </c>
      <c r="G2422" s="3">
        <v>15583.7257966163</v>
      </c>
      <c r="H2422" s="3">
        <v>-35524.0283218307</v>
      </c>
      <c r="I2422" s="3">
        <v>70900.1977333848</v>
      </c>
      <c r="J2422" s="4">
        <v>45689.0</v>
      </c>
      <c r="K2422" s="3">
        <v>6.0</v>
      </c>
      <c r="L2422" s="3" t="s">
        <v>21</v>
      </c>
    </row>
    <row r="2423" ht="15.75" customHeight="1">
      <c r="A2423" s="3" t="s">
        <v>2502</v>
      </c>
      <c r="B2423" s="3" t="s">
        <v>17</v>
      </c>
      <c r="C2423" s="3" t="s">
        <v>26</v>
      </c>
      <c r="D2423" s="3">
        <v>75886.7995090831</v>
      </c>
      <c r="E2423" s="3">
        <v>25776.6147760971</v>
      </c>
      <c r="F2423" s="3">
        <v>19785.9850487065</v>
      </c>
      <c r="G2423" s="3">
        <v>15587.1233473036</v>
      </c>
      <c r="H2423" s="3">
        <v>-35573.5320395807</v>
      </c>
      <c r="I2423" s="3">
        <v>70903.5792078047</v>
      </c>
      <c r="J2423" s="4">
        <v>45962.0</v>
      </c>
      <c r="K2423" s="3">
        <v>10.0</v>
      </c>
      <c r="L2423" s="3" t="s">
        <v>23</v>
      </c>
    </row>
    <row r="2424" ht="15.75" customHeight="1">
      <c r="A2424" s="3" t="s">
        <v>2503</v>
      </c>
      <c r="B2424" s="3" t="s">
        <v>17</v>
      </c>
      <c r="C2424" s="3" t="s">
        <v>30</v>
      </c>
      <c r="D2424" s="3">
        <v>75897.6824789893</v>
      </c>
      <c r="E2424" s="3">
        <v>25781.2294944245</v>
      </c>
      <c r="F2424" s="3">
        <v>19793.665052136</v>
      </c>
      <c r="G2424" s="3">
        <v>15590.5208979909</v>
      </c>
      <c r="H2424" s="3">
        <v>-35623.0357573297</v>
      </c>
      <c r="I2424" s="3">
        <v>70906.9606822245</v>
      </c>
      <c r="J2424" s="4">
        <v>45778.0</v>
      </c>
      <c r="K2424" s="3">
        <v>8.0</v>
      </c>
      <c r="L2424" s="3" t="s">
        <v>27</v>
      </c>
    </row>
    <row r="2425" ht="15.75" customHeight="1">
      <c r="A2425" s="3" t="s">
        <v>2504</v>
      </c>
      <c r="B2425" s="3" t="s">
        <v>13</v>
      </c>
      <c r="C2425" s="3" t="s">
        <v>18</v>
      </c>
      <c r="D2425" s="3">
        <v>75908.5654488955</v>
      </c>
      <c r="E2425" s="3">
        <v>25785.844212752</v>
      </c>
      <c r="F2425" s="3">
        <v>19801.3450555655</v>
      </c>
      <c r="G2425" s="3">
        <v>15593.9184486782</v>
      </c>
      <c r="H2425" s="3">
        <v>-35672.5394750787</v>
      </c>
      <c r="I2425" s="3">
        <v>70910.3421566443</v>
      </c>
      <c r="J2425" s="4">
        <v>45992.0</v>
      </c>
      <c r="K2425" s="3">
        <v>15.0</v>
      </c>
      <c r="L2425" s="3" t="s">
        <v>31</v>
      </c>
    </row>
    <row r="2426" ht="15.75" customHeight="1">
      <c r="A2426" s="3" t="s">
        <v>2505</v>
      </c>
      <c r="B2426" s="3" t="s">
        <v>25</v>
      </c>
      <c r="C2426" s="3" t="s">
        <v>14</v>
      </c>
      <c r="D2426" s="3">
        <v>75919.4484188017</v>
      </c>
      <c r="E2426" s="3">
        <v>25790.4589310794</v>
      </c>
      <c r="F2426" s="3">
        <v>19809.025058995</v>
      </c>
      <c r="G2426" s="3">
        <v>15597.3159993655</v>
      </c>
      <c r="H2426" s="3">
        <v>-35722.0431928277</v>
      </c>
      <c r="I2426" s="3">
        <v>70913.7236310641</v>
      </c>
      <c r="J2426" s="4">
        <v>45778.0</v>
      </c>
      <c r="K2426" s="3">
        <v>5.0</v>
      </c>
      <c r="L2426" s="3" t="s">
        <v>34</v>
      </c>
    </row>
    <row r="2427" ht="15.75" customHeight="1">
      <c r="A2427" s="3" t="s">
        <v>2506</v>
      </c>
      <c r="B2427" s="3" t="s">
        <v>25</v>
      </c>
      <c r="C2427" s="3" t="s">
        <v>18</v>
      </c>
      <c r="D2427" s="3">
        <v>75930.3313887079</v>
      </c>
      <c r="E2427" s="3">
        <v>25795.0736494068</v>
      </c>
      <c r="F2427" s="3">
        <v>19816.7050624245</v>
      </c>
      <c r="G2427" s="3">
        <v>15600.7135500528</v>
      </c>
      <c r="H2427" s="3">
        <v>-35771.5469105767</v>
      </c>
      <c r="I2427" s="3">
        <v>70917.1051054839</v>
      </c>
      <c r="J2427" s="3" t="s">
        <v>2507</v>
      </c>
      <c r="K2427" s="3">
        <v>24.0</v>
      </c>
      <c r="L2427" s="3" t="s">
        <v>38</v>
      </c>
    </row>
    <row r="2428" ht="15.75" customHeight="1">
      <c r="A2428" s="3" t="s">
        <v>2508</v>
      </c>
      <c r="B2428" s="3" t="s">
        <v>25</v>
      </c>
      <c r="C2428" s="3" t="s">
        <v>33</v>
      </c>
      <c r="D2428" s="3">
        <v>75941.2143586141</v>
      </c>
      <c r="E2428" s="3">
        <v>25799.6883677342</v>
      </c>
      <c r="F2428" s="3">
        <v>19824.385065854</v>
      </c>
      <c r="G2428" s="3">
        <v>15604.1111007401</v>
      </c>
      <c r="H2428" s="3">
        <v>-35821.0506283257</v>
      </c>
      <c r="I2428" s="3">
        <v>70920.4865799037</v>
      </c>
      <c r="J2428" s="4">
        <v>45658.0</v>
      </c>
      <c r="K2428" s="3">
        <v>20.0</v>
      </c>
      <c r="L2428" s="3" t="s">
        <v>40</v>
      </c>
    </row>
    <row r="2429" ht="15.75" customHeight="1">
      <c r="A2429" s="3" t="s">
        <v>2509</v>
      </c>
      <c r="B2429" s="3" t="s">
        <v>13</v>
      </c>
      <c r="C2429" s="3" t="s">
        <v>37</v>
      </c>
      <c r="D2429" s="3">
        <v>75952.0973285203</v>
      </c>
      <c r="E2429" s="3">
        <v>25804.3030860616</v>
      </c>
      <c r="F2429" s="3">
        <v>19832.0650692835</v>
      </c>
      <c r="G2429" s="5"/>
      <c r="H2429" s="3">
        <v>-35870.5543460747</v>
      </c>
      <c r="I2429" s="3">
        <v>70923.8680543235</v>
      </c>
      <c r="J2429" s="4">
        <v>45658.0</v>
      </c>
      <c r="K2429" s="3">
        <v>25.0</v>
      </c>
      <c r="L2429" s="3" t="s">
        <v>42</v>
      </c>
    </row>
    <row r="2430" ht="15.75" customHeight="1">
      <c r="A2430" s="3" t="s">
        <v>2510</v>
      </c>
      <c r="B2430" s="3" t="s">
        <v>53</v>
      </c>
      <c r="C2430" s="3" t="s">
        <v>14</v>
      </c>
      <c r="D2430" s="3">
        <v>75962.9802984265</v>
      </c>
      <c r="E2430" s="3">
        <v>25808.9178043891</v>
      </c>
      <c r="F2430" s="3">
        <v>19839.745072713</v>
      </c>
      <c r="G2430" s="3">
        <v>15610.9062021146</v>
      </c>
      <c r="H2430" s="3">
        <v>-35920.0580638247</v>
      </c>
      <c r="I2430" s="3">
        <v>70927.2495287433</v>
      </c>
      <c r="J2430" s="4">
        <v>45717.0</v>
      </c>
      <c r="K2430" s="3">
        <v>23.0</v>
      </c>
      <c r="L2430" s="3" t="s">
        <v>15</v>
      </c>
    </row>
    <row r="2431" ht="15.75" customHeight="1">
      <c r="A2431" s="3" t="s">
        <v>2511</v>
      </c>
      <c r="B2431" s="3" t="s">
        <v>17</v>
      </c>
      <c r="C2431" s="3" t="s">
        <v>54</v>
      </c>
      <c r="D2431" s="3">
        <v>75973.8632683327</v>
      </c>
      <c r="E2431" s="3">
        <v>25813.5325227165</v>
      </c>
      <c r="F2431" s="3">
        <v>19847.4250761425</v>
      </c>
      <c r="G2431" s="3">
        <v>15614.3037528019</v>
      </c>
      <c r="H2431" s="3">
        <v>-35969.5617815737</v>
      </c>
      <c r="I2431" s="3">
        <v>70930.6310031632</v>
      </c>
      <c r="J2431" s="4">
        <v>45931.0</v>
      </c>
      <c r="K2431" s="3">
        <v>11.0</v>
      </c>
      <c r="L2431" s="3" t="s">
        <v>19</v>
      </c>
    </row>
    <row r="2432" ht="15.75" customHeight="1">
      <c r="A2432" s="3" t="s">
        <v>2512</v>
      </c>
      <c r="B2432" s="3" t="s">
        <v>25</v>
      </c>
      <c r="C2432" s="3" t="s">
        <v>37</v>
      </c>
      <c r="D2432" s="3">
        <v>75984.7462382389</v>
      </c>
      <c r="E2432" s="3">
        <v>25818.1472410439</v>
      </c>
      <c r="F2432" s="3">
        <v>19855.105079572</v>
      </c>
      <c r="G2432" s="3">
        <v>15617.7013034892</v>
      </c>
      <c r="H2432" s="3">
        <v>-36019.0654993227</v>
      </c>
      <c r="I2432" s="3">
        <v>70934.012477583</v>
      </c>
      <c r="J2432" s="4">
        <v>45839.0</v>
      </c>
      <c r="K2432" s="3">
        <v>18.0</v>
      </c>
      <c r="L2432" s="3" t="s">
        <v>21</v>
      </c>
    </row>
    <row r="2433" ht="15.75" customHeight="1">
      <c r="A2433" s="3" t="s">
        <v>2513</v>
      </c>
      <c r="B2433" s="3" t="s">
        <v>36</v>
      </c>
      <c r="C2433" s="3" t="s">
        <v>54</v>
      </c>
      <c r="D2433" s="3">
        <v>75995.6292081451</v>
      </c>
      <c r="E2433" s="3">
        <v>25822.7619593713</v>
      </c>
      <c r="F2433" s="3">
        <v>19862.7850830014</v>
      </c>
      <c r="G2433" s="3">
        <v>15621.0988541765</v>
      </c>
      <c r="H2433" s="3">
        <v>-36068.5692170717</v>
      </c>
      <c r="I2433" s="3">
        <v>70937.3939520028</v>
      </c>
      <c r="J2433" s="4">
        <v>45992.0</v>
      </c>
      <c r="K2433" s="3">
        <v>21.0</v>
      </c>
      <c r="L2433" s="3" t="s">
        <v>23</v>
      </c>
    </row>
    <row r="2434" ht="15.75" customHeight="1">
      <c r="A2434" s="3" t="s">
        <v>2514</v>
      </c>
      <c r="B2434" s="3" t="s">
        <v>36</v>
      </c>
      <c r="C2434" s="3" t="s">
        <v>26</v>
      </c>
      <c r="D2434" s="3">
        <v>76006.5121780513</v>
      </c>
      <c r="E2434" s="3">
        <v>25827.3766776988</v>
      </c>
      <c r="F2434" s="3">
        <v>19870.4650864309</v>
      </c>
      <c r="G2434" s="3">
        <v>15624.4964048638</v>
      </c>
      <c r="H2434" s="3">
        <v>-36118.0729348207</v>
      </c>
      <c r="I2434" s="3">
        <v>70940.7754264226</v>
      </c>
      <c r="J2434" s="4">
        <v>45658.0</v>
      </c>
      <c r="K2434" s="3">
        <v>24.0</v>
      </c>
      <c r="L2434" s="3" t="s">
        <v>27</v>
      </c>
    </row>
    <row r="2435" ht="15.75" customHeight="1">
      <c r="A2435" s="3" t="s">
        <v>2515</v>
      </c>
      <c r="B2435" s="3" t="s">
        <v>29</v>
      </c>
      <c r="C2435" s="3" t="s">
        <v>37</v>
      </c>
      <c r="D2435" s="3">
        <v>76017.3951479575</v>
      </c>
      <c r="E2435" s="3">
        <v>25831.9913960262</v>
      </c>
      <c r="F2435" s="3">
        <v>19878.1450898604</v>
      </c>
      <c r="G2435" s="3">
        <v>15627.8939555511</v>
      </c>
      <c r="H2435" s="3">
        <v>-36167.5766525697</v>
      </c>
      <c r="I2435" s="3">
        <v>70944.1569008424</v>
      </c>
      <c r="J2435" s="4">
        <v>45839.0</v>
      </c>
      <c r="K2435" s="3">
        <v>18.0</v>
      </c>
      <c r="L2435" s="3" t="s">
        <v>31</v>
      </c>
    </row>
    <row r="2436" ht="15.75" customHeight="1">
      <c r="A2436" s="3" t="s">
        <v>2516</v>
      </c>
      <c r="B2436" s="3" t="s">
        <v>36</v>
      </c>
      <c r="C2436" s="3" t="s">
        <v>33</v>
      </c>
      <c r="D2436" s="3">
        <v>76028.2781178637</v>
      </c>
      <c r="E2436" s="3">
        <v>25836.6061143536</v>
      </c>
      <c r="F2436" s="3">
        <v>19885.8250932899</v>
      </c>
      <c r="G2436" s="3">
        <v>15631.2915062384</v>
      </c>
      <c r="H2436" s="3">
        <v>-36217.0803703187</v>
      </c>
      <c r="I2436" s="3">
        <v>70947.5383752622</v>
      </c>
      <c r="J2436" s="4">
        <v>45870.0</v>
      </c>
      <c r="K2436" s="3">
        <v>18.0</v>
      </c>
      <c r="L2436" s="3" t="s">
        <v>34</v>
      </c>
    </row>
    <row r="2437" ht="15.75" customHeight="1">
      <c r="A2437" s="3" t="s">
        <v>2517</v>
      </c>
      <c r="B2437" s="3" t="s">
        <v>36</v>
      </c>
      <c r="C2437" s="3" t="s">
        <v>54</v>
      </c>
      <c r="D2437" s="3">
        <v>76039.1610877699</v>
      </c>
      <c r="E2437" s="3">
        <v>25841.220832681</v>
      </c>
      <c r="F2437" s="3">
        <v>19893.5050967194</v>
      </c>
      <c r="G2437" s="3">
        <v>15634.6890569257</v>
      </c>
      <c r="H2437" s="3">
        <v>-36266.5840880677</v>
      </c>
      <c r="I2437" s="3">
        <v>70950.919849682</v>
      </c>
      <c r="J2437" s="4">
        <v>45962.0</v>
      </c>
      <c r="K2437" s="3">
        <v>3.0</v>
      </c>
      <c r="L2437" s="3" t="s">
        <v>38</v>
      </c>
    </row>
    <row r="2438" ht="15.75" customHeight="1">
      <c r="A2438" s="3" t="s">
        <v>2518</v>
      </c>
      <c r="B2438" s="3" t="s">
        <v>25</v>
      </c>
      <c r="C2438" s="3" t="s">
        <v>33</v>
      </c>
      <c r="D2438" s="3">
        <v>76050.044057676</v>
      </c>
      <c r="E2438" s="3">
        <v>25845.8355510084</v>
      </c>
      <c r="F2438" s="3">
        <v>19901.1851001489</v>
      </c>
      <c r="G2438" s="3">
        <v>15638.0866076129</v>
      </c>
      <c r="H2438" s="3">
        <v>-36316.0878058177</v>
      </c>
      <c r="I2438" s="3">
        <v>70954.3013241018</v>
      </c>
      <c r="J2438" s="4">
        <v>45778.0</v>
      </c>
      <c r="K2438" s="3">
        <v>18.0</v>
      </c>
      <c r="L2438" s="3" t="s">
        <v>40</v>
      </c>
    </row>
    <row r="2439" ht="15.75" customHeight="1">
      <c r="A2439" s="3" t="s">
        <v>2519</v>
      </c>
      <c r="B2439" s="3" t="s">
        <v>36</v>
      </c>
      <c r="C2439" s="3" t="s">
        <v>33</v>
      </c>
      <c r="D2439" s="3">
        <v>76060.9270275822</v>
      </c>
      <c r="E2439" s="3">
        <v>25850.4502693359</v>
      </c>
      <c r="F2439" s="3">
        <v>19908.8651035784</v>
      </c>
      <c r="G2439" s="3">
        <v>15641.4841583002</v>
      </c>
      <c r="H2439" s="3">
        <v>-36365.5915235667</v>
      </c>
      <c r="I2439" s="3">
        <v>70957.6827985217</v>
      </c>
      <c r="J2439" s="4">
        <v>45748.0</v>
      </c>
      <c r="K2439" s="3">
        <v>25.0</v>
      </c>
      <c r="L2439" s="3" t="s">
        <v>42</v>
      </c>
    </row>
    <row r="2440" ht="15.75" customHeight="1">
      <c r="A2440" s="3" t="s">
        <v>2520</v>
      </c>
      <c r="B2440" s="3" t="s">
        <v>36</v>
      </c>
      <c r="C2440" s="3" t="s">
        <v>30</v>
      </c>
      <c r="D2440" s="3">
        <v>76071.8099974884</v>
      </c>
      <c r="E2440" s="3">
        <v>25855.0649876633</v>
      </c>
      <c r="F2440" s="3">
        <v>19916.5451070079</v>
      </c>
      <c r="G2440" s="3">
        <v>15644.8817089875</v>
      </c>
      <c r="H2440" s="3">
        <v>-36415.0952413157</v>
      </c>
      <c r="I2440" s="3">
        <v>70961.0642729415</v>
      </c>
      <c r="J2440" s="4">
        <v>45748.0</v>
      </c>
      <c r="K2440" s="3">
        <v>17.0</v>
      </c>
      <c r="L2440" s="3" t="s">
        <v>15</v>
      </c>
    </row>
    <row r="2441" ht="15.75" customHeight="1">
      <c r="A2441" s="3" t="s">
        <v>2521</v>
      </c>
      <c r="B2441" s="3" t="s">
        <v>36</v>
      </c>
      <c r="C2441" s="3" t="s">
        <v>37</v>
      </c>
      <c r="D2441" s="3">
        <v>76082.6929673946</v>
      </c>
      <c r="E2441" s="3">
        <v>25859.6797059907</v>
      </c>
      <c r="F2441" s="3">
        <v>19924.2251104374</v>
      </c>
      <c r="G2441" s="3">
        <v>15648.2792596748</v>
      </c>
      <c r="H2441" s="3">
        <v>-36464.5989590647</v>
      </c>
      <c r="I2441" s="3">
        <v>70964.4457473613</v>
      </c>
      <c r="J2441" s="4">
        <v>45870.0</v>
      </c>
      <c r="K2441" s="3">
        <v>25.0</v>
      </c>
      <c r="L2441" s="3" t="s">
        <v>19</v>
      </c>
    </row>
    <row r="2442" ht="15.75" customHeight="1">
      <c r="A2442" s="3" t="s">
        <v>2522</v>
      </c>
      <c r="B2442" s="3" t="s">
        <v>13</v>
      </c>
      <c r="C2442" s="3" t="s">
        <v>18</v>
      </c>
      <c r="D2442" s="3">
        <v>76093.5759373008</v>
      </c>
      <c r="E2442" s="3">
        <v>25864.2944243181</v>
      </c>
      <c r="F2442" s="3">
        <v>19931.9051138669</v>
      </c>
      <c r="G2442" s="3">
        <v>15651.6768103621</v>
      </c>
      <c r="H2442" s="3">
        <v>-36514.1026768137</v>
      </c>
      <c r="I2442" s="3">
        <v>70967.8272217811</v>
      </c>
      <c r="J2442" s="4">
        <v>45870.0</v>
      </c>
      <c r="K2442" s="3">
        <v>2.0</v>
      </c>
      <c r="L2442" s="3" t="s">
        <v>21</v>
      </c>
    </row>
    <row r="2443" ht="15.75" customHeight="1">
      <c r="A2443" s="3" t="s">
        <v>2523</v>
      </c>
      <c r="B2443" s="3" t="s">
        <v>25</v>
      </c>
      <c r="C2443" s="3" t="s">
        <v>18</v>
      </c>
      <c r="D2443" s="3">
        <v>76104.458907207</v>
      </c>
      <c r="E2443" s="3">
        <v>25868.9091426456</v>
      </c>
      <c r="F2443" s="3">
        <v>19939.5851172964</v>
      </c>
      <c r="G2443" s="3">
        <v>15655.0743610494</v>
      </c>
      <c r="H2443" s="3">
        <v>-36563.6063945627</v>
      </c>
      <c r="I2443" s="3">
        <v>70971.2086962009</v>
      </c>
      <c r="J2443" s="4">
        <v>45901.0</v>
      </c>
      <c r="K2443" s="3">
        <v>1.0</v>
      </c>
      <c r="L2443" s="3" t="s">
        <v>23</v>
      </c>
    </row>
    <row r="2444" ht="15.75" customHeight="1">
      <c r="A2444" s="3" t="s">
        <v>2524</v>
      </c>
      <c r="B2444" s="3" t="s">
        <v>13</v>
      </c>
      <c r="C2444" s="3" t="s">
        <v>30</v>
      </c>
      <c r="D2444" s="3">
        <v>76115.3418771132</v>
      </c>
      <c r="E2444" s="3">
        <v>25873.523860973</v>
      </c>
      <c r="F2444" s="3">
        <v>19947.2651207259</v>
      </c>
      <c r="G2444" s="3">
        <v>15658.4719117367</v>
      </c>
      <c r="H2444" s="3">
        <v>-36613.1101123117</v>
      </c>
      <c r="I2444" s="3">
        <v>70974.5901706207</v>
      </c>
      <c r="J2444" s="4">
        <v>45839.0</v>
      </c>
      <c r="K2444" s="3">
        <v>7.0</v>
      </c>
      <c r="L2444" s="3" t="s">
        <v>27</v>
      </c>
    </row>
    <row r="2445" ht="15.75" customHeight="1">
      <c r="A2445" s="3" t="s">
        <v>2525</v>
      </c>
      <c r="B2445" s="3" t="s">
        <v>51</v>
      </c>
      <c r="C2445" s="3" t="s">
        <v>26</v>
      </c>
      <c r="D2445" s="3">
        <v>76126.2248470194</v>
      </c>
      <c r="E2445" s="3">
        <v>25878.1385793004</v>
      </c>
      <c r="F2445" s="3">
        <v>19954.9451241554</v>
      </c>
      <c r="G2445" s="3">
        <v>15661.8694624239</v>
      </c>
      <c r="H2445" s="3">
        <v>-36662.6138300607</v>
      </c>
      <c r="I2445" s="3">
        <v>70977.9716450406</v>
      </c>
      <c r="J2445" s="4">
        <v>45778.0</v>
      </c>
      <c r="K2445" s="3">
        <v>5.0</v>
      </c>
      <c r="L2445" s="3" t="s">
        <v>31</v>
      </c>
    </row>
    <row r="2446" ht="15.75" customHeight="1">
      <c r="A2446" s="3" t="s">
        <v>2526</v>
      </c>
      <c r="B2446" s="3" t="s">
        <v>13</v>
      </c>
      <c r="C2446" s="3" t="s">
        <v>37</v>
      </c>
      <c r="D2446" s="3">
        <v>76137.1078169256</v>
      </c>
      <c r="E2446" s="3">
        <v>25882.7532976278</v>
      </c>
      <c r="F2446" s="3">
        <v>19962.6251275849</v>
      </c>
      <c r="G2446" s="3">
        <v>15665.2670131112</v>
      </c>
      <c r="H2446" s="3">
        <v>-36712.1175478107</v>
      </c>
      <c r="I2446" s="3">
        <v>70981.3531194604</v>
      </c>
      <c r="J2446" s="4">
        <v>45870.0</v>
      </c>
      <c r="K2446" s="3">
        <v>19.0</v>
      </c>
      <c r="L2446" s="3" t="s">
        <v>34</v>
      </c>
    </row>
    <row r="2447" ht="15.75" customHeight="1">
      <c r="A2447" s="3" t="s">
        <v>2527</v>
      </c>
      <c r="B2447" s="3" t="s">
        <v>29</v>
      </c>
      <c r="C2447" s="3" t="s">
        <v>26</v>
      </c>
      <c r="D2447" s="3">
        <v>76147.9907868318</v>
      </c>
      <c r="E2447" s="3">
        <v>25887.3680159552</v>
      </c>
      <c r="F2447" s="3">
        <v>19970.3051310144</v>
      </c>
      <c r="G2447" s="3">
        <v>15668.6645637985</v>
      </c>
      <c r="H2447" s="3">
        <v>-36761.6212655597</v>
      </c>
      <c r="I2447" s="3">
        <v>70984.7345938802</v>
      </c>
      <c r="J2447" s="4">
        <v>45870.0</v>
      </c>
      <c r="K2447" s="3">
        <v>21.0</v>
      </c>
      <c r="L2447" s="3" t="s">
        <v>38</v>
      </c>
    </row>
    <row r="2448" ht="15.75" customHeight="1">
      <c r="A2448" s="3" t="s">
        <v>2528</v>
      </c>
      <c r="B2448" s="3" t="s">
        <v>25</v>
      </c>
      <c r="C2448" s="3" t="s">
        <v>14</v>
      </c>
      <c r="D2448" s="3">
        <v>76158.873756738</v>
      </c>
      <c r="E2448" s="3">
        <v>25891.9827342827</v>
      </c>
      <c r="F2448" s="3">
        <v>19977.9851344439</v>
      </c>
      <c r="G2448" s="3">
        <v>15672.0621144858</v>
      </c>
      <c r="H2448" s="3">
        <v>-36811.1249833087</v>
      </c>
      <c r="I2448" s="3">
        <v>70988.1160683</v>
      </c>
      <c r="J2448" s="4">
        <v>45748.0</v>
      </c>
      <c r="K2448" s="3">
        <v>4.0</v>
      </c>
      <c r="L2448" s="3" t="s">
        <v>40</v>
      </c>
    </row>
    <row r="2449" ht="15.75" customHeight="1">
      <c r="A2449" s="3" t="s">
        <v>2529</v>
      </c>
      <c r="B2449" s="3" t="s">
        <v>53</v>
      </c>
      <c r="C2449" s="3" t="s">
        <v>37</v>
      </c>
      <c r="D2449" s="3">
        <v>76169.7567266442</v>
      </c>
      <c r="E2449" s="3">
        <v>25896.5974526101</v>
      </c>
      <c r="F2449" s="3">
        <v>19985.6651378734</v>
      </c>
      <c r="G2449" s="3">
        <v>15675.4596651731</v>
      </c>
      <c r="H2449" s="3">
        <v>-36860.6287010577</v>
      </c>
      <c r="I2449" s="3">
        <v>70991.4975427198</v>
      </c>
      <c r="J2449" s="4">
        <v>45839.0</v>
      </c>
      <c r="K2449" s="3">
        <v>22.0</v>
      </c>
      <c r="L2449" s="3" t="s">
        <v>42</v>
      </c>
    </row>
    <row r="2450" ht="15.75" customHeight="1">
      <c r="A2450" s="3" t="s">
        <v>2530</v>
      </c>
      <c r="B2450" s="3" t="s">
        <v>29</v>
      </c>
      <c r="C2450" s="3" t="s">
        <v>33</v>
      </c>
      <c r="D2450" s="3">
        <v>76180.6396965504</v>
      </c>
      <c r="E2450" s="3">
        <v>25901.2121709375</v>
      </c>
      <c r="F2450" s="3">
        <v>19993.3451413029</v>
      </c>
      <c r="G2450" s="3">
        <v>15678.8572158604</v>
      </c>
      <c r="H2450" s="3">
        <v>-36910.1324188067</v>
      </c>
      <c r="I2450" s="3">
        <v>70994.8790171396</v>
      </c>
      <c r="J2450" s="4">
        <v>45658.0</v>
      </c>
      <c r="K2450" s="3">
        <v>17.0</v>
      </c>
      <c r="L2450" s="3" t="s">
        <v>15</v>
      </c>
    </row>
    <row r="2451" ht="15.75" customHeight="1">
      <c r="A2451" s="3" t="s">
        <v>2531</v>
      </c>
      <c r="B2451" s="3" t="s">
        <v>25</v>
      </c>
      <c r="C2451" s="3" t="s">
        <v>37</v>
      </c>
      <c r="D2451" s="3">
        <v>76191.5226664566</v>
      </c>
      <c r="E2451" s="3">
        <v>25905.8268892649</v>
      </c>
      <c r="F2451" s="3">
        <v>20001.0251447324</v>
      </c>
      <c r="G2451" s="3">
        <v>15682.2547665477</v>
      </c>
      <c r="H2451" s="3">
        <v>-36959.6361365557</v>
      </c>
      <c r="I2451" s="3">
        <v>70998.2604915594</v>
      </c>
      <c r="J2451" s="4">
        <v>45870.0</v>
      </c>
      <c r="K2451" s="3">
        <v>7.0</v>
      </c>
      <c r="L2451" s="3" t="s">
        <v>19</v>
      </c>
    </row>
    <row r="2452" ht="15.75" customHeight="1">
      <c r="A2452" s="3" t="s">
        <v>2532</v>
      </c>
      <c r="B2452" s="3" t="s">
        <v>36</v>
      </c>
      <c r="C2452" s="3" t="s">
        <v>33</v>
      </c>
      <c r="D2452" s="3">
        <v>76202.4056363628</v>
      </c>
      <c r="E2452" s="3">
        <v>25910.4416075923</v>
      </c>
      <c r="F2452" s="3">
        <v>20008.7051481619</v>
      </c>
      <c r="G2452" s="3">
        <v>15685.652317235</v>
      </c>
      <c r="H2452" s="3">
        <v>-37009.1398543047</v>
      </c>
      <c r="I2452" s="3">
        <v>71001.6419659793</v>
      </c>
      <c r="J2452" s="4">
        <v>45962.0</v>
      </c>
      <c r="K2452" s="3">
        <v>6.0</v>
      </c>
      <c r="L2452" s="3" t="s">
        <v>21</v>
      </c>
    </row>
    <row r="2453" ht="15.75" customHeight="1">
      <c r="A2453" s="3" t="s">
        <v>2533</v>
      </c>
      <c r="B2453" s="3" t="s">
        <v>51</v>
      </c>
      <c r="C2453" s="3" t="s">
        <v>33</v>
      </c>
      <c r="D2453" s="3">
        <v>76213.2886062689</v>
      </c>
      <c r="E2453" s="3">
        <v>25915.0563259198</v>
      </c>
      <c r="F2453" s="3">
        <v>20016.3851515914</v>
      </c>
      <c r="G2453" s="3">
        <v>15689.0498679222</v>
      </c>
      <c r="H2453" s="3">
        <v>-37058.6435720537</v>
      </c>
      <c r="I2453" s="3">
        <v>71005.0234403991</v>
      </c>
      <c r="J2453" s="4">
        <v>45992.0</v>
      </c>
      <c r="K2453" s="3">
        <v>2.0</v>
      </c>
      <c r="L2453" s="3" t="s">
        <v>23</v>
      </c>
    </row>
    <row r="2454" ht="15.75" customHeight="1">
      <c r="A2454" s="3" t="s">
        <v>2534</v>
      </c>
      <c r="B2454" s="3" t="s">
        <v>17</v>
      </c>
      <c r="C2454" s="3" t="s">
        <v>26</v>
      </c>
      <c r="D2454" s="3">
        <v>76224.1715761751</v>
      </c>
      <c r="E2454" s="3">
        <v>25919.6710442472</v>
      </c>
      <c r="F2454" s="3">
        <v>20024.0651550209</v>
      </c>
      <c r="G2454" s="3">
        <v>15692.4474186095</v>
      </c>
      <c r="H2454" s="3">
        <v>-37108.1472898037</v>
      </c>
      <c r="I2454" s="3">
        <v>71008.4049148189</v>
      </c>
      <c r="J2454" s="4">
        <v>45901.0</v>
      </c>
      <c r="K2454" s="3">
        <v>2.0</v>
      </c>
      <c r="L2454" s="3" t="s">
        <v>27</v>
      </c>
    </row>
    <row r="2455" ht="15.75" customHeight="1">
      <c r="A2455" s="3" t="s">
        <v>2535</v>
      </c>
      <c r="B2455" s="3" t="s">
        <v>51</v>
      </c>
      <c r="C2455" s="3" t="s">
        <v>30</v>
      </c>
      <c r="D2455" s="3">
        <v>76235.0545460813</v>
      </c>
      <c r="E2455" s="3">
        <v>25924.2857625746</v>
      </c>
      <c r="F2455" s="3">
        <v>20031.7451584504</v>
      </c>
      <c r="G2455" s="3">
        <v>15695.8449692968</v>
      </c>
      <c r="H2455" s="3">
        <v>-37157.6510075527</v>
      </c>
      <c r="I2455" s="3">
        <v>71011.7863892387</v>
      </c>
      <c r="J2455" s="4">
        <v>45901.0</v>
      </c>
      <c r="K2455" s="3">
        <v>7.0</v>
      </c>
      <c r="L2455" s="3" t="s">
        <v>31</v>
      </c>
    </row>
    <row r="2456" ht="15.75" customHeight="1">
      <c r="A2456" s="3" t="s">
        <v>2536</v>
      </c>
      <c r="B2456" s="3" t="s">
        <v>36</v>
      </c>
      <c r="C2456" s="3" t="s">
        <v>54</v>
      </c>
      <c r="D2456" s="3">
        <v>76245.9375159875</v>
      </c>
      <c r="E2456" s="3">
        <v>25928.900480902</v>
      </c>
      <c r="F2456" s="3">
        <v>20039.4251618799</v>
      </c>
      <c r="G2456" s="3">
        <v>15699.2425199841</v>
      </c>
      <c r="H2456" s="3">
        <v>-37207.1547253017</v>
      </c>
      <c r="I2456" s="3">
        <v>71015.1678636585</v>
      </c>
      <c r="J2456" s="4">
        <v>45748.0</v>
      </c>
      <c r="K2456" s="3">
        <v>20.0</v>
      </c>
      <c r="L2456" s="3" t="s">
        <v>34</v>
      </c>
    </row>
    <row r="2457" ht="15.75" customHeight="1">
      <c r="A2457" s="3" t="s">
        <v>2537</v>
      </c>
      <c r="B2457" s="3" t="s">
        <v>36</v>
      </c>
      <c r="C2457" s="3" t="s">
        <v>26</v>
      </c>
      <c r="D2457" s="3">
        <v>76256.8204858937</v>
      </c>
      <c r="E2457" s="3">
        <v>25933.5151992295</v>
      </c>
      <c r="F2457" s="3">
        <v>20047.1051653094</v>
      </c>
      <c r="G2457" s="3">
        <v>15702.6400706714</v>
      </c>
      <c r="H2457" s="3">
        <v>-37256.6584430507</v>
      </c>
      <c r="I2457" s="3">
        <v>71018.5493380783</v>
      </c>
      <c r="J2457" s="4">
        <v>45689.0</v>
      </c>
      <c r="K2457" s="3">
        <v>22.0</v>
      </c>
      <c r="L2457" s="3" t="s">
        <v>38</v>
      </c>
    </row>
    <row r="2458" ht="15.75" customHeight="1">
      <c r="A2458" s="3" t="s">
        <v>2538</v>
      </c>
      <c r="B2458" s="3" t="s">
        <v>17</v>
      </c>
      <c r="C2458" s="3" t="s">
        <v>37</v>
      </c>
      <c r="D2458" s="3">
        <v>76267.7034557999</v>
      </c>
      <c r="E2458" s="3">
        <v>25938.1299175569</v>
      </c>
      <c r="F2458" s="3">
        <v>20054.7851687389</v>
      </c>
      <c r="G2458" s="3">
        <v>15706.0376213587</v>
      </c>
      <c r="H2458" s="3">
        <v>-37306.1621607997</v>
      </c>
      <c r="I2458" s="3">
        <v>71021.9308124981</v>
      </c>
      <c r="J2458" s="4">
        <v>45658.0</v>
      </c>
      <c r="K2458" s="3">
        <v>14.0</v>
      </c>
      <c r="L2458" s="3" t="s">
        <v>40</v>
      </c>
    </row>
    <row r="2459" ht="15.75" customHeight="1">
      <c r="A2459" s="3" t="s">
        <v>2539</v>
      </c>
      <c r="B2459" s="3" t="s">
        <v>13</v>
      </c>
      <c r="C2459" s="3" t="s">
        <v>26</v>
      </c>
      <c r="D2459" s="3">
        <v>76278.5864257061</v>
      </c>
      <c r="E2459" s="3">
        <v>25942.7446358843</v>
      </c>
      <c r="F2459" s="3">
        <v>20062.4651721684</v>
      </c>
      <c r="G2459" s="3">
        <v>15709.435172046</v>
      </c>
      <c r="H2459" s="3">
        <v>-37355.6658785487</v>
      </c>
      <c r="I2459" s="3">
        <v>71025.312286918</v>
      </c>
      <c r="J2459" s="4">
        <v>45931.0</v>
      </c>
      <c r="K2459" s="3">
        <v>22.0</v>
      </c>
      <c r="L2459" s="3" t="s">
        <v>42</v>
      </c>
    </row>
    <row r="2460" ht="15.75" customHeight="1">
      <c r="A2460" s="3" t="s">
        <v>2540</v>
      </c>
      <c r="B2460" s="3" t="s">
        <v>36</v>
      </c>
      <c r="C2460" s="3" t="s">
        <v>14</v>
      </c>
      <c r="D2460" s="3">
        <v>76289.4693956123</v>
      </c>
      <c r="E2460" s="3">
        <v>25947.3593542117</v>
      </c>
      <c r="F2460" s="3">
        <v>20070.1451755979</v>
      </c>
      <c r="G2460" s="3">
        <v>15712.8327227333</v>
      </c>
      <c r="H2460" s="3">
        <v>-37405.1695962977</v>
      </c>
      <c r="I2460" s="3">
        <v>71028.6937613378</v>
      </c>
      <c r="J2460" s="4">
        <v>45839.0</v>
      </c>
      <c r="K2460" s="3">
        <v>6.0</v>
      </c>
      <c r="L2460" s="3" t="s">
        <v>15</v>
      </c>
    </row>
    <row r="2461" ht="15.75" customHeight="1">
      <c r="A2461" s="3" t="s">
        <v>2541</v>
      </c>
      <c r="B2461" s="3" t="s">
        <v>29</v>
      </c>
      <c r="C2461" s="3" t="s">
        <v>14</v>
      </c>
      <c r="D2461" s="3">
        <v>76300.3523655185</v>
      </c>
      <c r="E2461" s="3">
        <v>25951.9740725392</v>
      </c>
      <c r="F2461" s="3">
        <v>20077.8251790274</v>
      </c>
      <c r="G2461" s="3">
        <v>15716.2302734205</v>
      </c>
      <c r="H2461" s="3">
        <v>-37454.6733140467</v>
      </c>
      <c r="I2461" s="3">
        <v>71032.0752357576</v>
      </c>
      <c r="J2461" s="4">
        <v>45870.0</v>
      </c>
      <c r="K2461" s="3">
        <v>11.0</v>
      </c>
      <c r="L2461" s="3" t="s">
        <v>19</v>
      </c>
    </row>
    <row r="2462" ht="15.75" customHeight="1">
      <c r="A2462" s="3" t="s">
        <v>2542</v>
      </c>
      <c r="B2462" s="3" t="s">
        <v>13</v>
      </c>
      <c r="C2462" s="3" t="s">
        <v>14</v>
      </c>
      <c r="D2462" s="3">
        <v>76311.2353354247</v>
      </c>
      <c r="E2462" s="3">
        <v>25956.5887908666</v>
      </c>
      <c r="F2462" s="3">
        <v>20085.5051824569</v>
      </c>
      <c r="G2462" s="3">
        <v>15719.6278241078</v>
      </c>
      <c r="H2462" s="3">
        <v>-37504.1770317967</v>
      </c>
      <c r="I2462" s="3">
        <v>71035.4567101774</v>
      </c>
      <c r="J2462" s="4">
        <v>45870.0</v>
      </c>
      <c r="K2462" s="3">
        <v>15.0</v>
      </c>
      <c r="L2462" s="3" t="s">
        <v>21</v>
      </c>
    </row>
    <row r="2463" ht="15.75" customHeight="1">
      <c r="A2463" s="3" t="s">
        <v>2543</v>
      </c>
      <c r="B2463" s="3" t="s">
        <v>53</v>
      </c>
      <c r="C2463" s="3" t="s">
        <v>14</v>
      </c>
      <c r="D2463" s="3">
        <v>76322.1183053309</v>
      </c>
      <c r="E2463" s="3">
        <v>25961.203509194</v>
      </c>
      <c r="F2463" s="3">
        <v>20093.1851858864</v>
      </c>
      <c r="G2463" s="3">
        <v>15723.0253747951</v>
      </c>
      <c r="H2463" s="3">
        <v>-37553.6807495457</v>
      </c>
      <c r="I2463" s="3">
        <v>71038.8381845972</v>
      </c>
      <c r="J2463" s="4">
        <v>45931.0</v>
      </c>
      <c r="K2463" s="3">
        <v>12.0</v>
      </c>
      <c r="L2463" s="3" t="s">
        <v>23</v>
      </c>
    </row>
    <row r="2464" ht="15.75" customHeight="1">
      <c r="A2464" s="3" t="s">
        <v>2544</v>
      </c>
      <c r="B2464" s="3" t="s">
        <v>13</v>
      </c>
      <c r="C2464" s="3" t="s">
        <v>37</v>
      </c>
      <c r="D2464" s="3">
        <v>76333.0012752371</v>
      </c>
      <c r="E2464" s="3">
        <v>25965.8182275214</v>
      </c>
      <c r="F2464" s="3">
        <v>20100.8651893159</v>
      </c>
      <c r="G2464" s="3">
        <v>15726.4229254824</v>
      </c>
      <c r="H2464" s="3">
        <v>-37603.1844672947</v>
      </c>
      <c r="I2464" s="3">
        <v>71042.219659017</v>
      </c>
      <c r="J2464" s="4">
        <v>45778.0</v>
      </c>
      <c r="K2464" s="3">
        <v>24.0</v>
      </c>
      <c r="L2464" s="3" t="s">
        <v>27</v>
      </c>
    </row>
    <row r="2465" ht="15.75" customHeight="1">
      <c r="A2465" s="3" t="s">
        <v>2545</v>
      </c>
      <c r="B2465" s="3" t="s">
        <v>29</v>
      </c>
      <c r="C2465" s="3" t="s">
        <v>54</v>
      </c>
      <c r="D2465" s="3">
        <v>76343.8842451433</v>
      </c>
      <c r="E2465" s="3">
        <v>25970.4329458488</v>
      </c>
      <c r="F2465" s="3">
        <v>20108.5451927454</v>
      </c>
      <c r="G2465" s="3">
        <v>15729.8204761697</v>
      </c>
      <c r="H2465" s="3">
        <v>-37652.6881850437</v>
      </c>
      <c r="I2465" s="3">
        <v>71045.6011334368</v>
      </c>
      <c r="J2465" s="4">
        <v>45809.0</v>
      </c>
      <c r="K2465" s="3">
        <v>6.0</v>
      </c>
      <c r="L2465" s="3" t="s">
        <v>31</v>
      </c>
    </row>
    <row r="2466" ht="15.75" customHeight="1">
      <c r="A2466" s="3" t="s">
        <v>2546</v>
      </c>
      <c r="B2466" s="3" t="s">
        <v>29</v>
      </c>
      <c r="C2466" s="3" t="s">
        <v>37</v>
      </c>
      <c r="D2466" s="3">
        <v>76354.7672150495</v>
      </c>
      <c r="E2466" s="3">
        <v>25975.0476641763</v>
      </c>
      <c r="F2466" s="3">
        <v>20116.2251961749</v>
      </c>
      <c r="G2466" s="3">
        <v>15733.218026857</v>
      </c>
      <c r="H2466" s="3">
        <v>-37702.1919027927</v>
      </c>
      <c r="I2466" s="3">
        <v>71048.9826078567</v>
      </c>
      <c r="J2466" s="4">
        <v>45962.0</v>
      </c>
      <c r="K2466" s="3">
        <v>5.0</v>
      </c>
      <c r="L2466" s="3" t="s">
        <v>34</v>
      </c>
    </row>
    <row r="2467" ht="15.75" customHeight="1">
      <c r="A2467" s="3" t="s">
        <v>2547</v>
      </c>
      <c r="B2467" s="3" t="s">
        <v>51</v>
      </c>
      <c r="C2467" s="3" t="s">
        <v>30</v>
      </c>
      <c r="D2467" s="3">
        <v>76365.6501849557</v>
      </c>
      <c r="E2467" s="3">
        <v>25979.6623825037</v>
      </c>
      <c r="F2467" s="3">
        <v>20123.9051996044</v>
      </c>
      <c r="G2467" s="3">
        <v>15736.6155775443</v>
      </c>
      <c r="H2467" s="3">
        <v>-37751.6956205417</v>
      </c>
      <c r="I2467" s="3">
        <v>71052.3640822765</v>
      </c>
      <c r="J2467" s="4">
        <v>45658.0</v>
      </c>
      <c r="K2467" s="3">
        <v>14.0</v>
      </c>
      <c r="L2467" s="3" t="s">
        <v>38</v>
      </c>
    </row>
    <row r="2468" ht="15.75" customHeight="1">
      <c r="A2468" s="3" t="s">
        <v>2548</v>
      </c>
      <c r="B2468" s="3" t="s">
        <v>53</v>
      </c>
      <c r="C2468" s="3" t="s">
        <v>37</v>
      </c>
      <c r="D2468" s="3">
        <v>76376.5331548618</v>
      </c>
      <c r="E2468" s="3">
        <v>25984.2771008311</v>
      </c>
      <c r="F2468" s="3">
        <v>20131.5852030339</v>
      </c>
      <c r="G2468" s="3">
        <v>15740.0131282315</v>
      </c>
      <c r="H2468" s="3">
        <v>-37801.1993382907</v>
      </c>
      <c r="I2468" s="3">
        <v>71055.7455566963</v>
      </c>
      <c r="J2468" s="4">
        <v>45748.0</v>
      </c>
      <c r="K2468" s="3">
        <v>11.0</v>
      </c>
      <c r="L2468" s="3" t="s">
        <v>40</v>
      </c>
    </row>
    <row r="2469" ht="15.75" customHeight="1">
      <c r="A2469" s="3" t="s">
        <v>2549</v>
      </c>
      <c r="B2469" s="3" t="s">
        <v>36</v>
      </c>
      <c r="C2469" s="3" t="s">
        <v>30</v>
      </c>
      <c r="D2469" s="3">
        <v>76387.416124768</v>
      </c>
      <c r="E2469" s="3">
        <v>25988.8918191585</v>
      </c>
      <c r="F2469" s="3">
        <v>20139.2652064634</v>
      </c>
      <c r="G2469" s="3">
        <v>15743.4106789188</v>
      </c>
      <c r="H2469" s="3">
        <v>-37850.7030560397</v>
      </c>
      <c r="I2469" s="3">
        <v>71059.1270311161</v>
      </c>
      <c r="J2469" s="4">
        <v>45962.0</v>
      </c>
      <c r="K2469" s="3">
        <v>14.0</v>
      </c>
      <c r="L2469" s="3" t="s">
        <v>42</v>
      </c>
    </row>
    <row r="2470" ht="15.75" customHeight="1">
      <c r="A2470" s="3" t="s">
        <v>2550</v>
      </c>
      <c r="B2470" s="3" t="s">
        <v>53</v>
      </c>
      <c r="C2470" s="3" t="s">
        <v>54</v>
      </c>
      <c r="D2470" s="3">
        <v>76398.2990946742</v>
      </c>
      <c r="E2470" s="3">
        <v>25993.5065374859</v>
      </c>
      <c r="F2470" s="3">
        <v>20146.9452098928</v>
      </c>
      <c r="G2470" s="3">
        <v>15746.8082296061</v>
      </c>
      <c r="H2470" s="3">
        <v>-37900.2067737897</v>
      </c>
      <c r="I2470" s="3">
        <v>71062.5085055359</v>
      </c>
      <c r="J2470" s="4">
        <v>45689.0</v>
      </c>
      <c r="K2470" s="3">
        <v>17.0</v>
      </c>
      <c r="L2470" s="3" t="s">
        <v>15</v>
      </c>
    </row>
    <row r="2471" ht="15.75" customHeight="1">
      <c r="A2471" s="3" t="s">
        <v>2551</v>
      </c>
      <c r="B2471" s="3" t="s">
        <v>53</v>
      </c>
      <c r="C2471" s="3" t="s">
        <v>30</v>
      </c>
      <c r="D2471" s="3">
        <v>76409.1820645804</v>
      </c>
      <c r="E2471" s="3">
        <v>25998.1212558134</v>
      </c>
      <c r="F2471" s="3">
        <v>20154.6252133223</v>
      </c>
      <c r="G2471" s="3">
        <v>15750.2057802934</v>
      </c>
      <c r="H2471" s="3">
        <v>-37949.7104915387</v>
      </c>
      <c r="I2471" s="3">
        <v>71065.8899799557</v>
      </c>
      <c r="J2471" s="4">
        <v>45809.0</v>
      </c>
      <c r="K2471" s="3">
        <v>18.0</v>
      </c>
      <c r="L2471" s="3" t="s">
        <v>19</v>
      </c>
    </row>
    <row r="2472" ht="15.75" customHeight="1">
      <c r="A2472" s="3" t="s">
        <v>2552</v>
      </c>
      <c r="B2472" s="3" t="s">
        <v>25</v>
      </c>
      <c r="C2472" s="3" t="s">
        <v>18</v>
      </c>
      <c r="D2472" s="3">
        <v>76420.0650344866</v>
      </c>
      <c r="E2472" s="3">
        <v>26002.7359741408</v>
      </c>
      <c r="F2472" s="3">
        <v>20162.3052167518</v>
      </c>
      <c r="G2472" s="3">
        <v>15753.6033309807</v>
      </c>
      <c r="H2472" s="3">
        <v>-37999.2142092877</v>
      </c>
      <c r="I2472" s="3">
        <v>71069.2714543755</v>
      </c>
      <c r="J2472" s="4">
        <v>45717.0</v>
      </c>
      <c r="K2472" s="3">
        <v>20.0</v>
      </c>
      <c r="L2472" s="3" t="s">
        <v>21</v>
      </c>
    </row>
    <row r="2473" ht="15.75" customHeight="1">
      <c r="A2473" s="3" t="s">
        <v>2553</v>
      </c>
      <c r="B2473" s="3" t="s">
        <v>13</v>
      </c>
      <c r="C2473" s="3" t="s">
        <v>37</v>
      </c>
      <c r="D2473" s="3">
        <v>76441.830974299</v>
      </c>
      <c r="E2473" s="3">
        <v>26011.9654107956</v>
      </c>
      <c r="F2473" s="3">
        <v>20177.6652236108</v>
      </c>
      <c r="G2473" s="3">
        <v>15760.3984323553</v>
      </c>
      <c r="H2473" s="3">
        <v>-38098.2216447857</v>
      </c>
      <c r="I2473" s="3">
        <v>71076.0344032152</v>
      </c>
      <c r="J2473" s="4">
        <v>45778.0</v>
      </c>
      <c r="K2473" s="3">
        <v>24.0</v>
      </c>
      <c r="L2473" s="3" t="s">
        <v>27</v>
      </c>
    </row>
    <row r="2474" ht="15.75" customHeight="1">
      <c r="A2474" s="3" t="s">
        <v>2554</v>
      </c>
      <c r="B2474" s="3" t="s">
        <v>51</v>
      </c>
      <c r="C2474" s="3" t="s">
        <v>37</v>
      </c>
      <c r="D2474" s="3">
        <v>76452.7139442052</v>
      </c>
      <c r="E2474" s="3">
        <v>26016.5801291231</v>
      </c>
      <c r="F2474" s="3">
        <v>20185.3452270403</v>
      </c>
      <c r="G2474" s="3">
        <v>15763.7959830426</v>
      </c>
      <c r="H2474" s="3">
        <v>-38147.7253625347</v>
      </c>
      <c r="I2474" s="3">
        <v>71079.415877635</v>
      </c>
      <c r="J2474" s="4">
        <v>45717.0</v>
      </c>
      <c r="K2474" s="3">
        <v>19.0</v>
      </c>
      <c r="L2474" s="3" t="s">
        <v>31</v>
      </c>
    </row>
    <row r="2475" ht="15.75" customHeight="1">
      <c r="A2475" s="3" t="s">
        <v>2555</v>
      </c>
      <c r="B2475" s="3" t="s">
        <v>29</v>
      </c>
      <c r="C2475" s="3" t="s">
        <v>26</v>
      </c>
      <c r="D2475" s="3">
        <v>76463.5969141114</v>
      </c>
      <c r="E2475" s="3">
        <v>26021.1948474505</v>
      </c>
      <c r="F2475" s="3">
        <v>20193.0252304698</v>
      </c>
      <c r="G2475" s="3">
        <v>15767.1935337298</v>
      </c>
      <c r="H2475" s="3">
        <v>-38197.2290802837</v>
      </c>
      <c r="I2475" s="3">
        <v>71082.7973520548</v>
      </c>
      <c r="J2475" s="4">
        <v>45901.0</v>
      </c>
      <c r="K2475" s="3">
        <v>5.0</v>
      </c>
      <c r="L2475" s="3" t="s">
        <v>34</v>
      </c>
    </row>
    <row r="2476" ht="15.75" customHeight="1">
      <c r="A2476" s="3" t="s">
        <v>2556</v>
      </c>
      <c r="B2476" s="3" t="s">
        <v>13</v>
      </c>
      <c r="C2476" s="3" t="s">
        <v>14</v>
      </c>
      <c r="D2476" s="3">
        <v>76474.4798840176</v>
      </c>
      <c r="E2476" s="3">
        <v>26025.8095657779</v>
      </c>
      <c r="F2476" s="3">
        <v>20200.7052338993</v>
      </c>
      <c r="G2476" s="3">
        <v>15770.5910844171</v>
      </c>
      <c r="H2476" s="3">
        <v>-38246.7327980327</v>
      </c>
      <c r="I2476" s="3">
        <v>71086.1788264746</v>
      </c>
      <c r="J2476" s="4">
        <v>45870.0</v>
      </c>
      <c r="K2476" s="3">
        <v>7.0</v>
      </c>
      <c r="L2476" s="3" t="s">
        <v>38</v>
      </c>
    </row>
    <row r="2477" ht="15.75" customHeight="1">
      <c r="A2477" s="3" t="s">
        <v>2557</v>
      </c>
      <c r="B2477" s="3" t="s">
        <v>25</v>
      </c>
      <c r="C2477" s="3" t="s">
        <v>33</v>
      </c>
      <c r="D2477" s="3">
        <v>76485.3628539238</v>
      </c>
      <c r="E2477" s="3">
        <v>26030.4242841053</v>
      </c>
      <c r="F2477" s="3">
        <v>20208.3852373288</v>
      </c>
      <c r="G2477" s="3">
        <v>15773.9886351044</v>
      </c>
      <c r="H2477" s="3">
        <v>-38296.2365157827</v>
      </c>
      <c r="I2477" s="3">
        <v>71089.5603008944</v>
      </c>
      <c r="J2477" s="4">
        <v>45962.0</v>
      </c>
      <c r="K2477" s="3">
        <v>4.0</v>
      </c>
      <c r="L2477" s="3" t="s">
        <v>40</v>
      </c>
    </row>
    <row r="2478" ht="15.75" customHeight="1">
      <c r="A2478" s="3" t="s">
        <v>2558</v>
      </c>
      <c r="B2478" s="3" t="s">
        <v>29</v>
      </c>
      <c r="C2478" s="3" t="s">
        <v>26</v>
      </c>
      <c r="D2478" s="3">
        <v>76496.24582383</v>
      </c>
      <c r="E2478" s="3">
        <v>26035.0390024327</v>
      </c>
      <c r="F2478" s="3">
        <v>20216.0652407583</v>
      </c>
      <c r="G2478" s="3">
        <v>15777.3861857917</v>
      </c>
      <c r="H2478" s="3">
        <v>-38345.7402335317</v>
      </c>
      <c r="I2478" s="3">
        <v>71092.9417753142</v>
      </c>
      <c r="J2478" s="4">
        <v>45901.0</v>
      </c>
      <c r="K2478" s="3">
        <v>2.0</v>
      </c>
      <c r="L2478" s="3" t="s">
        <v>42</v>
      </c>
    </row>
    <row r="2479" ht="15.75" customHeight="1">
      <c r="A2479" s="3" t="s">
        <v>2559</v>
      </c>
      <c r="B2479" s="3" t="s">
        <v>29</v>
      </c>
      <c r="C2479" s="3" t="s">
        <v>18</v>
      </c>
      <c r="D2479" s="3">
        <v>76507.1287937362</v>
      </c>
      <c r="E2479" s="3">
        <v>26039.6537207602</v>
      </c>
      <c r="F2479" s="3">
        <v>20223.7452441878</v>
      </c>
      <c r="G2479" s="3">
        <v>15780.783736479</v>
      </c>
      <c r="H2479" s="3">
        <v>-38395.2439512807</v>
      </c>
      <c r="I2479" s="3">
        <v>71096.3232497341</v>
      </c>
      <c r="J2479" s="4">
        <v>45992.0</v>
      </c>
      <c r="K2479" s="3">
        <v>19.0</v>
      </c>
      <c r="L2479" s="3" t="s">
        <v>15</v>
      </c>
    </row>
    <row r="2480" ht="15.75" customHeight="1">
      <c r="A2480" s="3" t="s">
        <v>2560</v>
      </c>
      <c r="B2480" s="3" t="s">
        <v>29</v>
      </c>
      <c r="C2480" s="3" t="s">
        <v>30</v>
      </c>
      <c r="D2480" s="3">
        <v>76518.0117636424</v>
      </c>
      <c r="E2480" s="3">
        <v>26044.2684390876</v>
      </c>
      <c r="F2480" s="3">
        <v>20231.4252476173</v>
      </c>
      <c r="G2480" s="3">
        <v>15784.1812871663</v>
      </c>
      <c r="H2480" s="3">
        <v>-38444.7476690297</v>
      </c>
      <c r="I2480" s="3">
        <v>71099.7047241539</v>
      </c>
      <c r="J2480" s="4">
        <v>45778.0</v>
      </c>
      <c r="K2480" s="3">
        <v>21.0</v>
      </c>
      <c r="L2480" s="3" t="s">
        <v>19</v>
      </c>
    </row>
    <row r="2481" ht="15.75" customHeight="1">
      <c r="A2481" s="3" t="s">
        <v>2561</v>
      </c>
      <c r="B2481" s="3" t="s">
        <v>29</v>
      </c>
      <c r="C2481" s="3" t="s">
        <v>30</v>
      </c>
      <c r="D2481" s="3">
        <v>76528.8947335486</v>
      </c>
      <c r="E2481" s="3">
        <v>26048.883157415</v>
      </c>
      <c r="F2481" s="3">
        <v>20239.1052510468</v>
      </c>
      <c r="G2481" s="3">
        <v>15787.5788378536</v>
      </c>
      <c r="H2481" s="3">
        <v>-38494.2513867787</v>
      </c>
      <c r="I2481" s="3">
        <v>71103.0861985737</v>
      </c>
      <c r="J2481" s="4">
        <v>45870.0</v>
      </c>
      <c r="K2481" s="3">
        <v>13.0</v>
      </c>
      <c r="L2481" s="3" t="s">
        <v>21</v>
      </c>
    </row>
    <row r="2482" ht="15.75" customHeight="1">
      <c r="A2482" s="3" t="s">
        <v>2562</v>
      </c>
      <c r="B2482" s="3" t="s">
        <v>29</v>
      </c>
      <c r="C2482" s="3" t="s">
        <v>37</v>
      </c>
      <c r="D2482" s="5"/>
      <c r="E2482" s="3">
        <v>26053.4978757424</v>
      </c>
      <c r="F2482" s="3">
        <v>20246.7852544763</v>
      </c>
      <c r="G2482" s="3">
        <v>15790.9763885409</v>
      </c>
      <c r="H2482" s="3">
        <v>-38543.7551045277</v>
      </c>
      <c r="I2482" s="3">
        <v>71106.4676729935</v>
      </c>
      <c r="J2482" s="4">
        <v>45931.0</v>
      </c>
      <c r="K2482" s="3">
        <v>18.0</v>
      </c>
      <c r="L2482" s="3" t="s">
        <v>23</v>
      </c>
    </row>
    <row r="2483" ht="15.75" customHeight="1">
      <c r="A2483" s="3" t="s">
        <v>2563</v>
      </c>
      <c r="B2483" s="3" t="s">
        <v>36</v>
      </c>
      <c r="C2483" s="3" t="s">
        <v>33</v>
      </c>
      <c r="D2483" s="3">
        <v>76550.6606733609</v>
      </c>
      <c r="E2483" s="3">
        <v>26058.1125940699</v>
      </c>
      <c r="F2483" s="3">
        <v>20254.4652579058</v>
      </c>
      <c r="G2483" s="3">
        <v>15794.3739392281</v>
      </c>
      <c r="H2483" s="3">
        <v>-38593.2588222767</v>
      </c>
      <c r="I2483" s="3">
        <v>71109.8491474133</v>
      </c>
      <c r="J2483" s="4">
        <v>45870.0</v>
      </c>
      <c r="K2483" s="3">
        <v>2.0</v>
      </c>
      <c r="L2483" s="3" t="s">
        <v>27</v>
      </c>
    </row>
    <row r="2484" ht="15.75" customHeight="1">
      <c r="A2484" s="3" t="s">
        <v>2564</v>
      </c>
      <c r="B2484" s="3" t="s">
        <v>29</v>
      </c>
      <c r="C2484" s="3" t="s">
        <v>18</v>
      </c>
      <c r="D2484" s="3">
        <v>76561.5436432671</v>
      </c>
      <c r="E2484" s="3">
        <v>26062.7273123973</v>
      </c>
      <c r="F2484" s="3">
        <v>20262.1452613353</v>
      </c>
      <c r="G2484" s="3">
        <v>15797.7714899154</v>
      </c>
      <c r="H2484" s="3">
        <v>-38642.7625400257</v>
      </c>
      <c r="I2484" s="3">
        <v>71113.2306218331</v>
      </c>
      <c r="J2484" s="4">
        <v>45748.0</v>
      </c>
      <c r="K2484" s="3">
        <v>3.0</v>
      </c>
      <c r="L2484" s="3" t="s">
        <v>31</v>
      </c>
    </row>
    <row r="2485" ht="15.75" customHeight="1">
      <c r="A2485" s="3" t="s">
        <v>2565</v>
      </c>
      <c r="B2485" s="3" t="s">
        <v>13</v>
      </c>
      <c r="C2485" s="3" t="s">
        <v>30</v>
      </c>
      <c r="D2485" s="3">
        <v>76572.4266131733</v>
      </c>
      <c r="E2485" s="3">
        <v>26067.3420307247</v>
      </c>
      <c r="F2485" s="3">
        <v>20269.8252647648</v>
      </c>
      <c r="G2485" s="3">
        <v>15801.1690406027</v>
      </c>
      <c r="H2485" s="3">
        <v>-38692.2662577757</v>
      </c>
      <c r="I2485" s="3">
        <v>71116.612096253</v>
      </c>
      <c r="J2485" s="4">
        <v>45962.0</v>
      </c>
      <c r="K2485" s="3">
        <v>8.0</v>
      </c>
      <c r="L2485" s="3" t="s">
        <v>34</v>
      </c>
    </row>
    <row r="2486" ht="15.75" customHeight="1">
      <c r="A2486" s="3" t="s">
        <v>2566</v>
      </c>
      <c r="B2486" s="3" t="s">
        <v>53</v>
      </c>
      <c r="C2486" s="3" t="s">
        <v>18</v>
      </c>
      <c r="D2486" s="3">
        <v>76583.3095830795</v>
      </c>
      <c r="E2486" s="3">
        <v>26071.9567490521</v>
      </c>
      <c r="F2486" s="3">
        <v>20277.5052681943</v>
      </c>
      <c r="G2486" s="3">
        <v>15804.56659129</v>
      </c>
      <c r="H2486" s="3">
        <v>-38741.7699755247</v>
      </c>
      <c r="I2486" s="3">
        <v>71119.9935706728</v>
      </c>
      <c r="J2486" s="4">
        <v>45778.0</v>
      </c>
      <c r="K2486" s="3">
        <v>21.0</v>
      </c>
      <c r="L2486" s="3" t="s">
        <v>38</v>
      </c>
    </row>
    <row r="2487" ht="15.75" customHeight="1">
      <c r="A2487" s="3" t="s">
        <v>2567</v>
      </c>
      <c r="B2487" s="3" t="s">
        <v>36</v>
      </c>
      <c r="C2487" s="3" t="s">
        <v>18</v>
      </c>
      <c r="D2487" s="3">
        <v>76594.1925529857</v>
      </c>
      <c r="E2487" s="3">
        <v>26076.5714673795</v>
      </c>
      <c r="F2487" s="3">
        <v>20285.1852716238</v>
      </c>
      <c r="G2487" s="3">
        <v>15807.9641419773</v>
      </c>
      <c r="H2487" s="3">
        <v>-38791.2736932737</v>
      </c>
      <c r="I2487" s="3">
        <v>71123.3750450926</v>
      </c>
      <c r="J2487" s="4">
        <v>45748.0</v>
      </c>
      <c r="K2487" s="3">
        <v>20.0</v>
      </c>
      <c r="L2487" s="3" t="s">
        <v>40</v>
      </c>
    </row>
    <row r="2488" ht="15.75" customHeight="1">
      <c r="A2488" s="3" t="s">
        <v>2568</v>
      </c>
      <c r="B2488" s="3" t="s">
        <v>29</v>
      </c>
      <c r="C2488" s="3" t="s">
        <v>14</v>
      </c>
      <c r="D2488" s="3">
        <v>76605.0755228919</v>
      </c>
      <c r="E2488" s="3">
        <v>26081.186185707</v>
      </c>
      <c r="F2488" s="3">
        <v>20292.8652750533</v>
      </c>
      <c r="G2488" s="3">
        <v>15811.3616926646</v>
      </c>
      <c r="H2488" s="3">
        <v>-38840.7774110227</v>
      </c>
      <c r="I2488" s="3">
        <v>71126.7565195124</v>
      </c>
      <c r="J2488" s="4">
        <v>45748.0</v>
      </c>
      <c r="K2488" s="3">
        <v>23.0</v>
      </c>
      <c r="L2488" s="3" t="s">
        <v>42</v>
      </c>
    </row>
    <row r="2489" ht="15.75" customHeight="1">
      <c r="A2489" s="3" t="s">
        <v>2569</v>
      </c>
      <c r="B2489" s="3" t="s">
        <v>51</v>
      </c>
      <c r="C2489" s="3" t="s">
        <v>18</v>
      </c>
      <c r="D2489" s="3">
        <v>76615.9584927981</v>
      </c>
      <c r="E2489" s="3">
        <v>26085.8009040344</v>
      </c>
      <c r="F2489" s="3">
        <v>20300.5452784828</v>
      </c>
      <c r="G2489" s="3">
        <v>15814.7592433519</v>
      </c>
      <c r="H2489" s="3">
        <v>-38890.2811287717</v>
      </c>
      <c r="I2489" s="3">
        <v>71130.1379939322</v>
      </c>
      <c r="J2489" s="4">
        <v>45748.0</v>
      </c>
      <c r="K2489" s="3">
        <v>17.0</v>
      </c>
      <c r="L2489" s="3" t="s">
        <v>15</v>
      </c>
    </row>
    <row r="2490" ht="15.75" customHeight="1">
      <c r="A2490" s="3" t="s">
        <v>2570</v>
      </c>
      <c r="B2490" s="3" t="s">
        <v>13</v>
      </c>
      <c r="C2490" s="3" t="s">
        <v>54</v>
      </c>
      <c r="D2490" s="3">
        <v>76626.8414627043</v>
      </c>
      <c r="E2490" s="3">
        <v>26090.4156223618</v>
      </c>
      <c r="F2490" s="3">
        <v>20308.2252819123</v>
      </c>
      <c r="G2490" s="3">
        <v>15818.1567940391</v>
      </c>
      <c r="H2490" s="3">
        <v>-38939.7848465207</v>
      </c>
      <c r="I2490" s="3">
        <v>71133.519468352</v>
      </c>
      <c r="J2490" s="4">
        <v>45931.0</v>
      </c>
      <c r="K2490" s="3">
        <v>25.0</v>
      </c>
      <c r="L2490" s="3" t="s">
        <v>19</v>
      </c>
    </row>
    <row r="2491" ht="15.75" customHeight="1">
      <c r="A2491" s="3" t="s">
        <v>2571</v>
      </c>
      <c r="B2491" s="3" t="s">
        <v>51</v>
      </c>
      <c r="C2491" s="3" t="s">
        <v>37</v>
      </c>
      <c r="D2491" s="3">
        <v>76637.7244326105</v>
      </c>
      <c r="E2491" s="3">
        <v>26095.0303406892</v>
      </c>
      <c r="F2491" s="3">
        <v>20315.9052853418</v>
      </c>
      <c r="G2491" s="3">
        <v>15821.5543447264</v>
      </c>
      <c r="H2491" s="3">
        <v>-38989.2885642697</v>
      </c>
      <c r="I2491" s="3">
        <v>71136.9009427718</v>
      </c>
      <c r="J2491" s="4">
        <v>45778.0</v>
      </c>
      <c r="K2491" s="3">
        <v>20.0</v>
      </c>
      <c r="L2491" s="3" t="s">
        <v>21</v>
      </c>
    </row>
    <row r="2492" ht="15.75" customHeight="1">
      <c r="A2492" s="3" t="s">
        <v>2572</v>
      </c>
      <c r="B2492" s="3" t="s">
        <v>53</v>
      </c>
      <c r="C2492" s="3" t="s">
        <v>26</v>
      </c>
      <c r="D2492" s="3">
        <v>76648.6074025167</v>
      </c>
      <c r="E2492" s="3">
        <v>26099.6450590167</v>
      </c>
      <c r="F2492" s="3">
        <v>20323.5852887713</v>
      </c>
      <c r="G2492" s="3">
        <v>15824.9518954137</v>
      </c>
      <c r="H2492" s="3">
        <v>-39038.7922820187</v>
      </c>
      <c r="I2492" s="3">
        <v>71140.2824171917</v>
      </c>
      <c r="J2492" s="4">
        <v>45809.0</v>
      </c>
      <c r="K2492" s="3">
        <v>4.0</v>
      </c>
      <c r="L2492" s="3" t="s">
        <v>23</v>
      </c>
    </row>
    <row r="2493" ht="15.75" customHeight="1">
      <c r="A2493" s="3" t="s">
        <v>2573</v>
      </c>
      <c r="B2493" s="3" t="s">
        <v>25</v>
      </c>
      <c r="C2493" s="3" t="s">
        <v>18</v>
      </c>
      <c r="D2493" s="3">
        <v>76670.3733423291</v>
      </c>
      <c r="E2493" s="3">
        <v>26108.8744956715</v>
      </c>
      <c r="F2493" s="3">
        <v>20338.9452956303</v>
      </c>
      <c r="G2493" s="3">
        <v>15831.7469967883</v>
      </c>
      <c r="H2493" s="3">
        <v>-39137.7997175177</v>
      </c>
      <c r="I2493" s="3">
        <v>71147.0453660313</v>
      </c>
      <c r="J2493" s="4">
        <v>45870.0</v>
      </c>
      <c r="K2493" s="3">
        <v>5.0</v>
      </c>
      <c r="L2493" s="3" t="s">
        <v>31</v>
      </c>
    </row>
    <row r="2494" ht="15.75" customHeight="1">
      <c r="A2494" s="3" t="s">
        <v>2574</v>
      </c>
      <c r="B2494" s="3" t="s">
        <v>25</v>
      </c>
      <c r="C2494" s="3" t="s">
        <v>18</v>
      </c>
      <c r="D2494" s="3">
        <v>76681.2563122353</v>
      </c>
      <c r="E2494" s="3">
        <v>26113.4892139989</v>
      </c>
      <c r="F2494" s="3">
        <v>20346.6252990598</v>
      </c>
      <c r="G2494" s="3">
        <v>15835.1445474756</v>
      </c>
      <c r="H2494" s="3">
        <v>-39187.3034352667</v>
      </c>
      <c r="I2494" s="3">
        <v>71150.4268404511</v>
      </c>
      <c r="J2494" s="4">
        <v>45931.0</v>
      </c>
      <c r="K2494" s="3">
        <v>15.0</v>
      </c>
      <c r="L2494" s="3" t="s">
        <v>34</v>
      </c>
    </row>
    <row r="2495" ht="15.75" customHeight="1">
      <c r="A2495" s="3" t="s">
        <v>2575</v>
      </c>
      <c r="B2495" s="3" t="s">
        <v>51</v>
      </c>
      <c r="C2495" s="3" t="s">
        <v>14</v>
      </c>
      <c r="D2495" s="3">
        <v>76692.1392821415</v>
      </c>
      <c r="E2495" s="3">
        <v>26118.1039323263</v>
      </c>
      <c r="F2495" s="3">
        <v>20354.3053024893</v>
      </c>
      <c r="G2495" s="3">
        <v>15838.5420981629</v>
      </c>
      <c r="H2495" s="3">
        <v>-39236.8071530157</v>
      </c>
      <c r="I2495" s="3">
        <v>71153.8083148709</v>
      </c>
      <c r="J2495" s="4">
        <v>45870.0</v>
      </c>
      <c r="K2495" s="3">
        <v>18.0</v>
      </c>
      <c r="L2495" s="3" t="s">
        <v>38</v>
      </c>
    </row>
    <row r="2496" ht="15.75" customHeight="1">
      <c r="A2496" s="3" t="s">
        <v>2576</v>
      </c>
      <c r="B2496" s="3" t="s">
        <v>25</v>
      </c>
      <c r="C2496" s="3" t="s">
        <v>18</v>
      </c>
      <c r="D2496" s="3">
        <v>76703.0222520476</v>
      </c>
      <c r="E2496" s="3">
        <v>26122.7186506538</v>
      </c>
      <c r="F2496" s="3">
        <v>20361.9853059188</v>
      </c>
      <c r="G2496" s="3">
        <v>15841.9396488502</v>
      </c>
      <c r="H2496" s="3">
        <v>-39286.3108707647</v>
      </c>
      <c r="I2496" s="3">
        <v>71157.1897892907</v>
      </c>
      <c r="J2496" s="4">
        <v>45962.0</v>
      </c>
      <c r="K2496" s="3">
        <v>2.0</v>
      </c>
      <c r="L2496" s="3" t="s">
        <v>40</v>
      </c>
    </row>
    <row r="2497" ht="15.75" customHeight="1">
      <c r="A2497" s="3" t="s">
        <v>2577</v>
      </c>
      <c r="B2497" s="3" t="s">
        <v>17</v>
      </c>
      <c r="C2497" s="3" t="s">
        <v>37</v>
      </c>
      <c r="D2497" s="3">
        <v>76713.9052219538</v>
      </c>
      <c r="E2497" s="3">
        <v>26127.3333689812</v>
      </c>
      <c r="F2497" s="3">
        <v>20369.6653093483</v>
      </c>
      <c r="G2497" s="3">
        <v>15845.3371995374</v>
      </c>
      <c r="H2497" s="3">
        <v>-39335.8145885137</v>
      </c>
      <c r="I2497" s="3">
        <v>71160.5712637105</v>
      </c>
      <c r="J2497" s="4">
        <v>45809.0</v>
      </c>
      <c r="K2497" s="3">
        <v>9.0</v>
      </c>
      <c r="L2497" s="3" t="s">
        <v>42</v>
      </c>
    </row>
    <row r="2498" ht="15.75" customHeight="1">
      <c r="A2498" s="3" t="s">
        <v>2578</v>
      </c>
      <c r="B2498" s="3" t="s">
        <v>13</v>
      </c>
      <c r="C2498" s="3" t="s">
        <v>26</v>
      </c>
      <c r="D2498" s="3">
        <v>76724.78819186</v>
      </c>
      <c r="E2498" s="3">
        <v>26131.9480873086</v>
      </c>
      <c r="F2498" s="3">
        <v>20377.3453127778</v>
      </c>
      <c r="G2498" s="3">
        <v>15848.7347502247</v>
      </c>
      <c r="H2498" s="3">
        <v>-39385.3183062627</v>
      </c>
      <c r="I2498" s="3">
        <v>71163.9527381303</v>
      </c>
      <c r="J2498" s="4">
        <v>45901.0</v>
      </c>
      <c r="K2498" s="3">
        <v>13.0</v>
      </c>
      <c r="L2498" s="3" t="s">
        <v>15</v>
      </c>
    </row>
    <row r="2499" ht="15.75" customHeight="1">
      <c r="A2499" s="3" t="s">
        <v>2579</v>
      </c>
      <c r="B2499" s="3" t="s">
        <v>17</v>
      </c>
      <c r="C2499" s="3" t="s">
        <v>30</v>
      </c>
      <c r="D2499" s="3">
        <v>76735.6711617662</v>
      </c>
      <c r="E2499" s="3">
        <v>26136.562805636</v>
      </c>
      <c r="F2499" s="3">
        <v>20385.0253162073</v>
      </c>
      <c r="G2499" s="3">
        <v>15852.132300912</v>
      </c>
      <c r="H2499" s="3">
        <v>-39434.8220240117</v>
      </c>
      <c r="I2499" s="3">
        <v>71167.3342125502</v>
      </c>
      <c r="J2499" s="4">
        <v>45901.0</v>
      </c>
      <c r="K2499" s="3">
        <v>23.0</v>
      </c>
      <c r="L2499" s="3" t="s">
        <v>19</v>
      </c>
    </row>
    <row r="2500" ht="15.75" customHeight="1">
      <c r="A2500" s="3" t="s">
        <v>2580</v>
      </c>
      <c r="B2500" s="3" t="s">
        <v>53</v>
      </c>
      <c r="C2500" s="3" t="s">
        <v>33</v>
      </c>
      <c r="D2500" s="3">
        <v>76746.5541316724</v>
      </c>
      <c r="E2500" s="3">
        <v>26141.1775239635</v>
      </c>
      <c r="F2500" s="3">
        <v>20392.7053196368</v>
      </c>
      <c r="G2500" s="3">
        <v>15855.5298515993</v>
      </c>
      <c r="H2500" s="3">
        <v>-39484.3257417617</v>
      </c>
      <c r="I2500" s="3">
        <v>71170.71568697</v>
      </c>
      <c r="J2500" s="4">
        <v>45962.0</v>
      </c>
      <c r="K2500" s="3">
        <v>21.0</v>
      </c>
      <c r="L2500" s="3" t="s">
        <v>21</v>
      </c>
    </row>
    <row r="2501" ht="15.75" customHeight="1">
      <c r="A2501" s="3" t="s">
        <v>2581</v>
      </c>
      <c r="B2501" s="3" t="s">
        <v>13</v>
      </c>
      <c r="C2501" s="3" t="s">
        <v>18</v>
      </c>
      <c r="D2501" s="3">
        <v>76757.4371015786</v>
      </c>
      <c r="E2501" s="3">
        <v>26145.7922422909</v>
      </c>
      <c r="F2501" s="3">
        <v>20400.3853230663</v>
      </c>
      <c r="G2501" s="5"/>
      <c r="H2501" s="3">
        <v>-39533.8294595107</v>
      </c>
      <c r="I2501" s="3">
        <v>71174.0971613898</v>
      </c>
      <c r="J2501" s="4">
        <v>45748.0</v>
      </c>
      <c r="K2501" s="3">
        <v>24.0</v>
      </c>
      <c r="L2501" s="3" t="s">
        <v>23</v>
      </c>
    </row>
    <row r="2502" ht="15.75" customHeight="1">
      <c r="A2502" s="3" t="s">
        <v>2582</v>
      </c>
      <c r="B2502" s="3" t="s">
        <v>53</v>
      </c>
      <c r="C2502" s="3" t="s">
        <v>54</v>
      </c>
      <c r="D2502" s="3">
        <v>76768.3200714848</v>
      </c>
      <c r="E2502" s="3">
        <v>26150.4069606183</v>
      </c>
      <c r="F2502" s="3">
        <v>20408.0653264958</v>
      </c>
      <c r="G2502" s="3">
        <v>15862.3249529739</v>
      </c>
      <c r="H2502" s="3">
        <v>-39583.3331772597</v>
      </c>
      <c r="I2502" s="3">
        <v>71177.4786358096</v>
      </c>
      <c r="J2502" s="4">
        <v>45809.0</v>
      </c>
      <c r="K2502" s="3">
        <v>15.0</v>
      </c>
      <c r="L2502" s="3" t="s">
        <v>27</v>
      </c>
    </row>
    <row r="2503" ht="15.75" customHeight="1">
      <c r="A2503" s="3" t="s">
        <v>2583</v>
      </c>
      <c r="B2503" s="3" t="s">
        <v>25</v>
      </c>
      <c r="C2503" s="3" t="s">
        <v>18</v>
      </c>
      <c r="D2503" s="3">
        <v>76779.203041391</v>
      </c>
      <c r="E2503" s="3">
        <v>26155.0216789457</v>
      </c>
      <c r="F2503" s="3">
        <v>20415.7453299252</v>
      </c>
      <c r="G2503" s="3">
        <v>15865.7225036612</v>
      </c>
      <c r="H2503" s="3">
        <v>-39632.8368950087</v>
      </c>
      <c r="I2503" s="3">
        <v>71180.8601102294</v>
      </c>
      <c r="J2503" s="4">
        <v>45870.0</v>
      </c>
      <c r="K2503" s="3">
        <v>20.0</v>
      </c>
      <c r="L2503" s="3" t="s">
        <v>31</v>
      </c>
    </row>
    <row r="2504" ht="15.75" customHeight="1">
      <c r="A2504" s="3" t="s">
        <v>2584</v>
      </c>
      <c r="B2504" s="3" t="s">
        <v>36</v>
      </c>
      <c r="C2504" s="3" t="s">
        <v>14</v>
      </c>
      <c r="D2504" s="3">
        <v>76790.0860112972</v>
      </c>
      <c r="E2504" s="3">
        <v>26159.6363972731</v>
      </c>
      <c r="F2504" s="3">
        <v>20423.4253333547</v>
      </c>
      <c r="G2504" s="3">
        <v>15869.1200543485</v>
      </c>
      <c r="H2504" s="3">
        <v>-39682.3406127577</v>
      </c>
      <c r="I2504" s="3">
        <v>71184.2415846492</v>
      </c>
      <c r="J2504" s="4">
        <v>45992.0</v>
      </c>
      <c r="K2504" s="3">
        <v>3.0</v>
      </c>
      <c r="L2504" s="3" t="s">
        <v>34</v>
      </c>
    </row>
    <row r="2505" ht="15.75" customHeight="1">
      <c r="A2505" s="3" t="s">
        <v>2585</v>
      </c>
      <c r="B2505" s="3" t="s">
        <v>36</v>
      </c>
      <c r="C2505" s="3" t="s">
        <v>30</v>
      </c>
      <c r="D2505" s="3">
        <v>76800.9689812034</v>
      </c>
      <c r="E2505" s="3">
        <v>26164.2511156006</v>
      </c>
      <c r="F2505" s="3">
        <v>20431.1053367842</v>
      </c>
      <c r="G2505" s="3">
        <v>15872.5176050357</v>
      </c>
      <c r="H2505" s="3">
        <v>-39731.8443305067</v>
      </c>
      <c r="I2505" s="3">
        <v>71187.6230590691</v>
      </c>
      <c r="J2505" s="4">
        <v>45901.0</v>
      </c>
      <c r="K2505" s="3">
        <v>1.0</v>
      </c>
      <c r="L2505" s="3" t="s">
        <v>38</v>
      </c>
    </row>
    <row r="2506" ht="15.75" customHeight="1">
      <c r="A2506" s="3" t="s">
        <v>2586</v>
      </c>
      <c r="B2506" s="3" t="s">
        <v>17</v>
      </c>
      <c r="C2506" s="3" t="s">
        <v>18</v>
      </c>
      <c r="D2506" s="5"/>
      <c r="E2506" s="3">
        <v>26168.865833928</v>
      </c>
      <c r="F2506" s="3">
        <v>20438.7853402137</v>
      </c>
      <c r="G2506" s="3">
        <v>15875.915155723</v>
      </c>
      <c r="H2506" s="3">
        <v>-39781.3480482557</v>
      </c>
      <c r="I2506" s="3">
        <v>71191.0045334889</v>
      </c>
      <c r="J2506" s="4">
        <v>45839.0</v>
      </c>
      <c r="K2506" s="3">
        <v>4.0</v>
      </c>
      <c r="L2506" s="3" t="s">
        <v>40</v>
      </c>
    </row>
    <row r="2507" ht="15.75" customHeight="1">
      <c r="A2507" s="3" t="s">
        <v>2587</v>
      </c>
      <c r="B2507" s="3" t="s">
        <v>29</v>
      </c>
      <c r="C2507" s="3" t="s">
        <v>30</v>
      </c>
      <c r="D2507" s="3">
        <v>76822.7349210158</v>
      </c>
      <c r="E2507" s="3">
        <v>26173.4805522554</v>
      </c>
      <c r="F2507" s="3">
        <v>20446.4653436432</v>
      </c>
      <c r="G2507" s="3">
        <v>15879.3127064103</v>
      </c>
      <c r="H2507" s="3">
        <v>-39830.8517660057</v>
      </c>
      <c r="I2507" s="3">
        <v>71194.3860079087</v>
      </c>
      <c r="J2507" s="4">
        <v>45689.0</v>
      </c>
      <c r="K2507" s="3">
        <v>25.0</v>
      </c>
      <c r="L2507" s="3" t="s">
        <v>42</v>
      </c>
    </row>
    <row r="2508" ht="15.75" customHeight="1">
      <c r="A2508" s="3" t="s">
        <v>2588</v>
      </c>
      <c r="B2508" s="3" t="s">
        <v>29</v>
      </c>
      <c r="C2508" s="3" t="s">
        <v>14</v>
      </c>
      <c r="D2508" s="3">
        <v>76833.617890922</v>
      </c>
      <c r="E2508" s="3">
        <v>26178.0952705828</v>
      </c>
      <c r="F2508" s="3">
        <v>20454.1453470727</v>
      </c>
      <c r="G2508" s="3">
        <v>15882.7102570976</v>
      </c>
      <c r="H2508" s="3">
        <v>-39880.3554837547</v>
      </c>
      <c r="I2508" s="3">
        <v>71197.7674823285</v>
      </c>
      <c r="J2508" s="4">
        <v>45689.0</v>
      </c>
      <c r="K2508" s="3">
        <v>14.0</v>
      </c>
      <c r="L2508" s="3" t="s">
        <v>15</v>
      </c>
    </row>
    <row r="2509" ht="15.75" customHeight="1">
      <c r="A2509" s="3" t="s">
        <v>2589</v>
      </c>
      <c r="B2509" s="3" t="s">
        <v>25</v>
      </c>
      <c r="C2509" s="3" t="s">
        <v>30</v>
      </c>
      <c r="D2509" s="3">
        <v>76844.5008608282</v>
      </c>
      <c r="E2509" s="3">
        <v>26182.7099889103</v>
      </c>
      <c r="F2509" s="3">
        <v>20461.8253505022</v>
      </c>
      <c r="G2509" s="3">
        <v>15886.1078077849</v>
      </c>
      <c r="H2509" s="3">
        <v>-39929.8592015037</v>
      </c>
      <c r="I2509" s="3">
        <v>71201.1489567483</v>
      </c>
      <c r="J2509" s="4">
        <v>45748.0</v>
      </c>
      <c r="K2509" s="3">
        <v>22.0</v>
      </c>
      <c r="L2509" s="3" t="s">
        <v>19</v>
      </c>
    </row>
    <row r="2510" ht="15.75" customHeight="1">
      <c r="A2510" s="3" t="s">
        <v>2590</v>
      </c>
      <c r="B2510" s="3" t="s">
        <v>53</v>
      </c>
      <c r="C2510" s="3" t="s">
        <v>33</v>
      </c>
      <c r="D2510" s="3">
        <v>76855.3838307344</v>
      </c>
      <c r="E2510" s="3">
        <v>26187.3247072377</v>
      </c>
      <c r="F2510" s="3">
        <v>20469.5053539317</v>
      </c>
      <c r="G2510" s="3">
        <v>15889.5053584722</v>
      </c>
      <c r="H2510" s="3">
        <v>-39979.3629192527</v>
      </c>
      <c r="I2510" s="3">
        <v>71204.5304311681</v>
      </c>
      <c r="J2510" s="4">
        <v>45931.0</v>
      </c>
      <c r="K2510" s="3">
        <v>12.0</v>
      </c>
      <c r="L2510" s="3" t="s">
        <v>21</v>
      </c>
    </row>
    <row r="2511" ht="15.75" customHeight="1">
      <c r="A2511" s="3" t="s">
        <v>2591</v>
      </c>
      <c r="B2511" s="5"/>
      <c r="C2511" s="3" t="s">
        <v>18</v>
      </c>
      <c r="D2511" s="3">
        <v>76866.2668006405</v>
      </c>
      <c r="E2511" s="3">
        <v>26191.9394255651</v>
      </c>
      <c r="F2511" s="3">
        <v>20477.1853573612</v>
      </c>
      <c r="G2511" s="3">
        <v>15892.9029091595</v>
      </c>
      <c r="H2511" s="3">
        <v>-40028.8666370017</v>
      </c>
      <c r="I2511" s="3">
        <v>71207.9119055879</v>
      </c>
      <c r="J2511" s="4">
        <v>45992.0</v>
      </c>
      <c r="K2511" s="3">
        <v>1.0</v>
      </c>
      <c r="L2511" s="3" t="s">
        <v>23</v>
      </c>
    </row>
    <row r="2512" ht="15.75" customHeight="1">
      <c r="A2512" s="3" t="s">
        <v>2592</v>
      </c>
      <c r="B2512" s="3" t="s">
        <v>25</v>
      </c>
      <c r="C2512" s="3" t="s">
        <v>37</v>
      </c>
      <c r="D2512" s="3">
        <v>76877.1497705467</v>
      </c>
      <c r="E2512" s="3">
        <v>26196.5541438925</v>
      </c>
      <c r="F2512" s="3">
        <v>20484.8653607907</v>
      </c>
      <c r="G2512" s="3">
        <v>15896.3004598467</v>
      </c>
      <c r="H2512" s="3">
        <v>-40078.3703547507</v>
      </c>
      <c r="I2512" s="3">
        <v>71211.2933800078</v>
      </c>
      <c r="J2512" s="4">
        <v>45809.0</v>
      </c>
      <c r="K2512" s="3">
        <v>12.0</v>
      </c>
      <c r="L2512" s="3" t="s">
        <v>27</v>
      </c>
    </row>
    <row r="2513" ht="15.75" customHeight="1">
      <c r="A2513" s="3" t="s">
        <v>2593</v>
      </c>
      <c r="B2513" s="3" t="s">
        <v>13</v>
      </c>
      <c r="C2513" s="3" t="s">
        <v>54</v>
      </c>
      <c r="D2513" s="5"/>
      <c r="E2513" s="3">
        <v>26201.1688622199</v>
      </c>
      <c r="F2513" s="3">
        <v>20492.5453642202</v>
      </c>
      <c r="G2513" s="3">
        <v>15899.698010534</v>
      </c>
      <c r="H2513" s="3">
        <v>-40127.8740724997</v>
      </c>
      <c r="I2513" s="3">
        <v>71214.6748544276</v>
      </c>
      <c r="J2513" s="4">
        <v>45689.0</v>
      </c>
      <c r="K2513" s="3">
        <v>16.0</v>
      </c>
      <c r="L2513" s="3" t="s">
        <v>31</v>
      </c>
    </row>
    <row r="2514" ht="15.75" customHeight="1">
      <c r="A2514" s="3" t="s">
        <v>2594</v>
      </c>
      <c r="B2514" s="3" t="s">
        <v>29</v>
      </c>
      <c r="C2514" s="3" t="s">
        <v>18</v>
      </c>
      <c r="D2514" s="3">
        <v>76898.9157103591</v>
      </c>
      <c r="E2514" s="3">
        <v>26205.7835805474</v>
      </c>
      <c r="F2514" s="3">
        <v>20500.2253676497</v>
      </c>
      <c r="G2514" s="3">
        <v>15903.0955612213</v>
      </c>
      <c r="H2514" s="3">
        <v>-40177.3777902487</v>
      </c>
      <c r="I2514" s="3">
        <v>71218.0563288474</v>
      </c>
      <c r="J2514" s="4">
        <v>45748.0</v>
      </c>
      <c r="K2514" s="3">
        <v>20.0</v>
      </c>
      <c r="L2514" s="3" t="s">
        <v>34</v>
      </c>
    </row>
    <row r="2515" ht="15.75" customHeight="1">
      <c r="A2515" s="3" t="s">
        <v>2595</v>
      </c>
      <c r="B2515" s="3" t="s">
        <v>29</v>
      </c>
      <c r="C2515" s="3" t="s">
        <v>14</v>
      </c>
      <c r="D2515" s="3">
        <v>76909.7986802653</v>
      </c>
      <c r="E2515" s="3">
        <v>26210.3982988748</v>
      </c>
      <c r="F2515" s="3">
        <v>20507.9053710792</v>
      </c>
      <c r="G2515" s="3">
        <v>15906.4931119086</v>
      </c>
      <c r="H2515" s="3">
        <v>-40226.8815079987</v>
      </c>
      <c r="I2515" s="3">
        <v>71221.4378032672</v>
      </c>
      <c r="J2515" s="4">
        <v>45809.0</v>
      </c>
      <c r="K2515" s="3">
        <v>7.0</v>
      </c>
      <c r="L2515" s="3" t="s">
        <v>38</v>
      </c>
    </row>
    <row r="2516" ht="15.75" customHeight="1">
      <c r="A2516" s="3" t="s">
        <v>2596</v>
      </c>
      <c r="B2516" s="3" t="s">
        <v>51</v>
      </c>
      <c r="C2516" s="3" t="s">
        <v>33</v>
      </c>
      <c r="D2516" s="3">
        <v>76920.6816501715</v>
      </c>
      <c r="E2516" s="3">
        <v>26215.0130172022</v>
      </c>
      <c r="F2516" s="3">
        <v>20515.5853745087</v>
      </c>
      <c r="G2516" s="3">
        <v>15909.8906625959</v>
      </c>
      <c r="H2516" s="3">
        <v>-40276.3852257477</v>
      </c>
      <c r="I2516" s="3">
        <v>71224.819277687</v>
      </c>
      <c r="J2516" s="4">
        <v>45931.0</v>
      </c>
      <c r="K2516" s="3">
        <v>20.0</v>
      </c>
      <c r="L2516" s="3" t="s">
        <v>40</v>
      </c>
    </row>
    <row r="2517" ht="15.75" customHeight="1">
      <c r="A2517" s="3" t="s">
        <v>2597</v>
      </c>
      <c r="B2517" s="3" t="s">
        <v>25</v>
      </c>
      <c r="C2517" s="3" t="s">
        <v>30</v>
      </c>
      <c r="D2517" s="3">
        <v>76942.4475899839</v>
      </c>
      <c r="E2517" s="3">
        <v>26224.2424538571</v>
      </c>
      <c r="F2517" s="3">
        <v>20530.9453813677</v>
      </c>
      <c r="G2517" s="3">
        <v>15916.6857639705</v>
      </c>
      <c r="H2517" s="3">
        <v>-40375.3926612457</v>
      </c>
      <c r="I2517" s="3">
        <v>71231.5822265266</v>
      </c>
      <c r="J2517" s="4">
        <v>45839.0</v>
      </c>
      <c r="K2517" s="3">
        <v>24.0</v>
      </c>
      <c r="L2517" s="3" t="s">
        <v>15</v>
      </c>
    </row>
    <row r="2518" ht="15.75" customHeight="1">
      <c r="A2518" s="3" t="s">
        <v>2598</v>
      </c>
      <c r="B2518" s="3" t="s">
        <v>17</v>
      </c>
      <c r="C2518" s="3" t="s">
        <v>33</v>
      </c>
      <c r="D2518" s="3">
        <v>76953.3305598901</v>
      </c>
      <c r="E2518" s="3">
        <v>26228.8571721845</v>
      </c>
      <c r="F2518" s="3">
        <v>20538.6253847972</v>
      </c>
      <c r="G2518" s="3">
        <v>15920.0833146578</v>
      </c>
      <c r="H2518" s="3">
        <v>-40424.8963789947</v>
      </c>
      <c r="I2518" s="3">
        <v>71234.9637009464</v>
      </c>
      <c r="J2518" s="4">
        <v>45778.0</v>
      </c>
      <c r="K2518" s="3">
        <v>25.0</v>
      </c>
      <c r="L2518" s="3" t="s">
        <v>19</v>
      </c>
    </row>
    <row r="2519" ht="15.75" customHeight="1">
      <c r="A2519" s="3" t="s">
        <v>2599</v>
      </c>
      <c r="B2519" s="3" t="s">
        <v>36</v>
      </c>
      <c r="C2519" s="3" t="s">
        <v>30</v>
      </c>
      <c r="D2519" s="3">
        <v>76964.2135297963</v>
      </c>
      <c r="E2519" s="3">
        <v>26233.4718905119</v>
      </c>
      <c r="F2519" s="3">
        <v>20546.3053882267</v>
      </c>
      <c r="G2519" s="3">
        <v>15923.480865345</v>
      </c>
      <c r="H2519" s="3">
        <v>-40474.4000967437</v>
      </c>
      <c r="I2519" s="3">
        <v>71238.3451753663</v>
      </c>
      <c r="J2519" s="4">
        <v>45778.0</v>
      </c>
      <c r="K2519" s="3">
        <v>5.0</v>
      </c>
      <c r="L2519" s="3" t="s">
        <v>21</v>
      </c>
    </row>
    <row r="2520" ht="15.75" customHeight="1">
      <c r="A2520" s="3" t="s">
        <v>2600</v>
      </c>
      <c r="B2520" s="3" t="s">
        <v>17</v>
      </c>
      <c r="C2520" s="3" t="s">
        <v>26</v>
      </c>
      <c r="D2520" s="3">
        <v>76975.0964997025</v>
      </c>
      <c r="E2520" s="3">
        <v>26238.0866088393</v>
      </c>
      <c r="F2520" s="3">
        <v>20553.9853916562</v>
      </c>
      <c r="G2520" s="5"/>
      <c r="H2520" s="3">
        <v>-40523.9038144927</v>
      </c>
      <c r="I2520" s="3">
        <v>71241.7266497861</v>
      </c>
      <c r="J2520" s="4">
        <v>45658.0</v>
      </c>
      <c r="K2520" s="3">
        <v>2.0</v>
      </c>
      <c r="L2520" s="3" t="s">
        <v>23</v>
      </c>
    </row>
    <row r="2521" ht="15.75" customHeight="1">
      <c r="A2521" s="3" t="s">
        <v>2601</v>
      </c>
      <c r="B2521" s="3" t="s">
        <v>17</v>
      </c>
      <c r="C2521" s="3" t="s">
        <v>26</v>
      </c>
      <c r="D2521" s="3">
        <v>76985.9794696087</v>
      </c>
      <c r="E2521" s="3">
        <v>26242.7013271667</v>
      </c>
      <c r="F2521" s="3">
        <v>20561.6653950857</v>
      </c>
      <c r="G2521" s="3">
        <v>15930.2759667196</v>
      </c>
      <c r="H2521" s="3">
        <v>-40573.4075322417</v>
      </c>
      <c r="I2521" s="3">
        <v>71245.1081242059</v>
      </c>
      <c r="J2521" s="4">
        <v>45748.0</v>
      </c>
      <c r="K2521" s="3">
        <v>24.0</v>
      </c>
      <c r="L2521" s="3" t="s">
        <v>27</v>
      </c>
    </row>
    <row r="2522" ht="15.75" customHeight="1">
      <c r="A2522" s="3" t="s">
        <v>2602</v>
      </c>
      <c r="B2522" s="3" t="s">
        <v>51</v>
      </c>
      <c r="C2522" s="3" t="s">
        <v>26</v>
      </c>
      <c r="D2522" s="3">
        <v>76996.8624395149</v>
      </c>
      <c r="E2522" s="3">
        <v>26247.3160454942</v>
      </c>
      <c r="F2522" s="3">
        <v>20569.3453985152</v>
      </c>
      <c r="G2522" s="3">
        <v>15933.6735174069</v>
      </c>
      <c r="H2522" s="3">
        <v>-40622.9112499917</v>
      </c>
      <c r="I2522" s="3">
        <v>71248.4895986257</v>
      </c>
      <c r="J2522" s="4">
        <v>45992.0</v>
      </c>
      <c r="K2522" s="3">
        <v>7.0</v>
      </c>
      <c r="L2522" s="3" t="s">
        <v>31</v>
      </c>
    </row>
    <row r="2523" ht="15.75" customHeight="1">
      <c r="A2523" s="3" t="s">
        <v>2603</v>
      </c>
      <c r="B2523" s="3" t="s">
        <v>36</v>
      </c>
      <c r="C2523" s="3" t="s">
        <v>14</v>
      </c>
      <c r="D2523" s="3">
        <v>77007.7454094211</v>
      </c>
      <c r="E2523" s="3">
        <v>26251.9307638216</v>
      </c>
      <c r="F2523" s="3">
        <v>20577.0254019447</v>
      </c>
      <c r="G2523" s="3">
        <v>15937.0710680942</v>
      </c>
      <c r="H2523" s="3">
        <v>-40672.4149677407</v>
      </c>
      <c r="I2523" s="3">
        <v>71251.8710730455</v>
      </c>
      <c r="J2523" s="4">
        <v>45931.0</v>
      </c>
      <c r="K2523" s="3">
        <v>6.0</v>
      </c>
      <c r="L2523" s="3" t="s">
        <v>34</v>
      </c>
    </row>
    <row r="2524" ht="15.75" customHeight="1">
      <c r="A2524" s="3" t="s">
        <v>2604</v>
      </c>
      <c r="B2524" s="3" t="s">
        <v>53</v>
      </c>
      <c r="C2524" s="3" t="s">
        <v>33</v>
      </c>
      <c r="D2524" s="3">
        <v>77018.6283793273</v>
      </c>
      <c r="E2524" s="3">
        <v>26256.545482149</v>
      </c>
      <c r="F2524" s="3">
        <v>20584.7054053742</v>
      </c>
      <c r="G2524" s="3">
        <v>15940.4686187815</v>
      </c>
      <c r="H2524" s="3">
        <v>-40721.9186854897</v>
      </c>
      <c r="I2524" s="3">
        <v>71255.2525474653</v>
      </c>
      <c r="J2524" s="4">
        <v>45839.0</v>
      </c>
      <c r="K2524" s="3">
        <v>9.0</v>
      </c>
      <c r="L2524" s="3" t="s">
        <v>38</v>
      </c>
    </row>
    <row r="2525" ht="15.75" customHeight="1">
      <c r="A2525" s="3" t="s">
        <v>2605</v>
      </c>
      <c r="B2525" s="3" t="s">
        <v>17</v>
      </c>
      <c r="C2525" s="3" t="s">
        <v>14</v>
      </c>
      <c r="D2525" s="3">
        <v>77029.5113492334</v>
      </c>
      <c r="E2525" s="3">
        <v>26261.1602004764</v>
      </c>
      <c r="F2525" s="3">
        <v>20592.3854088037</v>
      </c>
      <c r="G2525" s="3">
        <v>15943.8661694688</v>
      </c>
      <c r="H2525" s="3">
        <v>-40771.4224032387</v>
      </c>
      <c r="I2525" s="3">
        <v>71258.6340218852</v>
      </c>
      <c r="J2525" s="4">
        <v>45992.0</v>
      </c>
      <c r="K2525" s="3">
        <v>23.0</v>
      </c>
      <c r="L2525" s="3" t="s">
        <v>40</v>
      </c>
    </row>
    <row r="2526" ht="15.75" customHeight="1">
      <c r="A2526" s="3" t="s">
        <v>2606</v>
      </c>
      <c r="B2526" s="3" t="s">
        <v>36</v>
      </c>
      <c r="C2526" s="3" t="s">
        <v>14</v>
      </c>
      <c r="D2526" s="3">
        <v>77040.3943191396</v>
      </c>
      <c r="E2526" s="3">
        <v>26265.7749188039</v>
      </c>
      <c r="F2526" s="3">
        <v>20600.0654122332</v>
      </c>
      <c r="G2526" s="3">
        <v>15947.2637201561</v>
      </c>
      <c r="H2526" s="3">
        <v>-40820.9261209877</v>
      </c>
      <c r="I2526" s="3">
        <v>71262.015496305</v>
      </c>
      <c r="J2526" s="4">
        <v>45839.0</v>
      </c>
      <c r="K2526" s="3">
        <v>24.0</v>
      </c>
      <c r="L2526" s="3" t="s">
        <v>42</v>
      </c>
    </row>
    <row r="2527" ht="15.75" customHeight="1">
      <c r="A2527" s="3" t="s">
        <v>2607</v>
      </c>
      <c r="B2527" s="3" t="s">
        <v>17</v>
      </c>
      <c r="C2527" s="3" t="s">
        <v>26</v>
      </c>
      <c r="D2527" s="3">
        <v>77051.2772890458</v>
      </c>
      <c r="E2527" s="3">
        <v>26270.3896371313</v>
      </c>
      <c r="F2527" s="3">
        <v>20607.7454156627</v>
      </c>
      <c r="G2527" s="3">
        <v>15950.6612708433</v>
      </c>
      <c r="H2527" s="3">
        <v>-40870.4298387367</v>
      </c>
      <c r="I2527" s="3">
        <v>71265.3969707248</v>
      </c>
      <c r="J2527" s="3" t="s">
        <v>2608</v>
      </c>
      <c r="K2527" s="3">
        <v>12.0</v>
      </c>
      <c r="L2527" s="3" t="s">
        <v>15</v>
      </c>
    </row>
    <row r="2528" ht="15.75" customHeight="1">
      <c r="A2528" s="3" t="s">
        <v>2609</v>
      </c>
      <c r="B2528" s="3" t="s">
        <v>29</v>
      </c>
      <c r="C2528" s="3" t="s">
        <v>54</v>
      </c>
      <c r="D2528" s="3">
        <v>77062.160258952</v>
      </c>
      <c r="E2528" s="3">
        <v>26275.0043554587</v>
      </c>
      <c r="F2528" s="3">
        <v>20615.4254190922</v>
      </c>
      <c r="G2528" s="3">
        <v>15954.0588215306</v>
      </c>
      <c r="H2528" s="3">
        <v>-40919.9335564857</v>
      </c>
      <c r="I2528" s="3">
        <v>71268.7784451446</v>
      </c>
      <c r="J2528" s="4">
        <v>45748.0</v>
      </c>
      <c r="K2528" s="3">
        <v>9.0</v>
      </c>
      <c r="L2528" s="3" t="s">
        <v>19</v>
      </c>
    </row>
    <row r="2529" ht="15.75" customHeight="1">
      <c r="A2529" s="3" t="s">
        <v>2610</v>
      </c>
      <c r="B2529" s="3" t="s">
        <v>53</v>
      </c>
      <c r="C2529" s="3" t="s">
        <v>14</v>
      </c>
      <c r="D2529" s="3">
        <v>77073.0432288582</v>
      </c>
      <c r="E2529" s="3">
        <v>26279.6190737861</v>
      </c>
      <c r="F2529" s="3">
        <v>20623.1054225217</v>
      </c>
      <c r="G2529" s="3">
        <v>15957.4563722179</v>
      </c>
      <c r="H2529" s="3">
        <v>-40969.4372742347</v>
      </c>
      <c r="I2529" s="3">
        <v>71272.1599195644</v>
      </c>
      <c r="J2529" s="4">
        <v>45717.0</v>
      </c>
      <c r="K2529" s="3">
        <v>5.0</v>
      </c>
      <c r="L2529" s="3" t="s">
        <v>21</v>
      </c>
    </row>
    <row r="2530" ht="15.75" customHeight="1">
      <c r="A2530" s="3" t="s">
        <v>2611</v>
      </c>
      <c r="B2530" s="3" t="s">
        <v>25</v>
      </c>
      <c r="C2530" s="3" t="s">
        <v>54</v>
      </c>
      <c r="D2530" s="3">
        <v>77083.9261987644</v>
      </c>
      <c r="E2530" s="3">
        <v>26284.2337921135</v>
      </c>
      <c r="F2530" s="3">
        <v>20630.7854259512</v>
      </c>
      <c r="G2530" s="3">
        <v>15960.8539229052</v>
      </c>
      <c r="H2530" s="3">
        <v>-41018.9409919847</v>
      </c>
      <c r="I2530" s="3">
        <v>71275.5413939842</v>
      </c>
      <c r="J2530" s="4">
        <v>45962.0</v>
      </c>
      <c r="K2530" s="3">
        <v>18.0</v>
      </c>
      <c r="L2530" s="3" t="s">
        <v>23</v>
      </c>
    </row>
    <row r="2531" ht="15.75" customHeight="1">
      <c r="A2531" s="3" t="s">
        <v>2612</v>
      </c>
      <c r="B2531" s="3" t="s">
        <v>25</v>
      </c>
      <c r="C2531" s="3" t="s">
        <v>14</v>
      </c>
      <c r="D2531" s="3">
        <v>77094.8091686706</v>
      </c>
      <c r="E2531" s="3">
        <v>26288.848510441</v>
      </c>
      <c r="F2531" s="3">
        <v>20638.4654293807</v>
      </c>
      <c r="G2531" s="3">
        <v>15964.2514735925</v>
      </c>
      <c r="H2531" s="3">
        <v>-41068.4447097337</v>
      </c>
      <c r="I2531" s="3">
        <v>71278.922868404</v>
      </c>
      <c r="J2531" s="4">
        <v>45931.0</v>
      </c>
      <c r="K2531" s="3">
        <v>10.0</v>
      </c>
      <c r="L2531" s="3" t="s">
        <v>27</v>
      </c>
    </row>
    <row r="2532" ht="15.75" customHeight="1">
      <c r="A2532" s="3" t="s">
        <v>2613</v>
      </c>
      <c r="B2532" s="3" t="s">
        <v>51</v>
      </c>
      <c r="C2532" s="3" t="s">
        <v>33</v>
      </c>
      <c r="D2532" s="3">
        <v>77105.6921385768</v>
      </c>
      <c r="E2532" s="3">
        <v>26293.4632287684</v>
      </c>
      <c r="F2532" s="3">
        <v>20646.1454328102</v>
      </c>
      <c r="G2532" s="3">
        <v>15967.6490242798</v>
      </c>
      <c r="H2532" s="3">
        <v>-41117.9484274827</v>
      </c>
      <c r="I2532" s="3">
        <v>71282.3043428239</v>
      </c>
      <c r="J2532" s="4">
        <v>45962.0</v>
      </c>
      <c r="K2532" s="3">
        <v>14.0</v>
      </c>
      <c r="L2532" s="3" t="s">
        <v>31</v>
      </c>
    </row>
    <row r="2533" ht="15.75" customHeight="1">
      <c r="A2533" s="3" t="s">
        <v>2614</v>
      </c>
      <c r="B2533" s="3" t="s">
        <v>17</v>
      </c>
      <c r="C2533" s="3" t="s">
        <v>26</v>
      </c>
      <c r="D2533" s="3">
        <v>77116.575108483</v>
      </c>
      <c r="E2533" s="3">
        <v>26298.0779470958</v>
      </c>
      <c r="F2533" s="3">
        <v>20653.8254362397</v>
      </c>
      <c r="G2533" s="3">
        <v>15971.0465749671</v>
      </c>
      <c r="H2533" s="3">
        <v>-41167.4521452317</v>
      </c>
      <c r="I2533" s="3">
        <v>71285.6858172437</v>
      </c>
      <c r="J2533" s="4">
        <v>45689.0</v>
      </c>
      <c r="K2533" s="3">
        <v>23.0</v>
      </c>
      <c r="L2533" s="3" t="s">
        <v>34</v>
      </c>
    </row>
    <row r="2534" ht="15.75" customHeight="1">
      <c r="A2534" s="3" t="s">
        <v>2615</v>
      </c>
      <c r="B2534" s="3" t="s">
        <v>25</v>
      </c>
      <c r="C2534" s="3" t="s">
        <v>14</v>
      </c>
      <c r="D2534" s="3">
        <v>77127.4580783892</v>
      </c>
      <c r="E2534" s="3">
        <v>26302.6926654232</v>
      </c>
      <c r="F2534" s="3">
        <v>20661.5054396692</v>
      </c>
      <c r="G2534" s="3">
        <v>15974.4441256543</v>
      </c>
      <c r="H2534" s="3">
        <v>-41216.9558629807</v>
      </c>
      <c r="I2534" s="3">
        <v>71289.0672916635</v>
      </c>
      <c r="J2534" s="4">
        <v>45809.0</v>
      </c>
      <c r="K2534" s="3">
        <v>16.0</v>
      </c>
      <c r="L2534" s="3" t="s">
        <v>38</v>
      </c>
    </row>
    <row r="2535" ht="15.75" customHeight="1">
      <c r="A2535" s="3" t="s">
        <v>2616</v>
      </c>
      <c r="B2535" s="3" t="s">
        <v>53</v>
      </c>
      <c r="C2535" s="3" t="s">
        <v>18</v>
      </c>
      <c r="D2535" s="3">
        <v>77138.3410482954</v>
      </c>
      <c r="E2535" s="3">
        <v>26307.3073837507</v>
      </c>
      <c r="F2535" s="3">
        <v>20669.1854430987</v>
      </c>
      <c r="G2535" s="3">
        <v>15977.8416763416</v>
      </c>
      <c r="H2535" s="3">
        <v>-41266.4595807297</v>
      </c>
      <c r="I2535" s="3">
        <v>71292.4487660833</v>
      </c>
      <c r="J2535" s="4">
        <v>45778.0</v>
      </c>
      <c r="K2535" s="3">
        <v>5.0</v>
      </c>
      <c r="L2535" s="3" t="s">
        <v>40</v>
      </c>
    </row>
    <row r="2536" ht="15.75" customHeight="1">
      <c r="A2536" s="3" t="s">
        <v>2617</v>
      </c>
      <c r="B2536" s="3" t="s">
        <v>36</v>
      </c>
      <c r="C2536" s="3" t="s">
        <v>26</v>
      </c>
      <c r="D2536" s="3">
        <v>77149.2240182016</v>
      </c>
      <c r="E2536" s="3">
        <v>26311.9221020781</v>
      </c>
      <c r="F2536" s="3">
        <v>20676.8654465282</v>
      </c>
      <c r="G2536" s="5"/>
      <c r="H2536" s="3">
        <v>-41315.9632984787</v>
      </c>
      <c r="I2536" s="3">
        <v>71295.8302405031</v>
      </c>
      <c r="J2536" s="4">
        <v>45901.0</v>
      </c>
      <c r="K2536" s="3">
        <v>23.0</v>
      </c>
      <c r="L2536" s="3" t="s">
        <v>42</v>
      </c>
    </row>
    <row r="2537" ht="15.75" customHeight="1">
      <c r="A2537" s="3" t="s">
        <v>2618</v>
      </c>
      <c r="B2537" s="3" t="s">
        <v>53</v>
      </c>
      <c r="C2537" s="3" t="s">
        <v>54</v>
      </c>
      <c r="D2537" s="3">
        <v>77160.1069881078</v>
      </c>
      <c r="E2537" s="3">
        <v>26316.5368204055</v>
      </c>
      <c r="F2537" s="3">
        <v>20684.5454499577</v>
      </c>
      <c r="G2537" s="3">
        <v>15984.6367777162</v>
      </c>
      <c r="H2537" s="3">
        <v>-41365.4670162277</v>
      </c>
      <c r="I2537" s="3">
        <v>71299.2117149229</v>
      </c>
      <c r="J2537" s="4">
        <v>45658.0</v>
      </c>
      <c r="K2537" s="3">
        <v>13.0</v>
      </c>
      <c r="L2537" s="3" t="s">
        <v>15</v>
      </c>
    </row>
    <row r="2538" ht="15.75" customHeight="1">
      <c r="A2538" s="3" t="s">
        <v>2619</v>
      </c>
      <c r="B2538" s="3" t="s">
        <v>17</v>
      </c>
      <c r="C2538" s="3" t="s">
        <v>14</v>
      </c>
      <c r="D2538" s="3">
        <v>77170.989958014</v>
      </c>
      <c r="E2538" s="3">
        <v>26321.1515387329</v>
      </c>
      <c r="F2538" s="3">
        <v>20692.2254533872</v>
      </c>
      <c r="G2538" s="3">
        <v>15988.0343284035</v>
      </c>
      <c r="H2538" s="3">
        <v>-41414.9707339777</v>
      </c>
      <c r="I2538" s="3">
        <v>71302.5931893427</v>
      </c>
      <c r="J2538" s="4">
        <v>45901.0</v>
      </c>
      <c r="K2538" s="3">
        <v>5.0</v>
      </c>
      <c r="L2538" s="3" t="s">
        <v>19</v>
      </c>
    </row>
    <row r="2539" ht="15.75" customHeight="1">
      <c r="A2539" s="3" t="s">
        <v>2620</v>
      </c>
      <c r="B2539" s="3" t="s">
        <v>36</v>
      </c>
      <c r="C2539" s="3" t="s">
        <v>54</v>
      </c>
      <c r="D2539" s="3">
        <v>77181.8729279202</v>
      </c>
      <c r="E2539" s="3">
        <v>26325.7662570603</v>
      </c>
      <c r="F2539" s="3">
        <v>20699.9054568167</v>
      </c>
      <c r="G2539" s="3">
        <v>15991.4318790908</v>
      </c>
      <c r="H2539" s="3">
        <v>-41464.4744517267</v>
      </c>
      <c r="I2539" s="3">
        <v>71305.9746637626</v>
      </c>
      <c r="J2539" s="4">
        <v>45992.0</v>
      </c>
      <c r="K2539" s="3">
        <v>18.0</v>
      </c>
      <c r="L2539" s="3" t="s">
        <v>21</v>
      </c>
    </row>
    <row r="2540" ht="15.75" customHeight="1">
      <c r="A2540" s="3" t="s">
        <v>2621</v>
      </c>
      <c r="B2540" s="3" t="s">
        <v>36</v>
      </c>
      <c r="C2540" s="3" t="s">
        <v>26</v>
      </c>
      <c r="D2540" s="3">
        <v>77192.7558978263</v>
      </c>
      <c r="E2540" s="3">
        <v>26330.3809753878</v>
      </c>
      <c r="F2540" s="3">
        <v>20707.5854602461</v>
      </c>
      <c r="G2540" s="3">
        <v>15994.8294297781</v>
      </c>
      <c r="H2540" s="3">
        <v>-41513.9781694757</v>
      </c>
      <c r="I2540" s="3">
        <v>71309.3561381824</v>
      </c>
      <c r="J2540" s="4">
        <v>45870.0</v>
      </c>
      <c r="K2540" s="3">
        <v>20.0</v>
      </c>
      <c r="L2540" s="3" t="s">
        <v>23</v>
      </c>
    </row>
    <row r="2541" ht="15.75" customHeight="1">
      <c r="A2541" s="3" t="s">
        <v>2622</v>
      </c>
      <c r="B2541" s="3" t="s">
        <v>51</v>
      </c>
      <c r="C2541" s="3" t="s">
        <v>30</v>
      </c>
      <c r="D2541" s="3">
        <v>77203.6388677325</v>
      </c>
      <c r="E2541" s="3">
        <v>26334.9956937152</v>
      </c>
      <c r="F2541" s="3">
        <v>20715.2654636756</v>
      </c>
      <c r="G2541" s="3">
        <v>15998.2269804654</v>
      </c>
      <c r="H2541" s="3">
        <v>-41563.4818872247</v>
      </c>
      <c r="I2541" s="3">
        <v>71312.7376126022</v>
      </c>
      <c r="J2541" s="4">
        <v>45839.0</v>
      </c>
      <c r="K2541" s="3">
        <v>22.0</v>
      </c>
      <c r="L2541" s="3" t="s">
        <v>27</v>
      </c>
    </row>
    <row r="2542" ht="15.75" customHeight="1">
      <c r="A2542" s="3" t="s">
        <v>2623</v>
      </c>
      <c r="B2542" s="3" t="s">
        <v>17</v>
      </c>
      <c r="C2542" s="3" t="s">
        <v>26</v>
      </c>
      <c r="D2542" s="3">
        <v>77214.5218376387</v>
      </c>
      <c r="E2542" s="3">
        <v>26339.6104120426</v>
      </c>
      <c r="F2542" s="3">
        <v>20722.9454671051</v>
      </c>
      <c r="G2542" s="3">
        <v>16001.6245311526</v>
      </c>
      <c r="H2542" s="3">
        <v>-41612.9856049737</v>
      </c>
      <c r="I2542" s="3">
        <v>71316.119087022</v>
      </c>
      <c r="J2542" s="4">
        <v>45962.0</v>
      </c>
      <c r="K2542" s="3">
        <v>7.0</v>
      </c>
      <c r="L2542" s="3" t="s">
        <v>31</v>
      </c>
    </row>
    <row r="2543" ht="15.75" customHeight="1">
      <c r="A2543" s="3" t="s">
        <v>2624</v>
      </c>
      <c r="B2543" s="3" t="s">
        <v>53</v>
      </c>
      <c r="C2543" s="3" t="s">
        <v>30</v>
      </c>
      <c r="D2543" s="3">
        <v>77225.4048075449</v>
      </c>
      <c r="E2543" s="3">
        <v>26344.22513037</v>
      </c>
      <c r="F2543" s="3">
        <v>20730.6254705346</v>
      </c>
      <c r="G2543" s="3">
        <v>16005.0220818399</v>
      </c>
      <c r="H2543" s="3">
        <v>-41662.4893227227</v>
      </c>
      <c r="I2543" s="3">
        <v>71319.5005614418</v>
      </c>
      <c r="J2543" s="4">
        <v>45778.0</v>
      </c>
      <c r="K2543" s="3">
        <v>1.0</v>
      </c>
      <c r="L2543" s="3" t="s">
        <v>34</v>
      </c>
    </row>
    <row r="2544" ht="15.75" customHeight="1">
      <c r="A2544" s="3" t="s">
        <v>2625</v>
      </c>
      <c r="B2544" s="3" t="s">
        <v>36</v>
      </c>
      <c r="C2544" s="3" t="s">
        <v>54</v>
      </c>
      <c r="D2544" s="3">
        <v>77236.2877774511</v>
      </c>
      <c r="E2544" s="3">
        <v>26348.8398486975</v>
      </c>
      <c r="F2544" s="3">
        <v>20738.3054739641</v>
      </c>
      <c r="G2544" s="3">
        <v>16008.4196325272</v>
      </c>
      <c r="H2544" s="3">
        <v>-41711.9930404717</v>
      </c>
      <c r="I2544" s="3">
        <v>71322.8820358616</v>
      </c>
      <c r="J2544" s="4">
        <v>45809.0</v>
      </c>
      <c r="K2544" s="3">
        <v>12.0</v>
      </c>
      <c r="L2544" s="3" t="s">
        <v>38</v>
      </c>
    </row>
    <row r="2545" ht="15.75" customHeight="1">
      <c r="A2545" s="3" t="s">
        <v>2626</v>
      </c>
      <c r="B2545" s="3" t="s">
        <v>29</v>
      </c>
      <c r="C2545" s="3" t="s">
        <v>33</v>
      </c>
      <c r="D2545" s="3">
        <v>77247.1707473573</v>
      </c>
      <c r="E2545" s="3">
        <v>26353.4545670249</v>
      </c>
      <c r="F2545" s="3">
        <v>20745.9854773936</v>
      </c>
      <c r="G2545" s="3">
        <v>16011.8171832145</v>
      </c>
      <c r="H2545" s="3">
        <v>-41761.4967582207</v>
      </c>
      <c r="I2545" s="3">
        <v>71326.2635102814</v>
      </c>
      <c r="J2545" s="4">
        <v>45962.0</v>
      </c>
      <c r="K2545" s="3">
        <v>18.0</v>
      </c>
      <c r="L2545" s="3" t="s">
        <v>40</v>
      </c>
    </row>
    <row r="2546" ht="15.75" customHeight="1">
      <c r="A2546" s="3" t="s">
        <v>2627</v>
      </c>
      <c r="B2546" s="3" t="s">
        <v>13</v>
      </c>
      <c r="C2546" s="3" t="s">
        <v>26</v>
      </c>
      <c r="D2546" s="3">
        <v>77258.0537172635</v>
      </c>
      <c r="E2546" s="3">
        <v>26358.0692853523</v>
      </c>
      <c r="F2546" s="3">
        <v>20753.6654808231</v>
      </c>
      <c r="G2546" s="3">
        <v>16015.2147339018</v>
      </c>
      <c r="H2546" s="3">
        <v>-41811.0004759708</v>
      </c>
      <c r="I2546" s="3">
        <v>71329.6449847013</v>
      </c>
      <c r="J2546" s="4">
        <v>45778.0</v>
      </c>
      <c r="K2546" s="3">
        <v>3.0</v>
      </c>
      <c r="L2546" s="3" t="s">
        <v>42</v>
      </c>
    </row>
    <row r="2547" ht="15.75" customHeight="1">
      <c r="A2547" s="3" t="s">
        <v>2628</v>
      </c>
      <c r="B2547" s="3" t="s">
        <v>17</v>
      </c>
      <c r="C2547" s="3" t="s">
        <v>14</v>
      </c>
      <c r="D2547" s="3">
        <v>77268.9366871697</v>
      </c>
      <c r="E2547" s="3">
        <v>26362.6840036797</v>
      </c>
      <c r="F2547" s="3">
        <v>20761.3454842526</v>
      </c>
      <c r="G2547" s="3">
        <v>16018.6122845891</v>
      </c>
      <c r="H2547" s="3">
        <v>-41860.5041937197</v>
      </c>
      <c r="I2547" s="3">
        <v>71333.0264591211</v>
      </c>
      <c r="J2547" s="4">
        <v>45992.0</v>
      </c>
      <c r="K2547" s="3">
        <v>2.0</v>
      </c>
      <c r="L2547" s="3" t="s">
        <v>15</v>
      </c>
    </row>
    <row r="2548" ht="15.75" customHeight="1">
      <c r="A2548" s="3" t="s">
        <v>2629</v>
      </c>
      <c r="B2548" s="3" t="s">
        <v>13</v>
      </c>
      <c r="C2548" s="3" t="s">
        <v>33</v>
      </c>
      <c r="D2548" s="3">
        <v>77279.8196570759</v>
      </c>
      <c r="E2548" s="3">
        <v>26367.2987220071</v>
      </c>
      <c r="F2548" s="3">
        <v>20769.0254876821</v>
      </c>
      <c r="G2548" s="3">
        <v>16022.0098352764</v>
      </c>
      <c r="H2548" s="3">
        <v>-41910.0079114687</v>
      </c>
      <c r="I2548" s="3">
        <v>71336.4079335409</v>
      </c>
      <c r="J2548" s="4">
        <v>45962.0</v>
      </c>
      <c r="K2548" s="3">
        <v>15.0</v>
      </c>
      <c r="L2548" s="3" t="s">
        <v>19</v>
      </c>
    </row>
    <row r="2549" ht="15.75" customHeight="1">
      <c r="A2549" s="3" t="s">
        <v>2630</v>
      </c>
      <c r="B2549" s="3" t="s">
        <v>53</v>
      </c>
      <c r="C2549" s="3" t="s">
        <v>54</v>
      </c>
      <c r="D2549" s="3">
        <v>77290.7026269821</v>
      </c>
      <c r="E2549" s="3">
        <v>26371.9134403346</v>
      </c>
      <c r="F2549" s="3">
        <v>20776.7054911116</v>
      </c>
      <c r="G2549" s="3">
        <v>16025.4073859637</v>
      </c>
      <c r="H2549" s="3">
        <v>-41959.5116292177</v>
      </c>
      <c r="I2549" s="3">
        <v>71339.7894079607</v>
      </c>
      <c r="J2549" s="3" t="s">
        <v>142</v>
      </c>
      <c r="K2549" s="3">
        <v>17.0</v>
      </c>
      <c r="L2549" s="3" t="s">
        <v>21</v>
      </c>
    </row>
    <row r="2550" ht="15.75" customHeight="1">
      <c r="A2550" s="3" t="s">
        <v>2631</v>
      </c>
      <c r="B2550" s="3" t="s">
        <v>25</v>
      </c>
      <c r="C2550" s="3" t="s">
        <v>26</v>
      </c>
      <c r="D2550" s="3">
        <v>77301.5855968883</v>
      </c>
      <c r="E2550" s="3">
        <v>26376.528158662</v>
      </c>
      <c r="F2550" s="3">
        <v>20784.3854945411</v>
      </c>
      <c r="G2550" s="3">
        <v>16028.8049366509</v>
      </c>
      <c r="H2550" s="3">
        <v>-42009.0153469667</v>
      </c>
      <c r="I2550" s="3">
        <v>71343.1708823805</v>
      </c>
      <c r="J2550" s="4">
        <v>45689.0</v>
      </c>
      <c r="K2550" s="3">
        <v>7.0</v>
      </c>
      <c r="L2550" s="3" t="s">
        <v>23</v>
      </c>
    </row>
    <row r="2551" ht="15.75" customHeight="1">
      <c r="A2551" s="3" t="s">
        <v>2632</v>
      </c>
      <c r="B2551" s="3" t="s">
        <v>36</v>
      </c>
      <c r="C2551" s="3" t="s">
        <v>30</v>
      </c>
      <c r="D2551" s="3">
        <v>77312.4685667945</v>
      </c>
      <c r="E2551" s="3">
        <v>26381.1428769894</v>
      </c>
      <c r="F2551" s="3">
        <v>20792.0654979706</v>
      </c>
      <c r="G2551" s="3">
        <v>16032.2024873382</v>
      </c>
      <c r="H2551" s="3">
        <v>-42058.5190647157</v>
      </c>
      <c r="I2551" s="3">
        <v>71346.5523568003</v>
      </c>
      <c r="J2551" s="4">
        <v>45992.0</v>
      </c>
      <c r="K2551" s="3">
        <v>2.0</v>
      </c>
      <c r="L2551" s="3" t="s">
        <v>27</v>
      </c>
    </row>
    <row r="2552" ht="15.75" customHeight="1">
      <c r="A2552" s="3" t="s">
        <v>2633</v>
      </c>
      <c r="B2552" s="3" t="s">
        <v>29</v>
      </c>
      <c r="C2552" s="3" t="s">
        <v>37</v>
      </c>
      <c r="D2552" s="3">
        <v>77323.3515367007</v>
      </c>
      <c r="E2552" s="3">
        <v>26385.7575953168</v>
      </c>
      <c r="F2552" s="3">
        <v>20799.7455014001</v>
      </c>
      <c r="G2552" s="3">
        <v>16035.6000380255</v>
      </c>
      <c r="H2552" s="3">
        <v>-42108.0227824647</v>
      </c>
      <c r="I2552" s="3">
        <v>71349.9338312201</v>
      </c>
      <c r="J2552" s="4">
        <v>45931.0</v>
      </c>
      <c r="K2552" s="3">
        <v>21.0</v>
      </c>
      <c r="L2552" s="3" t="s">
        <v>31</v>
      </c>
    </row>
    <row r="2553" ht="15.75" customHeight="1">
      <c r="A2553" s="3" t="s">
        <v>2634</v>
      </c>
      <c r="B2553" s="3" t="s">
        <v>29</v>
      </c>
      <c r="C2553" s="3" t="s">
        <v>18</v>
      </c>
      <c r="D2553" s="3">
        <v>77334.2345066069</v>
      </c>
      <c r="E2553" s="3">
        <v>26390.3723136442</v>
      </c>
      <c r="F2553" s="3">
        <v>20807.4255048296</v>
      </c>
      <c r="G2553" s="3">
        <v>16038.9975887128</v>
      </c>
      <c r="H2553" s="3">
        <v>-42157.5265002137</v>
      </c>
      <c r="I2553" s="3">
        <v>71353.31530564</v>
      </c>
      <c r="J2553" s="4">
        <v>45717.0</v>
      </c>
      <c r="K2553" s="3">
        <v>19.0</v>
      </c>
      <c r="L2553" s="3" t="s">
        <v>34</v>
      </c>
    </row>
    <row r="2554" ht="15.75" customHeight="1">
      <c r="A2554" s="3" t="s">
        <v>2635</v>
      </c>
      <c r="B2554" s="3" t="s">
        <v>53</v>
      </c>
      <c r="C2554" s="3" t="s">
        <v>14</v>
      </c>
      <c r="D2554" s="3">
        <v>77345.1174765131</v>
      </c>
      <c r="E2554" s="3">
        <v>26394.9870319717</v>
      </c>
      <c r="F2554" s="3">
        <v>20815.1055082591</v>
      </c>
      <c r="G2554" s="3">
        <v>16042.3951394001</v>
      </c>
      <c r="H2554" s="3">
        <v>-42207.0302179638</v>
      </c>
      <c r="I2554" s="3">
        <v>71356.6967800598</v>
      </c>
      <c r="J2554" s="4">
        <v>45870.0</v>
      </c>
      <c r="K2554" s="3">
        <v>12.0</v>
      </c>
      <c r="L2554" s="3" t="s">
        <v>38</v>
      </c>
    </row>
    <row r="2555" ht="15.75" customHeight="1">
      <c r="A2555" s="3" t="s">
        <v>2636</v>
      </c>
      <c r="B2555" s="3" t="s">
        <v>36</v>
      </c>
      <c r="C2555" s="3" t="s">
        <v>18</v>
      </c>
      <c r="D2555" s="3">
        <v>77356.0004464193</v>
      </c>
      <c r="E2555" s="3">
        <v>26399.6017502991</v>
      </c>
      <c r="F2555" s="3">
        <v>20822.7855116886</v>
      </c>
      <c r="G2555" s="3">
        <v>16045.7926900874</v>
      </c>
      <c r="H2555" s="3">
        <v>-42256.5339357127</v>
      </c>
      <c r="I2555" s="3">
        <v>71360.0782544796</v>
      </c>
      <c r="J2555" s="4">
        <v>45748.0</v>
      </c>
      <c r="K2555" s="3">
        <v>13.0</v>
      </c>
      <c r="L2555" s="3" t="s">
        <v>40</v>
      </c>
    </row>
    <row r="2556" ht="15.75" customHeight="1">
      <c r="A2556" s="3" t="s">
        <v>2637</v>
      </c>
      <c r="B2556" s="3" t="s">
        <v>13</v>
      </c>
      <c r="C2556" s="3" t="s">
        <v>30</v>
      </c>
      <c r="D2556" s="3">
        <v>77366.8834163254</v>
      </c>
      <c r="E2556" s="3">
        <v>26404.2164686265</v>
      </c>
      <c r="F2556" s="3">
        <v>20830.4655151181</v>
      </c>
      <c r="G2556" s="3">
        <v>16049.1902407747</v>
      </c>
      <c r="H2556" s="3">
        <v>-42306.0376534617</v>
      </c>
      <c r="I2556" s="3">
        <v>71363.4597288994</v>
      </c>
      <c r="J2556" s="4">
        <v>45962.0</v>
      </c>
      <c r="K2556" s="3">
        <v>18.0</v>
      </c>
      <c r="L2556" s="3" t="s">
        <v>42</v>
      </c>
    </row>
    <row r="2557" ht="15.75" customHeight="1">
      <c r="A2557" s="3" t="s">
        <v>2638</v>
      </c>
      <c r="B2557" s="3" t="s">
        <v>53</v>
      </c>
      <c r="C2557" s="3" t="s">
        <v>37</v>
      </c>
      <c r="D2557" s="3">
        <v>77377.7663862316</v>
      </c>
      <c r="E2557" s="3">
        <v>26408.8311869539</v>
      </c>
      <c r="F2557" s="3">
        <v>20838.1455185476</v>
      </c>
      <c r="G2557" s="3">
        <v>16052.5877914619</v>
      </c>
      <c r="H2557" s="3">
        <v>-42355.5413712107</v>
      </c>
      <c r="I2557" s="3">
        <v>71366.8412033192</v>
      </c>
      <c r="J2557" s="4">
        <v>45901.0</v>
      </c>
      <c r="K2557" s="3">
        <v>4.0</v>
      </c>
      <c r="L2557" s="3" t="s">
        <v>15</v>
      </c>
    </row>
    <row r="2558" ht="15.75" customHeight="1">
      <c r="A2558" s="3" t="s">
        <v>2639</v>
      </c>
      <c r="B2558" s="3" t="s">
        <v>29</v>
      </c>
      <c r="C2558" s="3" t="s">
        <v>54</v>
      </c>
      <c r="D2558" s="3">
        <v>77388.6493561378</v>
      </c>
      <c r="E2558" s="3">
        <v>26413.4459052814</v>
      </c>
      <c r="F2558" s="3">
        <v>20845.8255219771</v>
      </c>
      <c r="G2558" s="3">
        <v>16055.9853421492</v>
      </c>
      <c r="H2558" s="3">
        <v>-42405.0450889597</v>
      </c>
      <c r="I2558" s="3">
        <v>71370.222677739</v>
      </c>
      <c r="J2558" s="4">
        <v>45778.0</v>
      </c>
      <c r="K2558" s="3">
        <v>11.0</v>
      </c>
      <c r="L2558" s="3" t="s">
        <v>19</v>
      </c>
    </row>
    <row r="2559" ht="15.75" customHeight="1">
      <c r="A2559" s="3" t="s">
        <v>2640</v>
      </c>
      <c r="B2559" s="3" t="s">
        <v>53</v>
      </c>
      <c r="C2559" s="3" t="s">
        <v>26</v>
      </c>
      <c r="D2559" s="3">
        <v>77399.532326044</v>
      </c>
      <c r="E2559" s="3">
        <v>26418.0606236088</v>
      </c>
      <c r="F2559" s="3">
        <v>20853.5055254066</v>
      </c>
      <c r="G2559" s="3">
        <v>16059.3828928365</v>
      </c>
      <c r="H2559" s="3">
        <v>-42454.5488067087</v>
      </c>
      <c r="I2559" s="3">
        <v>71373.6041521588</v>
      </c>
      <c r="J2559" s="4">
        <v>45992.0</v>
      </c>
      <c r="K2559" s="3">
        <v>17.0</v>
      </c>
      <c r="L2559" s="3" t="s">
        <v>21</v>
      </c>
    </row>
    <row r="2560" ht="15.75" customHeight="1">
      <c r="A2560" s="3" t="s">
        <v>2641</v>
      </c>
      <c r="B2560" s="3" t="s">
        <v>36</v>
      </c>
      <c r="C2560" s="3" t="s">
        <v>26</v>
      </c>
      <c r="D2560" s="3">
        <v>77410.4152959502</v>
      </c>
      <c r="E2560" s="3">
        <v>26422.6753419362</v>
      </c>
      <c r="F2560" s="3">
        <v>20861.1855288361</v>
      </c>
      <c r="G2560" s="3">
        <v>16062.7804435238</v>
      </c>
      <c r="H2560" s="3">
        <v>61347.6348524264</v>
      </c>
      <c r="I2560" s="3">
        <v>66347.6348524264</v>
      </c>
      <c r="J2560" s="4">
        <v>45778.0</v>
      </c>
      <c r="K2560" s="3">
        <v>7.0</v>
      </c>
      <c r="L2560" s="3" t="s">
        <v>23</v>
      </c>
    </row>
    <row r="2561" ht="15.75" customHeight="1">
      <c r="A2561" s="3" t="s">
        <v>2642</v>
      </c>
      <c r="B2561" s="3" t="s">
        <v>17</v>
      </c>
      <c r="C2561" s="3" t="s">
        <v>37</v>
      </c>
      <c r="D2561" s="3">
        <v>77421.2982658564</v>
      </c>
      <c r="E2561" s="3">
        <v>26427.2900602636</v>
      </c>
      <c r="F2561" s="3">
        <v>20868.8655322656</v>
      </c>
      <c r="G2561" s="3">
        <v>16066.1779942111</v>
      </c>
      <c r="H2561" s="3">
        <v>-42553.5562422067</v>
      </c>
      <c r="I2561" s="3">
        <v>71380.3671009985</v>
      </c>
      <c r="J2561" s="4">
        <v>45748.0</v>
      </c>
      <c r="K2561" s="3">
        <v>23.0</v>
      </c>
      <c r="L2561" s="3" t="s">
        <v>27</v>
      </c>
    </row>
    <row r="2562" ht="15.75" customHeight="1">
      <c r="A2562" s="3" t="s">
        <v>2643</v>
      </c>
      <c r="B2562" s="3" t="s">
        <v>25</v>
      </c>
      <c r="C2562" s="3" t="s">
        <v>14</v>
      </c>
      <c r="D2562" s="3">
        <v>77432.1812357626</v>
      </c>
      <c r="E2562" s="3">
        <v>26431.904778591</v>
      </c>
      <c r="F2562" s="3">
        <v>20876.5455356951</v>
      </c>
      <c r="G2562" s="3">
        <v>16069.5755448984</v>
      </c>
      <c r="H2562" s="3">
        <v>-42603.0599599568</v>
      </c>
      <c r="I2562" s="3">
        <v>71383.7485754183</v>
      </c>
      <c r="J2562" s="4">
        <v>45839.0</v>
      </c>
      <c r="K2562" s="3">
        <v>21.0</v>
      </c>
      <c r="L2562" s="3" t="s">
        <v>31</v>
      </c>
    </row>
    <row r="2563" ht="15.75" customHeight="1">
      <c r="A2563" s="3" t="s">
        <v>2644</v>
      </c>
      <c r="B2563" s="3" t="s">
        <v>36</v>
      </c>
      <c r="C2563" s="3" t="s">
        <v>33</v>
      </c>
      <c r="D2563" s="3">
        <v>77443.0642056688</v>
      </c>
      <c r="E2563" s="3">
        <v>26436.5194969185</v>
      </c>
      <c r="F2563" s="3">
        <v>20884.2255391246</v>
      </c>
      <c r="G2563" s="3">
        <v>16072.9730955857</v>
      </c>
      <c r="H2563" s="3">
        <v>-42652.5636777058</v>
      </c>
      <c r="I2563" s="3">
        <v>71387.1300498381</v>
      </c>
      <c r="J2563" s="4">
        <v>45658.0</v>
      </c>
      <c r="K2563" s="3">
        <v>16.0</v>
      </c>
      <c r="L2563" s="3" t="s">
        <v>34</v>
      </c>
    </row>
    <row r="2564" ht="15.75" customHeight="1">
      <c r="A2564" s="3" t="s">
        <v>2645</v>
      </c>
      <c r="B2564" s="3" t="s">
        <v>25</v>
      </c>
      <c r="C2564" s="3" t="s">
        <v>18</v>
      </c>
      <c r="D2564" s="3">
        <v>77453.947175575</v>
      </c>
      <c r="E2564" s="3">
        <v>26441.1342152459</v>
      </c>
      <c r="F2564" s="3">
        <v>20891.9055425541</v>
      </c>
      <c r="G2564" s="3">
        <v>16076.370646273</v>
      </c>
      <c r="H2564" s="3">
        <v>-42702.0673954547</v>
      </c>
      <c r="I2564" s="3">
        <v>71390.5115242579</v>
      </c>
      <c r="J2564" s="4">
        <v>45717.0</v>
      </c>
      <c r="K2564" s="3">
        <v>19.0</v>
      </c>
      <c r="L2564" s="3" t="s">
        <v>38</v>
      </c>
    </row>
    <row r="2565" ht="15.75" customHeight="1">
      <c r="A2565" s="3" t="s">
        <v>2646</v>
      </c>
      <c r="B2565" s="3" t="s">
        <v>17</v>
      </c>
      <c r="C2565" s="3" t="s">
        <v>18</v>
      </c>
      <c r="D2565" s="3">
        <v>77486.5960852936</v>
      </c>
      <c r="E2565" s="3">
        <v>26454.9783702282</v>
      </c>
      <c r="F2565" s="3">
        <v>20914.9455528426</v>
      </c>
      <c r="G2565" s="3">
        <v>16086.5632983348</v>
      </c>
      <c r="H2565" s="3">
        <v>-42850.5785487017</v>
      </c>
      <c r="I2565" s="3">
        <v>71400.6559475174</v>
      </c>
      <c r="J2565" s="4">
        <v>45689.0</v>
      </c>
      <c r="K2565" s="3">
        <v>22.0</v>
      </c>
      <c r="L2565" s="3" t="s">
        <v>15</v>
      </c>
    </row>
    <row r="2566" ht="15.75" customHeight="1">
      <c r="A2566" s="3" t="s">
        <v>2647</v>
      </c>
      <c r="B2566" s="3" t="s">
        <v>36</v>
      </c>
      <c r="C2566" s="3" t="s">
        <v>37</v>
      </c>
      <c r="D2566" s="3">
        <v>77497.4790551998</v>
      </c>
      <c r="E2566" s="3">
        <v>26459.5930885556</v>
      </c>
      <c r="F2566" s="3">
        <v>20922.6255562721</v>
      </c>
      <c r="G2566" s="3">
        <v>16089.9608490221</v>
      </c>
      <c r="H2566" s="3">
        <v>-42900.0822664507</v>
      </c>
      <c r="I2566" s="3">
        <v>71404.0374219372</v>
      </c>
      <c r="J2566" s="4">
        <v>45962.0</v>
      </c>
      <c r="K2566" s="3">
        <v>3.0</v>
      </c>
      <c r="L2566" s="3" t="s">
        <v>19</v>
      </c>
    </row>
    <row r="2567" ht="15.75" customHeight="1">
      <c r="A2567" s="3" t="s">
        <v>2648</v>
      </c>
      <c r="B2567" s="3" t="s">
        <v>25</v>
      </c>
      <c r="C2567" s="3" t="s">
        <v>33</v>
      </c>
      <c r="D2567" s="3">
        <v>77508.362025106</v>
      </c>
      <c r="E2567" s="3">
        <v>26464.207806883</v>
      </c>
      <c r="F2567" s="3">
        <v>20930.3055597016</v>
      </c>
      <c r="G2567" s="3">
        <v>16093.3583997094</v>
      </c>
      <c r="H2567" s="3">
        <v>-42949.5859841997</v>
      </c>
      <c r="I2567" s="3">
        <v>71407.418896357</v>
      </c>
      <c r="J2567" s="4">
        <v>45931.0</v>
      </c>
      <c r="K2567" s="3">
        <v>5.0</v>
      </c>
      <c r="L2567" s="3" t="s">
        <v>21</v>
      </c>
    </row>
    <row r="2568" ht="15.75" customHeight="1">
      <c r="A2568" s="3" t="s">
        <v>2649</v>
      </c>
      <c r="B2568" s="3" t="s">
        <v>25</v>
      </c>
      <c r="C2568" s="3" t="s">
        <v>14</v>
      </c>
      <c r="D2568" s="3">
        <v>77519.2449950121</v>
      </c>
      <c r="E2568" s="3">
        <v>26468.8225252104</v>
      </c>
      <c r="F2568" s="3">
        <v>20937.9855631311</v>
      </c>
      <c r="G2568" s="3">
        <v>16096.7559503967</v>
      </c>
      <c r="H2568" s="3">
        <v>-42999.0897019497</v>
      </c>
      <c r="I2568" s="3">
        <v>71410.8003707768</v>
      </c>
      <c r="J2568" s="4">
        <v>45778.0</v>
      </c>
      <c r="K2568" s="3">
        <v>13.0</v>
      </c>
      <c r="L2568" s="3" t="s">
        <v>23</v>
      </c>
    </row>
    <row r="2569" ht="15.75" customHeight="1">
      <c r="A2569" s="3" t="s">
        <v>2650</v>
      </c>
      <c r="B2569" s="3" t="s">
        <v>25</v>
      </c>
      <c r="C2569" s="3" t="s">
        <v>30</v>
      </c>
      <c r="D2569" s="3">
        <v>77530.1279649183</v>
      </c>
      <c r="E2569" s="3">
        <v>26473.4372435378</v>
      </c>
      <c r="F2569" s="3">
        <v>20945.6655665606</v>
      </c>
      <c r="G2569" s="3">
        <v>16100.153501084</v>
      </c>
      <c r="H2569" s="3">
        <v>-43048.5934196988</v>
      </c>
      <c r="I2569" s="3">
        <v>71414.1818451966</v>
      </c>
      <c r="J2569" s="4">
        <v>45962.0</v>
      </c>
      <c r="K2569" s="3">
        <v>13.0</v>
      </c>
      <c r="L2569" s="3" t="s">
        <v>27</v>
      </c>
    </row>
    <row r="2570" ht="15.75" customHeight="1">
      <c r="A2570" s="3" t="s">
        <v>2651</v>
      </c>
      <c r="B2570" s="3" t="s">
        <v>53</v>
      </c>
      <c r="C2570" s="3" t="s">
        <v>14</v>
      </c>
      <c r="D2570" s="3">
        <v>77541.0109348245</v>
      </c>
      <c r="E2570" s="3">
        <v>26478.0519618653</v>
      </c>
      <c r="F2570" s="3">
        <v>20953.3455699901</v>
      </c>
      <c r="G2570" s="3">
        <v>16103.5510517713</v>
      </c>
      <c r="H2570" s="3">
        <v>-43098.0971374477</v>
      </c>
      <c r="I2570" s="3">
        <v>71417.5633196164</v>
      </c>
      <c r="J2570" s="4">
        <v>45901.0</v>
      </c>
      <c r="K2570" s="3">
        <v>15.0</v>
      </c>
      <c r="L2570" s="3" t="s">
        <v>31</v>
      </c>
    </row>
    <row r="2571" ht="15.75" customHeight="1">
      <c r="A2571" s="3" t="s">
        <v>2652</v>
      </c>
      <c r="B2571" s="3" t="s">
        <v>36</v>
      </c>
      <c r="C2571" s="3" t="s">
        <v>37</v>
      </c>
      <c r="D2571" s="3">
        <v>77551.8939047307</v>
      </c>
      <c r="E2571" s="3">
        <v>26482.6666801927</v>
      </c>
      <c r="F2571" s="3">
        <v>20961.0255734196</v>
      </c>
      <c r="G2571" s="3">
        <v>16106.9486024585</v>
      </c>
      <c r="H2571" s="3">
        <v>-43147.6008551967</v>
      </c>
      <c r="I2571" s="3">
        <v>71420.9447940362</v>
      </c>
      <c r="J2571" s="4">
        <v>45870.0</v>
      </c>
      <c r="K2571" s="3">
        <v>13.0</v>
      </c>
      <c r="L2571" s="3" t="s">
        <v>34</v>
      </c>
    </row>
    <row r="2572" ht="15.75" customHeight="1">
      <c r="A2572" s="3" t="s">
        <v>2653</v>
      </c>
      <c r="B2572" s="3" t="s">
        <v>13</v>
      </c>
      <c r="C2572" s="3" t="s">
        <v>37</v>
      </c>
      <c r="D2572" s="3">
        <v>77562.7768746369</v>
      </c>
      <c r="E2572" s="3">
        <v>26487.2813985201</v>
      </c>
      <c r="F2572" s="3">
        <v>20968.7055768491</v>
      </c>
      <c r="G2572" s="3">
        <v>16110.3461531458</v>
      </c>
      <c r="H2572" s="3">
        <v>-43197.1045729457</v>
      </c>
      <c r="I2572" s="3">
        <v>71424.3262684561</v>
      </c>
      <c r="J2572" s="4">
        <v>45809.0</v>
      </c>
      <c r="K2572" s="3">
        <v>1.0</v>
      </c>
      <c r="L2572" s="3" t="s">
        <v>38</v>
      </c>
    </row>
    <row r="2573" ht="15.75" customHeight="1">
      <c r="A2573" s="3" t="s">
        <v>2654</v>
      </c>
      <c r="B2573" s="3" t="s">
        <v>53</v>
      </c>
      <c r="C2573" s="3" t="s">
        <v>54</v>
      </c>
      <c r="D2573" s="3">
        <v>77573.6598445431</v>
      </c>
      <c r="E2573" s="3">
        <v>26491.8961168475</v>
      </c>
      <c r="F2573" s="3">
        <v>20976.3855802786</v>
      </c>
      <c r="G2573" s="3">
        <v>16113.7437038331</v>
      </c>
      <c r="H2573" s="3">
        <v>-43246.6082906947</v>
      </c>
      <c r="I2573" s="3">
        <v>71427.7077428759</v>
      </c>
      <c r="J2573" s="4">
        <v>45931.0</v>
      </c>
      <c r="K2573" s="3">
        <v>18.0</v>
      </c>
      <c r="L2573" s="3" t="s">
        <v>40</v>
      </c>
    </row>
    <row r="2574" ht="15.75" customHeight="1">
      <c r="A2574" s="3" t="s">
        <v>2655</v>
      </c>
      <c r="B2574" s="3" t="s">
        <v>17</v>
      </c>
      <c r="C2574" s="3" t="s">
        <v>37</v>
      </c>
      <c r="D2574" s="3">
        <v>77584.5428144493</v>
      </c>
      <c r="E2574" s="3">
        <v>26496.510835175</v>
      </c>
      <c r="F2574" s="3">
        <v>20984.065583708</v>
      </c>
      <c r="G2574" s="3">
        <v>16117.1412545204</v>
      </c>
      <c r="H2574" s="3">
        <v>-43296.1120084437</v>
      </c>
      <c r="I2574" s="3">
        <v>71431.0892172957</v>
      </c>
      <c r="J2574" s="4">
        <v>45962.0</v>
      </c>
      <c r="K2574" s="3">
        <v>14.0</v>
      </c>
      <c r="L2574" s="3" t="s">
        <v>42</v>
      </c>
    </row>
    <row r="2575" ht="15.75" customHeight="1">
      <c r="A2575" s="3" t="s">
        <v>2656</v>
      </c>
      <c r="B2575" s="3" t="s">
        <v>25</v>
      </c>
      <c r="C2575" s="3" t="s">
        <v>37</v>
      </c>
      <c r="D2575" s="3">
        <v>77595.4257843555</v>
      </c>
      <c r="E2575" s="3">
        <v>26501.1255535024</v>
      </c>
      <c r="F2575" s="3">
        <v>20991.7455871375</v>
      </c>
      <c r="G2575" s="3">
        <v>16120.5388052077</v>
      </c>
      <c r="H2575" s="3">
        <v>-43345.6157261937</v>
      </c>
      <c r="I2575" s="3">
        <v>71434.4706917155</v>
      </c>
      <c r="J2575" s="4">
        <v>45962.0</v>
      </c>
      <c r="K2575" s="3">
        <v>21.0</v>
      </c>
      <c r="L2575" s="3" t="s">
        <v>15</v>
      </c>
    </row>
    <row r="2576" ht="15.75" customHeight="1">
      <c r="A2576" s="3" t="s">
        <v>2657</v>
      </c>
      <c r="B2576" s="3" t="s">
        <v>13</v>
      </c>
      <c r="C2576" s="3" t="s">
        <v>30</v>
      </c>
      <c r="D2576" s="3">
        <v>77606.3087542617</v>
      </c>
      <c r="E2576" s="3">
        <v>26505.7402718298</v>
      </c>
      <c r="F2576" s="3">
        <v>20999.425590567</v>
      </c>
      <c r="G2576" s="3">
        <v>16123.936355895</v>
      </c>
      <c r="H2576" s="3">
        <v>-43395.1194439427</v>
      </c>
      <c r="I2576" s="3">
        <v>71437.8521661353</v>
      </c>
      <c r="J2576" s="4">
        <v>45658.0</v>
      </c>
      <c r="K2576" s="3">
        <v>25.0</v>
      </c>
      <c r="L2576" s="3" t="s">
        <v>19</v>
      </c>
    </row>
    <row r="2577" ht="15.75" customHeight="1">
      <c r="A2577" s="3" t="s">
        <v>2658</v>
      </c>
      <c r="B2577" s="3" t="s">
        <v>51</v>
      </c>
      <c r="C2577" s="3" t="s">
        <v>26</v>
      </c>
      <c r="D2577" s="3">
        <v>77617.1917241679</v>
      </c>
      <c r="E2577" s="3">
        <v>26510.3549901572</v>
      </c>
      <c r="F2577" s="3">
        <v>21007.1055939965</v>
      </c>
      <c r="G2577" s="3">
        <v>16127.3339065823</v>
      </c>
      <c r="H2577" s="3">
        <v>-43444.6231616918</v>
      </c>
      <c r="I2577" s="3">
        <v>71441.2336405551</v>
      </c>
      <c r="J2577" s="4">
        <v>45778.0</v>
      </c>
      <c r="K2577" s="3">
        <v>13.0</v>
      </c>
      <c r="L2577" s="3" t="s">
        <v>21</v>
      </c>
    </row>
    <row r="2578" ht="15.75" customHeight="1">
      <c r="A2578" s="3" t="s">
        <v>2659</v>
      </c>
      <c r="B2578" s="3" t="s">
        <v>51</v>
      </c>
      <c r="C2578" s="3" t="s">
        <v>18</v>
      </c>
      <c r="D2578" s="3">
        <v>77628.0746940741</v>
      </c>
      <c r="E2578" s="3">
        <v>26514.9697084846</v>
      </c>
      <c r="F2578" s="3">
        <v>21014.785597426</v>
      </c>
      <c r="G2578" s="3">
        <v>16130.7314572696</v>
      </c>
      <c r="H2578" s="3">
        <v>-43494.1268794408</v>
      </c>
      <c r="I2578" s="3">
        <v>71444.6151149749</v>
      </c>
      <c r="J2578" s="4">
        <v>45962.0</v>
      </c>
      <c r="K2578" s="3">
        <v>4.0</v>
      </c>
      <c r="L2578" s="3" t="s">
        <v>23</v>
      </c>
    </row>
    <row r="2579" ht="15.75" customHeight="1">
      <c r="A2579" s="3" t="s">
        <v>2660</v>
      </c>
      <c r="B2579" s="3" t="s">
        <v>29</v>
      </c>
      <c r="C2579" s="3" t="s">
        <v>30</v>
      </c>
      <c r="D2579" s="3">
        <v>77638.9576639803</v>
      </c>
      <c r="E2579" s="3">
        <v>26519.5844268121</v>
      </c>
      <c r="F2579" s="3">
        <v>21022.4656008555</v>
      </c>
      <c r="G2579" s="3">
        <v>16134.1290079568</v>
      </c>
      <c r="H2579" s="3">
        <v>-43543.6305971897</v>
      </c>
      <c r="I2579" s="3">
        <v>71447.9965893948</v>
      </c>
      <c r="J2579" s="4">
        <v>45809.0</v>
      </c>
      <c r="K2579" s="3">
        <v>5.0</v>
      </c>
      <c r="L2579" s="3" t="s">
        <v>27</v>
      </c>
    </row>
    <row r="2580" ht="15.75" customHeight="1">
      <c r="A2580" s="3" t="s">
        <v>2661</v>
      </c>
      <c r="B2580" s="3" t="s">
        <v>53</v>
      </c>
      <c r="C2580" s="3" t="s">
        <v>18</v>
      </c>
      <c r="D2580" s="3">
        <v>77649.8406338865</v>
      </c>
      <c r="E2580" s="3">
        <v>26524.1991451395</v>
      </c>
      <c r="F2580" s="3">
        <v>21030.145604285</v>
      </c>
      <c r="G2580" s="3">
        <v>16137.5265586441</v>
      </c>
      <c r="H2580" s="3">
        <v>-43593.1343149387</v>
      </c>
      <c r="I2580" s="3">
        <v>71451.3780638146</v>
      </c>
      <c r="J2580" s="4">
        <v>45870.0</v>
      </c>
      <c r="K2580" s="3">
        <v>5.0</v>
      </c>
      <c r="L2580" s="3" t="s">
        <v>31</v>
      </c>
    </row>
    <row r="2581" ht="15.75" customHeight="1">
      <c r="A2581" s="3" t="s">
        <v>2662</v>
      </c>
      <c r="B2581" s="3" t="s">
        <v>51</v>
      </c>
      <c r="C2581" s="3" t="s">
        <v>30</v>
      </c>
      <c r="D2581" s="3">
        <v>77660.7236037927</v>
      </c>
      <c r="E2581" s="3">
        <v>26528.8138634669</v>
      </c>
      <c r="F2581" s="3">
        <v>21037.8256077145</v>
      </c>
      <c r="G2581" s="3">
        <v>16140.9241093314</v>
      </c>
      <c r="H2581" s="3">
        <v>-43642.6380326877</v>
      </c>
      <c r="I2581" s="3">
        <v>71454.7595382344</v>
      </c>
      <c r="J2581" s="4">
        <v>45901.0</v>
      </c>
      <c r="K2581" s="3">
        <v>25.0</v>
      </c>
      <c r="L2581" s="3" t="s">
        <v>34</v>
      </c>
    </row>
    <row r="2582" ht="15.75" customHeight="1">
      <c r="A2582" s="3" t="s">
        <v>2663</v>
      </c>
      <c r="B2582" s="3" t="s">
        <v>29</v>
      </c>
      <c r="C2582" s="3" t="s">
        <v>14</v>
      </c>
      <c r="D2582" s="3">
        <v>77671.6065736989</v>
      </c>
      <c r="E2582" s="3">
        <v>26533.4285817943</v>
      </c>
      <c r="F2582" s="3">
        <v>21045.505611144</v>
      </c>
      <c r="G2582" s="3">
        <v>16144.3216600187</v>
      </c>
      <c r="H2582" s="3">
        <v>-43692.1417504367</v>
      </c>
      <c r="I2582" s="3">
        <v>71458.1410126542</v>
      </c>
      <c r="J2582" s="4">
        <v>45717.0</v>
      </c>
      <c r="K2582" s="3">
        <v>18.0</v>
      </c>
      <c r="L2582" s="3" t="s">
        <v>38</v>
      </c>
    </row>
    <row r="2583" ht="15.75" customHeight="1">
      <c r="A2583" s="3" t="s">
        <v>2664</v>
      </c>
      <c r="B2583" s="3" t="s">
        <v>36</v>
      </c>
      <c r="C2583" s="3" t="s">
        <v>54</v>
      </c>
      <c r="D2583" s="3">
        <v>77682.4895436051</v>
      </c>
      <c r="E2583" s="3">
        <v>26538.0433001218</v>
      </c>
      <c r="F2583" s="3">
        <v>21053.1856145735</v>
      </c>
      <c r="G2583" s="3">
        <v>16147.719210706</v>
      </c>
      <c r="H2583" s="3">
        <v>-43741.6454681867</v>
      </c>
      <c r="I2583" s="3">
        <v>71461.522487074</v>
      </c>
      <c r="J2583" s="4">
        <v>45778.0</v>
      </c>
      <c r="K2583" s="3">
        <v>17.0</v>
      </c>
      <c r="L2583" s="3" t="s">
        <v>40</v>
      </c>
    </row>
    <row r="2584" ht="15.75" customHeight="1">
      <c r="A2584" s="3" t="s">
        <v>2665</v>
      </c>
      <c r="B2584" s="3" t="s">
        <v>53</v>
      </c>
      <c r="C2584" s="3" t="s">
        <v>26</v>
      </c>
      <c r="D2584" s="3">
        <v>77704.2554834174</v>
      </c>
      <c r="E2584" s="3">
        <v>26547.2727367766</v>
      </c>
      <c r="F2584" s="3">
        <v>21068.5456214325</v>
      </c>
      <c r="G2584" s="3">
        <v>16154.5143120806</v>
      </c>
      <c r="H2584" s="3">
        <v>-43840.6529036847</v>
      </c>
      <c r="I2584" s="3">
        <v>71468.2854359137</v>
      </c>
      <c r="J2584" s="4">
        <v>45778.0</v>
      </c>
      <c r="K2584" s="3">
        <v>21.0</v>
      </c>
      <c r="L2584" s="3" t="s">
        <v>15</v>
      </c>
    </row>
    <row r="2585" ht="15.75" customHeight="1">
      <c r="A2585" s="3" t="s">
        <v>2666</v>
      </c>
      <c r="B2585" s="3" t="s">
        <v>36</v>
      </c>
      <c r="C2585" s="3" t="s">
        <v>33</v>
      </c>
      <c r="D2585" s="3">
        <v>77715.1384533236</v>
      </c>
      <c r="E2585" s="3">
        <v>26551.887455104</v>
      </c>
      <c r="F2585" s="3">
        <v>21076.225624862</v>
      </c>
      <c r="G2585" s="3">
        <v>16157.9118627678</v>
      </c>
      <c r="H2585" s="3">
        <v>-43890.1566214338</v>
      </c>
      <c r="I2585" s="3">
        <v>71471.6669103335</v>
      </c>
      <c r="J2585" s="4">
        <v>45809.0</v>
      </c>
      <c r="K2585" s="3">
        <v>3.0</v>
      </c>
      <c r="L2585" s="3" t="s">
        <v>19</v>
      </c>
    </row>
    <row r="2586" ht="15.75" customHeight="1">
      <c r="A2586" s="3" t="s">
        <v>2667</v>
      </c>
      <c r="B2586" s="3" t="s">
        <v>13</v>
      </c>
      <c r="C2586" s="3" t="s">
        <v>18</v>
      </c>
      <c r="D2586" s="3">
        <v>77736.904393136</v>
      </c>
      <c r="E2586" s="3">
        <v>26561.1168917589</v>
      </c>
      <c r="F2586" s="3">
        <v>21091.585631721</v>
      </c>
      <c r="G2586" s="3">
        <v>16164.7069641424</v>
      </c>
      <c r="H2586" s="3">
        <v>-43989.1640569317</v>
      </c>
      <c r="I2586" s="3">
        <v>71478.4298591731</v>
      </c>
      <c r="J2586" s="4">
        <v>45962.0</v>
      </c>
      <c r="K2586" s="3">
        <v>23.0</v>
      </c>
      <c r="L2586" s="3" t="s">
        <v>23</v>
      </c>
    </row>
    <row r="2587" ht="15.75" customHeight="1">
      <c r="A2587" s="3" t="s">
        <v>2668</v>
      </c>
      <c r="B2587" s="3" t="s">
        <v>53</v>
      </c>
      <c r="C2587" s="3" t="s">
        <v>30</v>
      </c>
      <c r="D2587" s="3">
        <v>77747.7873630422</v>
      </c>
      <c r="E2587" s="3">
        <v>26565.7316100863</v>
      </c>
      <c r="F2587" s="3">
        <v>21099.2656351505</v>
      </c>
      <c r="G2587" s="3">
        <v>16168.1045148297</v>
      </c>
      <c r="H2587" s="3">
        <v>-44038.6677746807</v>
      </c>
      <c r="I2587" s="3">
        <v>71481.8113335929</v>
      </c>
      <c r="J2587" s="4">
        <v>45962.0</v>
      </c>
      <c r="K2587" s="3">
        <v>20.0</v>
      </c>
      <c r="L2587" s="3" t="s">
        <v>27</v>
      </c>
    </row>
    <row r="2588" ht="15.75" customHeight="1">
      <c r="A2588" s="3" t="s">
        <v>2669</v>
      </c>
      <c r="B2588" s="3" t="s">
        <v>13</v>
      </c>
      <c r="C2588" s="3" t="s">
        <v>33</v>
      </c>
      <c r="D2588" s="3">
        <v>77758.6703329484</v>
      </c>
      <c r="E2588" s="3">
        <v>26570.3463284137</v>
      </c>
      <c r="F2588" s="3">
        <v>21106.94563858</v>
      </c>
      <c r="G2588" s="3">
        <v>16171.502065517</v>
      </c>
      <c r="H2588" s="3">
        <v>-44088.1714924297</v>
      </c>
      <c r="I2588" s="3">
        <v>71485.1928080127</v>
      </c>
      <c r="J2588" s="4">
        <v>45901.0</v>
      </c>
      <c r="K2588" s="3">
        <v>6.0</v>
      </c>
      <c r="L2588" s="3" t="s">
        <v>31</v>
      </c>
    </row>
    <row r="2589" ht="15.75" customHeight="1">
      <c r="A2589" s="3" t="s">
        <v>2670</v>
      </c>
      <c r="B2589" s="3" t="s">
        <v>29</v>
      </c>
      <c r="C2589" s="3" t="s">
        <v>37</v>
      </c>
      <c r="D2589" s="3">
        <v>77769.5533028546</v>
      </c>
      <c r="E2589" s="3">
        <v>26574.9610467411</v>
      </c>
      <c r="F2589" s="3">
        <v>21114.6256420095</v>
      </c>
      <c r="G2589" s="3">
        <v>16174.8996162043</v>
      </c>
      <c r="H2589" s="3">
        <v>-44137.6752101797</v>
      </c>
      <c r="I2589" s="3">
        <v>71488.5742824325</v>
      </c>
      <c r="J2589" s="4">
        <v>45658.0</v>
      </c>
      <c r="K2589" s="3">
        <v>7.0</v>
      </c>
      <c r="L2589" s="3" t="s">
        <v>34</v>
      </c>
    </row>
    <row r="2590" ht="15.75" customHeight="1">
      <c r="A2590" s="3" t="s">
        <v>2671</v>
      </c>
      <c r="B2590" s="3" t="s">
        <v>29</v>
      </c>
      <c r="C2590" s="3" t="s">
        <v>30</v>
      </c>
      <c r="D2590" s="3">
        <v>77791.319242667</v>
      </c>
      <c r="E2590" s="3">
        <v>26584.190483396</v>
      </c>
      <c r="F2590" s="3">
        <v>21129.9856488685</v>
      </c>
      <c r="G2590" s="3">
        <v>16181.6947175789</v>
      </c>
      <c r="H2590" s="3">
        <v>-44236.6826456777</v>
      </c>
      <c r="I2590" s="3">
        <v>71495.3372312722</v>
      </c>
      <c r="J2590" s="4">
        <v>45992.0</v>
      </c>
      <c r="K2590" s="3">
        <v>5.0</v>
      </c>
      <c r="L2590" s="3" t="s">
        <v>40</v>
      </c>
    </row>
    <row r="2591" ht="15.75" customHeight="1">
      <c r="A2591" s="3" t="s">
        <v>2672</v>
      </c>
      <c r="B2591" s="3" t="s">
        <v>13</v>
      </c>
      <c r="C2591" s="3" t="s">
        <v>26</v>
      </c>
      <c r="D2591" s="3">
        <v>77802.2022125732</v>
      </c>
      <c r="E2591" s="3">
        <v>26588.8052017234</v>
      </c>
      <c r="F2591" s="3">
        <v>21137.665652298</v>
      </c>
      <c r="G2591" s="3">
        <v>16185.0922682661</v>
      </c>
      <c r="H2591" s="3">
        <v>-44286.1863634268</v>
      </c>
      <c r="I2591" s="3">
        <v>71498.718705692</v>
      </c>
      <c r="J2591" s="4">
        <v>45992.0</v>
      </c>
      <c r="K2591" s="3">
        <v>17.0</v>
      </c>
      <c r="L2591" s="3" t="s">
        <v>42</v>
      </c>
    </row>
    <row r="2592" ht="15.75" customHeight="1">
      <c r="A2592" s="3" t="s">
        <v>2673</v>
      </c>
      <c r="B2592" s="3" t="s">
        <v>36</v>
      </c>
      <c r="C2592" s="3" t="s">
        <v>14</v>
      </c>
      <c r="D2592" s="3">
        <v>77823.9681523856</v>
      </c>
      <c r="E2592" s="3">
        <v>26598.0346383782</v>
      </c>
      <c r="F2592" s="3">
        <v>21153.025659157</v>
      </c>
      <c r="G2592" s="3">
        <v>16191.8873696407</v>
      </c>
      <c r="H2592" s="3">
        <v>-44385.1937989247</v>
      </c>
      <c r="I2592" s="3">
        <v>71505.4816545316</v>
      </c>
      <c r="J2592" s="4">
        <v>45717.0</v>
      </c>
      <c r="K2592" s="3">
        <v>16.0</v>
      </c>
      <c r="L2592" s="3" t="s">
        <v>19</v>
      </c>
    </row>
    <row r="2593" ht="15.75" customHeight="1">
      <c r="A2593" s="3" t="s">
        <v>2674</v>
      </c>
      <c r="B2593" s="3" t="s">
        <v>36</v>
      </c>
      <c r="C2593" s="3" t="s">
        <v>14</v>
      </c>
      <c r="D2593" s="3">
        <v>77834.8511222918</v>
      </c>
      <c r="E2593" s="3">
        <v>26602.6493567057</v>
      </c>
      <c r="F2593" s="3">
        <v>21160.7056625865</v>
      </c>
      <c r="G2593" s="3">
        <v>16195.284920328</v>
      </c>
      <c r="H2593" s="3">
        <v>-44434.6975166737</v>
      </c>
      <c r="I2593" s="3">
        <v>71508.8631289514</v>
      </c>
      <c r="J2593" s="4">
        <v>45901.0</v>
      </c>
      <c r="K2593" s="3">
        <v>7.0</v>
      </c>
      <c r="L2593" s="3" t="s">
        <v>21</v>
      </c>
    </row>
    <row r="2594" ht="15.75" customHeight="1">
      <c r="A2594" s="3" t="s">
        <v>2675</v>
      </c>
      <c r="B2594" s="3" t="s">
        <v>29</v>
      </c>
      <c r="C2594" s="3" t="s">
        <v>26</v>
      </c>
      <c r="D2594" s="3">
        <v>77845.734092198</v>
      </c>
      <c r="E2594" s="3">
        <v>26607.2640750331</v>
      </c>
      <c r="F2594" s="3">
        <v>21168.385666016</v>
      </c>
      <c r="G2594" s="3">
        <v>16198.6824710153</v>
      </c>
      <c r="H2594" s="3">
        <v>-44484.2012344227</v>
      </c>
      <c r="I2594" s="3">
        <v>71512.2446033712</v>
      </c>
      <c r="J2594" s="4">
        <v>45870.0</v>
      </c>
      <c r="K2594" s="3">
        <v>4.0</v>
      </c>
      <c r="L2594" s="3" t="s">
        <v>23</v>
      </c>
    </row>
    <row r="2595" ht="15.75" customHeight="1">
      <c r="A2595" s="3" t="s">
        <v>2676</v>
      </c>
      <c r="B2595" s="3" t="s">
        <v>13</v>
      </c>
      <c r="C2595" s="3" t="s">
        <v>26</v>
      </c>
      <c r="D2595" s="3">
        <v>77856.6170621041</v>
      </c>
      <c r="E2595" s="3">
        <v>26611.8787933605</v>
      </c>
      <c r="F2595" s="3">
        <v>21176.0656694455</v>
      </c>
      <c r="G2595" s="3">
        <v>16202.0800217026</v>
      </c>
      <c r="H2595" s="3">
        <v>-44533.7049521727</v>
      </c>
      <c r="I2595" s="3">
        <v>71515.6260777911</v>
      </c>
      <c r="J2595" s="4">
        <v>45901.0</v>
      </c>
      <c r="K2595" s="3">
        <v>15.0</v>
      </c>
      <c r="L2595" s="3" t="s">
        <v>27</v>
      </c>
    </row>
    <row r="2596" ht="15.75" customHeight="1">
      <c r="A2596" s="3" t="s">
        <v>2677</v>
      </c>
      <c r="B2596" s="3" t="s">
        <v>51</v>
      </c>
      <c r="C2596" s="3" t="s">
        <v>54</v>
      </c>
      <c r="D2596" s="3">
        <v>77867.5000320103</v>
      </c>
      <c r="E2596" s="3">
        <v>26616.4935116879</v>
      </c>
      <c r="F2596" s="3">
        <v>21183.745672875</v>
      </c>
      <c r="G2596" s="3">
        <v>16205.4775723899</v>
      </c>
      <c r="H2596" s="3">
        <v>-44583.2086699217</v>
      </c>
      <c r="I2596" s="3">
        <v>71519.0075522109</v>
      </c>
      <c r="J2596" s="4">
        <v>45992.0</v>
      </c>
      <c r="K2596" s="3">
        <v>6.0</v>
      </c>
      <c r="L2596" s="3" t="s">
        <v>31</v>
      </c>
    </row>
    <row r="2597" ht="15.75" customHeight="1">
      <c r="A2597" s="3" t="s">
        <v>2678</v>
      </c>
      <c r="B2597" s="3" t="s">
        <v>17</v>
      </c>
      <c r="C2597" s="3" t="s">
        <v>18</v>
      </c>
      <c r="D2597" s="3">
        <v>77878.3830019165</v>
      </c>
      <c r="E2597" s="3">
        <v>26621.1082300154</v>
      </c>
      <c r="F2597" s="3">
        <v>21191.4256763045</v>
      </c>
      <c r="G2597" s="3">
        <v>16208.8751230772</v>
      </c>
      <c r="H2597" s="3">
        <v>-44632.7123876707</v>
      </c>
      <c r="I2597" s="3">
        <v>71522.3890266307</v>
      </c>
      <c r="J2597" s="4">
        <v>45689.0</v>
      </c>
      <c r="K2597" s="3">
        <v>14.0</v>
      </c>
      <c r="L2597" s="3" t="s">
        <v>34</v>
      </c>
    </row>
    <row r="2598" ht="15.75" customHeight="1">
      <c r="A2598" s="3" t="s">
        <v>2679</v>
      </c>
      <c r="B2598" s="3" t="s">
        <v>51</v>
      </c>
      <c r="C2598" s="3" t="s">
        <v>37</v>
      </c>
      <c r="D2598" s="3">
        <v>77889.2659718227</v>
      </c>
      <c r="E2598" s="3">
        <v>26625.7229483428</v>
      </c>
      <c r="F2598" s="3">
        <v>21199.105679734</v>
      </c>
      <c r="G2598" s="3">
        <v>16212.2726737644</v>
      </c>
      <c r="H2598" s="3">
        <v>-44682.2161054197</v>
      </c>
      <c r="I2598" s="3">
        <v>71525.7705010505</v>
      </c>
      <c r="J2598" s="4">
        <v>45809.0</v>
      </c>
      <c r="K2598" s="3">
        <v>14.0</v>
      </c>
      <c r="L2598" s="3" t="s">
        <v>38</v>
      </c>
    </row>
    <row r="2599" ht="15.75" customHeight="1">
      <c r="A2599" s="3" t="s">
        <v>2680</v>
      </c>
      <c r="B2599" s="3" t="s">
        <v>13</v>
      </c>
      <c r="C2599" s="3" t="s">
        <v>26</v>
      </c>
      <c r="D2599" s="3">
        <v>77900.1489417289</v>
      </c>
      <c r="E2599" s="3">
        <v>26630.3376666702</v>
      </c>
      <c r="F2599" s="3">
        <v>21206.7856831635</v>
      </c>
      <c r="G2599" s="3">
        <v>16215.6702244517</v>
      </c>
      <c r="H2599" s="3">
        <v>-44731.7198231688</v>
      </c>
      <c r="I2599" s="3">
        <v>71529.1519754703</v>
      </c>
      <c r="J2599" s="4">
        <v>45717.0</v>
      </c>
      <c r="K2599" s="3">
        <v>23.0</v>
      </c>
      <c r="L2599" s="3" t="s">
        <v>40</v>
      </c>
    </row>
    <row r="2600" ht="15.75" customHeight="1">
      <c r="A2600" s="3" t="s">
        <v>2681</v>
      </c>
      <c r="B2600" s="3" t="s">
        <v>51</v>
      </c>
      <c r="C2600" s="3" t="s">
        <v>30</v>
      </c>
      <c r="D2600" s="3">
        <v>77911.0319116351</v>
      </c>
      <c r="E2600" s="3">
        <v>26634.9523849976</v>
      </c>
      <c r="F2600" s="3">
        <v>21214.465686593</v>
      </c>
      <c r="G2600" s="3">
        <v>16219.067775139</v>
      </c>
      <c r="H2600" s="3">
        <v>-44781.2235409177</v>
      </c>
      <c r="I2600" s="3">
        <v>71532.5334498901</v>
      </c>
      <c r="J2600" s="4">
        <v>45717.0</v>
      </c>
      <c r="K2600" s="3">
        <v>11.0</v>
      </c>
      <c r="L2600" s="3" t="s">
        <v>42</v>
      </c>
    </row>
    <row r="2601" ht="15.75" customHeight="1">
      <c r="A2601" s="3" t="s">
        <v>2682</v>
      </c>
      <c r="B2601" s="3" t="s">
        <v>51</v>
      </c>
      <c r="C2601" s="3" t="s">
        <v>18</v>
      </c>
      <c r="D2601" s="3">
        <v>77921.9148815413</v>
      </c>
      <c r="E2601" s="3">
        <v>26639.567103325</v>
      </c>
      <c r="F2601" s="3">
        <v>21222.1456900225</v>
      </c>
      <c r="G2601" s="3">
        <v>16222.4653258263</v>
      </c>
      <c r="H2601" s="3">
        <v>-44830.7272586667</v>
      </c>
      <c r="I2601" s="3">
        <v>71535.9149243099</v>
      </c>
      <c r="J2601" s="4">
        <v>45901.0</v>
      </c>
      <c r="K2601" s="3">
        <v>16.0</v>
      </c>
      <c r="L2601" s="3" t="s">
        <v>15</v>
      </c>
    </row>
    <row r="2602" ht="15.75" customHeight="1">
      <c r="A2602" s="3" t="s">
        <v>2683</v>
      </c>
      <c r="B2602" s="3" t="s">
        <v>36</v>
      </c>
      <c r="C2602" s="3" t="s">
        <v>33</v>
      </c>
      <c r="D2602" s="3">
        <v>77932.7978514475</v>
      </c>
      <c r="E2602" s="3">
        <v>26644.1818216525</v>
      </c>
      <c r="F2602" s="3">
        <v>21229.825693452</v>
      </c>
      <c r="G2602" s="3">
        <v>16225.8628765136</v>
      </c>
      <c r="H2602" s="3">
        <v>-44880.2309764157</v>
      </c>
      <c r="I2602" s="3">
        <v>71539.2963987298</v>
      </c>
      <c r="J2602" s="4">
        <v>45778.0</v>
      </c>
      <c r="K2602" s="3">
        <v>14.0</v>
      </c>
      <c r="L2602" s="3" t="s">
        <v>19</v>
      </c>
    </row>
    <row r="2603" ht="15.75" customHeight="1">
      <c r="A2603" s="3" t="s">
        <v>2684</v>
      </c>
      <c r="B2603" s="3" t="s">
        <v>29</v>
      </c>
      <c r="C2603" s="3" t="s">
        <v>18</v>
      </c>
      <c r="D2603" s="3">
        <v>77943.6808213537</v>
      </c>
      <c r="E2603" s="3">
        <v>26648.7965399799</v>
      </c>
      <c r="F2603" s="3">
        <v>21237.5056968815</v>
      </c>
      <c r="G2603" s="3">
        <v>16229.2604272009</v>
      </c>
      <c r="H2603" s="3">
        <v>-44929.7346941657</v>
      </c>
      <c r="I2603" s="3">
        <v>71542.6778731496</v>
      </c>
      <c r="J2603" s="4">
        <v>45717.0</v>
      </c>
      <c r="K2603" s="3">
        <v>24.0</v>
      </c>
      <c r="L2603" s="3" t="s">
        <v>21</v>
      </c>
    </row>
    <row r="2604" ht="15.75" customHeight="1">
      <c r="A2604" s="3" t="s">
        <v>2685</v>
      </c>
      <c r="B2604" s="3" t="s">
        <v>29</v>
      </c>
      <c r="C2604" s="3" t="s">
        <v>30</v>
      </c>
      <c r="D2604" s="3">
        <v>77954.5637912599</v>
      </c>
      <c r="E2604" s="3">
        <v>26653.4112583073</v>
      </c>
      <c r="F2604" s="3">
        <v>21245.185700311</v>
      </c>
      <c r="G2604" s="3">
        <v>16232.6579778882</v>
      </c>
      <c r="H2604" s="3">
        <v>-44979.2384119147</v>
      </c>
      <c r="I2604" s="3">
        <v>71546.0593475694</v>
      </c>
      <c r="J2604" s="4">
        <v>45931.0</v>
      </c>
      <c r="K2604" s="3">
        <v>6.0</v>
      </c>
      <c r="L2604" s="3" t="s">
        <v>23</v>
      </c>
    </row>
    <row r="2605" ht="15.75" customHeight="1">
      <c r="A2605" s="3" t="s">
        <v>2686</v>
      </c>
      <c r="B2605" s="3" t="s">
        <v>51</v>
      </c>
      <c r="C2605" s="3" t="s">
        <v>37</v>
      </c>
      <c r="D2605" s="3">
        <v>77965.4467611661</v>
      </c>
      <c r="E2605" s="3">
        <v>26658.0259766347</v>
      </c>
      <c r="F2605" s="3">
        <v>21252.8657037405</v>
      </c>
      <c r="G2605" s="3">
        <v>16236.0555285754</v>
      </c>
      <c r="H2605" s="3">
        <v>-45028.7421296637</v>
      </c>
      <c r="I2605" s="3">
        <v>71549.4408219892</v>
      </c>
      <c r="J2605" s="4">
        <v>45689.0</v>
      </c>
      <c r="K2605" s="3">
        <v>4.0</v>
      </c>
      <c r="L2605" s="3" t="s">
        <v>27</v>
      </c>
    </row>
    <row r="2606" ht="15.75" customHeight="1">
      <c r="A2606" s="3" t="s">
        <v>2687</v>
      </c>
      <c r="B2606" s="3" t="s">
        <v>53</v>
      </c>
      <c r="C2606" s="3" t="s">
        <v>33</v>
      </c>
      <c r="D2606" s="3">
        <v>77976.3297310723</v>
      </c>
      <c r="E2606" s="3">
        <v>26662.6406949622</v>
      </c>
      <c r="F2606" s="3">
        <v>21260.54570717</v>
      </c>
      <c r="G2606" s="3">
        <v>16239.4530792627</v>
      </c>
      <c r="H2606" s="3">
        <v>-45078.2458474127</v>
      </c>
      <c r="I2606" s="3">
        <v>71552.822296409</v>
      </c>
      <c r="J2606" s="4">
        <v>45931.0</v>
      </c>
      <c r="K2606" s="3">
        <v>3.0</v>
      </c>
      <c r="L2606" s="3" t="s">
        <v>31</v>
      </c>
    </row>
    <row r="2607" ht="15.75" customHeight="1">
      <c r="A2607" s="3" t="s">
        <v>2688</v>
      </c>
      <c r="B2607" s="3" t="s">
        <v>29</v>
      </c>
      <c r="C2607" s="3" t="s">
        <v>33</v>
      </c>
      <c r="D2607" s="3">
        <v>77987.2127009785</v>
      </c>
      <c r="E2607" s="3">
        <v>26667.2554132896</v>
      </c>
      <c r="F2607" s="3">
        <v>21268.2257105994</v>
      </c>
      <c r="G2607" s="3">
        <v>16242.85062995</v>
      </c>
      <c r="H2607" s="3">
        <v>-45127.7495651618</v>
      </c>
      <c r="I2607" s="3">
        <v>71556.2037708288</v>
      </c>
      <c r="J2607" s="4">
        <v>45778.0</v>
      </c>
      <c r="K2607" s="3">
        <v>19.0</v>
      </c>
      <c r="L2607" s="3" t="s">
        <v>34</v>
      </c>
    </row>
    <row r="2608" ht="15.75" customHeight="1">
      <c r="A2608" s="3" t="s">
        <v>2689</v>
      </c>
      <c r="B2608" s="3" t="s">
        <v>17</v>
      </c>
      <c r="C2608" s="3" t="s">
        <v>54</v>
      </c>
      <c r="D2608" s="5"/>
      <c r="E2608" s="3">
        <v>26671.870131617</v>
      </c>
      <c r="F2608" s="3">
        <v>21275.9057140289</v>
      </c>
      <c r="G2608" s="3">
        <v>16246.2481806373</v>
      </c>
      <c r="H2608" s="3">
        <v>-45177.2532829108</v>
      </c>
      <c r="I2608" s="3">
        <v>71559.5852452486</v>
      </c>
      <c r="J2608" s="4">
        <v>45778.0</v>
      </c>
      <c r="K2608" s="3">
        <v>16.0</v>
      </c>
      <c r="L2608" s="3" t="s">
        <v>38</v>
      </c>
    </row>
    <row r="2609" ht="15.75" customHeight="1">
      <c r="A2609" s="3" t="s">
        <v>2690</v>
      </c>
      <c r="B2609" s="3" t="s">
        <v>36</v>
      </c>
      <c r="C2609" s="3" t="s">
        <v>33</v>
      </c>
      <c r="D2609" s="3">
        <v>78008.9786407909</v>
      </c>
      <c r="E2609" s="3">
        <v>26676.4848499444</v>
      </c>
      <c r="F2609" s="3">
        <v>21283.5857174584</v>
      </c>
      <c r="G2609" s="3">
        <v>16249.6457313246</v>
      </c>
      <c r="H2609" s="3">
        <v>-45226.7570006597</v>
      </c>
      <c r="I2609" s="3">
        <v>71562.9667196685</v>
      </c>
      <c r="J2609" s="4">
        <v>45870.0</v>
      </c>
      <c r="K2609" s="3">
        <v>25.0</v>
      </c>
      <c r="L2609" s="3" t="s">
        <v>40</v>
      </c>
    </row>
    <row r="2610" ht="15.75" customHeight="1">
      <c r="A2610" s="3" t="s">
        <v>2691</v>
      </c>
      <c r="B2610" s="3" t="s">
        <v>13</v>
      </c>
      <c r="C2610" s="3" t="s">
        <v>33</v>
      </c>
      <c r="D2610" s="3">
        <v>78019.861610697</v>
      </c>
      <c r="E2610" s="3">
        <v>26681.0995682718</v>
      </c>
      <c r="F2610" s="3">
        <v>21291.2657208879</v>
      </c>
      <c r="G2610" s="3">
        <v>16253.0432820119</v>
      </c>
      <c r="H2610" s="3">
        <v>-45276.2607184087</v>
      </c>
      <c r="I2610" s="3">
        <v>71566.3481940883</v>
      </c>
      <c r="J2610" s="4">
        <v>45992.0</v>
      </c>
      <c r="K2610" s="3">
        <v>18.0</v>
      </c>
      <c r="L2610" s="3" t="s">
        <v>42</v>
      </c>
    </row>
    <row r="2611" ht="15.75" customHeight="1">
      <c r="A2611" s="3" t="s">
        <v>2692</v>
      </c>
      <c r="B2611" s="3" t="s">
        <v>36</v>
      </c>
      <c r="C2611" s="3" t="s">
        <v>33</v>
      </c>
      <c r="D2611" s="3">
        <v>78030.7445806032</v>
      </c>
      <c r="E2611" s="3">
        <v>26685.7142865993</v>
      </c>
      <c r="F2611" s="3">
        <v>21298.9457243174</v>
      </c>
      <c r="G2611" s="3">
        <v>16256.4408326992</v>
      </c>
      <c r="H2611" s="3">
        <v>-45325.7644361587</v>
      </c>
      <c r="I2611" s="3">
        <v>71569.7296685081</v>
      </c>
      <c r="J2611" s="4">
        <v>45901.0</v>
      </c>
      <c r="K2611" s="3">
        <v>2.0</v>
      </c>
      <c r="L2611" s="3" t="s">
        <v>15</v>
      </c>
    </row>
    <row r="2612" ht="15.75" customHeight="1">
      <c r="A2612" s="3" t="s">
        <v>2693</v>
      </c>
      <c r="B2612" s="3" t="s">
        <v>51</v>
      </c>
      <c r="C2612" s="3" t="s">
        <v>54</v>
      </c>
      <c r="D2612" s="3">
        <v>78041.6275505094</v>
      </c>
      <c r="E2612" s="3">
        <v>26690.3290049267</v>
      </c>
      <c r="F2612" s="3">
        <v>21306.6257277469</v>
      </c>
      <c r="G2612" s="3">
        <v>16259.8383833865</v>
      </c>
      <c r="H2612" s="3">
        <v>-45375.2681539077</v>
      </c>
      <c r="I2612" s="3">
        <v>71573.1111429279</v>
      </c>
      <c r="J2612" s="4">
        <v>45717.0</v>
      </c>
      <c r="K2612" s="3">
        <v>11.0</v>
      </c>
      <c r="L2612" s="3" t="s">
        <v>19</v>
      </c>
    </row>
    <row r="2613" ht="15.75" customHeight="1">
      <c r="A2613" s="3" t="s">
        <v>2694</v>
      </c>
      <c r="B2613" s="3" t="s">
        <v>17</v>
      </c>
      <c r="C2613" s="3" t="s">
        <v>30</v>
      </c>
      <c r="D2613" s="3">
        <v>78063.3934903218</v>
      </c>
      <c r="E2613" s="3">
        <v>26699.5584415815</v>
      </c>
      <c r="F2613" s="3">
        <v>21321.9857346059</v>
      </c>
      <c r="G2613" s="3">
        <v>16266.633484761</v>
      </c>
      <c r="H2613" s="3">
        <v>-45474.2755894057</v>
      </c>
      <c r="I2613" s="3">
        <v>71579.8740917675</v>
      </c>
      <c r="J2613" s="4">
        <v>45748.0</v>
      </c>
      <c r="K2613" s="3">
        <v>20.0</v>
      </c>
      <c r="L2613" s="3" t="s">
        <v>23</v>
      </c>
    </row>
    <row r="2614" ht="15.75" customHeight="1">
      <c r="A2614" s="3" t="s">
        <v>2695</v>
      </c>
      <c r="B2614" s="3" t="s">
        <v>17</v>
      </c>
      <c r="C2614" s="3" t="s">
        <v>14</v>
      </c>
      <c r="D2614" s="3">
        <v>78074.276460228</v>
      </c>
      <c r="E2614" s="3">
        <v>26704.173159909</v>
      </c>
      <c r="F2614" s="3">
        <v>21329.6657380354</v>
      </c>
      <c r="G2614" s="3">
        <v>16270.0310354483</v>
      </c>
      <c r="H2614" s="3">
        <v>-45523.7793071547</v>
      </c>
      <c r="I2614" s="3">
        <v>71583.2555661873</v>
      </c>
      <c r="J2614" s="4">
        <v>45778.0</v>
      </c>
      <c r="K2614" s="3">
        <v>23.0</v>
      </c>
      <c r="L2614" s="3" t="s">
        <v>27</v>
      </c>
    </row>
    <row r="2615" ht="15.75" customHeight="1">
      <c r="A2615" s="3" t="s">
        <v>2696</v>
      </c>
      <c r="B2615" s="3" t="s">
        <v>25</v>
      </c>
      <c r="C2615" s="3" t="s">
        <v>14</v>
      </c>
      <c r="D2615" s="3">
        <v>78085.1594301342</v>
      </c>
      <c r="E2615" s="3">
        <v>26708.7878782364</v>
      </c>
      <c r="F2615" s="3">
        <v>21337.3457414649</v>
      </c>
      <c r="G2615" s="3">
        <v>16273.4285861356</v>
      </c>
      <c r="H2615" s="3">
        <v>61811.7308439986</v>
      </c>
      <c r="I2615" s="3">
        <v>66811.7308439986</v>
      </c>
      <c r="J2615" s="4">
        <v>45748.0</v>
      </c>
      <c r="K2615" s="3">
        <v>15.0</v>
      </c>
      <c r="L2615" s="3" t="s">
        <v>31</v>
      </c>
    </row>
    <row r="2616" ht="15.75" customHeight="1">
      <c r="A2616" s="3" t="s">
        <v>2697</v>
      </c>
      <c r="B2616" s="3" t="s">
        <v>36</v>
      </c>
      <c r="C2616" s="3" t="s">
        <v>30</v>
      </c>
      <c r="D2616" s="3">
        <v>78106.9253699466</v>
      </c>
      <c r="E2616" s="3">
        <v>26718.0173148912</v>
      </c>
      <c r="F2616" s="3">
        <v>21352.7057483239</v>
      </c>
      <c r="G2616" s="3">
        <v>16280.2236875102</v>
      </c>
      <c r="H2616" s="3">
        <v>-45672.2904604017</v>
      </c>
      <c r="I2616" s="3">
        <v>71593.3999894468</v>
      </c>
      <c r="J2616" s="4">
        <v>45717.0</v>
      </c>
      <c r="K2616" s="3">
        <v>17.0</v>
      </c>
      <c r="L2616" s="3" t="s">
        <v>38</v>
      </c>
    </row>
    <row r="2617" ht="15.75" customHeight="1">
      <c r="A2617" s="3" t="s">
        <v>2698</v>
      </c>
      <c r="B2617" s="3" t="s">
        <v>51</v>
      </c>
      <c r="C2617" s="3" t="s">
        <v>37</v>
      </c>
      <c r="D2617" s="3">
        <v>78117.8083398528</v>
      </c>
      <c r="E2617" s="3">
        <v>26722.6320332186</v>
      </c>
      <c r="F2617" s="3">
        <v>21360.3857517534</v>
      </c>
      <c r="G2617" s="3">
        <v>16283.6212381975</v>
      </c>
      <c r="H2617" s="3">
        <v>-45721.7941781517</v>
      </c>
      <c r="I2617" s="3">
        <v>71596.7814638666</v>
      </c>
      <c r="J2617" s="4">
        <v>45658.0</v>
      </c>
      <c r="K2617" s="3">
        <v>8.0</v>
      </c>
      <c r="L2617" s="3" t="s">
        <v>40</v>
      </c>
    </row>
    <row r="2618" ht="15.75" customHeight="1">
      <c r="A2618" s="3" t="s">
        <v>2699</v>
      </c>
      <c r="B2618" s="3" t="s">
        <v>13</v>
      </c>
      <c r="C2618" s="3" t="s">
        <v>18</v>
      </c>
      <c r="D2618" s="3">
        <v>78128.691309759</v>
      </c>
      <c r="E2618" s="3">
        <v>26727.2467515461</v>
      </c>
      <c r="F2618" s="3">
        <v>21368.0657551829</v>
      </c>
      <c r="G2618" s="3">
        <v>16287.0187888848</v>
      </c>
      <c r="H2618" s="3">
        <v>-45771.2978959007</v>
      </c>
      <c r="I2618" s="3">
        <v>71600.1629382864</v>
      </c>
      <c r="J2618" s="4">
        <v>45901.0</v>
      </c>
      <c r="K2618" s="3">
        <v>3.0</v>
      </c>
      <c r="L2618" s="3" t="s">
        <v>42</v>
      </c>
    </row>
    <row r="2619" ht="15.75" customHeight="1">
      <c r="A2619" s="3" t="s">
        <v>2700</v>
      </c>
      <c r="B2619" s="3" t="s">
        <v>29</v>
      </c>
      <c r="C2619" s="3" t="s">
        <v>30</v>
      </c>
      <c r="D2619" s="3">
        <v>78139.5742796652</v>
      </c>
      <c r="E2619" s="3">
        <v>26731.8614698735</v>
      </c>
      <c r="F2619" s="3">
        <v>21375.7457586124</v>
      </c>
      <c r="G2619" s="3">
        <v>16290.416339572</v>
      </c>
      <c r="H2619" s="3">
        <v>-45820.8016136497</v>
      </c>
      <c r="I2619" s="3">
        <v>71603.5444127062</v>
      </c>
      <c r="J2619" s="4">
        <v>45931.0</v>
      </c>
      <c r="K2619" s="3">
        <v>23.0</v>
      </c>
      <c r="L2619" s="3" t="s">
        <v>15</v>
      </c>
    </row>
    <row r="2620" ht="15.75" customHeight="1">
      <c r="A2620" s="3" t="s">
        <v>2701</v>
      </c>
      <c r="B2620" s="3" t="s">
        <v>53</v>
      </c>
      <c r="C2620" s="3" t="s">
        <v>54</v>
      </c>
      <c r="D2620" s="3">
        <v>78150.4572495714</v>
      </c>
      <c r="E2620" s="3">
        <v>26736.4761882009</v>
      </c>
      <c r="F2620" s="3">
        <v>21383.4257620419</v>
      </c>
      <c r="G2620" s="3">
        <v>16293.8138902593</v>
      </c>
      <c r="H2620" s="3">
        <v>-45870.3053313987</v>
      </c>
      <c r="I2620" s="3">
        <v>71606.925887126</v>
      </c>
      <c r="J2620" s="4">
        <v>45809.0</v>
      </c>
      <c r="K2620" s="3">
        <v>5.0</v>
      </c>
      <c r="L2620" s="3" t="s">
        <v>19</v>
      </c>
    </row>
    <row r="2621" ht="15.75" customHeight="1">
      <c r="A2621" s="3" t="s">
        <v>2702</v>
      </c>
      <c r="B2621" s="3" t="s">
        <v>36</v>
      </c>
      <c r="C2621" s="3" t="s">
        <v>54</v>
      </c>
      <c r="D2621" s="3">
        <v>78161.3402194776</v>
      </c>
      <c r="E2621" s="3">
        <v>26741.0909065283</v>
      </c>
      <c r="F2621" s="3">
        <v>21391.1057654714</v>
      </c>
      <c r="G2621" s="3">
        <v>16297.2114409466</v>
      </c>
      <c r="H2621" s="3">
        <v>-45919.8090491477</v>
      </c>
      <c r="I2621" s="3">
        <v>71610.3073615459</v>
      </c>
      <c r="J2621" s="4">
        <v>45901.0</v>
      </c>
      <c r="K2621" s="3">
        <v>12.0</v>
      </c>
      <c r="L2621" s="3" t="s">
        <v>21</v>
      </c>
    </row>
    <row r="2622" ht="15.75" customHeight="1">
      <c r="A2622" s="3" t="s">
        <v>2703</v>
      </c>
      <c r="B2622" s="3" t="s">
        <v>17</v>
      </c>
      <c r="C2622" s="3" t="s">
        <v>33</v>
      </c>
      <c r="D2622" s="3">
        <v>78172.2231893838</v>
      </c>
      <c r="E2622" s="3">
        <v>26745.7056248557</v>
      </c>
      <c r="F2622" s="3">
        <v>21398.7857689009</v>
      </c>
      <c r="G2622" s="3">
        <v>16300.6089916339</v>
      </c>
      <c r="H2622" s="3">
        <v>-45969.3127668967</v>
      </c>
      <c r="I2622" s="3">
        <v>71613.6888359657</v>
      </c>
      <c r="J2622" s="3" t="s">
        <v>2704</v>
      </c>
      <c r="K2622" s="3">
        <v>17.0</v>
      </c>
      <c r="L2622" s="3" t="s">
        <v>23</v>
      </c>
    </row>
    <row r="2623" ht="15.75" customHeight="1">
      <c r="A2623" s="3" t="s">
        <v>2705</v>
      </c>
      <c r="B2623" s="3" t="s">
        <v>17</v>
      </c>
      <c r="C2623" s="3" t="s">
        <v>54</v>
      </c>
      <c r="D2623" s="3">
        <v>78193.9891291961</v>
      </c>
      <c r="E2623" s="3">
        <v>26754.9350615106</v>
      </c>
      <c r="F2623" s="3">
        <v>21414.1457757599</v>
      </c>
      <c r="G2623" s="3">
        <v>16307.4040930085</v>
      </c>
      <c r="H2623" s="3">
        <v>-46068.3202023947</v>
      </c>
      <c r="I2623" s="3">
        <v>71620.4517848053</v>
      </c>
      <c r="J2623" s="4">
        <v>45931.0</v>
      </c>
      <c r="K2623" s="3">
        <v>1.0</v>
      </c>
      <c r="L2623" s="3" t="s">
        <v>31</v>
      </c>
    </row>
    <row r="2624" ht="15.75" customHeight="1">
      <c r="A2624" s="3" t="s">
        <v>2706</v>
      </c>
      <c r="B2624" s="3" t="s">
        <v>36</v>
      </c>
      <c r="C2624" s="3" t="s">
        <v>14</v>
      </c>
      <c r="D2624" s="3">
        <v>78204.8720991023</v>
      </c>
      <c r="E2624" s="3">
        <v>26759.549779838</v>
      </c>
      <c r="F2624" s="3">
        <v>21421.8257791894</v>
      </c>
      <c r="G2624" s="3">
        <v>16310.8016436958</v>
      </c>
      <c r="H2624" s="3">
        <v>-46117.8239201447</v>
      </c>
      <c r="I2624" s="3">
        <v>71623.8332592251</v>
      </c>
      <c r="J2624" s="4">
        <v>45778.0</v>
      </c>
      <c r="K2624" s="3">
        <v>7.0</v>
      </c>
      <c r="L2624" s="3" t="s">
        <v>34</v>
      </c>
    </row>
    <row r="2625" ht="15.75" customHeight="1">
      <c r="A2625" s="3" t="s">
        <v>2707</v>
      </c>
      <c r="B2625" s="3" t="s">
        <v>29</v>
      </c>
      <c r="C2625" s="3" t="s">
        <v>18</v>
      </c>
      <c r="D2625" s="3">
        <v>78215.7550690085</v>
      </c>
      <c r="E2625" s="3">
        <v>26764.1644981654</v>
      </c>
      <c r="F2625" s="3">
        <v>21429.5057826189</v>
      </c>
      <c r="G2625" s="3">
        <v>16314.199194383</v>
      </c>
      <c r="H2625" s="3">
        <v>-46167.3276378937</v>
      </c>
      <c r="I2625" s="3">
        <v>71627.2147336449</v>
      </c>
      <c r="J2625" s="4">
        <v>45839.0</v>
      </c>
      <c r="K2625" s="3">
        <v>23.0</v>
      </c>
      <c r="L2625" s="3" t="s">
        <v>38</v>
      </c>
    </row>
    <row r="2626" ht="15.75" customHeight="1">
      <c r="A2626" s="3" t="s">
        <v>2708</v>
      </c>
      <c r="B2626" s="3" t="s">
        <v>29</v>
      </c>
      <c r="C2626" s="3" t="s">
        <v>33</v>
      </c>
      <c r="D2626" s="3">
        <v>78226.6380389147</v>
      </c>
      <c r="E2626" s="3">
        <v>26768.7792164929</v>
      </c>
      <c r="F2626" s="3">
        <v>21437.1857860484</v>
      </c>
      <c r="G2626" s="3">
        <v>16317.5967450703</v>
      </c>
      <c r="H2626" s="3">
        <v>-46216.8313556427</v>
      </c>
      <c r="I2626" s="3">
        <v>71630.5962080647</v>
      </c>
      <c r="J2626" s="4">
        <v>45658.0</v>
      </c>
      <c r="K2626" s="3">
        <v>23.0</v>
      </c>
      <c r="L2626" s="3" t="s">
        <v>40</v>
      </c>
    </row>
    <row r="2627" ht="15.75" customHeight="1">
      <c r="A2627" s="3" t="s">
        <v>2709</v>
      </c>
      <c r="B2627" s="3" t="s">
        <v>36</v>
      </c>
      <c r="C2627" s="3" t="s">
        <v>18</v>
      </c>
      <c r="D2627" s="3">
        <v>78237.5210088209</v>
      </c>
      <c r="E2627" s="3">
        <v>26773.3939348203</v>
      </c>
      <c r="F2627" s="3">
        <v>21444.8657894779</v>
      </c>
      <c r="G2627" s="3">
        <v>16320.9942957576</v>
      </c>
      <c r="H2627" s="3">
        <v>-46266.3350733917</v>
      </c>
      <c r="I2627" s="3">
        <v>71633.9776824845</v>
      </c>
      <c r="J2627" s="4">
        <v>45931.0</v>
      </c>
      <c r="K2627" s="3">
        <v>14.0</v>
      </c>
      <c r="L2627" s="3" t="s">
        <v>42</v>
      </c>
    </row>
    <row r="2628" ht="15.75" customHeight="1">
      <c r="A2628" s="3" t="s">
        <v>2710</v>
      </c>
      <c r="B2628" s="3" t="s">
        <v>53</v>
      </c>
      <c r="C2628" s="3" t="s">
        <v>30</v>
      </c>
      <c r="D2628" s="3">
        <v>78248.4039787271</v>
      </c>
      <c r="E2628" s="3">
        <v>26778.0086531477</v>
      </c>
      <c r="F2628" s="3">
        <v>21452.5457929074</v>
      </c>
      <c r="G2628" s="3">
        <v>16324.3918464449</v>
      </c>
      <c r="H2628" s="3">
        <v>-46315.8387911407</v>
      </c>
      <c r="I2628" s="3">
        <v>71637.3591569044</v>
      </c>
      <c r="J2628" s="4">
        <v>45962.0</v>
      </c>
      <c r="K2628" s="3">
        <v>3.0</v>
      </c>
      <c r="L2628" s="3" t="s">
        <v>15</v>
      </c>
    </row>
    <row r="2629" ht="15.75" customHeight="1">
      <c r="A2629" s="3" t="s">
        <v>2711</v>
      </c>
      <c r="B2629" s="3" t="s">
        <v>53</v>
      </c>
      <c r="C2629" s="3" t="s">
        <v>18</v>
      </c>
      <c r="D2629" s="3">
        <v>78259.2869486333</v>
      </c>
      <c r="E2629" s="3">
        <v>26782.6233714751</v>
      </c>
      <c r="F2629" s="3">
        <v>21460.2257963369</v>
      </c>
      <c r="G2629" s="3">
        <v>16327.7893971322</v>
      </c>
      <c r="H2629" s="3">
        <v>-46365.3425088897</v>
      </c>
      <c r="I2629" s="3">
        <v>71640.7406313242</v>
      </c>
      <c r="J2629" s="4">
        <v>45748.0</v>
      </c>
      <c r="K2629" s="3">
        <v>7.0</v>
      </c>
      <c r="L2629" s="3" t="s">
        <v>19</v>
      </c>
    </row>
    <row r="2630" ht="15.75" customHeight="1">
      <c r="A2630" s="3" t="s">
        <v>2712</v>
      </c>
      <c r="B2630" s="3" t="s">
        <v>53</v>
      </c>
      <c r="C2630" s="3" t="s">
        <v>33</v>
      </c>
      <c r="D2630" s="3">
        <v>78270.1699185395</v>
      </c>
      <c r="E2630" s="3">
        <v>26787.2380898025</v>
      </c>
      <c r="F2630" s="3">
        <v>21467.9057997664</v>
      </c>
      <c r="G2630" s="3">
        <v>16331.1869478195</v>
      </c>
      <c r="H2630" s="3">
        <v>-46414.8462266388</v>
      </c>
      <c r="I2630" s="3">
        <v>71644.122105744</v>
      </c>
      <c r="J2630" s="4">
        <v>45809.0</v>
      </c>
      <c r="K2630" s="3">
        <v>13.0</v>
      </c>
      <c r="L2630" s="3" t="s">
        <v>21</v>
      </c>
    </row>
    <row r="2631" ht="15.75" customHeight="1">
      <c r="A2631" s="3" t="s">
        <v>2713</v>
      </c>
      <c r="B2631" s="3" t="s">
        <v>13</v>
      </c>
      <c r="C2631" s="3" t="s">
        <v>37</v>
      </c>
      <c r="D2631" s="3">
        <v>78281.0528884457</v>
      </c>
      <c r="E2631" s="3">
        <v>26791.85280813</v>
      </c>
      <c r="F2631" s="3">
        <v>21475.5858031959</v>
      </c>
      <c r="G2631" s="3">
        <v>16334.5844985068</v>
      </c>
      <c r="H2631" s="3">
        <v>-46464.3499443887</v>
      </c>
      <c r="I2631" s="3">
        <v>71647.5035801638</v>
      </c>
      <c r="J2631" s="4">
        <v>45931.0</v>
      </c>
      <c r="K2631" s="3">
        <v>24.0</v>
      </c>
      <c r="L2631" s="3" t="s">
        <v>23</v>
      </c>
    </row>
    <row r="2632" ht="15.75" customHeight="1">
      <c r="A2632" s="3" t="s">
        <v>2714</v>
      </c>
      <c r="B2632" s="3" t="s">
        <v>17</v>
      </c>
      <c r="C2632" s="3" t="s">
        <v>18</v>
      </c>
      <c r="D2632" s="3">
        <v>78291.9358583519</v>
      </c>
      <c r="E2632" s="3">
        <v>26796.4675264574</v>
      </c>
      <c r="F2632" s="3">
        <v>21483.2658066254</v>
      </c>
      <c r="G2632" s="3">
        <v>16337.9820491941</v>
      </c>
      <c r="H2632" s="3">
        <v>-46513.8536621377</v>
      </c>
      <c r="I2632" s="3">
        <v>71650.8850545836</v>
      </c>
      <c r="J2632" s="4">
        <v>45901.0</v>
      </c>
      <c r="K2632" s="3">
        <v>2.0</v>
      </c>
      <c r="L2632" s="3" t="s">
        <v>27</v>
      </c>
    </row>
    <row r="2633" ht="15.75" customHeight="1">
      <c r="A2633" s="3" t="s">
        <v>2715</v>
      </c>
      <c r="B2633" s="3" t="s">
        <v>36</v>
      </c>
      <c r="C2633" s="3" t="s">
        <v>26</v>
      </c>
      <c r="D2633" s="3">
        <v>78302.8188282581</v>
      </c>
      <c r="E2633" s="3">
        <v>26801.0822447848</v>
      </c>
      <c r="F2633" s="3">
        <v>21490.9458100549</v>
      </c>
      <c r="G2633" s="3">
        <v>16341.3795998813</v>
      </c>
      <c r="H2633" s="3">
        <v>-46563.3573798867</v>
      </c>
      <c r="I2633" s="3">
        <v>71654.2665290034</v>
      </c>
      <c r="J2633" s="4">
        <v>45809.0</v>
      </c>
      <c r="K2633" s="3">
        <v>8.0</v>
      </c>
      <c r="L2633" s="3" t="s">
        <v>31</v>
      </c>
    </row>
    <row r="2634" ht="15.75" customHeight="1">
      <c r="A2634" s="3" t="s">
        <v>2716</v>
      </c>
      <c r="B2634" s="3" t="s">
        <v>36</v>
      </c>
      <c r="C2634" s="3" t="s">
        <v>54</v>
      </c>
      <c r="D2634" s="3">
        <v>78313.7017981643</v>
      </c>
      <c r="E2634" s="3">
        <v>26805.6969631122</v>
      </c>
      <c r="F2634" s="3">
        <v>21498.6258134844</v>
      </c>
      <c r="G2634" s="3">
        <v>16344.7771505686</v>
      </c>
      <c r="H2634" s="3">
        <v>-46612.8610976357</v>
      </c>
      <c r="I2634" s="3">
        <v>71657.6480034233</v>
      </c>
      <c r="J2634" s="4">
        <v>45992.0</v>
      </c>
      <c r="K2634" s="3">
        <v>5.0</v>
      </c>
      <c r="L2634" s="3" t="s">
        <v>34</v>
      </c>
    </row>
    <row r="2635" ht="15.75" customHeight="1">
      <c r="A2635" s="3" t="s">
        <v>2717</v>
      </c>
      <c r="B2635" s="3" t="s">
        <v>51</v>
      </c>
      <c r="C2635" s="3" t="s">
        <v>33</v>
      </c>
      <c r="D2635" s="3">
        <v>78324.5847680705</v>
      </c>
      <c r="E2635" s="3">
        <v>26810.3116814397</v>
      </c>
      <c r="F2635" s="3">
        <v>21506.3058169139</v>
      </c>
      <c r="G2635" s="3">
        <v>16348.1747012559</v>
      </c>
      <c r="H2635" s="3">
        <v>-46662.3648153847</v>
      </c>
      <c r="I2635" s="3">
        <v>71661.0294778431</v>
      </c>
      <c r="J2635" s="4">
        <v>45748.0</v>
      </c>
      <c r="K2635" s="3">
        <v>1.0</v>
      </c>
      <c r="L2635" s="3" t="s">
        <v>38</v>
      </c>
    </row>
    <row r="2636" ht="15.75" customHeight="1">
      <c r="A2636" s="3" t="s">
        <v>2718</v>
      </c>
      <c r="B2636" s="3" t="s">
        <v>51</v>
      </c>
      <c r="C2636" s="3" t="s">
        <v>26</v>
      </c>
      <c r="D2636" s="3">
        <v>78335.4677379767</v>
      </c>
      <c r="E2636" s="3">
        <v>26814.9263997671</v>
      </c>
      <c r="F2636" s="3">
        <v>21513.9858203434</v>
      </c>
      <c r="G2636" s="3">
        <v>16351.5722519432</v>
      </c>
      <c r="H2636" s="3">
        <v>-46711.8685331337</v>
      </c>
      <c r="I2636" s="3">
        <v>71664.4109522629</v>
      </c>
      <c r="J2636" s="4">
        <v>45778.0</v>
      </c>
      <c r="K2636" s="3">
        <v>25.0</v>
      </c>
      <c r="L2636" s="3" t="s">
        <v>40</v>
      </c>
    </row>
    <row r="2637" ht="15.75" customHeight="1">
      <c r="A2637" s="3" t="s">
        <v>2719</v>
      </c>
      <c r="B2637" s="3" t="s">
        <v>13</v>
      </c>
      <c r="C2637" s="3" t="s">
        <v>14</v>
      </c>
      <c r="D2637" s="3">
        <v>78346.3507078828</v>
      </c>
      <c r="E2637" s="3">
        <v>26819.5411180945</v>
      </c>
      <c r="F2637" s="3">
        <v>21521.6658237729</v>
      </c>
      <c r="G2637" s="3">
        <v>16354.9698026305</v>
      </c>
      <c r="H2637" s="3">
        <v>-46761.3722508827</v>
      </c>
      <c r="I2637" s="3">
        <v>71667.7924266827</v>
      </c>
      <c r="J2637" s="4">
        <v>45901.0</v>
      </c>
      <c r="K2637" s="3">
        <v>16.0</v>
      </c>
      <c r="L2637" s="3" t="s">
        <v>42</v>
      </c>
    </row>
    <row r="2638" ht="15.75" customHeight="1">
      <c r="A2638" s="3" t="s">
        <v>2720</v>
      </c>
      <c r="B2638" s="3" t="s">
        <v>29</v>
      </c>
      <c r="C2638" s="3" t="s">
        <v>54</v>
      </c>
      <c r="D2638" s="3">
        <v>78357.233677789</v>
      </c>
      <c r="E2638" s="3">
        <v>26824.1558364219</v>
      </c>
      <c r="F2638" s="3">
        <v>21529.3458272024</v>
      </c>
      <c r="G2638" s="3">
        <v>16358.3673533178</v>
      </c>
      <c r="H2638" s="3">
        <v>-46810.8759686317</v>
      </c>
      <c r="I2638" s="3">
        <v>71671.1739011025</v>
      </c>
      <c r="J2638" s="4">
        <v>45839.0</v>
      </c>
      <c r="K2638" s="3">
        <v>8.0</v>
      </c>
      <c r="L2638" s="3" t="s">
        <v>15</v>
      </c>
    </row>
    <row r="2639" ht="15.75" customHeight="1">
      <c r="A2639" s="3" t="s">
        <v>2721</v>
      </c>
      <c r="B2639" s="3" t="s">
        <v>13</v>
      </c>
      <c r="C2639" s="3" t="s">
        <v>33</v>
      </c>
      <c r="D2639" s="3">
        <v>78368.1166476952</v>
      </c>
      <c r="E2639" s="3">
        <v>26828.7705547493</v>
      </c>
      <c r="F2639" s="3">
        <v>21537.0258306319</v>
      </c>
      <c r="G2639" s="3">
        <v>16361.7649040051</v>
      </c>
      <c r="H2639" s="3">
        <v>-46860.3796863817</v>
      </c>
      <c r="I2639" s="3">
        <v>71674.5553755223</v>
      </c>
      <c r="J2639" s="4">
        <v>45658.0</v>
      </c>
      <c r="K2639" s="3">
        <v>20.0</v>
      </c>
      <c r="L2639" s="3" t="s">
        <v>19</v>
      </c>
    </row>
    <row r="2640" ht="15.75" customHeight="1">
      <c r="A2640" s="3" t="s">
        <v>2722</v>
      </c>
      <c r="B2640" s="3" t="s">
        <v>25</v>
      </c>
      <c r="C2640" s="3" t="s">
        <v>54</v>
      </c>
      <c r="D2640" s="3">
        <v>78378.9996176014</v>
      </c>
      <c r="E2640" s="3">
        <v>26833.3852730768</v>
      </c>
      <c r="F2640" s="3">
        <v>21544.7058340613</v>
      </c>
      <c r="G2640" s="3">
        <v>16365.1624546924</v>
      </c>
      <c r="H2640" s="3">
        <v>-46909.8834041307</v>
      </c>
      <c r="I2640" s="3">
        <v>71677.9368499421</v>
      </c>
      <c r="J2640" s="4">
        <v>45992.0</v>
      </c>
      <c r="K2640" s="3">
        <v>13.0</v>
      </c>
      <c r="L2640" s="3" t="s">
        <v>21</v>
      </c>
    </row>
    <row r="2641" ht="15.75" customHeight="1">
      <c r="A2641" s="3" t="s">
        <v>2723</v>
      </c>
      <c r="B2641" s="3" t="s">
        <v>36</v>
      </c>
      <c r="C2641" s="3" t="s">
        <v>26</v>
      </c>
      <c r="D2641" s="3">
        <v>78389.8825875076</v>
      </c>
      <c r="E2641" s="3">
        <v>26837.9999914042</v>
      </c>
      <c r="F2641" s="3">
        <v>21552.3858374908</v>
      </c>
      <c r="G2641" s="3">
        <v>16368.5600053796</v>
      </c>
      <c r="H2641" s="3">
        <v>-46959.3871218797</v>
      </c>
      <c r="I2641" s="3">
        <v>71681.318324362</v>
      </c>
      <c r="J2641" s="4">
        <v>45992.0</v>
      </c>
      <c r="K2641" s="3">
        <v>8.0</v>
      </c>
      <c r="L2641" s="3" t="s">
        <v>23</v>
      </c>
    </row>
    <row r="2642" ht="15.75" customHeight="1">
      <c r="A2642" s="3" t="s">
        <v>2724</v>
      </c>
      <c r="B2642" s="3" t="s">
        <v>29</v>
      </c>
      <c r="C2642" s="3" t="s">
        <v>33</v>
      </c>
      <c r="D2642" s="3">
        <v>78400.7655574138</v>
      </c>
      <c r="E2642" s="3">
        <v>26842.6147097316</v>
      </c>
      <c r="F2642" s="3">
        <v>21560.0658409203</v>
      </c>
      <c r="G2642" s="3">
        <v>16371.9575560669</v>
      </c>
      <c r="H2642" s="3">
        <v>-47008.8908396287</v>
      </c>
      <c r="I2642" s="3">
        <v>71684.6997987818</v>
      </c>
      <c r="J2642" s="4">
        <v>45658.0</v>
      </c>
      <c r="K2642" s="3">
        <v>2.0</v>
      </c>
      <c r="L2642" s="3" t="s">
        <v>27</v>
      </c>
    </row>
    <row r="2643" ht="15.75" customHeight="1">
      <c r="A2643" s="3" t="s">
        <v>2725</v>
      </c>
      <c r="B2643" s="3" t="s">
        <v>36</v>
      </c>
      <c r="C2643" s="3" t="s">
        <v>26</v>
      </c>
      <c r="D2643" s="3">
        <v>78411.64852732</v>
      </c>
      <c r="E2643" s="3">
        <v>26847.229428059</v>
      </c>
      <c r="F2643" s="3">
        <v>21567.7458443498</v>
      </c>
      <c r="G2643" s="3">
        <v>16375.3551067542</v>
      </c>
      <c r="H2643" s="3">
        <v>-47058.3945573777</v>
      </c>
      <c r="I2643" s="3">
        <v>71688.0812732016</v>
      </c>
      <c r="J2643" s="4">
        <v>45809.0</v>
      </c>
      <c r="K2643" s="3">
        <v>12.0</v>
      </c>
      <c r="L2643" s="3" t="s">
        <v>31</v>
      </c>
    </row>
    <row r="2644" ht="15.75" customHeight="1">
      <c r="A2644" s="3" t="s">
        <v>2726</v>
      </c>
      <c r="B2644" s="3" t="s">
        <v>29</v>
      </c>
      <c r="C2644" s="3" t="s">
        <v>54</v>
      </c>
      <c r="D2644" s="3">
        <v>78422.5314972262</v>
      </c>
      <c r="E2644" s="3">
        <v>26851.8441463865</v>
      </c>
      <c r="F2644" s="3">
        <v>21575.4258477793</v>
      </c>
      <c r="G2644" s="3">
        <v>16378.7526574415</v>
      </c>
      <c r="H2644" s="3">
        <v>-47107.8982751267</v>
      </c>
      <c r="I2644" s="3">
        <v>71691.4627476214</v>
      </c>
      <c r="J2644" s="4">
        <v>45901.0</v>
      </c>
      <c r="K2644" s="3">
        <v>24.0</v>
      </c>
      <c r="L2644" s="3" t="s">
        <v>34</v>
      </c>
    </row>
    <row r="2645" ht="15.75" customHeight="1">
      <c r="A2645" s="3" t="s">
        <v>2727</v>
      </c>
      <c r="B2645" s="3" t="s">
        <v>13</v>
      </c>
      <c r="C2645" s="3" t="s">
        <v>14</v>
      </c>
      <c r="D2645" s="3">
        <v>78433.4144671324</v>
      </c>
      <c r="E2645" s="3">
        <v>26856.4588647139</v>
      </c>
      <c r="F2645" s="3">
        <v>21583.1058512088</v>
      </c>
      <c r="G2645" s="3">
        <v>16382.1502081288</v>
      </c>
      <c r="H2645" s="3">
        <v>-47157.4019928757</v>
      </c>
      <c r="I2645" s="3">
        <v>71694.8442220412</v>
      </c>
      <c r="J2645" s="4">
        <v>45962.0</v>
      </c>
      <c r="K2645" s="3">
        <v>5.0</v>
      </c>
      <c r="L2645" s="3" t="s">
        <v>38</v>
      </c>
    </row>
    <row r="2646" ht="15.75" customHeight="1">
      <c r="A2646" s="3" t="s">
        <v>2728</v>
      </c>
      <c r="B2646" s="3" t="s">
        <v>13</v>
      </c>
      <c r="C2646" s="3" t="s">
        <v>26</v>
      </c>
      <c r="D2646" s="3">
        <v>78444.2974370386</v>
      </c>
      <c r="E2646" s="3">
        <v>26861.0735830413</v>
      </c>
      <c r="F2646" s="3">
        <v>21590.7858546383</v>
      </c>
      <c r="G2646" s="3">
        <v>16385.5477588161</v>
      </c>
      <c r="H2646" s="3">
        <v>-47206.9057106247</v>
      </c>
      <c r="I2646" s="3">
        <v>71698.225696461</v>
      </c>
      <c r="J2646" s="4">
        <v>45689.0</v>
      </c>
      <c r="K2646" s="3">
        <v>3.0</v>
      </c>
      <c r="L2646" s="3" t="s">
        <v>40</v>
      </c>
    </row>
    <row r="2647" ht="15.75" customHeight="1">
      <c r="A2647" s="3" t="s">
        <v>2729</v>
      </c>
      <c r="B2647" s="3" t="s">
        <v>51</v>
      </c>
      <c r="C2647" s="3" t="s">
        <v>30</v>
      </c>
      <c r="D2647" s="3">
        <v>78455.1804069448</v>
      </c>
      <c r="E2647" s="3">
        <v>26865.6883013687</v>
      </c>
      <c r="F2647" s="3">
        <v>21598.4658580678</v>
      </c>
      <c r="G2647" s="3">
        <v>16388.9453095034</v>
      </c>
      <c r="H2647" s="3">
        <v>-47256.4094283747</v>
      </c>
      <c r="I2647" s="3">
        <v>71701.6071708808</v>
      </c>
      <c r="J2647" s="4">
        <v>45658.0</v>
      </c>
      <c r="K2647" s="3">
        <v>15.0</v>
      </c>
      <c r="L2647" s="3" t="s">
        <v>42</v>
      </c>
    </row>
    <row r="2648" ht="15.75" customHeight="1">
      <c r="A2648" s="3" t="s">
        <v>2730</v>
      </c>
      <c r="B2648" s="3" t="s">
        <v>51</v>
      </c>
      <c r="C2648" s="3" t="s">
        <v>37</v>
      </c>
      <c r="D2648" s="3">
        <v>78466.063376851</v>
      </c>
      <c r="E2648" s="3">
        <v>26870.3030196961</v>
      </c>
      <c r="F2648" s="3">
        <v>21606.1458614973</v>
      </c>
      <c r="G2648" s="3">
        <v>16392.3428601906</v>
      </c>
      <c r="H2648" s="3">
        <v>-47305.9131461237</v>
      </c>
      <c r="I2648" s="3">
        <v>71704.9886453006</v>
      </c>
      <c r="J2648" s="4">
        <v>45839.0</v>
      </c>
      <c r="K2648" s="3">
        <v>6.0</v>
      </c>
      <c r="L2648" s="3" t="s">
        <v>15</v>
      </c>
    </row>
    <row r="2649" ht="15.75" customHeight="1">
      <c r="A2649" s="3" t="s">
        <v>2731</v>
      </c>
      <c r="B2649" s="3" t="s">
        <v>13</v>
      </c>
      <c r="C2649" s="3" t="s">
        <v>18</v>
      </c>
      <c r="D2649" s="3">
        <v>78476.9463467572</v>
      </c>
      <c r="E2649" s="3">
        <v>26874.9177380236</v>
      </c>
      <c r="F2649" s="3">
        <v>21613.8258649268</v>
      </c>
      <c r="G2649" s="3">
        <v>16395.7404108779</v>
      </c>
      <c r="H2649" s="3">
        <v>-47355.4168638727</v>
      </c>
      <c r="I2649" s="3">
        <v>71708.3701197205</v>
      </c>
      <c r="J2649" s="4">
        <v>45778.0</v>
      </c>
      <c r="K2649" s="3">
        <v>5.0</v>
      </c>
      <c r="L2649" s="3" t="s">
        <v>19</v>
      </c>
    </row>
    <row r="2650" ht="15.75" customHeight="1">
      <c r="A2650" s="3" t="s">
        <v>2732</v>
      </c>
      <c r="B2650" s="3" t="s">
        <v>51</v>
      </c>
      <c r="C2650" s="3" t="s">
        <v>33</v>
      </c>
      <c r="D2650" s="3">
        <v>78487.8293166634</v>
      </c>
      <c r="E2650" s="3">
        <v>26879.532456351</v>
      </c>
      <c r="F2650" s="3">
        <v>21621.5058683563</v>
      </c>
      <c r="G2650" s="3">
        <v>16399.1379615652</v>
      </c>
      <c r="H2650" s="3">
        <v>-47404.9205816217</v>
      </c>
      <c r="I2650" s="3">
        <v>71711.7515941403</v>
      </c>
      <c r="J2650" s="4">
        <v>45809.0</v>
      </c>
      <c r="K2650" s="3">
        <v>16.0</v>
      </c>
      <c r="L2650" s="3" t="s">
        <v>21</v>
      </c>
    </row>
    <row r="2651" ht="15.75" customHeight="1">
      <c r="A2651" s="3" t="s">
        <v>2733</v>
      </c>
      <c r="B2651" s="3" t="s">
        <v>25</v>
      </c>
      <c r="C2651" s="3" t="s">
        <v>54</v>
      </c>
      <c r="D2651" s="3">
        <v>78498.7122865696</v>
      </c>
      <c r="E2651" s="3">
        <v>26884.1471746784</v>
      </c>
      <c r="F2651" s="3">
        <v>21629.1858717858</v>
      </c>
      <c r="G2651" s="3">
        <v>16402.5355122525</v>
      </c>
      <c r="H2651" s="3">
        <v>-47454.4242993707</v>
      </c>
      <c r="I2651" s="3">
        <v>71715.1330685601</v>
      </c>
      <c r="J2651" s="4">
        <v>45717.0</v>
      </c>
      <c r="K2651" s="3">
        <v>18.0</v>
      </c>
      <c r="L2651" s="3" t="s">
        <v>23</v>
      </c>
    </row>
    <row r="2652" ht="15.75" customHeight="1">
      <c r="A2652" s="3" t="s">
        <v>2734</v>
      </c>
      <c r="B2652" s="3" t="s">
        <v>17</v>
      </c>
      <c r="C2652" s="3" t="s">
        <v>14</v>
      </c>
      <c r="D2652" s="3">
        <v>78509.5952564757</v>
      </c>
      <c r="E2652" s="3">
        <v>26888.7618930058</v>
      </c>
      <c r="F2652" s="3">
        <v>21636.8658752153</v>
      </c>
      <c r="G2652" s="3">
        <v>16405.9330629398</v>
      </c>
      <c r="H2652" s="3">
        <v>-47503.9280171197</v>
      </c>
      <c r="I2652" s="3">
        <v>71718.5145429799</v>
      </c>
      <c r="J2652" s="4">
        <v>45717.0</v>
      </c>
      <c r="K2652" s="3">
        <v>24.0</v>
      </c>
      <c r="L2652" s="3" t="s">
        <v>27</v>
      </c>
    </row>
    <row r="2653" ht="15.75" customHeight="1">
      <c r="A2653" s="3" t="s">
        <v>2735</v>
      </c>
      <c r="B2653" s="3" t="s">
        <v>29</v>
      </c>
      <c r="C2653" s="3" t="s">
        <v>14</v>
      </c>
      <c r="D2653" s="3">
        <v>78520.4782263819</v>
      </c>
      <c r="E2653" s="3">
        <v>26893.3766113333</v>
      </c>
      <c r="F2653" s="3">
        <v>21644.5458786448</v>
      </c>
      <c r="G2653" s="3">
        <v>16409.3306136271</v>
      </c>
      <c r="H2653" s="3">
        <v>-47553.4317348687</v>
      </c>
      <c r="I2653" s="3">
        <v>71721.8960173997</v>
      </c>
      <c r="J2653" s="4">
        <v>45809.0</v>
      </c>
      <c r="K2653" s="3">
        <v>17.0</v>
      </c>
      <c r="L2653" s="3" t="s">
        <v>31</v>
      </c>
    </row>
    <row r="2654" ht="15.75" customHeight="1">
      <c r="A2654" s="3" t="s">
        <v>2736</v>
      </c>
      <c r="B2654" s="3" t="s">
        <v>25</v>
      </c>
      <c r="C2654" s="3" t="s">
        <v>37</v>
      </c>
      <c r="D2654" s="3">
        <v>78531.3611962881</v>
      </c>
      <c r="E2654" s="3">
        <v>26897.9913296607</v>
      </c>
      <c r="F2654" s="3">
        <v>21652.2258820743</v>
      </c>
      <c r="G2654" s="3">
        <v>16412.7281643144</v>
      </c>
      <c r="H2654" s="3">
        <v>-47602.9354526177</v>
      </c>
      <c r="I2654" s="3">
        <v>71725.2774918196</v>
      </c>
      <c r="J2654" s="4">
        <v>45962.0</v>
      </c>
      <c r="K2654" s="3">
        <v>1.0</v>
      </c>
      <c r="L2654" s="3" t="s">
        <v>34</v>
      </c>
    </row>
    <row r="2655" ht="15.75" customHeight="1">
      <c r="A2655" s="3" t="s">
        <v>2737</v>
      </c>
      <c r="B2655" s="3" t="s">
        <v>13</v>
      </c>
      <c r="C2655" s="3" t="s">
        <v>18</v>
      </c>
      <c r="D2655" s="3">
        <v>78542.2441661943</v>
      </c>
      <c r="E2655" s="3">
        <v>26902.6060479881</v>
      </c>
      <c r="F2655" s="3">
        <v>21659.9058855038</v>
      </c>
      <c r="G2655" s="3">
        <v>16416.1257150017</v>
      </c>
      <c r="H2655" s="3">
        <v>-47652.4391703677</v>
      </c>
      <c r="I2655" s="3">
        <v>71728.6589662394</v>
      </c>
      <c r="J2655" s="4">
        <v>45689.0</v>
      </c>
      <c r="K2655" s="3">
        <v>22.0</v>
      </c>
      <c r="L2655" s="3" t="s">
        <v>38</v>
      </c>
    </row>
    <row r="2656" ht="15.75" customHeight="1">
      <c r="A2656" s="3" t="s">
        <v>2738</v>
      </c>
      <c r="B2656" s="3" t="s">
        <v>25</v>
      </c>
      <c r="C2656" s="3" t="s">
        <v>18</v>
      </c>
      <c r="D2656" s="3">
        <v>78553.1271361005</v>
      </c>
      <c r="E2656" s="3">
        <v>26907.2207663155</v>
      </c>
      <c r="F2656" s="3">
        <v>21667.5858889333</v>
      </c>
      <c r="G2656" s="3">
        <v>16419.5232656889</v>
      </c>
      <c r="H2656" s="3">
        <v>-47701.9428881167</v>
      </c>
      <c r="I2656" s="3">
        <v>71732.0404406592</v>
      </c>
      <c r="J2656" s="4">
        <v>45839.0</v>
      </c>
      <c r="K2656" s="3">
        <v>8.0</v>
      </c>
      <c r="L2656" s="3" t="s">
        <v>40</v>
      </c>
    </row>
    <row r="2657" ht="15.75" customHeight="1">
      <c r="A2657" s="3" t="s">
        <v>2739</v>
      </c>
      <c r="B2657" s="3" t="s">
        <v>36</v>
      </c>
      <c r="C2657" s="3" t="s">
        <v>18</v>
      </c>
      <c r="D2657" s="3">
        <v>78564.0101060067</v>
      </c>
      <c r="E2657" s="3">
        <v>26911.8354846429</v>
      </c>
      <c r="F2657" s="3">
        <v>21675.2658923628</v>
      </c>
      <c r="G2657" s="3">
        <v>16422.9208163762</v>
      </c>
      <c r="H2657" s="3">
        <v>-47751.4466058657</v>
      </c>
      <c r="I2657" s="3">
        <v>71735.421915079</v>
      </c>
      <c r="J2657" s="4">
        <v>45992.0</v>
      </c>
      <c r="K2657" s="3">
        <v>12.0</v>
      </c>
      <c r="L2657" s="3" t="s">
        <v>42</v>
      </c>
    </row>
    <row r="2658" ht="15.75" customHeight="1">
      <c r="A2658" s="3" t="s">
        <v>2740</v>
      </c>
      <c r="B2658" s="3" t="s">
        <v>51</v>
      </c>
      <c r="C2658" s="3" t="s">
        <v>14</v>
      </c>
      <c r="D2658" s="3">
        <v>78585.7760458191</v>
      </c>
      <c r="E2658" s="3">
        <v>26921.0649212978</v>
      </c>
      <c r="F2658" s="3">
        <v>21690.6258992218</v>
      </c>
      <c r="G2658" s="3">
        <v>16429.7159177508</v>
      </c>
      <c r="H2658" s="3">
        <v>-47850.4540413637</v>
      </c>
      <c r="I2658" s="3">
        <v>71742.1848639186</v>
      </c>
      <c r="J2658" s="4">
        <v>45992.0</v>
      </c>
      <c r="K2658" s="3">
        <v>21.0</v>
      </c>
      <c r="L2658" s="3" t="s">
        <v>19</v>
      </c>
    </row>
    <row r="2659" ht="15.75" customHeight="1">
      <c r="A2659" s="3" t="s">
        <v>2741</v>
      </c>
      <c r="B2659" s="3" t="s">
        <v>53</v>
      </c>
      <c r="C2659" s="3" t="s">
        <v>37</v>
      </c>
      <c r="D2659" s="3">
        <v>78596.6590157253</v>
      </c>
      <c r="E2659" s="3">
        <v>26925.6796396252</v>
      </c>
      <c r="F2659" s="3">
        <v>21698.3059026513</v>
      </c>
      <c r="G2659" s="3">
        <v>16433.1134684381</v>
      </c>
      <c r="H2659" s="3">
        <v>-47899.9577591127</v>
      </c>
      <c r="I2659" s="3">
        <v>71745.5663383384</v>
      </c>
      <c r="J2659" s="4">
        <v>45809.0</v>
      </c>
      <c r="K2659" s="3">
        <v>7.0</v>
      </c>
      <c r="L2659" s="3" t="s">
        <v>21</v>
      </c>
    </row>
    <row r="2660" ht="15.75" customHeight="1">
      <c r="A2660" s="3" t="s">
        <v>2742</v>
      </c>
      <c r="B2660" s="3" t="s">
        <v>17</v>
      </c>
      <c r="C2660" s="3" t="s">
        <v>37</v>
      </c>
      <c r="D2660" s="3">
        <v>78607.5419856315</v>
      </c>
      <c r="E2660" s="3">
        <v>26930.2943579526</v>
      </c>
      <c r="F2660" s="3">
        <v>21705.9859060808</v>
      </c>
      <c r="G2660" s="3">
        <v>16436.5110191254</v>
      </c>
      <c r="H2660" s="3">
        <v>-47949.4614768617</v>
      </c>
      <c r="I2660" s="3">
        <v>71748.9478127582</v>
      </c>
      <c r="J2660" s="4">
        <v>45992.0</v>
      </c>
      <c r="K2660" s="3">
        <v>8.0</v>
      </c>
      <c r="L2660" s="3" t="s">
        <v>23</v>
      </c>
    </row>
    <row r="2661" ht="15.75" customHeight="1">
      <c r="A2661" s="3" t="s">
        <v>2743</v>
      </c>
      <c r="B2661" s="3" t="s">
        <v>25</v>
      </c>
      <c r="C2661" s="3" t="s">
        <v>14</v>
      </c>
      <c r="D2661" s="3">
        <v>78618.4249555377</v>
      </c>
      <c r="E2661" s="3">
        <v>26934.9090762801</v>
      </c>
      <c r="F2661" s="3">
        <v>21713.6659095103</v>
      </c>
      <c r="G2661" s="3">
        <v>16439.9085698127</v>
      </c>
      <c r="H2661" s="3">
        <v>-47998.9651946107</v>
      </c>
      <c r="I2661" s="3">
        <v>71752.3292871781</v>
      </c>
      <c r="J2661" s="4">
        <v>45901.0</v>
      </c>
      <c r="K2661" s="3">
        <v>14.0</v>
      </c>
      <c r="L2661" s="3" t="s">
        <v>27</v>
      </c>
    </row>
    <row r="2662" ht="15.75" customHeight="1">
      <c r="A2662" s="3" t="s">
        <v>2744</v>
      </c>
      <c r="B2662" s="3" t="s">
        <v>53</v>
      </c>
      <c r="C2662" s="3" t="s">
        <v>54</v>
      </c>
      <c r="D2662" s="3">
        <v>78629.3079254439</v>
      </c>
      <c r="E2662" s="3">
        <v>26939.5237946075</v>
      </c>
      <c r="F2662" s="3">
        <v>21721.3459129398</v>
      </c>
      <c r="G2662" s="3">
        <v>16443.3061205</v>
      </c>
      <c r="H2662" s="3">
        <v>-48048.4689123607</v>
      </c>
      <c r="I2662" s="3">
        <v>71755.7107615979</v>
      </c>
      <c r="J2662" s="4">
        <v>45931.0</v>
      </c>
      <c r="K2662" s="3">
        <v>4.0</v>
      </c>
      <c r="L2662" s="3" t="s">
        <v>31</v>
      </c>
    </row>
    <row r="2663" ht="15.75" customHeight="1">
      <c r="A2663" s="3" t="s">
        <v>2745</v>
      </c>
      <c r="B2663" s="3" t="s">
        <v>53</v>
      </c>
      <c r="C2663" s="3" t="s">
        <v>14</v>
      </c>
      <c r="D2663" s="3">
        <v>78640.1908953501</v>
      </c>
      <c r="E2663" s="3">
        <v>26944.1385129349</v>
      </c>
      <c r="F2663" s="3">
        <v>21729.0259163693</v>
      </c>
      <c r="G2663" s="3">
        <v>16446.7036711872</v>
      </c>
      <c r="H2663" s="3">
        <v>-48097.9726301097</v>
      </c>
      <c r="I2663" s="3">
        <v>71759.0922360177</v>
      </c>
      <c r="J2663" s="4">
        <v>45689.0</v>
      </c>
      <c r="K2663" s="3">
        <v>5.0</v>
      </c>
      <c r="L2663" s="3" t="s">
        <v>34</v>
      </c>
    </row>
    <row r="2664" ht="15.75" customHeight="1">
      <c r="A2664" s="3" t="s">
        <v>2746</v>
      </c>
      <c r="B2664" s="3" t="s">
        <v>25</v>
      </c>
      <c r="C2664" s="3" t="s">
        <v>54</v>
      </c>
      <c r="D2664" s="3">
        <v>78651.0738652563</v>
      </c>
      <c r="E2664" s="3">
        <v>26948.7532312623</v>
      </c>
      <c r="F2664" s="3">
        <v>21736.7059197988</v>
      </c>
      <c r="G2664" s="3">
        <v>16450.1012218745</v>
      </c>
      <c r="H2664" s="3">
        <v>-48147.4763478587</v>
      </c>
      <c r="I2664" s="3">
        <v>71762.4737104375</v>
      </c>
      <c r="J2664" s="4">
        <v>45931.0</v>
      </c>
      <c r="K2664" s="3">
        <v>14.0</v>
      </c>
      <c r="L2664" s="3" t="s">
        <v>38</v>
      </c>
    </row>
    <row r="2665" ht="15.75" customHeight="1">
      <c r="A2665" s="3" t="s">
        <v>2747</v>
      </c>
      <c r="B2665" s="3" t="s">
        <v>25</v>
      </c>
      <c r="C2665" s="3" t="s">
        <v>26</v>
      </c>
      <c r="D2665" s="3">
        <v>78661.9568351625</v>
      </c>
      <c r="E2665" s="3">
        <v>26953.3679495897</v>
      </c>
      <c r="F2665" s="3">
        <v>21744.3859232283</v>
      </c>
      <c r="G2665" s="3">
        <v>16453.4987725618</v>
      </c>
      <c r="H2665" s="3">
        <v>-48196.9800656077</v>
      </c>
      <c r="I2665" s="3">
        <v>71765.8551848573</v>
      </c>
      <c r="J2665" s="4">
        <v>45962.0</v>
      </c>
      <c r="K2665" s="3">
        <v>11.0</v>
      </c>
      <c r="L2665" s="3" t="s">
        <v>40</v>
      </c>
    </row>
    <row r="2666" ht="15.75" customHeight="1">
      <c r="A2666" s="3" t="s">
        <v>2748</v>
      </c>
      <c r="B2666" s="3" t="s">
        <v>53</v>
      </c>
      <c r="C2666" s="3" t="s">
        <v>26</v>
      </c>
      <c r="D2666" s="3">
        <v>78672.8398050686</v>
      </c>
      <c r="E2666" s="3">
        <v>26957.9826679172</v>
      </c>
      <c r="F2666" s="3">
        <v>21752.0659266578</v>
      </c>
      <c r="G2666" s="3">
        <v>16456.8963232491</v>
      </c>
      <c r="H2666" s="3">
        <v>-48246.4837833567</v>
      </c>
      <c r="I2666" s="3">
        <v>71769.2366592771</v>
      </c>
      <c r="J2666" s="4">
        <v>45658.0</v>
      </c>
      <c r="K2666" s="3">
        <v>22.0</v>
      </c>
      <c r="L2666" s="3" t="s">
        <v>42</v>
      </c>
    </row>
    <row r="2667" ht="15.75" customHeight="1">
      <c r="A2667" s="3" t="s">
        <v>2749</v>
      </c>
      <c r="B2667" s="3" t="s">
        <v>53</v>
      </c>
      <c r="C2667" s="3" t="s">
        <v>33</v>
      </c>
      <c r="D2667" s="3">
        <v>78683.7227749748</v>
      </c>
      <c r="E2667" s="3">
        <v>26962.5973862446</v>
      </c>
      <c r="F2667" s="3">
        <v>21759.7459300873</v>
      </c>
      <c r="G2667" s="3">
        <v>16460.2938739364</v>
      </c>
      <c r="H2667" s="3">
        <v>-48295.9875011057</v>
      </c>
      <c r="I2667" s="3">
        <v>71772.6181336969</v>
      </c>
      <c r="J2667" s="4">
        <v>45870.0</v>
      </c>
      <c r="K2667" s="3">
        <v>21.0</v>
      </c>
      <c r="L2667" s="3" t="s">
        <v>15</v>
      </c>
    </row>
    <row r="2668" ht="15.75" customHeight="1">
      <c r="A2668" s="3" t="s">
        <v>2750</v>
      </c>
      <c r="B2668" s="3" t="s">
        <v>51</v>
      </c>
      <c r="C2668" s="3" t="s">
        <v>54</v>
      </c>
      <c r="D2668" s="3">
        <v>78694.605744881</v>
      </c>
      <c r="E2668" s="3">
        <v>26967.212104572</v>
      </c>
      <c r="F2668" s="3">
        <v>21767.4259335168</v>
      </c>
      <c r="G2668" s="3">
        <v>16463.6914246237</v>
      </c>
      <c r="H2668" s="3">
        <v>-48345.4912188547</v>
      </c>
      <c r="I2668" s="3">
        <v>71775.9996081168</v>
      </c>
      <c r="J2668" s="4">
        <v>45658.0</v>
      </c>
      <c r="K2668" s="3">
        <v>10.0</v>
      </c>
      <c r="L2668" s="3" t="s">
        <v>19</v>
      </c>
    </row>
    <row r="2669" ht="15.75" customHeight="1">
      <c r="A2669" s="3" t="s">
        <v>2751</v>
      </c>
      <c r="B2669" s="3" t="s">
        <v>36</v>
      </c>
      <c r="C2669" s="3" t="s">
        <v>54</v>
      </c>
      <c r="D2669" s="3">
        <v>78705.4887147872</v>
      </c>
      <c r="E2669" s="3">
        <v>26971.8268228994</v>
      </c>
      <c r="F2669" s="3">
        <v>21775.1059369463</v>
      </c>
      <c r="G2669" s="3">
        <v>16467.088975311</v>
      </c>
      <c r="H2669" s="3">
        <v>-48394.9949366037</v>
      </c>
      <c r="I2669" s="3">
        <v>71779.3810825366</v>
      </c>
      <c r="J2669" s="4">
        <v>45689.0</v>
      </c>
      <c r="K2669" s="3">
        <v>14.0</v>
      </c>
      <c r="L2669" s="3" t="s">
        <v>21</v>
      </c>
    </row>
    <row r="2670" ht="15.75" customHeight="1">
      <c r="A2670" s="3" t="s">
        <v>2752</v>
      </c>
      <c r="B2670" s="3" t="s">
        <v>13</v>
      </c>
      <c r="C2670" s="3" t="s">
        <v>18</v>
      </c>
      <c r="D2670" s="3">
        <v>78716.3716846934</v>
      </c>
      <c r="E2670" s="3">
        <v>26976.4415412269</v>
      </c>
      <c r="F2670" s="3">
        <v>21782.7859403758</v>
      </c>
      <c r="G2670" s="3">
        <v>16470.4865259982</v>
      </c>
      <c r="H2670" s="3">
        <v>-48444.4986543537</v>
      </c>
      <c r="I2670" s="3">
        <v>71782.7625569564</v>
      </c>
      <c r="J2670" s="4">
        <v>45658.0</v>
      </c>
      <c r="K2670" s="3">
        <v>20.0</v>
      </c>
      <c r="L2670" s="3" t="s">
        <v>23</v>
      </c>
    </row>
    <row r="2671" ht="15.75" customHeight="1">
      <c r="A2671" s="3" t="s">
        <v>2753</v>
      </c>
      <c r="B2671" s="3" t="s">
        <v>13</v>
      </c>
      <c r="C2671" s="3" t="s">
        <v>37</v>
      </c>
      <c r="D2671" s="3">
        <v>78727.2546545996</v>
      </c>
      <c r="E2671" s="3">
        <v>26981.0562595543</v>
      </c>
      <c r="F2671" s="3">
        <v>21790.4659438053</v>
      </c>
      <c r="G2671" s="3">
        <v>16473.8840766855</v>
      </c>
      <c r="H2671" s="3">
        <v>-48494.0023721027</v>
      </c>
      <c r="I2671" s="3">
        <v>71786.1440313762</v>
      </c>
      <c r="J2671" s="4">
        <v>45992.0</v>
      </c>
      <c r="K2671" s="3">
        <v>14.0</v>
      </c>
      <c r="L2671" s="3" t="s">
        <v>27</v>
      </c>
    </row>
    <row r="2672" ht="15.75" customHeight="1">
      <c r="A2672" s="3" t="s">
        <v>2754</v>
      </c>
      <c r="B2672" s="3" t="s">
        <v>53</v>
      </c>
      <c r="C2672" s="3" t="s">
        <v>26</v>
      </c>
      <c r="D2672" s="3">
        <v>78738.1376245058</v>
      </c>
      <c r="E2672" s="3">
        <v>26985.6709778817</v>
      </c>
      <c r="F2672" s="3">
        <v>21798.1459472348</v>
      </c>
      <c r="G2672" s="3">
        <v>16477.2816273728</v>
      </c>
      <c r="H2672" s="3">
        <v>-48543.5060898517</v>
      </c>
      <c r="I2672" s="3">
        <v>71789.525505796</v>
      </c>
      <c r="J2672" s="4">
        <v>45839.0</v>
      </c>
      <c r="K2672" s="3">
        <v>17.0</v>
      </c>
      <c r="L2672" s="3" t="s">
        <v>31</v>
      </c>
    </row>
    <row r="2673" ht="15.75" customHeight="1">
      <c r="A2673" s="3" t="s">
        <v>2755</v>
      </c>
      <c r="B2673" s="3" t="s">
        <v>29</v>
      </c>
      <c r="C2673" s="3" t="s">
        <v>54</v>
      </c>
      <c r="D2673" s="3">
        <v>78749.020594412</v>
      </c>
      <c r="E2673" s="3">
        <v>26990.2856962091</v>
      </c>
      <c r="F2673" s="3">
        <v>21805.8259506643</v>
      </c>
      <c r="G2673" s="3">
        <v>16480.6791780601</v>
      </c>
      <c r="H2673" s="3">
        <v>-48593.0098076007</v>
      </c>
      <c r="I2673" s="3">
        <v>71792.9069802158</v>
      </c>
      <c r="J2673" s="4">
        <v>45962.0</v>
      </c>
      <c r="K2673" s="3">
        <v>10.0</v>
      </c>
      <c r="L2673" s="3" t="s">
        <v>34</v>
      </c>
    </row>
    <row r="2674" ht="15.75" customHeight="1">
      <c r="A2674" s="3" t="s">
        <v>2756</v>
      </c>
      <c r="B2674" s="3" t="s">
        <v>13</v>
      </c>
      <c r="C2674" s="3" t="s">
        <v>33</v>
      </c>
      <c r="D2674" s="3">
        <v>78759.9035643182</v>
      </c>
      <c r="E2674" s="3">
        <v>26994.9004145365</v>
      </c>
      <c r="F2674" s="3">
        <v>21813.5059540938</v>
      </c>
      <c r="G2674" s="3">
        <v>16484.0767287474</v>
      </c>
      <c r="H2674" s="3">
        <v>-48642.5135253497</v>
      </c>
      <c r="I2674" s="3">
        <v>71796.2884546357</v>
      </c>
      <c r="J2674" s="4">
        <v>45717.0</v>
      </c>
      <c r="K2674" s="3">
        <v>11.0</v>
      </c>
      <c r="L2674" s="3" t="s">
        <v>38</v>
      </c>
    </row>
    <row r="2675" ht="15.75" customHeight="1">
      <c r="A2675" s="3" t="s">
        <v>2757</v>
      </c>
      <c r="B2675" s="3" t="s">
        <v>36</v>
      </c>
      <c r="C2675" s="3" t="s">
        <v>18</v>
      </c>
      <c r="D2675" s="3">
        <v>78770.7865342244</v>
      </c>
      <c r="E2675" s="3">
        <v>26999.515132864</v>
      </c>
      <c r="F2675" s="3">
        <v>21821.1859575232</v>
      </c>
      <c r="G2675" s="3">
        <v>16487.4742794347</v>
      </c>
      <c r="H2675" s="3">
        <v>-48692.0172430987</v>
      </c>
      <c r="I2675" s="3">
        <v>71799.6699290555</v>
      </c>
      <c r="J2675" s="4">
        <v>45870.0</v>
      </c>
      <c r="K2675" s="3">
        <v>3.0</v>
      </c>
      <c r="L2675" s="3" t="s">
        <v>40</v>
      </c>
    </row>
    <row r="2676" ht="15.75" customHeight="1">
      <c r="A2676" s="3" t="s">
        <v>2758</v>
      </c>
      <c r="B2676" s="3" t="s">
        <v>25</v>
      </c>
      <c r="C2676" s="3" t="s">
        <v>33</v>
      </c>
      <c r="D2676" s="3">
        <v>78781.6695041306</v>
      </c>
      <c r="E2676" s="3">
        <v>27004.1298511914</v>
      </c>
      <c r="F2676" s="3">
        <v>21828.8659609527</v>
      </c>
      <c r="G2676" s="3">
        <v>16490.871830122</v>
      </c>
      <c r="H2676" s="3">
        <v>-48741.5209608477</v>
      </c>
      <c r="I2676" s="3">
        <v>71803.0514034753</v>
      </c>
      <c r="J2676" s="4">
        <v>45748.0</v>
      </c>
      <c r="K2676" s="3">
        <v>12.0</v>
      </c>
      <c r="L2676" s="3" t="s">
        <v>42</v>
      </c>
    </row>
    <row r="2677" ht="15.75" customHeight="1">
      <c r="A2677" s="3" t="s">
        <v>2759</v>
      </c>
      <c r="B2677" s="3" t="s">
        <v>13</v>
      </c>
      <c r="C2677" s="3" t="s">
        <v>18</v>
      </c>
      <c r="D2677" s="3">
        <v>78792.5524740368</v>
      </c>
      <c r="E2677" s="3">
        <v>27008.7445695188</v>
      </c>
      <c r="F2677" s="3">
        <v>21836.5459643822</v>
      </c>
      <c r="G2677" s="3">
        <v>16494.2693808093</v>
      </c>
      <c r="H2677" s="3">
        <v>-48791.0246785967</v>
      </c>
      <c r="I2677" s="3">
        <v>71806.4328778951</v>
      </c>
      <c r="J2677" s="4">
        <v>45689.0</v>
      </c>
      <c r="K2677" s="3">
        <v>5.0</v>
      </c>
      <c r="L2677" s="3" t="s">
        <v>15</v>
      </c>
    </row>
    <row r="2678" ht="15.75" customHeight="1">
      <c r="A2678" s="3" t="s">
        <v>2760</v>
      </c>
      <c r="B2678" s="3" t="s">
        <v>13</v>
      </c>
      <c r="C2678" s="3" t="s">
        <v>26</v>
      </c>
      <c r="D2678" s="3">
        <v>78803.435443943</v>
      </c>
      <c r="E2678" s="3">
        <v>27013.3592878462</v>
      </c>
      <c r="F2678" s="3">
        <v>21844.2259678117</v>
      </c>
      <c r="G2678" s="3">
        <v>16497.6669314965</v>
      </c>
      <c r="H2678" s="3">
        <v>-48840.5283963467</v>
      </c>
      <c r="I2678" s="3">
        <v>71809.8143523149</v>
      </c>
      <c r="J2678" s="4">
        <v>45658.0</v>
      </c>
      <c r="K2678" s="3">
        <v>25.0</v>
      </c>
      <c r="L2678" s="3" t="s">
        <v>19</v>
      </c>
    </row>
    <row r="2679" ht="15.75" customHeight="1">
      <c r="A2679" s="3" t="s">
        <v>2761</v>
      </c>
      <c r="B2679" s="3" t="s">
        <v>36</v>
      </c>
      <c r="C2679" s="3" t="s">
        <v>30</v>
      </c>
      <c r="D2679" s="3">
        <v>78814.3184138492</v>
      </c>
      <c r="E2679" s="3">
        <v>27017.9740061737</v>
      </c>
      <c r="F2679" s="3">
        <v>21851.9059712412</v>
      </c>
      <c r="G2679" s="3">
        <v>16501.0644821838</v>
      </c>
      <c r="H2679" s="3">
        <v>-48890.0321140957</v>
      </c>
      <c r="I2679" s="3">
        <v>71813.1958267347</v>
      </c>
      <c r="J2679" s="4">
        <v>45962.0</v>
      </c>
      <c r="K2679" s="3">
        <v>3.0</v>
      </c>
      <c r="L2679" s="3" t="s">
        <v>21</v>
      </c>
    </row>
    <row r="2680" ht="15.75" customHeight="1">
      <c r="A2680" s="3" t="s">
        <v>2762</v>
      </c>
      <c r="B2680" s="3" t="s">
        <v>17</v>
      </c>
      <c r="C2680" s="3" t="s">
        <v>26</v>
      </c>
      <c r="D2680" s="3">
        <v>78825.2013837554</v>
      </c>
      <c r="E2680" s="3">
        <v>27022.5887245011</v>
      </c>
      <c r="F2680" s="3">
        <v>21859.5859746707</v>
      </c>
      <c r="G2680" s="3">
        <v>16504.4620328711</v>
      </c>
      <c r="H2680" s="3">
        <v>-48939.5358318447</v>
      </c>
      <c r="I2680" s="3">
        <v>71816.5773011545</v>
      </c>
      <c r="J2680" s="3" t="s">
        <v>2763</v>
      </c>
      <c r="K2680" s="3">
        <v>16.0</v>
      </c>
      <c r="L2680" s="3" t="s">
        <v>23</v>
      </c>
    </row>
    <row r="2681" ht="15.75" customHeight="1">
      <c r="A2681" s="3" t="s">
        <v>2764</v>
      </c>
      <c r="B2681" s="3" t="s">
        <v>51</v>
      </c>
      <c r="C2681" s="3" t="s">
        <v>30</v>
      </c>
      <c r="D2681" s="3">
        <v>78836.0843536615</v>
      </c>
      <c r="E2681" s="3">
        <v>27027.2034428285</v>
      </c>
      <c r="F2681" s="3">
        <v>21867.2659781002</v>
      </c>
      <c r="G2681" s="3">
        <v>16507.8595835584</v>
      </c>
      <c r="H2681" s="3">
        <v>-48989.0395495937</v>
      </c>
      <c r="I2681" s="3">
        <v>71819.9587755743</v>
      </c>
      <c r="J2681" s="4">
        <v>45778.0</v>
      </c>
      <c r="K2681" s="3">
        <v>16.0</v>
      </c>
      <c r="L2681" s="3" t="s">
        <v>27</v>
      </c>
    </row>
    <row r="2682" ht="15.75" customHeight="1">
      <c r="A2682" s="3" t="s">
        <v>2765</v>
      </c>
      <c r="B2682" s="3" t="s">
        <v>13</v>
      </c>
      <c r="C2682" s="3" t="s">
        <v>54</v>
      </c>
      <c r="D2682" s="3">
        <v>78846.9673235677</v>
      </c>
      <c r="E2682" s="3">
        <v>27031.8181611559</v>
      </c>
      <c r="F2682" s="3">
        <v>21874.9459815297</v>
      </c>
      <c r="G2682" s="3">
        <v>16511.2571342457</v>
      </c>
      <c r="H2682" s="3">
        <v>-49038.5432673427</v>
      </c>
      <c r="I2682" s="3">
        <v>71823.3402499942</v>
      </c>
      <c r="J2682" s="4">
        <v>45962.0</v>
      </c>
      <c r="K2682" s="3">
        <v>16.0</v>
      </c>
      <c r="L2682" s="3" t="s">
        <v>31</v>
      </c>
    </row>
    <row r="2683" ht="15.75" customHeight="1">
      <c r="A2683" s="3" t="s">
        <v>2766</v>
      </c>
      <c r="B2683" s="3" t="s">
        <v>53</v>
      </c>
      <c r="C2683" s="3" t="s">
        <v>14</v>
      </c>
      <c r="D2683" s="3">
        <v>78857.8502934739</v>
      </c>
      <c r="E2683" s="3">
        <v>27036.4328794833</v>
      </c>
      <c r="F2683" s="3">
        <v>21882.6259849592</v>
      </c>
      <c r="G2683" s="3">
        <v>16514.654684933</v>
      </c>
      <c r="H2683" s="3">
        <v>-49088.0469850917</v>
      </c>
      <c r="I2683" s="3">
        <v>71826.721724414</v>
      </c>
      <c r="J2683" s="4">
        <v>45901.0</v>
      </c>
      <c r="K2683" s="3">
        <v>15.0</v>
      </c>
      <c r="L2683" s="3" t="s">
        <v>34</v>
      </c>
    </row>
    <row r="2684" ht="15.75" customHeight="1">
      <c r="A2684" s="3" t="s">
        <v>2767</v>
      </c>
      <c r="B2684" s="3" t="s">
        <v>51</v>
      </c>
      <c r="C2684" s="3" t="s">
        <v>14</v>
      </c>
      <c r="D2684" s="3">
        <v>78868.7332633801</v>
      </c>
      <c r="E2684" s="3">
        <v>27041.0475978108</v>
      </c>
      <c r="F2684" s="3">
        <v>21890.3059883887</v>
      </c>
      <c r="G2684" s="3">
        <v>16518.0522356203</v>
      </c>
      <c r="H2684" s="3">
        <v>-49137.5507028407</v>
      </c>
      <c r="I2684" s="3">
        <v>71830.1031988338</v>
      </c>
      <c r="J2684" s="4">
        <v>45992.0</v>
      </c>
      <c r="K2684" s="3">
        <v>7.0</v>
      </c>
      <c r="L2684" s="3" t="s">
        <v>38</v>
      </c>
    </row>
    <row r="2685" ht="15.75" customHeight="1">
      <c r="A2685" s="3" t="s">
        <v>2768</v>
      </c>
      <c r="B2685" s="3" t="s">
        <v>25</v>
      </c>
      <c r="C2685" s="3" t="s">
        <v>18</v>
      </c>
      <c r="D2685" s="3">
        <v>78879.6162332863</v>
      </c>
      <c r="E2685" s="3">
        <v>27045.6623161382</v>
      </c>
      <c r="F2685" s="3">
        <v>21897.9859918182</v>
      </c>
      <c r="G2685" s="3">
        <v>16521.4497863076</v>
      </c>
      <c r="H2685" s="3">
        <v>-49187.0544205897</v>
      </c>
      <c r="I2685" s="3">
        <v>71833.4846732536</v>
      </c>
      <c r="J2685" s="4">
        <v>45809.0</v>
      </c>
      <c r="K2685" s="3">
        <v>3.0</v>
      </c>
      <c r="L2685" s="3" t="s">
        <v>40</v>
      </c>
    </row>
    <row r="2686" ht="15.75" customHeight="1">
      <c r="A2686" s="3" t="s">
        <v>2769</v>
      </c>
      <c r="B2686" s="3" t="s">
        <v>51</v>
      </c>
      <c r="C2686" s="3" t="s">
        <v>33</v>
      </c>
      <c r="D2686" s="3">
        <v>78890.4992031925</v>
      </c>
      <c r="E2686" s="3">
        <v>27050.2770344656</v>
      </c>
      <c r="F2686" s="3">
        <v>21905.6659952477</v>
      </c>
      <c r="G2686" s="3">
        <v>16524.8473369948</v>
      </c>
      <c r="H2686" s="3">
        <v>-49236.5581383397</v>
      </c>
      <c r="I2686" s="3">
        <v>71836.8661476734</v>
      </c>
      <c r="J2686" s="4">
        <v>45839.0</v>
      </c>
      <c r="K2686" s="3">
        <v>3.0</v>
      </c>
      <c r="L2686" s="3" t="s">
        <v>42</v>
      </c>
    </row>
    <row r="2687" ht="15.75" customHeight="1">
      <c r="A2687" s="3" t="s">
        <v>2770</v>
      </c>
      <c r="B2687" s="3" t="s">
        <v>51</v>
      </c>
      <c r="C2687" s="3" t="s">
        <v>37</v>
      </c>
      <c r="D2687" s="3">
        <v>78901.3821730987</v>
      </c>
      <c r="E2687" s="3">
        <v>27054.891752793</v>
      </c>
      <c r="F2687" s="3">
        <v>21913.3459986772</v>
      </c>
      <c r="G2687" s="3">
        <v>16528.2448876821</v>
      </c>
      <c r="H2687" s="3">
        <v>-49286.0618560887</v>
      </c>
      <c r="I2687" s="3">
        <v>71840.2476220932</v>
      </c>
      <c r="J2687" s="4">
        <v>45748.0</v>
      </c>
      <c r="K2687" s="3">
        <v>9.0</v>
      </c>
      <c r="L2687" s="3" t="s">
        <v>15</v>
      </c>
    </row>
    <row r="2688" ht="15.75" customHeight="1">
      <c r="A2688" s="3" t="s">
        <v>2771</v>
      </c>
      <c r="B2688" s="3" t="s">
        <v>13</v>
      </c>
      <c r="C2688" s="3" t="s">
        <v>54</v>
      </c>
      <c r="D2688" s="3">
        <v>78912.2651430049</v>
      </c>
      <c r="E2688" s="3">
        <v>27059.5064711205</v>
      </c>
      <c r="F2688" s="3">
        <v>21921.0260021067</v>
      </c>
      <c r="G2688" s="5"/>
      <c r="H2688" s="3">
        <v>-49335.5655738377</v>
      </c>
      <c r="I2688" s="3">
        <v>71843.6290965131</v>
      </c>
      <c r="J2688" s="4">
        <v>45901.0</v>
      </c>
      <c r="K2688" s="3">
        <v>14.0</v>
      </c>
      <c r="L2688" s="3" t="s">
        <v>19</v>
      </c>
    </row>
    <row r="2689" ht="15.75" customHeight="1">
      <c r="A2689" s="3" t="s">
        <v>2772</v>
      </c>
      <c r="B2689" s="3" t="s">
        <v>51</v>
      </c>
      <c r="C2689" s="3" t="s">
        <v>26</v>
      </c>
      <c r="D2689" s="3">
        <v>78923.1481129111</v>
      </c>
      <c r="E2689" s="3">
        <v>27064.1211894479</v>
      </c>
      <c r="F2689" s="3">
        <v>21928.7060055362</v>
      </c>
      <c r="G2689" s="3">
        <v>16535.0399890567</v>
      </c>
      <c r="H2689" s="3">
        <v>-49385.0692915867</v>
      </c>
      <c r="I2689" s="3">
        <v>71847.0105709329</v>
      </c>
      <c r="J2689" s="4">
        <v>45748.0</v>
      </c>
      <c r="K2689" s="3">
        <v>20.0</v>
      </c>
      <c r="L2689" s="3" t="s">
        <v>21</v>
      </c>
    </row>
    <row r="2690" ht="15.75" customHeight="1">
      <c r="A2690" s="3" t="s">
        <v>2773</v>
      </c>
      <c r="B2690" s="3" t="s">
        <v>29</v>
      </c>
      <c r="C2690" s="3" t="s">
        <v>14</v>
      </c>
      <c r="D2690" s="3">
        <v>78934.0310828173</v>
      </c>
      <c r="E2690" s="3">
        <v>27068.7359077753</v>
      </c>
      <c r="F2690" s="3">
        <v>21936.3860089657</v>
      </c>
      <c r="G2690" s="3">
        <v>16538.437539744</v>
      </c>
      <c r="H2690" s="3">
        <v>-49434.5730093357</v>
      </c>
      <c r="I2690" s="3">
        <v>71850.3920453527</v>
      </c>
      <c r="J2690" s="4">
        <v>45901.0</v>
      </c>
      <c r="K2690" s="3">
        <v>14.0</v>
      </c>
      <c r="L2690" s="3" t="s">
        <v>23</v>
      </c>
    </row>
    <row r="2691" ht="15.75" customHeight="1">
      <c r="A2691" s="3" t="s">
        <v>2774</v>
      </c>
      <c r="B2691" s="3" t="s">
        <v>36</v>
      </c>
      <c r="C2691" s="3" t="s">
        <v>18</v>
      </c>
      <c r="D2691" s="3">
        <v>78944.9140527235</v>
      </c>
      <c r="E2691" s="3">
        <v>27073.3506261027</v>
      </c>
      <c r="F2691" s="3">
        <v>21944.0660123952</v>
      </c>
      <c r="G2691" s="3">
        <v>16541.8350904313</v>
      </c>
      <c r="H2691" s="3">
        <v>-49484.0767270847</v>
      </c>
      <c r="I2691" s="3">
        <v>71853.7735197725</v>
      </c>
      <c r="J2691" s="4">
        <v>45931.0</v>
      </c>
      <c r="K2691" s="3">
        <v>14.0</v>
      </c>
      <c r="L2691" s="3" t="s">
        <v>27</v>
      </c>
    </row>
    <row r="2692" ht="15.75" customHeight="1">
      <c r="A2692" s="3" t="s">
        <v>2775</v>
      </c>
      <c r="B2692" s="3" t="s">
        <v>29</v>
      </c>
      <c r="C2692" s="3" t="s">
        <v>54</v>
      </c>
      <c r="D2692" s="3">
        <v>78955.7970226297</v>
      </c>
      <c r="E2692" s="3">
        <v>27077.9653444301</v>
      </c>
      <c r="F2692" s="3">
        <v>21951.7460158247</v>
      </c>
      <c r="G2692" s="3">
        <v>16545.2326411186</v>
      </c>
      <c r="H2692" s="3">
        <v>-49533.5804448337</v>
      </c>
      <c r="I2692" s="3">
        <v>71857.1549941923</v>
      </c>
      <c r="J2692" s="4">
        <v>45962.0</v>
      </c>
      <c r="K2692" s="3">
        <v>24.0</v>
      </c>
      <c r="L2692" s="3" t="s">
        <v>31</v>
      </c>
    </row>
    <row r="2693" ht="15.75" customHeight="1">
      <c r="A2693" s="3" t="s">
        <v>2776</v>
      </c>
      <c r="B2693" s="3" t="s">
        <v>13</v>
      </c>
      <c r="C2693" s="3" t="s">
        <v>26</v>
      </c>
      <c r="D2693" s="3">
        <v>78966.6799925359</v>
      </c>
      <c r="E2693" s="3">
        <v>27082.5800627576</v>
      </c>
      <c r="F2693" s="3">
        <v>21959.4260192542</v>
      </c>
      <c r="G2693" s="3">
        <v>16548.6301918058</v>
      </c>
      <c r="H2693" s="3">
        <v>-49583.0841625827</v>
      </c>
      <c r="I2693" s="3">
        <v>71860.5364686121</v>
      </c>
      <c r="J2693" s="4">
        <v>45658.0</v>
      </c>
      <c r="K2693" s="3">
        <v>18.0</v>
      </c>
      <c r="L2693" s="3" t="s">
        <v>34</v>
      </c>
    </row>
    <row r="2694" ht="15.75" customHeight="1">
      <c r="A2694" s="3" t="s">
        <v>2777</v>
      </c>
      <c r="B2694" s="3" t="s">
        <v>17</v>
      </c>
      <c r="C2694" s="3" t="s">
        <v>26</v>
      </c>
      <c r="D2694" s="3">
        <v>78977.5629624421</v>
      </c>
      <c r="E2694" s="3">
        <v>27087.194781085</v>
      </c>
      <c r="F2694" s="3">
        <v>21967.1060226837</v>
      </c>
      <c r="G2694" s="3">
        <v>16552.0277424931</v>
      </c>
      <c r="H2694" s="3">
        <v>-49632.5878803327</v>
      </c>
      <c r="I2694" s="3">
        <v>71863.9179430319</v>
      </c>
      <c r="J2694" s="4">
        <v>45870.0</v>
      </c>
      <c r="K2694" s="3">
        <v>2.0</v>
      </c>
      <c r="L2694" s="3" t="s">
        <v>38</v>
      </c>
    </row>
    <row r="2695" ht="15.75" customHeight="1">
      <c r="A2695" s="3" t="s">
        <v>2778</v>
      </c>
      <c r="B2695" s="3" t="s">
        <v>53</v>
      </c>
      <c r="C2695" s="3" t="s">
        <v>54</v>
      </c>
      <c r="D2695" s="3">
        <v>78988.4459323483</v>
      </c>
      <c r="E2695" s="3">
        <v>27091.8094994124</v>
      </c>
      <c r="F2695" s="3">
        <v>21974.7860261132</v>
      </c>
      <c r="G2695" s="3">
        <v>16555.4252931804</v>
      </c>
      <c r="H2695" s="3">
        <v>-49682.0915980817</v>
      </c>
      <c r="I2695" s="3">
        <v>71867.2994174518</v>
      </c>
      <c r="J2695" s="4">
        <v>45901.0</v>
      </c>
      <c r="K2695" s="3">
        <v>6.0</v>
      </c>
      <c r="L2695" s="3" t="s">
        <v>40</v>
      </c>
    </row>
    <row r="2696" ht="15.75" customHeight="1">
      <c r="A2696" s="3" t="s">
        <v>2779</v>
      </c>
      <c r="B2696" s="3" t="s">
        <v>51</v>
      </c>
      <c r="C2696" s="3" t="s">
        <v>37</v>
      </c>
      <c r="D2696" s="3">
        <v>78999.3289022545</v>
      </c>
      <c r="E2696" s="3">
        <v>27096.4242177398</v>
      </c>
      <c r="F2696" s="3">
        <v>21982.4660295427</v>
      </c>
      <c r="G2696" s="3">
        <v>16558.8228438677</v>
      </c>
      <c r="H2696" s="3">
        <v>-49731.5953158307</v>
      </c>
      <c r="I2696" s="3">
        <v>71870.6808918716</v>
      </c>
      <c r="J2696" s="4">
        <v>45778.0</v>
      </c>
      <c r="K2696" s="3">
        <v>2.0</v>
      </c>
      <c r="L2696" s="3" t="s">
        <v>42</v>
      </c>
    </row>
    <row r="2697" ht="15.75" customHeight="1">
      <c r="A2697" s="3" t="s">
        <v>2780</v>
      </c>
      <c r="B2697" s="3" t="s">
        <v>51</v>
      </c>
      <c r="C2697" s="3" t="s">
        <v>37</v>
      </c>
      <c r="D2697" s="3">
        <v>79010.2118721606</v>
      </c>
      <c r="E2697" s="3">
        <v>27101.0389360673</v>
      </c>
      <c r="F2697" s="3">
        <v>21990.1460329722</v>
      </c>
      <c r="G2697" s="3">
        <v>16562.220394555</v>
      </c>
      <c r="H2697" s="3">
        <v>-49781.0990335797</v>
      </c>
      <c r="I2697" s="3">
        <v>71874.0623662914</v>
      </c>
      <c r="J2697" s="4">
        <v>45992.0</v>
      </c>
      <c r="K2697" s="3">
        <v>6.0</v>
      </c>
      <c r="L2697" s="3" t="s">
        <v>15</v>
      </c>
    </row>
    <row r="2698" ht="15.75" customHeight="1">
      <c r="A2698" s="3" t="s">
        <v>2781</v>
      </c>
      <c r="B2698" s="3" t="s">
        <v>29</v>
      </c>
      <c r="C2698" s="3" t="s">
        <v>37</v>
      </c>
      <c r="D2698" s="3">
        <v>79021.0948420668</v>
      </c>
      <c r="E2698" s="3">
        <v>27105.6536543947</v>
      </c>
      <c r="F2698" s="3">
        <v>21997.8260364017</v>
      </c>
      <c r="G2698" s="3">
        <v>16565.6179452423</v>
      </c>
      <c r="H2698" s="3">
        <v>-49830.6027513287</v>
      </c>
      <c r="I2698" s="3">
        <v>71877.4438407112</v>
      </c>
      <c r="J2698" s="4">
        <v>45839.0</v>
      </c>
      <c r="K2698" s="3">
        <v>13.0</v>
      </c>
      <c r="L2698" s="3" t="s">
        <v>19</v>
      </c>
    </row>
    <row r="2699" ht="15.75" customHeight="1">
      <c r="A2699" s="3" t="s">
        <v>2782</v>
      </c>
      <c r="B2699" s="3" t="s">
        <v>29</v>
      </c>
      <c r="C2699" s="3" t="s">
        <v>26</v>
      </c>
      <c r="D2699" s="3">
        <v>79031.977811973</v>
      </c>
      <c r="E2699" s="3">
        <v>27110.2683727221</v>
      </c>
      <c r="F2699" s="3">
        <v>22005.5060398312</v>
      </c>
      <c r="G2699" s="3">
        <v>16569.0154959296</v>
      </c>
      <c r="H2699" s="3">
        <v>-49880.1064690777</v>
      </c>
      <c r="I2699" s="3">
        <v>71880.825315131</v>
      </c>
      <c r="J2699" s="4">
        <v>45901.0</v>
      </c>
      <c r="K2699" s="3">
        <v>11.0</v>
      </c>
      <c r="L2699" s="3" t="s">
        <v>21</v>
      </c>
    </row>
    <row r="2700" ht="15.75" customHeight="1">
      <c r="A2700" s="3" t="s">
        <v>2783</v>
      </c>
      <c r="B2700" s="3" t="s">
        <v>36</v>
      </c>
      <c r="C2700" s="3" t="s">
        <v>26</v>
      </c>
      <c r="D2700" s="3">
        <v>79042.8607818792</v>
      </c>
      <c r="E2700" s="3">
        <v>27114.8830910495</v>
      </c>
      <c r="F2700" s="3">
        <v>22013.1860432607</v>
      </c>
      <c r="G2700" s="3">
        <v>16572.4130466169</v>
      </c>
      <c r="H2700" s="3">
        <v>-49929.6101868267</v>
      </c>
      <c r="I2700" s="3">
        <v>71884.2067895508</v>
      </c>
      <c r="J2700" s="4">
        <v>45748.0</v>
      </c>
      <c r="K2700" s="3">
        <v>5.0</v>
      </c>
      <c r="L2700" s="3" t="s">
        <v>23</v>
      </c>
    </row>
    <row r="2701" ht="15.75" customHeight="1">
      <c r="A2701" s="3" t="s">
        <v>2784</v>
      </c>
      <c r="B2701" s="3" t="s">
        <v>17</v>
      </c>
      <c r="C2701" s="3" t="s">
        <v>33</v>
      </c>
      <c r="D2701" s="3">
        <v>79053.7437517854</v>
      </c>
      <c r="E2701" s="3">
        <v>27119.4978093769</v>
      </c>
      <c r="F2701" s="3">
        <v>22020.8660466902</v>
      </c>
      <c r="G2701" s="3">
        <v>16575.8105973041</v>
      </c>
      <c r="H2701" s="3">
        <v>-49979.1139045767</v>
      </c>
      <c r="I2701" s="3">
        <v>71887.5882639706</v>
      </c>
      <c r="J2701" s="4">
        <v>45962.0</v>
      </c>
      <c r="K2701" s="3">
        <v>23.0</v>
      </c>
      <c r="L2701" s="3" t="s">
        <v>27</v>
      </c>
    </row>
    <row r="2702" ht="15.75" customHeight="1">
      <c r="A2702" s="3" t="s">
        <v>2785</v>
      </c>
      <c r="B2702" s="3" t="s">
        <v>53</v>
      </c>
      <c r="C2702" s="3" t="s">
        <v>18</v>
      </c>
      <c r="D2702" s="3">
        <v>79064.6267216916</v>
      </c>
      <c r="E2702" s="3">
        <v>27124.1125277044</v>
      </c>
      <c r="F2702" s="3">
        <v>22028.5460501197</v>
      </c>
      <c r="G2702" s="3">
        <v>16579.2081479914</v>
      </c>
      <c r="H2702" s="3">
        <v>-50028.6176223257</v>
      </c>
      <c r="I2702" s="3">
        <v>71890.9697383905</v>
      </c>
      <c r="J2702" s="4">
        <v>45992.0</v>
      </c>
      <c r="K2702" s="3">
        <v>17.0</v>
      </c>
      <c r="L2702" s="3" t="s">
        <v>31</v>
      </c>
    </row>
    <row r="2703" ht="15.75" customHeight="1">
      <c r="A2703" s="3" t="s">
        <v>2786</v>
      </c>
      <c r="B2703" s="3" t="s">
        <v>36</v>
      </c>
      <c r="C2703" s="3" t="s">
        <v>18</v>
      </c>
      <c r="D2703" s="3">
        <v>79075.5096915978</v>
      </c>
      <c r="E2703" s="3">
        <v>27128.7272460318</v>
      </c>
      <c r="F2703" s="3">
        <v>22036.2260535492</v>
      </c>
      <c r="G2703" s="3">
        <v>16582.6056986787</v>
      </c>
      <c r="H2703" s="3">
        <v>-50078.1213400747</v>
      </c>
      <c r="I2703" s="3">
        <v>71894.3512128103</v>
      </c>
      <c r="J2703" s="4">
        <v>45992.0</v>
      </c>
      <c r="K2703" s="3">
        <v>23.0</v>
      </c>
      <c r="L2703" s="3" t="s">
        <v>34</v>
      </c>
    </row>
    <row r="2704" ht="15.75" customHeight="1">
      <c r="A2704" s="3" t="s">
        <v>2787</v>
      </c>
      <c r="B2704" s="3" t="s">
        <v>29</v>
      </c>
      <c r="C2704" s="3" t="s">
        <v>37</v>
      </c>
      <c r="D2704" s="3">
        <v>79086.392661504</v>
      </c>
      <c r="E2704" s="3">
        <v>27133.3419643592</v>
      </c>
      <c r="F2704" s="3">
        <v>22043.9060569787</v>
      </c>
      <c r="G2704" s="3">
        <v>16586.003249366</v>
      </c>
      <c r="H2704" s="3">
        <v>-50127.6250578237</v>
      </c>
      <c r="I2704" s="3">
        <v>71897.7326872301</v>
      </c>
      <c r="J2704" s="4">
        <v>45658.0</v>
      </c>
      <c r="K2704" s="3">
        <v>7.0</v>
      </c>
      <c r="L2704" s="3" t="s">
        <v>38</v>
      </c>
    </row>
    <row r="2705" ht="15.75" customHeight="1">
      <c r="A2705" s="3" t="s">
        <v>2788</v>
      </c>
      <c r="B2705" s="3" t="s">
        <v>36</v>
      </c>
      <c r="C2705" s="3" t="s">
        <v>54</v>
      </c>
      <c r="D2705" s="3">
        <v>79097.2756314102</v>
      </c>
      <c r="E2705" s="3">
        <v>27137.9566826866</v>
      </c>
      <c r="F2705" s="3">
        <v>22051.5860604082</v>
      </c>
      <c r="G2705" s="3">
        <v>16589.4008000533</v>
      </c>
      <c r="H2705" s="3">
        <v>-50177.1287755727</v>
      </c>
      <c r="I2705" s="3">
        <v>71901.1141616499</v>
      </c>
      <c r="J2705" s="4">
        <v>45658.0</v>
      </c>
      <c r="K2705" s="3">
        <v>25.0</v>
      </c>
      <c r="L2705" s="3" t="s">
        <v>40</v>
      </c>
    </row>
    <row r="2706" ht="15.75" customHeight="1">
      <c r="A2706" s="3" t="s">
        <v>2789</v>
      </c>
      <c r="B2706" s="3" t="s">
        <v>53</v>
      </c>
      <c r="C2706" s="3" t="s">
        <v>26</v>
      </c>
      <c r="D2706" s="3">
        <v>79108.1586013164</v>
      </c>
      <c r="E2706" s="3">
        <v>27142.571401014</v>
      </c>
      <c r="F2706" s="3">
        <v>22059.2660638377</v>
      </c>
      <c r="G2706" s="3">
        <v>16592.7983507406</v>
      </c>
      <c r="H2706" s="3">
        <v>-50226.6324933217</v>
      </c>
      <c r="I2706" s="3">
        <v>71904.4956360697</v>
      </c>
      <c r="J2706" s="4">
        <v>45992.0</v>
      </c>
      <c r="K2706" s="3">
        <v>6.0</v>
      </c>
      <c r="L2706" s="3" t="s">
        <v>42</v>
      </c>
    </row>
    <row r="2707" ht="15.75" customHeight="1">
      <c r="A2707" s="3" t="s">
        <v>2790</v>
      </c>
      <c r="B2707" s="3" t="s">
        <v>53</v>
      </c>
      <c r="C2707" s="3" t="s">
        <v>14</v>
      </c>
      <c r="D2707" s="3">
        <v>79119.0415712226</v>
      </c>
      <c r="E2707" s="3">
        <v>27147.1861193415</v>
      </c>
      <c r="F2707" s="3">
        <v>22066.9460672672</v>
      </c>
      <c r="G2707" s="3">
        <v>16596.1959014279</v>
      </c>
      <c r="H2707" s="3">
        <v>-50276.1362110707</v>
      </c>
      <c r="I2707" s="3">
        <v>71907.8771104895</v>
      </c>
      <c r="J2707" s="3" t="s">
        <v>788</v>
      </c>
      <c r="K2707" s="3">
        <v>17.0</v>
      </c>
      <c r="L2707" s="3" t="s">
        <v>15</v>
      </c>
    </row>
    <row r="2708" ht="15.75" customHeight="1">
      <c r="A2708" s="3" t="s">
        <v>2791</v>
      </c>
      <c r="B2708" s="3" t="s">
        <v>25</v>
      </c>
      <c r="C2708" s="3" t="s">
        <v>26</v>
      </c>
      <c r="D2708" s="3">
        <v>79129.9245411288</v>
      </c>
      <c r="E2708" s="3">
        <v>27151.8008376689</v>
      </c>
      <c r="F2708" s="3">
        <v>22074.6260706967</v>
      </c>
      <c r="G2708" s="3">
        <v>16599.5934521152</v>
      </c>
      <c r="H2708" s="3">
        <v>-50325.6399288197</v>
      </c>
      <c r="I2708" s="3">
        <v>71911.2585849093</v>
      </c>
      <c r="J2708" s="4">
        <v>45901.0</v>
      </c>
      <c r="K2708" s="3">
        <v>23.0</v>
      </c>
      <c r="L2708" s="3" t="s">
        <v>19</v>
      </c>
    </row>
    <row r="2709" ht="15.75" customHeight="1">
      <c r="A2709" s="3" t="s">
        <v>2792</v>
      </c>
      <c r="B2709" s="3" t="s">
        <v>51</v>
      </c>
      <c r="C2709" s="3" t="s">
        <v>14</v>
      </c>
      <c r="D2709" s="3">
        <v>79140.807511035</v>
      </c>
      <c r="E2709" s="3">
        <v>27156.4155559963</v>
      </c>
      <c r="F2709" s="3">
        <v>22082.3060741262</v>
      </c>
      <c r="G2709" s="3">
        <v>16602.9910028024</v>
      </c>
      <c r="H2709" s="3">
        <v>-50375.1436465697</v>
      </c>
      <c r="I2709" s="3">
        <v>71914.6400593292</v>
      </c>
      <c r="J2709" s="4">
        <v>45778.0</v>
      </c>
      <c r="K2709" s="3">
        <v>19.0</v>
      </c>
      <c r="L2709" s="3" t="s">
        <v>21</v>
      </c>
    </row>
    <row r="2710" ht="15.75" customHeight="1">
      <c r="A2710" s="3" t="s">
        <v>2793</v>
      </c>
      <c r="B2710" s="3" t="s">
        <v>13</v>
      </c>
      <c r="C2710" s="3" t="s">
        <v>26</v>
      </c>
      <c r="D2710" s="3">
        <v>79151.6904809412</v>
      </c>
      <c r="E2710" s="3">
        <v>27161.0302743237</v>
      </c>
      <c r="F2710" s="3">
        <v>22089.9860775557</v>
      </c>
      <c r="G2710" s="3">
        <v>16606.3885534897</v>
      </c>
      <c r="H2710" s="3">
        <v>-50424.6473643187</v>
      </c>
      <c r="I2710" s="3">
        <v>71918.021533749</v>
      </c>
      <c r="J2710" s="4">
        <v>45717.0</v>
      </c>
      <c r="K2710" s="3">
        <v>13.0</v>
      </c>
      <c r="L2710" s="3" t="s">
        <v>23</v>
      </c>
    </row>
    <row r="2711" ht="15.75" customHeight="1">
      <c r="A2711" s="3" t="s">
        <v>2794</v>
      </c>
      <c r="B2711" s="3" t="s">
        <v>53</v>
      </c>
      <c r="C2711" s="3" t="s">
        <v>30</v>
      </c>
      <c r="D2711" s="3">
        <v>79162.5734508473</v>
      </c>
      <c r="E2711" s="3">
        <v>27165.6449926512</v>
      </c>
      <c r="F2711" s="3">
        <v>22097.6660809852</v>
      </c>
      <c r="G2711" s="3">
        <v>16609.786104177</v>
      </c>
      <c r="H2711" s="3">
        <v>-50474.1510820677</v>
      </c>
      <c r="I2711" s="3">
        <v>71921.4030081688</v>
      </c>
      <c r="J2711" s="4">
        <v>45778.0</v>
      </c>
      <c r="K2711" s="3">
        <v>23.0</v>
      </c>
      <c r="L2711" s="3" t="s">
        <v>27</v>
      </c>
    </row>
    <row r="2712" ht="15.75" customHeight="1">
      <c r="A2712" s="3" t="s">
        <v>2795</v>
      </c>
      <c r="B2712" s="3" t="s">
        <v>17</v>
      </c>
      <c r="C2712" s="3" t="s">
        <v>18</v>
      </c>
      <c r="D2712" s="3">
        <v>79173.4564207535</v>
      </c>
      <c r="E2712" s="3">
        <v>27170.2597109786</v>
      </c>
      <c r="F2712" s="3">
        <v>22105.3460844147</v>
      </c>
      <c r="G2712" s="3">
        <v>16613.1836548643</v>
      </c>
      <c r="H2712" s="3">
        <v>-50523.6547998167</v>
      </c>
      <c r="I2712" s="3">
        <v>71924.7844825886</v>
      </c>
      <c r="J2712" s="4">
        <v>45839.0</v>
      </c>
      <c r="K2712" s="3">
        <v>3.0</v>
      </c>
      <c r="L2712" s="3" t="s">
        <v>31</v>
      </c>
    </row>
    <row r="2713" ht="15.75" customHeight="1">
      <c r="A2713" s="3" t="s">
        <v>2796</v>
      </c>
      <c r="B2713" s="3" t="s">
        <v>17</v>
      </c>
      <c r="C2713" s="3" t="s">
        <v>37</v>
      </c>
      <c r="D2713" s="3">
        <v>79184.3393906597</v>
      </c>
      <c r="E2713" s="3">
        <v>27174.874429306</v>
      </c>
      <c r="F2713" s="3">
        <v>22113.0260878441</v>
      </c>
      <c r="G2713" s="3">
        <v>16616.5812055516</v>
      </c>
      <c r="H2713" s="3">
        <v>-50573.1585175657</v>
      </c>
      <c r="I2713" s="3">
        <v>71928.1659570084</v>
      </c>
      <c r="J2713" s="4">
        <v>45689.0</v>
      </c>
      <c r="K2713" s="3">
        <v>21.0</v>
      </c>
      <c r="L2713" s="3" t="s">
        <v>34</v>
      </c>
    </row>
    <row r="2714" ht="15.75" customHeight="1">
      <c r="A2714" s="3" t="s">
        <v>2797</v>
      </c>
      <c r="B2714" s="3" t="s">
        <v>25</v>
      </c>
      <c r="C2714" s="3" t="s">
        <v>30</v>
      </c>
      <c r="D2714" s="3">
        <v>79195.2223605659</v>
      </c>
      <c r="E2714" s="3">
        <v>27179.4891476334</v>
      </c>
      <c r="F2714" s="3">
        <v>22120.7060912736</v>
      </c>
      <c r="G2714" s="3">
        <v>16619.9787562389</v>
      </c>
      <c r="H2714" s="3">
        <v>-50622.6622353147</v>
      </c>
      <c r="I2714" s="3">
        <v>71931.5474314282</v>
      </c>
      <c r="J2714" s="4">
        <v>45839.0</v>
      </c>
      <c r="K2714" s="3">
        <v>18.0</v>
      </c>
      <c r="L2714" s="3" t="s">
        <v>38</v>
      </c>
    </row>
    <row r="2715" ht="15.75" customHeight="1">
      <c r="A2715" s="3" t="s">
        <v>2798</v>
      </c>
      <c r="B2715" s="3" t="s">
        <v>36</v>
      </c>
      <c r="C2715" s="3" t="s">
        <v>18</v>
      </c>
      <c r="D2715" s="3">
        <v>79206.1053304721</v>
      </c>
      <c r="E2715" s="3">
        <v>27184.1038659608</v>
      </c>
      <c r="F2715" s="3">
        <v>22128.3860947031</v>
      </c>
      <c r="G2715" s="3">
        <v>16623.3763069262</v>
      </c>
      <c r="H2715" s="3">
        <v>-50672.1659530637</v>
      </c>
      <c r="I2715" s="3">
        <v>71934.928905848</v>
      </c>
      <c r="J2715" s="4">
        <v>45870.0</v>
      </c>
      <c r="K2715" s="3">
        <v>8.0</v>
      </c>
      <c r="L2715" s="3" t="s">
        <v>40</v>
      </c>
    </row>
    <row r="2716" ht="15.75" customHeight="1">
      <c r="A2716" s="3" t="s">
        <v>2799</v>
      </c>
      <c r="B2716" s="3" t="s">
        <v>13</v>
      </c>
      <c r="C2716" s="3" t="s">
        <v>30</v>
      </c>
      <c r="D2716" s="3">
        <v>79216.9883003783</v>
      </c>
      <c r="E2716" s="3">
        <v>27188.7185842883</v>
      </c>
      <c r="F2716" s="3">
        <v>22136.0660981326</v>
      </c>
      <c r="G2716" s="3">
        <v>16626.7738576134</v>
      </c>
      <c r="H2716" s="3">
        <v>-50721.6696708127</v>
      </c>
      <c r="I2716" s="3">
        <v>71938.3103802679</v>
      </c>
      <c r="J2716" s="4">
        <v>45689.0</v>
      </c>
      <c r="K2716" s="3">
        <v>8.0</v>
      </c>
      <c r="L2716" s="3" t="s">
        <v>42</v>
      </c>
    </row>
    <row r="2717" ht="15.75" customHeight="1">
      <c r="A2717" s="3" t="s">
        <v>2800</v>
      </c>
      <c r="B2717" s="3" t="s">
        <v>53</v>
      </c>
      <c r="C2717" s="3" t="s">
        <v>14</v>
      </c>
      <c r="D2717" s="3">
        <v>79227.8712702845</v>
      </c>
      <c r="E2717" s="3">
        <v>27193.3333026157</v>
      </c>
      <c r="F2717" s="3">
        <v>22143.7461015621</v>
      </c>
      <c r="G2717" s="3">
        <v>16630.1714083007</v>
      </c>
      <c r="H2717" s="3">
        <v>-50771.1733885627</v>
      </c>
      <c r="I2717" s="3">
        <v>71941.6918546877</v>
      </c>
      <c r="J2717" s="4">
        <v>45931.0</v>
      </c>
      <c r="K2717" s="3">
        <v>4.0</v>
      </c>
      <c r="L2717" s="3" t="s">
        <v>15</v>
      </c>
    </row>
    <row r="2718" ht="15.75" customHeight="1">
      <c r="A2718" s="3" t="s">
        <v>2801</v>
      </c>
      <c r="B2718" s="3" t="s">
        <v>25</v>
      </c>
      <c r="C2718" s="3" t="s">
        <v>37</v>
      </c>
      <c r="D2718" s="3">
        <v>79238.7542401907</v>
      </c>
      <c r="E2718" s="3">
        <v>27197.9480209431</v>
      </c>
      <c r="F2718" s="3">
        <v>22151.4261049916</v>
      </c>
      <c r="G2718" s="3">
        <v>16633.568958988</v>
      </c>
      <c r="H2718" s="3">
        <v>-50820.6771063117</v>
      </c>
      <c r="I2718" s="3">
        <v>71945.0733291075</v>
      </c>
      <c r="J2718" s="4">
        <v>45901.0</v>
      </c>
      <c r="K2718" s="3">
        <v>15.0</v>
      </c>
      <c r="L2718" s="3" t="s">
        <v>19</v>
      </c>
    </row>
    <row r="2719" ht="15.75" customHeight="1">
      <c r="A2719" s="3" t="s">
        <v>2802</v>
      </c>
      <c r="B2719" s="3" t="s">
        <v>53</v>
      </c>
      <c r="C2719" s="3" t="s">
        <v>30</v>
      </c>
      <c r="D2719" s="3">
        <v>79249.6372100969</v>
      </c>
      <c r="E2719" s="3">
        <v>27202.5627392705</v>
      </c>
      <c r="F2719" s="3">
        <v>22159.1061084211</v>
      </c>
      <c r="G2719" s="3">
        <v>16636.9665096753</v>
      </c>
      <c r="H2719" s="3">
        <v>-50870.1808240607</v>
      </c>
      <c r="I2719" s="3">
        <v>71948.4548035273</v>
      </c>
      <c r="J2719" s="4">
        <v>45748.0</v>
      </c>
      <c r="K2719" s="3">
        <v>16.0</v>
      </c>
      <c r="L2719" s="3" t="s">
        <v>21</v>
      </c>
    </row>
    <row r="2720" ht="15.75" customHeight="1">
      <c r="A2720" s="3" t="s">
        <v>2803</v>
      </c>
      <c r="B2720" s="3" t="s">
        <v>36</v>
      </c>
      <c r="C2720" s="3" t="s">
        <v>26</v>
      </c>
      <c r="D2720" s="3">
        <v>79260.5201800031</v>
      </c>
      <c r="E2720" s="3">
        <v>27207.177457598</v>
      </c>
      <c r="F2720" s="3">
        <v>22166.7861118506</v>
      </c>
      <c r="G2720" s="3">
        <v>16640.3640603626</v>
      </c>
      <c r="H2720" s="3">
        <v>-50919.6845418097</v>
      </c>
      <c r="I2720" s="3">
        <v>71951.8362779471</v>
      </c>
      <c r="J2720" s="4">
        <v>45689.0</v>
      </c>
      <c r="K2720" s="3">
        <v>25.0</v>
      </c>
      <c r="L2720" s="3" t="s">
        <v>23</v>
      </c>
    </row>
    <row r="2721" ht="15.75" customHeight="1">
      <c r="A2721" s="3" t="s">
        <v>2804</v>
      </c>
      <c r="B2721" s="3" t="s">
        <v>53</v>
      </c>
      <c r="C2721" s="3" t="s">
        <v>26</v>
      </c>
      <c r="D2721" s="3">
        <v>79271.4031499093</v>
      </c>
      <c r="E2721" s="3">
        <v>27211.7921759254</v>
      </c>
      <c r="F2721" s="3">
        <v>22174.4661152801</v>
      </c>
      <c r="G2721" s="3">
        <v>16643.7616110499</v>
      </c>
      <c r="H2721" s="3">
        <v>-50969.1882595587</v>
      </c>
      <c r="I2721" s="3">
        <v>71955.2177523669</v>
      </c>
      <c r="J2721" s="4">
        <v>45962.0</v>
      </c>
      <c r="K2721" s="3">
        <v>9.0</v>
      </c>
      <c r="L2721" s="3" t="s">
        <v>27</v>
      </c>
    </row>
    <row r="2722" ht="15.75" customHeight="1">
      <c r="A2722" s="3" t="s">
        <v>2805</v>
      </c>
      <c r="B2722" s="3" t="s">
        <v>53</v>
      </c>
      <c r="C2722" s="3" t="s">
        <v>26</v>
      </c>
      <c r="D2722" s="3">
        <v>79282.2861198155</v>
      </c>
      <c r="E2722" s="3">
        <v>27216.4068942528</v>
      </c>
      <c r="F2722" s="3">
        <v>22182.1461187096</v>
      </c>
      <c r="G2722" s="3">
        <v>16647.1591617372</v>
      </c>
      <c r="H2722" s="3">
        <v>-51018.6919773077</v>
      </c>
      <c r="I2722" s="3">
        <v>71958.5992267867</v>
      </c>
      <c r="J2722" s="4">
        <v>45992.0</v>
      </c>
      <c r="K2722" s="3">
        <v>4.0</v>
      </c>
      <c r="L2722" s="3" t="s">
        <v>31</v>
      </c>
    </row>
    <row r="2723" ht="15.75" customHeight="1">
      <c r="A2723" s="3" t="s">
        <v>2806</v>
      </c>
      <c r="B2723" s="3" t="s">
        <v>29</v>
      </c>
      <c r="C2723" s="3" t="s">
        <v>30</v>
      </c>
      <c r="D2723" s="3">
        <v>79293.1690897217</v>
      </c>
      <c r="E2723" s="3">
        <v>27221.0216125802</v>
      </c>
      <c r="F2723" s="3">
        <v>22189.8261221391</v>
      </c>
      <c r="G2723" s="3">
        <v>16650.5567124245</v>
      </c>
      <c r="H2723" s="3">
        <v>-51068.1956950567</v>
      </c>
      <c r="I2723" s="3">
        <v>71961.9807012066</v>
      </c>
      <c r="J2723" s="4">
        <v>45839.0</v>
      </c>
      <c r="K2723" s="3">
        <v>11.0</v>
      </c>
      <c r="L2723" s="3" t="s">
        <v>34</v>
      </c>
    </row>
    <row r="2724" ht="15.75" customHeight="1">
      <c r="A2724" s="3" t="s">
        <v>2807</v>
      </c>
      <c r="B2724" s="3" t="s">
        <v>53</v>
      </c>
      <c r="C2724" s="3" t="s">
        <v>26</v>
      </c>
      <c r="D2724" s="3">
        <v>79304.0520596279</v>
      </c>
      <c r="E2724" s="3">
        <v>27225.6363309076</v>
      </c>
      <c r="F2724" s="3">
        <v>22197.5061255686</v>
      </c>
      <c r="G2724" s="3">
        <v>16653.9542631117</v>
      </c>
      <c r="H2724" s="3">
        <v>-51117.6994128057</v>
      </c>
      <c r="I2724" s="3">
        <v>71965.3621756264</v>
      </c>
      <c r="J2724" s="4">
        <v>45931.0</v>
      </c>
      <c r="K2724" s="3">
        <v>23.0</v>
      </c>
      <c r="L2724" s="3" t="s">
        <v>38</v>
      </c>
    </row>
    <row r="2725" ht="15.75" customHeight="1">
      <c r="A2725" s="3" t="s">
        <v>2808</v>
      </c>
      <c r="B2725" s="3" t="s">
        <v>13</v>
      </c>
      <c r="C2725" s="3" t="s">
        <v>14</v>
      </c>
      <c r="D2725" s="3">
        <v>79314.9350295341</v>
      </c>
      <c r="E2725" s="3">
        <v>27230.2510492351</v>
      </c>
      <c r="F2725" s="3">
        <v>22205.1861289981</v>
      </c>
      <c r="G2725" s="3">
        <v>16657.351813799</v>
      </c>
      <c r="H2725" s="3">
        <v>-51167.2031305557</v>
      </c>
      <c r="I2725" s="3">
        <v>71968.7436500462</v>
      </c>
      <c r="J2725" s="4">
        <v>45870.0</v>
      </c>
      <c r="K2725" s="3">
        <v>11.0</v>
      </c>
      <c r="L2725" s="3" t="s">
        <v>40</v>
      </c>
    </row>
    <row r="2726" ht="15.75" customHeight="1">
      <c r="A2726" s="3" t="s">
        <v>2809</v>
      </c>
      <c r="B2726" s="3" t="s">
        <v>51</v>
      </c>
      <c r="C2726" s="3" t="s">
        <v>30</v>
      </c>
      <c r="D2726" s="3">
        <v>79325.8179994403</v>
      </c>
      <c r="E2726" s="3">
        <v>27234.8657675625</v>
      </c>
      <c r="F2726" s="3">
        <v>22212.8661324276</v>
      </c>
      <c r="G2726" s="3">
        <v>16660.7493644863</v>
      </c>
      <c r="H2726" s="3">
        <v>-51216.7068483047</v>
      </c>
      <c r="I2726" s="3">
        <v>71972.125124466</v>
      </c>
      <c r="J2726" s="4">
        <v>45962.0</v>
      </c>
      <c r="K2726" s="3">
        <v>6.0</v>
      </c>
      <c r="L2726" s="3" t="s">
        <v>42</v>
      </c>
    </row>
    <row r="2727" ht="15.75" customHeight="1">
      <c r="A2727" s="3" t="s">
        <v>2810</v>
      </c>
      <c r="B2727" s="3" t="s">
        <v>36</v>
      </c>
      <c r="C2727" s="3" t="s">
        <v>33</v>
      </c>
      <c r="D2727" s="3">
        <v>79336.7009693464</v>
      </c>
      <c r="E2727" s="3">
        <v>27239.4804858899</v>
      </c>
      <c r="F2727" s="3">
        <v>22220.5461358571</v>
      </c>
      <c r="G2727" s="3">
        <v>16664.1469151736</v>
      </c>
      <c r="H2727" s="3">
        <v>-51266.2105660537</v>
      </c>
      <c r="I2727" s="3">
        <v>71975.5065988858</v>
      </c>
      <c r="J2727" s="4">
        <v>45748.0</v>
      </c>
      <c r="K2727" s="3">
        <v>4.0</v>
      </c>
      <c r="L2727" s="3" t="s">
        <v>15</v>
      </c>
    </row>
    <row r="2728" ht="15.75" customHeight="1">
      <c r="A2728" s="3" t="s">
        <v>2811</v>
      </c>
      <c r="B2728" s="3" t="s">
        <v>36</v>
      </c>
      <c r="C2728" s="3" t="s">
        <v>26</v>
      </c>
      <c r="D2728" s="3">
        <v>79347.5839392526</v>
      </c>
      <c r="E2728" s="3">
        <v>27244.0952042173</v>
      </c>
      <c r="F2728" s="3">
        <v>22228.2261392866</v>
      </c>
      <c r="G2728" s="3">
        <v>16667.5444658609</v>
      </c>
      <c r="H2728" s="3">
        <v>-51315.7142838027</v>
      </c>
      <c r="I2728" s="3">
        <v>71978.8880733056</v>
      </c>
      <c r="J2728" s="4">
        <v>45962.0</v>
      </c>
      <c r="K2728" s="3">
        <v>20.0</v>
      </c>
      <c r="L2728" s="3" t="s">
        <v>19</v>
      </c>
    </row>
    <row r="2729" ht="15.75" customHeight="1">
      <c r="A2729" s="3" t="s">
        <v>2812</v>
      </c>
      <c r="B2729" s="3" t="s">
        <v>53</v>
      </c>
      <c r="C2729" s="3" t="s">
        <v>33</v>
      </c>
      <c r="D2729" s="3">
        <v>79358.4669091588</v>
      </c>
      <c r="E2729" s="3">
        <v>27248.7099225448</v>
      </c>
      <c r="F2729" s="3">
        <v>22235.9061427161</v>
      </c>
      <c r="G2729" s="5"/>
      <c r="H2729" s="3">
        <v>-51365.2180015517</v>
      </c>
      <c r="I2729" s="3">
        <v>71982.2695477254</v>
      </c>
      <c r="J2729" s="4">
        <v>45778.0</v>
      </c>
      <c r="K2729" s="3">
        <v>12.0</v>
      </c>
      <c r="L2729" s="3" t="s">
        <v>21</v>
      </c>
    </row>
    <row r="2730" ht="15.75" customHeight="1">
      <c r="A2730" s="3" t="s">
        <v>2813</v>
      </c>
      <c r="B2730" s="3" t="s">
        <v>13</v>
      </c>
      <c r="C2730" s="3" t="s">
        <v>14</v>
      </c>
      <c r="D2730" s="3">
        <v>79369.349879065</v>
      </c>
      <c r="E2730" s="3">
        <v>27253.3246408722</v>
      </c>
      <c r="F2730" s="3">
        <v>22243.5861461456</v>
      </c>
      <c r="G2730" s="3">
        <v>16674.3395672355</v>
      </c>
      <c r="H2730" s="3">
        <v>-51414.7217193007</v>
      </c>
      <c r="I2730" s="3">
        <v>71985.6510221452</v>
      </c>
      <c r="J2730" s="4">
        <v>45839.0</v>
      </c>
      <c r="K2730" s="3">
        <v>9.0</v>
      </c>
      <c r="L2730" s="3" t="s">
        <v>23</v>
      </c>
    </row>
    <row r="2731" ht="15.75" customHeight="1">
      <c r="A2731" s="3" t="s">
        <v>2814</v>
      </c>
      <c r="B2731" s="3" t="s">
        <v>51</v>
      </c>
      <c r="C2731" s="3" t="s">
        <v>18</v>
      </c>
      <c r="D2731" s="3">
        <v>79380.2328489712</v>
      </c>
      <c r="E2731" s="3">
        <v>27257.9393591996</v>
      </c>
      <c r="F2731" s="3">
        <v>22251.2661495751</v>
      </c>
      <c r="G2731" s="3">
        <v>16677.7371179228</v>
      </c>
      <c r="H2731" s="3">
        <v>-51464.2254370497</v>
      </c>
      <c r="I2731" s="3">
        <v>71989.0324965651</v>
      </c>
      <c r="J2731" s="4">
        <v>45809.0</v>
      </c>
      <c r="K2731" s="3">
        <v>8.0</v>
      </c>
      <c r="L2731" s="3" t="s">
        <v>27</v>
      </c>
    </row>
    <row r="2732" ht="15.75" customHeight="1">
      <c r="A2732" s="3" t="s">
        <v>2815</v>
      </c>
      <c r="B2732" s="3" t="s">
        <v>36</v>
      </c>
      <c r="C2732" s="3" t="s">
        <v>26</v>
      </c>
      <c r="D2732" s="3">
        <v>79391.1158188774</v>
      </c>
      <c r="E2732" s="3">
        <v>27262.554077527</v>
      </c>
      <c r="F2732" s="3">
        <v>22258.9461530046</v>
      </c>
      <c r="G2732" s="3">
        <v>16681.13466861</v>
      </c>
      <c r="H2732" s="3">
        <v>-51513.7291547987</v>
      </c>
      <c r="I2732" s="3">
        <v>71992.4139709849</v>
      </c>
      <c r="J2732" s="4">
        <v>45658.0</v>
      </c>
      <c r="K2732" s="3">
        <v>1.0</v>
      </c>
      <c r="L2732" s="3" t="s">
        <v>31</v>
      </c>
    </row>
    <row r="2733" ht="15.75" customHeight="1">
      <c r="A2733" s="3" t="s">
        <v>2816</v>
      </c>
      <c r="B2733" s="3" t="s">
        <v>36</v>
      </c>
      <c r="C2733" s="3" t="s">
        <v>14</v>
      </c>
      <c r="D2733" s="3">
        <v>79401.9987887836</v>
      </c>
      <c r="E2733" s="3">
        <v>27267.1687958544</v>
      </c>
      <c r="F2733" s="3">
        <v>22266.6261564341</v>
      </c>
      <c r="G2733" s="3">
        <v>16684.5322192973</v>
      </c>
      <c r="H2733" s="3">
        <v>-51563.2328725487</v>
      </c>
      <c r="I2733" s="3">
        <v>71995.7954454047</v>
      </c>
      <c r="J2733" s="4">
        <v>45748.0</v>
      </c>
      <c r="K2733" s="3">
        <v>1.0</v>
      </c>
      <c r="L2733" s="3" t="s">
        <v>34</v>
      </c>
    </row>
    <row r="2734" ht="15.75" customHeight="1">
      <c r="A2734" s="3" t="s">
        <v>2817</v>
      </c>
      <c r="B2734" s="3" t="s">
        <v>53</v>
      </c>
      <c r="C2734" s="3" t="s">
        <v>26</v>
      </c>
      <c r="D2734" s="3">
        <v>79412.8817586898</v>
      </c>
      <c r="E2734" s="3">
        <v>27271.7835141819</v>
      </c>
      <c r="F2734" s="3">
        <v>22274.3061598636</v>
      </c>
      <c r="G2734" s="3">
        <v>16687.9297699846</v>
      </c>
      <c r="H2734" s="3">
        <v>-51612.7365902977</v>
      </c>
      <c r="I2734" s="3">
        <v>71999.1769198245</v>
      </c>
      <c r="J2734" s="4">
        <v>45778.0</v>
      </c>
      <c r="K2734" s="3">
        <v>23.0</v>
      </c>
      <c r="L2734" s="3" t="s">
        <v>38</v>
      </c>
    </row>
    <row r="2735" ht="15.75" customHeight="1">
      <c r="A2735" s="3" t="s">
        <v>2818</v>
      </c>
      <c r="B2735" s="3" t="s">
        <v>29</v>
      </c>
      <c r="C2735" s="3" t="s">
        <v>54</v>
      </c>
      <c r="D2735" s="3">
        <v>79423.764728596</v>
      </c>
      <c r="E2735" s="3">
        <v>27276.3982325093</v>
      </c>
      <c r="F2735" s="3">
        <v>22281.9861632931</v>
      </c>
      <c r="G2735" s="3">
        <v>16691.3273206719</v>
      </c>
      <c r="H2735" s="3">
        <v>-51662.2403080467</v>
      </c>
      <c r="I2735" s="3">
        <v>72002.5583942443</v>
      </c>
      <c r="J2735" s="4">
        <v>45778.0</v>
      </c>
      <c r="K2735" s="3">
        <v>14.0</v>
      </c>
      <c r="L2735" s="3" t="s">
        <v>40</v>
      </c>
    </row>
    <row r="2736" ht="15.75" customHeight="1">
      <c r="A2736" s="3" t="s">
        <v>2819</v>
      </c>
      <c r="B2736" s="3" t="s">
        <v>29</v>
      </c>
      <c r="C2736" s="3" t="s">
        <v>14</v>
      </c>
      <c r="D2736" s="3">
        <v>79445.5306684084</v>
      </c>
      <c r="E2736" s="3">
        <v>27285.6276691641</v>
      </c>
      <c r="F2736" s="3">
        <v>22297.3461701521</v>
      </c>
      <c r="G2736" s="3">
        <v>16698.1224220465</v>
      </c>
      <c r="H2736" s="3">
        <v>-51761.2477435447</v>
      </c>
      <c r="I2736" s="3">
        <v>72009.321343084</v>
      </c>
      <c r="J2736" s="4">
        <v>45658.0</v>
      </c>
      <c r="K2736" s="3">
        <v>2.0</v>
      </c>
      <c r="L2736" s="3" t="s">
        <v>15</v>
      </c>
    </row>
    <row r="2737" ht="15.75" customHeight="1">
      <c r="A2737" s="3" t="s">
        <v>2820</v>
      </c>
      <c r="B2737" s="3" t="s">
        <v>36</v>
      </c>
      <c r="C2737" s="3" t="s">
        <v>26</v>
      </c>
      <c r="D2737" s="3">
        <v>79456.4136383146</v>
      </c>
      <c r="E2737" s="3">
        <v>27290.2423874916</v>
      </c>
      <c r="F2737" s="3">
        <v>22305.0261735816</v>
      </c>
      <c r="G2737" s="3">
        <v>16701.5199727338</v>
      </c>
      <c r="H2737" s="3">
        <v>-51810.7514612937</v>
      </c>
      <c r="I2737" s="3">
        <v>72012.7028175038</v>
      </c>
      <c r="J2737" s="4">
        <v>45870.0</v>
      </c>
      <c r="K2737" s="3">
        <v>22.0</v>
      </c>
      <c r="L2737" s="3" t="s">
        <v>19</v>
      </c>
    </row>
    <row r="2738" ht="15.75" customHeight="1">
      <c r="A2738" s="3" t="s">
        <v>2821</v>
      </c>
      <c r="B2738" s="3" t="s">
        <v>36</v>
      </c>
      <c r="C2738" s="3" t="s">
        <v>54</v>
      </c>
      <c r="D2738" s="3">
        <v>79467.2966082208</v>
      </c>
      <c r="E2738" s="3">
        <v>27294.857105819</v>
      </c>
      <c r="F2738" s="3">
        <v>22312.7061770111</v>
      </c>
      <c r="G2738" s="3">
        <v>16704.917523421</v>
      </c>
      <c r="H2738" s="3">
        <v>-51860.2551790427</v>
      </c>
      <c r="I2738" s="3">
        <v>72016.0842919236</v>
      </c>
      <c r="J2738" s="4">
        <v>45717.0</v>
      </c>
      <c r="K2738" s="3">
        <v>20.0</v>
      </c>
      <c r="L2738" s="3" t="s">
        <v>21</v>
      </c>
    </row>
    <row r="2739" ht="15.75" customHeight="1">
      <c r="A2739" s="3" t="s">
        <v>2822</v>
      </c>
      <c r="B2739" s="3" t="s">
        <v>36</v>
      </c>
      <c r="C2739" s="3" t="s">
        <v>18</v>
      </c>
      <c r="D2739" s="3">
        <v>79478.179578127</v>
      </c>
      <c r="E2739" s="3">
        <v>27299.4718241464</v>
      </c>
      <c r="F2739" s="3">
        <v>22320.3861804406</v>
      </c>
      <c r="G2739" s="3">
        <v>16708.3150741083</v>
      </c>
      <c r="H2739" s="3">
        <v>-51909.7588967917</v>
      </c>
      <c r="I2739" s="3">
        <v>72019.4657663434</v>
      </c>
      <c r="J2739" s="4">
        <v>45717.0</v>
      </c>
      <c r="K2739" s="3">
        <v>14.0</v>
      </c>
      <c r="L2739" s="3" t="s">
        <v>23</v>
      </c>
    </row>
    <row r="2740" ht="15.75" customHeight="1">
      <c r="A2740" s="3" t="s">
        <v>2823</v>
      </c>
      <c r="B2740" s="3" t="s">
        <v>29</v>
      </c>
      <c r="C2740" s="3" t="s">
        <v>33</v>
      </c>
      <c r="D2740" s="3">
        <v>79489.0625480332</v>
      </c>
      <c r="E2740" s="3">
        <v>27304.0865424738</v>
      </c>
      <c r="F2740" s="3">
        <v>22328.0661838701</v>
      </c>
      <c r="G2740" s="3">
        <v>16711.7126247956</v>
      </c>
      <c r="H2740" s="3">
        <v>-51959.2626145417</v>
      </c>
      <c r="I2740" s="3">
        <v>72022.8472407632</v>
      </c>
      <c r="J2740" s="4">
        <v>45931.0</v>
      </c>
      <c r="K2740" s="3">
        <v>9.0</v>
      </c>
      <c r="L2740" s="3" t="s">
        <v>27</v>
      </c>
    </row>
    <row r="2741" ht="15.75" customHeight="1">
      <c r="A2741" s="3" t="s">
        <v>2824</v>
      </c>
      <c r="B2741" s="3" t="s">
        <v>29</v>
      </c>
      <c r="C2741" s="3" t="s">
        <v>33</v>
      </c>
      <c r="D2741" s="3">
        <v>79499.9455179393</v>
      </c>
      <c r="E2741" s="3">
        <v>27308.7012608012</v>
      </c>
      <c r="F2741" s="3">
        <v>22335.7461872996</v>
      </c>
      <c r="G2741" s="3">
        <v>16715.1101754829</v>
      </c>
      <c r="H2741" s="3">
        <v>-52008.7663322907</v>
      </c>
      <c r="I2741" s="3">
        <v>72026.228715183</v>
      </c>
      <c r="J2741" s="4">
        <v>45809.0</v>
      </c>
      <c r="K2741" s="3">
        <v>16.0</v>
      </c>
      <c r="L2741" s="3" t="s">
        <v>31</v>
      </c>
    </row>
    <row r="2742" ht="15.75" customHeight="1">
      <c r="A2742" s="3" t="s">
        <v>2825</v>
      </c>
      <c r="B2742" s="3" t="s">
        <v>36</v>
      </c>
      <c r="C2742" s="3" t="s">
        <v>14</v>
      </c>
      <c r="D2742" s="3">
        <v>79510.8284878455</v>
      </c>
      <c r="E2742" s="3">
        <v>27313.3159791287</v>
      </c>
      <c r="F2742" s="3">
        <v>22343.4261907291</v>
      </c>
      <c r="G2742" s="3">
        <v>16718.5077261702</v>
      </c>
      <c r="H2742" s="3">
        <v>-52058.2700500397</v>
      </c>
      <c r="I2742" s="3">
        <v>72029.6101896028</v>
      </c>
      <c r="J2742" s="4">
        <v>45901.0</v>
      </c>
      <c r="K2742" s="3">
        <v>25.0</v>
      </c>
      <c r="L2742" s="3" t="s">
        <v>34</v>
      </c>
    </row>
    <row r="2743" ht="15.75" customHeight="1">
      <c r="A2743" s="3" t="s">
        <v>2826</v>
      </c>
      <c r="B2743" s="3" t="s">
        <v>25</v>
      </c>
      <c r="C2743" s="3" t="s">
        <v>30</v>
      </c>
      <c r="D2743" s="3">
        <v>79521.7114577517</v>
      </c>
      <c r="E2743" s="3">
        <v>27317.9306974561</v>
      </c>
      <c r="F2743" s="3">
        <v>22351.1061941586</v>
      </c>
      <c r="G2743" s="3">
        <v>16721.9052768575</v>
      </c>
      <c r="H2743" s="3">
        <v>-52107.7737677887</v>
      </c>
      <c r="I2743" s="3">
        <v>72032.9916640227</v>
      </c>
      <c r="J2743" s="3" t="s">
        <v>2827</v>
      </c>
      <c r="K2743" s="3">
        <v>10.0</v>
      </c>
      <c r="L2743" s="3" t="s">
        <v>38</v>
      </c>
    </row>
    <row r="2744" ht="15.75" customHeight="1">
      <c r="A2744" s="3" t="s">
        <v>2828</v>
      </c>
      <c r="B2744" s="3" t="s">
        <v>17</v>
      </c>
      <c r="C2744" s="3" t="s">
        <v>26</v>
      </c>
      <c r="D2744" s="3">
        <v>79532.5944276579</v>
      </c>
      <c r="E2744" s="3">
        <v>27322.5454157835</v>
      </c>
      <c r="F2744" s="3">
        <v>22358.7861975881</v>
      </c>
      <c r="G2744" s="3">
        <v>16725.3028275448</v>
      </c>
      <c r="H2744" s="3">
        <v>-52157.2774855377</v>
      </c>
      <c r="I2744" s="3">
        <v>72036.3731384425</v>
      </c>
      <c r="J2744" s="4">
        <v>45962.0</v>
      </c>
      <c r="K2744" s="3">
        <v>19.0</v>
      </c>
      <c r="L2744" s="3" t="s">
        <v>40</v>
      </c>
    </row>
    <row r="2745" ht="15.75" customHeight="1">
      <c r="A2745" s="3" t="s">
        <v>2829</v>
      </c>
      <c r="B2745" s="3" t="s">
        <v>17</v>
      </c>
      <c r="C2745" s="3" t="s">
        <v>14</v>
      </c>
      <c r="D2745" s="3">
        <v>79543.4773975641</v>
      </c>
      <c r="E2745" s="3">
        <v>27327.1601341109</v>
      </c>
      <c r="F2745" s="3">
        <v>22366.4662010176</v>
      </c>
      <c r="G2745" s="3">
        <v>16728.7003782321</v>
      </c>
      <c r="H2745" s="3">
        <v>-52206.7812032867</v>
      </c>
      <c r="I2745" s="3">
        <v>72039.7546128623</v>
      </c>
      <c r="J2745" s="4">
        <v>45992.0</v>
      </c>
      <c r="K2745" s="3">
        <v>24.0</v>
      </c>
      <c r="L2745" s="3" t="s">
        <v>42</v>
      </c>
    </row>
    <row r="2746" ht="15.75" customHeight="1">
      <c r="A2746" s="3" t="s">
        <v>2830</v>
      </c>
      <c r="B2746" s="3" t="s">
        <v>25</v>
      </c>
      <c r="C2746" s="3" t="s">
        <v>18</v>
      </c>
      <c r="D2746" s="3">
        <v>79554.3603674703</v>
      </c>
      <c r="E2746" s="3">
        <v>27331.7748524384</v>
      </c>
      <c r="F2746" s="3">
        <v>22374.1462044471</v>
      </c>
      <c r="G2746" s="3">
        <v>16732.0979289193</v>
      </c>
      <c r="H2746" s="3">
        <v>-52256.2849210357</v>
      </c>
      <c r="I2746" s="3">
        <v>72043.1360872821</v>
      </c>
      <c r="J2746" s="4">
        <v>45931.0</v>
      </c>
      <c r="K2746" s="3">
        <v>16.0</v>
      </c>
      <c r="L2746" s="3" t="s">
        <v>15</v>
      </c>
    </row>
    <row r="2747" ht="15.75" customHeight="1">
      <c r="A2747" s="3" t="s">
        <v>2831</v>
      </c>
      <c r="B2747" s="3" t="s">
        <v>36</v>
      </c>
      <c r="C2747" s="3" t="s">
        <v>18</v>
      </c>
      <c r="D2747" s="3">
        <v>79565.2433373765</v>
      </c>
      <c r="E2747" s="3">
        <v>27336.3895707658</v>
      </c>
      <c r="F2747" s="3">
        <v>22381.8262078766</v>
      </c>
      <c r="G2747" s="3">
        <v>16735.4954796066</v>
      </c>
      <c r="H2747" s="3">
        <v>-52305.7886387847</v>
      </c>
      <c r="I2747" s="3">
        <v>72046.5175617019</v>
      </c>
      <c r="J2747" s="4">
        <v>45901.0</v>
      </c>
      <c r="K2747" s="3">
        <v>7.0</v>
      </c>
      <c r="L2747" s="3" t="s">
        <v>19</v>
      </c>
    </row>
    <row r="2748" ht="15.75" customHeight="1">
      <c r="A2748" s="3" t="s">
        <v>2832</v>
      </c>
      <c r="B2748" s="3" t="s">
        <v>36</v>
      </c>
      <c r="C2748" s="3" t="s">
        <v>30</v>
      </c>
      <c r="D2748" s="3">
        <v>79576.1263072827</v>
      </c>
      <c r="E2748" s="3">
        <v>27341.0042890932</v>
      </c>
      <c r="F2748" s="3">
        <v>22389.506211306</v>
      </c>
      <c r="G2748" s="3">
        <v>16738.8930302939</v>
      </c>
      <c r="H2748" s="3">
        <v>-52355.2923565347</v>
      </c>
      <c r="I2748" s="3">
        <v>72049.8990361217</v>
      </c>
      <c r="J2748" s="4">
        <v>45931.0</v>
      </c>
      <c r="K2748" s="3">
        <v>22.0</v>
      </c>
      <c r="L2748" s="3" t="s">
        <v>21</v>
      </c>
    </row>
    <row r="2749" ht="15.75" customHeight="1">
      <c r="A2749" s="3" t="s">
        <v>2833</v>
      </c>
      <c r="B2749" s="3" t="s">
        <v>36</v>
      </c>
      <c r="C2749" s="3" t="s">
        <v>54</v>
      </c>
      <c r="D2749" s="3">
        <v>79587.0092771889</v>
      </c>
      <c r="E2749" s="3">
        <v>27345.6190074206</v>
      </c>
      <c r="F2749" s="3">
        <v>22397.1862147355</v>
      </c>
      <c r="G2749" s="3">
        <v>16742.2905809812</v>
      </c>
      <c r="H2749" s="3">
        <v>-52404.7960742837</v>
      </c>
      <c r="I2749" s="3">
        <v>72053.2805105415</v>
      </c>
      <c r="J2749" s="4">
        <v>45717.0</v>
      </c>
      <c r="K2749" s="3">
        <v>7.0</v>
      </c>
      <c r="L2749" s="3" t="s">
        <v>23</v>
      </c>
    </row>
    <row r="2750" ht="15.75" customHeight="1">
      <c r="A2750" s="3" t="s">
        <v>2834</v>
      </c>
      <c r="B2750" s="3" t="s">
        <v>17</v>
      </c>
      <c r="C2750" s="3" t="s">
        <v>37</v>
      </c>
      <c r="D2750" s="3">
        <v>79597.8922470951</v>
      </c>
      <c r="E2750" s="3">
        <v>27350.233725748</v>
      </c>
      <c r="F2750" s="3">
        <v>22404.866218165</v>
      </c>
      <c r="G2750" s="3">
        <v>16745.6881316685</v>
      </c>
      <c r="H2750" s="3">
        <v>-52454.2997920327</v>
      </c>
      <c r="I2750" s="3">
        <v>72056.6619849613</v>
      </c>
      <c r="J2750" s="4">
        <v>45839.0</v>
      </c>
      <c r="K2750" s="3">
        <v>12.0</v>
      </c>
      <c r="L2750" s="3" t="s">
        <v>27</v>
      </c>
    </row>
    <row r="2751" ht="15.75" customHeight="1">
      <c r="A2751" s="3" t="s">
        <v>2835</v>
      </c>
      <c r="B2751" s="3" t="s">
        <v>13</v>
      </c>
      <c r="C2751" s="3" t="s">
        <v>30</v>
      </c>
      <c r="D2751" s="3">
        <v>79608.7752170013</v>
      </c>
      <c r="E2751" s="3">
        <v>27354.8484440755</v>
      </c>
      <c r="F2751" s="3">
        <v>22412.5462215945</v>
      </c>
      <c r="G2751" s="3">
        <v>16749.0856823558</v>
      </c>
      <c r="H2751" s="3">
        <v>-52503.8035097817</v>
      </c>
      <c r="I2751" s="3">
        <v>72060.0434593812</v>
      </c>
      <c r="J2751" s="4">
        <v>45778.0</v>
      </c>
      <c r="K2751" s="3">
        <v>15.0</v>
      </c>
      <c r="L2751" s="3" t="s">
        <v>31</v>
      </c>
    </row>
    <row r="2752" ht="15.75" customHeight="1">
      <c r="A2752" s="3" t="s">
        <v>2836</v>
      </c>
      <c r="B2752" s="3" t="s">
        <v>13</v>
      </c>
      <c r="C2752" s="3" t="s">
        <v>33</v>
      </c>
      <c r="D2752" s="3">
        <v>79619.6581869075</v>
      </c>
      <c r="E2752" s="3">
        <v>27359.4631624029</v>
      </c>
      <c r="F2752" s="3">
        <v>22420.226225024</v>
      </c>
      <c r="G2752" s="3">
        <v>16752.4832330431</v>
      </c>
      <c r="H2752" s="3">
        <v>-52553.3072275307</v>
      </c>
      <c r="I2752" s="3">
        <v>72063.424933801</v>
      </c>
      <c r="J2752" s="4">
        <v>45748.0</v>
      </c>
      <c r="K2752" s="3">
        <v>15.0</v>
      </c>
      <c r="L2752" s="3" t="s">
        <v>34</v>
      </c>
    </row>
    <row r="2753" ht="15.75" customHeight="1">
      <c r="A2753" s="3" t="s">
        <v>2837</v>
      </c>
      <c r="B2753" s="3" t="s">
        <v>25</v>
      </c>
      <c r="C2753" s="3" t="s">
        <v>33</v>
      </c>
      <c r="D2753" s="3">
        <v>79630.5411568137</v>
      </c>
      <c r="E2753" s="3">
        <v>27364.0778807303</v>
      </c>
      <c r="F2753" s="3">
        <v>22427.9062284535</v>
      </c>
      <c r="G2753" s="3">
        <v>16755.8807837304</v>
      </c>
      <c r="H2753" s="3">
        <v>-52602.8109452797</v>
      </c>
      <c r="I2753" s="3">
        <v>72066.8064082208</v>
      </c>
      <c r="J2753" s="4">
        <v>45901.0</v>
      </c>
      <c r="K2753" s="3">
        <v>11.0</v>
      </c>
      <c r="L2753" s="3" t="s">
        <v>38</v>
      </c>
    </row>
    <row r="2754" ht="15.75" customHeight="1">
      <c r="A2754" s="3" t="s">
        <v>2838</v>
      </c>
      <c r="B2754" s="3" t="s">
        <v>51</v>
      </c>
      <c r="C2754" s="3" t="s">
        <v>14</v>
      </c>
      <c r="D2754" s="3">
        <v>79641.4241267199</v>
      </c>
      <c r="E2754" s="3">
        <v>27368.6925990577</v>
      </c>
      <c r="F2754" s="3">
        <v>22435.586231883</v>
      </c>
      <c r="G2754" s="3">
        <v>16759.2783344176</v>
      </c>
      <c r="H2754" s="3">
        <v>-52652.3146630287</v>
      </c>
      <c r="I2754" s="3">
        <v>72070.1878826406</v>
      </c>
      <c r="J2754" s="4">
        <v>45689.0</v>
      </c>
      <c r="K2754" s="3">
        <v>23.0</v>
      </c>
      <c r="L2754" s="3" t="s">
        <v>40</v>
      </c>
    </row>
    <row r="2755" ht="15.75" customHeight="1">
      <c r="A2755" s="3" t="s">
        <v>2839</v>
      </c>
      <c r="B2755" s="3" t="s">
        <v>36</v>
      </c>
      <c r="C2755" s="3" t="s">
        <v>33</v>
      </c>
      <c r="D2755" s="3">
        <v>79652.3070966261</v>
      </c>
      <c r="E2755" s="3">
        <v>27373.3073173852</v>
      </c>
      <c r="F2755" s="3">
        <v>22443.2662353125</v>
      </c>
      <c r="G2755" s="3">
        <v>16762.6758851049</v>
      </c>
      <c r="H2755" s="3">
        <v>-52701.8183807777</v>
      </c>
      <c r="I2755" s="3">
        <v>72073.5693570604</v>
      </c>
      <c r="J2755" s="4">
        <v>45870.0</v>
      </c>
      <c r="K2755" s="3">
        <v>15.0</v>
      </c>
      <c r="L2755" s="3" t="s">
        <v>42</v>
      </c>
    </row>
    <row r="2756" ht="15.75" customHeight="1">
      <c r="A2756" s="3" t="s">
        <v>2840</v>
      </c>
      <c r="B2756" s="3" t="s">
        <v>51</v>
      </c>
      <c r="C2756" s="3" t="s">
        <v>37</v>
      </c>
      <c r="D2756" s="3">
        <v>79663.1900665322</v>
      </c>
      <c r="E2756" s="3">
        <v>27377.9220357126</v>
      </c>
      <c r="F2756" s="3">
        <v>22450.946238742</v>
      </c>
      <c r="G2756" s="3">
        <v>16766.0734357922</v>
      </c>
      <c r="H2756" s="3">
        <v>-52751.3220985277</v>
      </c>
      <c r="I2756" s="3">
        <v>72076.9508314802</v>
      </c>
      <c r="J2756" s="4">
        <v>45992.0</v>
      </c>
      <c r="K2756" s="3">
        <v>8.0</v>
      </c>
      <c r="L2756" s="3" t="s">
        <v>15</v>
      </c>
    </row>
    <row r="2757" ht="15.75" customHeight="1">
      <c r="A2757" s="3" t="s">
        <v>2841</v>
      </c>
      <c r="B2757" s="3" t="s">
        <v>17</v>
      </c>
      <c r="C2757" s="3" t="s">
        <v>14</v>
      </c>
      <c r="D2757" s="3">
        <v>79674.0730364384</v>
      </c>
      <c r="E2757" s="3">
        <v>27382.53675404</v>
      </c>
      <c r="F2757" s="3">
        <v>22458.6262421715</v>
      </c>
      <c r="G2757" s="3">
        <v>16769.4709864795</v>
      </c>
      <c r="H2757" s="3">
        <v>-52800.8258162767</v>
      </c>
      <c r="I2757" s="3">
        <v>72080.3323059001</v>
      </c>
      <c r="J2757" s="4">
        <v>45689.0</v>
      </c>
      <c r="K2757" s="3">
        <v>13.0</v>
      </c>
      <c r="L2757" s="3" t="s">
        <v>19</v>
      </c>
    </row>
    <row r="2758" ht="15.75" customHeight="1">
      <c r="A2758" s="3" t="s">
        <v>2842</v>
      </c>
      <c r="B2758" s="3" t="s">
        <v>25</v>
      </c>
      <c r="C2758" s="3" t="s">
        <v>26</v>
      </c>
      <c r="D2758" s="3">
        <v>79684.9560063446</v>
      </c>
      <c r="E2758" s="3">
        <v>27387.1514723674</v>
      </c>
      <c r="F2758" s="3">
        <v>22466.306245601</v>
      </c>
      <c r="G2758" s="3">
        <v>16772.8685371668</v>
      </c>
      <c r="H2758" s="3">
        <v>-52850.3295340257</v>
      </c>
      <c r="I2758" s="3">
        <v>72083.7137803199</v>
      </c>
      <c r="J2758" s="4">
        <v>45992.0</v>
      </c>
      <c r="K2758" s="3">
        <v>12.0</v>
      </c>
      <c r="L2758" s="3" t="s">
        <v>21</v>
      </c>
    </row>
    <row r="2759" ht="15.75" customHeight="1">
      <c r="A2759" s="3" t="s">
        <v>2843</v>
      </c>
      <c r="B2759" s="3" t="s">
        <v>13</v>
      </c>
      <c r="C2759" s="3" t="s">
        <v>26</v>
      </c>
      <c r="D2759" s="3">
        <v>79695.8389762508</v>
      </c>
      <c r="E2759" s="3">
        <v>27391.7661906948</v>
      </c>
      <c r="F2759" s="3">
        <v>22473.9862490305</v>
      </c>
      <c r="G2759" s="3">
        <v>16776.2660878541</v>
      </c>
      <c r="H2759" s="3">
        <v>-52899.8332517747</v>
      </c>
      <c r="I2759" s="3">
        <v>72087.0952547397</v>
      </c>
      <c r="J2759" s="3" t="s">
        <v>2321</v>
      </c>
      <c r="K2759" s="3">
        <v>21.0</v>
      </c>
      <c r="L2759" s="3" t="s">
        <v>23</v>
      </c>
    </row>
    <row r="2760" ht="15.75" customHeight="1">
      <c r="A2760" s="3" t="s">
        <v>2844</v>
      </c>
      <c r="B2760" s="3" t="s">
        <v>17</v>
      </c>
      <c r="C2760" s="3" t="s">
        <v>37</v>
      </c>
      <c r="D2760" s="3">
        <v>79706.721946157</v>
      </c>
      <c r="E2760" s="3">
        <v>27396.3809090223</v>
      </c>
      <c r="F2760" s="3">
        <v>22481.66625246</v>
      </c>
      <c r="G2760" s="5"/>
      <c r="H2760" s="3">
        <v>-52949.3369695237</v>
      </c>
      <c r="I2760" s="3">
        <v>72090.4767291595</v>
      </c>
      <c r="J2760" s="4">
        <v>45839.0</v>
      </c>
      <c r="K2760" s="3">
        <v>2.0</v>
      </c>
      <c r="L2760" s="3" t="s">
        <v>27</v>
      </c>
    </row>
    <row r="2761" ht="15.75" customHeight="1">
      <c r="A2761" s="3" t="s">
        <v>2845</v>
      </c>
      <c r="B2761" s="3" t="s">
        <v>51</v>
      </c>
      <c r="C2761" s="3" t="s">
        <v>30</v>
      </c>
      <c r="D2761" s="3">
        <v>79717.6049160632</v>
      </c>
      <c r="E2761" s="3">
        <v>27400.9956273497</v>
      </c>
      <c r="F2761" s="3">
        <v>22489.3462558895</v>
      </c>
      <c r="G2761" s="3">
        <v>16783.0611892286</v>
      </c>
      <c r="H2761" s="3">
        <v>-52998.8406872727</v>
      </c>
      <c r="I2761" s="3">
        <v>72093.8582035793</v>
      </c>
      <c r="J2761" s="4">
        <v>45839.0</v>
      </c>
      <c r="K2761" s="3">
        <v>4.0</v>
      </c>
      <c r="L2761" s="3" t="s">
        <v>31</v>
      </c>
    </row>
    <row r="2762" ht="15.75" customHeight="1">
      <c r="A2762" s="3" t="s">
        <v>2846</v>
      </c>
      <c r="B2762" s="3" t="s">
        <v>51</v>
      </c>
      <c r="C2762" s="3" t="s">
        <v>18</v>
      </c>
      <c r="D2762" s="3">
        <v>79728.4878859694</v>
      </c>
      <c r="E2762" s="3">
        <v>27405.6103456771</v>
      </c>
      <c r="F2762" s="3">
        <v>22497.026259319</v>
      </c>
      <c r="G2762" s="3">
        <v>16786.4587399159</v>
      </c>
      <c r="H2762" s="3">
        <v>-53048.3444050217</v>
      </c>
      <c r="I2762" s="3">
        <v>72097.2396779991</v>
      </c>
      <c r="J2762" s="4">
        <v>45689.0</v>
      </c>
      <c r="K2762" s="3">
        <v>20.0</v>
      </c>
      <c r="L2762" s="3" t="s">
        <v>34</v>
      </c>
    </row>
    <row r="2763" ht="15.75" customHeight="1">
      <c r="A2763" s="3" t="s">
        <v>2847</v>
      </c>
      <c r="B2763" s="3" t="s">
        <v>36</v>
      </c>
      <c r="C2763" s="3" t="s">
        <v>30</v>
      </c>
      <c r="D2763" s="3">
        <v>79739.3708558756</v>
      </c>
      <c r="E2763" s="3">
        <v>27410.2250640045</v>
      </c>
      <c r="F2763" s="3">
        <v>22504.7062627485</v>
      </c>
      <c r="G2763" s="3">
        <v>16789.8562906032</v>
      </c>
      <c r="H2763" s="3">
        <v>62949.5145652724</v>
      </c>
      <c r="I2763" s="3">
        <v>67949.5145652724</v>
      </c>
      <c r="J2763" s="4">
        <v>45748.0</v>
      </c>
      <c r="K2763" s="3">
        <v>1.0</v>
      </c>
      <c r="L2763" s="3" t="s">
        <v>38</v>
      </c>
    </row>
    <row r="2764" ht="15.75" customHeight="1">
      <c r="A2764" s="3" t="s">
        <v>2848</v>
      </c>
      <c r="B2764" s="3" t="s">
        <v>36</v>
      </c>
      <c r="C2764" s="3" t="s">
        <v>18</v>
      </c>
      <c r="D2764" s="3">
        <v>79750.2538257818</v>
      </c>
      <c r="E2764" s="3">
        <v>27414.839782332</v>
      </c>
      <c r="F2764" s="3">
        <v>22512.386266178</v>
      </c>
      <c r="G2764" s="3">
        <v>16793.2538412905</v>
      </c>
      <c r="H2764" s="3">
        <v>-53147.3518405207</v>
      </c>
      <c r="I2764" s="3">
        <v>72104.0026268388</v>
      </c>
      <c r="J2764" s="4">
        <v>45962.0</v>
      </c>
      <c r="K2764" s="3">
        <v>18.0</v>
      </c>
      <c r="L2764" s="3" t="s">
        <v>40</v>
      </c>
    </row>
    <row r="2765" ht="15.75" customHeight="1">
      <c r="A2765" s="3" t="s">
        <v>2849</v>
      </c>
      <c r="B2765" s="3" t="s">
        <v>53</v>
      </c>
      <c r="C2765" s="3" t="s">
        <v>14</v>
      </c>
      <c r="D2765" s="3">
        <v>79761.136795688</v>
      </c>
      <c r="E2765" s="3">
        <v>27419.4545006594</v>
      </c>
      <c r="F2765" s="3">
        <v>22520.0662696075</v>
      </c>
      <c r="G2765" s="3">
        <v>16796.6513919778</v>
      </c>
      <c r="H2765" s="3">
        <v>-53196.8555582697</v>
      </c>
      <c r="I2765" s="3">
        <v>72107.3841012586</v>
      </c>
      <c r="J2765" s="4">
        <v>45809.0</v>
      </c>
      <c r="K2765" s="3">
        <v>3.0</v>
      </c>
      <c r="L2765" s="3" t="s">
        <v>42</v>
      </c>
    </row>
    <row r="2766" ht="15.75" customHeight="1">
      <c r="A2766" s="3" t="s">
        <v>2850</v>
      </c>
      <c r="B2766" s="3" t="s">
        <v>36</v>
      </c>
      <c r="C2766" s="3" t="s">
        <v>26</v>
      </c>
      <c r="D2766" s="3">
        <v>79772.0197655942</v>
      </c>
      <c r="E2766" s="3">
        <v>27424.0692189868</v>
      </c>
      <c r="F2766" s="3">
        <v>22527.746273037</v>
      </c>
      <c r="G2766" s="3">
        <v>16800.0489426651</v>
      </c>
      <c r="H2766" s="3">
        <v>-53246.3592760187</v>
      </c>
      <c r="I2766" s="3">
        <v>72110.7655756784</v>
      </c>
      <c r="J2766" s="4">
        <v>45778.0</v>
      </c>
      <c r="K2766" s="3">
        <v>7.0</v>
      </c>
      <c r="L2766" s="3" t="s">
        <v>15</v>
      </c>
    </row>
    <row r="2767" ht="15.75" customHeight="1">
      <c r="A2767" s="3" t="s">
        <v>2851</v>
      </c>
      <c r="B2767" s="3" t="s">
        <v>29</v>
      </c>
      <c r="C2767" s="3" t="s">
        <v>54</v>
      </c>
      <c r="D2767" s="5"/>
      <c r="E2767" s="3">
        <v>27428.6839373142</v>
      </c>
      <c r="F2767" s="3">
        <v>22535.4262764665</v>
      </c>
      <c r="G2767" s="3">
        <v>16803.4464933524</v>
      </c>
      <c r="H2767" s="3">
        <v>-53295.8629937677</v>
      </c>
      <c r="I2767" s="3">
        <v>72114.1470500982</v>
      </c>
      <c r="J2767" s="4">
        <v>45778.0</v>
      </c>
      <c r="K2767" s="3">
        <v>8.0</v>
      </c>
      <c r="L2767" s="3" t="s">
        <v>19</v>
      </c>
    </row>
    <row r="2768" ht="15.75" customHeight="1">
      <c r="A2768" s="3" t="s">
        <v>2852</v>
      </c>
      <c r="B2768" s="3" t="s">
        <v>53</v>
      </c>
      <c r="C2768" s="3" t="s">
        <v>26</v>
      </c>
      <c r="D2768" s="3">
        <v>79804.6686753128</v>
      </c>
      <c r="E2768" s="3">
        <v>27437.9133739691</v>
      </c>
      <c r="F2768" s="3">
        <v>22550.7862833255</v>
      </c>
      <c r="G2768" s="3">
        <v>16810.2415947269</v>
      </c>
      <c r="H2768" s="3">
        <v>-53394.8704292657</v>
      </c>
      <c r="I2768" s="3">
        <v>72120.9099989378</v>
      </c>
      <c r="J2768" s="4">
        <v>45992.0</v>
      </c>
      <c r="K2768" s="3">
        <v>11.0</v>
      </c>
      <c r="L2768" s="3" t="s">
        <v>23</v>
      </c>
    </row>
    <row r="2769" ht="15.75" customHeight="1">
      <c r="A2769" s="3" t="s">
        <v>2853</v>
      </c>
      <c r="B2769" s="3" t="s">
        <v>17</v>
      </c>
      <c r="C2769" s="3" t="s">
        <v>30</v>
      </c>
      <c r="D2769" s="3">
        <v>79815.551645219</v>
      </c>
      <c r="E2769" s="3">
        <v>27442.5280922965</v>
      </c>
      <c r="F2769" s="3">
        <v>22558.466286755</v>
      </c>
      <c r="G2769" s="3">
        <v>16813.6391454142</v>
      </c>
      <c r="H2769" s="3">
        <v>-53444.3741470147</v>
      </c>
      <c r="I2769" s="3">
        <v>72124.2914733576</v>
      </c>
      <c r="J2769" s="4">
        <v>45809.0</v>
      </c>
      <c r="K2769" s="3">
        <v>3.0</v>
      </c>
      <c r="L2769" s="3" t="s">
        <v>27</v>
      </c>
    </row>
    <row r="2770" ht="15.75" customHeight="1">
      <c r="A2770" s="3" t="s">
        <v>2854</v>
      </c>
      <c r="B2770" s="3" t="s">
        <v>51</v>
      </c>
      <c r="C2770" s="3" t="s">
        <v>30</v>
      </c>
      <c r="D2770" s="3">
        <v>79826.4346151251</v>
      </c>
      <c r="E2770" s="3">
        <v>27447.1428106239</v>
      </c>
      <c r="F2770" s="3">
        <v>22566.1462901845</v>
      </c>
      <c r="G2770" s="3">
        <v>16817.0366961015</v>
      </c>
      <c r="H2770" s="3">
        <v>-53493.8778647637</v>
      </c>
      <c r="I2770" s="3">
        <v>72127.6729477775</v>
      </c>
      <c r="J2770" s="4">
        <v>45870.0</v>
      </c>
      <c r="K2770" s="3">
        <v>13.0</v>
      </c>
      <c r="L2770" s="3" t="s">
        <v>31</v>
      </c>
    </row>
    <row r="2771" ht="15.75" customHeight="1">
      <c r="A2771" s="3" t="s">
        <v>2855</v>
      </c>
      <c r="B2771" s="3" t="s">
        <v>13</v>
      </c>
      <c r="C2771" s="3" t="s">
        <v>30</v>
      </c>
      <c r="D2771" s="3">
        <v>79837.3175850313</v>
      </c>
      <c r="E2771" s="3">
        <v>27451.7575289513</v>
      </c>
      <c r="F2771" s="3">
        <v>22573.826293614</v>
      </c>
      <c r="G2771" s="3">
        <v>16820.4342467888</v>
      </c>
      <c r="H2771" s="3">
        <v>-53543.3815825137</v>
      </c>
      <c r="I2771" s="3">
        <v>72131.0544221973</v>
      </c>
      <c r="J2771" s="4">
        <v>45870.0</v>
      </c>
      <c r="K2771" s="3">
        <v>10.0</v>
      </c>
      <c r="L2771" s="3" t="s">
        <v>34</v>
      </c>
    </row>
    <row r="2772" ht="15.75" customHeight="1">
      <c r="A2772" s="3" t="s">
        <v>2856</v>
      </c>
      <c r="B2772" s="3" t="s">
        <v>25</v>
      </c>
      <c r="C2772" s="3" t="s">
        <v>54</v>
      </c>
      <c r="D2772" s="3">
        <v>79848.2005549375</v>
      </c>
      <c r="E2772" s="3">
        <v>27456.3722472788</v>
      </c>
      <c r="F2772" s="3">
        <v>22581.5062970435</v>
      </c>
      <c r="G2772" s="3">
        <v>16823.8317974761</v>
      </c>
      <c r="H2772" s="3">
        <v>-53592.8853002627</v>
      </c>
      <c r="I2772" s="3">
        <v>72134.4358966171</v>
      </c>
      <c r="J2772" s="4">
        <v>45717.0</v>
      </c>
      <c r="K2772" s="3">
        <v>16.0</v>
      </c>
      <c r="L2772" s="3" t="s">
        <v>38</v>
      </c>
    </row>
    <row r="2773" ht="15.75" customHeight="1">
      <c r="A2773" s="3" t="s">
        <v>2857</v>
      </c>
      <c r="B2773" s="3" t="s">
        <v>51</v>
      </c>
      <c r="C2773" s="3" t="s">
        <v>14</v>
      </c>
      <c r="D2773" s="3">
        <v>79859.0835248437</v>
      </c>
      <c r="E2773" s="3">
        <v>27460.9869656062</v>
      </c>
      <c r="F2773" s="3">
        <v>22589.186300473</v>
      </c>
      <c r="G2773" s="3">
        <v>16827.2293481634</v>
      </c>
      <c r="H2773" s="3">
        <v>-53642.3890180117</v>
      </c>
      <c r="I2773" s="3">
        <v>72137.8173710369</v>
      </c>
      <c r="J2773" s="4">
        <v>45778.0</v>
      </c>
      <c r="K2773" s="3">
        <v>12.0</v>
      </c>
      <c r="L2773" s="3" t="s">
        <v>40</v>
      </c>
    </row>
    <row r="2774" ht="15.75" customHeight="1">
      <c r="A2774" s="3" t="s">
        <v>2858</v>
      </c>
      <c r="B2774" s="3" t="s">
        <v>36</v>
      </c>
      <c r="C2774" s="3" t="s">
        <v>37</v>
      </c>
      <c r="D2774" s="3">
        <v>79869.9664947499</v>
      </c>
      <c r="E2774" s="3">
        <v>27465.6016839336</v>
      </c>
      <c r="F2774" s="3">
        <v>22596.8663039025</v>
      </c>
      <c r="G2774" s="3">
        <v>16830.6268988507</v>
      </c>
      <c r="H2774" s="3">
        <v>-53691.8927357607</v>
      </c>
      <c r="I2774" s="3">
        <v>72141.1988454567</v>
      </c>
      <c r="J2774" s="4">
        <v>45870.0</v>
      </c>
      <c r="K2774" s="3">
        <v>2.0</v>
      </c>
      <c r="L2774" s="3" t="s">
        <v>42</v>
      </c>
    </row>
    <row r="2775" ht="15.75" customHeight="1">
      <c r="A2775" s="3" t="s">
        <v>2859</v>
      </c>
      <c r="B2775" s="3" t="s">
        <v>17</v>
      </c>
      <c r="C2775" s="3" t="s">
        <v>37</v>
      </c>
      <c r="D2775" s="3">
        <v>79880.8494646561</v>
      </c>
      <c r="E2775" s="3">
        <v>27470.216402261</v>
      </c>
      <c r="F2775" s="3">
        <v>22604.546307332</v>
      </c>
      <c r="G2775" s="3">
        <v>16834.024449538</v>
      </c>
      <c r="H2775" s="3">
        <v>-53741.3964535097</v>
      </c>
      <c r="I2775" s="3">
        <v>72144.5803198765</v>
      </c>
      <c r="J2775" s="4">
        <v>45809.0</v>
      </c>
      <c r="K2775" s="3">
        <v>7.0</v>
      </c>
      <c r="L2775" s="3" t="s">
        <v>15</v>
      </c>
    </row>
    <row r="2776" ht="15.75" customHeight="1">
      <c r="A2776" s="3" t="s">
        <v>2860</v>
      </c>
      <c r="B2776" s="3" t="s">
        <v>51</v>
      </c>
      <c r="C2776" s="3" t="s">
        <v>26</v>
      </c>
      <c r="D2776" s="3">
        <v>79891.7324345623</v>
      </c>
      <c r="E2776" s="3">
        <v>27474.8311205884</v>
      </c>
      <c r="F2776" s="3">
        <v>22612.2263107615</v>
      </c>
      <c r="G2776" s="3">
        <v>16837.4220002252</v>
      </c>
      <c r="H2776" s="3">
        <v>-53790.9001712587</v>
      </c>
      <c r="I2776" s="3">
        <v>72147.9617942963</v>
      </c>
      <c r="J2776" s="4">
        <v>45748.0</v>
      </c>
      <c r="K2776" s="3">
        <v>11.0</v>
      </c>
      <c r="L2776" s="3" t="s">
        <v>19</v>
      </c>
    </row>
    <row r="2777" ht="15.75" customHeight="1">
      <c r="A2777" s="3" t="s">
        <v>2861</v>
      </c>
      <c r="B2777" s="3" t="s">
        <v>53</v>
      </c>
      <c r="C2777" s="3" t="s">
        <v>54</v>
      </c>
      <c r="D2777" s="3">
        <v>79902.6154044685</v>
      </c>
      <c r="E2777" s="3">
        <v>27479.4458389159</v>
      </c>
      <c r="F2777" s="3">
        <v>22619.906314191</v>
      </c>
      <c r="G2777" s="3">
        <v>16840.8195509125</v>
      </c>
      <c r="H2777" s="3">
        <v>-53840.4038890077</v>
      </c>
      <c r="I2777" s="3">
        <v>72151.3432687162</v>
      </c>
      <c r="J2777" s="4">
        <v>45658.0</v>
      </c>
      <c r="K2777" s="3">
        <v>7.0</v>
      </c>
      <c r="L2777" s="3" t="s">
        <v>21</v>
      </c>
    </row>
    <row r="2778" ht="15.75" customHeight="1">
      <c r="A2778" s="3" t="s">
        <v>2862</v>
      </c>
      <c r="B2778" s="3" t="s">
        <v>53</v>
      </c>
      <c r="C2778" s="3" t="s">
        <v>26</v>
      </c>
      <c r="D2778" s="3">
        <v>79913.4983743747</v>
      </c>
      <c r="E2778" s="3">
        <v>27484.0605572433</v>
      </c>
      <c r="F2778" s="3">
        <v>22627.5863176205</v>
      </c>
      <c r="G2778" s="3">
        <v>16844.2171015998</v>
      </c>
      <c r="H2778" s="3">
        <v>-53889.9076067577</v>
      </c>
      <c r="I2778" s="3">
        <v>72154.724743136</v>
      </c>
      <c r="J2778" s="4">
        <v>45689.0</v>
      </c>
      <c r="K2778" s="3">
        <v>1.0</v>
      </c>
      <c r="L2778" s="3" t="s">
        <v>23</v>
      </c>
    </row>
    <row r="2779" ht="15.75" customHeight="1">
      <c r="A2779" s="3" t="s">
        <v>2863</v>
      </c>
      <c r="B2779" s="3" t="s">
        <v>36</v>
      </c>
      <c r="C2779" s="3" t="s">
        <v>33</v>
      </c>
      <c r="D2779" s="3">
        <v>79924.3813442809</v>
      </c>
      <c r="E2779" s="3">
        <v>27488.6752755707</v>
      </c>
      <c r="F2779" s="3">
        <v>22635.26632105</v>
      </c>
      <c r="G2779" s="3">
        <v>16847.6146522871</v>
      </c>
      <c r="H2779" s="3">
        <v>-53939.4113245067</v>
      </c>
      <c r="I2779" s="3">
        <v>72158.1062175558</v>
      </c>
      <c r="J2779" s="4">
        <v>45809.0</v>
      </c>
      <c r="K2779" s="3">
        <v>22.0</v>
      </c>
      <c r="L2779" s="3" t="s">
        <v>27</v>
      </c>
    </row>
    <row r="2780" ht="15.75" customHeight="1">
      <c r="A2780" s="3" t="s">
        <v>2864</v>
      </c>
      <c r="B2780" s="3" t="s">
        <v>36</v>
      </c>
      <c r="C2780" s="3" t="s">
        <v>30</v>
      </c>
      <c r="D2780" s="3">
        <v>79935.2643141871</v>
      </c>
      <c r="E2780" s="3">
        <v>27493.2899938981</v>
      </c>
      <c r="F2780" s="3">
        <v>22642.9463244795</v>
      </c>
      <c r="G2780" s="3">
        <v>16851.0122029744</v>
      </c>
      <c r="H2780" s="3">
        <v>-53988.9150422557</v>
      </c>
      <c r="I2780" s="3">
        <v>72161.4876919756</v>
      </c>
      <c r="J2780" s="4">
        <v>45748.0</v>
      </c>
      <c r="K2780" s="3">
        <v>22.0</v>
      </c>
      <c r="L2780" s="3" t="s">
        <v>31</v>
      </c>
    </row>
    <row r="2781" ht="15.75" customHeight="1">
      <c r="A2781" s="3" t="s">
        <v>2865</v>
      </c>
      <c r="B2781" s="3" t="s">
        <v>25</v>
      </c>
      <c r="C2781" s="3" t="s">
        <v>54</v>
      </c>
      <c r="D2781" s="3">
        <v>79946.1472840933</v>
      </c>
      <c r="E2781" s="3">
        <v>27497.9047122256</v>
      </c>
      <c r="F2781" s="3">
        <v>22650.626327909</v>
      </c>
      <c r="G2781" s="3">
        <v>16854.4097536617</v>
      </c>
      <c r="H2781" s="3">
        <v>-54038.4187600047</v>
      </c>
      <c r="I2781" s="3">
        <v>72164.8691663954</v>
      </c>
      <c r="J2781" s="4">
        <v>45931.0</v>
      </c>
      <c r="K2781" s="3">
        <v>21.0</v>
      </c>
      <c r="L2781" s="3" t="s">
        <v>34</v>
      </c>
    </row>
    <row r="2782" ht="15.75" customHeight="1">
      <c r="A2782" s="3" t="s">
        <v>2866</v>
      </c>
      <c r="B2782" s="3" t="s">
        <v>25</v>
      </c>
      <c r="C2782" s="3" t="s">
        <v>14</v>
      </c>
      <c r="D2782" s="5"/>
      <c r="E2782" s="3">
        <v>27502.519430553</v>
      </c>
      <c r="F2782" s="3">
        <v>22658.3063313385</v>
      </c>
      <c r="G2782" s="3">
        <v>16857.807304349</v>
      </c>
      <c r="H2782" s="3">
        <v>-54087.9224777537</v>
      </c>
      <c r="I2782" s="3">
        <v>72168.2506408152</v>
      </c>
      <c r="J2782" s="4">
        <v>45778.0</v>
      </c>
      <c r="K2782" s="3">
        <v>6.0</v>
      </c>
      <c r="L2782" s="3" t="s">
        <v>38</v>
      </c>
    </row>
    <row r="2783" ht="15.75" customHeight="1">
      <c r="A2783" s="3" t="s">
        <v>2867</v>
      </c>
      <c r="B2783" s="3" t="s">
        <v>25</v>
      </c>
      <c r="C2783" s="3" t="s">
        <v>18</v>
      </c>
      <c r="D2783" s="3">
        <v>79967.9132239057</v>
      </c>
      <c r="E2783" s="3">
        <v>27507.1341488804</v>
      </c>
      <c r="F2783" s="3">
        <v>22665.986334768</v>
      </c>
      <c r="G2783" s="3">
        <v>16861.2048550362</v>
      </c>
      <c r="H2783" s="3">
        <v>-54137.4261955027</v>
      </c>
      <c r="I2783" s="3">
        <v>72171.632115235</v>
      </c>
      <c r="J2783" s="4">
        <v>45839.0</v>
      </c>
      <c r="K2783" s="3">
        <v>11.0</v>
      </c>
      <c r="L2783" s="3" t="s">
        <v>40</v>
      </c>
    </row>
    <row r="2784" ht="15.75" customHeight="1">
      <c r="A2784" s="3" t="s">
        <v>2868</v>
      </c>
      <c r="B2784" s="3" t="s">
        <v>53</v>
      </c>
      <c r="C2784" s="3" t="s">
        <v>54</v>
      </c>
      <c r="D2784" s="3">
        <v>79978.7961938119</v>
      </c>
      <c r="E2784" s="3">
        <v>27511.7488672078</v>
      </c>
      <c r="F2784" s="3">
        <v>22673.6663381974</v>
      </c>
      <c r="G2784" s="3">
        <v>16864.6024057235</v>
      </c>
      <c r="H2784" s="3">
        <v>63114.1937880884</v>
      </c>
      <c r="I2784" s="3">
        <v>68114.1937880884</v>
      </c>
      <c r="J2784" s="4">
        <v>45748.0</v>
      </c>
      <c r="K2784" s="3">
        <v>8.0</v>
      </c>
      <c r="L2784" s="3" t="s">
        <v>42</v>
      </c>
    </row>
    <row r="2785" ht="15.75" customHeight="1">
      <c r="A2785" s="3" t="s">
        <v>2869</v>
      </c>
      <c r="B2785" s="3" t="s">
        <v>25</v>
      </c>
      <c r="C2785" s="3" t="s">
        <v>30</v>
      </c>
      <c r="D2785" s="3">
        <v>79989.679163718</v>
      </c>
      <c r="E2785" s="3">
        <v>27516.3635855352</v>
      </c>
      <c r="F2785" s="3">
        <v>22681.3463416269</v>
      </c>
      <c r="G2785" s="3">
        <v>16867.9999564108</v>
      </c>
      <c r="H2785" s="3">
        <v>-54236.4336310007</v>
      </c>
      <c r="I2785" s="3">
        <v>72178.3950640747</v>
      </c>
      <c r="J2785" s="4">
        <v>45839.0</v>
      </c>
      <c r="K2785" s="3">
        <v>8.0</v>
      </c>
      <c r="L2785" s="3" t="s">
        <v>15</v>
      </c>
    </row>
    <row r="2786" ht="15.75" customHeight="1">
      <c r="A2786" s="3" t="s">
        <v>2870</v>
      </c>
      <c r="B2786" s="3" t="s">
        <v>17</v>
      </c>
      <c r="C2786" s="3" t="s">
        <v>26</v>
      </c>
      <c r="D2786" s="3">
        <v>80000.5621336242</v>
      </c>
      <c r="E2786" s="3">
        <v>27520.9783038627</v>
      </c>
      <c r="F2786" s="3">
        <v>22689.0263450564</v>
      </c>
      <c r="G2786" s="3">
        <v>16871.3975070981</v>
      </c>
      <c r="H2786" s="3">
        <v>-54285.9373487507</v>
      </c>
      <c r="I2786" s="3">
        <v>72181.7765384945</v>
      </c>
      <c r="J2786" s="4">
        <v>45870.0</v>
      </c>
      <c r="K2786" s="3">
        <v>24.0</v>
      </c>
      <c r="L2786" s="3" t="s">
        <v>19</v>
      </c>
    </row>
    <row r="2787" ht="15.75" customHeight="1">
      <c r="A2787" s="3" t="s">
        <v>2871</v>
      </c>
      <c r="B2787" s="3" t="s">
        <v>51</v>
      </c>
      <c r="C2787" s="3" t="s">
        <v>30</v>
      </c>
      <c r="D2787" s="3">
        <v>80011.4451035304</v>
      </c>
      <c r="E2787" s="3">
        <v>27525.5930221901</v>
      </c>
      <c r="F2787" s="3">
        <v>22696.7063484859</v>
      </c>
      <c r="G2787" s="3">
        <v>16874.7950577854</v>
      </c>
      <c r="H2787" s="3">
        <v>-54335.4410664997</v>
      </c>
      <c r="I2787" s="3">
        <v>72185.1580129143</v>
      </c>
      <c r="J2787" s="4">
        <v>45992.0</v>
      </c>
      <c r="K2787" s="3">
        <v>4.0</v>
      </c>
      <c r="L2787" s="3" t="s">
        <v>21</v>
      </c>
    </row>
    <row r="2788" ht="15.75" customHeight="1">
      <c r="A2788" s="3" t="s">
        <v>2872</v>
      </c>
      <c r="B2788" s="3" t="s">
        <v>36</v>
      </c>
      <c r="C2788" s="3" t="s">
        <v>37</v>
      </c>
      <c r="D2788" s="3">
        <v>80022.3280734366</v>
      </c>
      <c r="E2788" s="3">
        <v>27530.2077405175</v>
      </c>
      <c r="F2788" s="3">
        <v>22704.3863519154</v>
      </c>
      <c r="G2788" s="3">
        <v>16878.1926084727</v>
      </c>
      <c r="H2788" s="3">
        <v>-54384.9447842487</v>
      </c>
      <c r="I2788" s="3">
        <v>72188.5394873341</v>
      </c>
      <c r="J2788" s="4">
        <v>45809.0</v>
      </c>
      <c r="K2788" s="3">
        <v>18.0</v>
      </c>
      <c r="L2788" s="3" t="s">
        <v>23</v>
      </c>
    </row>
    <row r="2789" ht="15.75" customHeight="1">
      <c r="A2789" s="3" t="s">
        <v>2873</v>
      </c>
      <c r="B2789" s="3" t="s">
        <v>17</v>
      </c>
      <c r="C2789" s="3" t="s">
        <v>26</v>
      </c>
      <c r="D2789" s="3">
        <v>80033.2110433428</v>
      </c>
      <c r="E2789" s="3">
        <v>27534.8224588449</v>
      </c>
      <c r="F2789" s="3">
        <v>22712.0663553449</v>
      </c>
      <c r="G2789" s="3">
        <v>16881.59015916</v>
      </c>
      <c r="H2789" s="3">
        <v>-54434.4485019977</v>
      </c>
      <c r="I2789" s="3">
        <v>72191.9209617539</v>
      </c>
      <c r="J2789" s="4">
        <v>45870.0</v>
      </c>
      <c r="K2789" s="3">
        <v>24.0</v>
      </c>
      <c r="L2789" s="3" t="s">
        <v>27</v>
      </c>
    </row>
    <row r="2790" ht="15.75" customHeight="1">
      <c r="A2790" s="3" t="s">
        <v>2874</v>
      </c>
      <c r="B2790" s="3" t="s">
        <v>29</v>
      </c>
      <c r="C2790" s="3" t="s">
        <v>30</v>
      </c>
      <c r="D2790" s="3">
        <v>80044.094013249</v>
      </c>
      <c r="E2790" s="3">
        <v>27539.4371771723</v>
      </c>
      <c r="F2790" s="3">
        <v>22719.7463587744</v>
      </c>
      <c r="G2790" s="3">
        <v>16884.9877098473</v>
      </c>
      <c r="H2790" s="3">
        <v>-54483.9522197467</v>
      </c>
      <c r="I2790" s="3">
        <v>72195.3024361737</v>
      </c>
      <c r="J2790" s="4">
        <v>45839.0</v>
      </c>
      <c r="K2790" s="3">
        <v>1.0</v>
      </c>
      <c r="L2790" s="3" t="s">
        <v>31</v>
      </c>
    </row>
    <row r="2791" ht="15.75" customHeight="1">
      <c r="A2791" s="3" t="s">
        <v>2875</v>
      </c>
      <c r="B2791" s="3" t="s">
        <v>53</v>
      </c>
      <c r="C2791" s="3" t="s">
        <v>18</v>
      </c>
      <c r="D2791" s="3">
        <v>80054.9769831552</v>
      </c>
      <c r="E2791" s="3">
        <v>27544.0518954998</v>
      </c>
      <c r="F2791" s="3">
        <v>22727.4263622039</v>
      </c>
      <c r="G2791" s="3">
        <v>16888.3852605345</v>
      </c>
      <c r="H2791" s="3">
        <v>-54533.4559374957</v>
      </c>
      <c r="I2791" s="3">
        <v>72198.6839105936</v>
      </c>
      <c r="J2791" s="4">
        <v>45778.0</v>
      </c>
      <c r="K2791" s="3">
        <v>11.0</v>
      </c>
      <c r="L2791" s="3" t="s">
        <v>34</v>
      </c>
    </row>
    <row r="2792" ht="15.75" customHeight="1">
      <c r="A2792" s="3" t="s">
        <v>2876</v>
      </c>
      <c r="B2792" s="3" t="s">
        <v>13</v>
      </c>
      <c r="C2792" s="3" t="s">
        <v>37</v>
      </c>
      <c r="D2792" s="3">
        <v>80065.8599530614</v>
      </c>
      <c r="E2792" s="3">
        <v>27548.6666138272</v>
      </c>
      <c r="F2792" s="3">
        <v>22735.1063656334</v>
      </c>
      <c r="G2792" s="3">
        <v>16891.7828112218</v>
      </c>
      <c r="H2792" s="3">
        <v>-54582.9596552447</v>
      </c>
      <c r="I2792" s="3">
        <v>72202.0653850134</v>
      </c>
      <c r="J2792" s="4">
        <v>45809.0</v>
      </c>
      <c r="K2792" s="3">
        <v>4.0</v>
      </c>
      <c r="L2792" s="3" t="s">
        <v>38</v>
      </c>
    </row>
    <row r="2793" ht="15.75" customHeight="1">
      <c r="A2793" s="3" t="s">
        <v>2877</v>
      </c>
      <c r="B2793" s="3" t="s">
        <v>51</v>
      </c>
      <c r="C2793" s="3" t="s">
        <v>26</v>
      </c>
      <c r="D2793" s="3">
        <v>80076.7429229676</v>
      </c>
      <c r="E2793" s="3">
        <v>27553.2813321546</v>
      </c>
      <c r="F2793" s="3">
        <v>22742.7863690629</v>
      </c>
      <c r="G2793" s="3">
        <v>16895.1803619091</v>
      </c>
      <c r="H2793" s="3">
        <v>-54632.4633729937</v>
      </c>
      <c r="I2793" s="3">
        <v>72205.4468594332</v>
      </c>
      <c r="J2793" s="3" t="s">
        <v>1509</v>
      </c>
      <c r="K2793" s="3">
        <v>1.0</v>
      </c>
      <c r="L2793" s="3" t="s">
        <v>40</v>
      </c>
    </row>
    <row r="2794" ht="15.75" customHeight="1">
      <c r="A2794" s="3" t="s">
        <v>2878</v>
      </c>
      <c r="B2794" s="3" t="s">
        <v>29</v>
      </c>
      <c r="C2794" s="3" t="s">
        <v>33</v>
      </c>
      <c r="D2794" s="3">
        <v>80087.6258928738</v>
      </c>
      <c r="E2794" s="3">
        <v>27557.896050482</v>
      </c>
      <c r="F2794" s="3">
        <v>22750.4663724924</v>
      </c>
      <c r="G2794" s="3">
        <v>16898.5779125964</v>
      </c>
      <c r="H2794" s="3">
        <v>-54681.9670907437</v>
      </c>
      <c r="I2794" s="3">
        <v>72208.828333853</v>
      </c>
      <c r="J2794" s="4">
        <v>45839.0</v>
      </c>
      <c r="K2794" s="3">
        <v>14.0</v>
      </c>
      <c r="L2794" s="3" t="s">
        <v>42</v>
      </c>
    </row>
    <row r="2795" ht="15.75" customHeight="1">
      <c r="A2795" s="3" t="s">
        <v>2879</v>
      </c>
      <c r="B2795" s="3" t="s">
        <v>13</v>
      </c>
      <c r="C2795" s="3" t="s">
        <v>26</v>
      </c>
      <c r="D2795" s="3">
        <v>80098.50886278</v>
      </c>
      <c r="E2795" s="3">
        <v>27562.5107688095</v>
      </c>
      <c r="F2795" s="3">
        <v>22758.1463759219</v>
      </c>
      <c r="G2795" s="3">
        <v>16901.9754632837</v>
      </c>
      <c r="H2795" s="3">
        <v>-54731.4708084927</v>
      </c>
      <c r="I2795" s="3">
        <v>72212.2098082728</v>
      </c>
      <c r="J2795" s="4">
        <v>45778.0</v>
      </c>
      <c r="K2795" s="3">
        <v>23.0</v>
      </c>
      <c r="L2795" s="3" t="s">
        <v>15</v>
      </c>
    </row>
    <row r="2796" ht="15.75" customHeight="1">
      <c r="A2796" s="3" t="s">
        <v>2880</v>
      </c>
      <c r="B2796" s="3" t="s">
        <v>17</v>
      </c>
      <c r="C2796" s="3" t="s">
        <v>14</v>
      </c>
      <c r="D2796" s="3">
        <v>80109.3918326862</v>
      </c>
      <c r="E2796" s="3">
        <v>27567.1254871369</v>
      </c>
      <c r="F2796" s="3">
        <v>22765.8263793514</v>
      </c>
      <c r="G2796" s="3">
        <v>16905.373013971</v>
      </c>
      <c r="H2796" s="3">
        <v>-54780.9745262417</v>
      </c>
      <c r="I2796" s="3">
        <v>72215.5912826926</v>
      </c>
      <c r="J2796" s="4">
        <v>45962.0</v>
      </c>
      <c r="K2796" s="3">
        <v>23.0</v>
      </c>
      <c r="L2796" s="3" t="s">
        <v>19</v>
      </c>
    </row>
    <row r="2797" ht="15.75" customHeight="1">
      <c r="A2797" s="3" t="s">
        <v>2881</v>
      </c>
      <c r="B2797" s="3" t="s">
        <v>17</v>
      </c>
      <c r="C2797" s="3" t="s">
        <v>26</v>
      </c>
      <c r="D2797" s="3">
        <v>80131.1577724986</v>
      </c>
      <c r="E2797" s="3">
        <v>27576.3549237917</v>
      </c>
      <c r="F2797" s="3">
        <v>22781.1863862104</v>
      </c>
      <c r="G2797" s="3">
        <v>16912.1681153456</v>
      </c>
      <c r="H2797" s="3">
        <v>-54879.9819617397</v>
      </c>
      <c r="I2797" s="3">
        <v>72222.3542315323</v>
      </c>
      <c r="J2797" s="4">
        <v>45689.0</v>
      </c>
      <c r="K2797" s="3">
        <v>10.0</v>
      </c>
      <c r="L2797" s="3" t="s">
        <v>23</v>
      </c>
    </row>
    <row r="2798" ht="15.75" customHeight="1">
      <c r="A2798" s="3" t="s">
        <v>2882</v>
      </c>
      <c r="B2798" s="3" t="s">
        <v>51</v>
      </c>
      <c r="C2798" s="3" t="s">
        <v>14</v>
      </c>
      <c r="D2798" s="3">
        <v>80142.0407424048</v>
      </c>
      <c r="E2798" s="3">
        <v>27580.9696421192</v>
      </c>
      <c r="F2798" s="3">
        <v>22788.8663896399</v>
      </c>
      <c r="G2798" s="3">
        <v>16915.5656660328</v>
      </c>
      <c r="H2798" s="3">
        <v>-54929.4856794887</v>
      </c>
      <c r="I2798" s="3">
        <v>72225.7357059521</v>
      </c>
      <c r="J2798" s="4">
        <v>45992.0</v>
      </c>
      <c r="K2798" s="3">
        <v>4.0</v>
      </c>
      <c r="L2798" s="3" t="s">
        <v>27</v>
      </c>
    </row>
    <row r="2799" ht="15.75" customHeight="1">
      <c r="A2799" s="3" t="s">
        <v>2883</v>
      </c>
      <c r="B2799" s="3" t="s">
        <v>36</v>
      </c>
      <c r="C2799" s="3" t="s">
        <v>54</v>
      </c>
      <c r="D2799" s="3">
        <v>80152.9237123109</v>
      </c>
      <c r="E2799" s="3">
        <v>27585.5843604466</v>
      </c>
      <c r="F2799" s="3">
        <v>22796.5463930694</v>
      </c>
      <c r="G2799" s="3">
        <v>16918.9632167201</v>
      </c>
      <c r="H2799" s="3">
        <v>63233.9604955908</v>
      </c>
      <c r="I2799" s="3">
        <v>68233.9604955908</v>
      </c>
      <c r="J2799" s="4">
        <v>45870.0</v>
      </c>
      <c r="K2799" s="3">
        <v>13.0</v>
      </c>
      <c r="L2799" s="3" t="s">
        <v>31</v>
      </c>
    </row>
    <row r="2800" ht="15.75" customHeight="1">
      <c r="A2800" s="3" t="s">
        <v>2884</v>
      </c>
      <c r="B2800" s="3" t="s">
        <v>51</v>
      </c>
      <c r="C2800" s="3" t="s">
        <v>26</v>
      </c>
      <c r="D2800" s="3">
        <v>80163.8066822171</v>
      </c>
      <c r="E2800" s="3">
        <v>27590.199078774</v>
      </c>
      <c r="F2800" s="3">
        <v>22804.2263964989</v>
      </c>
      <c r="G2800" s="3">
        <v>16922.3607674074</v>
      </c>
      <c r="H2800" s="3">
        <v>-55028.4931149867</v>
      </c>
      <c r="I2800" s="3">
        <v>72232.4986547917</v>
      </c>
      <c r="J2800" s="4">
        <v>45809.0</v>
      </c>
      <c r="K2800" s="3">
        <v>9.0</v>
      </c>
      <c r="L2800" s="3" t="s">
        <v>34</v>
      </c>
    </row>
    <row r="2801" ht="15.75" customHeight="1">
      <c r="A2801" s="3" t="s">
        <v>2885</v>
      </c>
      <c r="B2801" s="3" t="s">
        <v>29</v>
      </c>
      <c r="C2801" s="3" t="s">
        <v>18</v>
      </c>
      <c r="D2801" s="3">
        <v>80174.6896521233</v>
      </c>
      <c r="E2801" s="3">
        <v>27594.8137971014</v>
      </c>
      <c r="F2801" s="3">
        <v>22811.9063999284</v>
      </c>
      <c r="G2801" s="3">
        <v>16925.7583180947</v>
      </c>
      <c r="H2801" s="3">
        <v>-55077.9968327367</v>
      </c>
      <c r="I2801" s="3">
        <v>72235.8801292115</v>
      </c>
      <c r="J2801" s="4">
        <v>45717.0</v>
      </c>
      <c r="K2801" s="3">
        <v>1.0</v>
      </c>
      <c r="L2801" s="3" t="s">
        <v>38</v>
      </c>
    </row>
    <row r="2802" ht="15.75" customHeight="1">
      <c r="A2802" s="3" t="s">
        <v>2886</v>
      </c>
      <c r="B2802" s="3" t="s">
        <v>17</v>
      </c>
      <c r="C2802" s="3" t="s">
        <v>37</v>
      </c>
      <c r="D2802" s="3">
        <v>80185.5726220295</v>
      </c>
      <c r="E2802" s="3">
        <v>27599.4285154288</v>
      </c>
      <c r="F2802" s="3">
        <v>22819.5864033579</v>
      </c>
      <c r="G2802" s="3">
        <v>16929.155868782</v>
      </c>
      <c r="H2802" s="3">
        <v>-55127.5005504857</v>
      </c>
      <c r="I2802" s="3">
        <v>72239.2616036313</v>
      </c>
      <c r="J2802" s="4">
        <v>45962.0</v>
      </c>
      <c r="K2802" s="3">
        <v>25.0</v>
      </c>
      <c r="L2802" s="3" t="s">
        <v>40</v>
      </c>
    </row>
    <row r="2803" ht="15.75" customHeight="1">
      <c r="A2803" s="3" t="s">
        <v>2887</v>
      </c>
      <c r="B2803" s="3" t="s">
        <v>29</v>
      </c>
      <c r="C2803" s="3" t="s">
        <v>18</v>
      </c>
      <c r="D2803" s="3">
        <v>80196.4555919357</v>
      </c>
      <c r="E2803" s="3">
        <v>27604.0432337563</v>
      </c>
      <c r="F2803" s="3">
        <v>22827.2664067874</v>
      </c>
      <c r="G2803" s="3">
        <v>16932.5534194693</v>
      </c>
      <c r="H2803" s="3">
        <v>-55177.0042682347</v>
      </c>
      <c r="I2803" s="3">
        <v>72242.6430780512</v>
      </c>
      <c r="J2803" s="4">
        <v>45839.0</v>
      </c>
      <c r="K2803" s="3">
        <v>5.0</v>
      </c>
      <c r="L2803" s="3" t="s">
        <v>42</v>
      </c>
    </row>
    <row r="2804" ht="15.75" customHeight="1">
      <c r="A2804" s="3" t="s">
        <v>2888</v>
      </c>
      <c r="B2804" s="3" t="s">
        <v>13</v>
      </c>
      <c r="C2804" s="3" t="s">
        <v>18</v>
      </c>
      <c r="D2804" s="3">
        <v>80207.3385618419</v>
      </c>
      <c r="E2804" s="3">
        <v>27608.6579520837</v>
      </c>
      <c r="F2804" s="3">
        <v>22834.9464102169</v>
      </c>
      <c r="G2804" s="3">
        <v>16935.9509701565</v>
      </c>
      <c r="H2804" s="3">
        <v>-55226.5079859837</v>
      </c>
      <c r="I2804" s="3">
        <v>72246.024552471</v>
      </c>
      <c r="J2804" s="4">
        <v>45717.0</v>
      </c>
      <c r="K2804" s="3">
        <v>5.0</v>
      </c>
      <c r="L2804" s="3" t="s">
        <v>15</v>
      </c>
    </row>
    <row r="2805" ht="15.75" customHeight="1">
      <c r="A2805" s="3" t="s">
        <v>2889</v>
      </c>
      <c r="B2805" s="3" t="s">
        <v>51</v>
      </c>
      <c r="C2805" s="3" t="s">
        <v>14</v>
      </c>
      <c r="D2805" s="3">
        <v>80218.2215317481</v>
      </c>
      <c r="E2805" s="3">
        <v>27613.2726704111</v>
      </c>
      <c r="F2805" s="3">
        <v>22842.6264136464</v>
      </c>
      <c r="G2805" s="3">
        <v>16939.3485208438</v>
      </c>
      <c r="H2805" s="3">
        <v>-55276.0117037327</v>
      </c>
      <c r="I2805" s="3">
        <v>72249.4060268908</v>
      </c>
      <c r="J2805" s="4">
        <v>45809.0</v>
      </c>
      <c r="K2805" s="3">
        <v>3.0</v>
      </c>
      <c r="L2805" s="3" t="s">
        <v>19</v>
      </c>
    </row>
    <row r="2806" ht="15.75" customHeight="1">
      <c r="A2806" s="3" t="s">
        <v>2890</v>
      </c>
      <c r="B2806" s="3" t="s">
        <v>53</v>
      </c>
      <c r="C2806" s="3" t="s">
        <v>33</v>
      </c>
      <c r="D2806" s="3">
        <v>80229.1045016543</v>
      </c>
      <c r="E2806" s="3">
        <v>27617.8873887385</v>
      </c>
      <c r="F2806" s="3">
        <v>22850.3064170759</v>
      </c>
      <c r="G2806" s="3">
        <v>16942.7460715311</v>
      </c>
      <c r="H2806" s="3">
        <v>-55325.5154214817</v>
      </c>
      <c r="I2806" s="3">
        <v>72252.7875013106</v>
      </c>
      <c r="J2806" s="4">
        <v>45931.0</v>
      </c>
      <c r="K2806" s="3">
        <v>1.0</v>
      </c>
      <c r="L2806" s="3" t="s">
        <v>21</v>
      </c>
    </row>
    <row r="2807" ht="15.75" customHeight="1">
      <c r="A2807" s="3" t="s">
        <v>2891</v>
      </c>
      <c r="B2807" s="3" t="s">
        <v>25</v>
      </c>
      <c r="C2807" s="3" t="s">
        <v>54</v>
      </c>
      <c r="D2807" s="3">
        <v>80239.9874715605</v>
      </c>
      <c r="E2807" s="3">
        <v>27622.5021070659</v>
      </c>
      <c r="F2807" s="3">
        <v>22857.9864205054</v>
      </c>
      <c r="G2807" s="3">
        <v>16946.1436222184</v>
      </c>
      <c r="H2807" s="3">
        <v>-55375.0191392307</v>
      </c>
      <c r="I2807" s="3">
        <v>72256.1689757304</v>
      </c>
      <c r="J2807" s="4">
        <v>45962.0</v>
      </c>
      <c r="K2807" s="3">
        <v>17.0</v>
      </c>
      <c r="L2807" s="3" t="s">
        <v>23</v>
      </c>
    </row>
    <row r="2808" ht="15.75" customHeight="1">
      <c r="A2808" s="3" t="s">
        <v>2892</v>
      </c>
      <c r="B2808" s="3" t="s">
        <v>25</v>
      </c>
      <c r="C2808" s="3" t="s">
        <v>14</v>
      </c>
      <c r="D2808" s="3">
        <v>80250.8704414667</v>
      </c>
      <c r="E2808" s="3">
        <v>27627.1168253934</v>
      </c>
      <c r="F2808" s="3">
        <v>22865.6664239349</v>
      </c>
      <c r="G2808" s="3">
        <v>16949.5411729057</v>
      </c>
      <c r="H2808" s="3">
        <v>-55424.5228569797</v>
      </c>
      <c r="I2808" s="3">
        <v>72259.5504501502</v>
      </c>
      <c r="J2808" s="4">
        <v>45778.0</v>
      </c>
      <c r="K2808" s="3">
        <v>2.0</v>
      </c>
      <c r="L2808" s="3" t="s">
        <v>27</v>
      </c>
    </row>
    <row r="2809" ht="15.75" customHeight="1">
      <c r="A2809" s="3" t="s">
        <v>2893</v>
      </c>
      <c r="B2809" s="3" t="s">
        <v>53</v>
      </c>
      <c r="C2809" s="3" t="s">
        <v>37</v>
      </c>
      <c r="D2809" s="3">
        <v>80261.7534113729</v>
      </c>
      <c r="E2809" s="3">
        <v>27631.7315437208</v>
      </c>
      <c r="F2809" s="3">
        <v>22873.3464273644</v>
      </c>
      <c r="G2809" s="3">
        <v>16952.938723593</v>
      </c>
      <c r="H2809" s="3">
        <v>-55474.0265747297</v>
      </c>
      <c r="I2809" s="3">
        <v>72262.93192457</v>
      </c>
      <c r="J2809" s="4">
        <v>45839.0</v>
      </c>
      <c r="K2809" s="3">
        <v>20.0</v>
      </c>
      <c r="L2809" s="3" t="s">
        <v>31</v>
      </c>
    </row>
    <row r="2810" ht="15.75" customHeight="1">
      <c r="A2810" s="3" t="s">
        <v>2894</v>
      </c>
      <c r="B2810" s="3" t="s">
        <v>29</v>
      </c>
      <c r="C2810" s="3" t="s">
        <v>54</v>
      </c>
      <c r="D2810" s="3">
        <v>80272.6363812791</v>
      </c>
      <c r="E2810" s="3">
        <v>27636.3462620482</v>
      </c>
      <c r="F2810" s="3">
        <v>22881.0264307939</v>
      </c>
      <c r="G2810" s="3">
        <v>16956.3362742803</v>
      </c>
      <c r="H2810" s="3">
        <v>-55523.5302924787</v>
      </c>
      <c r="I2810" s="3">
        <v>72266.3133989898</v>
      </c>
      <c r="J2810" s="4">
        <v>45658.0</v>
      </c>
      <c r="K2810" s="3">
        <v>15.0</v>
      </c>
      <c r="L2810" s="3" t="s">
        <v>34</v>
      </c>
    </row>
    <row r="2811" ht="15.75" customHeight="1">
      <c r="A2811" s="3" t="s">
        <v>2895</v>
      </c>
      <c r="B2811" s="3" t="s">
        <v>13</v>
      </c>
      <c r="C2811" s="3" t="s">
        <v>54</v>
      </c>
      <c r="D2811" s="3">
        <v>80283.5193511853</v>
      </c>
      <c r="E2811" s="3">
        <v>27640.9609803756</v>
      </c>
      <c r="F2811" s="3">
        <v>22888.7064342234</v>
      </c>
      <c r="G2811" s="3">
        <v>16959.7338249676</v>
      </c>
      <c r="H2811" s="3">
        <v>-55573.0340102277</v>
      </c>
      <c r="I2811" s="3">
        <v>72269.6948734097</v>
      </c>
      <c r="J2811" s="4">
        <v>45809.0</v>
      </c>
      <c r="K2811" s="3">
        <v>1.0</v>
      </c>
      <c r="L2811" s="3" t="s">
        <v>38</v>
      </c>
    </row>
    <row r="2812" ht="15.75" customHeight="1">
      <c r="A2812" s="3" t="s">
        <v>2896</v>
      </c>
      <c r="B2812" s="3" t="s">
        <v>17</v>
      </c>
      <c r="C2812" s="3" t="s">
        <v>54</v>
      </c>
      <c r="D2812" s="3">
        <v>80294.4023210915</v>
      </c>
      <c r="E2812" s="3">
        <v>27645.5756987031</v>
      </c>
      <c r="F2812" s="3">
        <v>22896.3864376529</v>
      </c>
      <c r="G2812" s="3">
        <v>16963.1313756548</v>
      </c>
      <c r="H2812" s="3">
        <v>-55622.5377279767</v>
      </c>
      <c r="I2812" s="3">
        <v>72273.0763478295</v>
      </c>
      <c r="J2812" s="4">
        <v>45689.0</v>
      </c>
      <c r="K2812" s="3">
        <v>5.0</v>
      </c>
      <c r="L2812" s="3" t="s">
        <v>40</v>
      </c>
    </row>
    <row r="2813" ht="15.75" customHeight="1">
      <c r="A2813" s="3" t="s">
        <v>2897</v>
      </c>
      <c r="B2813" s="3" t="s">
        <v>29</v>
      </c>
      <c r="C2813" s="3" t="s">
        <v>33</v>
      </c>
      <c r="D2813" s="3">
        <v>80305.2852909977</v>
      </c>
      <c r="E2813" s="3">
        <v>27650.1904170305</v>
      </c>
      <c r="F2813" s="3">
        <v>22904.0664410824</v>
      </c>
      <c r="G2813" s="3">
        <v>16966.5289263421</v>
      </c>
      <c r="H2813" s="3">
        <v>-55672.0414457257</v>
      </c>
      <c r="I2813" s="3">
        <v>72276.4578222493</v>
      </c>
      <c r="J2813" s="4">
        <v>45658.0</v>
      </c>
      <c r="K2813" s="3">
        <v>6.0</v>
      </c>
      <c r="L2813" s="3" t="s">
        <v>42</v>
      </c>
    </row>
    <row r="2814" ht="15.75" customHeight="1">
      <c r="A2814" s="3" t="s">
        <v>2898</v>
      </c>
      <c r="B2814" s="3" t="s">
        <v>53</v>
      </c>
      <c r="C2814" s="3" t="s">
        <v>33</v>
      </c>
      <c r="D2814" s="3">
        <v>80316.1682609038</v>
      </c>
      <c r="E2814" s="3">
        <v>27654.8051353579</v>
      </c>
      <c r="F2814" s="3">
        <v>22911.7464445119</v>
      </c>
      <c r="G2814" s="3">
        <v>16969.9264770294</v>
      </c>
      <c r="H2814" s="3">
        <v>-55721.5451634747</v>
      </c>
      <c r="I2814" s="3">
        <v>72279.8392966691</v>
      </c>
      <c r="J2814" s="4">
        <v>45839.0</v>
      </c>
      <c r="K2814" s="3">
        <v>1.0</v>
      </c>
      <c r="L2814" s="3" t="s">
        <v>15</v>
      </c>
    </row>
    <row r="2815" ht="15.75" customHeight="1">
      <c r="A2815" s="3" t="s">
        <v>2899</v>
      </c>
      <c r="B2815" s="3" t="s">
        <v>17</v>
      </c>
      <c r="C2815" s="3" t="s">
        <v>37</v>
      </c>
      <c r="D2815" s="3">
        <v>80327.05123081</v>
      </c>
      <c r="E2815" s="3">
        <v>27659.4198536853</v>
      </c>
      <c r="F2815" s="3">
        <v>22919.4264479414</v>
      </c>
      <c r="G2815" s="3">
        <v>16973.3240277167</v>
      </c>
      <c r="H2815" s="3">
        <v>-55771.0488812237</v>
      </c>
      <c r="I2815" s="3">
        <v>72283.2207710889</v>
      </c>
      <c r="J2815" s="4">
        <v>45717.0</v>
      </c>
      <c r="K2815" s="3">
        <v>11.0</v>
      </c>
      <c r="L2815" s="3" t="s">
        <v>19</v>
      </c>
    </row>
    <row r="2816" ht="15.75" customHeight="1">
      <c r="A2816" s="3" t="s">
        <v>2900</v>
      </c>
      <c r="B2816" s="3" t="s">
        <v>25</v>
      </c>
      <c r="C2816" s="3" t="s">
        <v>30</v>
      </c>
      <c r="D2816" s="3">
        <v>80337.9342007162</v>
      </c>
      <c r="E2816" s="3">
        <v>27664.0345720127</v>
      </c>
      <c r="F2816" s="3">
        <v>22927.1064513709</v>
      </c>
      <c r="G2816" s="3">
        <v>16976.721578404</v>
      </c>
      <c r="H2816" s="3">
        <v>-55820.5525989727</v>
      </c>
      <c r="I2816" s="3">
        <v>72286.6022455087</v>
      </c>
      <c r="J2816" s="4">
        <v>45717.0</v>
      </c>
      <c r="K2816" s="3">
        <v>5.0</v>
      </c>
      <c r="L2816" s="3" t="s">
        <v>21</v>
      </c>
    </row>
    <row r="2817" ht="15.75" customHeight="1">
      <c r="A2817" s="3" t="s">
        <v>2901</v>
      </c>
      <c r="B2817" s="3" t="s">
        <v>36</v>
      </c>
      <c r="C2817" s="3" t="s">
        <v>30</v>
      </c>
      <c r="D2817" s="3">
        <v>80348.8171706224</v>
      </c>
      <c r="E2817" s="3">
        <v>27668.6492903402</v>
      </c>
      <c r="F2817" s="3">
        <v>22934.7864548004</v>
      </c>
      <c r="G2817" s="3">
        <v>16980.1191290913</v>
      </c>
      <c r="H2817" s="3">
        <v>-55870.0563167228</v>
      </c>
      <c r="I2817" s="3">
        <v>72289.9837199286</v>
      </c>
      <c r="J2817" s="4">
        <v>45962.0</v>
      </c>
      <c r="K2817" s="3">
        <v>15.0</v>
      </c>
      <c r="L2817" s="3" t="s">
        <v>23</v>
      </c>
    </row>
    <row r="2818" ht="15.75" customHeight="1">
      <c r="A2818" s="3" t="s">
        <v>2902</v>
      </c>
      <c r="B2818" s="3" t="s">
        <v>29</v>
      </c>
      <c r="C2818" s="3" t="s">
        <v>26</v>
      </c>
      <c r="D2818" s="3">
        <v>80359.7001405286</v>
      </c>
      <c r="E2818" s="3">
        <v>27673.2640086676</v>
      </c>
      <c r="F2818" s="3">
        <v>22942.4664582299</v>
      </c>
      <c r="G2818" s="3">
        <v>16983.5166797786</v>
      </c>
      <c r="H2818" s="3">
        <v>-55919.5600344717</v>
      </c>
      <c r="I2818" s="3">
        <v>72293.3651943484</v>
      </c>
      <c r="J2818" s="4">
        <v>45748.0</v>
      </c>
      <c r="K2818" s="3">
        <v>10.0</v>
      </c>
      <c r="L2818" s="3" t="s">
        <v>27</v>
      </c>
    </row>
    <row r="2819" ht="15.75" customHeight="1">
      <c r="A2819" s="3" t="s">
        <v>2903</v>
      </c>
      <c r="B2819" s="3" t="s">
        <v>53</v>
      </c>
      <c r="C2819" s="3" t="s">
        <v>14</v>
      </c>
      <c r="D2819" s="3">
        <v>80370.5831104348</v>
      </c>
      <c r="E2819" s="3">
        <v>27677.878726995</v>
      </c>
      <c r="F2819" s="3">
        <v>22950.1464616593</v>
      </c>
      <c r="G2819" s="3">
        <v>16986.9142304659</v>
      </c>
      <c r="H2819" s="3">
        <v>-55969.0637522207</v>
      </c>
      <c r="I2819" s="3">
        <v>72296.7466687682</v>
      </c>
      <c r="J2819" s="4">
        <v>45931.0</v>
      </c>
      <c r="K2819" s="3">
        <v>4.0</v>
      </c>
      <c r="L2819" s="3" t="s">
        <v>31</v>
      </c>
    </row>
    <row r="2820" ht="15.75" customHeight="1">
      <c r="A2820" s="3" t="s">
        <v>2904</v>
      </c>
      <c r="B2820" s="3" t="s">
        <v>13</v>
      </c>
      <c r="C2820" s="3" t="s">
        <v>26</v>
      </c>
      <c r="D2820" s="3">
        <v>80381.466080341</v>
      </c>
      <c r="E2820" s="3">
        <v>27682.4934453224</v>
      </c>
      <c r="F2820" s="3">
        <v>22957.8264650888</v>
      </c>
      <c r="G2820" s="3">
        <v>16990.3117811531</v>
      </c>
      <c r="H2820" s="3">
        <v>-56018.5674699697</v>
      </c>
      <c r="I2820" s="3">
        <v>72300.128143188</v>
      </c>
      <c r="J2820" s="4">
        <v>45658.0</v>
      </c>
      <c r="K2820" s="3">
        <v>14.0</v>
      </c>
      <c r="L2820" s="3" t="s">
        <v>34</v>
      </c>
    </row>
    <row r="2821" ht="15.75" customHeight="1">
      <c r="A2821" s="3" t="s">
        <v>2905</v>
      </c>
      <c r="B2821" s="3" t="s">
        <v>17</v>
      </c>
      <c r="C2821" s="3" t="s">
        <v>33</v>
      </c>
      <c r="D2821" s="3">
        <v>80392.3490502472</v>
      </c>
      <c r="E2821" s="3">
        <v>27687.1081636499</v>
      </c>
      <c r="F2821" s="3">
        <v>22965.5064685183</v>
      </c>
      <c r="G2821" s="3">
        <v>16993.7093318404</v>
      </c>
      <c r="H2821" s="3">
        <v>-56068.0711877187</v>
      </c>
      <c r="I2821" s="3">
        <v>72303.5096176078</v>
      </c>
      <c r="J2821" s="4">
        <v>45901.0</v>
      </c>
      <c r="K2821" s="3">
        <v>1.0</v>
      </c>
      <c r="L2821" s="3" t="s">
        <v>38</v>
      </c>
    </row>
    <row r="2822" ht="15.75" customHeight="1">
      <c r="A2822" s="3" t="s">
        <v>2906</v>
      </c>
      <c r="B2822" s="3" t="s">
        <v>17</v>
      </c>
      <c r="C2822" s="3" t="s">
        <v>30</v>
      </c>
      <c r="D2822" s="3">
        <v>80403.2320201534</v>
      </c>
      <c r="E2822" s="3">
        <v>27691.7228819773</v>
      </c>
      <c r="F2822" s="3">
        <v>22973.1864719478</v>
      </c>
      <c r="G2822" s="3">
        <v>16997.1068825277</v>
      </c>
      <c r="H2822" s="3">
        <v>-56117.5749054677</v>
      </c>
      <c r="I2822" s="3">
        <v>72306.8910920276</v>
      </c>
      <c r="J2822" s="4">
        <v>45992.0</v>
      </c>
      <c r="K2822" s="3">
        <v>7.0</v>
      </c>
      <c r="L2822" s="3" t="s">
        <v>40</v>
      </c>
    </row>
    <row r="2823" ht="15.75" customHeight="1">
      <c r="A2823" s="3" t="s">
        <v>2907</v>
      </c>
      <c r="B2823" s="3" t="s">
        <v>13</v>
      </c>
      <c r="C2823" s="3" t="s">
        <v>37</v>
      </c>
      <c r="D2823" s="3">
        <v>80414.1149900596</v>
      </c>
      <c r="E2823" s="3">
        <v>27696.3376003047</v>
      </c>
      <c r="F2823" s="3">
        <v>22980.8664753773</v>
      </c>
      <c r="G2823" s="3">
        <v>17000.504433215</v>
      </c>
      <c r="H2823" s="3">
        <v>-56167.0786232167</v>
      </c>
      <c r="I2823" s="3">
        <v>72310.2725664474</v>
      </c>
      <c r="J2823" s="4">
        <v>45658.0</v>
      </c>
      <c r="K2823" s="3">
        <v>14.0</v>
      </c>
      <c r="L2823" s="3" t="s">
        <v>42</v>
      </c>
    </row>
    <row r="2824" ht="15.75" customHeight="1">
      <c r="A2824" s="3" t="s">
        <v>2908</v>
      </c>
      <c r="B2824" s="3" t="s">
        <v>53</v>
      </c>
      <c r="C2824" s="3" t="s">
        <v>14</v>
      </c>
      <c r="D2824" s="3">
        <v>80424.9979599658</v>
      </c>
      <c r="E2824" s="3">
        <v>27700.9523186321</v>
      </c>
      <c r="F2824" s="3">
        <v>22988.5464788068</v>
      </c>
      <c r="G2824" s="3">
        <v>17003.9019839023</v>
      </c>
      <c r="H2824" s="3">
        <v>-56216.5823409657</v>
      </c>
      <c r="I2824" s="3">
        <v>72313.6540408673</v>
      </c>
      <c r="J2824" s="4">
        <v>45931.0</v>
      </c>
      <c r="K2824" s="3">
        <v>15.0</v>
      </c>
      <c r="L2824" s="3" t="s">
        <v>15</v>
      </c>
    </row>
    <row r="2825" ht="15.75" customHeight="1">
      <c r="A2825" s="3" t="s">
        <v>2909</v>
      </c>
      <c r="B2825" s="3" t="s">
        <v>25</v>
      </c>
      <c r="C2825" s="3" t="s">
        <v>30</v>
      </c>
      <c r="D2825" s="3">
        <v>80435.880929872</v>
      </c>
      <c r="E2825" s="3">
        <v>27705.5670369595</v>
      </c>
      <c r="F2825" s="3">
        <v>22996.2264822363</v>
      </c>
      <c r="G2825" s="3">
        <v>17007.2995345896</v>
      </c>
      <c r="H2825" s="3">
        <v>-56266.0860587158</v>
      </c>
      <c r="I2825" s="3">
        <v>72317.0355152871</v>
      </c>
      <c r="J2825" s="4">
        <v>45931.0</v>
      </c>
      <c r="K2825" s="3">
        <v>2.0</v>
      </c>
      <c r="L2825" s="3" t="s">
        <v>19</v>
      </c>
    </row>
    <row r="2826" ht="15.75" customHeight="1">
      <c r="A2826" s="3" t="s">
        <v>2910</v>
      </c>
      <c r="B2826" s="3" t="s">
        <v>29</v>
      </c>
      <c r="C2826" s="3" t="s">
        <v>37</v>
      </c>
      <c r="D2826" s="3">
        <v>80446.7638997782</v>
      </c>
      <c r="E2826" s="3">
        <v>27710.181755287</v>
      </c>
      <c r="F2826" s="3">
        <v>23003.9064856658</v>
      </c>
      <c r="G2826" s="3">
        <v>17010.6970852769</v>
      </c>
      <c r="H2826" s="3">
        <v>-56315.5897764647</v>
      </c>
      <c r="I2826" s="3">
        <v>72320.4169897069</v>
      </c>
      <c r="J2826" s="4">
        <v>45962.0</v>
      </c>
      <c r="K2826" s="3">
        <v>12.0</v>
      </c>
      <c r="L2826" s="3" t="s">
        <v>21</v>
      </c>
    </row>
    <row r="2827" ht="15.75" customHeight="1">
      <c r="A2827" s="3" t="s">
        <v>2911</v>
      </c>
      <c r="B2827" s="3" t="s">
        <v>13</v>
      </c>
      <c r="C2827" s="3" t="s">
        <v>30</v>
      </c>
      <c r="D2827" s="3">
        <v>80457.6468696844</v>
      </c>
      <c r="E2827" s="3">
        <v>27714.7964736144</v>
      </c>
      <c r="F2827" s="3">
        <v>23011.5864890953</v>
      </c>
      <c r="G2827" s="3">
        <v>17014.0946359641</v>
      </c>
      <c r="H2827" s="3">
        <v>-56365.0934942137</v>
      </c>
      <c r="I2827" s="3">
        <v>72323.7984641267</v>
      </c>
      <c r="J2827" s="4">
        <v>45658.0</v>
      </c>
      <c r="K2827" s="3">
        <v>4.0</v>
      </c>
      <c r="L2827" s="3" t="s">
        <v>23</v>
      </c>
    </row>
    <row r="2828" ht="15.75" customHeight="1">
      <c r="A2828" s="3" t="s">
        <v>2912</v>
      </c>
      <c r="B2828" s="3" t="s">
        <v>51</v>
      </c>
      <c r="C2828" s="3" t="s">
        <v>26</v>
      </c>
      <c r="D2828" s="3">
        <v>80468.5298395906</v>
      </c>
      <c r="E2828" s="3">
        <v>27719.4111919418</v>
      </c>
      <c r="F2828" s="3">
        <v>23019.2664925248</v>
      </c>
      <c r="G2828" s="3">
        <v>17017.4921866514</v>
      </c>
      <c r="H2828" s="3">
        <v>-56414.5972119627</v>
      </c>
      <c r="I2828" s="3">
        <v>72327.1799385465</v>
      </c>
      <c r="J2828" s="4">
        <v>45658.0</v>
      </c>
      <c r="K2828" s="3">
        <v>22.0</v>
      </c>
      <c r="L2828" s="3" t="s">
        <v>27</v>
      </c>
    </row>
    <row r="2829" ht="15.75" customHeight="1">
      <c r="A2829" s="3" t="s">
        <v>2913</v>
      </c>
      <c r="B2829" s="3" t="s">
        <v>13</v>
      </c>
      <c r="C2829" s="3" t="s">
        <v>30</v>
      </c>
      <c r="D2829" s="3">
        <v>80479.4128094967</v>
      </c>
      <c r="E2829" s="3">
        <v>27724.0259102692</v>
      </c>
      <c r="F2829" s="3">
        <v>23026.9464959543</v>
      </c>
      <c r="G2829" s="3">
        <v>17020.8897373387</v>
      </c>
      <c r="H2829" s="3">
        <v>-56464.1009297117</v>
      </c>
      <c r="I2829" s="3">
        <v>72330.5614129663</v>
      </c>
      <c r="J2829" s="4">
        <v>45809.0</v>
      </c>
      <c r="K2829" s="3">
        <v>14.0</v>
      </c>
      <c r="L2829" s="3" t="s">
        <v>31</v>
      </c>
    </row>
    <row r="2830" ht="15.75" customHeight="1">
      <c r="A2830" s="3" t="s">
        <v>2914</v>
      </c>
      <c r="B2830" s="3" t="s">
        <v>51</v>
      </c>
      <c r="C2830" s="3" t="s">
        <v>26</v>
      </c>
      <c r="D2830" s="3">
        <v>80490.2957794029</v>
      </c>
      <c r="E2830" s="3">
        <v>27728.6406285967</v>
      </c>
      <c r="F2830" s="3">
        <v>23034.6264993838</v>
      </c>
      <c r="G2830" s="3">
        <v>17024.287288026</v>
      </c>
      <c r="H2830" s="3">
        <v>-56513.6046474607</v>
      </c>
      <c r="I2830" s="3">
        <v>72333.9428873861</v>
      </c>
      <c r="J2830" s="4">
        <v>45931.0</v>
      </c>
      <c r="K2830" s="3">
        <v>16.0</v>
      </c>
      <c r="L2830" s="3" t="s">
        <v>34</v>
      </c>
    </row>
    <row r="2831" ht="15.75" customHeight="1">
      <c r="A2831" s="3" t="s">
        <v>2915</v>
      </c>
      <c r="B2831" s="3" t="s">
        <v>53</v>
      </c>
      <c r="C2831" s="3" t="s">
        <v>26</v>
      </c>
      <c r="D2831" s="3">
        <v>80501.1787493091</v>
      </c>
      <c r="E2831" s="3">
        <v>27733.2553469241</v>
      </c>
      <c r="F2831" s="3">
        <v>23042.3065028133</v>
      </c>
      <c r="G2831" s="3">
        <v>17027.6848387133</v>
      </c>
      <c r="H2831" s="3">
        <v>-56563.1083652097</v>
      </c>
      <c r="I2831" s="3">
        <v>72337.3243618059</v>
      </c>
      <c r="J2831" s="4">
        <v>45901.0</v>
      </c>
      <c r="K2831" s="3">
        <v>9.0</v>
      </c>
      <c r="L2831" s="3" t="s">
        <v>38</v>
      </c>
    </row>
    <row r="2832" ht="15.75" customHeight="1">
      <c r="A2832" s="3" t="s">
        <v>2916</v>
      </c>
      <c r="B2832" s="3" t="s">
        <v>51</v>
      </c>
      <c r="C2832" s="3" t="s">
        <v>37</v>
      </c>
      <c r="D2832" s="3">
        <v>80512.0617192153</v>
      </c>
      <c r="E2832" s="3">
        <v>27737.8700652515</v>
      </c>
      <c r="F2832" s="3">
        <v>23049.9865062428</v>
      </c>
      <c r="G2832" s="3">
        <v>17031.0823894006</v>
      </c>
      <c r="H2832" s="3">
        <v>-56612.6120829587</v>
      </c>
      <c r="I2832" s="3">
        <v>72340.7058362258</v>
      </c>
      <c r="J2832" s="4">
        <v>45778.0</v>
      </c>
      <c r="K2832" s="3">
        <v>15.0</v>
      </c>
      <c r="L2832" s="3" t="s">
        <v>40</v>
      </c>
    </row>
    <row r="2833" ht="15.75" customHeight="1">
      <c r="A2833" s="3" t="s">
        <v>2917</v>
      </c>
      <c r="B2833" s="3" t="s">
        <v>29</v>
      </c>
      <c r="C2833" s="3" t="s">
        <v>37</v>
      </c>
      <c r="D2833" s="3">
        <v>80522.9446891215</v>
      </c>
      <c r="E2833" s="3">
        <v>27742.4847835789</v>
      </c>
      <c r="F2833" s="3">
        <v>23057.6665096723</v>
      </c>
      <c r="G2833" s="3">
        <v>17034.4799400879</v>
      </c>
      <c r="H2833" s="3">
        <v>-56662.1158007088</v>
      </c>
      <c r="I2833" s="3">
        <v>72344.0873106456</v>
      </c>
      <c r="J2833" s="4">
        <v>45931.0</v>
      </c>
      <c r="K2833" s="3">
        <v>14.0</v>
      </c>
      <c r="L2833" s="3" t="s">
        <v>42</v>
      </c>
    </row>
    <row r="2834" ht="15.75" customHeight="1">
      <c r="A2834" s="3" t="s">
        <v>2918</v>
      </c>
      <c r="B2834" s="3" t="s">
        <v>17</v>
      </c>
      <c r="C2834" s="3" t="s">
        <v>33</v>
      </c>
      <c r="D2834" s="3">
        <v>80533.8276590277</v>
      </c>
      <c r="E2834" s="3">
        <v>27747.0995019063</v>
      </c>
      <c r="F2834" s="3">
        <v>23065.3465131018</v>
      </c>
      <c r="G2834" s="3">
        <v>17037.8774907752</v>
      </c>
      <c r="H2834" s="3">
        <v>-56711.6195184578</v>
      </c>
      <c r="I2834" s="3">
        <v>72347.4687850654</v>
      </c>
      <c r="J2834" s="4">
        <v>45870.0</v>
      </c>
      <c r="K2834" s="3">
        <v>17.0</v>
      </c>
      <c r="L2834" s="3" t="s">
        <v>15</v>
      </c>
    </row>
    <row r="2835" ht="15.75" customHeight="1">
      <c r="A2835" s="3" t="s">
        <v>2919</v>
      </c>
      <c r="B2835" s="3" t="s">
        <v>29</v>
      </c>
      <c r="C2835" s="3" t="s">
        <v>33</v>
      </c>
      <c r="D2835" s="3">
        <v>80544.7106289339</v>
      </c>
      <c r="E2835" s="3">
        <v>27751.7142202338</v>
      </c>
      <c r="F2835" s="3">
        <v>23073.0265165313</v>
      </c>
      <c r="G2835" s="3">
        <v>17041.2750414624</v>
      </c>
      <c r="H2835" s="3">
        <v>-56761.1232362067</v>
      </c>
      <c r="I2835" s="3">
        <v>72350.8502594852</v>
      </c>
      <c r="J2835" s="4">
        <v>45748.0</v>
      </c>
      <c r="K2835" s="3">
        <v>4.0</v>
      </c>
      <c r="L2835" s="3" t="s">
        <v>19</v>
      </c>
    </row>
    <row r="2836" ht="15.75" customHeight="1">
      <c r="A2836" s="3" t="s">
        <v>2920</v>
      </c>
      <c r="B2836" s="3" t="s">
        <v>25</v>
      </c>
      <c r="C2836" s="3" t="s">
        <v>54</v>
      </c>
      <c r="D2836" s="3">
        <v>80555.5935988401</v>
      </c>
      <c r="E2836" s="3">
        <v>27756.3289385612</v>
      </c>
      <c r="F2836" s="3">
        <v>23080.7065199608</v>
      </c>
      <c r="G2836" s="3">
        <v>17044.6725921497</v>
      </c>
      <c r="H2836" s="3">
        <v>-56810.6269539557</v>
      </c>
      <c r="I2836" s="3">
        <v>72354.231733905</v>
      </c>
      <c r="J2836" s="4">
        <v>45962.0</v>
      </c>
      <c r="K2836" s="3">
        <v>20.0</v>
      </c>
      <c r="L2836" s="3" t="s">
        <v>21</v>
      </c>
    </row>
    <row r="2837" ht="15.75" customHeight="1">
      <c r="A2837" s="3" t="s">
        <v>2921</v>
      </c>
      <c r="B2837" s="3" t="s">
        <v>25</v>
      </c>
      <c r="C2837" s="3" t="s">
        <v>37</v>
      </c>
      <c r="D2837" s="3">
        <v>80566.4765687463</v>
      </c>
      <c r="E2837" s="3">
        <v>27760.9436568886</v>
      </c>
      <c r="F2837" s="3">
        <v>23088.3865233903</v>
      </c>
      <c r="G2837" s="3">
        <v>17048.070142837</v>
      </c>
      <c r="H2837" s="3">
        <v>-56860.1306717047</v>
      </c>
      <c r="I2837" s="3">
        <v>72357.6132083249</v>
      </c>
      <c r="J2837" s="4">
        <v>45962.0</v>
      </c>
      <c r="K2837" s="3">
        <v>23.0</v>
      </c>
      <c r="L2837" s="3" t="s">
        <v>23</v>
      </c>
    </row>
    <row r="2838" ht="15.75" customHeight="1">
      <c r="A2838" s="3" t="s">
        <v>2922</v>
      </c>
      <c r="B2838" s="3" t="s">
        <v>51</v>
      </c>
      <c r="C2838" s="3" t="s">
        <v>33</v>
      </c>
      <c r="D2838" s="3">
        <v>80577.3595386525</v>
      </c>
      <c r="E2838" s="3">
        <v>27765.558375216</v>
      </c>
      <c r="F2838" s="3">
        <v>23096.0665268198</v>
      </c>
      <c r="G2838" s="3">
        <v>17051.4676935243</v>
      </c>
      <c r="H2838" s="3">
        <v>-56909.6343894537</v>
      </c>
      <c r="I2838" s="3">
        <v>72360.9946827447</v>
      </c>
      <c r="J2838" s="4">
        <v>45748.0</v>
      </c>
      <c r="K2838" s="3">
        <v>17.0</v>
      </c>
      <c r="L2838" s="3" t="s">
        <v>27</v>
      </c>
    </row>
    <row r="2839" ht="15.75" customHeight="1">
      <c r="A2839" s="3" t="s">
        <v>2923</v>
      </c>
      <c r="B2839" s="3" t="s">
        <v>25</v>
      </c>
      <c r="C2839" s="3" t="s">
        <v>37</v>
      </c>
      <c r="D2839" s="3">
        <v>80588.2425085587</v>
      </c>
      <c r="E2839" s="3">
        <v>27770.1730935435</v>
      </c>
      <c r="F2839" s="3">
        <v>23103.7465302493</v>
      </c>
      <c r="G2839" s="3">
        <v>17054.8652442116</v>
      </c>
      <c r="H2839" s="3">
        <v>-56959.1381072027</v>
      </c>
      <c r="I2839" s="3">
        <v>72364.3761571645</v>
      </c>
      <c r="J2839" s="4">
        <v>45778.0</v>
      </c>
      <c r="K2839" s="3">
        <v>3.0</v>
      </c>
      <c r="L2839" s="3" t="s">
        <v>31</v>
      </c>
    </row>
    <row r="2840" ht="15.75" customHeight="1">
      <c r="A2840" s="3" t="s">
        <v>2924</v>
      </c>
      <c r="B2840" s="5"/>
      <c r="C2840" s="3" t="s">
        <v>26</v>
      </c>
      <c r="D2840" s="3">
        <v>80599.1254784649</v>
      </c>
      <c r="E2840" s="3">
        <v>27774.7878118709</v>
      </c>
      <c r="F2840" s="3">
        <v>23111.4265336788</v>
      </c>
      <c r="G2840" s="3">
        <v>17058.2627948989</v>
      </c>
      <c r="H2840" s="3">
        <v>-57008.6418249517</v>
      </c>
      <c r="I2840" s="3">
        <v>72367.7576315843</v>
      </c>
      <c r="J2840" s="4">
        <v>45992.0</v>
      </c>
      <c r="K2840" s="3">
        <v>1.0</v>
      </c>
      <c r="L2840" s="3" t="s">
        <v>34</v>
      </c>
    </row>
    <row r="2841" ht="15.75" customHeight="1">
      <c r="A2841" s="3" t="s">
        <v>2925</v>
      </c>
      <c r="B2841" s="3" t="s">
        <v>36</v>
      </c>
      <c r="C2841" s="3" t="s">
        <v>14</v>
      </c>
      <c r="D2841" s="3">
        <v>80610.0084483711</v>
      </c>
      <c r="E2841" s="3">
        <v>27779.4025301983</v>
      </c>
      <c r="F2841" s="3">
        <v>23119.1065371083</v>
      </c>
      <c r="G2841" s="3">
        <v>17061.6603455862</v>
      </c>
      <c r="H2841" s="3">
        <v>-57058.1455427017</v>
      </c>
      <c r="I2841" s="3">
        <v>72371.1391060041</v>
      </c>
      <c r="J2841" s="4">
        <v>45717.0</v>
      </c>
      <c r="K2841" s="3">
        <v>15.0</v>
      </c>
      <c r="L2841" s="3" t="s">
        <v>38</v>
      </c>
    </row>
    <row r="2842" ht="15.75" customHeight="1">
      <c r="A2842" s="3" t="s">
        <v>2926</v>
      </c>
      <c r="B2842" s="3" t="s">
        <v>17</v>
      </c>
      <c r="C2842" s="3" t="s">
        <v>18</v>
      </c>
      <c r="D2842" s="3">
        <v>80620.8914182773</v>
      </c>
      <c r="E2842" s="3">
        <v>27784.0172485257</v>
      </c>
      <c r="F2842" s="3">
        <v>23126.7865405378</v>
      </c>
      <c r="G2842" s="3">
        <v>17065.0578962735</v>
      </c>
      <c r="H2842" s="3">
        <v>-57107.6492604508</v>
      </c>
      <c r="I2842" s="3">
        <v>72374.5205804239</v>
      </c>
      <c r="J2842" s="4">
        <v>45962.0</v>
      </c>
      <c r="K2842" s="3">
        <v>24.0</v>
      </c>
      <c r="L2842" s="3" t="s">
        <v>40</v>
      </c>
    </row>
    <row r="2843" ht="15.75" customHeight="1">
      <c r="A2843" s="3" t="s">
        <v>2927</v>
      </c>
      <c r="B2843" s="3" t="s">
        <v>29</v>
      </c>
      <c r="C2843" s="3" t="s">
        <v>26</v>
      </c>
      <c r="D2843" s="3">
        <v>80631.7743881835</v>
      </c>
      <c r="E2843" s="3">
        <v>27788.6319668531</v>
      </c>
      <c r="F2843" s="3">
        <v>23134.4665439673</v>
      </c>
      <c r="G2843" s="3">
        <v>17068.4554469607</v>
      </c>
      <c r="H2843" s="3">
        <v>-57157.1529781997</v>
      </c>
      <c r="I2843" s="3">
        <v>72377.9020548437</v>
      </c>
      <c r="J2843" s="4">
        <v>45839.0</v>
      </c>
      <c r="K2843" s="3">
        <v>12.0</v>
      </c>
      <c r="L2843" s="3" t="s">
        <v>42</v>
      </c>
    </row>
    <row r="2844" ht="15.75" customHeight="1">
      <c r="A2844" s="3" t="s">
        <v>2928</v>
      </c>
      <c r="B2844" s="3" t="s">
        <v>13</v>
      </c>
      <c r="C2844" s="3" t="s">
        <v>30</v>
      </c>
      <c r="D2844" s="3">
        <v>80642.6573580896</v>
      </c>
      <c r="E2844" s="3">
        <v>27793.2466851806</v>
      </c>
      <c r="F2844" s="3">
        <v>23142.1465473968</v>
      </c>
      <c r="G2844" s="3">
        <v>17071.852997648</v>
      </c>
      <c r="H2844" s="3">
        <v>-57206.6566959487</v>
      </c>
      <c r="I2844" s="3">
        <v>72381.2835292635</v>
      </c>
      <c r="J2844" s="4">
        <v>45689.0</v>
      </c>
      <c r="K2844" s="3">
        <v>21.0</v>
      </c>
      <c r="L2844" s="3" t="s">
        <v>15</v>
      </c>
    </row>
    <row r="2845" ht="15.75" customHeight="1">
      <c r="A2845" s="3" t="s">
        <v>2929</v>
      </c>
      <c r="B2845" s="3" t="s">
        <v>51</v>
      </c>
      <c r="C2845" s="3" t="s">
        <v>18</v>
      </c>
      <c r="D2845" s="3">
        <v>80653.5403279958</v>
      </c>
      <c r="E2845" s="3">
        <v>27797.861403508</v>
      </c>
      <c r="F2845" s="3">
        <v>23149.8265508263</v>
      </c>
      <c r="G2845" s="3">
        <v>17075.2505483353</v>
      </c>
      <c r="H2845" s="3">
        <v>-57256.1604136977</v>
      </c>
      <c r="I2845" s="3">
        <v>72384.6650036834</v>
      </c>
      <c r="J2845" s="4">
        <v>45717.0</v>
      </c>
      <c r="K2845" s="3">
        <v>18.0</v>
      </c>
      <c r="L2845" s="3" t="s">
        <v>19</v>
      </c>
    </row>
    <row r="2846" ht="15.75" customHeight="1">
      <c r="A2846" s="3" t="s">
        <v>2930</v>
      </c>
      <c r="B2846" s="3" t="s">
        <v>13</v>
      </c>
      <c r="C2846" s="3" t="s">
        <v>14</v>
      </c>
      <c r="D2846" s="3">
        <v>80664.423297902</v>
      </c>
      <c r="E2846" s="3">
        <v>27802.4761218354</v>
      </c>
      <c r="F2846" s="3">
        <v>23157.5065542558</v>
      </c>
      <c r="G2846" s="3">
        <v>17078.6480990226</v>
      </c>
      <c r="H2846" s="3">
        <v>-57305.6641314467</v>
      </c>
      <c r="I2846" s="3">
        <v>72388.0464781032</v>
      </c>
      <c r="J2846" s="4">
        <v>45748.0</v>
      </c>
      <c r="K2846" s="3">
        <v>16.0</v>
      </c>
      <c r="L2846" s="3" t="s">
        <v>21</v>
      </c>
    </row>
    <row r="2847" ht="15.75" customHeight="1">
      <c r="A2847" s="3" t="s">
        <v>2931</v>
      </c>
      <c r="B2847" s="3" t="s">
        <v>51</v>
      </c>
      <c r="C2847" s="3" t="s">
        <v>26</v>
      </c>
      <c r="D2847" s="3">
        <v>80675.3062678082</v>
      </c>
      <c r="E2847" s="3">
        <v>27807.0908401628</v>
      </c>
      <c r="F2847" s="3">
        <v>23165.1865576853</v>
      </c>
      <c r="G2847" s="3">
        <v>17082.0456497099</v>
      </c>
      <c r="H2847" s="3">
        <v>-57355.1678491957</v>
      </c>
      <c r="I2847" s="3">
        <v>72391.427952523</v>
      </c>
      <c r="J2847" s="4">
        <v>45962.0</v>
      </c>
      <c r="K2847" s="3">
        <v>9.0</v>
      </c>
      <c r="L2847" s="3" t="s">
        <v>23</v>
      </c>
    </row>
    <row r="2848" ht="15.75" customHeight="1">
      <c r="A2848" s="3" t="s">
        <v>2932</v>
      </c>
      <c r="B2848" s="3" t="s">
        <v>36</v>
      </c>
      <c r="C2848" s="3" t="s">
        <v>54</v>
      </c>
      <c r="D2848" s="3">
        <v>80686.1892377144</v>
      </c>
      <c r="E2848" s="3">
        <v>27811.7055584903</v>
      </c>
      <c r="F2848" s="3">
        <v>23172.8665611148</v>
      </c>
      <c r="G2848" s="3">
        <v>17085.4432003972</v>
      </c>
      <c r="H2848" s="3">
        <v>-57404.6715669457</v>
      </c>
      <c r="I2848" s="3">
        <v>72394.8094269428</v>
      </c>
      <c r="J2848" s="4">
        <v>45809.0</v>
      </c>
      <c r="K2848" s="3">
        <v>12.0</v>
      </c>
      <c r="L2848" s="3" t="s">
        <v>27</v>
      </c>
    </row>
    <row r="2849" ht="15.75" customHeight="1">
      <c r="A2849" s="3" t="s">
        <v>2933</v>
      </c>
      <c r="B2849" s="3" t="s">
        <v>36</v>
      </c>
      <c r="C2849" s="3" t="s">
        <v>30</v>
      </c>
      <c r="D2849" s="3">
        <v>80697.0722076206</v>
      </c>
      <c r="E2849" s="3">
        <v>27816.3202768177</v>
      </c>
      <c r="F2849" s="3">
        <v>23180.5465645443</v>
      </c>
      <c r="G2849" s="3">
        <v>17088.8407510845</v>
      </c>
      <c r="H2849" s="3">
        <v>-57454.1752846947</v>
      </c>
      <c r="I2849" s="3">
        <v>72398.1909013626</v>
      </c>
      <c r="J2849" s="4">
        <v>45658.0</v>
      </c>
      <c r="K2849" s="3">
        <v>4.0</v>
      </c>
      <c r="L2849" s="3" t="s">
        <v>31</v>
      </c>
    </row>
    <row r="2850" ht="15.75" customHeight="1">
      <c r="A2850" s="3" t="s">
        <v>2934</v>
      </c>
      <c r="B2850" s="3" t="s">
        <v>29</v>
      </c>
      <c r="C2850" s="3" t="s">
        <v>33</v>
      </c>
      <c r="D2850" s="3">
        <v>80707.9551775268</v>
      </c>
      <c r="E2850" s="3">
        <v>27820.9349951451</v>
      </c>
      <c r="F2850" s="3">
        <v>23188.2265679738</v>
      </c>
      <c r="G2850" s="3">
        <v>17092.2383017717</v>
      </c>
      <c r="H2850" s="3">
        <v>-57503.6790024438</v>
      </c>
      <c r="I2850" s="3">
        <v>72401.5723757824</v>
      </c>
      <c r="J2850" s="4">
        <v>45839.0</v>
      </c>
      <c r="K2850" s="3">
        <v>13.0</v>
      </c>
      <c r="L2850" s="3" t="s">
        <v>34</v>
      </c>
    </row>
    <row r="2851" ht="15.75" customHeight="1">
      <c r="A2851" s="3" t="s">
        <v>2935</v>
      </c>
      <c r="B2851" s="3" t="s">
        <v>13</v>
      </c>
      <c r="C2851" s="3" t="s">
        <v>54</v>
      </c>
      <c r="D2851" s="3">
        <v>80729.7211173392</v>
      </c>
      <c r="E2851" s="3">
        <v>27830.1644317999</v>
      </c>
      <c r="F2851" s="3">
        <v>23203.5865748328</v>
      </c>
      <c r="G2851" s="3">
        <v>17099.0334031463</v>
      </c>
      <c r="H2851" s="3">
        <v>-57602.6864379417</v>
      </c>
      <c r="I2851" s="3">
        <v>72408.3353246221</v>
      </c>
      <c r="J2851" s="4">
        <v>45748.0</v>
      </c>
      <c r="K2851" s="3">
        <v>14.0</v>
      </c>
      <c r="L2851" s="3" t="s">
        <v>40</v>
      </c>
    </row>
    <row r="2852" ht="15.75" customHeight="1">
      <c r="A2852" s="3" t="s">
        <v>2936</v>
      </c>
      <c r="B2852" s="3" t="s">
        <v>25</v>
      </c>
      <c r="C2852" s="3" t="s">
        <v>18</v>
      </c>
      <c r="D2852" s="3">
        <v>80740.6040872454</v>
      </c>
      <c r="E2852" s="3">
        <v>27834.7791501274</v>
      </c>
      <c r="F2852" s="3">
        <v>23211.2665782623</v>
      </c>
      <c r="G2852" s="3">
        <v>17102.4309538336</v>
      </c>
      <c r="H2852" s="3">
        <v>-57652.1901556907</v>
      </c>
      <c r="I2852" s="3">
        <v>72411.7167990419</v>
      </c>
      <c r="J2852" s="4">
        <v>45962.0</v>
      </c>
      <c r="K2852" s="3">
        <v>3.0</v>
      </c>
      <c r="L2852" s="3" t="s">
        <v>42</v>
      </c>
    </row>
    <row r="2853" ht="15.75" customHeight="1">
      <c r="A2853" s="3" t="s">
        <v>2937</v>
      </c>
      <c r="B2853" s="3" t="s">
        <v>25</v>
      </c>
      <c r="C2853" s="3" t="s">
        <v>14</v>
      </c>
      <c r="D2853" s="3">
        <v>80751.4870571516</v>
      </c>
      <c r="E2853" s="3">
        <v>27839.3938684548</v>
      </c>
      <c r="F2853" s="3">
        <v>23218.9465816918</v>
      </c>
      <c r="G2853" s="3">
        <v>17105.8285045209</v>
      </c>
      <c r="H2853" s="3">
        <v>-57701.6938734397</v>
      </c>
      <c r="I2853" s="3">
        <v>72415.0982734617</v>
      </c>
      <c r="J2853" s="4">
        <v>45689.0</v>
      </c>
      <c r="K2853" s="3">
        <v>22.0</v>
      </c>
      <c r="L2853" s="3" t="s">
        <v>15</v>
      </c>
    </row>
    <row r="2854" ht="15.75" customHeight="1">
      <c r="A2854" s="3" t="s">
        <v>2938</v>
      </c>
      <c r="B2854" s="3" t="s">
        <v>51</v>
      </c>
      <c r="C2854" s="3" t="s">
        <v>14</v>
      </c>
      <c r="D2854" s="3">
        <v>80762.3700270578</v>
      </c>
      <c r="E2854" s="3">
        <v>27844.0085867822</v>
      </c>
      <c r="F2854" s="3">
        <v>23226.6265851212</v>
      </c>
      <c r="G2854" s="3">
        <v>17109.2260552082</v>
      </c>
      <c r="H2854" s="3">
        <v>-57751.1975911887</v>
      </c>
      <c r="I2854" s="3">
        <v>72418.4797478815</v>
      </c>
      <c r="J2854" s="4">
        <v>45809.0</v>
      </c>
      <c r="K2854" s="3">
        <v>25.0</v>
      </c>
      <c r="L2854" s="3" t="s">
        <v>19</v>
      </c>
    </row>
    <row r="2855" ht="15.75" customHeight="1">
      <c r="A2855" s="3" t="s">
        <v>2939</v>
      </c>
      <c r="B2855" s="3" t="s">
        <v>17</v>
      </c>
      <c r="C2855" s="3" t="s">
        <v>37</v>
      </c>
      <c r="D2855" s="3">
        <v>80773.252996964</v>
      </c>
      <c r="E2855" s="3">
        <v>27848.6233051096</v>
      </c>
      <c r="F2855" s="3">
        <v>23234.3065885507</v>
      </c>
      <c r="G2855" s="3">
        <v>17112.6236058955</v>
      </c>
      <c r="H2855" s="3">
        <v>-57800.7013089387</v>
      </c>
      <c r="I2855" s="3">
        <v>72421.8612223013</v>
      </c>
      <c r="J2855" s="4">
        <v>45839.0</v>
      </c>
      <c r="K2855" s="3">
        <v>24.0</v>
      </c>
      <c r="L2855" s="3" t="s">
        <v>21</v>
      </c>
    </row>
    <row r="2856" ht="15.75" customHeight="1">
      <c r="A2856" s="3" t="s">
        <v>2940</v>
      </c>
      <c r="B2856" s="3" t="s">
        <v>51</v>
      </c>
      <c r="C2856" s="3" t="s">
        <v>14</v>
      </c>
      <c r="D2856" s="3">
        <v>80784.1359668702</v>
      </c>
      <c r="E2856" s="3">
        <v>27853.2380234371</v>
      </c>
      <c r="F2856" s="3">
        <v>23241.9865919802</v>
      </c>
      <c r="G2856" s="3">
        <v>17116.0211565828</v>
      </c>
      <c r="H2856" s="3">
        <v>-57850.2050266877</v>
      </c>
      <c r="I2856" s="3">
        <v>72425.2426967211</v>
      </c>
      <c r="J2856" s="4">
        <v>45717.0</v>
      </c>
      <c r="K2856" s="3">
        <v>23.0</v>
      </c>
      <c r="L2856" s="3" t="s">
        <v>23</v>
      </c>
    </row>
    <row r="2857" ht="15.75" customHeight="1">
      <c r="A2857" s="3" t="s">
        <v>2941</v>
      </c>
      <c r="B2857" s="3" t="s">
        <v>17</v>
      </c>
      <c r="C2857" s="3" t="s">
        <v>33</v>
      </c>
      <c r="D2857" s="3">
        <v>80795.0189367764</v>
      </c>
      <c r="E2857" s="3">
        <v>27857.8527417645</v>
      </c>
      <c r="F2857" s="3">
        <v>23249.6665954097</v>
      </c>
      <c r="G2857" s="3">
        <v>17119.41870727</v>
      </c>
      <c r="H2857" s="3">
        <v>-57899.7087444367</v>
      </c>
      <c r="I2857" s="3">
        <v>72428.6241711409</v>
      </c>
      <c r="J2857" s="4">
        <v>45717.0</v>
      </c>
      <c r="K2857" s="3">
        <v>10.0</v>
      </c>
      <c r="L2857" s="3" t="s">
        <v>27</v>
      </c>
    </row>
    <row r="2858" ht="15.75" customHeight="1">
      <c r="A2858" s="3" t="s">
        <v>2942</v>
      </c>
      <c r="B2858" s="3" t="s">
        <v>25</v>
      </c>
      <c r="C2858" s="3" t="s">
        <v>18</v>
      </c>
      <c r="D2858" s="3">
        <v>80805.9019066825</v>
      </c>
      <c r="E2858" s="3">
        <v>27862.4674600919</v>
      </c>
      <c r="F2858" s="3">
        <v>23257.3465988392</v>
      </c>
      <c r="G2858" s="3">
        <v>17122.8162579573</v>
      </c>
      <c r="H2858" s="3">
        <v>-57949.2124621858</v>
      </c>
      <c r="I2858" s="3">
        <v>72432.0056455608</v>
      </c>
      <c r="J2858" s="4">
        <v>45839.0</v>
      </c>
      <c r="K2858" s="3">
        <v>10.0</v>
      </c>
      <c r="L2858" s="3" t="s">
        <v>31</v>
      </c>
    </row>
    <row r="2859" ht="15.75" customHeight="1">
      <c r="A2859" s="3" t="s">
        <v>2943</v>
      </c>
      <c r="B2859" s="3" t="s">
        <v>29</v>
      </c>
      <c r="C2859" s="3" t="s">
        <v>54</v>
      </c>
      <c r="D2859" s="3">
        <v>80816.7848765887</v>
      </c>
      <c r="E2859" s="3">
        <v>27867.0821784193</v>
      </c>
      <c r="F2859" s="3">
        <v>23265.0266022687</v>
      </c>
      <c r="G2859" s="3">
        <v>17126.2138086446</v>
      </c>
      <c r="H2859" s="3">
        <v>-57998.7161799347</v>
      </c>
      <c r="I2859" s="3">
        <v>72435.3871199806</v>
      </c>
      <c r="J2859" s="4">
        <v>45748.0</v>
      </c>
      <c r="K2859" s="3">
        <v>14.0</v>
      </c>
      <c r="L2859" s="3" t="s">
        <v>34</v>
      </c>
    </row>
    <row r="2860" ht="15.75" customHeight="1">
      <c r="A2860" s="3" t="s">
        <v>2944</v>
      </c>
      <c r="B2860" s="3" t="s">
        <v>17</v>
      </c>
      <c r="C2860" s="3" t="s">
        <v>18</v>
      </c>
      <c r="D2860" s="3">
        <v>80827.6678464949</v>
      </c>
      <c r="E2860" s="3">
        <v>27871.6968967467</v>
      </c>
      <c r="F2860" s="3">
        <v>23272.7066056982</v>
      </c>
      <c r="G2860" s="3">
        <v>17129.6113593319</v>
      </c>
      <c r="H2860" s="3">
        <v>-58048.2198976837</v>
      </c>
      <c r="I2860" s="3">
        <v>72438.7685944004</v>
      </c>
      <c r="J2860" s="3" t="s">
        <v>2945</v>
      </c>
      <c r="K2860" s="3">
        <v>11.0</v>
      </c>
      <c r="L2860" s="3" t="s">
        <v>38</v>
      </c>
    </row>
    <row r="2861" ht="15.75" customHeight="1">
      <c r="A2861" s="3" t="s">
        <v>2946</v>
      </c>
      <c r="B2861" s="3" t="s">
        <v>53</v>
      </c>
      <c r="C2861" s="3" t="s">
        <v>30</v>
      </c>
      <c r="D2861" s="3">
        <v>80838.5508164011</v>
      </c>
      <c r="E2861" s="3">
        <v>27876.3116150742</v>
      </c>
      <c r="F2861" s="3">
        <v>23280.3866091277</v>
      </c>
      <c r="G2861" s="3">
        <v>17133.0089100192</v>
      </c>
      <c r="H2861" s="3">
        <v>-58097.7236154327</v>
      </c>
      <c r="I2861" s="3">
        <v>72442.1500688202</v>
      </c>
      <c r="J2861" s="4">
        <v>45809.0</v>
      </c>
      <c r="K2861" s="3">
        <v>15.0</v>
      </c>
      <c r="L2861" s="3" t="s">
        <v>40</v>
      </c>
    </row>
    <row r="2862" ht="15.75" customHeight="1">
      <c r="A2862" s="3" t="s">
        <v>2947</v>
      </c>
      <c r="B2862" s="3" t="s">
        <v>13</v>
      </c>
      <c r="C2862" s="3" t="s">
        <v>37</v>
      </c>
      <c r="D2862" s="3">
        <v>80849.4337863073</v>
      </c>
      <c r="E2862" s="3">
        <v>27880.9263334016</v>
      </c>
      <c r="F2862" s="3">
        <v>23288.0666125572</v>
      </c>
      <c r="G2862" s="3">
        <v>17136.4064607065</v>
      </c>
      <c r="H2862" s="3">
        <v>-58147.2273331817</v>
      </c>
      <c r="I2862" s="3">
        <v>72445.53154324</v>
      </c>
      <c r="J2862" s="4">
        <v>45931.0</v>
      </c>
      <c r="K2862" s="3">
        <v>25.0</v>
      </c>
      <c r="L2862" s="3" t="s">
        <v>42</v>
      </c>
    </row>
    <row r="2863" ht="15.75" customHeight="1">
      <c r="A2863" s="3" t="s">
        <v>2948</v>
      </c>
      <c r="B2863" s="3" t="s">
        <v>36</v>
      </c>
      <c r="C2863" s="3" t="s">
        <v>30</v>
      </c>
      <c r="D2863" s="3">
        <v>80860.3167562135</v>
      </c>
      <c r="E2863" s="3">
        <v>27885.541051729</v>
      </c>
      <c r="F2863" s="3">
        <v>23295.7466159867</v>
      </c>
      <c r="G2863" s="3">
        <v>17139.8040113938</v>
      </c>
      <c r="H2863" s="3">
        <v>-58196.7310509317</v>
      </c>
      <c r="I2863" s="3">
        <v>72448.9130176598</v>
      </c>
      <c r="J2863" s="4">
        <v>45870.0</v>
      </c>
      <c r="K2863" s="3">
        <v>13.0</v>
      </c>
      <c r="L2863" s="3" t="s">
        <v>15</v>
      </c>
    </row>
    <row r="2864" ht="15.75" customHeight="1">
      <c r="A2864" s="3" t="s">
        <v>2949</v>
      </c>
      <c r="B2864" s="3" t="s">
        <v>53</v>
      </c>
      <c r="C2864" s="3" t="s">
        <v>33</v>
      </c>
      <c r="D2864" s="3">
        <v>80871.1997261197</v>
      </c>
      <c r="E2864" s="3">
        <v>27890.1557700564</v>
      </c>
      <c r="F2864" s="3">
        <v>23303.4266194162</v>
      </c>
      <c r="G2864" s="3">
        <v>17143.2015620811</v>
      </c>
      <c r="H2864" s="3">
        <v>-58246.2347686807</v>
      </c>
      <c r="I2864" s="3">
        <v>72452.2944920796</v>
      </c>
      <c r="J2864" s="4">
        <v>45689.0</v>
      </c>
      <c r="K2864" s="3">
        <v>9.0</v>
      </c>
      <c r="L2864" s="3" t="s">
        <v>19</v>
      </c>
    </row>
    <row r="2865" ht="15.75" customHeight="1">
      <c r="A2865" s="3" t="s">
        <v>2950</v>
      </c>
      <c r="B2865" s="3" t="s">
        <v>51</v>
      </c>
      <c r="C2865" s="3" t="s">
        <v>14</v>
      </c>
      <c r="D2865" s="3">
        <v>80882.0826960259</v>
      </c>
      <c r="E2865" s="3">
        <v>27894.7704883839</v>
      </c>
      <c r="F2865" s="3">
        <v>23311.1066228457</v>
      </c>
      <c r="G2865" s="3">
        <v>17146.5991127683</v>
      </c>
      <c r="H2865" s="3">
        <v>-58295.7384864297</v>
      </c>
      <c r="I2865" s="3">
        <v>72455.6759664995</v>
      </c>
      <c r="J2865" s="4">
        <v>45992.0</v>
      </c>
      <c r="K2865" s="3">
        <v>23.0</v>
      </c>
      <c r="L2865" s="3" t="s">
        <v>21</v>
      </c>
    </row>
    <row r="2866" ht="15.75" customHeight="1">
      <c r="A2866" s="3" t="s">
        <v>2951</v>
      </c>
      <c r="B2866" s="5"/>
      <c r="C2866" s="3" t="s">
        <v>54</v>
      </c>
      <c r="D2866" s="3">
        <v>80892.9656659321</v>
      </c>
      <c r="E2866" s="3">
        <v>27899.3852067113</v>
      </c>
      <c r="F2866" s="3">
        <v>23318.7866262752</v>
      </c>
      <c r="G2866" s="3">
        <v>17149.9966634556</v>
      </c>
      <c r="H2866" s="3">
        <v>-58345.2422041788</v>
      </c>
      <c r="I2866" s="3">
        <v>72459.0574409193</v>
      </c>
      <c r="J2866" s="4">
        <v>45839.0</v>
      </c>
      <c r="K2866" s="3">
        <v>9.0</v>
      </c>
      <c r="L2866" s="3" t="s">
        <v>23</v>
      </c>
    </row>
    <row r="2867" ht="15.75" customHeight="1">
      <c r="A2867" s="3" t="s">
        <v>2952</v>
      </c>
      <c r="B2867" s="3" t="s">
        <v>51</v>
      </c>
      <c r="C2867" s="3" t="s">
        <v>33</v>
      </c>
      <c r="D2867" s="3">
        <v>80903.8486358383</v>
      </c>
      <c r="E2867" s="3">
        <v>27903.9999250387</v>
      </c>
      <c r="F2867" s="3">
        <v>23326.4666297047</v>
      </c>
      <c r="G2867" s="3">
        <v>17153.3942141429</v>
      </c>
      <c r="H2867" s="3">
        <v>-58394.7459219278</v>
      </c>
      <c r="I2867" s="3">
        <v>72462.4389153391</v>
      </c>
      <c r="J2867" s="4">
        <v>45809.0</v>
      </c>
      <c r="K2867" s="3">
        <v>23.0</v>
      </c>
      <c r="L2867" s="3" t="s">
        <v>27</v>
      </c>
    </row>
    <row r="2868" ht="15.75" customHeight="1">
      <c r="A2868" s="3" t="s">
        <v>2953</v>
      </c>
      <c r="B2868" s="3" t="s">
        <v>17</v>
      </c>
      <c r="C2868" s="3" t="s">
        <v>33</v>
      </c>
      <c r="D2868" s="3">
        <v>80914.7316057445</v>
      </c>
      <c r="E2868" s="3">
        <v>27908.6146433661</v>
      </c>
      <c r="F2868" s="3">
        <v>23334.1466331342</v>
      </c>
      <c r="G2868" s="3">
        <v>17156.7917648302</v>
      </c>
      <c r="H2868" s="3">
        <v>-58444.2496396767</v>
      </c>
      <c r="I2868" s="3">
        <v>72465.8203897589</v>
      </c>
      <c r="J2868" s="4">
        <v>45992.0</v>
      </c>
      <c r="K2868" s="3">
        <v>14.0</v>
      </c>
      <c r="L2868" s="3" t="s">
        <v>31</v>
      </c>
    </row>
    <row r="2869" ht="15.75" customHeight="1">
      <c r="A2869" s="3" t="s">
        <v>2954</v>
      </c>
      <c r="B2869" s="3" t="s">
        <v>29</v>
      </c>
      <c r="C2869" s="3" t="s">
        <v>54</v>
      </c>
      <c r="D2869" s="3">
        <v>80925.6145756507</v>
      </c>
      <c r="E2869" s="3">
        <v>27913.2293616935</v>
      </c>
      <c r="F2869" s="3">
        <v>23341.8266365637</v>
      </c>
      <c r="G2869" s="3">
        <v>17160.1893155175</v>
      </c>
      <c r="H2869" s="3">
        <v>-58493.7533574257</v>
      </c>
      <c r="I2869" s="3">
        <v>72469.2018641787</v>
      </c>
      <c r="J2869" s="4">
        <v>45870.0</v>
      </c>
      <c r="K2869" s="3">
        <v>21.0</v>
      </c>
      <c r="L2869" s="3" t="s">
        <v>34</v>
      </c>
    </row>
    <row r="2870" ht="15.75" customHeight="1">
      <c r="A2870" s="3" t="s">
        <v>2955</v>
      </c>
      <c r="B2870" s="3" t="s">
        <v>25</v>
      </c>
      <c r="C2870" s="3" t="s">
        <v>54</v>
      </c>
      <c r="D2870" s="3">
        <v>80936.4975455569</v>
      </c>
      <c r="E2870" s="3">
        <v>27917.844080021</v>
      </c>
      <c r="F2870" s="3">
        <v>23349.5066399932</v>
      </c>
      <c r="G2870" s="3">
        <v>17163.5868662048</v>
      </c>
      <c r="H2870" s="3">
        <v>-58543.2570751747</v>
      </c>
      <c r="I2870" s="3">
        <v>72472.5833385985</v>
      </c>
      <c r="J2870" s="4">
        <v>45931.0</v>
      </c>
      <c r="K2870" s="3">
        <v>23.0</v>
      </c>
      <c r="L2870" s="3" t="s">
        <v>38</v>
      </c>
    </row>
    <row r="2871" ht="15.75" customHeight="1">
      <c r="A2871" s="3" t="s">
        <v>2956</v>
      </c>
      <c r="B2871" s="3" t="s">
        <v>29</v>
      </c>
      <c r="C2871" s="3" t="s">
        <v>54</v>
      </c>
      <c r="D2871" s="3">
        <v>80947.3805154631</v>
      </c>
      <c r="E2871" s="3">
        <v>27922.4587983484</v>
      </c>
      <c r="F2871" s="3">
        <v>23357.1866434227</v>
      </c>
      <c r="G2871" s="3">
        <v>17166.9844168921</v>
      </c>
      <c r="H2871" s="3">
        <v>-58592.7607929247</v>
      </c>
      <c r="I2871" s="3">
        <v>72475.9648130183</v>
      </c>
      <c r="J2871" s="4">
        <v>45748.0</v>
      </c>
      <c r="K2871" s="3">
        <v>18.0</v>
      </c>
      <c r="L2871" s="3" t="s">
        <v>40</v>
      </c>
    </row>
    <row r="2872" ht="15.75" customHeight="1">
      <c r="A2872" s="3" t="s">
        <v>2957</v>
      </c>
      <c r="B2872" s="3" t="s">
        <v>53</v>
      </c>
      <c r="C2872" s="3" t="s">
        <v>14</v>
      </c>
      <c r="D2872" s="3">
        <v>80958.2634853693</v>
      </c>
      <c r="E2872" s="3">
        <v>27927.0735166758</v>
      </c>
      <c r="F2872" s="3">
        <v>23364.8666468522</v>
      </c>
      <c r="G2872" s="3">
        <v>17170.3819675793</v>
      </c>
      <c r="H2872" s="3">
        <v>-58642.2645106737</v>
      </c>
      <c r="I2872" s="3">
        <v>72479.3462874382</v>
      </c>
      <c r="J2872" s="4">
        <v>45809.0</v>
      </c>
      <c r="K2872" s="3">
        <v>14.0</v>
      </c>
      <c r="L2872" s="3" t="s">
        <v>42</v>
      </c>
    </row>
    <row r="2873" ht="15.75" customHeight="1">
      <c r="A2873" s="3" t="s">
        <v>2958</v>
      </c>
      <c r="B2873" s="3" t="s">
        <v>51</v>
      </c>
      <c r="C2873" s="3" t="s">
        <v>33</v>
      </c>
      <c r="D2873" s="3">
        <v>80969.1464552754</v>
      </c>
      <c r="E2873" s="3">
        <v>27931.6882350032</v>
      </c>
      <c r="F2873" s="3">
        <v>23372.5466502817</v>
      </c>
      <c r="G2873" s="3">
        <v>17173.7795182666</v>
      </c>
      <c r="H2873" s="3">
        <v>-58691.7682284227</v>
      </c>
      <c r="I2873" s="3">
        <v>72482.727761858</v>
      </c>
      <c r="J2873" s="4">
        <v>45689.0</v>
      </c>
      <c r="K2873" s="3">
        <v>1.0</v>
      </c>
      <c r="L2873" s="3" t="s">
        <v>15</v>
      </c>
    </row>
    <row r="2874" ht="15.75" customHeight="1">
      <c r="A2874" s="3" t="s">
        <v>2959</v>
      </c>
      <c r="B2874" s="3" t="s">
        <v>17</v>
      </c>
      <c r="C2874" s="3" t="s">
        <v>14</v>
      </c>
      <c r="D2874" s="3">
        <v>80990.9123950878</v>
      </c>
      <c r="E2874" s="3">
        <v>27940.9176716581</v>
      </c>
      <c r="F2874" s="3">
        <v>23387.9066571407</v>
      </c>
      <c r="G2874" s="3">
        <v>17180.5746196412</v>
      </c>
      <c r="H2874" s="3">
        <v>-58790.7756639208</v>
      </c>
      <c r="I2874" s="3">
        <v>72489.4907106976</v>
      </c>
      <c r="J2874" s="4">
        <v>45717.0</v>
      </c>
      <c r="K2874" s="3">
        <v>23.0</v>
      </c>
      <c r="L2874" s="3" t="s">
        <v>21</v>
      </c>
    </row>
    <row r="2875" ht="15.75" customHeight="1">
      <c r="A2875" s="3" t="s">
        <v>2960</v>
      </c>
      <c r="B2875" s="3" t="s">
        <v>25</v>
      </c>
      <c r="C2875" s="3" t="s">
        <v>18</v>
      </c>
      <c r="D2875" s="3">
        <v>81001.795364994</v>
      </c>
      <c r="E2875" s="3">
        <v>27945.5323899855</v>
      </c>
      <c r="F2875" s="3">
        <v>23395.5866605702</v>
      </c>
      <c r="G2875" s="3">
        <v>17183.9721703285</v>
      </c>
      <c r="H2875" s="3">
        <v>-58840.2793816697</v>
      </c>
      <c r="I2875" s="3">
        <v>72492.8721851174</v>
      </c>
      <c r="J2875" s="4">
        <v>45717.0</v>
      </c>
      <c r="K2875" s="3">
        <v>15.0</v>
      </c>
      <c r="L2875" s="3" t="s">
        <v>23</v>
      </c>
    </row>
    <row r="2876" ht="15.75" customHeight="1">
      <c r="A2876" s="3" t="s">
        <v>2961</v>
      </c>
      <c r="B2876" s="3" t="s">
        <v>36</v>
      </c>
      <c r="C2876" s="3" t="s">
        <v>30</v>
      </c>
      <c r="D2876" s="3">
        <v>81012.6783349002</v>
      </c>
      <c r="E2876" s="3">
        <v>27950.1471083129</v>
      </c>
      <c r="F2876" s="3">
        <v>23403.2666639997</v>
      </c>
      <c r="G2876" s="3">
        <v>17187.3697210158</v>
      </c>
      <c r="H2876" s="3">
        <v>-58889.7830994187</v>
      </c>
      <c r="I2876" s="3">
        <v>72496.2536595372</v>
      </c>
      <c r="J2876" s="4">
        <v>45748.0</v>
      </c>
      <c r="K2876" s="3">
        <v>22.0</v>
      </c>
      <c r="L2876" s="3" t="s">
        <v>27</v>
      </c>
    </row>
    <row r="2877" ht="15.75" customHeight="1">
      <c r="A2877" s="3" t="s">
        <v>2962</v>
      </c>
      <c r="B2877" s="3" t="s">
        <v>13</v>
      </c>
      <c r="C2877" s="3" t="s">
        <v>14</v>
      </c>
      <c r="D2877" s="3">
        <v>81023.5613048064</v>
      </c>
      <c r="E2877" s="3">
        <v>27954.7618266403</v>
      </c>
      <c r="F2877" s="3">
        <v>23410.9466674292</v>
      </c>
      <c r="G2877" s="3">
        <v>17190.7672717031</v>
      </c>
      <c r="H2877" s="3">
        <v>-58939.2868171677</v>
      </c>
      <c r="I2877" s="3">
        <v>72499.635133957</v>
      </c>
      <c r="J2877" s="4">
        <v>45778.0</v>
      </c>
      <c r="K2877" s="3">
        <v>23.0</v>
      </c>
      <c r="L2877" s="3" t="s">
        <v>31</v>
      </c>
    </row>
    <row r="2878" ht="15.75" customHeight="1">
      <c r="A2878" s="3" t="s">
        <v>2963</v>
      </c>
      <c r="B2878" s="3" t="s">
        <v>13</v>
      </c>
      <c r="C2878" s="3" t="s">
        <v>54</v>
      </c>
      <c r="D2878" s="3">
        <v>81034.4442747126</v>
      </c>
      <c r="E2878" s="3">
        <v>27959.3765449678</v>
      </c>
      <c r="F2878" s="3">
        <v>23418.6266708587</v>
      </c>
      <c r="G2878" s="3">
        <v>17194.1648223904</v>
      </c>
      <c r="H2878" s="3">
        <v>-58988.7905349177</v>
      </c>
      <c r="I2878" s="3">
        <v>72503.0166083769</v>
      </c>
      <c r="J2878" s="4">
        <v>45839.0</v>
      </c>
      <c r="K2878" s="3">
        <v>21.0</v>
      </c>
      <c r="L2878" s="3" t="s">
        <v>34</v>
      </c>
    </row>
    <row r="2879" ht="15.75" customHeight="1">
      <c r="A2879" s="3" t="s">
        <v>2964</v>
      </c>
      <c r="B2879" s="3" t="s">
        <v>13</v>
      </c>
      <c r="C2879" s="3" t="s">
        <v>54</v>
      </c>
      <c r="D2879" s="3">
        <v>81045.3272446188</v>
      </c>
      <c r="E2879" s="3">
        <v>27963.9912632952</v>
      </c>
      <c r="F2879" s="3">
        <v>23426.3066742882</v>
      </c>
      <c r="G2879" s="3">
        <v>17197.5623730776</v>
      </c>
      <c r="H2879" s="3">
        <v>-59038.2942526667</v>
      </c>
      <c r="I2879" s="3">
        <v>72506.3980827967</v>
      </c>
      <c r="J2879" s="4">
        <v>45931.0</v>
      </c>
      <c r="K2879" s="3">
        <v>18.0</v>
      </c>
      <c r="L2879" s="3" t="s">
        <v>38</v>
      </c>
    </row>
    <row r="2880" ht="15.75" customHeight="1">
      <c r="A2880" s="3" t="s">
        <v>2965</v>
      </c>
      <c r="B2880" s="3" t="s">
        <v>51</v>
      </c>
      <c r="C2880" s="3" t="s">
        <v>33</v>
      </c>
      <c r="D2880" s="3">
        <v>81056.210214525</v>
      </c>
      <c r="E2880" s="3">
        <v>27968.6059816226</v>
      </c>
      <c r="F2880" s="3">
        <v>23433.9866777177</v>
      </c>
      <c r="G2880" s="3">
        <v>17200.9599237649</v>
      </c>
      <c r="H2880" s="3">
        <v>-59087.7979704157</v>
      </c>
      <c r="I2880" s="3">
        <v>72509.7795572165</v>
      </c>
      <c r="J2880" s="4">
        <v>45992.0</v>
      </c>
      <c r="K2880" s="3">
        <v>24.0</v>
      </c>
      <c r="L2880" s="3" t="s">
        <v>40</v>
      </c>
    </row>
    <row r="2881" ht="15.75" customHeight="1">
      <c r="A2881" s="3" t="s">
        <v>2966</v>
      </c>
      <c r="B2881" s="3" t="s">
        <v>25</v>
      </c>
      <c r="C2881" s="3" t="s">
        <v>18</v>
      </c>
      <c r="D2881" s="3">
        <v>81067.0931844312</v>
      </c>
      <c r="E2881" s="3">
        <v>27973.22069995</v>
      </c>
      <c r="F2881" s="3">
        <v>23441.6666811472</v>
      </c>
      <c r="G2881" s="3">
        <v>17204.3574744522</v>
      </c>
      <c r="H2881" s="3">
        <v>-59137.3016881647</v>
      </c>
      <c r="I2881" s="3">
        <v>72513.1610316363</v>
      </c>
      <c r="J2881" s="4">
        <v>45689.0</v>
      </c>
      <c r="K2881" s="3">
        <v>9.0</v>
      </c>
      <c r="L2881" s="3" t="s">
        <v>42</v>
      </c>
    </row>
    <row r="2882" ht="15.75" customHeight="1">
      <c r="A2882" s="3" t="s">
        <v>2967</v>
      </c>
      <c r="B2882" s="3" t="s">
        <v>51</v>
      </c>
      <c r="C2882" s="3" t="s">
        <v>54</v>
      </c>
      <c r="D2882" s="3">
        <v>81077.9761543374</v>
      </c>
      <c r="E2882" s="3">
        <v>27977.8354182774</v>
      </c>
      <c r="F2882" s="3">
        <v>23449.3466845767</v>
      </c>
      <c r="G2882" s="3">
        <v>17207.7550251395</v>
      </c>
      <c r="H2882" s="3">
        <v>-59186.8054059138</v>
      </c>
      <c r="I2882" s="3">
        <v>72516.5425060561</v>
      </c>
      <c r="J2882" s="4">
        <v>45658.0</v>
      </c>
      <c r="K2882" s="3">
        <v>3.0</v>
      </c>
      <c r="L2882" s="3" t="s">
        <v>15</v>
      </c>
    </row>
    <row r="2883" ht="15.75" customHeight="1">
      <c r="A2883" s="3" t="s">
        <v>2968</v>
      </c>
      <c r="B2883" s="3" t="s">
        <v>17</v>
      </c>
      <c r="C2883" s="3" t="s">
        <v>14</v>
      </c>
      <c r="D2883" s="3">
        <v>81088.8591242436</v>
      </c>
      <c r="E2883" s="3">
        <v>27982.4501366049</v>
      </c>
      <c r="F2883" s="3">
        <v>23457.0266880062</v>
      </c>
      <c r="G2883" s="3">
        <v>17211.1525758268</v>
      </c>
      <c r="H2883" s="3">
        <v>-59236.3091236628</v>
      </c>
      <c r="I2883" s="3">
        <v>72519.9239804759</v>
      </c>
      <c r="J2883" s="3" t="s">
        <v>2507</v>
      </c>
      <c r="K2883" s="3">
        <v>20.0</v>
      </c>
      <c r="L2883" s="3" t="s">
        <v>19</v>
      </c>
    </row>
    <row r="2884" ht="15.75" customHeight="1">
      <c r="A2884" s="3" t="s">
        <v>2969</v>
      </c>
      <c r="B2884" s="3" t="s">
        <v>25</v>
      </c>
      <c r="C2884" s="3" t="s">
        <v>54</v>
      </c>
      <c r="D2884" s="3">
        <v>81099.7420941498</v>
      </c>
      <c r="E2884" s="3">
        <v>27987.0648549323</v>
      </c>
      <c r="F2884" s="3">
        <v>23464.7066914357</v>
      </c>
      <c r="G2884" s="3">
        <v>17214.5501265141</v>
      </c>
      <c r="H2884" s="3">
        <v>-59285.8128414117</v>
      </c>
      <c r="I2884" s="3">
        <v>72523.3054548957</v>
      </c>
      <c r="J2884" s="4">
        <v>45717.0</v>
      </c>
      <c r="K2884" s="3">
        <v>3.0</v>
      </c>
      <c r="L2884" s="3" t="s">
        <v>21</v>
      </c>
    </row>
    <row r="2885" ht="15.75" customHeight="1">
      <c r="A2885" s="3" t="s">
        <v>2970</v>
      </c>
      <c r="B2885" s="3" t="s">
        <v>29</v>
      </c>
      <c r="C2885" s="3" t="s">
        <v>37</v>
      </c>
      <c r="D2885" s="3">
        <v>81110.625064056</v>
      </c>
      <c r="E2885" s="3">
        <v>27991.6795732597</v>
      </c>
      <c r="F2885" s="3">
        <v>23472.3866948652</v>
      </c>
      <c r="G2885" s="3">
        <v>17217.9476772014</v>
      </c>
      <c r="H2885" s="3">
        <v>-59335.3165591607</v>
      </c>
      <c r="I2885" s="3">
        <v>72526.6869293156</v>
      </c>
      <c r="J2885" s="4">
        <v>45870.0</v>
      </c>
      <c r="K2885" s="3">
        <v>14.0</v>
      </c>
      <c r="L2885" s="3" t="s">
        <v>23</v>
      </c>
    </row>
    <row r="2886" ht="15.75" customHeight="1">
      <c r="A2886" s="3" t="s">
        <v>2971</v>
      </c>
      <c r="B2886" s="3" t="s">
        <v>13</v>
      </c>
      <c r="C2886" s="3" t="s">
        <v>18</v>
      </c>
      <c r="D2886" s="3">
        <v>81121.5080339622</v>
      </c>
      <c r="E2886" s="3">
        <v>27996.2942915871</v>
      </c>
      <c r="F2886" s="3">
        <v>23480.0666982947</v>
      </c>
      <c r="G2886" s="3">
        <v>17221.3452278887</v>
      </c>
      <c r="H2886" s="3">
        <v>-59384.8202769107</v>
      </c>
      <c r="I2886" s="3">
        <v>72530.0684037354</v>
      </c>
      <c r="J2886" s="4">
        <v>45870.0</v>
      </c>
      <c r="K2886" s="3">
        <v>24.0</v>
      </c>
      <c r="L2886" s="3" t="s">
        <v>27</v>
      </c>
    </row>
    <row r="2887" ht="15.75" customHeight="1">
      <c r="A2887" s="3" t="s">
        <v>2972</v>
      </c>
      <c r="B2887" s="3" t="s">
        <v>36</v>
      </c>
      <c r="C2887" s="3" t="s">
        <v>26</v>
      </c>
      <c r="D2887" s="3">
        <v>81132.3910038683</v>
      </c>
      <c r="E2887" s="3">
        <v>28000.9090099146</v>
      </c>
      <c r="F2887" s="3">
        <v>23487.7467017242</v>
      </c>
      <c r="G2887" s="3">
        <v>17224.7427785759</v>
      </c>
      <c r="H2887" s="3">
        <v>-59434.3239946597</v>
      </c>
      <c r="I2887" s="3">
        <v>72533.4498781552</v>
      </c>
      <c r="J2887" s="4">
        <v>45689.0</v>
      </c>
      <c r="K2887" s="3">
        <v>15.0</v>
      </c>
      <c r="L2887" s="3" t="s">
        <v>31</v>
      </c>
    </row>
    <row r="2888" ht="15.75" customHeight="1">
      <c r="A2888" s="3" t="s">
        <v>2973</v>
      </c>
      <c r="B2888" s="3" t="s">
        <v>25</v>
      </c>
      <c r="C2888" s="3" t="s">
        <v>14</v>
      </c>
      <c r="D2888" s="3">
        <v>81143.2739737745</v>
      </c>
      <c r="E2888" s="3">
        <v>28005.523728242</v>
      </c>
      <c r="F2888" s="3">
        <v>23495.4267051537</v>
      </c>
      <c r="G2888" s="3">
        <v>17228.1403292632</v>
      </c>
      <c r="H2888" s="3">
        <v>-59483.8277124087</v>
      </c>
      <c r="I2888" s="3">
        <v>72536.831352575</v>
      </c>
      <c r="J2888" s="4">
        <v>45901.0</v>
      </c>
      <c r="K2888" s="3">
        <v>21.0</v>
      </c>
      <c r="L2888" s="3" t="s">
        <v>34</v>
      </c>
    </row>
    <row r="2889" ht="15.75" customHeight="1">
      <c r="A2889" s="3" t="s">
        <v>2974</v>
      </c>
      <c r="B2889" s="5"/>
      <c r="C2889" s="3" t="s">
        <v>26</v>
      </c>
      <c r="D2889" s="3">
        <v>81154.1569436807</v>
      </c>
      <c r="E2889" s="3">
        <v>28010.1384465694</v>
      </c>
      <c r="F2889" s="3">
        <v>23503.1067085831</v>
      </c>
      <c r="G2889" s="3">
        <v>17231.5378799505</v>
      </c>
      <c r="H2889" s="3">
        <v>-59533.3314301577</v>
      </c>
      <c r="I2889" s="3">
        <v>72540.2128269948</v>
      </c>
      <c r="J2889" s="4">
        <v>45658.0</v>
      </c>
      <c r="K2889" s="3">
        <v>9.0</v>
      </c>
      <c r="L2889" s="3" t="s">
        <v>38</v>
      </c>
    </row>
    <row r="2890" ht="15.75" customHeight="1">
      <c r="A2890" s="3" t="s">
        <v>2975</v>
      </c>
      <c r="B2890" s="3" t="s">
        <v>17</v>
      </c>
      <c r="C2890" s="3" t="s">
        <v>18</v>
      </c>
      <c r="D2890" s="3">
        <v>81165.0399135869</v>
      </c>
      <c r="E2890" s="3">
        <v>28014.7531648968</v>
      </c>
      <c r="F2890" s="3">
        <v>23510.7867120126</v>
      </c>
      <c r="G2890" s="3">
        <v>17234.9354306378</v>
      </c>
      <c r="H2890" s="3">
        <v>-59582.8351479067</v>
      </c>
      <c r="I2890" s="3">
        <v>72543.5943014146</v>
      </c>
      <c r="J2890" s="4">
        <v>45689.0</v>
      </c>
      <c r="K2890" s="3">
        <v>13.0</v>
      </c>
      <c r="L2890" s="3" t="s">
        <v>40</v>
      </c>
    </row>
    <row r="2891" ht="15.75" customHeight="1">
      <c r="A2891" s="3" t="s">
        <v>2976</v>
      </c>
      <c r="B2891" s="3" t="s">
        <v>17</v>
      </c>
      <c r="C2891" s="3" t="s">
        <v>33</v>
      </c>
      <c r="D2891" s="3">
        <v>81175.9228834931</v>
      </c>
      <c r="E2891" s="3">
        <v>28019.3678832242</v>
      </c>
      <c r="F2891" s="3">
        <v>23518.4667154421</v>
      </c>
      <c r="G2891" s="3">
        <v>17238.3329813251</v>
      </c>
      <c r="H2891" s="3">
        <v>-59632.3388656558</v>
      </c>
      <c r="I2891" s="3">
        <v>72546.9757758344</v>
      </c>
      <c r="J2891" s="4">
        <v>45992.0</v>
      </c>
      <c r="K2891" s="3">
        <v>17.0</v>
      </c>
      <c r="L2891" s="3" t="s">
        <v>42</v>
      </c>
    </row>
    <row r="2892" ht="15.75" customHeight="1">
      <c r="A2892" s="3" t="s">
        <v>2977</v>
      </c>
      <c r="B2892" s="3" t="s">
        <v>36</v>
      </c>
      <c r="C2892" s="3" t="s">
        <v>18</v>
      </c>
      <c r="D2892" s="3">
        <v>81186.8058533993</v>
      </c>
      <c r="E2892" s="3">
        <v>28023.9826015517</v>
      </c>
      <c r="F2892" s="3">
        <v>23526.1467188716</v>
      </c>
      <c r="G2892" s="3">
        <v>17241.7305320124</v>
      </c>
      <c r="H2892" s="3">
        <v>-59681.8425834047</v>
      </c>
      <c r="I2892" s="3">
        <v>72550.3572502543</v>
      </c>
      <c r="J2892" s="4">
        <v>45839.0</v>
      </c>
      <c r="K2892" s="3">
        <v>11.0</v>
      </c>
      <c r="L2892" s="3" t="s">
        <v>15</v>
      </c>
    </row>
    <row r="2893" ht="15.75" customHeight="1">
      <c r="A2893" s="3" t="s">
        <v>2978</v>
      </c>
      <c r="B2893" s="3" t="s">
        <v>53</v>
      </c>
      <c r="C2893" s="3" t="s">
        <v>18</v>
      </c>
      <c r="D2893" s="3">
        <v>81208.5717932117</v>
      </c>
      <c r="E2893" s="3">
        <v>28033.2120382065</v>
      </c>
      <c r="F2893" s="3">
        <v>23541.5067257306</v>
      </c>
      <c r="G2893" s="3">
        <v>17248.5256333869</v>
      </c>
      <c r="H2893" s="3">
        <v>-59780.8500189037</v>
      </c>
      <c r="I2893" s="3">
        <v>72557.1201990939</v>
      </c>
      <c r="J2893" s="4">
        <v>45689.0</v>
      </c>
      <c r="K2893" s="3">
        <v>19.0</v>
      </c>
      <c r="L2893" s="3" t="s">
        <v>21</v>
      </c>
    </row>
    <row r="2894" ht="15.75" customHeight="1">
      <c r="A2894" s="3" t="s">
        <v>2979</v>
      </c>
      <c r="B2894" s="3" t="s">
        <v>53</v>
      </c>
      <c r="C2894" s="3" t="s">
        <v>26</v>
      </c>
      <c r="D2894" s="3">
        <v>81219.4547631179</v>
      </c>
      <c r="E2894" s="3">
        <v>28037.8267565339</v>
      </c>
      <c r="F2894" s="3">
        <v>23549.1867291601</v>
      </c>
      <c r="G2894" s="3">
        <v>17251.9231840742</v>
      </c>
      <c r="H2894" s="3">
        <v>-59830.3537366527</v>
      </c>
      <c r="I2894" s="3">
        <v>72560.5016735137</v>
      </c>
      <c r="J2894" s="4">
        <v>45689.0</v>
      </c>
      <c r="K2894" s="3">
        <v>25.0</v>
      </c>
      <c r="L2894" s="3" t="s">
        <v>23</v>
      </c>
    </row>
    <row r="2895" ht="15.75" customHeight="1">
      <c r="A2895" s="3" t="s">
        <v>2980</v>
      </c>
      <c r="B2895" s="3" t="s">
        <v>17</v>
      </c>
      <c r="C2895" s="3" t="s">
        <v>18</v>
      </c>
      <c r="D2895" s="3">
        <v>81230.3377330241</v>
      </c>
      <c r="E2895" s="3">
        <v>28042.4414748614</v>
      </c>
      <c r="F2895" s="3">
        <v>23556.8667325896</v>
      </c>
      <c r="G2895" s="3">
        <v>17255.3207347615</v>
      </c>
      <c r="H2895" s="3">
        <v>-59879.8574544017</v>
      </c>
      <c r="I2895" s="3">
        <v>72563.8831479335</v>
      </c>
      <c r="J2895" s="4">
        <v>45689.0</v>
      </c>
      <c r="K2895" s="3">
        <v>3.0</v>
      </c>
      <c r="L2895" s="3" t="s">
        <v>27</v>
      </c>
    </row>
    <row r="2896" ht="15.75" customHeight="1">
      <c r="A2896" s="3" t="s">
        <v>2981</v>
      </c>
      <c r="B2896" s="3" t="s">
        <v>17</v>
      </c>
      <c r="C2896" s="3" t="s">
        <v>37</v>
      </c>
      <c r="D2896" s="3">
        <v>81241.2207029303</v>
      </c>
      <c r="E2896" s="3">
        <v>28047.0561931888</v>
      </c>
      <c r="F2896" s="3">
        <v>23564.5467360191</v>
      </c>
      <c r="G2896" s="3">
        <v>17258.7182854488</v>
      </c>
      <c r="H2896" s="3">
        <v>-59929.3611721507</v>
      </c>
      <c r="I2896" s="3">
        <v>72567.2646223533</v>
      </c>
      <c r="J2896" s="3" t="s">
        <v>785</v>
      </c>
      <c r="K2896" s="3">
        <v>1.0</v>
      </c>
      <c r="L2896" s="3" t="s">
        <v>31</v>
      </c>
    </row>
    <row r="2897" ht="15.75" customHeight="1">
      <c r="A2897" s="3" t="s">
        <v>2982</v>
      </c>
      <c r="B2897" s="3" t="s">
        <v>29</v>
      </c>
      <c r="C2897" s="3" t="s">
        <v>14</v>
      </c>
      <c r="D2897" s="3">
        <v>81252.1036728365</v>
      </c>
      <c r="E2897" s="3">
        <v>28051.6709115162</v>
      </c>
      <c r="F2897" s="3">
        <v>23572.2267394486</v>
      </c>
      <c r="G2897" s="3">
        <v>17262.1158361361</v>
      </c>
      <c r="H2897" s="3">
        <v>-59978.8648898997</v>
      </c>
      <c r="I2897" s="3">
        <v>72570.6460967732</v>
      </c>
      <c r="J2897" s="4">
        <v>45778.0</v>
      </c>
      <c r="K2897" s="3">
        <v>21.0</v>
      </c>
      <c r="L2897" s="3" t="s">
        <v>34</v>
      </c>
    </row>
    <row r="2898" ht="15.75" customHeight="1">
      <c r="A2898" s="3" t="s">
        <v>2983</v>
      </c>
      <c r="B2898" s="3" t="s">
        <v>13</v>
      </c>
      <c r="C2898" s="3" t="s">
        <v>54</v>
      </c>
      <c r="D2898" s="3">
        <v>81262.9866427427</v>
      </c>
      <c r="E2898" s="3">
        <v>28056.2856298436</v>
      </c>
      <c r="F2898" s="3">
        <v>23579.9067428781</v>
      </c>
      <c r="G2898" s="3">
        <v>17265.5133868234</v>
      </c>
      <c r="H2898" s="3">
        <v>63997.4732559193</v>
      </c>
      <c r="I2898" s="3">
        <v>68997.4732559193</v>
      </c>
      <c r="J2898" s="4">
        <v>45962.0</v>
      </c>
      <c r="K2898" s="3">
        <v>9.0</v>
      </c>
      <c r="L2898" s="3" t="s">
        <v>38</v>
      </c>
    </row>
    <row r="2899" ht="15.75" customHeight="1">
      <c r="A2899" s="3" t="s">
        <v>2984</v>
      </c>
      <c r="B2899" s="3" t="s">
        <v>36</v>
      </c>
      <c r="C2899" s="3" t="s">
        <v>33</v>
      </c>
      <c r="D2899" s="3">
        <v>81273.8696126489</v>
      </c>
      <c r="E2899" s="3">
        <v>28060.900348171</v>
      </c>
      <c r="F2899" s="3">
        <v>23587.5867463076</v>
      </c>
      <c r="G2899" s="3">
        <v>17268.9109375107</v>
      </c>
      <c r="H2899" s="3">
        <v>-60077.8723253978</v>
      </c>
      <c r="I2899" s="3">
        <v>72577.4090456128</v>
      </c>
      <c r="J2899" s="4">
        <v>45901.0</v>
      </c>
      <c r="K2899" s="3">
        <v>17.0</v>
      </c>
      <c r="L2899" s="3" t="s">
        <v>40</v>
      </c>
    </row>
    <row r="2900" ht="15.75" customHeight="1">
      <c r="A2900" s="3" t="s">
        <v>2985</v>
      </c>
      <c r="B2900" s="3" t="s">
        <v>53</v>
      </c>
      <c r="C2900" s="3" t="s">
        <v>37</v>
      </c>
      <c r="D2900" s="3">
        <v>81284.7525825551</v>
      </c>
      <c r="E2900" s="3">
        <v>28065.5150664985</v>
      </c>
      <c r="F2900" s="3">
        <v>23595.2667497371</v>
      </c>
      <c r="G2900" s="3">
        <v>17272.308488198</v>
      </c>
      <c r="H2900" s="3">
        <v>-60127.3760431467</v>
      </c>
      <c r="I2900" s="3">
        <v>72580.7905200326</v>
      </c>
      <c r="J2900" s="4">
        <v>45962.0</v>
      </c>
      <c r="K2900" s="3">
        <v>19.0</v>
      </c>
      <c r="L2900" s="3" t="s">
        <v>42</v>
      </c>
    </row>
    <row r="2901" ht="15.75" customHeight="1">
      <c r="A2901" s="3" t="s">
        <v>2986</v>
      </c>
      <c r="B2901" s="3" t="s">
        <v>29</v>
      </c>
      <c r="C2901" s="3" t="s">
        <v>26</v>
      </c>
      <c r="D2901" s="3">
        <v>81295.6355524613</v>
      </c>
      <c r="E2901" s="3">
        <v>28070.1297848259</v>
      </c>
      <c r="F2901" s="3">
        <v>23602.9467531666</v>
      </c>
      <c r="G2901" s="3">
        <v>17275.7060388852</v>
      </c>
      <c r="H2901" s="3">
        <v>-60176.8797608967</v>
      </c>
      <c r="I2901" s="3">
        <v>72584.1719944524</v>
      </c>
      <c r="J2901" s="4">
        <v>45839.0</v>
      </c>
      <c r="K2901" s="3">
        <v>20.0</v>
      </c>
      <c r="L2901" s="3" t="s">
        <v>15</v>
      </c>
    </row>
    <row r="2902" ht="15.75" customHeight="1">
      <c r="A2902" s="3" t="s">
        <v>2987</v>
      </c>
      <c r="B2902" s="3" t="s">
        <v>17</v>
      </c>
      <c r="C2902" s="3" t="s">
        <v>26</v>
      </c>
      <c r="D2902" s="3">
        <v>81306.5185223674</v>
      </c>
      <c r="E2902" s="3">
        <v>28074.7445031533</v>
      </c>
      <c r="F2902" s="3">
        <v>23610.6267565961</v>
      </c>
      <c r="G2902" s="3">
        <v>17279.1035895725</v>
      </c>
      <c r="H2902" s="3">
        <v>-60226.3834786457</v>
      </c>
      <c r="I2902" s="3">
        <v>72587.5534688722</v>
      </c>
      <c r="J2902" s="4">
        <v>45931.0</v>
      </c>
      <c r="K2902" s="3">
        <v>20.0</v>
      </c>
      <c r="L2902" s="3" t="s">
        <v>19</v>
      </c>
    </row>
    <row r="2903" ht="15.75" customHeight="1">
      <c r="A2903" s="3" t="s">
        <v>2988</v>
      </c>
      <c r="B2903" s="3" t="s">
        <v>25</v>
      </c>
      <c r="C2903" s="3" t="s">
        <v>54</v>
      </c>
      <c r="D2903" s="3">
        <v>81317.4014922736</v>
      </c>
      <c r="E2903" s="3">
        <v>28079.3592214807</v>
      </c>
      <c r="F2903" s="3">
        <v>23618.3067600256</v>
      </c>
      <c r="G2903" s="3">
        <v>17282.5011402598</v>
      </c>
      <c r="H2903" s="3">
        <v>-60275.8871963947</v>
      </c>
      <c r="I2903" s="3">
        <v>72590.934943292</v>
      </c>
      <c r="J2903" s="4">
        <v>45717.0</v>
      </c>
      <c r="K2903" s="3">
        <v>3.0</v>
      </c>
      <c r="L2903" s="3" t="s">
        <v>21</v>
      </c>
    </row>
    <row r="2904" ht="15.75" customHeight="1">
      <c r="A2904" s="3" t="s">
        <v>2989</v>
      </c>
      <c r="B2904" s="3" t="s">
        <v>25</v>
      </c>
      <c r="C2904" s="3" t="s">
        <v>30</v>
      </c>
      <c r="D2904" s="3">
        <v>81328.2844621798</v>
      </c>
      <c r="E2904" s="3">
        <v>28083.9739398082</v>
      </c>
      <c r="F2904" s="3">
        <v>23625.9867634551</v>
      </c>
      <c r="G2904" s="3">
        <v>17285.8986909471</v>
      </c>
      <c r="H2904" s="3">
        <v>-60325.3909141437</v>
      </c>
      <c r="I2904" s="3">
        <v>72594.3164177119</v>
      </c>
      <c r="J2904" s="4">
        <v>45962.0</v>
      </c>
      <c r="K2904" s="3">
        <v>6.0</v>
      </c>
      <c r="L2904" s="3" t="s">
        <v>23</v>
      </c>
    </row>
    <row r="2905" ht="15.75" customHeight="1">
      <c r="A2905" s="3" t="s">
        <v>2990</v>
      </c>
      <c r="B2905" s="3" t="s">
        <v>13</v>
      </c>
      <c r="C2905" s="3" t="s">
        <v>26</v>
      </c>
      <c r="D2905" s="3">
        <v>81339.167432086</v>
      </c>
      <c r="E2905" s="3">
        <v>28088.5886581356</v>
      </c>
      <c r="F2905" s="3">
        <v>23633.6667668846</v>
      </c>
      <c r="G2905" s="3">
        <v>17289.2962416344</v>
      </c>
      <c r="H2905" s="3">
        <v>-60374.8946318927</v>
      </c>
      <c r="I2905" s="3">
        <v>72597.6978921317</v>
      </c>
      <c r="J2905" s="4">
        <v>45778.0</v>
      </c>
      <c r="K2905" s="3">
        <v>12.0</v>
      </c>
      <c r="L2905" s="3" t="s">
        <v>27</v>
      </c>
    </row>
    <row r="2906" ht="15.75" customHeight="1">
      <c r="A2906" s="3" t="s">
        <v>2991</v>
      </c>
      <c r="B2906" s="3" t="s">
        <v>51</v>
      </c>
      <c r="C2906" s="3" t="s">
        <v>37</v>
      </c>
      <c r="D2906" s="3">
        <v>81350.0504019922</v>
      </c>
      <c r="E2906" s="3">
        <v>28093.203376463</v>
      </c>
      <c r="F2906" s="3">
        <v>23641.3467703141</v>
      </c>
      <c r="G2906" s="3">
        <v>17292.6937923217</v>
      </c>
      <c r="H2906" s="3">
        <v>-60424.3983496417</v>
      </c>
      <c r="I2906" s="3">
        <v>72601.0793665515</v>
      </c>
      <c r="J2906" s="4">
        <v>45839.0</v>
      </c>
      <c r="K2906" s="3">
        <v>11.0</v>
      </c>
      <c r="L2906" s="3" t="s">
        <v>31</v>
      </c>
    </row>
    <row r="2907" ht="15.75" customHeight="1">
      <c r="A2907" s="3" t="s">
        <v>2992</v>
      </c>
      <c r="B2907" s="3" t="s">
        <v>36</v>
      </c>
      <c r="C2907" s="3" t="s">
        <v>33</v>
      </c>
      <c r="D2907" s="3">
        <v>81360.9333718984</v>
      </c>
      <c r="E2907" s="3">
        <v>28097.8180947904</v>
      </c>
      <c r="F2907" s="3">
        <v>23649.0267737436</v>
      </c>
      <c r="G2907" s="3">
        <v>17296.091343009</v>
      </c>
      <c r="H2907" s="3">
        <v>-60473.9020673908</v>
      </c>
      <c r="I2907" s="3">
        <v>72604.4608409713</v>
      </c>
      <c r="J2907" s="4">
        <v>45658.0</v>
      </c>
      <c r="K2907" s="3">
        <v>12.0</v>
      </c>
      <c r="L2907" s="3" t="s">
        <v>34</v>
      </c>
    </row>
    <row r="2908" ht="15.75" customHeight="1">
      <c r="A2908" s="3" t="s">
        <v>2993</v>
      </c>
      <c r="B2908" s="3" t="s">
        <v>29</v>
      </c>
      <c r="C2908" s="3" t="s">
        <v>33</v>
      </c>
      <c r="D2908" s="3">
        <v>81371.8163418046</v>
      </c>
      <c r="E2908" s="3">
        <v>28102.4328131178</v>
      </c>
      <c r="F2908" s="3">
        <v>23656.7067771731</v>
      </c>
      <c r="G2908" s="3">
        <v>17299.4888936963</v>
      </c>
      <c r="H2908" s="3">
        <v>-60523.4057851407</v>
      </c>
      <c r="I2908" s="3">
        <v>72607.8423153911</v>
      </c>
      <c r="J2908" s="4">
        <v>45839.0</v>
      </c>
      <c r="K2908" s="3">
        <v>15.0</v>
      </c>
      <c r="L2908" s="3" t="s">
        <v>38</v>
      </c>
    </row>
    <row r="2909" ht="15.75" customHeight="1">
      <c r="A2909" s="3" t="s">
        <v>2994</v>
      </c>
      <c r="B2909" s="3" t="s">
        <v>53</v>
      </c>
      <c r="C2909" s="3" t="s">
        <v>14</v>
      </c>
      <c r="D2909" s="3">
        <v>81382.6993117108</v>
      </c>
      <c r="E2909" s="3">
        <v>28107.0475314453</v>
      </c>
      <c r="F2909" s="3">
        <v>23664.3867806026</v>
      </c>
      <c r="G2909" s="3">
        <v>17302.8864443835</v>
      </c>
      <c r="H2909" s="3">
        <v>-60572.9095028897</v>
      </c>
      <c r="I2909" s="3">
        <v>72611.2237898109</v>
      </c>
      <c r="J2909" s="4">
        <v>45689.0</v>
      </c>
      <c r="K2909" s="3">
        <v>11.0</v>
      </c>
      <c r="L2909" s="3" t="s">
        <v>40</v>
      </c>
    </row>
    <row r="2910" ht="15.75" customHeight="1">
      <c r="A2910" s="3" t="s">
        <v>2995</v>
      </c>
      <c r="B2910" s="3" t="s">
        <v>25</v>
      </c>
      <c r="C2910" s="3" t="s">
        <v>37</v>
      </c>
      <c r="D2910" s="3">
        <v>81393.582281617</v>
      </c>
      <c r="E2910" s="3">
        <v>28111.6622497727</v>
      </c>
      <c r="F2910" s="3">
        <v>23672.0667840321</v>
      </c>
      <c r="G2910" s="3">
        <v>17306.2839950708</v>
      </c>
      <c r="H2910" s="3">
        <v>-60622.4132206387</v>
      </c>
      <c r="I2910" s="3">
        <v>72614.6052642307</v>
      </c>
      <c r="J2910" s="4">
        <v>45809.0</v>
      </c>
      <c r="K2910" s="3">
        <v>24.0</v>
      </c>
      <c r="L2910" s="3" t="s">
        <v>42</v>
      </c>
    </row>
    <row r="2911" ht="15.75" customHeight="1">
      <c r="A2911" s="3" t="s">
        <v>2996</v>
      </c>
      <c r="B2911" s="3" t="s">
        <v>51</v>
      </c>
      <c r="C2911" s="3" t="s">
        <v>26</v>
      </c>
      <c r="D2911" s="3">
        <v>81404.4652515232</v>
      </c>
      <c r="E2911" s="3">
        <v>28116.2769681001</v>
      </c>
      <c r="F2911" s="3">
        <v>23679.7467874616</v>
      </c>
      <c r="G2911" s="3">
        <v>17309.6815457581</v>
      </c>
      <c r="H2911" s="3">
        <v>-60671.9169383877</v>
      </c>
      <c r="I2911" s="3">
        <v>72617.9867386506</v>
      </c>
      <c r="J2911" s="4">
        <v>45658.0</v>
      </c>
      <c r="K2911" s="3">
        <v>3.0</v>
      </c>
      <c r="L2911" s="3" t="s">
        <v>15</v>
      </c>
    </row>
    <row r="2912" ht="15.75" customHeight="1">
      <c r="A2912" s="3" t="s">
        <v>2997</v>
      </c>
      <c r="B2912" s="3" t="s">
        <v>17</v>
      </c>
      <c r="C2912" s="3" t="s">
        <v>26</v>
      </c>
      <c r="D2912" s="3">
        <v>81415.3482214294</v>
      </c>
      <c r="E2912" s="3">
        <v>28120.8916864275</v>
      </c>
      <c r="F2912" s="3">
        <v>23687.4267908911</v>
      </c>
      <c r="G2912" s="3">
        <v>17313.0790964454</v>
      </c>
      <c r="H2912" s="3">
        <v>-60721.4206561367</v>
      </c>
      <c r="I2912" s="3">
        <v>72621.3682130704</v>
      </c>
      <c r="J2912" s="4">
        <v>45839.0</v>
      </c>
      <c r="K2912" s="3">
        <v>22.0</v>
      </c>
      <c r="L2912" s="3" t="s">
        <v>19</v>
      </c>
    </row>
    <row r="2913" ht="15.75" customHeight="1">
      <c r="A2913" s="3" t="s">
        <v>2998</v>
      </c>
      <c r="B2913" s="3" t="s">
        <v>36</v>
      </c>
      <c r="C2913" s="3" t="s">
        <v>18</v>
      </c>
      <c r="D2913" s="3">
        <v>81426.2311913356</v>
      </c>
      <c r="E2913" s="3">
        <v>28125.506404755</v>
      </c>
      <c r="F2913" s="3">
        <v>23695.1067943206</v>
      </c>
      <c r="G2913" s="3">
        <v>17316.4766471327</v>
      </c>
      <c r="H2913" s="3">
        <v>-60770.9243738857</v>
      </c>
      <c r="I2913" s="3">
        <v>72624.7496874902</v>
      </c>
      <c r="J2913" s="4">
        <v>45992.0</v>
      </c>
      <c r="K2913" s="3">
        <v>24.0</v>
      </c>
      <c r="L2913" s="3" t="s">
        <v>21</v>
      </c>
    </row>
    <row r="2914" ht="15.75" customHeight="1">
      <c r="A2914" s="3" t="s">
        <v>2999</v>
      </c>
      <c r="B2914" s="3" t="s">
        <v>51</v>
      </c>
      <c r="C2914" s="3" t="s">
        <v>14</v>
      </c>
      <c r="D2914" s="3">
        <v>81437.1141612418</v>
      </c>
      <c r="E2914" s="3">
        <v>28130.1211230824</v>
      </c>
      <c r="F2914" s="3">
        <v>23702.7867977501</v>
      </c>
      <c r="G2914" s="3">
        <v>17319.87419782</v>
      </c>
      <c r="H2914" s="3">
        <v>64117.2399634218</v>
      </c>
      <c r="I2914" s="3">
        <v>69117.2399634218</v>
      </c>
      <c r="J2914" s="4">
        <v>45778.0</v>
      </c>
      <c r="K2914" s="3">
        <v>6.0</v>
      </c>
      <c r="L2914" s="3" t="s">
        <v>23</v>
      </c>
    </row>
    <row r="2915" ht="15.75" customHeight="1">
      <c r="A2915" s="3" t="s">
        <v>3000</v>
      </c>
      <c r="B2915" s="3" t="s">
        <v>17</v>
      </c>
      <c r="C2915" s="3" t="s">
        <v>37</v>
      </c>
      <c r="D2915" s="3">
        <v>81447.997131148</v>
      </c>
      <c r="E2915" s="3">
        <v>28134.7358414098</v>
      </c>
      <c r="F2915" s="3">
        <v>23710.4668011796</v>
      </c>
      <c r="G2915" s="3">
        <v>17323.2717485073</v>
      </c>
      <c r="H2915" s="3">
        <v>-60869.9318093838</v>
      </c>
      <c r="I2915" s="3">
        <v>72631.5126363298</v>
      </c>
      <c r="J2915" s="4">
        <v>45748.0</v>
      </c>
      <c r="K2915" s="3">
        <v>11.0</v>
      </c>
      <c r="L2915" s="3" t="s">
        <v>27</v>
      </c>
    </row>
    <row r="2916" ht="15.75" customHeight="1">
      <c r="A2916" s="3" t="s">
        <v>3001</v>
      </c>
      <c r="B2916" s="3" t="s">
        <v>36</v>
      </c>
      <c r="C2916" s="3" t="s">
        <v>26</v>
      </c>
      <c r="D2916" s="3">
        <v>81458.8801010542</v>
      </c>
      <c r="E2916" s="3">
        <v>28139.3505597372</v>
      </c>
      <c r="F2916" s="3">
        <v>23718.1468046091</v>
      </c>
      <c r="G2916" s="3">
        <v>17326.6692991945</v>
      </c>
      <c r="H2916" s="3">
        <v>-60919.4355271337</v>
      </c>
      <c r="I2916" s="3">
        <v>72634.8941107496</v>
      </c>
      <c r="J2916" s="4">
        <v>45778.0</v>
      </c>
      <c r="K2916" s="3">
        <v>19.0</v>
      </c>
      <c r="L2916" s="3" t="s">
        <v>31</v>
      </c>
    </row>
    <row r="2917" ht="15.75" customHeight="1">
      <c r="A2917" s="3" t="s">
        <v>3002</v>
      </c>
      <c r="B2917" s="3" t="s">
        <v>29</v>
      </c>
      <c r="C2917" s="3" t="s">
        <v>54</v>
      </c>
      <c r="D2917" s="3">
        <v>81469.7630709603</v>
      </c>
      <c r="E2917" s="3">
        <v>28143.9652780646</v>
      </c>
      <c r="F2917" s="3">
        <v>23725.8268080386</v>
      </c>
      <c r="G2917" s="3">
        <v>17330.0668498818</v>
      </c>
      <c r="H2917" s="3">
        <v>-60968.9392448827</v>
      </c>
      <c r="I2917" s="3">
        <v>72638.2755851694</v>
      </c>
      <c r="J2917" s="4">
        <v>45839.0</v>
      </c>
      <c r="K2917" s="3">
        <v>7.0</v>
      </c>
      <c r="L2917" s="3" t="s">
        <v>34</v>
      </c>
    </row>
    <row r="2918" ht="15.75" customHeight="1">
      <c r="A2918" s="3" t="s">
        <v>3003</v>
      </c>
      <c r="B2918" s="3" t="s">
        <v>51</v>
      </c>
      <c r="C2918" s="3" t="s">
        <v>37</v>
      </c>
      <c r="D2918" s="3">
        <v>81480.6460408665</v>
      </c>
      <c r="E2918" s="3">
        <v>28148.5799963921</v>
      </c>
      <c r="F2918" s="3">
        <v>23733.5068114681</v>
      </c>
      <c r="G2918" s="3">
        <v>17333.4644005691</v>
      </c>
      <c r="H2918" s="3">
        <v>-61018.4429626317</v>
      </c>
      <c r="I2918" s="3">
        <v>72641.6570595893</v>
      </c>
      <c r="J2918" s="4">
        <v>45901.0</v>
      </c>
      <c r="K2918" s="3">
        <v>21.0</v>
      </c>
      <c r="L2918" s="3" t="s">
        <v>38</v>
      </c>
    </row>
    <row r="2919" ht="15.75" customHeight="1">
      <c r="A2919" s="3" t="s">
        <v>3004</v>
      </c>
      <c r="B2919" s="3" t="s">
        <v>13</v>
      </c>
      <c r="C2919" s="3" t="s">
        <v>26</v>
      </c>
      <c r="D2919" s="3">
        <v>81491.5290107727</v>
      </c>
      <c r="E2919" s="3">
        <v>28153.1947147195</v>
      </c>
      <c r="F2919" s="3">
        <v>23741.1868148976</v>
      </c>
      <c r="G2919" s="3">
        <v>17336.8619512564</v>
      </c>
      <c r="H2919" s="3">
        <v>-61067.9466803807</v>
      </c>
      <c r="I2919" s="3">
        <v>72645.0385340091</v>
      </c>
      <c r="J2919" s="3" t="s">
        <v>1542</v>
      </c>
      <c r="K2919" s="3">
        <v>7.0</v>
      </c>
      <c r="L2919" s="3" t="s">
        <v>40</v>
      </c>
    </row>
    <row r="2920" ht="15.75" customHeight="1">
      <c r="A2920" s="3" t="s">
        <v>3005</v>
      </c>
      <c r="B2920" s="3" t="s">
        <v>13</v>
      </c>
      <c r="C2920" s="3" t="s">
        <v>30</v>
      </c>
      <c r="D2920" s="3">
        <v>81502.4119806789</v>
      </c>
      <c r="E2920" s="3">
        <v>28157.8094330469</v>
      </c>
      <c r="F2920" s="3">
        <v>23748.8668183271</v>
      </c>
      <c r="G2920" s="3">
        <v>17340.2595019437</v>
      </c>
      <c r="H2920" s="3">
        <v>-61117.4503981297</v>
      </c>
      <c r="I2920" s="3">
        <v>72648.4200084289</v>
      </c>
      <c r="J2920" s="4">
        <v>45658.0</v>
      </c>
      <c r="K2920" s="3">
        <v>25.0</v>
      </c>
      <c r="L2920" s="3" t="s">
        <v>42</v>
      </c>
    </row>
    <row r="2921" ht="15.75" customHeight="1">
      <c r="A2921" s="3" t="s">
        <v>3006</v>
      </c>
      <c r="B2921" s="3" t="s">
        <v>25</v>
      </c>
      <c r="C2921" s="3" t="s">
        <v>33</v>
      </c>
      <c r="D2921" s="3">
        <v>81513.2949505851</v>
      </c>
      <c r="E2921" s="3">
        <v>28162.4241513743</v>
      </c>
      <c r="F2921" s="3">
        <v>23756.5468217566</v>
      </c>
      <c r="G2921" s="3">
        <v>17343.657052631</v>
      </c>
      <c r="H2921" s="3">
        <v>-61166.9541158787</v>
      </c>
      <c r="I2921" s="3">
        <v>72651.8014828487</v>
      </c>
      <c r="J2921" s="4">
        <v>45778.0</v>
      </c>
      <c r="K2921" s="3">
        <v>25.0</v>
      </c>
      <c r="L2921" s="3" t="s">
        <v>15</v>
      </c>
    </row>
    <row r="2922" ht="15.75" customHeight="1">
      <c r="A2922" s="3" t="s">
        <v>3007</v>
      </c>
      <c r="B2922" s="3" t="s">
        <v>51</v>
      </c>
      <c r="C2922" s="3" t="s">
        <v>18</v>
      </c>
      <c r="D2922" s="3">
        <v>81535.0608903975</v>
      </c>
      <c r="E2922" s="3">
        <v>28171.6535880292</v>
      </c>
      <c r="F2922" s="3">
        <v>23771.9068286156</v>
      </c>
      <c r="G2922" s="3">
        <v>17350.4521540056</v>
      </c>
      <c r="H2922" s="3">
        <v>64184.6087363919</v>
      </c>
      <c r="I2922" s="3">
        <v>69184.6087363919</v>
      </c>
      <c r="J2922" s="4">
        <v>45870.0</v>
      </c>
      <c r="K2922" s="3">
        <v>11.0</v>
      </c>
      <c r="L2922" s="3" t="s">
        <v>21</v>
      </c>
    </row>
    <row r="2923" ht="15.75" customHeight="1">
      <c r="A2923" s="3" t="s">
        <v>3008</v>
      </c>
      <c r="B2923" s="3" t="s">
        <v>29</v>
      </c>
      <c r="C2923" s="3" t="s">
        <v>26</v>
      </c>
      <c r="D2923" s="3">
        <v>81545.9438603037</v>
      </c>
      <c r="E2923" s="3">
        <v>28176.2683063566</v>
      </c>
      <c r="F2923" s="3">
        <v>23779.5868320451</v>
      </c>
      <c r="G2923" s="3">
        <v>17353.8497046928</v>
      </c>
      <c r="H2923" s="3">
        <v>-61315.4652691267</v>
      </c>
      <c r="I2923" s="3">
        <v>72661.9459061081</v>
      </c>
      <c r="J2923" s="4">
        <v>45992.0</v>
      </c>
      <c r="K2923" s="3">
        <v>5.0</v>
      </c>
      <c r="L2923" s="3" t="s">
        <v>23</v>
      </c>
    </row>
    <row r="2924" ht="15.75" customHeight="1">
      <c r="A2924" s="3" t="s">
        <v>3009</v>
      </c>
      <c r="B2924" s="3" t="s">
        <v>17</v>
      </c>
      <c r="C2924" s="3" t="s">
        <v>18</v>
      </c>
      <c r="D2924" s="3">
        <v>81556.8268302099</v>
      </c>
      <c r="E2924" s="3">
        <v>28180.883024684</v>
      </c>
      <c r="F2924" s="3">
        <v>23787.2668354746</v>
      </c>
      <c r="G2924" s="3">
        <v>17357.2472553801</v>
      </c>
      <c r="H2924" s="3">
        <v>-61364.9689868757</v>
      </c>
      <c r="I2924" s="3">
        <v>72665.3273805279</v>
      </c>
      <c r="J2924" s="4">
        <v>45931.0</v>
      </c>
      <c r="K2924" s="3">
        <v>23.0</v>
      </c>
      <c r="L2924" s="3" t="s">
        <v>27</v>
      </c>
    </row>
    <row r="2925" ht="15.75" customHeight="1">
      <c r="A2925" s="3" t="s">
        <v>3010</v>
      </c>
      <c r="B2925" s="3" t="s">
        <v>53</v>
      </c>
      <c r="C2925" s="3" t="s">
        <v>14</v>
      </c>
      <c r="D2925" s="3">
        <v>81567.7098001161</v>
      </c>
      <c r="E2925" s="3">
        <v>28185.4977430114</v>
      </c>
      <c r="F2925" s="3">
        <v>23794.946838904</v>
      </c>
      <c r="G2925" s="3">
        <v>17360.6448060674</v>
      </c>
      <c r="H2925" s="3">
        <v>-61414.4727046247</v>
      </c>
      <c r="I2925" s="3">
        <v>72668.7088549478</v>
      </c>
      <c r="J2925" s="4">
        <v>45778.0</v>
      </c>
      <c r="K2925" s="3">
        <v>18.0</v>
      </c>
      <c r="L2925" s="3" t="s">
        <v>31</v>
      </c>
    </row>
    <row r="2926" ht="15.75" customHeight="1">
      <c r="A2926" s="3" t="s">
        <v>3011</v>
      </c>
      <c r="B2926" s="3" t="s">
        <v>25</v>
      </c>
      <c r="C2926" s="3" t="s">
        <v>33</v>
      </c>
      <c r="D2926" s="3">
        <v>81578.5927700223</v>
      </c>
      <c r="E2926" s="3">
        <v>28190.1124613389</v>
      </c>
      <c r="F2926" s="3">
        <v>23802.6268423335</v>
      </c>
      <c r="G2926" s="3">
        <v>17364.0423567547</v>
      </c>
      <c r="H2926" s="3">
        <v>-61463.9764223737</v>
      </c>
      <c r="I2926" s="3">
        <v>72672.0903293676</v>
      </c>
      <c r="J2926" s="4">
        <v>45962.0</v>
      </c>
      <c r="K2926" s="3">
        <v>18.0</v>
      </c>
      <c r="L2926" s="3" t="s">
        <v>34</v>
      </c>
    </row>
    <row r="2927" ht="15.75" customHeight="1">
      <c r="A2927" s="3" t="s">
        <v>3012</v>
      </c>
      <c r="B2927" s="3" t="s">
        <v>25</v>
      </c>
      <c r="C2927" s="3" t="s">
        <v>30</v>
      </c>
      <c r="D2927" s="3">
        <v>81589.4757399285</v>
      </c>
      <c r="E2927" s="3">
        <v>28194.7271796663</v>
      </c>
      <c r="F2927" s="3">
        <v>23810.306845763</v>
      </c>
      <c r="G2927" s="3">
        <v>17367.439907442</v>
      </c>
      <c r="H2927" s="3">
        <v>-61513.4801401227</v>
      </c>
      <c r="I2927" s="3">
        <v>72675.4718037874</v>
      </c>
      <c r="J2927" s="4">
        <v>45658.0</v>
      </c>
      <c r="K2927" s="3">
        <v>2.0</v>
      </c>
      <c r="L2927" s="3" t="s">
        <v>38</v>
      </c>
    </row>
    <row r="2928" ht="15.75" customHeight="1">
      <c r="A2928" s="3" t="s">
        <v>3013</v>
      </c>
      <c r="B2928" s="3" t="s">
        <v>13</v>
      </c>
      <c r="C2928" s="3" t="s">
        <v>54</v>
      </c>
      <c r="D2928" s="3">
        <v>81600.3587098347</v>
      </c>
      <c r="E2928" s="3">
        <v>28199.3418979937</v>
      </c>
      <c r="F2928" s="3">
        <v>23817.9868491925</v>
      </c>
      <c r="G2928" s="3">
        <v>17370.8374581293</v>
      </c>
      <c r="H2928" s="3">
        <v>-61562.9838578717</v>
      </c>
      <c r="I2928" s="3">
        <v>72678.8532782072</v>
      </c>
      <c r="J2928" s="4">
        <v>45992.0</v>
      </c>
      <c r="K2928" s="3">
        <v>9.0</v>
      </c>
      <c r="L2928" s="3" t="s">
        <v>40</v>
      </c>
    </row>
    <row r="2929" ht="15.75" customHeight="1">
      <c r="A2929" s="3" t="s">
        <v>3014</v>
      </c>
      <c r="B2929" s="3" t="s">
        <v>17</v>
      </c>
      <c r="C2929" s="3" t="s">
        <v>54</v>
      </c>
      <c r="D2929" s="3">
        <v>81611.2416797409</v>
      </c>
      <c r="E2929" s="3">
        <v>28203.9566163211</v>
      </c>
      <c r="F2929" s="3">
        <v>23825.666852622</v>
      </c>
      <c r="G2929" s="3">
        <v>17374.2350088166</v>
      </c>
      <c r="H2929" s="3">
        <v>-61612.4875756207</v>
      </c>
      <c r="I2929" s="3">
        <v>72682.234752627</v>
      </c>
      <c r="J2929" s="4">
        <v>45778.0</v>
      </c>
      <c r="K2929" s="3">
        <v>10.0</v>
      </c>
      <c r="L2929" s="3" t="s">
        <v>42</v>
      </c>
    </row>
    <row r="2930" ht="15.75" customHeight="1">
      <c r="A2930" s="3" t="s">
        <v>3015</v>
      </c>
      <c r="B2930" s="3" t="s">
        <v>51</v>
      </c>
      <c r="C2930" s="3" t="s">
        <v>33</v>
      </c>
      <c r="D2930" s="3">
        <v>81622.1246496471</v>
      </c>
      <c r="E2930" s="3">
        <v>28208.5713346486</v>
      </c>
      <c r="F2930" s="3">
        <v>23833.3468560515</v>
      </c>
      <c r="G2930" s="3">
        <v>17377.6325595039</v>
      </c>
      <c r="H2930" s="3">
        <v>-61661.9912933697</v>
      </c>
      <c r="I2930" s="3">
        <v>72685.6162270468</v>
      </c>
      <c r="J2930" s="4">
        <v>45931.0</v>
      </c>
      <c r="K2930" s="3">
        <v>18.0</v>
      </c>
      <c r="L2930" s="3" t="s">
        <v>15</v>
      </c>
    </row>
    <row r="2931" ht="15.75" customHeight="1">
      <c r="A2931" s="3" t="s">
        <v>3016</v>
      </c>
      <c r="B2931" s="3" t="s">
        <v>13</v>
      </c>
      <c r="C2931" s="3" t="s">
        <v>14</v>
      </c>
      <c r="D2931" s="3">
        <v>81633.0076195532</v>
      </c>
      <c r="E2931" s="3">
        <v>28213.186052976</v>
      </c>
      <c r="F2931" s="3">
        <v>23841.026859481</v>
      </c>
      <c r="G2931" s="3">
        <v>17381.0301101911</v>
      </c>
      <c r="H2931" s="3">
        <v>-61711.4950111197</v>
      </c>
      <c r="I2931" s="3">
        <v>72688.9977014667</v>
      </c>
      <c r="J2931" s="4">
        <v>45809.0</v>
      </c>
      <c r="K2931" s="3">
        <v>10.0</v>
      </c>
      <c r="L2931" s="3" t="s">
        <v>19</v>
      </c>
    </row>
    <row r="2932" ht="15.75" customHeight="1">
      <c r="A2932" s="3" t="s">
        <v>3017</v>
      </c>
      <c r="B2932" s="3" t="s">
        <v>51</v>
      </c>
      <c r="C2932" s="3" t="s">
        <v>26</v>
      </c>
      <c r="D2932" s="3">
        <v>81643.8905894594</v>
      </c>
      <c r="E2932" s="3">
        <v>28217.8007713034</v>
      </c>
      <c r="F2932" s="3">
        <v>23848.7068629105</v>
      </c>
      <c r="G2932" s="3">
        <v>17384.4276608784</v>
      </c>
      <c r="H2932" s="3">
        <v>-61760.9987288687</v>
      </c>
      <c r="I2932" s="3">
        <v>72692.3791758865</v>
      </c>
      <c r="J2932" s="4">
        <v>45870.0</v>
      </c>
      <c r="K2932" s="3">
        <v>24.0</v>
      </c>
      <c r="L2932" s="3" t="s">
        <v>21</v>
      </c>
    </row>
    <row r="2933" ht="15.75" customHeight="1">
      <c r="A2933" s="3" t="s">
        <v>3018</v>
      </c>
      <c r="B2933" s="3" t="s">
        <v>53</v>
      </c>
      <c r="C2933" s="3" t="s">
        <v>37</v>
      </c>
      <c r="D2933" s="3">
        <v>81665.6565292718</v>
      </c>
      <c r="E2933" s="3">
        <v>28227.0302079582</v>
      </c>
      <c r="F2933" s="3">
        <v>23864.0668697695</v>
      </c>
      <c r="G2933" s="3">
        <v>17391.222762253</v>
      </c>
      <c r="H2933" s="3">
        <v>-61860.0061643667</v>
      </c>
      <c r="I2933" s="3">
        <v>72699.1421247261</v>
      </c>
      <c r="J2933" s="4">
        <v>45901.0</v>
      </c>
      <c r="K2933" s="3">
        <v>24.0</v>
      </c>
      <c r="L2933" s="3" t="s">
        <v>27</v>
      </c>
    </row>
    <row r="2934" ht="15.75" customHeight="1">
      <c r="A2934" s="3" t="s">
        <v>3019</v>
      </c>
      <c r="B2934" s="3" t="s">
        <v>17</v>
      </c>
      <c r="C2934" s="3" t="s">
        <v>18</v>
      </c>
      <c r="D2934" s="3">
        <v>81676.539499178</v>
      </c>
      <c r="E2934" s="3">
        <v>28231.6449262857</v>
      </c>
      <c r="F2934" s="3">
        <v>23871.746873199</v>
      </c>
      <c r="G2934" s="3">
        <v>17394.6203129403</v>
      </c>
      <c r="H2934" s="3">
        <v>-61909.5098821157</v>
      </c>
      <c r="I2934" s="3">
        <v>72702.5235991459</v>
      </c>
      <c r="J2934" s="4">
        <v>45931.0</v>
      </c>
      <c r="K2934" s="3">
        <v>20.0</v>
      </c>
      <c r="L2934" s="3" t="s">
        <v>31</v>
      </c>
    </row>
    <row r="2935" ht="15.75" customHeight="1">
      <c r="A2935" s="3" t="s">
        <v>3020</v>
      </c>
      <c r="B2935" s="3" t="s">
        <v>13</v>
      </c>
      <c r="C2935" s="3" t="s">
        <v>54</v>
      </c>
      <c r="D2935" s="3">
        <v>81687.4224690842</v>
      </c>
      <c r="E2935" s="3">
        <v>28236.2596446131</v>
      </c>
      <c r="F2935" s="3">
        <v>23879.4268766285</v>
      </c>
      <c r="G2935" s="3">
        <v>17398.0178636276</v>
      </c>
      <c r="H2935" s="3">
        <v>-61959.0135998647</v>
      </c>
      <c r="I2935" s="3">
        <v>72705.9050735657</v>
      </c>
      <c r="J2935" s="4">
        <v>45870.0</v>
      </c>
      <c r="K2935" s="3">
        <v>1.0</v>
      </c>
      <c r="L2935" s="3" t="s">
        <v>34</v>
      </c>
    </row>
    <row r="2936" ht="15.75" customHeight="1">
      <c r="A2936" s="3" t="s">
        <v>3021</v>
      </c>
      <c r="B2936" s="3" t="s">
        <v>25</v>
      </c>
      <c r="C2936" s="3" t="s">
        <v>33</v>
      </c>
      <c r="D2936" s="3">
        <v>81698.3054389904</v>
      </c>
      <c r="E2936" s="3">
        <v>28240.8743629405</v>
      </c>
      <c r="F2936" s="3">
        <v>23887.106880058</v>
      </c>
      <c r="G2936" s="3">
        <v>17401.4154143149</v>
      </c>
      <c r="H2936" s="3">
        <v>-62008.5173176137</v>
      </c>
      <c r="I2936" s="3">
        <v>72709.2865479855</v>
      </c>
      <c r="J2936" s="4">
        <v>45931.0</v>
      </c>
      <c r="K2936" s="3">
        <v>25.0</v>
      </c>
      <c r="L2936" s="3" t="s">
        <v>38</v>
      </c>
    </row>
    <row r="2937" ht="15.75" customHeight="1">
      <c r="A2937" s="3" t="s">
        <v>3022</v>
      </c>
      <c r="B2937" s="3" t="s">
        <v>36</v>
      </c>
      <c r="C2937" s="3" t="s">
        <v>33</v>
      </c>
      <c r="D2937" s="3">
        <v>81709.1884088966</v>
      </c>
      <c r="E2937" s="3">
        <v>28245.4890812679</v>
      </c>
      <c r="F2937" s="3">
        <v>23894.7868834875</v>
      </c>
      <c r="G2937" s="3">
        <v>17404.8129650021</v>
      </c>
      <c r="H2937" s="3">
        <v>-62058.0210353627</v>
      </c>
      <c r="I2937" s="3">
        <v>72712.6680224054</v>
      </c>
      <c r="J2937" s="4">
        <v>45962.0</v>
      </c>
      <c r="K2937" s="3">
        <v>18.0</v>
      </c>
      <c r="L2937" s="3" t="s">
        <v>40</v>
      </c>
    </row>
    <row r="2938" ht="15.75" customHeight="1">
      <c r="A2938" s="3" t="s">
        <v>3023</v>
      </c>
      <c r="B2938" s="3" t="s">
        <v>29</v>
      </c>
      <c r="C2938" s="3" t="s">
        <v>33</v>
      </c>
      <c r="D2938" s="3">
        <v>81720.0713788028</v>
      </c>
      <c r="E2938" s="3">
        <v>28250.1037995954</v>
      </c>
      <c r="F2938" s="3">
        <v>23902.466886917</v>
      </c>
      <c r="G2938" s="3">
        <v>17408.2105156894</v>
      </c>
      <c r="H2938" s="3">
        <v>-62107.5247531127</v>
      </c>
      <c r="I2938" s="3">
        <v>72716.0494968252</v>
      </c>
      <c r="J2938" s="4">
        <v>45901.0</v>
      </c>
      <c r="K2938" s="3">
        <v>14.0</v>
      </c>
      <c r="L2938" s="3" t="s">
        <v>42</v>
      </c>
    </row>
    <row r="2939" ht="15.75" customHeight="1">
      <c r="A2939" s="3" t="s">
        <v>3024</v>
      </c>
      <c r="B2939" s="3" t="s">
        <v>13</v>
      </c>
      <c r="C2939" s="3" t="s">
        <v>18</v>
      </c>
      <c r="D2939" s="3">
        <v>81730.954348709</v>
      </c>
      <c r="E2939" s="3">
        <v>28254.7185179228</v>
      </c>
      <c r="F2939" s="3">
        <v>23910.1468903465</v>
      </c>
      <c r="G2939" s="3">
        <v>17411.6080663767</v>
      </c>
      <c r="H2939" s="3">
        <v>-62157.0284708617</v>
      </c>
      <c r="I2939" s="3">
        <v>72719.430971245</v>
      </c>
      <c r="J2939" s="4">
        <v>45778.0</v>
      </c>
      <c r="K2939" s="3">
        <v>21.0</v>
      </c>
      <c r="L2939" s="3" t="s">
        <v>15</v>
      </c>
    </row>
    <row r="2940" ht="15.75" customHeight="1">
      <c r="A2940" s="3" t="s">
        <v>3025</v>
      </c>
      <c r="B2940" s="3" t="s">
        <v>53</v>
      </c>
      <c r="C2940" s="3" t="s">
        <v>30</v>
      </c>
      <c r="D2940" s="3">
        <v>81741.8373186152</v>
      </c>
      <c r="E2940" s="3">
        <v>28259.3332362502</v>
      </c>
      <c r="F2940" s="3">
        <v>23917.826893776</v>
      </c>
      <c r="G2940" s="3">
        <v>17415.005617064</v>
      </c>
      <c r="H2940" s="3">
        <v>-62206.5321886107</v>
      </c>
      <c r="I2940" s="3">
        <v>72722.8124456648</v>
      </c>
      <c r="J2940" s="4">
        <v>45717.0</v>
      </c>
      <c r="K2940" s="3">
        <v>18.0</v>
      </c>
      <c r="L2940" s="3" t="s">
        <v>19</v>
      </c>
    </row>
    <row r="2941" ht="15.75" customHeight="1">
      <c r="A2941" s="3" t="s">
        <v>3026</v>
      </c>
      <c r="B2941" s="3" t="s">
        <v>29</v>
      </c>
      <c r="C2941" s="3" t="s">
        <v>33</v>
      </c>
      <c r="D2941" s="3">
        <v>81752.7202885214</v>
      </c>
      <c r="E2941" s="3">
        <v>28263.9479545776</v>
      </c>
      <c r="F2941" s="3">
        <v>23925.5068972055</v>
      </c>
      <c r="G2941" s="3">
        <v>17418.4031677513</v>
      </c>
      <c r="H2941" s="3">
        <v>-62256.0359063597</v>
      </c>
      <c r="I2941" s="3">
        <v>72726.1939200846</v>
      </c>
      <c r="J2941" s="4">
        <v>45778.0</v>
      </c>
      <c r="K2941" s="3">
        <v>17.0</v>
      </c>
      <c r="L2941" s="3" t="s">
        <v>21</v>
      </c>
    </row>
    <row r="2942" ht="15.75" customHeight="1">
      <c r="A2942" s="3" t="s">
        <v>3027</v>
      </c>
      <c r="B2942" s="3" t="s">
        <v>13</v>
      </c>
      <c r="C2942" s="3" t="s">
        <v>37</v>
      </c>
      <c r="D2942" s="3">
        <v>81774.4862283338</v>
      </c>
      <c r="E2942" s="3">
        <v>28273.1773912325</v>
      </c>
      <c r="F2942" s="3">
        <v>23940.8669040645</v>
      </c>
      <c r="G2942" s="3">
        <v>17425.1982691259</v>
      </c>
      <c r="H2942" s="3">
        <v>-62355.0433418577</v>
      </c>
      <c r="I2942" s="3">
        <v>72732.9568689242</v>
      </c>
      <c r="J2942" s="4">
        <v>45931.0</v>
      </c>
      <c r="K2942" s="3">
        <v>4.0</v>
      </c>
      <c r="L2942" s="3" t="s">
        <v>27</v>
      </c>
    </row>
    <row r="2943" ht="15.75" customHeight="1">
      <c r="A2943" s="3" t="s">
        <v>3028</v>
      </c>
      <c r="B2943" s="3" t="s">
        <v>36</v>
      </c>
      <c r="C2943" s="3" t="s">
        <v>26</v>
      </c>
      <c r="D2943" s="3">
        <v>81785.36919824</v>
      </c>
      <c r="E2943" s="3">
        <v>28277.7921095599</v>
      </c>
      <c r="F2943" s="3">
        <v>23948.546907494</v>
      </c>
      <c r="G2943" s="3">
        <v>17428.5958198132</v>
      </c>
      <c r="H2943" s="3">
        <v>-62404.5470596067</v>
      </c>
      <c r="I2943" s="3">
        <v>72736.338343344</v>
      </c>
      <c r="J2943" s="4">
        <v>45839.0</v>
      </c>
      <c r="K2943" s="3">
        <v>8.0</v>
      </c>
      <c r="L2943" s="3" t="s">
        <v>31</v>
      </c>
    </row>
    <row r="2944" ht="15.75" customHeight="1">
      <c r="A2944" s="3" t="s">
        <v>3029</v>
      </c>
      <c r="B2944" s="3" t="s">
        <v>25</v>
      </c>
      <c r="C2944" s="3" t="s">
        <v>54</v>
      </c>
      <c r="D2944" s="3">
        <v>81796.2521681461</v>
      </c>
      <c r="E2944" s="3">
        <v>28282.4068278873</v>
      </c>
      <c r="F2944" s="3">
        <v>23956.2269109235</v>
      </c>
      <c r="G2944" s="3">
        <v>17431.9933705004</v>
      </c>
      <c r="H2944" s="3">
        <v>-62454.0507773557</v>
      </c>
      <c r="I2944" s="3">
        <v>72739.7198177639</v>
      </c>
      <c r="J2944" s="4">
        <v>45748.0</v>
      </c>
      <c r="K2944" s="3">
        <v>10.0</v>
      </c>
      <c r="L2944" s="3" t="s">
        <v>34</v>
      </c>
    </row>
    <row r="2945" ht="15.75" customHeight="1">
      <c r="A2945" s="3" t="s">
        <v>3030</v>
      </c>
      <c r="B2945" s="3" t="s">
        <v>17</v>
      </c>
      <c r="C2945" s="3" t="s">
        <v>37</v>
      </c>
      <c r="D2945" s="3">
        <v>81807.1351380523</v>
      </c>
      <c r="E2945" s="3">
        <v>28287.0215462147</v>
      </c>
      <c r="F2945" s="3">
        <v>23963.906914353</v>
      </c>
      <c r="G2945" s="3">
        <v>17435.3909211877</v>
      </c>
      <c r="H2945" s="3">
        <v>-62503.5544951057</v>
      </c>
      <c r="I2945" s="3">
        <v>72743.1012921837</v>
      </c>
      <c r="J2945" s="4">
        <v>45717.0</v>
      </c>
      <c r="K2945" s="3">
        <v>1.0</v>
      </c>
      <c r="L2945" s="3" t="s">
        <v>38</v>
      </c>
    </row>
    <row r="2946" ht="15.75" customHeight="1">
      <c r="A2946" s="3" t="s">
        <v>3031</v>
      </c>
      <c r="B2946" s="3" t="s">
        <v>53</v>
      </c>
      <c r="C2946" s="3" t="s">
        <v>18</v>
      </c>
      <c r="D2946" s="3">
        <v>81818.0181079585</v>
      </c>
      <c r="E2946" s="3">
        <v>28291.6362645422</v>
      </c>
      <c r="F2946" s="3">
        <v>23971.5869177825</v>
      </c>
      <c r="G2946" s="3">
        <v>17438.788471875</v>
      </c>
      <c r="H2946" s="3">
        <v>-62553.0582128547</v>
      </c>
      <c r="I2946" s="3">
        <v>72746.4827666035</v>
      </c>
      <c r="J2946" s="4">
        <v>45962.0</v>
      </c>
      <c r="K2946" s="3">
        <v>21.0</v>
      </c>
      <c r="L2946" s="3" t="s">
        <v>40</v>
      </c>
    </row>
    <row r="2947" ht="15.75" customHeight="1">
      <c r="A2947" s="3" t="s">
        <v>3032</v>
      </c>
      <c r="B2947" s="3" t="s">
        <v>29</v>
      </c>
      <c r="C2947" s="3" t="s">
        <v>54</v>
      </c>
      <c r="D2947" s="3">
        <v>81828.9010778647</v>
      </c>
      <c r="E2947" s="3">
        <v>28296.2509828696</v>
      </c>
      <c r="F2947" s="3">
        <v>23979.266921212</v>
      </c>
      <c r="G2947" s="3">
        <v>17442.1860225623</v>
      </c>
      <c r="H2947" s="3">
        <v>-62602.5619306037</v>
      </c>
      <c r="I2947" s="3">
        <v>72749.8642410233</v>
      </c>
      <c r="J2947" s="4">
        <v>45717.0</v>
      </c>
      <c r="K2947" s="3">
        <v>18.0</v>
      </c>
      <c r="L2947" s="3" t="s">
        <v>42</v>
      </c>
    </row>
    <row r="2948" ht="15.75" customHeight="1">
      <c r="A2948" s="3" t="s">
        <v>3033</v>
      </c>
      <c r="B2948" s="3" t="s">
        <v>29</v>
      </c>
      <c r="C2948" s="3" t="s">
        <v>30</v>
      </c>
      <c r="D2948" s="3">
        <v>81839.7840477709</v>
      </c>
      <c r="E2948" s="3">
        <v>28300.865701197</v>
      </c>
      <c r="F2948" s="3">
        <v>23986.9469246415</v>
      </c>
      <c r="G2948" s="3">
        <v>17445.5835732496</v>
      </c>
      <c r="H2948" s="3">
        <v>-62652.0656483527</v>
      </c>
      <c r="I2948" s="3">
        <v>72753.2457154431</v>
      </c>
      <c r="J2948" s="4">
        <v>45717.0</v>
      </c>
      <c r="K2948" s="3">
        <v>20.0</v>
      </c>
      <c r="L2948" s="3" t="s">
        <v>15</v>
      </c>
    </row>
    <row r="2949" ht="15.75" customHeight="1">
      <c r="A2949" s="3" t="s">
        <v>3034</v>
      </c>
      <c r="B2949" s="3" t="s">
        <v>51</v>
      </c>
      <c r="C2949" s="3" t="s">
        <v>18</v>
      </c>
      <c r="D2949" s="3">
        <v>81850.6670176771</v>
      </c>
      <c r="E2949" s="3">
        <v>28305.4804195244</v>
      </c>
      <c r="F2949" s="3">
        <v>23994.626928071</v>
      </c>
      <c r="G2949" s="3">
        <v>17448.9811239369</v>
      </c>
      <c r="H2949" s="3">
        <v>-62701.5693661017</v>
      </c>
      <c r="I2949" s="3">
        <v>72756.6271898629</v>
      </c>
      <c r="J2949" s="4">
        <v>45839.0</v>
      </c>
      <c r="K2949" s="3">
        <v>16.0</v>
      </c>
      <c r="L2949" s="3" t="s">
        <v>19</v>
      </c>
    </row>
    <row r="2950" ht="15.75" customHeight="1">
      <c r="A2950" s="3" t="s">
        <v>3035</v>
      </c>
      <c r="B2950" s="3" t="s">
        <v>53</v>
      </c>
      <c r="C2950" s="3" t="s">
        <v>33</v>
      </c>
      <c r="D2950" s="3">
        <v>81861.5499875833</v>
      </c>
      <c r="E2950" s="3">
        <v>28310.0951378518</v>
      </c>
      <c r="F2950" s="3">
        <v>24002.3069315005</v>
      </c>
      <c r="G2950" s="3">
        <v>17452.3786746242</v>
      </c>
      <c r="H2950" s="3">
        <v>-62751.0730838507</v>
      </c>
      <c r="I2950" s="3">
        <v>72760.0086642828</v>
      </c>
      <c r="J2950" s="4">
        <v>45809.0</v>
      </c>
      <c r="K2950" s="3">
        <v>11.0</v>
      </c>
      <c r="L2950" s="3" t="s">
        <v>21</v>
      </c>
    </row>
    <row r="2951" ht="15.75" customHeight="1">
      <c r="A2951" s="3" t="s">
        <v>3036</v>
      </c>
      <c r="B2951" s="3" t="s">
        <v>53</v>
      </c>
      <c r="C2951" s="3" t="s">
        <v>14</v>
      </c>
      <c r="D2951" s="3">
        <v>81872.4329574895</v>
      </c>
      <c r="E2951" s="3">
        <v>28314.7098561793</v>
      </c>
      <c r="F2951" s="3">
        <v>24009.98693493</v>
      </c>
      <c r="G2951" s="3">
        <v>17455.7762253115</v>
      </c>
      <c r="H2951" s="3">
        <v>-62800.5768015997</v>
      </c>
      <c r="I2951" s="3">
        <v>72763.3901387026</v>
      </c>
      <c r="J2951" s="3" t="s">
        <v>61</v>
      </c>
      <c r="K2951" s="3">
        <v>15.0</v>
      </c>
      <c r="L2951" s="3" t="s">
        <v>23</v>
      </c>
    </row>
    <row r="2952" ht="15.75" customHeight="1">
      <c r="A2952" s="3" t="s">
        <v>3037</v>
      </c>
      <c r="B2952" s="3" t="s">
        <v>17</v>
      </c>
      <c r="C2952" s="3" t="s">
        <v>26</v>
      </c>
      <c r="D2952" s="3">
        <v>81883.3159273957</v>
      </c>
      <c r="E2952" s="3">
        <v>28319.3245745067</v>
      </c>
      <c r="F2952" s="3">
        <v>24017.6669383595</v>
      </c>
      <c r="G2952" s="3">
        <v>17459.1737759987</v>
      </c>
      <c r="H2952" s="3">
        <v>-62850.0805193487</v>
      </c>
      <c r="I2952" s="3">
        <v>72766.7716131224</v>
      </c>
      <c r="J2952" s="4">
        <v>45839.0</v>
      </c>
      <c r="K2952" s="3">
        <v>13.0</v>
      </c>
      <c r="L2952" s="3" t="s">
        <v>27</v>
      </c>
    </row>
    <row r="2953" ht="15.75" customHeight="1">
      <c r="A2953" s="3" t="s">
        <v>3038</v>
      </c>
      <c r="B2953" s="3" t="s">
        <v>25</v>
      </c>
      <c r="C2953" s="3" t="s">
        <v>14</v>
      </c>
      <c r="D2953" s="3">
        <v>81894.1988973019</v>
      </c>
      <c r="E2953" s="3">
        <v>28323.9392928341</v>
      </c>
      <c r="F2953" s="3">
        <v>24025.346941789</v>
      </c>
      <c r="G2953" s="3">
        <v>17462.571326686</v>
      </c>
      <c r="H2953" s="3">
        <v>-62899.5842370987</v>
      </c>
      <c r="I2953" s="3">
        <v>72770.1530875422</v>
      </c>
      <c r="J2953" s="4">
        <v>45778.0</v>
      </c>
      <c r="K2953" s="3">
        <v>21.0</v>
      </c>
      <c r="L2953" s="3" t="s">
        <v>31</v>
      </c>
    </row>
    <row r="2954" ht="15.75" customHeight="1">
      <c r="A2954" s="3" t="s">
        <v>3039</v>
      </c>
      <c r="B2954" s="3" t="s">
        <v>51</v>
      </c>
      <c r="C2954" s="3" t="s">
        <v>33</v>
      </c>
      <c r="D2954" s="3">
        <v>81905.0818672081</v>
      </c>
      <c r="E2954" s="3">
        <v>28328.5540111615</v>
      </c>
      <c r="F2954" s="3">
        <v>24033.0269452185</v>
      </c>
      <c r="G2954" s="3">
        <v>17465.9688773733</v>
      </c>
      <c r="H2954" s="3">
        <v>-62949.0879548477</v>
      </c>
      <c r="I2954" s="3">
        <v>72773.534561962</v>
      </c>
      <c r="J2954" s="3" t="s">
        <v>980</v>
      </c>
      <c r="K2954" s="3">
        <v>13.0</v>
      </c>
      <c r="L2954" s="3" t="s">
        <v>34</v>
      </c>
    </row>
    <row r="2955" ht="15.75" customHeight="1">
      <c r="A2955" s="3" t="s">
        <v>3040</v>
      </c>
      <c r="B2955" s="3" t="s">
        <v>36</v>
      </c>
      <c r="C2955" s="3" t="s">
        <v>37</v>
      </c>
      <c r="D2955" s="3">
        <v>81926.8478070205</v>
      </c>
      <c r="E2955" s="3">
        <v>28337.7834478164</v>
      </c>
      <c r="F2955" s="3">
        <v>24048.3869520775</v>
      </c>
      <c r="G2955" s="3">
        <v>17472.7639787479</v>
      </c>
      <c r="H2955" s="3">
        <v>-63048.0953903457</v>
      </c>
      <c r="I2955" s="3">
        <v>72780.2975108016</v>
      </c>
      <c r="J2955" s="4">
        <v>45748.0</v>
      </c>
      <c r="K2955" s="3">
        <v>19.0</v>
      </c>
      <c r="L2955" s="3" t="s">
        <v>40</v>
      </c>
    </row>
    <row r="2956" ht="15.75" customHeight="1">
      <c r="A2956" s="3" t="s">
        <v>3041</v>
      </c>
      <c r="B2956" s="3" t="s">
        <v>51</v>
      </c>
      <c r="C2956" s="3" t="s">
        <v>30</v>
      </c>
      <c r="D2956" s="3">
        <v>81937.7307769267</v>
      </c>
      <c r="E2956" s="3">
        <v>28342.3981661438</v>
      </c>
      <c r="F2956" s="3">
        <v>24056.066955507</v>
      </c>
      <c r="G2956" s="3">
        <v>17476.1615294352</v>
      </c>
      <c r="H2956" s="3">
        <v>-63097.5991080947</v>
      </c>
      <c r="I2956" s="3">
        <v>72783.6789852215</v>
      </c>
      <c r="J2956" s="4">
        <v>45962.0</v>
      </c>
      <c r="K2956" s="3">
        <v>23.0</v>
      </c>
      <c r="L2956" s="3" t="s">
        <v>42</v>
      </c>
    </row>
    <row r="2957" ht="15.75" customHeight="1">
      <c r="A2957" s="3" t="s">
        <v>3042</v>
      </c>
      <c r="B2957" s="3" t="s">
        <v>25</v>
      </c>
      <c r="C2957" s="3" t="s">
        <v>26</v>
      </c>
      <c r="D2957" s="3">
        <v>81948.6137468329</v>
      </c>
      <c r="E2957" s="3">
        <v>28347.0128844712</v>
      </c>
      <c r="F2957" s="3">
        <v>24063.7469589365</v>
      </c>
      <c r="G2957" s="3">
        <v>17479.5590801225</v>
      </c>
      <c r="H2957" s="3">
        <v>-63147.1028258437</v>
      </c>
      <c r="I2957" s="3">
        <v>72787.0604596413</v>
      </c>
      <c r="J2957" s="4">
        <v>45931.0</v>
      </c>
      <c r="K2957" s="3">
        <v>19.0</v>
      </c>
      <c r="L2957" s="3" t="s">
        <v>15</v>
      </c>
    </row>
    <row r="2958" ht="15.75" customHeight="1">
      <c r="A2958" s="3" t="s">
        <v>3043</v>
      </c>
      <c r="B2958" s="3" t="s">
        <v>25</v>
      </c>
      <c r="C2958" s="3" t="s">
        <v>18</v>
      </c>
      <c r="D2958" s="3">
        <v>81970.3796866452</v>
      </c>
      <c r="E2958" s="3">
        <v>28356.2423211261</v>
      </c>
      <c r="F2958" s="3">
        <v>24079.1069657954</v>
      </c>
      <c r="G2958" s="3">
        <v>17486.354181497</v>
      </c>
      <c r="H2958" s="3">
        <v>-63246.1102613417</v>
      </c>
      <c r="I2958" s="3">
        <v>72793.8234084809</v>
      </c>
      <c r="J2958" s="4">
        <v>45778.0</v>
      </c>
      <c r="K2958" s="3">
        <v>16.0</v>
      </c>
      <c r="L2958" s="3" t="s">
        <v>21</v>
      </c>
    </row>
    <row r="2959" ht="15.75" customHeight="1">
      <c r="A2959" s="3" t="s">
        <v>3044</v>
      </c>
      <c r="B2959" s="3" t="s">
        <v>17</v>
      </c>
      <c r="C2959" s="3" t="s">
        <v>14</v>
      </c>
      <c r="D2959" s="3">
        <v>81981.2626565514</v>
      </c>
      <c r="E2959" s="3">
        <v>28360.8570394535</v>
      </c>
      <c r="F2959" s="3">
        <v>24086.7869692249</v>
      </c>
      <c r="G2959" s="3">
        <v>17489.7517321843</v>
      </c>
      <c r="H2959" s="3">
        <v>-63295.6139790917</v>
      </c>
      <c r="I2959" s="3">
        <v>72797.2048829007</v>
      </c>
      <c r="J2959" s="4">
        <v>45778.0</v>
      </c>
      <c r="K2959" s="3">
        <v>24.0</v>
      </c>
      <c r="L2959" s="3" t="s">
        <v>23</v>
      </c>
    </row>
    <row r="2960" ht="15.75" customHeight="1">
      <c r="A2960" s="3" t="s">
        <v>3045</v>
      </c>
      <c r="B2960" s="3" t="s">
        <v>17</v>
      </c>
      <c r="C2960" s="3" t="s">
        <v>30</v>
      </c>
      <c r="D2960" s="3">
        <v>81992.1456264576</v>
      </c>
      <c r="E2960" s="3">
        <v>28365.4717577809</v>
      </c>
      <c r="F2960" s="3">
        <v>24094.4669726544</v>
      </c>
      <c r="G2960" s="3">
        <v>17493.1492828716</v>
      </c>
      <c r="H2960" s="3">
        <v>-63345.1176968407</v>
      </c>
      <c r="I2960" s="3">
        <v>72800.5863573205</v>
      </c>
      <c r="J2960" s="4">
        <v>45992.0</v>
      </c>
      <c r="K2960" s="3">
        <v>24.0</v>
      </c>
      <c r="L2960" s="3" t="s">
        <v>27</v>
      </c>
    </row>
    <row r="2961" ht="15.75" customHeight="1">
      <c r="A2961" s="3" t="s">
        <v>3046</v>
      </c>
      <c r="B2961" s="3" t="s">
        <v>36</v>
      </c>
      <c r="C2961" s="3" t="s">
        <v>30</v>
      </c>
      <c r="D2961" s="3">
        <v>82003.0285963638</v>
      </c>
      <c r="E2961" s="3">
        <v>28370.0864761083</v>
      </c>
      <c r="F2961" s="3">
        <v>24102.1469760839</v>
      </c>
      <c r="G2961" s="3">
        <v>17496.5468335589</v>
      </c>
      <c r="H2961" s="3">
        <v>-63394.6214145897</v>
      </c>
      <c r="I2961" s="3">
        <v>72803.9678317403</v>
      </c>
      <c r="J2961" s="4">
        <v>45689.0</v>
      </c>
      <c r="K2961" s="3">
        <v>1.0</v>
      </c>
      <c r="L2961" s="3" t="s">
        <v>31</v>
      </c>
    </row>
    <row r="2962" ht="15.75" customHeight="1">
      <c r="A2962" s="3" t="s">
        <v>3047</v>
      </c>
      <c r="B2962" s="3" t="s">
        <v>36</v>
      </c>
      <c r="C2962" s="3" t="s">
        <v>37</v>
      </c>
      <c r="D2962" s="3">
        <v>82013.91156627</v>
      </c>
      <c r="E2962" s="3">
        <v>28374.7011944357</v>
      </c>
      <c r="F2962" s="3">
        <v>24109.8269795134</v>
      </c>
      <c r="G2962" s="3">
        <v>17499.9443842462</v>
      </c>
      <c r="H2962" s="3">
        <v>-63444.1251323387</v>
      </c>
      <c r="I2962" s="3">
        <v>72807.3493061601</v>
      </c>
      <c r="J2962" s="4">
        <v>45778.0</v>
      </c>
      <c r="K2962" s="3">
        <v>5.0</v>
      </c>
      <c r="L2962" s="3" t="s">
        <v>34</v>
      </c>
    </row>
    <row r="2963" ht="15.75" customHeight="1">
      <c r="A2963" s="3" t="s">
        <v>3048</v>
      </c>
      <c r="B2963" s="3" t="s">
        <v>51</v>
      </c>
      <c r="C2963" s="3" t="s">
        <v>18</v>
      </c>
      <c r="D2963" s="3">
        <v>82024.7945361762</v>
      </c>
      <c r="E2963" s="3">
        <v>28379.3159127632</v>
      </c>
      <c r="F2963" s="3">
        <v>24117.5069829429</v>
      </c>
      <c r="G2963" s="3">
        <v>17503.3419349335</v>
      </c>
      <c r="H2963" s="3">
        <v>-63493.6288500877</v>
      </c>
      <c r="I2963" s="3">
        <v>72810.73078058</v>
      </c>
      <c r="J2963" s="4">
        <v>45717.0</v>
      </c>
      <c r="K2963" s="3">
        <v>8.0</v>
      </c>
      <c r="L2963" s="3" t="s">
        <v>38</v>
      </c>
    </row>
    <row r="2964" ht="15.75" customHeight="1">
      <c r="A2964" s="3" t="s">
        <v>3049</v>
      </c>
      <c r="B2964" s="3" t="s">
        <v>29</v>
      </c>
      <c r="C2964" s="3" t="s">
        <v>33</v>
      </c>
      <c r="D2964" s="3">
        <v>82035.6775060824</v>
      </c>
      <c r="E2964" s="3">
        <v>28383.9306310906</v>
      </c>
      <c r="F2964" s="3">
        <v>24125.1869863724</v>
      </c>
      <c r="G2964" s="3">
        <v>17506.7394856208</v>
      </c>
      <c r="H2964" s="3">
        <v>-63543.1325678367</v>
      </c>
      <c r="I2964" s="3">
        <v>72814.1122549998</v>
      </c>
      <c r="J2964" s="4">
        <v>45809.0</v>
      </c>
      <c r="K2964" s="3">
        <v>21.0</v>
      </c>
      <c r="L2964" s="3" t="s">
        <v>40</v>
      </c>
    </row>
    <row r="2965" ht="15.75" customHeight="1">
      <c r="A2965" s="3" t="s">
        <v>3050</v>
      </c>
      <c r="B2965" s="3" t="s">
        <v>25</v>
      </c>
      <c r="C2965" s="3" t="s">
        <v>18</v>
      </c>
      <c r="D2965" s="3">
        <v>82046.5604759886</v>
      </c>
      <c r="E2965" s="3">
        <v>28388.545349418</v>
      </c>
      <c r="F2965" s="3">
        <v>24132.8669898019</v>
      </c>
      <c r="G2965" s="3">
        <v>17510.137036308</v>
      </c>
      <c r="H2965" s="3">
        <v>-63592.6362855857</v>
      </c>
      <c r="I2965" s="3">
        <v>72817.4937294196</v>
      </c>
      <c r="J2965" s="4">
        <v>45931.0</v>
      </c>
      <c r="K2965" s="3">
        <v>12.0</v>
      </c>
      <c r="L2965" s="3" t="s">
        <v>42</v>
      </c>
    </row>
    <row r="2966" ht="15.75" customHeight="1">
      <c r="A2966" s="3" t="s">
        <v>3051</v>
      </c>
      <c r="B2966" s="3" t="s">
        <v>17</v>
      </c>
      <c r="C2966" s="3" t="s">
        <v>30</v>
      </c>
      <c r="D2966" s="3">
        <v>82057.4434458948</v>
      </c>
      <c r="E2966" s="3">
        <v>28393.1600677454</v>
      </c>
      <c r="F2966" s="3">
        <v>24140.5469932314</v>
      </c>
      <c r="G2966" s="3">
        <v>17513.5345869953</v>
      </c>
      <c r="H2966" s="3">
        <v>-63642.1400033347</v>
      </c>
      <c r="I2966" s="3">
        <v>72820.8752038394</v>
      </c>
      <c r="J2966" s="4">
        <v>45992.0</v>
      </c>
      <c r="K2966" s="3">
        <v>18.0</v>
      </c>
      <c r="L2966" s="3" t="s">
        <v>15</v>
      </c>
    </row>
    <row r="2967" ht="15.75" customHeight="1">
      <c r="A2967" s="3" t="s">
        <v>3052</v>
      </c>
      <c r="B2967" s="3" t="s">
        <v>51</v>
      </c>
      <c r="C2967" s="3" t="s">
        <v>30</v>
      </c>
      <c r="D2967" s="3">
        <v>82068.326415801</v>
      </c>
      <c r="E2967" s="3">
        <v>28397.7747860729</v>
      </c>
      <c r="F2967" s="3">
        <v>24148.2269966609</v>
      </c>
      <c r="G2967" s="3">
        <v>17516.9321376826</v>
      </c>
      <c r="H2967" s="3">
        <v>-63691.6437210847</v>
      </c>
      <c r="I2967" s="3">
        <v>72824.2566782592</v>
      </c>
      <c r="J2967" s="4">
        <v>45778.0</v>
      </c>
      <c r="K2967" s="3">
        <v>14.0</v>
      </c>
      <c r="L2967" s="3" t="s">
        <v>19</v>
      </c>
    </row>
    <row r="2968" ht="15.75" customHeight="1">
      <c r="A2968" s="3" t="s">
        <v>3053</v>
      </c>
      <c r="B2968" s="3" t="s">
        <v>13</v>
      </c>
      <c r="C2968" s="3" t="s">
        <v>33</v>
      </c>
      <c r="D2968" s="5"/>
      <c r="E2968" s="3">
        <v>28402.3895044003</v>
      </c>
      <c r="F2968" s="3">
        <v>24155.9070000904</v>
      </c>
      <c r="G2968" s="3">
        <v>17520.3296883699</v>
      </c>
      <c r="H2968" s="3">
        <v>-63741.1474388337</v>
      </c>
      <c r="I2968" s="3">
        <v>72827.6381526791</v>
      </c>
      <c r="J2968" s="4">
        <v>45778.0</v>
      </c>
      <c r="K2968" s="3">
        <v>1.0</v>
      </c>
      <c r="L2968" s="3" t="s">
        <v>21</v>
      </c>
    </row>
    <row r="2969" ht="15.75" customHeight="1">
      <c r="A2969" s="3" t="s">
        <v>3054</v>
      </c>
      <c r="B2969" s="3" t="s">
        <v>13</v>
      </c>
      <c r="C2969" s="3" t="s">
        <v>14</v>
      </c>
      <c r="D2969" s="3">
        <v>82090.0923556134</v>
      </c>
      <c r="E2969" s="3">
        <v>28407.0042227277</v>
      </c>
      <c r="F2969" s="3">
        <v>24163.5870035199</v>
      </c>
      <c r="G2969" s="3">
        <v>17523.7272390572</v>
      </c>
      <c r="H2969" s="3">
        <v>-63790.6511565827</v>
      </c>
      <c r="I2969" s="3">
        <v>72831.0196270989</v>
      </c>
      <c r="J2969" s="4">
        <v>45658.0</v>
      </c>
      <c r="K2969" s="3">
        <v>24.0</v>
      </c>
      <c r="L2969" s="3" t="s">
        <v>23</v>
      </c>
    </row>
    <row r="2970" ht="15.75" customHeight="1">
      <c r="A2970" s="3" t="s">
        <v>3055</v>
      </c>
      <c r="B2970" s="3" t="s">
        <v>29</v>
      </c>
      <c r="C2970" s="3" t="s">
        <v>14</v>
      </c>
      <c r="D2970" s="3">
        <v>82100.9753255196</v>
      </c>
      <c r="E2970" s="3">
        <v>28411.6189410551</v>
      </c>
      <c r="F2970" s="3">
        <v>24171.2670069494</v>
      </c>
      <c r="G2970" s="3">
        <v>17527.1247897445</v>
      </c>
      <c r="H2970" s="3">
        <v>-63840.1548743317</v>
      </c>
      <c r="I2970" s="3">
        <v>72834.4011015187</v>
      </c>
      <c r="J2970" s="4">
        <v>45870.0</v>
      </c>
      <c r="K2970" s="3">
        <v>3.0</v>
      </c>
      <c r="L2970" s="3" t="s">
        <v>27</v>
      </c>
    </row>
    <row r="2971" ht="15.75" customHeight="1">
      <c r="A2971" s="3" t="s">
        <v>3056</v>
      </c>
      <c r="B2971" s="3" t="s">
        <v>29</v>
      </c>
      <c r="C2971" s="3" t="s">
        <v>26</v>
      </c>
      <c r="D2971" s="3">
        <v>82111.8582954258</v>
      </c>
      <c r="E2971" s="3">
        <v>28416.2336593825</v>
      </c>
      <c r="F2971" s="3">
        <v>24178.9470103789</v>
      </c>
      <c r="G2971" s="3">
        <v>17530.5223404318</v>
      </c>
      <c r="H2971" s="3">
        <v>-63889.6585920807</v>
      </c>
      <c r="I2971" s="3">
        <v>72837.7825759385</v>
      </c>
      <c r="J2971" s="3" t="s">
        <v>3057</v>
      </c>
      <c r="K2971" s="3">
        <v>23.0</v>
      </c>
      <c r="L2971" s="3" t="s">
        <v>31</v>
      </c>
    </row>
    <row r="2972" ht="15.75" customHeight="1">
      <c r="A2972" s="3" t="s">
        <v>3058</v>
      </c>
      <c r="B2972" s="3" t="s">
        <v>53</v>
      </c>
      <c r="C2972" s="3" t="s">
        <v>18</v>
      </c>
      <c r="D2972" s="3">
        <v>82133.6242352381</v>
      </c>
      <c r="E2972" s="3">
        <v>28425.4630960374</v>
      </c>
      <c r="F2972" s="3">
        <v>24194.3070172379</v>
      </c>
      <c r="G2972" s="3">
        <v>17537.3174418063</v>
      </c>
      <c r="H2972" s="3">
        <v>-63988.6660275787</v>
      </c>
      <c r="I2972" s="3">
        <v>72844.5455247781</v>
      </c>
      <c r="J2972" s="4">
        <v>45689.0</v>
      </c>
      <c r="K2972" s="3">
        <v>12.0</v>
      </c>
      <c r="L2972" s="3" t="s">
        <v>38</v>
      </c>
    </row>
    <row r="2973" ht="15.75" customHeight="1">
      <c r="A2973" s="3" t="s">
        <v>3059</v>
      </c>
      <c r="B2973" s="3" t="s">
        <v>17</v>
      </c>
      <c r="C2973" s="3" t="s">
        <v>14</v>
      </c>
      <c r="D2973" s="3">
        <v>82144.5072051443</v>
      </c>
      <c r="E2973" s="3">
        <v>28430.0778143648</v>
      </c>
      <c r="F2973" s="3">
        <v>24201.9870206674</v>
      </c>
      <c r="G2973" s="3">
        <v>17540.7149924936</v>
      </c>
      <c r="H2973" s="3">
        <v>-64038.1697453287</v>
      </c>
      <c r="I2973" s="3">
        <v>72847.9269991979</v>
      </c>
      <c r="J2973" s="4">
        <v>45689.0</v>
      </c>
      <c r="K2973" s="3">
        <v>20.0</v>
      </c>
      <c r="L2973" s="3" t="s">
        <v>40</v>
      </c>
    </row>
    <row r="2974" ht="15.75" customHeight="1">
      <c r="A2974" s="3" t="s">
        <v>3060</v>
      </c>
      <c r="B2974" s="3" t="s">
        <v>25</v>
      </c>
      <c r="C2974" s="3" t="s">
        <v>54</v>
      </c>
      <c r="D2974" s="3">
        <v>82155.3901750505</v>
      </c>
      <c r="E2974" s="3">
        <v>28434.6925326922</v>
      </c>
      <c r="F2974" s="3">
        <v>24209.6670240969</v>
      </c>
      <c r="G2974" s="3">
        <v>17544.1125431809</v>
      </c>
      <c r="H2974" s="3">
        <v>-64087.6734630777</v>
      </c>
      <c r="I2974" s="3">
        <v>72851.3084736177</v>
      </c>
      <c r="J2974" s="4">
        <v>45931.0</v>
      </c>
      <c r="K2974" s="3">
        <v>11.0</v>
      </c>
      <c r="L2974" s="3" t="s">
        <v>42</v>
      </c>
    </row>
    <row r="2975" ht="15.75" customHeight="1">
      <c r="A2975" s="3" t="s">
        <v>3061</v>
      </c>
      <c r="B2975" s="3" t="s">
        <v>51</v>
      </c>
      <c r="C2975" s="3" t="s">
        <v>30</v>
      </c>
      <c r="D2975" s="3">
        <v>82166.2731449567</v>
      </c>
      <c r="E2975" s="3">
        <v>28439.3072510197</v>
      </c>
      <c r="F2975" s="3">
        <v>24217.3470275264</v>
      </c>
      <c r="G2975" s="3">
        <v>17547.5100938682</v>
      </c>
      <c r="H2975" s="3">
        <v>-64137.1771808267</v>
      </c>
      <c r="I2975" s="3">
        <v>72854.6899480376</v>
      </c>
      <c r="J2975" s="4">
        <v>45992.0</v>
      </c>
      <c r="K2975" s="3">
        <v>17.0</v>
      </c>
      <c r="L2975" s="3" t="s">
        <v>15</v>
      </c>
    </row>
    <row r="2976" ht="15.75" customHeight="1">
      <c r="A2976" s="3" t="s">
        <v>3062</v>
      </c>
      <c r="B2976" s="3" t="s">
        <v>36</v>
      </c>
      <c r="C2976" s="3" t="s">
        <v>37</v>
      </c>
      <c r="D2976" s="3">
        <v>82177.1561148629</v>
      </c>
      <c r="E2976" s="3">
        <v>28443.9219693471</v>
      </c>
      <c r="F2976" s="3">
        <v>24225.0270309559</v>
      </c>
      <c r="G2976" s="3">
        <v>17550.9076445555</v>
      </c>
      <c r="H2976" s="3">
        <v>-64186.6808985757</v>
      </c>
      <c r="I2976" s="3">
        <v>72858.0714224574</v>
      </c>
      <c r="J2976" s="4">
        <v>45658.0</v>
      </c>
      <c r="K2976" s="3">
        <v>1.0</v>
      </c>
      <c r="L2976" s="3" t="s">
        <v>19</v>
      </c>
    </row>
    <row r="2977" ht="15.75" customHeight="1">
      <c r="A2977" s="3" t="s">
        <v>3063</v>
      </c>
      <c r="B2977" s="3" t="s">
        <v>36</v>
      </c>
      <c r="C2977" s="3" t="s">
        <v>54</v>
      </c>
      <c r="D2977" s="3">
        <v>82188.0390847691</v>
      </c>
      <c r="E2977" s="3">
        <v>28448.5366876745</v>
      </c>
      <c r="F2977" s="3">
        <v>24232.7070343854</v>
      </c>
      <c r="G2977" s="3">
        <v>17554.3051952428</v>
      </c>
      <c r="H2977" s="3">
        <v>-64236.1846163247</v>
      </c>
      <c r="I2977" s="3">
        <v>72861.4528968772</v>
      </c>
      <c r="J2977" s="3" t="s">
        <v>1542</v>
      </c>
      <c r="K2977" s="3">
        <v>19.0</v>
      </c>
      <c r="L2977" s="3" t="s">
        <v>21</v>
      </c>
    </row>
    <row r="2978" ht="15.75" customHeight="1">
      <c r="A2978" s="3" t="s">
        <v>3064</v>
      </c>
      <c r="B2978" s="3" t="s">
        <v>51</v>
      </c>
      <c r="C2978" s="3" t="s">
        <v>18</v>
      </c>
      <c r="D2978" s="3">
        <v>82198.9220546753</v>
      </c>
      <c r="E2978" s="3">
        <v>28453.1514060019</v>
      </c>
      <c r="F2978" s="3">
        <v>24240.3870378149</v>
      </c>
      <c r="G2978" s="3">
        <v>17557.7027459301</v>
      </c>
      <c r="H2978" s="3">
        <v>-64285.6883340737</v>
      </c>
      <c r="I2978" s="3">
        <v>72864.834371297</v>
      </c>
      <c r="J2978" s="4">
        <v>45962.0</v>
      </c>
      <c r="K2978" s="3">
        <v>8.0</v>
      </c>
      <c r="L2978" s="3" t="s">
        <v>23</v>
      </c>
    </row>
    <row r="2979" ht="15.75" customHeight="1">
      <c r="A2979" s="3" t="s">
        <v>3065</v>
      </c>
      <c r="B2979" s="3" t="s">
        <v>17</v>
      </c>
      <c r="C2979" s="3" t="s">
        <v>54</v>
      </c>
      <c r="D2979" s="3">
        <v>82209.8050245815</v>
      </c>
      <c r="E2979" s="3">
        <v>28457.7661243293</v>
      </c>
      <c r="F2979" s="3">
        <v>24248.0670412444</v>
      </c>
      <c r="G2979" s="3">
        <v>17561.1002966173</v>
      </c>
      <c r="H2979" s="3">
        <v>-64335.1920518227</v>
      </c>
      <c r="I2979" s="3">
        <v>72868.2158457168</v>
      </c>
      <c r="J2979" s="4">
        <v>45839.0</v>
      </c>
      <c r="K2979" s="3">
        <v>13.0</v>
      </c>
      <c r="L2979" s="3" t="s">
        <v>27</v>
      </c>
    </row>
    <row r="2980" ht="15.75" customHeight="1">
      <c r="A2980" s="3" t="s">
        <v>3066</v>
      </c>
      <c r="B2980" s="3" t="s">
        <v>25</v>
      </c>
      <c r="C2980" s="3" t="s">
        <v>18</v>
      </c>
      <c r="D2980" s="3">
        <v>82220.6879944877</v>
      </c>
      <c r="E2980" s="3">
        <v>28462.3808426568</v>
      </c>
      <c r="F2980" s="3">
        <v>24255.7470446739</v>
      </c>
      <c r="G2980" s="3">
        <v>17564.4978473046</v>
      </c>
      <c r="H2980" s="3">
        <v>-64384.6957695717</v>
      </c>
      <c r="I2980" s="3">
        <v>72871.5973201366</v>
      </c>
      <c r="J2980" s="4">
        <v>45839.0</v>
      </c>
      <c r="K2980" s="3">
        <v>1.0</v>
      </c>
      <c r="L2980" s="3" t="s">
        <v>31</v>
      </c>
    </row>
    <row r="2981" ht="15.75" customHeight="1">
      <c r="A2981" s="3" t="s">
        <v>3067</v>
      </c>
      <c r="B2981" s="3" t="s">
        <v>13</v>
      </c>
      <c r="C2981" s="3" t="s">
        <v>37</v>
      </c>
      <c r="D2981" s="3">
        <v>82242.4539343001</v>
      </c>
      <c r="E2981" s="3">
        <v>28471.6102793116</v>
      </c>
      <c r="F2981" s="3">
        <v>24271.1070515329</v>
      </c>
      <c r="G2981" s="3">
        <v>17571.2929486792</v>
      </c>
      <c r="H2981" s="3">
        <v>-64483.7032050707</v>
      </c>
      <c r="I2981" s="3">
        <v>72878.3602689763</v>
      </c>
      <c r="J2981" s="4">
        <v>45717.0</v>
      </c>
      <c r="K2981" s="3">
        <v>10.0</v>
      </c>
      <c r="L2981" s="3" t="s">
        <v>38</v>
      </c>
    </row>
    <row r="2982" ht="15.75" customHeight="1">
      <c r="A2982" s="3" t="s">
        <v>3068</v>
      </c>
      <c r="B2982" s="3" t="s">
        <v>51</v>
      </c>
      <c r="C2982" s="3" t="s">
        <v>30</v>
      </c>
      <c r="D2982" s="3">
        <v>82253.3369042063</v>
      </c>
      <c r="E2982" s="3">
        <v>28476.224997639</v>
      </c>
      <c r="F2982" s="3">
        <v>24278.7870549624</v>
      </c>
      <c r="G2982" s="3">
        <v>17574.6904993665</v>
      </c>
      <c r="H2982" s="3">
        <v>-64533.2069228197</v>
      </c>
      <c r="I2982" s="3">
        <v>72881.7417433961</v>
      </c>
      <c r="J2982" s="4">
        <v>45658.0</v>
      </c>
      <c r="K2982" s="3">
        <v>6.0</v>
      </c>
      <c r="L2982" s="3" t="s">
        <v>40</v>
      </c>
    </row>
    <row r="2983" ht="15.75" customHeight="1">
      <c r="A2983" s="3" t="s">
        <v>3069</v>
      </c>
      <c r="B2983" s="3" t="s">
        <v>13</v>
      </c>
      <c r="C2983" s="3" t="s">
        <v>30</v>
      </c>
      <c r="D2983" s="3">
        <v>82264.2198741125</v>
      </c>
      <c r="E2983" s="3">
        <v>28480.8397159665</v>
      </c>
      <c r="F2983" s="3">
        <v>24286.4670583919</v>
      </c>
      <c r="G2983" s="3">
        <v>17578.0880500538</v>
      </c>
      <c r="H2983" s="3">
        <v>-64582.7106405687</v>
      </c>
      <c r="I2983" s="3">
        <v>72885.1232178159</v>
      </c>
      <c r="J2983" s="4">
        <v>45689.0</v>
      </c>
      <c r="K2983" s="3">
        <v>17.0</v>
      </c>
      <c r="L2983" s="3" t="s">
        <v>42</v>
      </c>
    </row>
    <row r="2984" ht="15.75" customHeight="1">
      <c r="A2984" s="3" t="s">
        <v>3070</v>
      </c>
      <c r="B2984" s="3" t="s">
        <v>17</v>
      </c>
      <c r="C2984" s="3" t="s">
        <v>18</v>
      </c>
      <c r="D2984" s="3">
        <v>82275.1028440187</v>
      </c>
      <c r="E2984" s="3">
        <v>28485.4544342939</v>
      </c>
      <c r="F2984" s="3">
        <v>24294.1470618214</v>
      </c>
      <c r="G2984" s="3">
        <v>17581.4856007411</v>
      </c>
      <c r="H2984" s="3">
        <v>-64632.2143583177</v>
      </c>
      <c r="I2984" s="3">
        <v>72888.5046922357</v>
      </c>
      <c r="J2984" s="4">
        <v>45870.0</v>
      </c>
      <c r="K2984" s="3">
        <v>10.0</v>
      </c>
      <c r="L2984" s="3" t="s">
        <v>15</v>
      </c>
    </row>
    <row r="2985" ht="15.75" customHeight="1">
      <c r="A2985" s="3" t="s">
        <v>3071</v>
      </c>
      <c r="B2985" s="3" t="s">
        <v>53</v>
      </c>
      <c r="C2985" s="3" t="s">
        <v>30</v>
      </c>
      <c r="D2985" s="3">
        <v>82285.9858139248</v>
      </c>
      <c r="E2985" s="3">
        <v>28490.0691526213</v>
      </c>
      <c r="F2985" s="3">
        <v>24301.8270652509</v>
      </c>
      <c r="G2985" s="3">
        <v>17584.8831514284</v>
      </c>
      <c r="H2985" s="3">
        <v>-64681.7180760667</v>
      </c>
      <c r="I2985" s="3">
        <v>72891.8861666555</v>
      </c>
      <c r="J2985" s="4">
        <v>45839.0</v>
      </c>
      <c r="K2985" s="3">
        <v>11.0</v>
      </c>
      <c r="L2985" s="3" t="s">
        <v>19</v>
      </c>
    </row>
    <row r="2986" ht="15.75" customHeight="1">
      <c r="A2986" s="3" t="s">
        <v>3072</v>
      </c>
      <c r="B2986" s="3" t="s">
        <v>36</v>
      </c>
      <c r="C2986" s="3" t="s">
        <v>26</v>
      </c>
      <c r="D2986" s="3">
        <v>82296.868783831</v>
      </c>
      <c r="E2986" s="3">
        <v>28494.6838709487</v>
      </c>
      <c r="F2986" s="3">
        <v>24309.5070686804</v>
      </c>
      <c r="G2986" s="3">
        <v>17588.2807021156</v>
      </c>
      <c r="H2986" s="3">
        <v>-64731.2217938157</v>
      </c>
      <c r="I2986" s="3">
        <v>72895.2676410753</v>
      </c>
      <c r="J2986" s="4">
        <v>45931.0</v>
      </c>
      <c r="K2986" s="3">
        <v>5.0</v>
      </c>
      <c r="L2986" s="3" t="s">
        <v>21</v>
      </c>
    </row>
    <row r="2987" ht="15.75" customHeight="1">
      <c r="A2987" s="3" t="s">
        <v>3073</v>
      </c>
      <c r="B2987" s="3" t="s">
        <v>29</v>
      </c>
      <c r="C2987" s="3" t="s">
        <v>14</v>
      </c>
      <c r="D2987" s="3">
        <v>82307.7517537372</v>
      </c>
      <c r="E2987" s="3">
        <v>28499.2985892761</v>
      </c>
      <c r="F2987" s="3">
        <v>24317.1870721099</v>
      </c>
      <c r="G2987" s="3">
        <v>17591.6782528029</v>
      </c>
      <c r="H2987" s="3">
        <v>-64780.7255115647</v>
      </c>
      <c r="I2987" s="3">
        <v>72898.6491154952</v>
      </c>
      <c r="J2987" s="4">
        <v>45962.0</v>
      </c>
      <c r="K2987" s="3">
        <v>11.0</v>
      </c>
      <c r="L2987" s="3" t="s">
        <v>23</v>
      </c>
    </row>
    <row r="2988" ht="15.75" customHeight="1">
      <c r="A2988" s="3" t="s">
        <v>3074</v>
      </c>
      <c r="B2988" s="3" t="s">
        <v>36</v>
      </c>
      <c r="C2988" s="3" t="s">
        <v>37</v>
      </c>
      <c r="D2988" s="3">
        <v>82318.6347236434</v>
      </c>
      <c r="E2988" s="3">
        <v>28503.9133076036</v>
      </c>
      <c r="F2988" s="3">
        <v>24324.8670755394</v>
      </c>
      <c r="G2988" s="3">
        <v>17595.0758034902</v>
      </c>
      <c r="H2988" s="3">
        <v>-64830.2292293147</v>
      </c>
      <c r="I2988" s="3">
        <v>72902.030589915</v>
      </c>
      <c r="J2988" s="4">
        <v>45870.0</v>
      </c>
      <c r="K2988" s="3">
        <v>14.0</v>
      </c>
      <c r="L2988" s="3" t="s">
        <v>27</v>
      </c>
    </row>
    <row r="2989" ht="15.75" customHeight="1">
      <c r="A2989" s="3" t="s">
        <v>3075</v>
      </c>
      <c r="B2989" s="3" t="s">
        <v>53</v>
      </c>
      <c r="C2989" s="3" t="s">
        <v>54</v>
      </c>
      <c r="D2989" s="3">
        <v>82329.5176935496</v>
      </c>
      <c r="E2989" s="3">
        <v>28508.528025931</v>
      </c>
      <c r="F2989" s="3">
        <v>24332.5470789689</v>
      </c>
      <c r="G2989" s="3">
        <v>17598.4733541775</v>
      </c>
      <c r="H2989" s="3">
        <v>-64879.7329470637</v>
      </c>
      <c r="I2989" s="3">
        <v>72905.4120643348</v>
      </c>
      <c r="J2989" s="4">
        <v>45809.0</v>
      </c>
      <c r="K2989" s="3">
        <v>17.0</v>
      </c>
      <c r="L2989" s="3" t="s">
        <v>31</v>
      </c>
    </row>
    <row r="2990" ht="15.75" customHeight="1">
      <c r="A2990" s="3" t="s">
        <v>3076</v>
      </c>
      <c r="B2990" s="3" t="s">
        <v>36</v>
      </c>
      <c r="C2990" s="3" t="s">
        <v>30</v>
      </c>
      <c r="D2990" s="3">
        <v>82340.4006634558</v>
      </c>
      <c r="E2990" s="3">
        <v>28513.1427442584</v>
      </c>
      <c r="F2990" s="3">
        <v>24340.2270823984</v>
      </c>
      <c r="G2990" s="3">
        <v>17601.8709048648</v>
      </c>
      <c r="H2990" s="3">
        <v>-64929.2366648127</v>
      </c>
      <c r="I2990" s="3">
        <v>72908.7935387546</v>
      </c>
      <c r="J2990" s="4">
        <v>45809.0</v>
      </c>
      <c r="K2990" s="3">
        <v>25.0</v>
      </c>
      <c r="L2990" s="3" t="s">
        <v>34</v>
      </c>
    </row>
    <row r="2991" ht="15.75" customHeight="1">
      <c r="A2991" s="3" t="s">
        <v>3077</v>
      </c>
      <c r="B2991" s="3" t="s">
        <v>29</v>
      </c>
      <c r="C2991" s="3" t="s">
        <v>54</v>
      </c>
      <c r="D2991" s="3">
        <v>82351.283633362</v>
      </c>
      <c r="E2991" s="3">
        <v>28517.7574625858</v>
      </c>
      <c r="F2991" s="3">
        <v>24347.9070858279</v>
      </c>
      <c r="G2991" s="3">
        <v>17605.2684555521</v>
      </c>
      <c r="H2991" s="3">
        <v>-64978.7403825617</v>
      </c>
      <c r="I2991" s="3">
        <v>72912.1750131744</v>
      </c>
      <c r="J2991" s="4">
        <v>45809.0</v>
      </c>
      <c r="K2991" s="3">
        <v>12.0</v>
      </c>
      <c r="L2991" s="3" t="s">
        <v>38</v>
      </c>
    </row>
    <row r="2992" ht="15.75" customHeight="1">
      <c r="A2992" s="3" t="s">
        <v>3078</v>
      </c>
      <c r="B2992" s="3" t="s">
        <v>13</v>
      </c>
      <c r="C2992" s="3" t="s">
        <v>14</v>
      </c>
      <c r="D2992" s="3">
        <v>82362.1666032682</v>
      </c>
      <c r="E2992" s="3">
        <v>28522.3721809133</v>
      </c>
      <c r="F2992" s="3">
        <v>24355.5870892573</v>
      </c>
      <c r="G2992" s="3">
        <v>17608.6660062394</v>
      </c>
      <c r="H2992" s="3">
        <v>-65028.2441003107</v>
      </c>
      <c r="I2992" s="3">
        <v>72915.5564875942</v>
      </c>
      <c r="J2992" s="4">
        <v>45992.0</v>
      </c>
      <c r="K2992" s="3">
        <v>1.0</v>
      </c>
      <c r="L2992" s="3" t="s">
        <v>40</v>
      </c>
    </row>
    <row r="2993" ht="15.75" customHeight="1">
      <c r="A2993" s="3" t="s">
        <v>3079</v>
      </c>
      <c r="B2993" s="3" t="s">
        <v>29</v>
      </c>
      <c r="C2993" s="3" t="s">
        <v>26</v>
      </c>
      <c r="D2993" s="3">
        <v>82373.0495731744</v>
      </c>
      <c r="E2993" s="3">
        <v>28526.9868992407</v>
      </c>
      <c r="F2993" s="3">
        <v>24363.2670926868</v>
      </c>
      <c r="G2993" s="3">
        <v>17612.0635569267</v>
      </c>
      <c r="H2993" s="3">
        <v>-65077.7478180597</v>
      </c>
      <c r="I2993" s="3">
        <v>72918.937962014</v>
      </c>
      <c r="J2993" s="4">
        <v>45689.0</v>
      </c>
      <c r="K2993" s="3">
        <v>6.0</v>
      </c>
      <c r="L2993" s="3" t="s">
        <v>42</v>
      </c>
    </row>
    <row r="2994" ht="15.75" customHeight="1">
      <c r="A2994" s="3" t="s">
        <v>3080</v>
      </c>
      <c r="B2994" s="3" t="s">
        <v>13</v>
      </c>
      <c r="C2994" s="3" t="s">
        <v>37</v>
      </c>
      <c r="D2994" s="3">
        <v>82383.9325430806</v>
      </c>
      <c r="E2994" s="3">
        <v>28531.6016175681</v>
      </c>
      <c r="F2994" s="3">
        <v>24370.9470961163</v>
      </c>
      <c r="G2994" s="3">
        <v>17615.4611076139</v>
      </c>
      <c r="H2994" s="3">
        <v>-65127.2515358087</v>
      </c>
      <c r="I2994" s="3">
        <v>72922.3194364338</v>
      </c>
      <c r="J2994" s="4">
        <v>45809.0</v>
      </c>
      <c r="K2994" s="3">
        <v>6.0</v>
      </c>
      <c r="L2994" s="3" t="s">
        <v>15</v>
      </c>
    </row>
    <row r="2995" ht="15.75" customHeight="1">
      <c r="A2995" s="3" t="s">
        <v>3081</v>
      </c>
      <c r="B2995" s="3" t="s">
        <v>13</v>
      </c>
      <c r="C2995" s="3" t="s">
        <v>33</v>
      </c>
      <c r="D2995" s="3">
        <v>82394.8155129868</v>
      </c>
      <c r="E2995" s="3">
        <v>28536.2163358955</v>
      </c>
      <c r="F2995" s="3">
        <v>24378.6270995458</v>
      </c>
      <c r="G2995" s="3">
        <v>17618.8586583012</v>
      </c>
      <c r="H2995" s="3">
        <v>-65176.7552535577</v>
      </c>
      <c r="I2995" s="3">
        <v>72925.7009108537</v>
      </c>
      <c r="J2995" s="4">
        <v>45931.0</v>
      </c>
      <c r="K2995" s="3">
        <v>14.0</v>
      </c>
      <c r="L2995" s="3" t="s">
        <v>19</v>
      </c>
    </row>
    <row r="2996" ht="15.75" customHeight="1">
      <c r="A2996" s="3" t="s">
        <v>3082</v>
      </c>
      <c r="B2996" s="3" t="s">
        <v>25</v>
      </c>
      <c r="C2996" s="3" t="s">
        <v>54</v>
      </c>
      <c r="D2996" s="3">
        <v>82405.698482893</v>
      </c>
      <c r="E2996" s="3">
        <v>28540.8310542229</v>
      </c>
      <c r="F2996" s="3">
        <v>24386.3071029753</v>
      </c>
      <c r="G2996" s="3">
        <v>17622.2562089885</v>
      </c>
      <c r="H2996" s="3">
        <v>-65226.2589713077</v>
      </c>
      <c r="I2996" s="3">
        <v>72929.0823852735</v>
      </c>
      <c r="J2996" s="4">
        <v>45901.0</v>
      </c>
      <c r="K2996" s="3">
        <v>16.0</v>
      </c>
      <c r="L2996" s="3" t="s">
        <v>21</v>
      </c>
    </row>
    <row r="2997" ht="15.75" customHeight="1">
      <c r="A2997" s="3" t="s">
        <v>3083</v>
      </c>
      <c r="B2997" s="3" t="s">
        <v>17</v>
      </c>
      <c r="C2997" s="3" t="s">
        <v>14</v>
      </c>
      <c r="D2997" s="3">
        <v>82416.5814527992</v>
      </c>
      <c r="E2997" s="3">
        <v>28545.4457725504</v>
      </c>
      <c r="F2997" s="3">
        <v>24393.9871064048</v>
      </c>
      <c r="G2997" s="3">
        <v>17625.6537596758</v>
      </c>
      <c r="H2997" s="3">
        <v>-65275.7626890567</v>
      </c>
      <c r="I2997" s="3">
        <v>72932.4638596933</v>
      </c>
      <c r="J2997" s="4">
        <v>45839.0</v>
      </c>
      <c r="K2997" s="3">
        <v>8.0</v>
      </c>
      <c r="L2997" s="3" t="s">
        <v>23</v>
      </c>
    </row>
    <row r="2998" ht="15.75" customHeight="1">
      <c r="A2998" s="3" t="s">
        <v>3084</v>
      </c>
      <c r="B2998" s="3" t="s">
        <v>17</v>
      </c>
      <c r="C2998" s="3" t="s">
        <v>33</v>
      </c>
      <c r="D2998" s="3">
        <v>82427.4644227054</v>
      </c>
      <c r="E2998" s="3">
        <v>28550.0604908778</v>
      </c>
      <c r="F2998" s="3">
        <v>24401.6671098343</v>
      </c>
      <c r="G2998" s="3">
        <v>17629.0513103631</v>
      </c>
      <c r="H2998" s="3">
        <v>-65325.2664068057</v>
      </c>
      <c r="I2998" s="3">
        <v>72935.8453341131</v>
      </c>
      <c r="J2998" s="4">
        <v>45717.0</v>
      </c>
      <c r="K2998" s="3">
        <v>1.0</v>
      </c>
      <c r="L2998" s="3" t="s">
        <v>27</v>
      </c>
    </row>
    <row r="2999" ht="15.75" customHeight="1">
      <c r="A2999" s="3" t="s">
        <v>3085</v>
      </c>
      <c r="B2999" s="5"/>
      <c r="C2999" s="3" t="s">
        <v>37</v>
      </c>
      <c r="D2999" s="3">
        <v>82438.3473926116</v>
      </c>
      <c r="E2999" s="3">
        <v>28554.6752092052</v>
      </c>
      <c r="F2999" s="3">
        <v>24409.3471132638</v>
      </c>
      <c r="G2999" s="3">
        <v>17632.4488610504</v>
      </c>
      <c r="H2999" s="3">
        <v>-65374.7701245547</v>
      </c>
      <c r="I2999" s="3">
        <v>72939.2268085329</v>
      </c>
      <c r="J2999" s="4">
        <v>45962.0</v>
      </c>
      <c r="K2999" s="3">
        <v>17.0</v>
      </c>
      <c r="L2999" s="3" t="s">
        <v>31</v>
      </c>
    </row>
    <row r="3000" ht="15.75" customHeight="1">
      <c r="A3000" s="3" t="s">
        <v>3086</v>
      </c>
      <c r="B3000" s="3" t="s">
        <v>25</v>
      </c>
      <c r="C3000" s="3" t="s">
        <v>18</v>
      </c>
      <c r="D3000" s="3">
        <v>82449.2303625177</v>
      </c>
      <c r="E3000" s="3">
        <v>28559.2899275326</v>
      </c>
      <c r="F3000" s="3">
        <v>24417.0271166933</v>
      </c>
      <c r="G3000" s="3">
        <v>17635.8464117377</v>
      </c>
      <c r="H3000" s="3">
        <v>-65424.2738423037</v>
      </c>
      <c r="I3000" s="3">
        <v>72942.6082829527</v>
      </c>
      <c r="J3000" s="4">
        <v>45931.0</v>
      </c>
      <c r="K3000" s="3">
        <v>14.0</v>
      </c>
      <c r="L3000" s="3" t="s">
        <v>34</v>
      </c>
    </row>
    <row r="3001" ht="15.75" customHeight="1">
      <c r="A3001" s="3" t="s">
        <v>3087</v>
      </c>
      <c r="B3001" s="3" t="s">
        <v>13</v>
      </c>
      <c r="C3001" s="3" t="s">
        <v>30</v>
      </c>
      <c r="D3001" s="3">
        <v>82460.1133324239</v>
      </c>
      <c r="E3001" s="3">
        <v>28563.9046458601</v>
      </c>
      <c r="F3001" s="3">
        <v>24424.7071201228</v>
      </c>
      <c r="G3001" s="3">
        <v>17639.2439624249</v>
      </c>
      <c r="H3001" s="3">
        <v>-65473.7775600527</v>
      </c>
      <c r="I3001" s="3">
        <v>72945.9897573726</v>
      </c>
      <c r="J3001" s="4">
        <v>45778.0</v>
      </c>
      <c r="K3001" s="3">
        <v>6.0</v>
      </c>
      <c r="L3001" s="3" t="s">
        <v>38</v>
      </c>
    </row>
    <row r="3002" ht="15.75" customHeight="1">
      <c r="A3002" s="3" t="s">
        <v>3088</v>
      </c>
      <c r="B3002" s="3" t="s">
        <v>53</v>
      </c>
      <c r="C3002" s="3" t="s">
        <v>33</v>
      </c>
      <c r="D3002" s="3">
        <v>82470.9963023301</v>
      </c>
      <c r="E3002" s="3">
        <v>28568.5193641875</v>
      </c>
      <c r="F3002" s="3">
        <v>24432.3871235523</v>
      </c>
      <c r="G3002" s="3">
        <v>17642.6415131122</v>
      </c>
      <c r="H3002" s="3">
        <v>-65523.2812778017</v>
      </c>
      <c r="I3002" s="3">
        <v>72949.3712317924</v>
      </c>
      <c r="J3002" s="4">
        <v>45992.0</v>
      </c>
      <c r="K3002" s="3">
        <v>25.0</v>
      </c>
      <c r="L3002" s="3" t="s">
        <v>40</v>
      </c>
    </row>
    <row r="3003" ht="15.75" customHeight="1">
      <c r="A3003" s="3" t="s">
        <v>3089</v>
      </c>
      <c r="B3003" s="3" t="s">
        <v>13</v>
      </c>
      <c r="C3003" s="3" t="s">
        <v>37</v>
      </c>
      <c r="D3003" s="3">
        <v>82481.8792722363</v>
      </c>
      <c r="E3003" s="3">
        <v>28573.1340825149</v>
      </c>
      <c r="F3003" s="3">
        <v>24440.0671269818</v>
      </c>
      <c r="G3003" s="3">
        <v>17646.0390637995</v>
      </c>
      <c r="H3003" s="3">
        <v>-65572.7849955507</v>
      </c>
      <c r="I3003" s="3">
        <v>72952.7527062122</v>
      </c>
      <c r="J3003" s="4">
        <v>45992.0</v>
      </c>
      <c r="K3003" s="3">
        <v>10.0</v>
      </c>
      <c r="L3003" s="3" t="s">
        <v>42</v>
      </c>
    </row>
    <row r="3004" ht="15.75" customHeight="1">
      <c r="A3004" s="3" t="s">
        <v>3090</v>
      </c>
      <c r="B3004" s="3" t="s">
        <v>36</v>
      </c>
      <c r="C3004" s="3" t="s">
        <v>33</v>
      </c>
      <c r="D3004" s="3">
        <v>82492.7622421425</v>
      </c>
      <c r="E3004" s="3">
        <v>28577.7488008423</v>
      </c>
      <c r="F3004" s="3">
        <v>24447.7471304113</v>
      </c>
      <c r="G3004" s="3">
        <v>17649.4366144868</v>
      </c>
      <c r="H3004" s="3">
        <v>-65622.2887133007</v>
      </c>
      <c r="I3004" s="3">
        <v>72956.134180632</v>
      </c>
      <c r="J3004" s="4">
        <v>45962.0</v>
      </c>
      <c r="K3004" s="3">
        <v>5.0</v>
      </c>
      <c r="L3004" s="3" t="s">
        <v>15</v>
      </c>
    </row>
    <row r="3005" ht="15.75" customHeight="1">
      <c r="A3005" s="3" t="s">
        <v>3091</v>
      </c>
      <c r="B3005" s="3" t="s">
        <v>53</v>
      </c>
      <c r="C3005" s="3" t="s">
        <v>14</v>
      </c>
      <c r="D3005" s="3">
        <v>82503.6452120487</v>
      </c>
      <c r="E3005" s="3">
        <v>28582.3635191697</v>
      </c>
      <c r="F3005" s="3">
        <v>24455.4271338408</v>
      </c>
      <c r="G3005" s="3">
        <v>17652.8341651741</v>
      </c>
      <c r="H3005" s="3">
        <v>-65671.7924310497</v>
      </c>
      <c r="I3005" s="3">
        <v>72959.5156550518</v>
      </c>
      <c r="J3005" s="4">
        <v>45717.0</v>
      </c>
      <c r="K3005" s="3">
        <v>5.0</v>
      </c>
      <c r="L3005" s="3" t="s">
        <v>19</v>
      </c>
    </row>
    <row r="3006" ht="15.75" customHeight="1">
      <c r="A3006" s="3" t="s">
        <v>3092</v>
      </c>
      <c r="B3006" s="3" t="s">
        <v>53</v>
      </c>
      <c r="C3006" s="3" t="s">
        <v>37</v>
      </c>
      <c r="D3006" s="3">
        <v>82514.5281819549</v>
      </c>
      <c r="E3006" s="3">
        <v>28586.9782374972</v>
      </c>
      <c r="F3006" s="3">
        <v>24463.1071372703</v>
      </c>
      <c r="G3006" s="3">
        <v>17656.2317158614</v>
      </c>
      <c r="H3006" s="3">
        <v>-65721.2961487987</v>
      </c>
      <c r="I3006" s="3">
        <v>72962.8971294716</v>
      </c>
      <c r="J3006" s="4">
        <v>45809.0</v>
      </c>
      <c r="K3006" s="3">
        <v>13.0</v>
      </c>
      <c r="L3006" s="3" t="s">
        <v>21</v>
      </c>
    </row>
    <row r="3007" ht="15.75" customHeight="1">
      <c r="A3007" s="3" t="s">
        <v>3093</v>
      </c>
      <c r="B3007" s="3" t="s">
        <v>29</v>
      </c>
      <c r="C3007" s="3" t="s">
        <v>37</v>
      </c>
      <c r="D3007" s="3">
        <v>82525.4111518611</v>
      </c>
      <c r="E3007" s="3">
        <v>28591.5929558246</v>
      </c>
      <c r="F3007" s="3">
        <v>24470.7871406998</v>
      </c>
      <c r="G3007" s="3">
        <v>17659.6292665487</v>
      </c>
      <c r="H3007" s="3">
        <v>-65770.7998665477</v>
      </c>
      <c r="I3007" s="3">
        <v>72966.2786038914</v>
      </c>
      <c r="J3007" s="4">
        <v>45962.0</v>
      </c>
      <c r="K3007" s="3">
        <v>24.0</v>
      </c>
      <c r="L3007" s="3" t="s">
        <v>23</v>
      </c>
    </row>
    <row r="3008" ht="15.75" customHeight="1">
      <c r="A3008" s="3" t="s">
        <v>3094</v>
      </c>
      <c r="B3008" s="3" t="s">
        <v>53</v>
      </c>
      <c r="C3008" s="3" t="s">
        <v>18</v>
      </c>
      <c r="D3008" s="3">
        <v>82536.2941217673</v>
      </c>
      <c r="E3008" s="3">
        <v>28596.207674152</v>
      </c>
      <c r="F3008" s="3">
        <v>24478.4671441293</v>
      </c>
      <c r="G3008" s="3">
        <v>17663.026817236</v>
      </c>
      <c r="H3008" s="3">
        <v>-65820.3035842967</v>
      </c>
      <c r="I3008" s="3">
        <v>72969.6600783113</v>
      </c>
      <c r="J3008" s="4">
        <v>45658.0</v>
      </c>
      <c r="K3008" s="3">
        <v>16.0</v>
      </c>
      <c r="L3008" s="3" t="s">
        <v>27</v>
      </c>
    </row>
    <row r="3009" ht="15.75" customHeight="1">
      <c r="A3009" s="3" t="s">
        <v>3095</v>
      </c>
      <c r="B3009" s="3" t="s">
        <v>53</v>
      </c>
      <c r="C3009" s="3" t="s">
        <v>30</v>
      </c>
      <c r="D3009" s="3">
        <v>82547.1770916735</v>
      </c>
      <c r="E3009" s="3">
        <v>28600.8223924794</v>
      </c>
      <c r="F3009" s="3">
        <v>24486.1471475588</v>
      </c>
      <c r="G3009" s="3">
        <v>17666.4243679232</v>
      </c>
      <c r="H3009" s="3">
        <v>-65869.8073020457</v>
      </c>
      <c r="I3009" s="3">
        <v>72973.0415527311</v>
      </c>
      <c r="J3009" s="4">
        <v>45748.0</v>
      </c>
      <c r="K3009" s="3">
        <v>12.0</v>
      </c>
      <c r="L3009" s="3" t="s">
        <v>31</v>
      </c>
    </row>
    <row r="3010" ht="15.75" customHeight="1">
      <c r="A3010" s="3" t="s">
        <v>3096</v>
      </c>
      <c r="B3010" s="3" t="s">
        <v>13</v>
      </c>
      <c r="C3010" s="3" t="s">
        <v>37</v>
      </c>
      <c r="D3010" s="3">
        <v>82558.0600615797</v>
      </c>
      <c r="E3010" s="3">
        <v>28605.4371108069</v>
      </c>
      <c r="F3010" s="3">
        <v>24493.8271509883</v>
      </c>
      <c r="G3010" s="3">
        <v>17669.8219186105</v>
      </c>
      <c r="H3010" s="3">
        <v>-65919.3110197947</v>
      </c>
      <c r="I3010" s="3">
        <v>72976.4230271509</v>
      </c>
      <c r="J3010" s="4">
        <v>45717.0</v>
      </c>
      <c r="K3010" s="3">
        <v>23.0</v>
      </c>
      <c r="L3010" s="3" t="s">
        <v>34</v>
      </c>
    </row>
    <row r="3011" ht="15.75" customHeight="1">
      <c r="A3011" s="3" t="s">
        <v>3097</v>
      </c>
      <c r="B3011" s="3" t="s">
        <v>53</v>
      </c>
      <c r="C3011" s="3" t="s">
        <v>14</v>
      </c>
      <c r="D3011" s="3">
        <v>82568.9430314859</v>
      </c>
      <c r="E3011" s="3">
        <v>28610.0518291343</v>
      </c>
      <c r="F3011" s="3">
        <v>24501.5071544178</v>
      </c>
      <c r="G3011" s="3">
        <v>17673.2194692978</v>
      </c>
      <c r="H3011" s="3">
        <v>-65968.8147375437</v>
      </c>
      <c r="I3011" s="3">
        <v>72979.8045015707</v>
      </c>
      <c r="J3011" s="4">
        <v>45658.0</v>
      </c>
      <c r="K3011" s="3">
        <v>24.0</v>
      </c>
      <c r="L3011" s="3" t="s">
        <v>38</v>
      </c>
    </row>
    <row r="3012" ht="15.75" customHeight="1">
      <c r="A3012" s="3" t="s">
        <v>3098</v>
      </c>
      <c r="B3012" s="3" t="s">
        <v>29</v>
      </c>
      <c r="C3012" s="3" t="s">
        <v>37</v>
      </c>
      <c r="D3012" s="3">
        <v>82579.8260013921</v>
      </c>
      <c r="E3012" s="3">
        <v>28614.6665474617</v>
      </c>
      <c r="F3012" s="3">
        <v>24509.1871578473</v>
      </c>
      <c r="G3012" s="3">
        <v>17676.6170199851</v>
      </c>
      <c r="H3012" s="3">
        <v>-66018.3184552937</v>
      </c>
      <c r="I3012" s="3">
        <v>72983.1859759905</v>
      </c>
      <c r="J3012" s="4">
        <v>45901.0</v>
      </c>
      <c r="K3012" s="3">
        <v>16.0</v>
      </c>
      <c r="L3012" s="3" t="s">
        <v>40</v>
      </c>
    </row>
    <row r="3013" ht="15.75" customHeight="1">
      <c r="A3013" s="3" t="s">
        <v>3099</v>
      </c>
      <c r="B3013" s="3" t="s">
        <v>25</v>
      </c>
      <c r="C3013" s="3" t="s">
        <v>37</v>
      </c>
      <c r="D3013" s="3">
        <v>82590.7089712983</v>
      </c>
      <c r="E3013" s="3">
        <v>28619.2812657891</v>
      </c>
      <c r="F3013" s="3">
        <v>24516.8671612768</v>
      </c>
      <c r="G3013" s="3">
        <v>17680.0145706724</v>
      </c>
      <c r="H3013" s="3">
        <v>-66067.8221730427</v>
      </c>
      <c r="I3013" s="3">
        <v>72986.5674504103</v>
      </c>
      <c r="J3013" s="4">
        <v>45992.0</v>
      </c>
      <c r="K3013" s="3">
        <v>8.0</v>
      </c>
      <c r="L3013" s="3" t="s">
        <v>42</v>
      </c>
    </row>
    <row r="3014" ht="15.75" customHeight="1">
      <c r="A3014" s="3" t="s">
        <v>3100</v>
      </c>
      <c r="B3014" s="3" t="s">
        <v>29</v>
      </c>
      <c r="C3014" s="3" t="s">
        <v>54</v>
      </c>
      <c r="D3014" s="3">
        <v>82601.5919412045</v>
      </c>
      <c r="E3014" s="3">
        <v>28623.8959841165</v>
      </c>
      <c r="F3014" s="3">
        <v>24524.5471647063</v>
      </c>
      <c r="G3014" s="3">
        <v>17683.4121213597</v>
      </c>
      <c r="H3014" s="3">
        <v>-66117.3258907917</v>
      </c>
      <c r="I3014" s="3">
        <v>72989.9489248301</v>
      </c>
      <c r="J3014" s="4">
        <v>45962.0</v>
      </c>
      <c r="K3014" s="3">
        <v>14.0</v>
      </c>
      <c r="L3014" s="3" t="s">
        <v>15</v>
      </c>
    </row>
    <row r="3015" ht="15.75" customHeight="1">
      <c r="A3015" s="3" t="s">
        <v>3101</v>
      </c>
      <c r="B3015" s="3" t="s">
        <v>25</v>
      </c>
      <c r="C3015" s="3" t="s">
        <v>30</v>
      </c>
      <c r="D3015" s="3">
        <v>82612.4749111107</v>
      </c>
      <c r="E3015" s="3">
        <v>28628.510702444</v>
      </c>
      <c r="F3015" s="3">
        <v>24532.2271681358</v>
      </c>
      <c r="G3015" s="3">
        <v>17686.809672047</v>
      </c>
      <c r="H3015" s="3">
        <v>-66166.8296085407</v>
      </c>
      <c r="I3015" s="3">
        <v>72993.33039925</v>
      </c>
      <c r="J3015" s="4">
        <v>45870.0</v>
      </c>
      <c r="K3015" s="3">
        <v>2.0</v>
      </c>
      <c r="L3015" s="3" t="s">
        <v>19</v>
      </c>
    </row>
    <row r="3016" ht="15.75" customHeight="1">
      <c r="A3016" s="3" t="s">
        <v>3102</v>
      </c>
      <c r="B3016" s="3" t="s">
        <v>29</v>
      </c>
      <c r="C3016" s="3" t="s">
        <v>14</v>
      </c>
      <c r="D3016" s="3">
        <v>82623.3578810168</v>
      </c>
      <c r="E3016" s="3">
        <v>28633.1254207714</v>
      </c>
      <c r="F3016" s="3">
        <v>24539.9071715653</v>
      </c>
      <c r="G3016" s="3">
        <v>17690.2072227343</v>
      </c>
      <c r="H3016" s="3">
        <v>-66216.3333262897</v>
      </c>
      <c r="I3016" s="3">
        <v>72996.7118736698</v>
      </c>
      <c r="J3016" s="4">
        <v>45931.0</v>
      </c>
      <c r="K3016" s="3">
        <v>1.0</v>
      </c>
      <c r="L3016" s="3" t="s">
        <v>21</v>
      </c>
    </row>
    <row r="3017" ht="15.75" customHeight="1">
      <c r="A3017" s="3" t="s">
        <v>3103</v>
      </c>
      <c r="B3017" s="3" t="s">
        <v>29</v>
      </c>
      <c r="C3017" s="3" t="s">
        <v>54</v>
      </c>
      <c r="D3017" s="3">
        <v>82634.240850923</v>
      </c>
      <c r="E3017" s="3">
        <v>28637.7401390988</v>
      </c>
      <c r="F3017" s="3">
        <v>24547.5871749948</v>
      </c>
      <c r="G3017" s="3">
        <v>17693.6047734215</v>
      </c>
      <c r="H3017" s="3">
        <v>-66265.8370440387</v>
      </c>
      <c r="I3017" s="3">
        <v>73000.0933480896</v>
      </c>
      <c r="J3017" s="4">
        <v>45778.0</v>
      </c>
      <c r="K3017" s="3">
        <v>5.0</v>
      </c>
      <c r="L3017" s="3" t="s">
        <v>23</v>
      </c>
    </row>
    <row r="3018" ht="15.75" customHeight="1">
      <c r="A3018" s="3" t="s">
        <v>3104</v>
      </c>
      <c r="B3018" s="3" t="s">
        <v>25</v>
      </c>
      <c r="C3018" s="3" t="s">
        <v>33</v>
      </c>
      <c r="D3018" s="3">
        <v>82645.1238208292</v>
      </c>
      <c r="E3018" s="3">
        <v>28642.3548574262</v>
      </c>
      <c r="F3018" s="3">
        <v>24555.2671784243</v>
      </c>
      <c r="G3018" s="3">
        <v>17697.0023241088</v>
      </c>
      <c r="H3018" s="3">
        <v>-66315.3407617877</v>
      </c>
      <c r="I3018" s="3">
        <v>73003.4748225094</v>
      </c>
      <c r="J3018" s="4">
        <v>45992.0</v>
      </c>
      <c r="K3018" s="3">
        <v>7.0</v>
      </c>
      <c r="L3018" s="3" t="s">
        <v>27</v>
      </c>
    </row>
    <row r="3019" ht="15.75" customHeight="1">
      <c r="A3019" s="3" t="s">
        <v>3105</v>
      </c>
      <c r="B3019" s="3" t="s">
        <v>53</v>
      </c>
      <c r="C3019" s="3" t="s">
        <v>26</v>
      </c>
      <c r="D3019" s="3">
        <v>82656.0067907354</v>
      </c>
      <c r="E3019" s="3">
        <v>28646.9695757537</v>
      </c>
      <c r="F3019" s="3">
        <v>24562.9471818538</v>
      </c>
      <c r="G3019" s="3">
        <v>17700.3998747961</v>
      </c>
      <c r="H3019" s="3">
        <v>-66364.8444795367</v>
      </c>
      <c r="I3019" s="3">
        <v>73006.8562969292</v>
      </c>
      <c r="J3019" s="4">
        <v>45717.0</v>
      </c>
      <c r="K3019" s="3">
        <v>7.0</v>
      </c>
      <c r="L3019" s="3" t="s">
        <v>31</v>
      </c>
    </row>
    <row r="3020" ht="15.75" customHeight="1">
      <c r="A3020" s="3" t="s">
        <v>3106</v>
      </c>
      <c r="B3020" s="3" t="s">
        <v>36</v>
      </c>
      <c r="C3020" s="3" t="s">
        <v>30</v>
      </c>
      <c r="D3020" s="3">
        <v>82666.8897606416</v>
      </c>
      <c r="E3020" s="3">
        <v>28651.5842940811</v>
      </c>
      <c r="F3020" s="3">
        <v>24570.6271852833</v>
      </c>
      <c r="G3020" s="3">
        <v>17703.7974254834</v>
      </c>
      <c r="H3020" s="3">
        <v>-66414.3481972867</v>
      </c>
      <c r="I3020" s="3">
        <v>73010.237771349</v>
      </c>
      <c r="J3020" s="4">
        <v>45717.0</v>
      </c>
      <c r="K3020" s="3">
        <v>12.0</v>
      </c>
      <c r="L3020" s="3" t="s">
        <v>34</v>
      </c>
    </row>
    <row r="3021" ht="15.75" customHeight="1">
      <c r="A3021" s="3" t="s">
        <v>3107</v>
      </c>
      <c r="B3021" s="3" t="s">
        <v>53</v>
      </c>
      <c r="C3021" s="3" t="s">
        <v>33</v>
      </c>
      <c r="D3021" s="3">
        <v>82677.7727305478</v>
      </c>
      <c r="E3021" s="3">
        <v>28656.1990124085</v>
      </c>
      <c r="F3021" s="3">
        <v>24578.3071887128</v>
      </c>
      <c r="G3021" s="3">
        <v>17707.1949761707</v>
      </c>
      <c r="H3021" s="3">
        <v>-66463.8519150357</v>
      </c>
      <c r="I3021" s="3">
        <v>73013.6192457688</v>
      </c>
      <c r="J3021" s="4">
        <v>45962.0</v>
      </c>
      <c r="K3021" s="3">
        <v>25.0</v>
      </c>
      <c r="L3021" s="3" t="s">
        <v>38</v>
      </c>
    </row>
    <row r="3022" ht="15.75" customHeight="1">
      <c r="A3022" s="3" t="s">
        <v>3108</v>
      </c>
      <c r="B3022" s="3" t="s">
        <v>51</v>
      </c>
      <c r="C3022" s="3" t="s">
        <v>26</v>
      </c>
      <c r="D3022" s="3">
        <v>82688.655700454</v>
      </c>
      <c r="E3022" s="3">
        <v>28660.8137307359</v>
      </c>
      <c r="F3022" s="3">
        <v>24585.9871921423</v>
      </c>
      <c r="G3022" s="3">
        <v>17710.592526858</v>
      </c>
      <c r="H3022" s="3">
        <v>-66513.3556327847</v>
      </c>
      <c r="I3022" s="3">
        <v>73017.0007201887</v>
      </c>
      <c r="J3022" s="4">
        <v>45809.0</v>
      </c>
      <c r="K3022" s="3">
        <v>8.0</v>
      </c>
      <c r="L3022" s="3" t="s">
        <v>40</v>
      </c>
    </row>
    <row r="3023" ht="15.75" customHeight="1">
      <c r="A3023" s="3" t="s">
        <v>3109</v>
      </c>
      <c r="B3023" s="3" t="s">
        <v>17</v>
      </c>
      <c r="C3023" s="3" t="s">
        <v>14</v>
      </c>
      <c r="D3023" s="3">
        <v>82699.5386703602</v>
      </c>
      <c r="E3023" s="3">
        <v>28665.4284490633</v>
      </c>
      <c r="F3023" s="3">
        <v>24593.6671955718</v>
      </c>
      <c r="G3023" s="3">
        <v>17713.9900775453</v>
      </c>
      <c r="H3023" s="3">
        <v>-66562.8593505337</v>
      </c>
      <c r="I3023" s="3">
        <v>73020.3821946085</v>
      </c>
      <c r="J3023" s="4">
        <v>45901.0</v>
      </c>
      <c r="K3023" s="3">
        <v>13.0</v>
      </c>
      <c r="L3023" s="3" t="s">
        <v>42</v>
      </c>
    </row>
    <row r="3024" ht="15.75" customHeight="1">
      <c r="A3024" s="3" t="s">
        <v>3110</v>
      </c>
      <c r="B3024" s="3" t="s">
        <v>53</v>
      </c>
      <c r="C3024" s="3" t="s">
        <v>54</v>
      </c>
      <c r="D3024" s="3">
        <v>82710.4216402664</v>
      </c>
      <c r="E3024" s="3">
        <v>28670.0431673908</v>
      </c>
      <c r="F3024" s="3">
        <v>24601.3471990013</v>
      </c>
      <c r="G3024" s="3">
        <v>17717.3876282325</v>
      </c>
      <c r="H3024" s="3">
        <v>-66612.3630682827</v>
      </c>
      <c r="I3024" s="3">
        <v>73023.7636690283</v>
      </c>
      <c r="J3024" s="4">
        <v>45689.0</v>
      </c>
      <c r="K3024" s="3">
        <v>14.0</v>
      </c>
      <c r="L3024" s="3" t="s">
        <v>15</v>
      </c>
    </row>
    <row r="3025" ht="15.75" customHeight="1">
      <c r="A3025" s="3" t="s">
        <v>3111</v>
      </c>
      <c r="B3025" s="3" t="s">
        <v>17</v>
      </c>
      <c r="C3025" s="3" t="s">
        <v>26</v>
      </c>
      <c r="D3025" s="3">
        <v>82721.3046101726</v>
      </c>
      <c r="E3025" s="3">
        <v>28674.6578857182</v>
      </c>
      <c r="F3025" s="3">
        <v>24609.0272024308</v>
      </c>
      <c r="G3025" s="3">
        <v>17720.7851789198</v>
      </c>
      <c r="H3025" s="3">
        <v>-66661.8667860317</v>
      </c>
      <c r="I3025" s="3">
        <v>73027.1451434481</v>
      </c>
      <c r="J3025" s="4">
        <v>45778.0</v>
      </c>
      <c r="K3025" s="3">
        <v>1.0</v>
      </c>
      <c r="L3025" s="3" t="s">
        <v>19</v>
      </c>
    </row>
    <row r="3026" ht="15.75" customHeight="1">
      <c r="A3026" s="3" t="s">
        <v>3112</v>
      </c>
      <c r="B3026" s="3" t="s">
        <v>17</v>
      </c>
      <c r="C3026" s="3" t="s">
        <v>33</v>
      </c>
      <c r="D3026" s="3">
        <v>82732.1875800788</v>
      </c>
      <c r="E3026" s="3">
        <v>28679.2726040456</v>
      </c>
      <c r="F3026" s="3">
        <v>24616.7072058603</v>
      </c>
      <c r="G3026" s="3">
        <v>17724.1827296071</v>
      </c>
      <c r="H3026" s="3">
        <v>-66711.3705037807</v>
      </c>
      <c r="I3026" s="3">
        <v>73030.5266178679</v>
      </c>
      <c r="J3026" s="4">
        <v>45962.0</v>
      </c>
      <c r="K3026" s="3">
        <v>8.0</v>
      </c>
      <c r="L3026" s="3" t="s">
        <v>21</v>
      </c>
    </row>
    <row r="3027" ht="15.75" customHeight="1">
      <c r="A3027" s="3" t="s">
        <v>3113</v>
      </c>
      <c r="B3027" s="3" t="s">
        <v>29</v>
      </c>
      <c r="C3027" s="3" t="s">
        <v>54</v>
      </c>
      <c r="D3027" s="3">
        <v>82743.070549985</v>
      </c>
      <c r="E3027" s="3">
        <v>28683.887322373</v>
      </c>
      <c r="F3027" s="3">
        <v>24624.3872092898</v>
      </c>
      <c r="G3027" s="3">
        <v>17727.5802802944</v>
      </c>
      <c r="H3027" s="3">
        <v>-66760.8742215297</v>
      </c>
      <c r="I3027" s="3">
        <v>73033.9080922877</v>
      </c>
      <c r="J3027" s="4">
        <v>45931.0</v>
      </c>
      <c r="K3027" s="3">
        <v>11.0</v>
      </c>
      <c r="L3027" s="3" t="s">
        <v>23</v>
      </c>
    </row>
    <row r="3028" ht="15.75" customHeight="1">
      <c r="A3028" s="3" t="s">
        <v>3114</v>
      </c>
      <c r="B3028" s="3" t="s">
        <v>51</v>
      </c>
      <c r="C3028" s="3" t="s">
        <v>37</v>
      </c>
      <c r="D3028" s="3">
        <v>82753.9535198912</v>
      </c>
      <c r="E3028" s="3">
        <v>28688.5020407005</v>
      </c>
      <c r="F3028" s="3">
        <v>24632.0672127192</v>
      </c>
      <c r="G3028" s="3">
        <v>17730.9778309817</v>
      </c>
      <c r="H3028" s="3">
        <v>-66810.3779392797</v>
      </c>
      <c r="I3028" s="3">
        <v>73037.2895667075</v>
      </c>
      <c r="J3028" s="4">
        <v>45689.0</v>
      </c>
      <c r="K3028" s="3">
        <v>4.0</v>
      </c>
      <c r="L3028" s="3" t="s">
        <v>27</v>
      </c>
    </row>
    <row r="3029" ht="15.75" customHeight="1">
      <c r="A3029" s="3" t="s">
        <v>3115</v>
      </c>
      <c r="B3029" s="3" t="s">
        <v>53</v>
      </c>
      <c r="C3029" s="3" t="s">
        <v>37</v>
      </c>
      <c r="D3029" s="3">
        <v>82775.7194597036</v>
      </c>
      <c r="E3029" s="3">
        <v>28697.7314773553</v>
      </c>
      <c r="F3029" s="3">
        <v>24647.4272195782</v>
      </c>
      <c r="G3029" s="3">
        <v>17737.7729323563</v>
      </c>
      <c r="H3029" s="3">
        <v>-66909.3853747777</v>
      </c>
      <c r="I3029" s="3">
        <v>73044.0525155472</v>
      </c>
      <c r="J3029" s="4">
        <v>45962.0</v>
      </c>
      <c r="K3029" s="3">
        <v>12.0</v>
      </c>
      <c r="L3029" s="3" t="s">
        <v>34</v>
      </c>
    </row>
    <row r="3030" ht="15.75" customHeight="1">
      <c r="A3030" s="3" t="s">
        <v>3116</v>
      </c>
      <c r="B3030" s="3" t="s">
        <v>36</v>
      </c>
      <c r="C3030" s="3" t="s">
        <v>26</v>
      </c>
      <c r="D3030" s="3">
        <v>82786.6024296097</v>
      </c>
      <c r="E3030" s="3">
        <v>28702.3461956827</v>
      </c>
      <c r="F3030" s="3">
        <v>24655.1072230077</v>
      </c>
      <c r="G3030" s="3">
        <v>17741.1704830436</v>
      </c>
      <c r="H3030" s="3">
        <v>-66958.8890925267</v>
      </c>
      <c r="I3030" s="3">
        <v>73047.433989967</v>
      </c>
      <c r="J3030" s="4">
        <v>45901.0</v>
      </c>
      <c r="K3030" s="3">
        <v>11.0</v>
      </c>
      <c r="L3030" s="3" t="s">
        <v>38</v>
      </c>
    </row>
    <row r="3031" ht="15.75" customHeight="1">
      <c r="A3031" s="3" t="s">
        <v>3117</v>
      </c>
      <c r="B3031" s="3" t="s">
        <v>53</v>
      </c>
      <c r="C3031" s="3" t="s">
        <v>26</v>
      </c>
      <c r="D3031" s="3">
        <v>82797.4853995159</v>
      </c>
      <c r="E3031" s="3">
        <v>28706.9609140101</v>
      </c>
      <c r="F3031" s="3">
        <v>24662.7872264372</v>
      </c>
      <c r="G3031" s="3">
        <v>17744.5680337308</v>
      </c>
      <c r="H3031" s="3">
        <v>-67008.3928102757</v>
      </c>
      <c r="I3031" s="3">
        <v>73050.8154643868</v>
      </c>
      <c r="J3031" s="4">
        <v>45748.0</v>
      </c>
      <c r="K3031" s="3">
        <v>22.0</v>
      </c>
      <c r="L3031" s="3" t="s">
        <v>40</v>
      </c>
    </row>
    <row r="3032" ht="15.75" customHeight="1">
      <c r="A3032" s="3" t="s">
        <v>3118</v>
      </c>
      <c r="B3032" s="3" t="s">
        <v>51</v>
      </c>
      <c r="C3032" s="3" t="s">
        <v>30</v>
      </c>
      <c r="D3032" s="3">
        <v>82808.3683694221</v>
      </c>
      <c r="E3032" s="3">
        <v>28711.5756323376</v>
      </c>
      <c r="F3032" s="3">
        <v>24670.4672298667</v>
      </c>
      <c r="G3032" s="3">
        <v>17747.9655844181</v>
      </c>
      <c r="H3032" s="3">
        <v>-67057.8965280247</v>
      </c>
      <c r="I3032" s="3">
        <v>73054.1969388066</v>
      </c>
      <c r="J3032" s="4">
        <v>45992.0</v>
      </c>
      <c r="K3032" s="3">
        <v>3.0</v>
      </c>
      <c r="L3032" s="3" t="s">
        <v>42</v>
      </c>
    </row>
    <row r="3033" ht="15.75" customHeight="1">
      <c r="A3033" s="3" t="s">
        <v>3119</v>
      </c>
      <c r="B3033" s="3" t="s">
        <v>53</v>
      </c>
      <c r="C3033" s="3" t="s">
        <v>26</v>
      </c>
      <c r="D3033" s="3">
        <v>82819.2513393283</v>
      </c>
      <c r="E3033" s="3">
        <v>28716.190350665</v>
      </c>
      <c r="F3033" s="3">
        <v>24678.1472332962</v>
      </c>
      <c r="G3033" s="3">
        <v>17751.3631351054</v>
      </c>
      <c r="H3033" s="3">
        <v>-67107.4002457737</v>
      </c>
      <c r="I3033" s="3">
        <v>73057.5784132264</v>
      </c>
      <c r="J3033" s="4">
        <v>45962.0</v>
      </c>
      <c r="K3033" s="3">
        <v>7.0</v>
      </c>
      <c r="L3033" s="3" t="s">
        <v>15</v>
      </c>
    </row>
    <row r="3034" ht="15.75" customHeight="1">
      <c r="A3034" s="3" t="s">
        <v>3120</v>
      </c>
      <c r="B3034" s="3" t="s">
        <v>25</v>
      </c>
      <c r="C3034" s="3" t="s">
        <v>37</v>
      </c>
      <c r="D3034" s="3">
        <v>82830.1343092345</v>
      </c>
      <c r="E3034" s="3">
        <v>28720.8050689924</v>
      </c>
      <c r="F3034" s="3">
        <v>24685.8272367257</v>
      </c>
      <c r="G3034" s="3">
        <v>17754.7606857927</v>
      </c>
      <c r="H3034" s="3">
        <v>-67156.9039635227</v>
      </c>
      <c r="I3034" s="3">
        <v>73060.9598876462</v>
      </c>
      <c r="J3034" s="4">
        <v>45658.0</v>
      </c>
      <c r="K3034" s="3">
        <v>7.0</v>
      </c>
      <c r="L3034" s="3" t="s">
        <v>19</v>
      </c>
    </row>
    <row r="3035" ht="15.75" customHeight="1">
      <c r="A3035" s="3" t="s">
        <v>3121</v>
      </c>
      <c r="B3035" s="3" t="s">
        <v>13</v>
      </c>
      <c r="C3035" s="3" t="s">
        <v>37</v>
      </c>
      <c r="D3035" s="3">
        <v>82841.0172791407</v>
      </c>
      <c r="E3035" s="3">
        <v>28725.4197873198</v>
      </c>
      <c r="F3035" s="3">
        <v>24693.5072401552</v>
      </c>
      <c r="G3035" s="3">
        <v>17758.15823648</v>
      </c>
      <c r="H3035" s="3">
        <v>-67206.4076812727</v>
      </c>
      <c r="I3035" s="3">
        <v>73064.3413620661</v>
      </c>
      <c r="J3035" s="4">
        <v>45778.0</v>
      </c>
      <c r="K3035" s="3">
        <v>7.0</v>
      </c>
      <c r="L3035" s="3" t="s">
        <v>21</v>
      </c>
    </row>
    <row r="3036" ht="15.75" customHeight="1">
      <c r="A3036" s="3" t="s">
        <v>3122</v>
      </c>
      <c r="B3036" s="3" t="s">
        <v>51</v>
      </c>
      <c r="C3036" s="3" t="s">
        <v>30</v>
      </c>
      <c r="D3036" s="3">
        <v>82851.9002490469</v>
      </c>
      <c r="E3036" s="3">
        <v>28730.0345056473</v>
      </c>
      <c r="F3036" s="3">
        <v>24701.1872435847</v>
      </c>
      <c r="G3036" s="3">
        <v>17761.5557871673</v>
      </c>
      <c r="H3036" s="3">
        <v>-67255.9113990217</v>
      </c>
      <c r="I3036" s="3">
        <v>73067.7228364859</v>
      </c>
      <c r="J3036" s="4">
        <v>45839.0</v>
      </c>
      <c r="K3036" s="3">
        <v>6.0</v>
      </c>
      <c r="L3036" s="3" t="s">
        <v>23</v>
      </c>
    </row>
    <row r="3037" ht="15.75" customHeight="1">
      <c r="A3037" s="3" t="s">
        <v>3123</v>
      </c>
      <c r="B3037" s="3" t="s">
        <v>51</v>
      </c>
      <c r="C3037" s="3" t="s">
        <v>30</v>
      </c>
      <c r="D3037" s="3">
        <v>82862.7832189531</v>
      </c>
      <c r="E3037" s="3">
        <v>28734.6492239747</v>
      </c>
      <c r="F3037" s="3">
        <v>24708.8672470142</v>
      </c>
      <c r="G3037" s="3">
        <v>17764.9533378546</v>
      </c>
      <c r="H3037" s="3">
        <v>-67305.4151167707</v>
      </c>
      <c r="I3037" s="3">
        <v>73071.1043109057</v>
      </c>
      <c r="J3037" s="4">
        <v>45992.0</v>
      </c>
      <c r="K3037" s="3">
        <v>15.0</v>
      </c>
      <c r="L3037" s="3" t="s">
        <v>27</v>
      </c>
    </row>
    <row r="3038" ht="15.75" customHeight="1">
      <c r="A3038" s="3" t="s">
        <v>3124</v>
      </c>
      <c r="B3038" s="3" t="s">
        <v>36</v>
      </c>
      <c r="C3038" s="3" t="s">
        <v>30</v>
      </c>
      <c r="D3038" s="3">
        <v>82873.6661888593</v>
      </c>
      <c r="E3038" s="3">
        <v>28739.2639423021</v>
      </c>
      <c r="F3038" s="3">
        <v>24716.5472504437</v>
      </c>
      <c r="G3038" s="3">
        <v>17768.3508885419</v>
      </c>
      <c r="H3038" s="3">
        <v>-67354.9188345197</v>
      </c>
      <c r="I3038" s="3">
        <v>73074.4857853255</v>
      </c>
      <c r="J3038" s="4">
        <v>45689.0</v>
      </c>
      <c r="K3038" s="3">
        <v>23.0</v>
      </c>
      <c r="L3038" s="3" t="s">
        <v>31</v>
      </c>
    </row>
    <row r="3039" ht="15.75" customHeight="1">
      <c r="A3039" s="3" t="s">
        <v>3125</v>
      </c>
      <c r="B3039" s="3" t="s">
        <v>13</v>
      </c>
      <c r="C3039" s="3" t="s">
        <v>37</v>
      </c>
      <c r="D3039" s="3">
        <v>82884.5491587655</v>
      </c>
      <c r="E3039" s="3">
        <v>28743.8786606295</v>
      </c>
      <c r="F3039" s="3">
        <v>24724.2272538732</v>
      </c>
      <c r="G3039" s="3">
        <v>17771.7484392291</v>
      </c>
      <c r="H3039" s="3">
        <v>-67404.4225522687</v>
      </c>
      <c r="I3039" s="3">
        <v>73077.8672597453</v>
      </c>
      <c r="J3039" s="4">
        <v>45870.0</v>
      </c>
      <c r="K3039" s="3">
        <v>5.0</v>
      </c>
      <c r="L3039" s="3" t="s">
        <v>34</v>
      </c>
    </row>
    <row r="3040" ht="15.75" customHeight="1">
      <c r="A3040" s="3" t="s">
        <v>3126</v>
      </c>
      <c r="B3040" s="3" t="s">
        <v>53</v>
      </c>
      <c r="C3040" s="3" t="s">
        <v>14</v>
      </c>
      <c r="D3040" s="3">
        <v>82895.4321286717</v>
      </c>
      <c r="E3040" s="3">
        <v>28748.4933789569</v>
      </c>
      <c r="F3040" s="3">
        <v>24731.9072573027</v>
      </c>
      <c r="G3040" s="3">
        <v>17775.1459899164</v>
      </c>
      <c r="H3040" s="3">
        <v>-67453.9262700177</v>
      </c>
      <c r="I3040" s="3">
        <v>73081.2487341651</v>
      </c>
      <c r="J3040" s="3" t="s">
        <v>2763</v>
      </c>
      <c r="K3040" s="3">
        <v>22.0</v>
      </c>
      <c r="L3040" s="3" t="s">
        <v>38</v>
      </c>
    </row>
    <row r="3041" ht="15.75" customHeight="1">
      <c r="A3041" s="3" t="s">
        <v>3127</v>
      </c>
      <c r="B3041" s="3" t="s">
        <v>29</v>
      </c>
      <c r="C3041" s="3" t="s">
        <v>54</v>
      </c>
      <c r="D3041" s="3">
        <v>82906.3150985779</v>
      </c>
      <c r="E3041" s="3">
        <v>28753.1080972844</v>
      </c>
      <c r="F3041" s="3">
        <v>24739.5872607322</v>
      </c>
      <c r="G3041" s="3">
        <v>17778.5435406037</v>
      </c>
      <c r="H3041" s="3">
        <v>-67503.4299877667</v>
      </c>
      <c r="I3041" s="3">
        <v>73084.6302085849</v>
      </c>
      <c r="J3041" s="4">
        <v>45962.0</v>
      </c>
      <c r="K3041" s="3">
        <v>22.0</v>
      </c>
      <c r="L3041" s="3" t="s">
        <v>40</v>
      </c>
    </row>
    <row r="3042" ht="15.75" customHeight="1">
      <c r="A3042" s="3" t="s">
        <v>3128</v>
      </c>
      <c r="B3042" s="3" t="s">
        <v>36</v>
      </c>
      <c r="C3042" s="3" t="s">
        <v>54</v>
      </c>
      <c r="D3042" s="3">
        <v>82917.1980684841</v>
      </c>
      <c r="E3042" s="3">
        <v>28757.7228156118</v>
      </c>
      <c r="F3042" s="3">
        <v>24747.2672641617</v>
      </c>
      <c r="G3042" s="3">
        <v>17781.941091291</v>
      </c>
      <c r="H3042" s="3">
        <v>-67552.9337055157</v>
      </c>
      <c r="I3042" s="3">
        <v>73088.0116830047</v>
      </c>
      <c r="J3042" s="4">
        <v>45992.0</v>
      </c>
      <c r="K3042" s="3">
        <v>6.0</v>
      </c>
      <c r="L3042" s="3" t="s">
        <v>42</v>
      </c>
    </row>
    <row r="3043" ht="15.75" customHeight="1">
      <c r="A3043" s="3" t="s">
        <v>3129</v>
      </c>
      <c r="B3043" s="3" t="s">
        <v>51</v>
      </c>
      <c r="C3043" s="3" t="s">
        <v>37</v>
      </c>
      <c r="D3043" s="3">
        <v>82928.0810383903</v>
      </c>
      <c r="E3043" s="3">
        <v>28762.3375339392</v>
      </c>
      <c r="F3043" s="3">
        <v>24754.9472675912</v>
      </c>
      <c r="G3043" s="3">
        <v>17785.3386419783</v>
      </c>
      <c r="H3043" s="3">
        <v>-67602.4374232657</v>
      </c>
      <c r="I3043" s="3">
        <v>73091.3931574246</v>
      </c>
      <c r="J3043" s="4">
        <v>45717.0</v>
      </c>
      <c r="K3043" s="3">
        <v>17.0</v>
      </c>
      <c r="L3043" s="3" t="s">
        <v>15</v>
      </c>
    </row>
    <row r="3044" ht="15.75" customHeight="1">
      <c r="A3044" s="3" t="s">
        <v>3130</v>
      </c>
      <c r="B3044" s="3" t="s">
        <v>51</v>
      </c>
      <c r="C3044" s="3" t="s">
        <v>26</v>
      </c>
      <c r="D3044" s="3">
        <v>82938.9640082964</v>
      </c>
      <c r="E3044" s="3">
        <v>28766.9522522666</v>
      </c>
      <c r="F3044" s="3">
        <v>24762.6272710207</v>
      </c>
      <c r="G3044" s="3">
        <v>17788.7361926656</v>
      </c>
      <c r="H3044" s="3">
        <v>-67651.9411410147</v>
      </c>
      <c r="I3044" s="3">
        <v>73094.7746318444</v>
      </c>
      <c r="J3044" s="3" t="s">
        <v>854</v>
      </c>
      <c r="K3044" s="3">
        <v>4.0</v>
      </c>
      <c r="L3044" s="3" t="s">
        <v>19</v>
      </c>
    </row>
    <row r="3045" ht="15.75" customHeight="1">
      <c r="A3045" s="3" t="s">
        <v>3131</v>
      </c>
      <c r="B3045" s="3" t="s">
        <v>13</v>
      </c>
      <c r="C3045" s="3" t="s">
        <v>33</v>
      </c>
      <c r="D3045" s="3">
        <v>82949.8469782026</v>
      </c>
      <c r="E3045" s="3">
        <v>28771.566970594</v>
      </c>
      <c r="F3045" s="3">
        <v>24770.3072744502</v>
      </c>
      <c r="G3045" s="3">
        <v>17792.1337433529</v>
      </c>
      <c r="H3045" s="3">
        <v>-67701.4448587637</v>
      </c>
      <c r="I3045" s="3">
        <v>73098.1561062642</v>
      </c>
      <c r="J3045" s="4">
        <v>45839.0</v>
      </c>
      <c r="K3045" s="3">
        <v>12.0</v>
      </c>
      <c r="L3045" s="3" t="s">
        <v>21</v>
      </c>
    </row>
    <row r="3046" ht="15.75" customHeight="1">
      <c r="A3046" s="3" t="s">
        <v>3132</v>
      </c>
      <c r="B3046" s="3" t="s">
        <v>17</v>
      </c>
      <c r="C3046" s="3" t="s">
        <v>14</v>
      </c>
      <c r="D3046" s="3">
        <v>82960.7299481088</v>
      </c>
      <c r="E3046" s="3">
        <v>28776.1816889215</v>
      </c>
      <c r="F3046" s="3">
        <v>24777.9872778797</v>
      </c>
      <c r="G3046" s="3">
        <v>17795.5312940401</v>
      </c>
      <c r="H3046" s="3">
        <v>-67750.9485765127</v>
      </c>
      <c r="I3046" s="3">
        <v>73101.537580684</v>
      </c>
      <c r="J3046" s="4">
        <v>45778.0</v>
      </c>
      <c r="K3046" s="3">
        <v>15.0</v>
      </c>
      <c r="L3046" s="3" t="s">
        <v>23</v>
      </c>
    </row>
    <row r="3047" ht="15.75" customHeight="1">
      <c r="A3047" s="3" t="s">
        <v>3133</v>
      </c>
      <c r="B3047" s="3" t="s">
        <v>29</v>
      </c>
      <c r="C3047" s="3" t="s">
        <v>33</v>
      </c>
      <c r="D3047" s="3">
        <v>82971.612918015</v>
      </c>
      <c r="E3047" s="3">
        <v>28780.7964072489</v>
      </c>
      <c r="F3047" s="3">
        <v>24785.6672813092</v>
      </c>
      <c r="G3047" s="3">
        <v>17798.9288447274</v>
      </c>
      <c r="H3047" s="3">
        <v>-67800.4522942617</v>
      </c>
      <c r="I3047" s="3">
        <v>73104.9190551038</v>
      </c>
      <c r="J3047" s="4">
        <v>45901.0</v>
      </c>
      <c r="K3047" s="3">
        <v>7.0</v>
      </c>
      <c r="L3047" s="3" t="s">
        <v>27</v>
      </c>
    </row>
    <row r="3048" ht="15.75" customHeight="1">
      <c r="A3048" s="3" t="s">
        <v>3134</v>
      </c>
      <c r="B3048" s="3" t="s">
        <v>13</v>
      </c>
      <c r="C3048" s="3" t="s">
        <v>54</v>
      </c>
      <c r="D3048" s="3">
        <v>82982.4958879212</v>
      </c>
      <c r="E3048" s="3">
        <v>28785.4111255763</v>
      </c>
      <c r="F3048" s="3">
        <v>24793.3472847387</v>
      </c>
      <c r="G3048" s="3">
        <v>17802.3263954147</v>
      </c>
      <c r="H3048" s="3">
        <v>-67849.9560120107</v>
      </c>
      <c r="I3048" s="3">
        <v>73108.3005295236</v>
      </c>
      <c r="J3048" s="4">
        <v>45689.0</v>
      </c>
      <c r="K3048" s="3">
        <v>21.0</v>
      </c>
      <c r="L3048" s="3" t="s">
        <v>31</v>
      </c>
    </row>
    <row r="3049" ht="15.75" customHeight="1">
      <c r="A3049" s="3" t="s">
        <v>3135</v>
      </c>
      <c r="B3049" s="3" t="s">
        <v>51</v>
      </c>
      <c r="C3049" s="3" t="s">
        <v>37</v>
      </c>
      <c r="D3049" s="3">
        <v>82993.3788578274</v>
      </c>
      <c r="E3049" s="3">
        <v>28790.0258439037</v>
      </c>
      <c r="F3049" s="3">
        <v>24801.0272881682</v>
      </c>
      <c r="G3049" s="3">
        <v>17805.723946102</v>
      </c>
      <c r="H3049" s="3">
        <v>-67899.4597297597</v>
      </c>
      <c r="I3049" s="3">
        <v>73111.6820039435</v>
      </c>
      <c r="J3049" s="4">
        <v>45962.0</v>
      </c>
      <c r="K3049" s="3">
        <v>22.0</v>
      </c>
      <c r="L3049" s="3" t="s">
        <v>34</v>
      </c>
    </row>
    <row r="3050" ht="15.75" customHeight="1">
      <c r="A3050" s="3" t="s">
        <v>3136</v>
      </c>
      <c r="B3050" s="3" t="s">
        <v>36</v>
      </c>
      <c r="C3050" s="3" t="s">
        <v>37</v>
      </c>
      <c r="D3050" s="3">
        <v>83004.2618277336</v>
      </c>
      <c r="E3050" s="3">
        <v>28794.6405622312</v>
      </c>
      <c r="F3050" s="3">
        <v>24808.7072915977</v>
      </c>
      <c r="G3050" s="3">
        <v>17809.1214967893</v>
      </c>
      <c r="H3050" s="3">
        <v>-67948.9634475097</v>
      </c>
      <c r="I3050" s="3">
        <v>73115.0634783633</v>
      </c>
      <c r="J3050" s="4">
        <v>45809.0</v>
      </c>
      <c r="K3050" s="3">
        <v>7.0</v>
      </c>
      <c r="L3050" s="3" t="s">
        <v>38</v>
      </c>
    </row>
    <row r="3051" ht="15.75" customHeight="1">
      <c r="A3051" s="3" t="s">
        <v>3137</v>
      </c>
      <c r="B3051" s="3" t="s">
        <v>51</v>
      </c>
      <c r="C3051" s="3" t="s">
        <v>26</v>
      </c>
      <c r="D3051" s="3">
        <v>83015.1447976398</v>
      </c>
      <c r="E3051" s="3">
        <v>28799.2552805586</v>
      </c>
      <c r="F3051" s="3">
        <v>24816.3872950272</v>
      </c>
      <c r="G3051" s="3">
        <v>17812.5190474766</v>
      </c>
      <c r="H3051" s="3">
        <v>-67998.4671652587</v>
      </c>
      <c r="I3051" s="3">
        <v>73118.4449527831</v>
      </c>
      <c r="J3051" s="4">
        <v>45717.0</v>
      </c>
      <c r="K3051" s="3">
        <v>25.0</v>
      </c>
      <c r="L3051" s="3" t="s">
        <v>40</v>
      </c>
    </row>
    <row r="3052" ht="15.75" customHeight="1">
      <c r="A3052" s="3" t="s">
        <v>3138</v>
      </c>
      <c r="B3052" s="3" t="s">
        <v>13</v>
      </c>
      <c r="C3052" s="3" t="s">
        <v>18</v>
      </c>
      <c r="D3052" s="3">
        <v>83026.027767546</v>
      </c>
      <c r="E3052" s="3">
        <v>28803.869998886</v>
      </c>
      <c r="F3052" s="3">
        <v>24824.0672984567</v>
      </c>
      <c r="G3052" s="3">
        <v>17815.9165981639</v>
      </c>
      <c r="H3052" s="3">
        <v>-68047.9708830077</v>
      </c>
      <c r="I3052" s="3">
        <v>73121.8264272029</v>
      </c>
      <c r="J3052" s="4">
        <v>45658.0</v>
      </c>
      <c r="K3052" s="3">
        <v>21.0</v>
      </c>
      <c r="L3052" s="3" t="s">
        <v>42</v>
      </c>
    </row>
    <row r="3053" ht="15.75" customHeight="1">
      <c r="A3053" s="3" t="s">
        <v>3139</v>
      </c>
      <c r="B3053" s="3" t="s">
        <v>36</v>
      </c>
      <c r="C3053" s="3" t="s">
        <v>18</v>
      </c>
      <c r="D3053" s="3">
        <v>83036.9107374522</v>
      </c>
      <c r="E3053" s="3">
        <v>28808.4847172134</v>
      </c>
      <c r="F3053" s="3">
        <v>24831.7473018862</v>
      </c>
      <c r="G3053" s="3">
        <v>17819.3141488512</v>
      </c>
      <c r="H3053" s="3">
        <v>-68097.4746007567</v>
      </c>
      <c r="I3053" s="3">
        <v>73125.2079016227</v>
      </c>
      <c r="J3053" s="4">
        <v>45778.0</v>
      </c>
      <c r="K3053" s="3">
        <v>3.0</v>
      </c>
      <c r="L3053" s="3" t="s">
        <v>15</v>
      </c>
    </row>
    <row r="3054" ht="15.75" customHeight="1">
      <c r="A3054" s="3" t="s">
        <v>3140</v>
      </c>
      <c r="B3054" s="3" t="s">
        <v>53</v>
      </c>
      <c r="C3054" s="3" t="s">
        <v>37</v>
      </c>
      <c r="D3054" s="3">
        <v>83047.7937073584</v>
      </c>
      <c r="E3054" s="3">
        <v>28813.0994355408</v>
      </c>
      <c r="F3054" s="3">
        <v>24839.4273053157</v>
      </c>
      <c r="G3054" s="3">
        <v>17822.7116995384</v>
      </c>
      <c r="H3054" s="3">
        <v>-68146.9783185057</v>
      </c>
      <c r="I3054" s="3">
        <v>73128.5893760425</v>
      </c>
      <c r="J3054" s="4">
        <v>45870.0</v>
      </c>
      <c r="K3054" s="3">
        <v>11.0</v>
      </c>
      <c r="L3054" s="3" t="s">
        <v>19</v>
      </c>
    </row>
    <row r="3055" ht="15.75" customHeight="1">
      <c r="A3055" s="3" t="s">
        <v>3141</v>
      </c>
      <c r="B3055" s="3" t="s">
        <v>29</v>
      </c>
      <c r="C3055" s="3" t="s">
        <v>33</v>
      </c>
      <c r="D3055" s="3">
        <v>83058.6766772646</v>
      </c>
      <c r="E3055" s="3">
        <v>28817.7141538683</v>
      </c>
      <c r="F3055" s="3">
        <v>24847.1073087452</v>
      </c>
      <c r="G3055" s="3">
        <v>17826.1092502257</v>
      </c>
      <c r="H3055" s="3">
        <v>65232.5674270389</v>
      </c>
      <c r="I3055" s="3">
        <v>70232.5674270389</v>
      </c>
      <c r="J3055" s="4">
        <v>45962.0</v>
      </c>
      <c r="K3055" s="3">
        <v>14.0</v>
      </c>
      <c r="L3055" s="3" t="s">
        <v>21</v>
      </c>
    </row>
    <row r="3056" ht="15.75" customHeight="1">
      <c r="A3056" s="3" t="s">
        <v>3142</v>
      </c>
      <c r="B3056" s="3" t="s">
        <v>25</v>
      </c>
      <c r="C3056" s="3" t="s">
        <v>14</v>
      </c>
      <c r="D3056" s="3">
        <v>83069.5596471708</v>
      </c>
      <c r="E3056" s="3">
        <v>28822.3288721957</v>
      </c>
      <c r="F3056" s="3">
        <v>24854.7873121747</v>
      </c>
      <c r="G3056" s="3">
        <v>17829.506800913</v>
      </c>
      <c r="H3056" s="3">
        <v>-68245.9857540037</v>
      </c>
      <c r="I3056" s="3">
        <v>73135.3523248822</v>
      </c>
      <c r="J3056" s="4">
        <v>45901.0</v>
      </c>
      <c r="K3056" s="3">
        <v>8.0</v>
      </c>
      <c r="L3056" s="3" t="s">
        <v>23</v>
      </c>
    </row>
    <row r="3057" ht="15.75" customHeight="1">
      <c r="A3057" s="3" t="s">
        <v>3143</v>
      </c>
      <c r="B3057" s="3" t="s">
        <v>36</v>
      </c>
      <c r="C3057" s="3" t="s">
        <v>33</v>
      </c>
      <c r="D3057" s="3">
        <v>83080.442617077</v>
      </c>
      <c r="E3057" s="3">
        <v>28826.9435905231</v>
      </c>
      <c r="F3057" s="3">
        <v>24862.4673156042</v>
      </c>
      <c r="G3057" s="3">
        <v>17832.9043516003</v>
      </c>
      <c r="H3057" s="3">
        <v>-68295.4894717527</v>
      </c>
      <c r="I3057" s="3">
        <v>73138.733799302</v>
      </c>
      <c r="J3057" s="4">
        <v>45658.0</v>
      </c>
      <c r="K3057" s="3">
        <v>21.0</v>
      </c>
      <c r="L3057" s="3" t="s">
        <v>27</v>
      </c>
    </row>
    <row r="3058" ht="15.75" customHeight="1">
      <c r="A3058" s="3" t="s">
        <v>3144</v>
      </c>
      <c r="B3058" s="3" t="s">
        <v>53</v>
      </c>
      <c r="C3058" s="3" t="s">
        <v>33</v>
      </c>
      <c r="D3058" s="3">
        <v>83091.3255869832</v>
      </c>
      <c r="E3058" s="3">
        <v>28831.5583088505</v>
      </c>
      <c r="F3058" s="3">
        <v>24870.1473190337</v>
      </c>
      <c r="G3058" s="3">
        <v>17836.3019022876</v>
      </c>
      <c r="H3058" s="3">
        <v>-68344.9931895027</v>
      </c>
      <c r="I3058" s="3">
        <v>73142.1152737218</v>
      </c>
      <c r="J3058" s="4">
        <v>45931.0</v>
      </c>
      <c r="K3058" s="3">
        <v>22.0</v>
      </c>
      <c r="L3058" s="3" t="s">
        <v>31</v>
      </c>
    </row>
    <row r="3059" ht="15.75" customHeight="1">
      <c r="A3059" s="3" t="s">
        <v>3145</v>
      </c>
      <c r="B3059" s="3" t="s">
        <v>51</v>
      </c>
      <c r="C3059" s="3" t="s">
        <v>54</v>
      </c>
      <c r="D3059" s="3">
        <v>83102.2085568894</v>
      </c>
      <c r="E3059" s="3">
        <v>28836.173027178</v>
      </c>
      <c r="F3059" s="3">
        <v>24877.8273224632</v>
      </c>
      <c r="G3059" s="3">
        <v>17839.6994529749</v>
      </c>
      <c r="H3059" s="3">
        <v>-68394.4969072517</v>
      </c>
      <c r="I3059" s="3">
        <v>73145.4967481416</v>
      </c>
      <c r="J3059" s="4">
        <v>45870.0</v>
      </c>
      <c r="K3059" s="3">
        <v>7.0</v>
      </c>
      <c r="L3059" s="3" t="s">
        <v>34</v>
      </c>
    </row>
    <row r="3060" ht="15.75" customHeight="1">
      <c r="A3060" s="3" t="s">
        <v>3146</v>
      </c>
      <c r="B3060" s="3" t="s">
        <v>25</v>
      </c>
      <c r="C3060" s="3" t="s">
        <v>33</v>
      </c>
      <c r="D3060" s="3">
        <v>83113.0915267955</v>
      </c>
      <c r="E3060" s="3">
        <v>28840.7877455054</v>
      </c>
      <c r="F3060" s="3">
        <v>24885.5073258927</v>
      </c>
      <c r="G3060" s="3">
        <v>17843.0970036622</v>
      </c>
      <c r="H3060" s="3">
        <v>-68444.0006250007</v>
      </c>
      <c r="I3060" s="3">
        <v>73148.8782225614</v>
      </c>
      <c r="J3060" s="4">
        <v>45931.0</v>
      </c>
      <c r="K3060" s="3">
        <v>16.0</v>
      </c>
      <c r="L3060" s="3" t="s">
        <v>38</v>
      </c>
    </row>
    <row r="3061" ht="15.75" customHeight="1">
      <c r="A3061" s="3" t="s">
        <v>3147</v>
      </c>
      <c r="B3061" s="3" t="s">
        <v>51</v>
      </c>
      <c r="C3061" s="3" t="s">
        <v>26</v>
      </c>
      <c r="D3061" s="3">
        <v>83123.9744967017</v>
      </c>
      <c r="E3061" s="3">
        <v>28845.4024638328</v>
      </c>
      <c r="F3061" s="3">
        <v>24893.1873293222</v>
      </c>
      <c r="G3061" s="3">
        <v>17846.4945543495</v>
      </c>
      <c r="H3061" s="3">
        <v>-68493.5043427497</v>
      </c>
      <c r="I3061" s="3">
        <v>73152.2596969812</v>
      </c>
      <c r="J3061" s="4">
        <v>45839.0</v>
      </c>
      <c r="K3061" s="3">
        <v>12.0</v>
      </c>
      <c r="L3061" s="3" t="s">
        <v>40</v>
      </c>
    </row>
    <row r="3062" ht="15.75" customHeight="1">
      <c r="A3062" s="3" t="s">
        <v>3148</v>
      </c>
      <c r="B3062" s="3" t="s">
        <v>13</v>
      </c>
      <c r="C3062" s="3" t="s">
        <v>33</v>
      </c>
      <c r="D3062" s="3">
        <v>83134.8574666079</v>
      </c>
      <c r="E3062" s="3">
        <v>28850.0171821602</v>
      </c>
      <c r="F3062" s="3">
        <v>24900.8673327517</v>
      </c>
      <c r="G3062" s="3">
        <v>17849.8921050367</v>
      </c>
      <c r="H3062" s="3">
        <v>-68543.0080604987</v>
      </c>
      <c r="I3062" s="3">
        <v>73155.641171401</v>
      </c>
      <c r="J3062" s="4">
        <v>45931.0</v>
      </c>
      <c r="K3062" s="3">
        <v>18.0</v>
      </c>
      <c r="L3062" s="3" t="s">
        <v>42</v>
      </c>
    </row>
    <row r="3063" ht="15.75" customHeight="1">
      <c r="A3063" s="3" t="s">
        <v>3149</v>
      </c>
      <c r="B3063" s="3" t="s">
        <v>13</v>
      </c>
      <c r="C3063" s="3" t="s">
        <v>26</v>
      </c>
      <c r="D3063" s="3">
        <v>83145.7404365141</v>
      </c>
      <c r="E3063" s="3">
        <v>28854.6319004876</v>
      </c>
      <c r="F3063" s="3">
        <v>24908.5473361811</v>
      </c>
      <c r="G3063" s="3">
        <v>17853.289655724</v>
      </c>
      <c r="H3063" s="3">
        <v>-68592.5117782477</v>
      </c>
      <c r="I3063" s="3">
        <v>73159.0226458208</v>
      </c>
      <c r="J3063" s="4">
        <v>45931.0</v>
      </c>
      <c r="K3063" s="3">
        <v>23.0</v>
      </c>
      <c r="L3063" s="3" t="s">
        <v>15</v>
      </c>
    </row>
    <row r="3064" ht="15.75" customHeight="1">
      <c r="A3064" s="3" t="s">
        <v>3150</v>
      </c>
      <c r="B3064" s="3" t="s">
        <v>29</v>
      </c>
      <c r="C3064" s="3" t="s">
        <v>54</v>
      </c>
      <c r="D3064" s="3">
        <v>83156.6234064203</v>
      </c>
      <c r="E3064" s="3">
        <v>28859.2466188151</v>
      </c>
      <c r="F3064" s="3">
        <v>24916.2273396106</v>
      </c>
      <c r="G3064" s="3">
        <v>17856.6872064113</v>
      </c>
      <c r="H3064" s="3">
        <v>-68642.0154959967</v>
      </c>
      <c r="I3064" s="3">
        <v>73162.4041202407</v>
      </c>
      <c r="J3064" s="4">
        <v>45809.0</v>
      </c>
      <c r="K3064" s="3">
        <v>23.0</v>
      </c>
      <c r="L3064" s="3" t="s">
        <v>19</v>
      </c>
    </row>
    <row r="3065" ht="15.75" customHeight="1">
      <c r="A3065" s="3" t="s">
        <v>3151</v>
      </c>
      <c r="B3065" s="3" t="s">
        <v>13</v>
      </c>
      <c r="C3065" s="3" t="s">
        <v>54</v>
      </c>
      <c r="D3065" s="3">
        <v>83167.5063763265</v>
      </c>
      <c r="E3065" s="3">
        <v>28863.8613371425</v>
      </c>
      <c r="F3065" s="3">
        <v>24923.9073430401</v>
      </c>
      <c r="G3065" s="5"/>
      <c r="H3065" s="3">
        <v>-68691.5192137457</v>
      </c>
      <c r="I3065" s="3">
        <v>73165.7855946605</v>
      </c>
      <c r="J3065" s="4">
        <v>45748.0</v>
      </c>
      <c r="K3065" s="3">
        <v>20.0</v>
      </c>
      <c r="L3065" s="3" t="s">
        <v>21</v>
      </c>
    </row>
    <row r="3066" ht="15.75" customHeight="1">
      <c r="A3066" s="3" t="s">
        <v>3152</v>
      </c>
      <c r="B3066" s="3" t="s">
        <v>53</v>
      </c>
      <c r="C3066" s="3" t="s">
        <v>30</v>
      </c>
      <c r="D3066" s="3">
        <v>83178.3893462327</v>
      </c>
      <c r="E3066" s="3">
        <v>28868.4760554699</v>
      </c>
      <c r="F3066" s="3">
        <v>24931.5873464696</v>
      </c>
      <c r="G3066" s="3">
        <v>17863.4823077859</v>
      </c>
      <c r="H3066" s="3">
        <v>-68741.0229314957</v>
      </c>
      <c r="I3066" s="3">
        <v>73169.1670690803</v>
      </c>
      <c r="J3066" s="4">
        <v>45870.0</v>
      </c>
      <c r="K3066" s="3">
        <v>1.0</v>
      </c>
      <c r="L3066" s="3" t="s">
        <v>23</v>
      </c>
    </row>
    <row r="3067" ht="15.75" customHeight="1">
      <c r="A3067" s="3" t="s">
        <v>3153</v>
      </c>
      <c r="B3067" s="3" t="s">
        <v>17</v>
      </c>
      <c r="C3067" s="3" t="s">
        <v>26</v>
      </c>
      <c r="D3067" s="3">
        <v>83189.2723161389</v>
      </c>
      <c r="E3067" s="3">
        <v>28873.0907737973</v>
      </c>
      <c r="F3067" s="3">
        <v>24939.2673498991</v>
      </c>
      <c r="G3067" s="3">
        <v>17866.8798584732</v>
      </c>
      <c r="H3067" s="3">
        <v>-68790.5266492447</v>
      </c>
      <c r="I3067" s="3">
        <v>73172.5485435001</v>
      </c>
      <c r="J3067" s="4">
        <v>45901.0</v>
      </c>
      <c r="K3067" s="3">
        <v>20.0</v>
      </c>
      <c r="L3067" s="3" t="s">
        <v>27</v>
      </c>
    </row>
    <row r="3068" ht="15.75" customHeight="1">
      <c r="A3068" s="3" t="s">
        <v>3154</v>
      </c>
      <c r="B3068" s="3" t="s">
        <v>36</v>
      </c>
      <c r="C3068" s="3" t="s">
        <v>26</v>
      </c>
      <c r="D3068" s="3">
        <v>83211.0382559513</v>
      </c>
      <c r="E3068" s="3">
        <v>28882.3202104522</v>
      </c>
      <c r="F3068" s="3">
        <v>24954.6273567581</v>
      </c>
      <c r="G3068" s="3">
        <v>17873.6749598477</v>
      </c>
      <c r="H3068" s="3">
        <v>-68889.5340847427</v>
      </c>
      <c r="I3068" s="3">
        <v>73179.3114923397</v>
      </c>
      <c r="J3068" s="4">
        <v>45689.0</v>
      </c>
      <c r="K3068" s="3">
        <v>14.0</v>
      </c>
      <c r="L3068" s="3" t="s">
        <v>34</v>
      </c>
    </row>
    <row r="3069" ht="15.75" customHeight="1">
      <c r="A3069" s="3" t="s">
        <v>3155</v>
      </c>
      <c r="B3069" s="3" t="s">
        <v>13</v>
      </c>
      <c r="C3069" s="3" t="s">
        <v>54</v>
      </c>
      <c r="D3069" s="3">
        <v>83221.9212258575</v>
      </c>
      <c r="E3069" s="3">
        <v>28886.9349287796</v>
      </c>
      <c r="F3069" s="3">
        <v>24962.3073601876</v>
      </c>
      <c r="G3069" s="3">
        <v>17877.072510535</v>
      </c>
      <c r="H3069" s="3">
        <v>-68939.0378024917</v>
      </c>
      <c r="I3069" s="3">
        <v>73182.6929667596</v>
      </c>
      <c r="J3069" s="4">
        <v>45809.0</v>
      </c>
      <c r="K3069" s="3">
        <v>19.0</v>
      </c>
      <c r="L3069" s="3" t="s">
        <v>38</v>
      </c>
    </row>
    <row r="3070" ht="15.75" customHeight="1">
      <c r="A3070" s="3" t="s">
        <v>3156</v>
      </c>
      <c r="B3070" s="3" t="s">
        <v>51</v>
      </c>
      <c r="C3070" s="3" t="s">
        <v>30</v>
      </c>
      <c r="D3070" s="3">
        <v>83232.8041957637</v>
      </c>
      <c r="E3070" s="3">
        <v>28891.549647107</v>
      </c>
      <c r="F3070" s="3">
        <v>24969.9873636171</v>
      </c>
      <c r="G3070" s="3">
        <v>17880.4700612223</v>
      </c>
      <c r="H3070" s="3">
        <v>-68988.5415202407</v>
      </c>
      <c r="I3070" s="3">
        <v>73186.0744411794</v>
      </c>
      <c r="J3070" s="4">
        <v>45658.0</v>
      </c>
      <c r="K3070" s="3">
        <v>19.0</v>
      </c>
      <c r="L3070" s="3" t="s">
        <v>40</v>
      </c>
    </row>
    <row r="3071" ht="15.75" customHeight="1">
      <c r="A3071" s="3" t="s">
        <v>3157</v>
      </c>
      <c r="B3071" s="3" t="s">
        <v>53</v>
      </c>
      <c r="C3071" s="3" t="s">
        <v>54</v>
      </c>
      <c r="D3071" s="3">
        <v>83243.6871656699</v>
      </c>
      <c r="E3071" s="3">
        <v>28896.1643654344</v>
      </c>
      <c r="F3071" s="3">
        <v>24977.6673670466</v>
      </c>
      <c r="G3071" s="3">
        <v>17883.8676119096</v>
      </c>
      <c r="H3071" s="3">
        <v>-69038.0452379897</v>
      </c>
      <c r="I3071" s="3">
        <v>73189.4559155992</v>
      </c>
      <c r="J3071" s="4">
        <v>45778.0</v>
      </c>
      <c r="K3071" s="3">
        <v>20.0</v>
      </c>
      <c r="L3071" s="3" t="s">
        <v>42</v>
      </c>
    </row>
    <row r="3072" ht="15.75" customHeight="1">
      <c r="A3072" s="3" t="s">
        <v>3158</v>
      </c>
      <c r="B3072" s="3" t="s">
        <v>25</v>
      </c>
      <c r="C3072" s="3" t="s">
        <v>30</v>
      </c>
      <c r="D3072" s="3">
        <v>83254.5701355761</v>
      </c>
      <c r="E3072" s="3">
        <v>28900.7790837619</v>
      </c>
      <c r="F3072" s="3">
        <v>24985.3473704761</v>
      </c>
      <c r="G3072" s="3">
        <v>17887.2651625969</v>
      </c>
      <c r="H3072" s="3">
        <v>-69087.5489557387</v>
      </c>
      <c r="I3072" s="3">
        <v>73192.837390019</v>
      </c>
      <c r="J3072" s="4">
        <v>45689.0</v>
      </c>
      <c r="K3072" s="3">
        <v>8.0</v>
      </c>
      <c r="L3072" s="3" t="s">
        <v>15</v>
      </c>
    </row>
    <row r="3073" ht="15.75" customHeight="1">
      <c r="A3073" s="3" t="s">
        <v>3159</v>
      </c>
      <c r="B3073" s="3" t="s">
        <v>51</v>
      </c>
      <c r="C3073" s="3" t="s">
        <v>26</v>
      </c>
      <c r="D3073" s="3">
        <v>83276.3360753884</v>
      </c>
      <c r="E3073" s="3">
        <v>28910.0085204167</v>
      </c>
      <c r="F3073" s="3">
        <v>25000.7073773351</v>
      </c>
      <c r="G3073" s="3">
        <v>17894.0602639715</v>
      </c>
      <c r="H3073" s="3">
        <v>-69186.5563912377</v>
      </c>
      <c r="I3073" s="3">
        <v>73199.6003388586</v>
      </c>
      <c r="J3073" s="4">
        <v>45658.0</v>
      </c>
      <c r="K3073" s="3">
        <v>13.0</v>
      </c>
      <c r="L3073" s="3" t="s">
        <v>21</v>
      </c>
    </row>
    <row r="3074" ht="15.75" customHeight="1">
      <c r="A3074" s="3" t="s">
        <v>3160</v>
      </c>
      <c r="B3074" s="3" t="s">
        <v>13</v>
      </c>
      <c r="C3074" s="3" t="s">
        <v>14</v>
      </c>
      <c r="D3074" s="3">
        <v>83287.2190452946</v>
      </c>
      <c r="E3074" s="3">
        <v>28914.6232387441</v>
      </c>
      <c r="F3074" s="3">
        <v>25008.3873807646</v>
      </c>
      <c r="G3074" s="3">
        <v>17897.4578146588</v>
      </c>
      <c r="H3074" s="3">
        <v>-69236.0601089867</v>
      </c>
      <c r="I3074" s="3">
        <v>73202.9818132784</v>
      </c>
      <c r="J3074" s="4">
        <v>45901.0</v>
      </c>
      <c r="K3074" s="3">
        <v>13.0</v>
      </c>
      <c r="L3074" s="3" t="s">
        <v>23</v>
      </c>
    </row>
    <row r="3075" ht="15.75" customHeight="1">
      <c r="A3075" s="3" t="s">
        <v>3161</v>
      </c>
      <c r="B3075" s="3" t="s">
        <v>36</v>
      </c>
      <c r="C3075" s="3" t="s">
        <v>18</v>
      </c>
      <c r="D3075" s="3">
        <v>83298.1020152008</v>
      </c>
      <c r="E3075" s="3">
        <v>28919.2379570716</v>
      </c>
      <c r="F3075" s="3">
        <v>25016.0673841941</v>
      </c>
      <c r="G3075" s="3">
        <v>17900.855365346</v>
      </c>
      <c r="H3075" s="3">
        <v>-69285.5638267357</v>
      </c>
      <c r="I3075" s="3">
        <v>73206.3632876983</v>
      </c>
      <c r="J3075" s="4">
        <v>45901.0</v>
      </c>
      <c r="K3075" s="3">
        <v>13.0</v>
      </c>
      <c r="L3075" s="3" t="s">
        <v>27</v>
      </c>
    </row>
    <row r="3076" ht="15.75" customHeight="1">
      <c r="A3076" s="3" t="s">
        <v>3162</v>
      </c>
      <c r="B3076" s="3" t="s">
        <v>51</v>
      </c>
      <c r="C3076" s="3" t="s">
        <v>18</v>
      </c>
      <c r="D3076" s="3">
        <v>83308.984985107</v>
      </c>
      <c r="E3076" s="3">
        <v>28923.852675399</v>
      </c>
      <c r="F3076" s="3">
        <v>25023.7473876236</v>
      </c>
      <c r="G3076" s="3">
        <v>17904.2529160333</v>
      </c>
      <c r="H3076" s="3">
        <v>-69335.0675444847</v>
      </c>
      <c r="I3076" s="3">
        <v>73209.7447621181</v>
      </c>
      <c r="J3076" s="4">
        <v>45992.0</v>
      </c>
      <c r="K3076" s="3">
        <v>3.0</v>
      </c>
      <c r="L3076" s="3" t="s">
        <v>31</v>
      </c>
    </row>
    <row r="3077" ht="15.75" customHeight="1">
      <c r="A3077" s="3" t="s">
        <v>3163</v>
      </c>
      <c r="B3077" s="3" t="s">
        <v>17</v>
      </c>
      <c r="C3077" s="3" t="s">
        <v>14</v>
      </c>
      <c r="D3077" s="3">
        <v>83319.8679550132</v>
      </c>
      <c r="E3077" s="3">
        <v>28928.4673937264</v>
      </c>
      <c r="F3077" s="3">
        <v>25031.4273910531</v>
      </c>
      <c r="G3077" s="3">
        <v>17907.6504667206</v>
      </c>
      <c r="H3077" s="3">
        <v>-69384.5712622337</v>
      </c>
      <c r="I3077" s="3">
        <v>73213.1262365379</v>
      </c>
      <c r="J3077" s="4">
        <v>45870.0</v>
      </c>
      <c r="K3077" s="3">
        <v>14.0</v>
      </c>
      <c r="L3077" s="3" t="s">
        <v>34</v>
      </c>
    </row>
    <row r="3078" ht="15.75" customHeight="1">
      <c r="A3078" s="3" t="s">
        <v>3164</v>
      </c>
      <c r="B3078" s="3" t="s">
        <v>36</v>
      </c>
      <c r="C3078" s="3" t="s">
        <v>14</v>
      </c>
      <c r="D3078" s="3">
        <v>83330.7509249194</v>
      </c>
      <c r="E3078" s="3">
        <v>28933.0821120538</v>
      </c>
      <c r="F3078" s="3">
        <v>25039.1073944826</v>
      </c>
      <c r="G3078" s="3">
        <v>17911.0480174079</v>
      </c>
      <c r="H3078" s="3">
        <v>-69434.0749799827</v>
      </c>
      <c r="I3078" s="3">
        <v>73216.5077109577</v>
      </c>
      <c r="J3078" s="4">
        <v>45931.0</v>
      </c>
      <c r="K3078" s="3">
        <v>23.0</v>
      </c>
      <c r="L3078" s="3" t="s">
        <v>38</v>
      </c>
    </row>
    <row r="3079" ht="15.75" customHeight="1">
      <c r="A3079" s="3" t="s">
        <v>3165</v>
      </c>
      <c r="B3079" s="3" t="s">
        <v>13</v>
      </c>
      <c r="C3079" s="3" t="s">
        <v>26</v>
      </c>
      <c r="D3079" s="3">
        <v>83341.6338948256</v>
      </c>
      <c r="E3079" s="3">
        <v>28937.6968303812</v>
      </c>
      <c r="F3079" s="3">
        <v>25046.7873979121</v>
      </c>
      <c r="G3079" s="3">
        <v>17914.4455680952</v>
      </c>
      <c r="H3079" s="3">
        <v>-69483.5786977317</v>
      </c>
      <c r="I3079" s="3">
        <v>73219.8891853775</v>
      </c>
      <c r="J3079" s="4">
        <v>45992.0</v>
      </c>
      <c r="K3079" s="3">
        <v>2.0</v>
      </c>
      <c r="L3079" s="3" t="s">
        <v>40</v>
      </c>
    </row>
    <row r="3080" ht="15.75" customHeight="1">
      <c r="A3080" s="3" t="s">
        <v>3166</v>
      </c>
      <c r="B3080" s="3" t="s">
        <v>25</v>
      </c>
      <c r="C3080" s="3" t="s">
        <v>33</v>
      </c>
      <c r="D3080" s="3">
        <v>83352.5168647318</v>
      </c>
      <c r="E3080" s="3">
        <v>28942.3115487087</v>
      </c>
      <c r="F3080" s="3">
        <v>25054.4674013416</v>
      </c>
      <c r="G3080" s="3">
        <v>17917.8431187825</v>
      </c>
      <c r="H3080" s="3">
        <v>-69533.0824154817</v>
      </c>
      <c r="I3080" s="3">
        <v>73223.2706597973</v>
      </c>
      <c r="J3080" s="4">
        <v>45839.0</v>
      </c>
      <c r="K3080" s="3">
        <v>21.0</v>
      </c>
      <c r="L3080" s="3" t="s">
        <v>42</v>
      </c>
    </row>
    <row r="3081" ht="15.75" customHeight="1">
      <c r="A3081" s="3" t="s">
        <v>3167</v>
      </c>
      <c r="B3081" s="3" t="s">
        <v>25</v>
      </c>
      <c r="C3081" s="3" t="s">
        <v>14</v>
      </c>
      <c r="D3081" s="3">
        <v>83363.399834638</v>
      </c>
      <c r="E3081" s="3">
        <v>28946.9262670361</v>
      </c>
      <c r="F3081" s="3">
        <v>25062.1474047711</v>
      </c>
      <c r="G3081" s="3">
        <v>17921.2406694698</v>
      </c>
      <c r="H3081" s="3">
        <v>-69582.5861332307</v>
      </c>
      <c r="I3081" s="3">
        <v>73226.6521342171</v>
      </c>
      <c r="J3081" s="4">
        <v>45901.0</v>
      </c>
      <c r="K3081" s="3">
        <v>8.0</v>
      </c>
      <c r="L3081" s="3" t="s">
        <v>15</v>
      </c>
    </row>
    <row r="3082" ht="15.75" customHeight="1">
      <c r="A3082" s="3" t="s">
        <v>3168</v>
      </c>
      <c r="B3082" s="3" t="s">
        <v>36</v>
      </c>
      <c r="C3082" s="3" t="s">
        <v>37</v>
      </c>
      <c r="D3082" s="3">
        <v>83385.1657744504</v>
      </c>
      <c r="E3082" s="3">
        <v>28956.1557036909</v>
      </c>
      <c r="F3082" s="3">
        <v>25077.5074116301</v>
      </c>
      <c r="G3082" s="3">
        <v>17928.0357708443</v>
      </c>
      <c r="H3082" s="3">
        <v>-69681.5935687287</v>
      </c>
      <c r="I3082" s="3">
        <v>73233.4150830568</v>
      </c>
      <c r="J3082" s="4">
        <v>45689.0</v>
      </c>
      <c r="K3082" s="3">
        <v>14.0</v>
      </c>
      <c r="L3082" s="3" t="s">
        <v>21</v>
      </c>
    </row>
    <row r="3083" ht="15.75" customHeight="1">
      <c r="A3083" s="3" t="s">
        <v>3169</v>
      </c>
      <c r="B3083" s="3" t="s">
        <v>53</v>
      </c>
      <c r="C3083" s="3" t="s">
        <v>30</v>
      </c>
      <c r="D3083" s="3">
        <v>83406.9317142628</v>
      </c>
      <c r="E3083" s="3">
        <v>28965.3851403458</v>
      </c>
      <c r="F3083" s="3">
        <v>25092.8674184891</v>
      </c>
      <c r="G3083" s="3">
        <v>17934.8308722189</v>
      </c>
      <c r="H3083" s="3">
        <v>-69780.6010042267</v>
      </c>
      <c r="I3083" s="3">
        <v>73240.1780318964</v>
      </c>
      <c r="J3083" s="4">
        <v>45901.0</v>
      </c>
      <c r="K3083" s="3">
        <v>6.0</v>
      </c>
      <c r="L3083" s="3" t="s">
        <v>27</v>
      </c>
    </row>
    <row r="3084" ht="15.75" customHeight="1">
      <c r="A3084" s="3" t="s">
        <v>3170</v>
      </c>
      <c r="B3084" s="3" t="s">
        <v>36</v>
      </c>
      <c r="C3084" s="3" t="s">
        <v>37</v>
      </c>
      <c r="D3084" s="3">
        <v>83417.814684169</v>
      </c>
      <c r="E3084" s="3">
        <v>28969.9998586732</v>
      </c>
      <c r="F3084" s="3">
        <v>25100.5474219186</v>
      </c>
      <c r="G3084" s="3">
        <v>17938.2284229062</v>
      </c>
      <c r="H3084" s="3">
        <v>-69830.1047219757</v>
      </c>
      <c r="I3084" s="3">
        <v>73243.5595063162</v>
      </c>
      <c r="J3084" s="4">
        <v>45809.0</v>
      </c>
      <c r="K3084" s="3">
        <v>25.0</v>
      </c>
      <c r="L3084" s="3" t="s">
        <v>31</v>
      </c>
    </row>
    <row r="3085" ht="15.75" customHeight="1">
      <c r="A3085" s="3" t="s">
        <v>3171</v>
      </c>
      <c r="B3085" s="3" t="s">
        <v>13</v>
      </c>
      <c r="C3085" s="3" t="s">
        <v>33</v>
      </c>
      <c r="D3085" s="3">
        <v>83428.6976540752</v>
      </c>
      <c r="E3085" s="3">
        <v>28974.6145770006</v>
      </c>
      <c r="F3085" s="3">
        <v>25108.2274253481</v>
      </c>
      <c r="G3085" s="3">
        <v>17941.6259735935</v>
      </c>
      <c r="H3085" s="3">
        <v>-69879.6084397247</v>
      </c>
      <c r="I3085" s="3">
        <v>73246.940980736</v>
      </c>
      <c r="J3085" s="4">
        <v>45689.0</v>
      </c>
      <c r="K3085" s="3">
        <v>6.0</v>
      </c>
      <c r="L3085" s="3" t="s">
        <v>34</v>
      </c>
    </row>
    <row r="3086" ht="15.75" customHeight="1">
      <c r="A3086" s="3" t="s">
        <v>3172</v>
      </c>
      <c r="B3086" s="3" t="s">
        <v>36</v>
      </c>
      <c r="C3086" s="3" t="s">
        <v>26</v>
      </c>
      <c r="D3086" s="3">
        <v>83439.5806239813</v>
      </c>
      <c r="E3086" s="3">
        <v>28979.229295328</v>
      </c>
      <c r="F3086" s="3">
        <v>25115.9074287776</v>
      </c>
      <c r="G3086" s="3">
        <v>17945.0235242808</v>
      </c>
      <c r="H3086" s="3">
        <v>-69929.1121574747</v>
      </c>
      <c r="I3086" s="3">
        <v>73250.3224551558</v>
      </c>
      <c r="J3086" s="4">
        <v>45689.0</v>
      </c>
      <c r="K3086" s="3">
        <v>2.0</v>
      </c>
      <c r="L3086" s="3" t="s">
        <v>38</v>
      </c>
    </row>
    <row r="3087" ht="15.75" customHeight="1">
      <c r="A3087" s="3" t="s">
        <v>3173</v>
      </c>
      <c r="B3087" s="3" t="s">
        <v>53</v>
      </c>
      <c r="C3087" s="3" t="s">
        <v>18</v>
      </c>
      <c r="D3087" s="3">
        <v>83450.4635938875</v>
      </c>
      <c r="E3087" s="3">
        <v>28983.8440136555</v>
      </c>
      <c r="F3087" s="3">
        <v>25123.5874322071</v>
      </c>
      <c r="G3087" s="3">
        <v>17948.4210749681</v>
      </c>
      <c r="H3087" s="3">
        <v>-69978.6158752237</v>
      </c>
      <c r="I3087" s="3">
        <v>73253.7039295757</v>
      </c>
      <c r="J3087" s="4">
        <v>45992.0</v>
      </c>
      <c r="K3087" s="3">
        <v>8.0</v>
      </c>
      <c r="L3087" s="3" t="s">
        <v>40</v>
      </c>
    </row>
    <row r="3088" ht="15.75" customHeight="1">
      <c r="A3088" s="3" t="s">
        <v>3174</v>
      </c>
      <c r="B3088" s="3" t="s">
        <v>29</v>
      </c>
      <c r="C3088" s="3" t="s">
        <v>54</v>
      </c>
      <c r="D3088" s="3">
        <v>83472.2295336999</v>
      </c>
      <c r="E3088" s="3">
        <v>28993.0734503103</v>
      </c>
      <c r="F3088" s="3">
        <v>25138.9474390661</v>
      </c>
      <c r="G3088" s="3">
        <v>17955.2161763426</v>
      </c>
      <c r="H3088" s="3">
        <v>-70077.6233107217</v>
      </c>
      <c r="I3088" s="3">
        <v>73260.4668784153</v>
      </c>
      <c r="J3088" s="4">
        <v>45717.0</v>
      </c>
      <c r="K3088" s="3">
        <v>23.0</v>
      </c>
      <c r="L3088" s="3" t="s">
        <v>15</v>
      </c>
    </row>
    <row r="3089" ht="15.75" customHeight="1">
      <c r="A3089" s="3" t="s">
        <v>3175</v>
      </c>
      <c r="B3089" s="3" t="s">
        <v>13</v>
      </c>
      <c r="C3089" s="3" t="s">
        <v>26</v>
      </c>
      <c r="D3089" s="3">
        <v>83483.1125036061</v>
      </c>
      <c r="E3089" s="3">
        <v>28997.6881686377</v>
      </c>
      <c r="F3089" s="3">
        <v>25146.6274424956</v>
      </c>
      <c r="G3089" s="3">
        <v>17958.6137270299</v>
      </c>
      <c r="H3089" s="3">
        <v>-70127.1270284707</v>
      </c>
      <c r="I3089" s="3">
        <v>73263.8483528351</v>
      </c>
      <c r="J3089" s="4">
        <v>45931.0</v>
      </c>
      <c r="K3089" s="3">
        <v>24.0</v>
      </c>
      <c r="L3089" s="3" t="s">
        <v>19</v>
      </c>
    </row>
    <row r="3090" ht="15.75" customHeight="1">
      <c r="A3090" s="3" t="s">
        <v>3176</v>
      </c>
      <c r="B3090" s="3" t="s">
        <v>36</v>
      </c>
      <c r="C3090" s="3" t="s">
        <v>33</v>
      </c>
      <c r="D3090" s="3">
        <v>83504.8784434185</v>
      </c>
      <c r="E3090" s="3">
        <v>29006.9176052926</v>
      </c>
      <c r="F3090" s="3">
        <v>25161.9874493546</v>
      </c>
      <c r="G3090" s="3">
        <v>17965.4088284045</v>
      </c>
      <c r="H3090" s="3">
        <v>-70226.1344639687</v>
      </c>
      <c r="I3090" s="3">
        <v>73270.6113016747</v>
      </c>
      <c r="J3090" s="4">
        <v>45870.0</v>
      </c>
      <c r="K3090" s="3">
        <v>3.0</v>
      </c>
      <c r="L3090" s="3" t="s">
        <v>23</v>
      </c>
    </row>
    <row r="3091" ht="15.75" customHeight="1">
      <c r="A3091" s="3" t="s">
        <v>3177</v>
      </c>
      <c r="B3091" s="3" t="s">
        <v>29</v>
      </c>
      <c r="C3091" s="3" t="s">
        <v>30</v>
      </c>
      <c r="D3091" s="3">
        <v>83515.7614133247</v>
      </c>
      <c r="E3091" s="3">
        <v>29011.53232362</v>
      </c>
      <c r="F3091" s="3">
        <v>25169.6674527841</v>
      </c>
      <c r="G3091" s="3">
        <v>17968.8063790918</v>
      </c>
      <c r="H3091" s="3">
        <v>-70275.6381817177</v>
      </c>
      <c r="I3091" s="3">
        <v>73273.9927760945</v>
      </c>
      <c r="J3091" s="4">
        <v>45717.0</v>
      </c>
      <c r="K3091" s="3">
        <v>2.0</v>
      </c>
      <c r="L3091" s="3" t="s">
        <v>27</v>
      </c>
    </row>
    <row r="3092" ht="15.75" customHeight="1">
      <c r="A3092" s="3" t="s">
        <v>3178</v>
      </c>
      <c r="B3092" s="3" t="s">
        <v>53</v>
      </c>
      <c r="C3092" s="3" t="s">
        <v>37</v>
      </c>
      <c r="D3092" s="3">
        <v>83526.6443832309</v>
      </c>
      <c r="E3092" s="3">
        <v>29016.1470419474</v>
      </c>
      <c r="F3092" s="3">
        <v>25177.3474562136</v>
      </c>
      <c r="G3092" s="3">
        <v>17972.2039297791</v>
      </c>
      <c r="H3092" s="3">
        <v>-70325.1418994678</v>
      </c>
      <c r="I3092" s="3">
        <v>73277.3742505144</v>
      </c>
      <c r="J3092" s="4">
        <v>45992.0</v>
      </c>
      <c r="K3092" s="3">
        <v>2.0</v>
      </c>
      <c r="L3092" s="3" t="s">
        <v>31</v>
      </c>
    </row>
    <row r="3093" ht="15.75" customHeight="1">
      <c r="A3093" s="3" t="s">
        <v>3179</v>
      </c>
      <c r="B3093" s="3" t="s">
        <v>29</v>
      </c>
      <c r="C3093" s="3" t="s">
        <v>14</v>
      </c>
      <c r="D3093" s="3">
        <v>83537.5273531371</v>
      </c>
      <c r="E3093" s="3">
        <v>29020.7617602748</v>
      </c>
      <c r="F3093" s="3">
        <v>25185.0274596431</v>
      </c>
      <c r="G3093" s="3">
        <v>17975.6014804664</v>
      </c>
      <c r="H3093" s="3">
        <v>-70374.6456172167</v>
      </c>
      <c r="I3093" s="3">
        <v>73280.7557249342</v>
      </c>
      <c r="J3093" s="4">
        <v>45901.0</v>
      </c>
      <c r="K3093" s="3">
        <v>16.0</v>
      </c>
      <c r="L3093" s="3" t="s">
        <v>34</v>
      </c>
    </row>
    <row r="3094" ht="15.75" customHeight="1">
      <c r="A3094" s="3" t="s">
        <v>3180</v>
      </c>
      <c r="B3094" s="3" t="s">
        <v>25</v>
      </c>
      <c r="C3094" s="3" t="s">
        <v>30</v>
      </c>
      <c r="D3094" s="3">
        <v>83548.4103230433</v>
      </c>
      <c r="E3094" s="3">
        <v>29025.3764786023</v>
      </c>
      <c r="F3094" s="3">
        <v>25192.7074630725</v>
      </c>
      <c r="G3094" s="3">
        <v>17978.9990311536</v>
      </c>
      <c r="H3094" s="3">
        <v>-70424.1493349657</v>
      </c>
      <c r="I3094" s="3">
        <v>73284.137199354</v>
      </c>
      <c r="J3094" s="4">
        <v>45962.0</v>
      </c>
      <c r="K3094" s="3">
        <v>18.0</v>
      </c>
      <c r="L3094" s="3" t="s">
        <v>38</v>
      </c>
    </row>
    <row r="3095" ht="15.75" customHeight="1">
      <c r="A3095" s="3" t="s">
        <v>3181</v>
      </c>
      <c r="B3095" s="3" t="s">
        <v>51</v>
      </c>
      <c r="C3095" s="3" t="s">
        <v>26</v>
      </c>
      <c r="D3095" s="3">
        <v>83559.2932929495</v>
      </c>
      <c r="E3095" s="3">
        <v>29029.9911969297</v>
      </c>
      <c r="F3095" s="3">
        <v>25200.387466502</v>
      </c>
      <c r="G3095" s="3">
        <v>17982.3965818409</v>
      </c>
      <c r="H3095" s="3">
        <v>-70473.6530527147</v>
      </c>
      <c r="I3095" s="3">
        <v>73287.5186737738</v>
      </c>
      <c r="J3095" s="4">
        <v>45839.0</v>
      </c>
      <c r="K3095" s="3">
        <v>17.0</v>
      </c>
      <c r="L3095" s="3" t="s">
        <v>40</v>
      </c>
    </row>
    <row r="3096" ht="15.75" customHeight="1">
      <c r="A3096" s="3" t="s">
        <v>3182</v>
      </c>
      <c r="B3096" s="3" t="s">
        <v>17</v>
      </c>
      <c r="C3096" s="3" t="s">
        <v>33</v>
      </c>
      <c r="D3096" s="3">
        <v>83581.0592327619</v>
      </c>
      <c r="E3096" s="3">
        <v>29039.2206335845</v>
      </c>
      <c r="F3096" s="3">
        <v>25215.747473361</v>
      </c>
      <c r="G3096" s="3">
        <v>17989.1916832155</v>
      </c>
      <c r="H3096" s="3">
        <v>-70572.6604882127</v>
      </c>
      <c r="I3096" s="3">
        <v>73294.2816226134</v>
      </c>
      <c r="J3096" s="4">
        <v>45931.0</v>
      </c>
      <c r="K3096" s="3">
        <v>23.0</v>
      </c>
      <c r="L3096" s="3" t="s">
        <v>15</v>
      </c>
    </row>
    <row r="3097" ht="15.75" customHeight="1">
      <c r="A3097" s="3" t="s">
        <v>3183</v>
      </c>
      <c r="B3097" s="3" t="s">
        <v>17</v>
      </c>
      <c r="C3097" s="3" t="s">
        <v>33</v>
      </c>
      <c r="D3097" s="3">
        <v>83591.942202668</v>
      </c>
      <c r="E3097" s="3">
        <v>29043.835351912</v>
      </c>
      <c r="F3097" s="3">
        <v>25223.4274767905</v>
      </c>
      <c r="G3097" s="3">
        <v>17992.5892339028</v>
      </c>
      <c r="H3097" s="3">
        <v>-70622.1642059617</v>
      </c>
      <c r="I3097" s="3">
        <v>73297.6630970332</v>
      </c>
      <c r="J3097" s="4">
        <v>45748.0</v>
      </c>
      <c r="K3097" s="3">
        <v>7.0</v>
      </c>
      <c r="L3097" s="3" t="s">
        <v>19</v>
      </c>
    </row>
    <row r="3098" ht="15.75" customHeight="1">
      <c r="A3098" s="3" t="s">
        <v>3184</v>
      </c>
      <c r="B3098" s="3" t="s">
        <v>36</v>
      </c>
      <c r="C3098" s="3" t="s">
        <v>26</v>
      </c>
      <c r="D3098" s="3">
        <v>83602.8251725742</v>
      </c>
      <c r="E3098" s="3">
        <v>29048.4500702394</v>
      </c>
      <c r="F3098" s="3">
        <v>25231.10748022</v>
      </c>
      <c r="G3098" s="3">
        <v>17995.9867845901</v>
      </c>
      <c r="H3098" s="3">
        <v>-70671.6679237107</v>
      </c>
      <c r="I3098" s="3">
        <v>73301.0445714531</v>
      </c>
      <c r="J3098" s="4">
        <v>45931.0</v>
      </c>
      <c r="K3098" s="3">
        <v>3.0</v>
      </c>
      <c r="L3098" s="3" t="s">
        <v>21</v>
      </c>
    </row>
    <row r="3099" ht="15.75" customHeight="1">
      <c r="A3099" s="3" t="s">
        <v>3185</v>
      </c>
      <c r="B3099" s="3" t="s">
        <v>17</v>
      </c>
      <c r="C3099" s="3" t="s">
        <v>30</v>
      </c>
      <c r="D3099" s="3">
        <v>83613.7081424804</v>
      </c>
      <c r="E3099" s="3">
        <v>29053.0647885668</v>
      </c>
      <c r="F3099" s="3">
        <v>25238.7874836495</v>
      </c>
      <c r="G3099" s="3">
        <v>17999.3843352774</v>
      </c>
      <c r="H3099" s="3">
        <v>-70721.1716414608</v>
      </c>
      <c r="I3099" s="3">
        <v>73304.4260458729</v>
      </c>
      <c r="J3099" s="4">
        <v>45809.0</v>
      </c>
      <c r="K3099" s="3">
        <v>1.0</v>
      </c>
      <c r="L3099" s="3" t="s">
        <v>23</v>
      </c>
    </row>
    <row r="3100" ht="15.75" customHeight="1">
      <c r="A3100" s="3" t="s">
        <v>3186</v>
      </c>
      <c r="B3100" s="3" t="s">
        <v>25</v>
      </c>
      <c r="C3100" s="3" t="s">
        <v>33</v>
      </c>
      <c r="D3100" s="3">
        <v>83624.5911123866</v>
      </c>
      <c r="E3100" s="3">
        <v>29057.6795068942</v>
      </c>
      <c r="F3100" s="3">
        <v>25246.467487079</v>
      </c>
      <c r="G3100" s="3">
        <v>18002.7818859647</v>
      </c>
      <c r="H3100" s="3">
        <v>-70770.6753592097</v>
      </c>
      <c r="I3100" s="3">
        <v>73307.8075202927</v>
      </c>
      <c r="J3100" s="4">
        <v>45839.0</v>
      </c>
      <c r="K3100" s="3">
        <v>21.0</v>
      </c>
      <c r="L3100" s="3" t="s">
        <v>27</v>
      </c>
    </row>
    <row r="3101" ht="15.75" customHeight="1">
      <c r="A3101" s="3" t="s">
        <v>3187</v>
      </c>
      <c r="B3101" s="3" t="s">
        <v>53</v>
      </c>
      <c r="C3101" s="3" t="s">
        <v>30</v>
      </c>
      <c r="D3101" s="3">
        <v>83635.4740822928</v>
      </c>
      <c r="E3101" s="3">
        <v>29062.2942252216</v>
      </c>
      <c r="F3101" s="3">
        <v>25254.1474905085</v>
      </c>
      <c r="G3101" s="3">
        <v>18006.1794366519</v>
      </c>
      <c r="H3101" s="3">
        <v>-70820.1790769587</v>
      </c>
      <c r="I3101" s="3">
        <v>73311.1889947125</v>
      </c>
      <c r="J3101" s="4">
        <v>45992.0</v>
      </c>
      <c r="K3101" s="3">
        <v>10.0</v>
      </c>
      <c r="L3101" s="3" t="s">
        <v>31</v>
      </c>
    </row>
    <row r="3102" ht="15.75" customHeight="1">
      <c r="A3102" s="3" t="s">
        <v>3188</v>
      </c>
      <c r="B3102" s="3" t="s">
        <v>51</v>
      </c>
      <c r="C3102" s="3" t="s">
        <v>33</v>
      </c>
      <c r="D3102" s="3">
        <v>83646.357052199</v>
      </c>
      <c r="E3102" s="3">
        <v>29066.9089435491</v>
      </c>
      <c r="F3102" s="3">
        <v>25261.827493938</v>
      </c>
      <c r="G3102" s="3">
        <v>18009.5769873392</v>
      </c>
      <c r="H3102" s="3">
        <v>-70869.6827947077</v>
      </c>
      <c r="I3102" s="3">
        <v>73314.5704691323</v>
      </c>
      <c r="J3102" s="4">
        <v>45901.0</v>
      </c>
      <c r="K3102" s="3">
        <v>4.0</v>
      </c>
      <c r="L3102" s="3" t="s">
        <v>34</v>
      </c>
    </row>
    <row r="3103" ht="15.75" customHeight="1">
      <c r="A3103" s="3" t="s">
        <v>3189</v>
      </c>
      <c r="B3103" s="3" t="s">
        <v>29</v>
      </c>
      <c r="C3103" s="3" t="s">
        <v>37</v>
      </c>
      <c r="D3103" s="3">
        <v>83657.2400221052</v>
      </c>
      <c r="E3103" s="3">
        <v>29071.5236618765</v>
      </c>
      <c r="F3103" s="3">
        <v>25269.5074973675</v>
      </c>
      <c r="G3103" s="3">
        <v>18012.9745380265</v>
      </c>
      <c r="H3103" s="3">
        <v>-70919.1865124567</v>
      </c>
      <c r="I3103" s="3">
        <v>73317.9519435521</v>
      </c>
      <c r="J3103" s="4">
        <v>45748.0</v>
      </c>
      <c r="K3103" s="3">
        <v>7.0</v>
      </c>
      <c r="L3103" s="3" t="s">
        <v>38</v>
      </c>
    </row>
    <row r="3104" ht="15.75" customHeight="1">
      <c r="A3104" s="3" t="s">
        <v>3190</v>
      </c>
      <c r="B3104" s="3" t="s">
        <v>13</v>
      </c>
      <c r="C3104" s="3" t="s">
        <v>33</v>
      </c>
      <c r="D3104" s="3">
        <v>83668.1229920114</v>
      </c>
      <c r="E3104" s="3">
        <v>29076.1383802039</v>
      </c>
      <c r="F3104" s="3">
        <v>25277.187500797</v>
      </c>
      <c r="G3104" s="3">
        <v>18016.3720887138</v>
      </c>
      <c r="H3104" s="3">
        <v>-70968.6902302057</v>
      </c>
      <c r="I3104" s="3">
        <v>73321.333417972</v>
      </c>
      <c r="J3104" s="4">
        <v>45689.0</v>
      </c>
      <c r="K3104" s="3">
        <v>18.0</v>
      </c>
      <c r="L3104" s="3" t="s">
        <v>40</v>
      </c>
    </row>
    <row r="3105" ht="15.75" customHeight="1">
      <c r="A3105" s="3" t="s">
        <v>3191</v>
      </c>
      <c r="B3105" s="3" t="s">
        <v>53</v>
      </c>
      <c r="C3105" s="3" t="s">
        <v>33</v>
      </c>
      <c r="D3105" s="3">
        <v>83679.0059619176</v>
      </c>
      <c r="E3105" s="3">
        <v>29080.7530985313</v>
      </c>
      <c r="F3105" s="3">
        <v>25284.8675042265</v>
      </c>
      <c r="G3105" s="3">
        <v>18019.7696394011</v>
      </c>
      <c r="H3105" s="3">
        <v>-71018.1939479547</v>
      </c>
      <c r="I3105" s="3">
        <v>73324.7148923918</v>
      </c>
      <c r="J3105" s="4">
        <v>45901.0</v>
      </c>
      <c r="K3105" s="3">
        <v>22.0</v>
      </c>
      <c r="L3105" s="3" t="s">
        <v>42</v>
      </c>
    </row>
    <row r="3106" ht="15.75" customHeight="1">
      <c r="A3106" s="3" t="s">
        <v>3192</v>
      </c>
      <c r="B3106" s="3" t="s">
        <v>36</v>
      </c>
      <c r="C3106" s="3" t="s">
        <v>33</v>
      </c>
      <c r="D3106" s="3">
        <v>83689.8889318238</v>
      </c>
      <c r="E3106" s="3">
        <v>29085.3678168588</v>
      </c>
      <c r="F3106" s="3">
        <v>25292.547507656</v>
      </c>
      <c r="G3106" s="3">
        <v>18023.1671900884</v>
      </c>
      <c r="H3106" s="3">
        <v>-71067.6976657037</v>
      </c>
      <c r="I3106" s="3">
        <v>73328.0963668116</v>
      </c>
      <c r="J3106" s="4">
        <v>45839.0</v>
      </c>
      <c r="K3106" s="3">
        <v>17.0</v>
      </c>
      <c r="L3106" s="3" t="s">
        <v>15</v>
      </c>
    </row>
    <row r="3107" ht="15.75" customHeight="1">
      <c r="A3107" s="3" t="s">
        <v>3193</v>
      </c>
      <c r="B3107" s="3" t="s">
        <v>53</v>
      </c>
      <c r="C3107" s="3" t="s">
        <v>14</v>
      </c>
      <c r="D3107" s="3">
        <v>83700.77190173</v>
      </c>
      <c r="E3107" s="3">
        <v>29089.9825351862</v>
      </c>
      <c r="F3107" s="3">
        <v>25300.2275110855</v>
      </c>
      <c r="G3107" s="5"/>
      <c r="H3107" s="3">
        <v>-71117.2013834538</v>
      </c>
      <c r="I3107" s="3">
        <v>73331.4778412314</v>
      </c>
      <c r="J3107" s="4">
        <v>45870.0</v>
      </c>
      <c r="K3107" s="3">
        <v>23.0</v>
      </c>
      <c r="L3107" s="3" t="s">
        <v>19</v>
      </c>
    </row>
    <row r="3108" ht="15.75" customHeight="1">
      <c r="A3108" s="3" t="s">
        <v>3194</v>
      </c>
      <c r="B3108" s="3" t="s">
        <v>29</v>
      </c>
      <c r="C3108" s="3" t="s">
        <v>18</v>
      </c>
      <c r="D3108" s="3">
        <v>83711.6548716362</v>
      </c>
      <c r="E3108" s="3">
        <v>29094.5972535136</v>
      </c>
      <c r="F3108" s="3">
        <v>25307.907514515</v>
      </c>
      <c r="G3108" s="3">
        <v>18029.9622914629</v>
      </c>
      <c r="H3108" s="3">
        <v>-71166.7051012028</v>
      </c>
      <c r="I3108" s="3">
        <v>73334.8593156512</v>
      </c>
      <c r="J3108" s="4">
        <v>45778.0</v>
      </c>
      <c r="K3108" s="3">
        <v>11.0</v>
      </c>
      <c r="L3108" s="3" t="s">
        <v>21</v>
      </c>
    </row>
    <row r="3109" ht="15.75" customHeight="1">
      <c r="A3109" s="3" t="s">
        <v>3195</v>
      </c>
      <c r="B3109" s="3" t="s">
        <v>53</v>
      </c>
      <c r="C3109" s="3" t="s">
        <v>30</v>
      </c>
      <c r="D3109" s="3">
        <v>83722.5378415424</v>
      </c>
      <c r="E3109" s="3">
        <v>29099.211971841</v>
      </c>
      <c r="F3109" s="3">
        <v>25315.5875179445</v>
      </c>
      <c r="G3109" s="3">
        <v>18033.3598421502</v>
      </c>
      <c r="H3109" s="3">
        <v>-71216.2088189517</v>
      </c>
      <c r="I3109" s="3">
        <v>73338.240790071</v>
      </c>
      <c r="J3109" s="4">
        <v>45748.0</v>
      </c>
      <c r="K3109" s="3">
        <v>21.0</v>
      </c>
      <c r="L3109" s="3" t="s">
        <v>23</v>
      </c>
    </row>
    <row r="3110" ht="15.75" customHeight="1">
      <c r="A3110" s="3" t="s">
        <v>3196</v>
      </c>
      <c r="B3110" s="3" t="s">
        <v>13</v>
      </c>
      <c r="C3110" s="3" t="s">
        <v>26</v>
      </c>
      <c r="D3110" s="3">
        <v>83733.4208114486</v>
      </c>
      <c r="E3110" s="3">
        <v>29103.8266901684</v>
      </c>
      <c r="F3110" s="3">
        <v>25323.267521374</v>
      </c>
      <c r="G3110" s="3">
        <v>18036.7573928375</v>
      </c>
      <c r="H3110" s="3">
        <v>-71265.7125367007</v>
      </c>
      <c r="I3110" s="3">
        <v>73341.6222644908</v>
      </c>
      <c r="J3110" s="3" t="s">
        <v>3197</v>
      </c>
      <c r="K3110" s="3">
        <v>3.0</v>
      </c>
      <c r="L3110" s="3" t="s">
        <v>27</v>
      </c>
    </row>
    <row r="3111" ht="15.75" customHeight="1">
      <c r="A3111" s="3" t="s">
        <v>3198</v>
      </c>
      <c r="B3111" s="3" t="s">
        <v>17</v>
      </c>
      <c r="C3111" s="3" t="s">
        <v>26</v>
      </c>
      <c r="D3111" s="3">
        <v>83744.3037813548</v>
      </c>
      <c r="E3111" s="3">
        <v>29108.4414084959</v>
      </c>
      <c r="F3111" s="3">
        <v>25330.9475248035</v>
      </c>
      <c r="G3111" s="3">
        <v>18040.1549435248</v>
      </c>
      <c r="H3111" s="3">
        <v>-71315.2162544497</v>
      </c>
      <c r="I3111" s="3">
        <v>73345.0037389107</v>
      </c>
      <c r="J3111" s="4">
        <v>45809.0</v>
      </c>
      <c r="K3111" s="3">
        <v>6.0</v>
      </c>
      <c r="L3111" s="3" t="s">
        <v>31</v>
      </c>
    </row>
    <row r="3112" ht="15.75" customHeight="1">
      <c r="A3112" s="3" t="s">
        <v>3199</v>
      </c>
      <c r="B3112" s="3" t="s">
        <v>25</v>
      </c>
      <c r="C3112" s="3" t="s">
        <v>14</v>
      </c>
      <c r="D3112" s="3">
        <v>83755.186751261</v>
      </c>
      <c r="E3112" s="3">
        <v>29113.0561268233</v>
      </c>
      <c r="F3112" s="3">
        <v>25338.627528233</v>
      </c>
      <c r="G3112" s="3">
        <v>18043.5524942121</v>
      </c>
      <c r="H3112" s="3">
        <v>-71364.7199721987</v>
      </c>
      <c r="I3112" s="3">
        <v>73348.3852133305</v>
      </c>
      <c r="J3112" s="4">
        <v>45931.0</v>
      </c>
      <c r="K3112" s="3">
        <v>2.0</v>
      </c>
      <c r="L3112" s="3" t="s">
        <v>34</v>
      </c>
    </row>
    <row r="3113" ht="15.75" customHeight="1">
      <c r="A3113" s="3" t="s">
        <v>3200</v>
      </c>
      <c r="B3113" s="3" t="s">
        <v>25</v>
      </c>
      <c r="C3113" s="3" t="s">
        <v>14</v>
      </c>
      <c r="D3113" s="3">
        <v>83766.0697211671</v>
      </c>
      <c r="E3113" s="3">
        <v>29117.6708451507</v>
      </c>
      <c r="F3113" s="3">
        <v>25346.3075316625</v>
      </c>
      <c r="G3113" s="3">
        <v>18046.9500448994</v>
      </c>
      <c r="H3113" s="3">
        <v>-71414.2236899477</v>
      </c>
      <c r="I3113" s="3">
        <v>73351.7666877503</v>
      </c>
      <c r="J3113" s="4">
        <v>45870.0</v>
      </c>
      <c r="K3113" s="3">
        <v>2.0</v>
      </c>
      <c r="L3113" s="3" t="s">
        <v>38</v>
      </c>
    </row>
    <row r="3114" ht="15.75" customHeight="1">
      <c r="A3114" s="3" t="s">
        <v>3201</v>
      </c>
      <c r="B3114" s="3" t="s">
        <v>17</v>
      </c>
      <c r="C3114" s="3" t="s">
        <v>14</v>
      </c>
      <c r="D3114" s="3">
        <v>83776.9526910733</v>
      </c>
      <c r="E3114" s="3">
        <v>29122.2855634781</v>
      </c>
      <c r="F3114" s="3">
        <v>25353.987535092</v>
      </c>
      <c r="G3114" s="3">
        <v>18050.3475955867</v>
      </c>
      <c r="H3114" s="3">
        <v>-71463.7274076977</v>
      </c>
      <c r="I3114" s="3">
        <v>73355.1481621701</v>
      </c>
      <c r="J3114" s="4">
        <v>45748.0</v>
      </c>
      <c r="K3114" s="3">
        <v>4.0</v>
      </c>
      <c r="L3114" s="3" t="s">
        <v>40</v>
      </c>
    </row>
    <row r="3115" ht="15.75" customHeight="1">
      <c r="A3115" s="3" t="s">
        <v>3202</v>
      </c>
      <c r="B3115" s="3" t="s">
        <v>29</v>
      </c>
      <c r="C3115" s="3" t="s">
        <v>26</v>
      </c>
      <c r="D3115" s="3">
        <v>83787.8356609795</v>
      </c>
      <c r="E3115" s="3">
        <v>29126.9002818056</v>
      </c>
      <c r="F3115" s="3">
        <v>25361.6675385215</v>
      </c>
      <c r="G3115" s="3">
        <v>18053.745146274</v>
      </c>
      <c r="H3115" s="3">
        <v>-71513.2311254467</v>
      </c>
      <c r="I3115" s="3">
        <v>73358.5296365899</v>
      </c>
      <c r="J3115" s="4">
        <v>45689.0</v>
      </c>
      <c r="K3115" s="3">
        <v>8.0</v>
      </c>
      <c r="L3115" s="3" t="s">
        <v>42</v>
      </c>
    </row>
    <row r="3116" ht="15.75" customHeight="1">
      <c r="A3116" s="3" t="s">
        <v>3203</v>
      </c>
      <c r="B3116" s="3" t="s">
        <v>13</v>
      </c>
      <c r="C3116" s="3" t="s">
        <v>18</v>
      </c>
      <c r="D3116" s="3">
        <v>83798.7186308857</v>
      </c>
      <c r="E3116" s="3">
        <v>29131.515000133</v>
      </c>
      <c r="F3116" s="3">
        <v>25369.347541951</v>
      </c>
      <c r="G3116" s="3">
        <v>18057.1426969612</v>
      </c>
      <c r="H3116" s="3">
        <v>-71562.7348431958</v>
      </c>
      <c r="I3116" s="3">
        <v>73361.9111110097</v>
      </c>
      <c r="J3116" s="4">
        <v>45901.0</v>
      </c>
      <c r="K3116" s="3">
        <v>7.0</v>
      </c>
      <c r="L3116" s="3" t="s">
        <v>15</v>
      </c>
    </row>
    <row r="3117" ht="15.75" customHeight="1">
      <c r="A3117" s="3" t="s">
        <v>3204</v>
      </c>
      <c r="B3117" s="3" t="s">
        <v>17</v>
      </c>
      <c r="C3117" s="3" t="s">
        <v>18</v>
      </c>
      <c r="D3117" s="3">
        <v>83820.4845706981</v>
      </c>
      <c r="E3117" s="3">
        <v>29140.7444367878</v>
      </c>
      <c r="F3117" s="3">
        <v>25384.70754881</v>
      </c>
      <c r="G3117" s="3">
        <v>18063.9377983358</v>
      </c>
      <c r="H3117" s="3">
        <v>-71661.7422786937</v>
      </c>
      <c r="I3117" s="3">
        <v>73368.6740598493</v>
      </c>
      <c r="J3117" s="4">
        <v>45778.0</v>
      </c>
      <c r="K3117" s="3">
        <v>16.0</v>
      </c>
      <c r="L3117" s="3" t="s">
        <v>21</v>
      </c>
    </row>
    <row r="3118" ht="15.75" customHeight="1">
      <c r="A3118" s="3" t="s">
        <v>3205</v>
      </c>
      <c r="B3118" s="3" t="s">
        <v>17</v>
      </c>
      <c r="C3118" s="3" t="s">
        <v>14</v>
      </c>
      <c r="D3118" s="3">
        <v>83831.3675406043</v>
      </c>
      <c r="E3118" s="3">
        <v>29145.3591551152</v>
      </c>
      <c r="F3118" s="3">
        <v>25392.3875522395</v>
      </c>
      <c r="G3118" s="3">
        <v>18067.3353490231</v>
      </c>
      <c r="H3118" s="3">
        <v>-71711.2459964427</v>
      </c>
      <c r="I3118" s="3">
        <v>73372.0555342692</v>
      </c>
      <c r="J3118" s="4">
        <v>45839.0</v>
      </c>
      <c r="K3118" s="3">
        <v>12.0</v>
      </c>
      <c r="L3118" s="3" t="s">
        <v>23</v>
      </c>
    </row>
    <row r="3119" ht="15.75" customHeight="1">
      <c r="A3119" s="3" t="s">
        <v>3206</v>
      </c>
      <c r="B3119" s="3" t="s">
        <v>25</v>
      </c>
      <c r="C3119" s="3" t="s">
        <v>33</v>
      </c>
      <c r="D3119" s="3">
        <v>83842.2505105105</v>
      </c>
      <c r="E3119" s="3">
        <v>29149.9738734427</v>
      </c>
      <c r="F3119" s="3">
        <v>25400.067555669</v>
      </c>
      <c r="G3119" s="3">
        <v>18070.7328997104</v>
      </c>
      <c r="H3119" s="3">
        <v>-71760.7497141917</v>
      </c>
      <c r="I3119" s="3">
        <v>73375.437008689</v>
      </c>
      <c r="J3119" s="4">
        <v>45717.0</v>
      </c>
      <c r="K3119" s="3">
        <v>23.0</v>
      </c>
      <c r="L3119" s="3" t="s">
        <v>27</v>
      </c>
    </row>
    <row r="3120" ht="15.75" customHeight="1">
      <c r="A3120" s="3" t="s">
        <v>3207</v>
      </c>
      <c r="B3120" s="3" t="s">
        <v>36</v>
      </c>
      <c r="C3120" s="3" t="s">
        <v>14</v>
      </c>
      <c r="D3120" s="3">
        <v>83853.1334804167</v>
      </c>
      <c r="E3120" s="3">
        <v>29154.5885917701</v>
      </c>
      <c r="F3120" s="3">
        <v>25407.7475590985</v>
      </c>
      <c r="G3120" s="3">
        <v>18074.1304503977</v>
      </c>
      <c r="H3120" s="3">
        <v>-71810.2534319407</v>
      </c>
      <c r="I3120" s="3">
        <v>73378.8184831088</v>
      </c>
      <c r="J3120" s="4">
        <v>45658.0</v>
      </c>
      <c r="K3120" s="3">
        <v>8.0</v>
      </c>
      <c r="L3120" s="3" t="s">
        <v>31</v>
      </c>
    </row>
    <row r="3121" ht="15.75" customHeight="1">
      <c r="A3121" s="3" t="s">
        <v>3208</v>
      </c>
      <c r="B3121" s="3" t="s">
        <v>36</v>
      </c>
      <c r="C3121" s="3" t="s">
        <v>14</v>
      </c>
      <c r="D3121" s="3">
        <v>83864.0164503229</v>
      </c>
      <c r="E3121" s="3">
        <v>29159.2033100975</v>
      </c>
      <c r="F3121" s="3">
        <v>25415.427562528</v>
      </c>
      <c r="G3121" s="3">
        <v>18077.528001085</v>
      </c>
      <c r="H3121" s="3">
        <v>-71859.7571496907</v>
      </c>
      <c r="I3121" s="3">
        <v>73382.1999575286</v>
      </c>
      <c r="J3121" s="4">
        <v>45778.0</v>
      </c>
      <c r="K3121" s="3">
        <v>21.0</v>
      </c>
      <c r="L3121" s="3" t="s">
        <v>34</v>
      </c>
    </row>
    <row r="3122" ht="15.75" customHeight="1">
      <c r="A3122" s="3" t="s">
        <v>3209</v>
      </c>
      <c r="B3122" s="3" t="s">
        <v>36</v>
      </c>
      <c r="C3122" s="3" t="s">
        <v>26</v>
      </c>
      <c r="D3122" s="3">
        <v>83874.8994202291</v>
      </c>
      <c r="E3122" s="3">
        <v>29163.8180284249</v>
      </c>
      <c r="F3122" s="3">
        <v>25423.1075659575</v>
      </c>
      <c r="G3122" s="3">
        <v>18080.9255517723</v>
      </c>
      <c r="H3122" s="3">
        <v>-71909.2608674397</v>
      </c>
      <c r="I3122" s="3">
        <v>73385.5814319484</v>
      </c>
      <c r="J3122" s="4">
        <v>45809.0</v>
      </c>
      <c r="K3122" s="3">
        <v>24.0</v>
      </c>
      <c r="L3122" s="3" t="s">
        <v>38</v>
      </c>
    </row>
    <row r="3123" ht="15.75" customHeight="1">
      <c r="A3123" s="3" t="s">
        <v>3210</v>
      </c>
      <c r="B3123" s="3" t="s">
        <v>13</v>
      </c>
      <c r="C3123" s="3" t="s">
        <v>30</v>
      </c>
      <c r="D3123" s="3">
        <v>83885.7823901353</v>
      </c>
      <c r="E3123" s="3">
        <v>29168.4327467523</v>
      </c>
      <c r="F3123" s="3">
        <v>25430.787569387</v>
      </c>
      <c r="G3123" s="3">
        <v>18084.3231024595</v>
      </c>
      <c r="H3123" s="3">
        <v>-71958.7645851888</v>
      </c>
      <c r="I3123" s="3">
        <v>73388.9629063682</v>
      </c>
      <c r="J3123" s="4">
        <v>45809.0</v>
      </c>
      <c r="K3123" s="3">
        <v>6.0</v>
      </c>
      <c r="L3123" s="3" t="s">
        <v>40</v>
      </c>
    </row>
    <row r="3124" ht="15.75" customHeight="1">
      <c r="A3124" s="3" t="s">
        <v>3211</v>
      </c>
      <c r="B3124" s="3" t="s">
        <v>51</v>
      </c>
      <c r="C3124" s="3" t="s">
        <v>54</v>
      </c>
      <c r="D3124" s="3">
        <v>83896.6653600415</v>
      </c>
      <c r="E3124" s="3">
        <v>29173.0474650798</v>
      </c>
      <c r="F3124" s="3">
        <v>25438.4675728165</v>
      </c>
      <c r="G3124" s="3">
        <v>18087.7206531468</v>
      </c>
      <c r="H3124" s="3">
        <v>-72008.2683029378</v>
      </c>
      <c r="I3124" s="3">
        <v>73392.3443807881</v>
      </c>
      <c r="J3124" s="4">
        <v>45931.0</v>
      </c>
      <c r="K3124" s="3">
        <v>2.0</v>
      </c>
      <c r="L3124" s="3" t="s">
        <v>42</v>
      </c>
    </row>
    <row r="3125" ht="15.75" customHeight="1">
      <c r="A3125" s="3" t="s">
        <v>3212</v>
      </c>
      <c r="B3125" s="3" t="s">
        <v>29</v>
      </c>
      <c r="C3125" s="3" t="s">
        <v>54</v>
      </c>
      <c r="D3125" s="3">
        <v>83907.5483299477</v>
      </c>
      <c r="E3125" s="3">
        <v>29177.6621834072</v>
      </c>
      <c r="F3125" s="3">
        <v>25446.147576246</v>
      </c>
      <c r="G3125" s="3">
        <v>18091.1182038341</v>
      </c>
      <c r="H3125" s="3">
        <v>-72057.7720206867</v>
      </c>
      <c r="I3125" s="3">
        <v>73395.7258552079</v>
      </c>
      <c r="J3125" s="4">
        <v>45901.0</v>
      </c>
      <c r="K3125" s="3">
        <v>8.0</v>
      </c>
      <c r="L3125" s="3" t="s">
        <v>15</v>
      </c>
    </row>
    <row r="3126" ht="15.75" customHeight="1">
      <c r="A3126" s="3" t="s">
        <v>3213</v>
      </c>
      <c r="B3126" s="3" t="s">
        <v>29</v>
      </c>
      <c r="C3126" s="3" t="s">
        <v>14</v>
      </c>
      <c r="D3126" s="3">
        <v>83918.4312998539</v>
      </c>
      <c r="E3126" s="3">
        <v>29182.2769017346</v>
      </c>
      <c r="F3126" s="3">
        <v>25453.8275796755</v>
      </c>
      <c r="G3126" s="3">
        <v>18094.5157545214</v>
      </c>
      <c r="H3126" s="3">
        <v>-72107.2757384357</v>
      </c>
      <c r="I3126" s="3">
        <v>73399.1073296277</v>
      </c>
      <c r="J3126" s="4">
        <v>45717.0</v>
      </c>
      <c r="K3126" s="3">
        <v>24.0</v>
      </c>
      <c r="L3126" s="3" t="s">
        <v>19</v>
      </c>
    </row>
    <row r="3127" ht="15.75" customHeight="1">
      <c r="A3127" s="3" t="s">
        <v>3214</v>
      </c>
      <c r="B3127" s="3" t="s">
        <v>13</v>
      </c>
      <c r="C3127" s="3" t="s">
        <v>18</v>
      </c>
      <c r="D3127" s="3">
        <v>83929.3142697601</v>
      </c>
      <c r="E3127" s="3">
        <v>29186.891620062</v>
      </c>
      <c r="F3127" s="3">
        <v>25461.507583105</v>
      </c>
      <c r="G3127" s="3">
        <v>18097.9133052087</v>
      </c>
      <c r="H3127" s="3">
        <v>-72156.7794561847</v>
      </c>
      <c r="I3127" s="3">
        <v>73402.4888040475</v>
      </c>
      <c r="J3127" s="4">
        <v>45962.0</v>
      </c>
      <c r="K3127" s="3">
        <v>9.0</v>
      </c>
      <c r="L3127" s="3" t="s">
        <v>21</v>
      </c>
    </row>
    <row r="3128" ht="15.75" customHeight="1">
      <c r="A3128" s="3" t="s">
        <v>3215</v>
      </c>
      <c r="B3128" s="3" t="s">
        <v>36</v>
      </c>
      <c r="C3128" s="3" t="s">
        <v>14</v>
      </c>
      <c r="D3128" s="3">
        <v>83940.1972396662</v>
      </c>
      <c r="E3128" s="3">
        <v>29191.5063383895</v>
      </c>
      <c r="F3128" s="3">
        <v>25469.1875865345</v>
      </c>
      <c r="G3128" s="3">
        <v>18101.310855896</v>
      </c>
      <c r="H3128" s="3">
        <v>-72206.2831739337</v>
      </c>
      <c r="I3128" s="3">
        <v>73405.8702784673</v>
      </c>
      <c r="J3128" s="4">
        <v>45901.0</v>
      </c>
      <c r="K3128" s="3">
        <v>1.0</v>
      </c>
      <c r="L3128" s="3" t="s">
        <v>23</v>
      </c>
    </row>
    <row r="3129" ht="15.75" customHeight="1">
      <c r="A3129" s="3" t="s">
        <v>3216</v>
      </c>
      <c r="B3129" s="3" t="s">
        <v>36</v>
      </c>
      <c r="C3129" s="3" t="s">
        <v>37</v>
      </c>
      <c r="D3129" s="3">
        <v>83951.0802095724</v>
      </c>
      <c r="E3129" s="3">
        <v>29196.1210567169</v>
      </c>
      <c r="F3129" s="3">
        <v>25476.8675899639</v>
      </c>
      <c r="G3129" s="3">
        <v>18104.7084065833</v>
      </c>
      <c r="H3129" s="3">
        <v>-72255.7868916837</v>
      </c>
      <c r="I3129" s="3">
        <v>73409.2517528871</v>
      </c>
      <c r="J3129" s="4">
        <v>45748.0</v>
      </c>
      <c r="K3129" s="3">
        <v>14.0</v>
      </c>
      <c r="L3129" s="3" t="s">
        <v>27</v>
      </c>
    </row>
    <row r="3130" ht="15.75" customHeight="1">
      <c r="A3130" s="3" t="s">
        <v>3217</v>
      </c>
      <c r="B3130" s="3" t="s">
        <v>53</v>
      </c>
      <c r="C3130" s="3" t="s">
        <v>14</v>
      </c>
      <c r="D3130" s="3">
        <v>83961.9631794786</v>
      </c>
      <c r="E3130" s="3">
        <v>29200.7357750443</v>
      </c>
      <c r="F3130" s="3">
        <v>25484.5475933934</v>
      </c>
      <c r="G3130" s="3">
        <v>18108.1059572705</v>
      </c>
      <c r="H3130" s="3">
        <v>-72305.2906094327</v>
      </c>
      <c r="I3130" s="3">
        <v>73412.6332273069</v>
      </c>
      <c r="J3130" s="4">
        <v>45809.0</v>
      </c>
      <c r="K3130" s="3">
        <v>1.0</v>
      </c>
      <c r="L3130" s="3" t="s">
        <v>31</v>
      </c>
    </row>
    <row r="3131" ht="15.75" customHeight="1">
      <c r="A3131" s="3" t="s">
        <v>3218</v>
      </c>
      <c r="B3131" s="3" t="s">
        <v>25</v>
      </c>
      <c r="C3131" s="3" t="s">
        <v>14</v>
      </c>
      <c r="D3131" s="3">
        <v>83972.8461493848</v>
      </c>
      <c r="E3131" s="3">
        <v>29205.3504933717</v>
      </c>
      <c r="F3131" s="3">
        <v>25492.2275968229</v>
      </c>
      <c r="G3131" s="3">
        <v>18111.5035079578</v>
      </c>
      <c r="H3131" s="3">
        <v>-72354.7943271817</v>
      </c>
      <c r="I3131" s="3">
        <v>73416.0147017268</v>
      </c>
      <c r="J3131" s="4">
        <v>45809.0</v>
      </c>
      <c r="K3131" s="3">
        <v>20.0</v>
      </c>
      <c r="L3131" s="3" t="s">
        <v>34</v>
      </c>
    </row>
    <row r="3132" ht="15.75" customHeight="1">
      <c r="A3132" s="3" t="s">
        <v>3219</v>
      </c>
      <c r="B3132" s="3" t="s">
        <v>25</v>
      </c>
      <c r="C3132" s="3" t="s">
        <v>37</v>
      </c>
      <c r="D3132" s="3">
        <v>83983.729119291</v>
      </c>
      <c r="E3132" s="3">
        <v>29209.9652116991</v>
      </c>
      <c r="F3132" s="3">
        <v>25499.9076002524</v>
      </c>
      <c r="G3132" s="3">
        <v>18114.9010586451</v>
      </c>
      <c r="H3132" s="3">
        <v>-72404.2980449308</v>
      </c>
      <c r="I3132" s="3">
        <v>73419.3961761466</v>
      </c>
      <c r="J3132" s="4">
        <v>45748.0</v>
      </c>
      <c r="K3132" s="3">
        <v>9.0</v>
      </c>
      <c r="L3132" s="3" t="s">
        <v>38</v>
      </c>
    </row>
    <row r="3133" ht="15.75" customHeight="1">
      <c r="A3133" s="3" t="s">
        <v>3220</v>
      </c>
      <c r="B3133" s="3" t="s">
        <v>29</v>
      </c>
      <c r="C3133" s="3" t="s">
        <v>14</v>
      </c>
      <c r="D3133" s="3">
        <v>83994.6120891972</v>
      </c>
      <c r="E3133" s="3">
        <v>29214.5799300266</v>
      </c>
      <c r="F3133" s="3">
        <v>25507.5876036819</v>
      </c>
      <c r="G3133" s="3">
        <v>18118.2986093324</v>
      </c>
      <c r="H3133" s="3">
        <v>-72453.8017626798</v>
      </c>
      <c r="I3133" s="3">
        <v>73422.7776505664</v>
      </c>
      <c r="J3133" s="4">
        <v>45778.0</v>
      </c>
      <c r="K3133" s="3">
        <v>7.0</v>
      </c>
      <c r="L3133" s="3" t="s">
        <v>40</v>
      </c>
    </row>
    <row r="3134" ht="15.75" customHeight="1">
      <c r="A3134" s="3" t="s">
        <v>3221</v>
      </c>
      <c r="B3134" s="3" t="s">
        <v>17</v>
      </c>
      <c r="C3134" s="3" t="s">
        <v>18</v>
      </c>
      <c r="D3134" s="3">
        <v>84005.4950591034</v>
      </c>
      <c r="E3134" s="3">
        <v>29219.194648354</v>
      </c>
      <c r="F3134" s="3">
        <v>25515.2676071114</v>
      </c>
      <c r="G3134" s="3">
        <v>18121.6961600197</v>
      </c>
      <c r="H3134" s="3">
        <v>-72503.3054804287</v>
      </c>
      <c r="I3134" s="3">
        <v>73426.1591249862</v>
      </c>
      <c r="J3134" s="4">
        <v>45689.0</v>
      </c>
      <c r="K3134" s="3">
        <v>11.0</v>
      </c>
      <c r="L3134" s="3" t="s">
        <v>42</v>
      </c>
    </row>
    <row r="3135" ht="15.75" customHeight="1">
      <c r="A3135" s="3" t="s">
        <v>3222</v>
      </c>
      <c r="B3135" s="3" t="s">
        <v>53</v>
      </c>
      <c r="C3135" s="3" t="s">
        <v>14</v>
      </c>
      <c r="D3135" s="3">
        <v>84016.3780290096</v>
      </c>
      <c r="E3135" s="3">
        <v>29223.8093666814</v>
      </c>
      <c r="F3135" s="3">
        <v>25522.9476105409</v>
      </c>
      <c r="G3135" s="3">
        <v>18125.093710707</v>
      </c>
      <c r="H3135" s="3">
        <v>-72552.8091981777</v>
      </c>
      <c r="I3135" s="3">
        <v>73429.540599406</v>
      </c>
      <c r="J3135" s="4">
        <v>45717.0</v>
      </c>
      <c r="K3135" s="3">
        <v>22.0</v>
      </c>
      <c r="L3135" s="3" t="s">
        <v>15</v>
      </c>
    </row>
    <row r="3136" ht="15.75" customHeight="1">
      <c r="A3136" s="3" t="s">
        <v>3223</v>
      </c>
      <c r="B3136" s="3" t="s">
        <v>29</v>
      </c>
      <c r="C3136" s="3" t="s">
        <v>18</v>
      </c>
      <c r="D3136" s="3">
        <v>84027.2609989158</v>
      </c>
      <c r="E3136" s="3">
        <v>29228.4240850088</v>
      </c>
      <c r="F3136" s="3">
        <v>25530.6276139704</v>
      </c>
      <c r="G3136" s="3">
        <v>18128.4912613943</v>
      </c>
      <c r="H3136" s="3">
        <v>-72602.3129159267</v>
      </c>
      <c r="I3136" s="3">
        <v>73432.9220738258</v>
      </c>
      <c r="J3136" s="4">
        <v>45839.0</v>
      </c>
      <c r="K3136" s="3">
        <v>2.0</v>
      </c>
      <c r="L3136" s="3" t="s">
        <v>19</v>
      </c>
    </row>
    <row r="3137" ht="15.75" customHeight="1">
      <c r="A3137" s="3" t="s">
        <v>3224</v>
      </c>
      <c r="B3137" s="3" t="s">
        <v>29</v>
      </c>
      <c r="C3137" s="3" t="s">
        <v>37</v>
      </c>
      <c r="D3137" s="3">
        <v>84070.7928785406</v>
      </c>
      <c r="E3137" s="3">
        <v>29246.8829583185</v>
      </c>
      <c r="F3137" s="3">
        <v>25561.3476276884</v>
      </c>
      <c r="G3137" s="3">
        <v>18142.0814641434</v>
      </c>
      <c r="H3137" s="3">
        <v>-72800.3277869237</v>
      </c>
      <c r="I3137" s="3">
        <v>73446.4479715051</v>
      </c>
      <c r="J3137" s="4">
        <v>45962.0</v>
      </c>
      <c r="K3137" s="3">
        <v>15.0</v>
      </c>
      <c r="L3137" s="3" t="s">
        <v>31</v>
      </c>
    </row>
    <row r="3138" ht="15.75" customHeight="1">
      <c r="A3138" s="3" t="s">
        <v>3225</v>
      </c>
      <c r="B3138" s="3" t="s">
        <v>25</v>
      </c>
      <c r="C3138" s="3" t="s">
        <v>18</v>
      </c>
      <c r="D3138" s="3">
        <v>84081.6758484468</v>
      </c>
      <c r="E3138" s="3">
        <v>29251.4976766459</v>
      </c>
      <c r="F3138" s="3">
        <v>25569.0276311179</v>
      </c>
      <c r="G3138" s="3">
        <v>18145.4790148307</v>
      </c>
      <c r="H3138" s="3">
        <v>-72849.8315046728</v>
      </c>
      <c r="I3138" s="3">
        <v>73449.8294459249</v>
      </c>
      <c r="J3138" s="4">
        <v>45689.0</v>
      </c>
      <c r="K3138" s="3">
        <v>7.0</v>
      </c>
      <c r="L3138" s="3" t="s">
        <v>34</v>
      </c>
    </row>
    <row r="3139" ht="15.75" customHeight="1">
      <c r="A3139" s="3" t="s">
        <v>3226</v>
      </c>
      <c r="B3139" s="3" t="s">
        <v>36</v>
      </c>
      <c r="C3139" s="3" t="s">
        <v>14</v>
      </c>
      <c r="D3139" s="3">
        <v>84092.5588183529</v>
      </c>
      <c r="E3139" s="3">
        <v>29256.1123949734</v>
      </c>
      <c r="F3139" s="3">
        <v>25576.7076345474</v>
      </c>
      <c r="G3139" s="3">
        <v>18148.876565518</v>
      </c>
      <c r="H3139" s="3">
        <v>-72899.3352224217</v>
      </c>
      <c r="I3139" s="3">
        <v>73453.2109203447</v>
      </c>
      <c r="J3139" s="4">
        <v>45839.0</v>
      </c>
      <c r="K3139" s="3">
        <v>25.0</v>
      </c>
      <c r="L3139" s="3" t="s">
        <v>38</v>
      </c>
    </row>
    <row r="3140" ht="15.75" customHeight="1">
      <c r="A3140" s="3" t="s">
        <v>3227</v>
      </c>
      <c r="B3140" s="3" t="s">
        <v>17</v>
      </c>
      <c r="C3140" s="3" t="s">
        <v>33</v>
      </c>
      <c r="D3140" s="3">
        <v>84114.3247581653</v>
      </c>
      <c r="E3140" s="3">
        <v>29265.3418316282</v>
      </c>
      <c r="F3140" s="3">
        <v>25592.0676414064</v>
      </c>
      <c r="G3140" s="3">
        <v>18155.6716668926</v>
      </c>
      <c r="H3140" s="3">
        <v>-72998.3426579197</v>
      </c>
      <c r="I3140" s="3">
        <v>73459.9738691843</v>
      </c>
      <c r="J3140" s="4">
        <v>45962.0</v>
      </c>
      <c r="K3140" s="3">
        <v>3.0</v>
      </c>
      <c r="L3140" s="3" t="s">
        <v>42</v>
      </c>
    </row>
    <row r="3141" ht="15.75" customHeight="1">
      <c r="A3141" s="3" t="s">
        <v>3228</v>
      </c>
      <c r="B3141" s="3" t="s">
        <v>53</v>
      </c>
      <c r="C3141" s="3" t="s">
        <v>37</v>
      </c>
      <c r="D3141" s="3">
        <v>84125.2077280715</v>
      </c>
      <c r="E3141" s="3">
        <v>29269.9565499556</v>
      </c>
      <c r="F3141" s="3">
        <v>25599.7476448359</v>
      </c>
      <c r="G3141" s="3">
        <v>18159.0692175799</v>
      </c>
      <c r="H3141" s="3">
        <v>65966.1385104916</v>
      </c>
      <c r="I3141" s="3">
        <v>70966.1385104916</v>
      </c>
      <c r="J3141" s="4">
        <v>45809.0</v>
      </c>
      <c r="K3141" s="3">
        <v>22.0</v>
      </c>
      <c r="L3141" s="3" t="s">
        <v>15</v>
      </c>
    </row>
    <row r="3142" ht="15.75" customHeight="1">
      <c r="A3142" s="3" t="s">
        <v>3229</v>
      </c>
      <c r="B3142" s="3" t="s">
        <v>13</v>
      </c>
      <c r="C3142" s="3" t="s">
        <v>33</v>
      </c>
      <c r="D3142" s="3">
        <v>84136.0906979777</v>
      </c>
      <c r="E3142" s="3">
        <v>29274.5712682831</v>
      </c>
      <c r="F3142" s="3">
        <v>25607.4276482654</v>
      </c>
      <c r="G3142" s="3">
        <v>18162.4667682671</v>
      </c>
      <c r="H3142" s="3">
        <v>-73097.3500934187</v>
      </c>
      <c r="I3142" s="3">
        <v>73466.736818024</v>
      </c>
      <c r="J3142" s="4">
        <v>45778.0</v>
      </c>
      <c r="K3142" s="3">
        <v>22.0</v>
      </c>
      <c r="L3142" s="3" t="s">
        <v>19</v>
      </c>
    </row>
    <row r="3143" ht="15.75" customHeight="1">
      <c r="A3143" s="3" t="s">
        <v>3230</v>
      </c>
      <c r="B3143" s="3" t="s">
        <v>51</v>
      </c>
      <c r="C3143" s="3" t="s">
        <v>26</v>
      </c>
      <c r="D3143" s="3">
        <v>84146.9736678839</v>
      </c>
      <c r="E3143" s="3">
        <v>29279.1859866105</v>
      </c>
      <c r="F3143" s="3">
        <v>25615.1076516949</v>
      </c>
      <c r="G3143" s="3">
        <v>18165.8643189544</v>
      </c>
      <c r="H3143" s="3">
        <v>-73146.8538111677</v>
      </c>
      <c r="I3143" s="3">
        <v>73470.1182924438</v>
      </c>
      <c r="J3143" s="4">
        <v>45931.0</v>
      </c>
      <c r="K3143" s="3">
        <v>7.0</v>
      </c>
      <c r="L3143" s="3" t="s">
        <v>21</v>
      </c>
    </row>
    <row r="3144" ht="15.75" customHeight="1">
      <c r="A3144" s="3" t="s">
        <v>3231</v>
      </c>
      <c r="B3144" s="3" t="s">
        <v>53</v>
      </c>
      <c r="C3144" s="3" t="s">
        <v>30</v>
      </c>
      <c r="D3144" s="3">
        <v>84168.7396076963</v>
      </c>
      <c r="E3144" s="3">
        <v>29288.4154232653</v>
      </c>
      <c r="F3144" s="3">
        <v>25630.4676585539</v>
      </c>
      <c r="G3144" s="3">
        <v>18172.659420329</v>
      </c>
      <c r="H3144" s="3">
        <v>-73245.8612466658</v>
      </c>
      <c r="I3144" s="3">
        <v>73476.8812412834</v>
      </c>
      <c r="J3144" s="4">
        <v>45748.0</v>
      </c>
      <c r="K3144" s="3">
        <v>12.0</v>
      </c>
      <c r="L3144" s="3" t="s">
        <v>27</v>
      </c>
    </row>
    <row r="3145" ht="15.75" customHeight="1">
      <c r="A3145" s="3" t="s">
        <v>3232</v>
      </c>
      <c r="B3145" s="3" t="s">
        <v>53</v>
      </c>
      <c r="C3145" s="3" t="s">
        <v>33</v>
      </c>
      <c r="D3145" s="3">
        <v>84179.6225776025</v>
      </c>
      <c r="E3145" s="3">
        <v>29293.0301415927</v>
      </c>
      <c r="F3145" s="3">
        <v>25638.1476619834</v>
      </c>
      <c r="G3145" s="3">
        <v>18176.0569710163</v>
      </c>
      <c r="H3145" s="3">
        <v>-73295.3649644148</v>
      </c>
      <c r="I3145" s="3">
        <v>73480.2627157032</v>
      </c>
      <c r="J3145" s="4">
        <v>45778.0</v>
      </c>
      <c r="K3145" s="3">
        <v>22.0</v>
      </c>
      <c r="L3145" s="3" t="s">
        <v>31</v>
      </c>
    </row>
    <row r="3146" ht="15.75" customHeight="1">
      <c r="A3146" s="3" t="s">
        <v>3233</v>
      </c>
      <c r="B3146" s="3" t="s">
        <v>13</v>
      </c>
      <c r="C3146" s="3" t="s">
        <v>54</v>
      </c>
      <c r="D3146" s="3">
        <v>84190.5055475087</v>
      </c>
      <c r="E3146" s="3">
        <v>29297.6448599202</v>
      </c>
      <c r="F3146" s="3">
        <v>25645.8276654129</v>
      </c>
      <c r="G3146" s="3">
        <v>18179.4545217036</v>
      </c>
      <c r="H3146" s="3">
        <v>-73344.8686821637</v>
      </c>
      <c r="I3146" s="3">
        <v>73483.644190123</v>
      </c>
      <c r="J3146" s="3" t="s">
        <v>917</v>
      </c>
      <c r="K3146" s="3">
        <v>22.0</v>
      </c>
      <c r="L3146" s="3" t="s">
        <v>34</v>
      </c>
    </row>
    <row r="3147" ht="15.75" customHeight="1">
      <c r="A3147" s="3" t="s">
        <v>3234</v>
      </c>
      <c r="B3147" s="3" t="s">
        <v>25</v>
      </c>
      <c r="C3147" s="3" t="s">
        <v>54</v>
      </c>
      <c r="D3147" s="3">
        <v>84201.3885174149</v>
      </c>
      <c r="E3147" s="3">
        <v>29302.2595782476</v>
      </c>
      <c r="F3147" s="3">
        <v>25653.5076688424</v>
      </c>
      <c r="G3147" s="5"/>
      <c r="H3147" s="3">
        <v>-73394.3723999127</v>
      </c>
      <c r="I3147" s="3">
        <v>73487.0256645429</v>
      </c>
      <c r="J3147" s="4">
        <v>45870.0</v>
      </c>
      <c r="K3147" s="3">
        <v>17.0</v>
      </c>
      <c r="L3147" s="3" t="s">
        <v>38</v>
      </c>
    </row>
    <row r="3148" ht="15.75" customHeight="1">
      <c r="A3148" s="3" t="s">
        <v>3235</v>
      </c>
      <c r="B3148" s="3" t="s">
        <v>17</v>
      </c>
      <c r="C3148" s="3" t="s">
        <v>26</v>
      </c>
      <c r="D3148" s="3">
        <v>84212.2714873211</v>
      </c>
      <c r="E3148" s="3">
        <v>29306.874296575</v>
      </c>
      <c r="F3148" s="3">
        <v>25661.1876722719</v>
      </c>
      <c r="G3148" s="3">
        <v>18186.2496230781</v>
      </c>
      <c r="H3148" s="3">
        <v>-73443.8761176627</v>
      </c>
      <c r="I3148" s="3">
        <v>73490.4071389627</v>
      </c>
      <c r="J3148" s="4">
        <v>45658.0</v>
      </c>
      <c r="K3148" s="3">
        <v>2.0</v>
      </c>
      <c r="L3148" s="3" t="s">
        <v>40</v>
      </c>
    </row>
    <row r="3149" ht="15.75" customHeight="1">
      <c r="A3149" s="3" t="s">
        <v>3236</v>
      </c>
      <c r="B3149" s="3" t="s">
        <v>36</v>
      </c>
      <c r="C3149" s="3" t="s">
        <v>37</v>
      </c>
      <c r="D3149" s="3">
        <v>84223.1544572273</v>
      </c>
      <c r="E3149" s="3">
        <v>29311.4890149024</v>
      </c>
      <c r="F3149" s="3">
        <v>25668.8676757014</v>
      </c>
      <c r="G3149" s="3">
        <v>18189.6471737654</v>
      </c>
      <c r="H3149" s="3">
        <v>-73493.3798354117</v>
      </c>
      <c r="I3149" s="3">
        <v>73493.7886133825</v>
      </c>
      <c r="J3149" s="4">
        <v>45748.0</v>
      </c>
      <c r="K3149" s="3">
        <v>18.0</v>
      </c>
      <c r="L3149" s="3" t="s">
        <v>42</v>
      </c>
    </row>
    <row r="3150" ht="15.75" customHeight="1">
      <c r="A3150" s="3" t="s">
        <v>3237</v>
      </c>
      <c r="B3150" s="3" t="s">
        <v>29</v>
      </c>
      <c r="C3150" s="3" t="s">
        <v>14</v>
      </c>
      <c r="D3150" s="3">
        <v>84234.0374271335</v>
      </c>
      <c r="E3150" s="3">
        <v>29316.1037332299</v>
      </c>
      <c r="F3150" s="3">
        <v>25676.5476791309</v>
      </c>
      <c r="G3150" s="3">
        <v>18193.0447244527</v>
      </c>
      <c r="H3150" s="3">
        <v>-73542.8835531607</v>
      </c>
      <c r="I3150" s="3">
        <v>73497.1700878023</v>
      </c>
      <c r="J3150" s="4">
        <v>45778.0</v>
      </c>
      <c r="K3150" s="3">
        <v>1.0</v>
      </c>
      <c r="L3150" s="3" t="s">
        <v>15</v>
      </c>
    </row>
    <row r="3151" ht="15.75" customHeight="1">
      <c r="A3151" s="3" t="s">
        <v>3238</v>
      </c>
      <c r="B3151" s="3" t="s">
        <v>53</v>
      </c>
      <c r="C3151" s="3" t="s">
        <v>14</v>
      </c>
      <c r="D3151" s="3">
        <v>84244.9203970397</v>
      </c>
      <c r="E3151" s="3">
        <v>29320.7184515573</v>
      </c>
      <c r="F3151" s="3">
        <v>25684.2276825604</v>
      </c>
      <c r="G3151" s="3">
        <v>18196.44227514</v>
      </c>
      <c r="H3151" s="3">
        <v>-73592.3872709097</v>
      </c>
      <c r="I3151" s="3">
        <v>73500.5515622221</v>
      </c>
      <c r="J3151" s="4">
        <v>45931.0</v>
      </c>
      <c r="K3151" s="3">
        <v>15.0</v>
      </c>
      <c r="L3151" s="3" t="s">
        <v>19</v>
      </c>
    </row>
    <row r="3152" ht="15.75" customHeight="1">
      <c r="A3152" s="3" t="s">
        <v>3239</v>
      </c>
      <c r="B3152" s="3" t="s">
        <v>51</v>
      </c>
      <c r="C3152" s="3" t="s">
        <v>33</v>
      </c>
      <c r="D3152" s="3">
        <v>84255.8033669458</v>
      </c>
      <c r="E3152" s="3">
        <v>29325.3331698847</v>
      </c>
      <c r="F3152" s="3">
        <v>25691.9076859899</v>
      </c>
      <c r="G3152" s="3">
        <v>18199.8398258273</v>
      </c>
      <c r="H3152" s="3">
        <v>-73641.8909886587</v>
      </c>
      <c r="I3152" s="3">
        <v>73503.9330366419</v>
      </c>
      <c r="J3152" s="4">
        <v>45778.0</v>
      </c>
      <c r="K3152" s="3">
        <v>20.0</v>
      </c>
      <c r="L3152" s="3" t="s">
        <v>21</v>
      </c>
    </row>
    <row r="3153" ht="15.75" customHeight="1">
      <c r="A3153" s="3" t="s">
        <v>3240</v>
      </c>
      <c r="B3153" s="3" t="s">
        <v>17</v>
      </c>
      <c r="C3153" s="3" t="s">
        <v>18</v>
      </c>
      <c r="D3153" s="3">
        <v>84266.686336852</v>
      </c>
      <c r="E3153" s="3">
        <v>29329.9478882121</v>
      </c>
      <c r="F3153" s="3">
        <v>25699.5876894194</v>
      </c>
      <c r="G3153" s="3">
        <v>18203.2373765146</v>
      </c>
      <c r="H3153" s="3">
        <v>-73691.3947064078</v>
      </c>
      <c r="I3153" s="3">
        <v>73507.3145110617</v>
      </c>
      <c r="J3153" s="4">
        <v>45962.0</v>
      </c>
      <c r="K3153" s="3">
        <v>20.0</v>
      </c>
      <c r="L3153" s="3" t="s">
        <v>23</v>
      </c>
    </row>
    <row r="3154" ht="15.75" customHeight="1">
      <c r="A3154" s="3" t="s">
        <v>3241</v>
      </c>
      <c r="B3154" s="3" t="s">
        <v>25</v>
      </c>
      <c r="C3154" s="3" t="s">
        <v>26</v>
      </c>
      <c r="D3154" s="3">
        <v>84277.5693067582</v>
      </c>
      <c r="E3154" s="3">
        <v>29334.5626065395</v>
      </c>
      <c r="F3154" s="3">
        <v>25707.2676928489</v>
      </c>
      <c r="G3154" s="3">
        <v>18206.6349272019</v>
      </c>
      <c r="H3154" s="3">
        <v>-73740.8984241567</v>
      </c>
      <c r="I3154" s="3">
        <v>73510.6959854816</v>
      </c>
      <c r="J3154" s="4">
        <v>45809.0</v>
      </c>
      <c r="K3154" s="3">
        <v>25.0</v>
      </c>
      <c r="L3154" s="3" t="s">
        <v>27</v>
      </c>
    </row>
    <row r="3155" ht="15.75" customHeight="1">
      <c r="A3155" s="3" t="s">
        <v>3242</v>
      </c>
      <c r="B3155" s="3" t="s">
        <v>36</v>
      </c>
      <c r="C3155" s="3" t="s">
        <v>33</v>
      </c>
      <c r="D3155" s="3">
        <v>84288.4522766644</v>
      </c>
      <c r="E3155" s="3">
        <v>29339.177324867</v>
      </c>
      <c r="F3155" s="3">
        <v>25714.9476962784</v>
      </c>
      <c r="G3155" s="3">
        <v>18210.0324778892</v>
      </c>
      <c r="H3155" s="3">
        <v>-73790.4021419057</v>
      </c>
      <c r="I3155" s="3">
        <v>73514.0774599014</v>
      </c>
      <c r="J3155" s="4">
        <v>45689.0</v>
      </c>
      <c r="K3155" s="3">
        <v>4.0</v>
      </c>
      <c r="L3155" s="3" t="s">
        <v>31</v>
      </c>
    </row>
    <row r="3156" ht="15.75" customHeight="1">
      <c r="A3156" s="3" t="s">
        <v>3243</v>
      </c>
      <c r="B3156" s="3" t="s">
        <v>36</v>
      </c>
      <c r="C3156" s="3" t="s">
        <v>14</v>
      </c>
      <c r="D3156" s="3">
        <v>84299.3352465706</v>
      </c>
      <c r="E3156" s="3">
        <v>29343.7920431944</v>
      </c>
      <c r="F3156" s="3">
        <v>25722.6276997079</v>
      </c>
      <c r="G3156" s="3">
        <v>18213.4300285764</v>
      </c>
      <c r="H3156" s="3">
        <v>-73839.9058596557</v>
      </c>
      <c r="I3156" s="3">
        <v>73517.4589343212</v>
      </c>
      <c r="J3156" s="4">
        <v>45689.0</v>
      </c>
      <c r="K3156" s="3">
        <v>1.0</v>
      </c>
      <c r="L3156" s="3" t="s">
        <v>34</v>
      </c>
    </row>
    <row r="3157" ht="15.75" customHeight="1">
      <c r="A3157" s="3" t="s">
        <v>3244</v>
      </c>
      <c r="B3157" s="3" t="s">
        <v>17</v>
      </c>
      <c r="C3157" s="3" t="s">
        <v>26</v>
      </c>
      <c r="D3157" s="3">
        <v>84310.2182164768</v>
      </c>
      <c r="E3157" s="3">
        <v>29348.4067615218</v>
      </c>
      <c r="F3157" s="3">
        <v>25730.3077031374</v>
      </c>
      <c r="G3157" s="3">
        <v>18216.8275792637</v>
      </c>
      <c r="H3157" s="3">
        <v>-73889.4095774047</v>
      </c>
      <c r="I3157" s="3">
        <v>73520.840408741</v>
      </c>
      <c r="J3157" s="4">
        <v>45870.0</v>
      </c>
      <c r="K3157" s="3">
        <v>13.0</v>
      </c>
      <c r="L3157" s="3" t="s">
        <v>38</v>
      </c>
    </row>
    <row r="3158" ht="15.75" customHeight="1">
      <c r="A3158" s="3" t="s">
        <v>3245</v>
      </c>
      <c r="B3158" s="3" t="s">
        <v>29</v>
      </c>
      <c r="C3158" s="3" t="s">
        <v>54</v>
      </c>
      <c r="D3158" s="3">
        <v>84321.101186383</v>
      </c>
      <c r="E3158" s="3">
        <v>29353.0214798492</v>
      </c>
      <c r="F3158" s="3">
        <v>25737.9877065669</v>
      </c>
      <c r="G3158" s="3">
        <v>18220.225129951</v>
      </c>
      <c r="H3158" s="3">
        <v>-73938.9132951537</v>
      </c>
      <c r="I3158" s="3">
        <v>73524.2218831608</v>
      </c>
      <c r="J3158" s="4">
        <v>45717.0</v>
      </c>
      <c r="K3158" s="3">
        <v>10.0</v>
      </c>
      <c r="L3158" s="3" t="s">
        <v>40</v>
      </c>
    </row>
    <row r="3159" ht="15.75" customHeight="1">
      <c r="A3159" s="3" t="s">
        <v>3246</v>
      </c>
      <c r="B3159" s="3" t="s">
        <v>51</v>
      </c>
      <c r="C3159" s="3" t="s">
        <v>30</v>
      </c>
      <c r="D3159" s="3">
        <v>84331.9841562892</v>
      </c>
      <c r="E3159" s="3">
        <v>29357.6361981767</v>
      </c>
      <c r="F3159" s="3">
        <v>25745.6677099964</v>
      </c>
      <c r="G3159" s="3">
        <v>18223.6226806383</v>
      </c>
      <c r="H3159" s="3">
        <v>-73988.4170129027</v>
      </c>
      <c r="I3159" s="3">
        <v>73527.6033575806</v>
      </c>
      <c r="J3159" s="4">
        <v>45748.0</v>
      </c>
      <c r="K3159" s="3">
        <v>11.0</v>
      </c>
      <c r="L3159" s="3" t="s">
        <v>42</v>
      </c>
    </row>
    <row r="3160" ht="15.75" customHeight="1">
      <c r="A3160" s="3" t="s">
        <v>3247</v>
      </c>
      <c r="B3160" s="3" t="s">
        <v>29</v>
      </c>
      <c r="C3160" s="3" t="s">
        <v>54</v>
      </c>
      <c r="D3160" s="3">
        <v>84342.8671261954</v>
      </c>
      <c r="E3160" s="3">
        <v>29362.2509165041</v>
      </c>
      <c r="F3160" s="3">
        <v>25753.3477134259</v>
      </c>
      <c r="G3160" s="3">
        <v>18227.0202313256</v>
      </c>
      <c r="H3160" s="3">
        <v>-74037.9207306517</v>
      </c>
      <c r="I3160" s="3">
        <v>73530.9848320004</v>
      </c>
      <c r="J3160" s="4">
        <v>45992.0</v>
      </c>
      <c r="K3160" s="3">
        <v>23.0</v>
      </c>
      <c r="L3160" s="3" t="s">
        <v>15</v>
      </c>
    </row>
    <row r="3161" ht="15.75" customHeight="1">
      <c r="A3161" s="3" t="s">
        <v>3248</v>
      </c>
      <c r="B3161" s="3" t="s">
        <v>17</v>
      </c>
      <c r="C3161" s="3" t="s">
        <v>14</v>
      </c>
      <c r="D3161" s="3">
        <v>84353.7500961016</v>
      </c>
      <c r="E3161" s="3">
        <v>29366.8656348315</v>
      </c>
      <c r="F3161" s="3">
        <v>25761.0277168553</v>
      </c>
      <c r="G3161" s="3">
        <v>18230.4177820129</v>
      </c>
      <c r="H3161" s="3">
        <v>-74087.4244484008</v>
      </c>
      <c r="I3161" s="3">
        <v>73534.3663064203</v>
      </c>
      <c r="J3161" s="4">
        <v>45658.0</v>
      </c>
      <c r="K3161" s="3">
        <v>9.0</v>
      </c>
      <c r="L3161" s="3" t="s">
        <v>19</v>
      </c>
    </row>
    <row r="3162" ht="15.75" customHeight="1">
      <c r="A3162" s="3" t="s">
        <v>3249</v>
      </c>
      <c r="B3162" s="3" t="s">
        <v>25</v>
      </c>
      <c r="C3162" s="3" t="s">
        <v>37</v>
      </c>
      <c r="D3162" s="5"/>
      <c r="E3162" s="3">
        <v>29371.4803531589</v>
      </c>
      <c r="F3162" s="3">
        <v>25768.7077202848</v>
      </c>
      <c r="G3162" s="3">
        <v>18233.8153327002</v>
      </c>
      <c r="H3162" s="3">
        <v>-74136.9281661498</v>
      </c>
      <c r="I3162" s="3">
        <v>73537.7477808401</v>
      </c>
      <c r="J3162" s="4">
        <v>45748.0</v>
      </c>
      <c r="K3162" s="3">
        <v>20.0</v>
      </c>
      <c r="L3162" s="3" t="s">
        <v>21</v>
      </c>
    </row>
    <row r="3163" ht="15.75" customHeight="1">
      <c r="A3163" s="3" t="s">
        <v>3250</v>
      </c>
      <c r="B3163" s="3" t="s">
        <v>51</v>
      </c>
      <c r="C3163" s="3" t="s">
        <v>14</v>
      </c>
      <c r="D3163" s="3">
        <v>84375.516035914</v>
      </c>
      <c r="E3163" s="3">
        <v>29376.0950714863</v>
      </c>
      <c r="F3163" s="3">
        <v>25776.3877237143</v>
      </c>
      <c r="G3163" s="3">
        <v>18237.2128833875</v>
      </c>
      <c r="H3163" s="3">
        <v>-74186.4318838987</v>
      </c>
      <c r="I3163" s="3">
        <v>73541.1292552599</v>
      </c>
      <c r="J3163" s="4">
        <v>45962.0</v>
      </c>
      <c r="K3163" s="3">
        <v>12.0</v>
      </c>
      <c r="L3163" s="3" t="s">
        <v>23</v>
      </c>
    </row>
    <row r="3164" ht="15.75" customHeight="1">
      <c r="A3164" s="3" t="s">
        <v>3251</v>
      </c>
      <c r="B3164" s="3" t="s">
        <v>51</v>
      </c>
      <c r="C3164" s="3" t="s">
        <v>30</v>
      </c>
      <c r="D3164" s="3">
        <v>84386.3990058202</v>
      </c>
      <c r="E3164" s="3">
        <v>29380.7097898138</v>
      </c>
      <c r="F3164" s="3">
        <v>25784.0677271438</v>
      </c>
      <c r="G3164" s="3">
        <v>18240.6104340747</v>
      </c>
      <c r="H3164" s="3">
        <v>-74235.9356016487</v>
      </c>
      <c r="I3164" s="3">
        <v>73544.5107296797</v>
      </c>
      <c r="J3164" s="4">
        <v>45870.0</v>
      </c>
      <c r="K3164" s="3">
        <v>8.0</v>
      </c>
      <c r="L3164" s="3" t="s">
        <v>27</v>
      </c>
    </row>
    <row r="3165" ht="15.75" customHeight="1">
      <c r="A3165" s="3" t="s">
        <v>3252</v>
      </c>
      <c r="B3165" s="3" t="s">
        <v>36</v>
      </c>
      <c r="C3165" s="3" t="s">
        <v>30</v>
      </c>
      <c r="D3165" s="3">
        <v>84397.2819757264</v>
      </c>
      <c r="E3165" s="3">
        <v>29385.3245081412</v>
      </c>
      <c r="F3165" s="3">
        <v>25791.7477305733</v>
      </c>
      <c r="G3165" s="3">
        <v>18244.007984762</v>
      </c>
      <c r="H3165" s="3">
        <v>-74285.4393193977</v>
      </c>
      <c r="I3165" s="3">
        <v>73547.8922040995</v>
      </c>
      <c r="J3165" s="4">
        <v>45748.0</v>
      </c>
      <c r="K3165" s="3">
        <v>2.0</v>
      </c>
      <c r="L3165" s="3" t="s">
        <v>31</v>
      </c>
    </row>
    <row r="3166" ht="15.75" customHeight="1">
      <c r="A3166" s="3" t="s">
        <v>3253</v>
      </c>
      <c r="B3166" s="3" t="s">
        <v>13</v>
      </c>
      <c r="C3166" s="3" t="s">
        <v>54</v>
      </c>
      <c r="D3166" s="3">
        <v>84408.1649456326</v>
      </c>
      <c r="E3166" s="3">
        <v>29389.9392264686</v>
      </c>
      <c r="F3166" s="3">
        <v>25799.4277340028</v>
      </c>
      <c r="G3166" s="3">
        <v>18247.4055354493</v>
      </c>
      <c r="H3166" s="3">
        <v>-74334.9430371467</v>
      </c>
      <c r="I3166" s="3">
        <v>73551.2736785193</v>
      </c>
      <c r="J3166" s="4">
        <v>45778.0</v>
      </c>
      <c r="K3166" s="3">
        <v>17.0</v>
      </c>
      <c r="L3166" s="3" t="s">
        <v>34</v>
      </c>
    </row>
    <row r="3167" ht="15.75" customHeight="1">
      <c r="A3167" s="3" t="s">
        <v>3254</v>
      </c>
      <c r="B3167" s="3" t="s">
        <v>13</v>
      </c>
      <c r="C3167" s="3" t="s">
        <v>18</v>
      </c>
      <c r="D3167" s="3">
        <v>84419.0479155387</v>
      </c>
      <c r="E3167" s="3">
        <v>29394.553944796</v>
      </c>
      <c r="F3167" s="3">
        <v>25807.1077374323</v>
      </c>
      <c r="G3167" s="3">
        <v>18250.8030861366</v>
      </c>
      <c r="H3167" s="3">
        <v>-74384.4467548957</v>
      </c>
      <c r="I3167" s="3">
        <v>73554.6551529391</v>
      </c>
      <c r="J3167" s="4">
        <v>45931.0</v>
      </c>
      <c r="K3167" s="3">
        <v>9.0</v>
      </c>
      <c r="L3167" s="3" t="s">
        <v>38</v>
      </c>
    </row>
    <row r="3168" ht="15.75" customHeight="1">
      <c r="A3168" s="3" t="s">
        <v>3255</v>
      </c>
      <c r="B3168" s="3" t="s">
        <v>17</v>
      </c>
      <c r="C3168" s="3" t="s">
        <v>26</v>
      </c>
      <c r="D3168" s="3">
        <v>84429.9308854449</v>
      </c>
      <c r="E3168" s="3">
        <v>29399.1686631235</v>
      </c>
      <c r="F3168" s="3">
        <v>25814.7877408618</v>
      </c>
      <c r="G3168" s="3">
        <v>18254.2006368239</v>
      </c>
      <c r="H3168" s="3">
        <v>-74433.9504726447</v>
      </c>
      <c r="I3168" s="3">
        <v>73558.036627359</v>
      </c>
      <c r="J3168" s="4">
        <v>45689.0</v>
      </c>
      <c r="K3168" s="3">
        <v>9.0</v>
      </c>
      <c r="L3168" s="3" t="s">
        <v>40</v>
      </c>
    </row>
    <row r="3169" ht="15.75" customHeight="1">
      <c r="A3169" s="3" t="s">
        <v>3256</v>
      </c>
      <c r="B3169" s="3" t="s">
        <v>53</v>
      </c>
      <c r="C3169" s="3" t="s">
        <v>30</v>
      </c>
      <c r="D3169" s="3">
        <v>84440.8138553511</v>
      </c>
      <c r="E3169" s="3">
        <v>29403.7833814509</v>
      </c>
      <c r="F3169" s="3">
        <v>25822.4677442913</v>
      </c>
      <c r="G3169" s="3">
        <v>18257.5981875112</v>
      </c>
      <c r="H3169" s="3">
        <v>-74483.4541903937</v>
      </c>
      <c r="I3169" s="3">
        <v>73561.4181017788</v>
      </c>
      <c r="J3169" s="4">
        <v>45962.0</v>
      </c>
      <c r="K3169" s="3">
        <v>3.0</v>
      </c>
      <c r="L3169" s="3" t="s">
        <v>42</v>
      </c>
    </row>
    <row r="3170" ht="15.75" customHeight="1">
      <c r="A3170" s="3" t="s">
        <v>3257</v>
      </c>
      <c r="B3170" s="3" t="s">
        <v>25</v>
      </c>
      <c r="C3170" s="3" t="s">
        <v>26</v>
      </c>
      <c r="D3170" s="3">
        <v>84451.6968252573</v>
      </c>
      <c r="E3170" s="3">
        <v>29408.3980997783</v>
      </c>
      <c r="F3170" s="3">
        <v>25830.1477477208</v>
      </c>
      <c r="G3170" s="3">
        <v>18260.9957381985</v>
      </c>
      <c r="H3170" s="3">
        <v>-74532.9579081428</v>
      </c>
      <c r="I3170" s="3">
        <v>73564.7995761986</v>
      </c>
      <c r="J3170" s="4">
        <v>45689.0</v>
      </c>
      <c r="K3170" s="3">
        <v>12.0</v>
      </c>
      <c r="L3170" s="3" t="s">
        <v>15</v>
      </c>
    </row>
    <row r="3171" ht="15.75" customHeight="1">
      <c r="A3171" s="3" t="s">
        <v>3258</v>
      </c>
      <c r="B3171" s="3" t="s">
        <v>51</v>
      </c>
      <c r="C3171" s="3" t="s">
        <v>14</v>
      </c>
      <c r="D3171" s="3">
        <v>84462.5797951635</v>
      </c>
      <c r="E3171" s="3">
        <v>29413.0128181057</v>
      </c>
      <c r="F3171" s="3">
        <v>25837.8277511503</v>
      </c>
      <c r="G3171" s="3">
        <v>18264.3932888857</v>
      </c>
      <c r="H3171" s="3">
        <v>-74582.4616258927</v>
      </c>
      <c r="I3171" s="3">
        <v>73568.1810506184</v>
      </c>
      <c r="J3171" s="4">
        <v>45809.0</v>
      </c>
      <c r="K3171" s="3">
        <v>13.0</v>
      </c>
      <c r="L3171" s="3" t="s">
        <v>19</v>
      </c>
    </row>
    <row r="3172" ht="15.75" customHeight="1">
      <c r="A3172" s="3" t="s">
        <v>3259</v>
      </c>
      <c r="B3172" s="3" t="s">
        <v>17</v>
      </c>
      <c r="C3172" s="3" t="s">
        <v>54</v>
      </c>
      <c r="D3172" s="3">
        <v>84473.4627650697</v>
      </c>
      <c r="E3172" s="3">
        <v>29417.6275364331</v>
      </c>
      <c r="F3172" s="3">
        <v>25845.5077545798</v>
      </c>
      <c r="G3172" s="3">
        <v>18267.790839573</v>
      </c>
      <c r="H3172" s="3">
        <v>-74631.9653436417</v>
      </c>
      <c r="I3172" s="3">
        <v>73571.5625250382</v>
      </c>
      <c r="J3172" s="4">
        <v>45992.0</v>
      </c>
      <c r="K3172" s="3">
        <v>12.0</v>
      </c>
      <c r="L3172" s="3" t="s">
        <v>21</v>
      </c>
    </row>
    <row r="3173" ht="15.75" customHeight="1">
      <c r="A3173" s="3" t="s">
        <v>3260</v>
      </c>
      <c r="B3173" s="3" t="s">
        <v>51</v>
      </c>
      <c r="C3173" s="3" t="s">
        <v>14</v>
      </c>
      <c r="D3173" s="3">
        <v>84484.3457349759</v>
      </c>
      <c r="E3173" s="3">
        <v>29422.2422547606</v>
      </c>
      <c r="F3173" s="3">
        <v>25853.1877580093</v>
      </c>
      <c r="G3173" s="3">
        <v>18271.1883902603</v>
      </c>
      <c r="H3173" s="3">
        <v>-74681.4690613907</v>
      </c>
      <c r="I3173" s="3">
        <v>73574.943999458</v>
      </c>
      <c r="J3173" s="4">
        <v>45778.0</v>
      </c>
      <c r="K3173" s="3">
        <v>17.0</v>
      </c>
      <c r="L3173" s="3" t="s">
        <v>23</v>
      </c>
    </row>
    <row r="3174" ht="15.75" customHeight="1">
      <c r="A3174" s="3" t="s">
        <v>3261</v>
      </c>
      <c r="B3174" s="3" t="s">
        <v>25</v>
      </c>
      <c r="C3174" s="3" t="s">
        <v>54</v>
      </c>
      <c r="D3174" s="3">
        <v>84495.2287048821</v>
      </c>
      <c r="E3174" s="3">
        <v>29426.856973088</v>
      </c>
      <c r="F3174" s="3">
        <v>25860.8677614388</v>
      </c>
      <c r="G3174" s="3">
        <v>18274.5859409476</v>
      </c>
      <c r="H3174" s="3">
        <v>-74730.9727791397</v>
      </c>
      <c r="I3174" s="3">
        <v>73578.3254738778</v>
      </c>
      <c r="J3174" s="4">
        <v>45809.0</v>
      </c>
      <c r="K3174" s="3">
        <v>8.0</v>
      </c>
      <c r="L3174" s="3" t="s">
        <v>27</v>
      </c>
    </row>
    <row r="3175" ht="15.75" customHeight="1">
      <c r="A3175" s="3" t="s">
        <v>3262</v>
      </c>
      <c r="B3175" s="3" t="s">
        <v>51</v>
      </c>
      <c r="C3175" s="3" t="s">
        <v>54</v>
      </c>
      <c r="D3175" s="3">
        <v>84506.1116747883</v>
      </c>
      <c r="E3175" s="3">
        <v>29431.4716914154</v>
      </c>
      <c r="F3175" s="3">
        <v>25868.5477648683</v>
      </c>
      <c r="G3175" s="3">
        <v>18277.9834916349</v>
      </c>
      <c r="H3175" s="3">
        <v>-74780.4764968887</v>
      </c>
      <c r="I3175" s="3">
        <v>73581.7069482977</v>
      </c>
      <c r="J3175" s="4">
        <v>45901.0</v>
      </c>
      <c r="K3175" s="3">
        <v>1.0</v>
      </c>
      <c r="L3175" s="3" t="s">
        <v>31</v>
      </c>
    </row>
    <row r="3176" ht="15.75" customHeight="1">
      <c r="A3176" s="3" t="s">
        <v>3263</v>
      </c>
      <c r="B3176" s="3" t="s">
        <v>53</v>
      </c>
      <c r="C3176" s="3" t="s">
        <v>37</v>
      </c>
      <c r="D3176" s="3">
        <v>84516.9946446945</v>
      </c>
      <c r="E3176" s="3">
        <v>29436.0864097428</v>
      </c>
      <c r="F3176" s="3">
        <v>25876.2277682978</v>
      </c>
      <c r="G3176" s="3">
        <v>18281.3810423222</v>
      </c>
      <c r="H3176" s="3">
        <v>-74829.9802146377</v>
      </c>
      <c r="I3176" s="3">
        <v>73585.0884227175</v>
      </c>
      <c r="J3176" s="4">
        <v>45901.0</v>
      </c>
      <c r="K3176" s="3">
        <v>18.0</v>
      </c>
      <c r="L3176" s="3" t="s">
        <v>34</v>
      </c>
    </row>
    <row r="3177" ht="15.75" customHeight="1">
      <c r="A3177" s="3" t="s">
        <v>3264</v>
      </c>
      <c r="B3177" s="3" t="s">
        <v>13</v>
      </c>
      <c r="C3177" s="3" t="s">
        <v>26</v>
      </c>
      <c r="D3177" s="3">
        <v>84527.8776146007</v>
      </c>
      <c r="E3177" s="3">
        <v>29440.7011280703</v>
      </c>
      <c r="F3177" s="3">
        <v>25883.9077717273</v>
      </c>
      <c r="G3177" s="3">
        <v>18284.7785930095</v>
      </c>
      <c r="H3177" s="3">
        <v>-74879.4839323867</v>
      </c>
      <c r="I3177" s="3">
        <v>73588.4698971373</v>
      </c>
      <c r="J3177" s="4">
        <v>45717.0</v>
      </c>
      <c r="K3177" s="3">
        <v>16.0</v>
      </c>
      <c r="L3177" s="3" t="s">
        <v>38</v>
      </c>
    </row>
    <row r="3178" ht="15.75" customHeight="1">
      <c r="A3178" s="3" t="s">
        <v>3265</v>
      </c>
      <c r="B3178" s="3" t="s">
        <v>51</v>
      </c>
      <c r="C3178" s="3" t="s">
        <v>37</v>
      </c>
      <c r="D3178" s="3">
        <v>84538.7605845069</v>
      </c>
      <c r="E3178" s="3">
        <v>29445.3158463977</v>
      </c>
      <c r="F3178" s="3">
        <v>25891.5877751568</v>
      </c>
      <c r="G3178" s="3">
        <v>18288.1761436968</v>
      </c>
      <c r="H3178" s="3">
        <v>-74928.9876501358</v>
      </c>
      <c r="I3178" s="3">
        <v>73591.8513715571</v>
      </c>
      <c r="J3178" s="4">
        <v>45992.0</v>
      </c>
      <c r="K3178" s="3">
        <v>17.0</v>
      </c>
      <c r="L3178" s="3" t="s">
        <v>40</v>
      </c>
    </row>
    <row r="3179" ht="15.75" customHeight="1">
      <c r="A3179" s="3" t="s">
        <v>3266</v>
      </c>
      <c r="B3179" s="3" t="s">
        <v>29</v>
      </c>
      <c r="C3179" s="3" t="s">
        <v>37</v>
      </c>
      <c r="D3179" s="5"/>
      <c r="E3179" s="3">
        <v>29449.9305647251</v>
      </c>
      <c r="F3179" s="3">
        <v>25899.2677785863</v>
      </c>
      <c r="G3179" s="3">
        <v>18291.573694384</v>
      </c>
      <c r="H3179" s="3">
        <v>-74978.4913678857</v>
      </c>
      <c r="I3179" s="3">
        <v>73595.2328459769</v>
      </c>
      <c r="J3179" s="4">
        <v>45962.0</v>
      </c>
      <c r="K3179" s="3">
        <v>9.0</v>
      </c>
      <c r="L3179" s="3" t="s">
        <v>42</v>
      </c>
    </row>
    <row r="3180" ht="15.75" customHeight="1">
      <c r="A3180" s="3" t="s">
        <v>3267</v>
      </c>
      <c r="B3180" s="3" t="s">
        <v>17</v>
      </c>
      <c r="C3180" s="3" t="s">
        <v>37</v>
      </c>
      <c r="D3180" s="3">
        <v>84560.5265243193</v>
      </c>
      <c r="E3180" s="3">
        <v>29454.5452830525</v>
      </c>
      <c r="F3180" s="3">
        <v>25906.9477820158</v>
      </c>
      <c r="G3180" s="3">
        <v>18294.9712450713</v>
      </c>
      <c r="H3180" s="3">
        <v>-75027.9950856347</v>
      </c>
      <c r="I3180" s="3">
        <v>73598.6143203967</v>
      </c>
      <c r="J3180" s="4">
        <v>45962.0</v>
      </c>
      <c r="K3180" s="3">
        <v>16.0</v>
      </c>
      <c r="L3180" s="3" t="s">
        <v>15</v>
      </c>
    </row>
    <row r="3181" ht="15.75" customHeight="1">
      <c r="A3181" s="3" t="s">
        <v>3268</v>
      </c>
      <c r="B3181" s="3" t="s">
        <v>17</v>
      </c>
      <c r="C3181" s="3" t="s">
        <v>33</v>
      </c>
      <c r="D3181" s="3">
        <v>84571.4094942255</v>
      </c>
      <c r="E3181" s="3">
        <v>29459.1600013799</v>
      </c>
      <c r="F3181" s="3">
        <v>25914.6277854453</v>
      </c>
      <c r="G3181" s="3">
        <v>18298.3687957586</v>
      </c>
      <c r="H3181" s="3">
        <v>-75077.4988033837</v>
      </c>
      <c r="I3181" s="3">
        <v>73601.9957948165</v>
      </c>
      <c r="J3181" s="4">
        <v>45717.0</v>
      </c>
      <c r="K3181" s="3">
        <v>1.0</v>
      </c>
      <c r="L3181" s="3" t="s">
        <v>19</v>
      </c>
    </row>
    <row r="3182" ht="15.75" customHeight="1">
      <c r="A3182" s="3" t="s">
        <v>3269</v>
      </c>
      <c r="B3182" s="3" t="s">
        <v>36</v>
      </c>
      <c r="C3182" s="3" t="s">
        <v>14</v>
      </c>
      <c r="D3182" s="3">
        <v>84582.2924641317</v>
      </c>
      <c r="E3182" s="3">
        <v>29463.7747197074</v>
      </c>
      <c r="F3182" s="3">
        <v>25922.3077888748</v>
      </c>
      <c r="G3182" s="3">
        <v>18301.7663464459</v>
      </c>
      <c r="H3182" s="3">
        <v>-75127.0025211327</v>
      </c>
      <c r="I3182" s="3">
        <v>73605.3772692364</v>
      </c>
      <c r="J3182" s="4">
        <v>45658.0</v>
      </c>
      <c r="K3182" s="3">
        <v>9.0</v>
      </c>
      <c r="L3182" s="3" t="s">
        <v>21</v>
      </c>
    </row>
    <row r="3183" ht="15.75" customHeight="1">
      <c r="A3183" s="3" t="s">
        <v>3270</v>
      </c>
      <c r="B3183" s="3" t="s">
        <v>51</v>
      </c>
      <c r="C3183" s="3" t="s">
        <v>33</v>
      </c>
      <c r="D3183" s="3">
        <v>84604.058403944</v>
      </c>
      <c r="E3183" s="3">
        <v>29473.0041563622</v>
      </c>
      <c r="F3183" s="3">
        <v>25937.6677957338</v>
      </c>
      <c r="G3183" s="3">
        <v>18308.5614478205</v>
      </c>
      <c r="H3183" s="3">
        <v>-75226.0099566307</v>
      </c>
      <c r="I3183" s="3">
        <v>73612.140218076</v>
      </c>
      <c r="J3183" s="4">
        <v>45658.0</v>
      </c>
      <c r="K3183" s="3">
        <v>4.0</v>
      </c>
      <c r="L3183" s="3" t="s">
        <v>27</v>
      </c>
    </row>
    <row r="3184" ht="15.75" customHeight="1">
      <c r="A3184" s="3" t="s">
        <v>3271</v>
      </c>
      <c r="B3184" s="3" t="s">
        <v>53</v>
      </c>
      <c r="C3184" s="3" t="s">
        <v>26</v>
      </c>
      <c r="D3184" s="3">
        <v>84614.9413738502</v>
      </c>
      <c r="E3184" s="3">
        <v>29477.6188746896</v>
      </c>
      <c r="F3184" s="3">
        <v>25945.3477991633</v>
      </c>
      <c r="G3184" s="3">
        <v>18311.9589985078</v>
      </c>
      <c r="H3184" s="3">
        <v>-75275.5136743797</v>
      </c>
      <c r="I3184" s="3">
        <v>73615.5216924958</v>
      </c>
      <c r="J3184" s="4">
        <v>45962.0</v>
      </c>
      <c r="K3184" s="3">
        <v>12.0</v>
      </c>
      <c r="L3184" s="3" t="s">
        <v>31</v>
      </c>
    </row>
    <row r="3185" ht="15.75" customHeight="1">
      <c r="A3185" s="3" t="s">
        <v>3272</v>
      </c>
      <c r="B3185" s="3" t="s">
        <v>53</v>
      </c>
      <c r="C3185" s="3" t="s">
        <v>14</v>
      </c>
      <c r="D3185" s="3">
        <v>84625.8243437564</v>
      </c>
      <c r="E3185" s="3">
        <v>29482.2335930171</v>
      </c>
      <c r="F3185" s="3">
        <v>25953.0278025928</v>
      </c>
      <c r="G3185" s="3">
        <v>18315.3565491951</v>
      </c>
      <c r="H3185" s="3">
        <v>-75325.0173921287</v>
      </c>
      <c r="I3185" s="3">
        <v>73618.9031669156</v>
      </c>
      <c r="J3185" s="4">
        <v>45809.0</v>
      </c>
      <c r="K3185" s="3">
        <v>7.0</v>
      </c>
      <c r="L3185" s="3" t="s">
        <v>34</v>
      </c>
    </row>
    <row r="3186" ht="15.75" customHeight="1">
      <c r="A3186" s="3" t="s">
        <v>3273</v>
      </c>
      <c r="B3186" s="3" t="s">
        <v>51</v>
      </c>
      <c r="C3186" s="3" t="s">
        <v>37</v>
      </c>
      <c r="D3186" s="3">
        <v>84636.7073136626</v>
      </c>
      <c r="E3186" s="3">
        <v>29486.8483113445</v>
      </c>
      <c r="F3186" s="3">
        <v>25960.7078060223</v>
      </c>
      <c r="G3186" s="3">
        <v>18318.7540998823</v>
      </c>
      <c r="H3186" s="3">
        <v>-75374.5211098787</v>
      </c>
      <c r="I3186" s="3">
        <v>73622.2846413354</v>
      </c>
      <c r="J3186" s="4">
        <v>45992.0</v>
      </c>
      <c r="K3186" s="3">
        <v>8.0</v>
      </c>
      <c r="L3186" s="3" t="s">
        <v>38</v>
      </c>
    </row>
    <row r="3187" ht="15.75" customHeight="1">
      <c r="A3187" s="3" t="s">
        <v>3274</v>
      </c>
      <c r="B3187" s="3" t="s">
        <v>17</v>
      </c>
      <c r="C3187" s="3" t="s">
        <v>18</v>
      </c>
      <c r="D3187" s="3">
        <v>84647.5902835688</v>
      </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      <c r="I3187" s="3">
        <v>73625.6661157552</v>
      </c>
      <c r="J3187" s="4">
        <v>45689.0</v>
      </c>
      <c r="K3187" s="3">
        <v>6.0</v>
      </c>
      <c r="L3187" s="3" t="s">
        <v>40</v>
      </c>
    </row>
    <row r="3188" ht="15.75" customHeight="1">
      <c r="A3188" s="3" t="s">
        <v>3275</v>
      </c>
      <c r="B3188" s="3" t="s">
        <v>25</v>
      </c>
      <c r="C3188" s="3" t="s">
        <v>18</v>
      </c>
      <c r="D3188" s="3">
        <v>84658.473253475</v>
      </c>
      <c r="E3188" s="3">
        <v>29496.0777479993</v>
      </c>
      <c r="F3188" s="3">
        <v>25976.0678128813</v>
      </c>
      <c r="G3188" s="3">
        <v>18325.5492012569</v>
      </c>
      <c r="H3188" s="3">
        <v>-75473.5285453767</v>
      </c>
      <c r="I3188" s="3">
        <v>73629.0475901751</v>
      </c>
      <c r="J3188" s="4">
        <v>45962.0</v>
      </c>
      <c r="K3188" s="3">
        <v>8.0</v>
      </c>
      <c r="L3188" s="3" t="s">
        <v>42</v>
      </c>
    </row>
    <row r="3189" ht="15.75" customHeight="1">
      <c r="A3189" s="3" t="s">
        <v>3276</v>
      </c>
      <c r="B3189" s="3" t="s">
        <v>17</v>
      </c>
      <c r="C3189" s="3" t="s">
        <v>33</v>
      </c>
      <c r="D3189" s="3">
        <v>84669.3562233812</v>
      </c>
      <c r="E3189" s="3">
        <v>29500.6924663267</v>
      </c>
      <c r="F3189" s="3">
        <v>25983.7478163108</v>
      </c>
      <c r="G3189" s="3">
        <v>18328.9467519442</v>
      </c>
      <c r="H3189" s="3">
        <v>-75523.0322631257</v>
      </c>
      <c r="I3189" s="3">
        <v>73632.4290645949</v>
      </c>
      <c r="J3189" s="4">
        <v>45839.0</v>
      </c>
      <c r="K3189" s="3">
        <v>17.0</v>
      </c>
      <c r="L3189" s="3" t="s">
        <v>15</v>
      </c>
    </row>
    <row r="3190" ht="15.75" customHeight="1">
      <c r="A3190" s="3" t="s">
        <v>3277</v>
      </c>
      <c r="B3190" s="3" t="s">
        <v>17</v>
      </c>
      <c r="C3190" s="3" t="s">
        <v>14</v>
      </c>
      <c r="D3190" s="3">
        <v>84680.2391932874</v>
      </c>
      <c r="E3190" s="3">
        <v>29505.3071846542</v>
      </c>
      <c r="F3190" s="3">
        <v>25991.4278197403</v>
      </c>
      <c r="G3190" s="3">
        <v>18332.3443026315</v>
      </c>
      <c r="H3190" s="3">
        <v>-75572.5359808747</v>
      </c>
      <c r="I3190" s="3">
        <v>73635.8105390147</v>
      </c>
      <c r="J3190" s="4">
        <v>45992.0</v>
      </c>
      <c r="K3190" s="3">
        <v>1.0</v>
      </c>
      <c r="L3190" s="3" t="s">
        <v>19</v>
      </c>
    </row>
    <row r="3191" ht="15.75" customHeight="1">
      <c r="A3191" s="3" t="s">
        <v>3278</v>
      </c>
      <c r="B3191" s="3" t="s">
        <v>51</v>
      </c>
      <c r="C3191" s="3" t="s">
        <v>26</v>
      </c>
      <c r="D3191" s="3">
        <v>84691.1221631936</v>
      </c>
      <c r="E3191" s="3">
        <v>29509.9219029816</v>
      </c>
      <c r="F3191" s="3">
        <v>25999.1078231698</v>
      </c>
      <c r="G3191" s="3">
        <v>18335.7418533188</v>
      </c>
      <c r="H3191" s="3">
        <v>-75622.0396986237</v>
      </c>
      <c r="I3191" s="3">
        <v>73639.1920134345</v>
      </c>
      <c r="J3191" s="4">
        <v>45839.0</v>
      </c>
      <c r="K3191" s="3">
        <v>9.0</v>
      </c>
      <c r="L3191" s="3" t="s">
        <v>21</v>
      </c>
    </row>
    <row r="3192" ht="15.75" customHeight="1">
      <c r="A3192" s="3" t="s">
        <v>3279</v>
      </c>
      <c r="B3192" s="3" t="s">
        <v>13</v>
      </c>
      <c r="C3192" s="3" t="s">
        <v>33</v>
      </c>
      <c r="D3192" s="3">
        <v>84702.0051330998</v>
      </c>
      <c r="E3192" s="3">
        <v>29514.536621309</v>
      </c>
      <c r="F3192" s="3">
        <v>26006.7878265993</v>
      </c>
      <c r="G3192" s="3">
        <v>18339.1394040061</v>
      </c>
      <c r="H3192" s="3">
        <v>-75671.5434163727</v>
      </c>
      <c r="I3192" s="3">
        <v>73642.5734878543</v>
      </c>
      <c r="J3192" s="4">
        <v>45809.0</v>
      </c>
      <c r="K3192" s="3">
        <v>17.0</v>
      </c>
      <c r="L3192" s="3" t="s">
        <v>23</v>
      </c>
    </row>
    <row r="3193" ht="15.75" customHeight="1">
      <c r="A3193" s="3" t="s">
        <v>3280</v>
      </c>
      <c r="B3193" s="3" t="s">
        <v>13</v>
      </c>
      <c r="C3193" s="3" t="s">
        <v>18</v>
      </c>
      <c r="D3193" s="3">
        <v>84712.888103006</v>
      </c>
      <c r="E3193" s="3">
        <v>29519.1513396364</v>
      </c>
      <c r="F3193" s="3">
        <v>26014.4678300288</v>
      </c>
      <c r="G3193" s="3">
        <v>18342.5369546933</v>
      </c>
      <c r="H3193" s="3">
        <v>-75721.0471341217</v>
      </c>
      <c r="I3193" s="3">
        <v>73645.9549622741</v>
      </c>
      <c r="J3193" s="4">
        <v>45962.0</v>
      </c>
      <c r="K3193" s="3">
        <v>5.0</v>
      </c>
      <c r="L3193" s="3" t="s">
        <v>27</v>
      </c>
    </row>
    <row r="3194" ht="15.75" customHeight="1">
      <c r="A3194" s="3" t="s">
        <v>3281</v>
      </c>
      <c r="B3194" s="3" t="s">
        <v>53</v>
      </c>
      <c r="C3194" s="3" t="s">
        <v>18</v>
      </c>
      <c r="D3194" s="3">
        <v>84723.7710729122</v>
      </c>
      <c r="E3194" s="3">
        <v>29523.7660579639</v>
      </c>
      <c r="F3194" s="3">
        <v>26022.1478334583</v>
      </c>
      <c r="G3194" s="3">
        <v>18345.9345053806</v>
      </c>
      <c r="H3194" s="3">
        <v>-75770.5508518717</v>
      </c>
      <c r="I3194" s="3">
        <v>73649.3364366939</v>
      </c>
      <c r="J3194" s="4">
        <v>45748.0</v>
      </c>
      <c r="K3194" s="3">
        <v>9.0</v>
      </c>
      <c r="L3194" s="3" t="s">
        <v>31</v>
      </c>
    </row>
    <row r="3195" ht="15.75" customHeight="1">
      <c r="A3195" s="3" t="s">
        <v>3282</v>
      </c>
      <c r="B3195" s="3" t="s">
        <v>29</v>
      </c>
      <c r="C3195" s="3" t="s">
        <v>14</v>
      </c>
      <c r="D3195" s="3">
        <v>84734.6540428184</v>
      </c>
      <c r="E3195" s="3">
        <v>29528.3807762913</v>
      </c>
      <c r="F3195" s="3">
        <v>26029.8278368878</v>
      </c>
      <c r="G3195" s="3">
        <v>18349.3320560679</v>
      </c>
      <c r="H3195" s="3">
        <v>-75820.0545696207</v>
      </c>
      <c r="I3195" s="3">
        <v>73652.7179111137</v>
      </c>
      <c r="J3195" s="4">
        <v>45870.0</v>
      </c>
      <c r="K3195" s="3">
        <v>13.0</v>
      </c>
      <c r="L3195" s="3" t="s">
        <v>34</v>
      </c>
    </row>
    <row r="3196" ht="15.75" customHeight="1">
      <c r="A3196" s="3" t="s">
        <v>3283</v>
      </c>
      <c r="B3196" s="3" t="s">
        <v>36</v>
      </c>
      <c r="C3196" s="3" t="s">
        <v>18</v>
      </c>
      <c r="D3196" s="3">
        <v>84745.5370127245</v>
      </c>
      <c r="E3196" s="3">
        <v>29532.9954946187</v>
      </c>
      <c r="F3196" s="3">
        <v>26037.5078403172</v>
      </c>
      <c r="G3196" s="5"/>
      <c r="H3196" s="3">
        <v>-75869.5582873697</v>
      </c>
      <c r="I3196" s="3">
        <v>73656.0993855336</v>
      </c>
      <c r="J3196" s="4">
        <v>45658.0</v>
      </c>
      <c r="K3196" s="3">
        <v>11.0</v>
      </c>
      <c r="L3196" s="3" t="s">
        <v>38</v>
      </c>
    </row>
    <row r="3197" ht="15.75" customHeight="1">
      <c r="A3197" s="3" t="s">
        <v>3284</v>
      </c>
      <c r="B3197" s="3" t="s">
        <v>36</v>
      </c>
      <c r="C3197" s="3" t="s">
        <v>54</v>
      </c>
      <c r="D3197" s="3">
        <v>84756.4199826307</v>
      </c>
      <c r="E3197" s="3">
        <v>29537.6102129461</v>
      </c>
      <c r="F3197" s="3">
        <v>26045.1878437467</v>
      </c>
      <c r="G3197" s="3">
        <v>18356.1271574425</v>
      </c>
      <c r="H3197" s="3">
        <v>-75919.0620051187</v>
      </c>
      <c r="I3197" s="3">
        <v>73659.4808599534</v>
      </c>
      <c r="J3197" s="4">
        <v>45748.0</v>
      </c>
      <c r="K3197" s="3">
        <v>2.0</v>
      </c>
      <c r="L3197" s="3" t="s">
        <v>40</v>
      </c>
    </row>
    <row r="3198" ht="15.75" customHeight="1">
      <c r="A3198" s="3" t="s">
        <v>3285</v>
      </c>
      <c r="B3198" s="3" t="s">
        <v>36</v>
      </c>
      <c r="C3198" s="3" t="s">
        <v>33</v>
      </c>
      <c r="D3198" s="3">
        <v>84767.3029525369</v>
      </c>
      <c r="E3198" s="3">
        <v>29542.2249312735</v>
      </c>
      <c r="F3198" s="3">
        <v>26052.8678471762</v>
      </c>
      <c r="G3198" s="3">
        <v>18359.5247081298</v>
      </c>
      <c r="H3198" s="3">
        <v>-75968.5657228677</v>
      </c>
      <c r="I3198" s="3">
        <v>73662.8623343732</v>
      </c>
      <c r="J3198" s="4">
        <v>45778.0</v>
      </c>
      <c r="K3198" s="3">
        <v>14.0</v>
      </c>
      <c r="L3198" s="3" t="s">
        <v>42</v>
      </c>
    </row>
    <row r="3199" ht="15.75" customHeight="1">
      <c r="A3199" s="3" t="s">
        <v>3286</v>
      </c>
      <c r="B3199" s="3" t="s">
        <v>53</v>
      </c>
      <c r="C3199" s="3" t="s">
        <v>54</v>
      </c>
      <c r="D3199" s="3">
        <v>84778.1859224431</v>
      </c>
      <c r="E3199" s="3">
        <v>29546.839649601</v>
      </c>
      <c r="F3199" s="3">
        <v>26060.5478506057</v>
      </c>
      <c r="G3199" s="3">
        <v>18362.9222588171</v>
      </c>
      <c r="H3199" s="3">
        <v>-76018.0694406167</v>
      </c>
      <c r="I3199" s="3">
        <v>73666.243808793</v>
      </c>
      <c r="J3199" s="4">
        <v>45658.0</v>
      </c>
      <c r="K3199" s="3">
        <v>14.0</v>
      </c>
      <c r="L3199" s="3" t="s">
        <v>15</v>
      </c>
    </row>
    <row r="3200" ht="15.75" customHeight="1">
      <c r="A3200" s="3" t="s">
        <v>3287</v>
      </c>
      <c r="B3200" s="3" t="s">
        <v>51</v>
      </c>
      <c r="C3200" s="3" t="s">
        <v>18</v>
      </c>
      <c r="D3200" s="3">
        <v>84789.0688923493</v>
      </c>
      <c r="E3200" s="3">
        <v>29551.4543679284</v>
      </c>
      <c r="F3200" s="3">
        <v>26068.2278540352</v>
      </c>
      <c r="G3200" s="3">
        <v>18366.3198095044</v>
      </c>
      <c r="H3200" s="3">
        <v>-76067.5731583657</v>
      </c>
      <c r="I3200" s="3">
        <v>73669.6252832128</v>
      </c>
      <c r="J3200" s="4">
        <v>45748.0</v>
      </c>
      <c r="K3200" s="3">
        <v>13.0</v>
      </c>
      <c r="L3200" s="3" t="s">
        <v>19</v>
      </c>
    </row>
    <row r="3201" ht="15.75" customHeight="1">
      <c r="A3201" s="3" t="s">
        <v>3288</v>
      </c>
      <c r="B3201" s="3" t="s">
        <v>53</v>
      </c>
      <c r="C3201" s="3" t="s">
        <v>14</v>
      </c>
      <c r="D3201" s="3">
        <v>84799.9518622555</v>
      </c>
      <c r="E3201" s="3">
        <v>29556.0690862558</v>
      </c>
      <c r="F3201" s="3">
        <v>26075.9078574647</v>
      </c>
      <c r="G3201" s="5"/>
      <c r="H3201" s="3">
        <v>-76117.0768761147</v>
      </c>
      <c r="I3201" s="3">
        <v>73673.0067576326</v>
      </c>
      <c r="J3201" s="4">
        <v>45748.0</v>
      </c>
      <c r="K3201" s="3">
        <v>17.0</v>
      </c>
      <c r="L3201" s="3" t="s">
        <v>21</v>
      </c>
    </row>
    <row r="3202" ht="15.75" customHeight="1">
      <c r="A3202" s="3" t="s">
        <v>3289</v>
      </c>
      <c r="B3202" s="3" t="s">
        <v>36</v>
      </c>
      <c r="C3202" s="3" t="s">
        <v>14</v>
      </c>
      <c r="D3202" s="3">
        <v>84810.8348321617</v>
      </c>
      <c r="E3202" s="3">
        <v>29560.6838045832</v>
      </c>
      <c r="F3202" s="3">
        <v>26083.5878608942</v>
      </c>
      <c r="G3202" s="3">
        <v>18373.1149108789</v>
      </c>
      <c r="H3202" s="3">
        <v>-76166.5805938647</v>
      </c>
      <c r="I3202" s="3">
        <v>73676.3882320525</v>
      </c>
      <c r="J3202" s="4">
        <v>45992.0</v>
      </c>
      <c r="K3202" s="3">
        <v>15.0</v>
      </c>
      <c r="L3202" s="3" t="s">
        <v>23</v>
      </c>
    </row>
    <row r="3203" ht="15.75" customHeight="1">
      <c r="A3203" s="3" t="s">
        <v>3290</v>
      </c>
      <c r="B3203" s="3" t="s">
        <v>13</v>
      </c>
      <c r="C3203" s="3" t="s">
        <v>54</v>
      </c>
      <c r="D3203" s="3">
        <v>84832.6007719741</v>
      </c>
      <c r="E3203" s="3">
        <v>29569.9132412381</v>
      </c>
      <c r="F3203" s="3">
        <v>26098.9478677532</v>
      </c>
      <c r="G3203" s="3">
        <v>18379.9100122535</v>
      </c>
      <c r="H3203" s="3">
        <v>-76265.5880293627</v>
      </c>
      <c r="I3203" s="3">
        <v>73683.1511808921</v>
      </c>
      <c r="J3203" s="4">
        <v>45809.0</v>
      </c>
      <c r="K3203" s="3">
        <v>11.0</v>
      </c>
      <c r="L3203" s="3" t="s">
        <v>31</v>
      </c>
    </row>
    <row r="3204" ht="15.75" customHeight="1">
      <c r="A3204" s="3" t="s">
        <v>3291</v>
      </c>
      <c r="B3204" s="3" t="s">
        <v>13</v>
      </c>
      <c r="C3204" s="3" t="s">
        <v>18</v>
      </c>
      <c r="D3204" s="3">
        <v>84843.4837418803</v>
      </c>
      <c r="E3204" s="3">
        <v>29574.5279595655</v>
      </c>
      <c r="F3204" s="3">
        <v>26106.6278711827</v>
      </c>
      <c r="G3204" s="3">
        <v>18383.3075629408</v>
      </c>
      <c r="H3204" s="3">
        <v>-76315.0917471117</v>
      </c>
      <c r="I3204" s="3">
        <v>73686.5326553119</v>
      </c>
      <c r="J3204" s="4">
        <v>45748.0</v>
      </c>
      <c r="K3204" s="3">
        <v>10.0</v>
      </c>
      <c r="L3204" s="3" t="s">
        <v>34</v>
      </c>
    </row>
    <row r="3205" ht="15.75" customHeight="1">
      <c r="A3205" s="3" t="s">
        <v>3292</v>
      </c>
      <c r="B3205" s="3" t="s">
        <v>13</v>
      </c>
      <c r="C3205" s="3" t="s">
        <v>37</v>
      </c>
      <c r="D3205" s="3">
        <v>84854.3667117865</v>
      </c>
      <c r="E3205" s="3">
        <v>29579.1426778929</v>
      </c>
      <c r="F3205" s="3">
        <v>26114.3078746122</v>
      </c>
      <c r="G3205" s="3">
        <v>18386.7051136281</v>
      </c>
      <c r="H3205" s="3">
        <v>-76364.5954648607</v>
      </c>
      <c r="I3205" s="3">
        <v>73689.9141297317</v>
      </c>
      <c r="J3205" s="4">
        <v>45962.0</v>
      </c>
      <c r="K3205" s="3">
        <v>20.0</v>
      </c>
      <c r="L3205" s="3" t="s">
        <v>38</v>
      </c>
    </row>
    <row r="3206" ht="15.75" customHeight="1">
      <c r="A3206" s="3" t="s">
        <v>3293</v>
      </c>
      <c r="B3206" s="3" t="s">
        <v>29</v>
      </c>
      <c r="C3206" s="3" t="s">
        <v>33</v>
      </c>
      <c r="D3206" s="3">
        <v>84865.2496816927</v>
      </c>
      <c r="E3206" s="3">
        <v>29583.7573962203</v>
      </c>
      <c r="F3206" s="3">
        <v>26121.9878780417</v>
      </c>
      <c r="G3206" s="3">
        <v>18390.1026643154</v>
      </c>
      <c r="H3206" s="3">
        <v>-76414.0991826097</v>
      </c>
      <c r="I3206" s="3">
        <v>73693.2956041515</v>
      </c>
      <c r="J3206" s="4">
        <v>45717.0</v>
      </c>
      <c r="K3206" s="3">
        <v>17.0</v>
      </c>
      <c r="L3206" s="3" t="s">
        <v>40</v>
      </c>
    </row>
    <row r="3207" ht="15.75" customHeight="1">
      <c r="A3207" s="3" t="s">
        <v>3294</v>
      </c>
      <c r="B3207" s="3" t="s">
        <v>13</v>
      </c>
      <c r="C3207" s="3" t="s">
        <v>30</v>
      </c>
      <c r="D3207" s="3">
        <v>84876.1326515989</v>
      </c>
      <c r="E3207" s="3">
        <v>29588.3721145478</v>
      </c>
      <c r="F3207" s="3">
        <v>26129.6678814712</v>
      </c>
      <c r="G3207" s="3">
        <v>18393.5002150027</v>
      </c>
      <c r="H3207" s="3">
        <v>-76463.6029003587</v>
      </c>
      <c r="I3207" s="3">
        <v>73696.6770785713</v>
      </c>
      <c r="J3207" s="4">
        <v>45839.0</v>
      </c>
      <c r="K3207" s="3">
        <v>22.0</v>
      </c>
      <c r="L3207" s="3" t="s">
        <v>42</v>
      </c>
    </row>
    <row r="3208" ht="15.75" customHeight="1">
      <c r="A3208" s="3" t="s">
        <v>3295</v>
      </c>
      <c r="B3208" s="3" t="s">
        <v>36</v>
      </c>
      <c r="C3208" s="3" t="s">
        <v>37</v>
      </c>
      <c r="D3208" s="3">
        <v>84887.0156215051</v>
      </c>
      <c r="E3208" s="3">
        <v>29592.9868328752</v>
      </c>
      <c r="F3208" s="3">
        <v>26137.3478849007</v>
      </c>
      <c r="G3208" s="3">
        <v>18396.8977656899</v>
      </c>
      <c r="H3208" s="3">
        <v>-76513.1066181077</v>
      </c>
      <c r="I3208" s="3">
        <v>73700.0585529912</v>
      </c>
      <c r="J3208" s="4">
        <v>45778.0</v>
      </c>
      <c r="K3208" s="3">
        <v>14.0</v>
      </c>
      <c r="L3208" s="3" t="s">
        <v>15</v>
      </c>
    </row>
    <row r="3209" ht="15.75" customHeight="1">
      <c r="A3209" s="3" t="s">
        <v>3296</v>
      </c>
      <c r="B3209" s="3" t="s">
        <v>29</v>
      </c>
      <c r="C3209" s="3" t="s">
        <v>54</v>
      </c>
      <c r="D3209" s="3">
        <v>84897.8985914113</v>
      </c>
      <c r="E3209" s="3">
        <v>29597.6015512026</v>
      </c>
      <c r="F3209" s="3">
        <v>26145.0278883302</v>
      </c>
      <c r="G3209" s="3">
        <v>18400.2953163772</v>
      </c>
      <c r="H3209" s="3">
        <v>-76562.6103358577</v>
      </c>
      <c r="I3209" s="3">
        <v>73703.440027411</v>
      </c>
      <c r="J3209" s="4">
        <v>45992.0</v>
      </c>
      <c r="K3209" s="3">
        <v>14.0</v>
      </c>
      <c r="L3209" s="3" t="s">
        <v>19</v>
      </c>
    </row>
    <row r="3210" ht="15.75" customHeight="1">
      <c r="A3210" s="3" t="s">
        <v>3297</v>
      </c>
      <c r="B3210" s="3" t="s">
        <v>25</v>
      </c>
      <c r="C3210" s="3" t="s">
        <v>18</v>
      </c>
      <c r="D3210" s="3">
        <v>84919.6645312236</v>
      </c>
      <c r="E3210" s="3">
        <v>29606.8309878574</v>
      </c>
      <c r="F3210" s="3">
        <v>26160.3878951892</v>
      </c>
      <c r="G3210" s="3">
        <v>18407.0904177518</v>
      </c>
      <c r="H3210" s="3">
        <v>-76661.6177713557</v>
      </c>
      <c r="I3210" s="3">
        <v>73710.2029762506</v>
      </c>
      <c r="J3210" s="4">
        <v>45962.0</v>
      </c>
      <c r="K3210" s="3">
        <v>3.0</v>
      </c>
      <c r="L3210" s="3" t="s">
        <v>23</v>
      </c>
    </row>
    <row r="3211" ht="15.75" customHeight="1">
      <c r="A3211" s="3" t="s">
        <v>3298</v>
      </c>
      <c r="B3211" s="3" t="s">
        <v>17</v>
      </c>
      <c r="C3211" s="3" t="s">
        <v>26</v>
      </c>
      <c r="D3211" s="3">
        <v>84930.5475011298</v>
      </c>
      <c r="E3211" s="3">
        <v>29611.4457061849</v>
      </c>
      <c r="F3211" s="3">
        <v>26168.0678986187</v>
      </c>
      <c r="G3211" s="3">
        <v>18410.4879684391</v>
      </c>
      <c r="H3211" s="3">
        <v>-76711.1214891047</v>
      </c>
      <c r="I3211" s="3">
        <v>73713.5844506704</v>
      </c>
      <c r="J3211" s="4">
        <v>45748.0</v>
      </c>
      <c r="K3211" s="3">
        <v>15.0</v>
      </c>
      <c r="L3211" s="3" t="s">
        <v>27</v>
      </c>
    </row>
    <row r="3212" ht="15.75" customHeight="1">
      <c r="A3212" s="3" t="s">
        <v>3299</v>
      </c>
      <c r="B3212" s="3" t="s">
        <v>51</v>
      </c>
      <c r="C3212" s="3" t="s">
        <v>14</v>
      </c>
      <c r="D3212" s="3">
        <v>84941.430471036</v>
      </c>
      <c r="E3212" s="3">
        <v>29616.0604245123</v>
      </c>
      <c r="F3212" s="3">
        <v>26175.7479020482</v>
      </c>
      <c r="G3212" s="3">
        <v>18413.8855191264</v>
      </c>
      <c r="H3212" s="3">
        <v>-76760.6252068537</v>
      </c>
      <c r="I3212" s="3">
        <v>73716.9659250902</v>
      </c>
      <c r="J3212" s="4">
        <v>45689.0</v>
      </c>
      <c r="K3212" s="3">
        <v>24.0</v>
      </c>
      <c r="L3212" s="3" t="s">
        <v>31</v>
      </c>
    </row>
    <row r="3213" ht="15.75" customHeight="1">
      <c r="A3213" s="3" t="s">
        <v>3300</v>
      </c>
      <c r="B3213" s="3" t="s">
        <v>53</v>
      </c>
      <c r="C3213" s="3" t="s">
        <v>54</v>
      </c>
      <c r="D3213" s="3">
        <v>84952.3134409422</v>
      </c>
      <c r="E3213" s="3">
        <v>29620.6751428397</v>
      </c>
      <c r="F3213" s="3">
        <v>26183.4279054777</v>
      </c>
      <c r="G3213" s="3">
        <v>18417.2830698137</v>
      </c>
      <c r="H3213" s="3">
        <v>-76810.1289246027</v>
      </c>
      <c r="I3213" s="3">
        <v>73720.34739951</v>
      </c>
      <c r="J3213" s="4">
        <v>45809.0</v>
      </c>
      <c r="K3213" s="3">
        <v>15.0</v>
      </c>
      <c r="L3213" s="3" t="s">
        <v>34</v>
      </c>
    </row>
    <row r="3214" ht="15.75" customHeight="1">
      <c r="A3214" s="3" t="s">
        <v>3301</v>
      </c>
      <c r="B3214" s="3" t="s">
        <v>17</v>
      </c>
      <c r="C3214" s="3" t="s">
        <v>54</v>
      </c>
      <c r="D3214" s="3">
        <v>84963.1964108484</v>
      </c>
      <c r="E3214" s="3">
        <v>29625.2898611671</v>
      </c>
      <c r="F3214" s="3">
        <v>26191.1079089072</v>
      </c>
      <c r="G3214" s="3">
        <v>18420.6806205009</v>
      </c>
      <c r="H3214" s="3">
        <v>-76859.6326423517</v>
      </c>
      <c r="I3214" s="3">
        <v>73723.7288739299</v>
      </c>
      <c r="J3214" s="4">
        <v>45931.0</v>
      </c>
      <c r="K3214" s="3">
        <v>18.0</v>
      </c>
      <c r="L3214" s="3" t="s">
        <v>38</v>
      </c>
    </row>
    <row r="3215" ht="15.75" customHeight="1">
      <c r="A3215" s="3" t="s">
        <v>3302</v>
      </c>
      <c r="B3215" s="3" t="s">
        <v>17</v>
      </c>
      <c r="C3215" s="3" t="s">
        <v>54</v>
      </c>
      <c r="D3215" s="3">
        <v>84974.0793807546</v>
      </c>
      <c r="E3215" s="3">
        <v>29629.9045794946</v>
      </c>
      <c r="F3215" s="3">
        <v>26198.7879123367</v>
      </c>
      <c r="G3215" s="3">
        <v>18424.0781711882</v>
      </c>
      <c r="H3215" s="3">
        <v>-76909.1363601007</v>
      </c>
      <c r="I3215" s="3">
        <v>73727.1103483497</v>
      </c>
      <c r="J3215" s="4">
        <v>45748.0</v>
      </c>
      <c r="K3215" s="3">
        <v>24.0</v>
      </c>
      <c r="L3215" s="3" t="s">
        <v>40</v>
      </c>
    </row>
    <row r="3216" ht="15.75" customHeight="1">
      <c r="A3216" s="3" t="s">
        <v>3303</v>
      </c>
      <c r="B3216" s="3" t="s">
        <v>53</v>
      </c>
      <c r="C3216" s="3" t="s">
        <v>37</v>
      </c>
      <c r="D3216" s="3">
        <v>84984.9623506608</v>
      </c>
      <c r="E3216" s="3">
        <v>29634.519297822</v>
      </c>
      <c r="F3216" s="3">
        <v>26206.4679157662</v>
      </c>
      <c r="G3216" s="3">
        <v>18427.4757218755</v>
      </c>
      <c r="H3216" s="3">
        <v>-76958.6400778507</v>
      </c>
      <c r="I3216" s="3">
        <v>73730.4918227695</v>
      </c>
      <c r="J3216" s="4">
        <v>45689.0</v>
      </c>
      <c r="K3216" s="3">
        <v>5.0</v>
      </c>
      <c r="L3216" s="3" t="s">
        <v>42</v>
      </c>
    </row>
    <row r="3217" ht="15.75" customHeight="1">
      <c r="A3217" s="3" t="s">
        <v>3304</v>
      </c>
      <c r="B3217" s="3" t="s">
        <v>25</v>
      </c>
      <c r="C3217" s="3" t="s">
        <v>37</v>
      </c>
      <c r="D3217" s="3">
        <v>84995.845320567</v>
      </c>
      <c r="E3217" s="3">
        <v>29639.1340161494</v>
      </c>
      <c r="F3217" s="3">
        <v>26214.1479191957</v>
      </c>
      <c r="G3217" s="3">
        <v>18430.8732725628</v>
      </c>
      <c r="H3217" s="3">
        <v>-77008.1437955997</v>
      </c>
      <c r="I3217" s="3">
        <v>73733.8732971893</v>
      </c>
      <c r="J3217" s="4">
        <v>45778.0</v>
      </c>
      <c r="K3217" s="3">
        <v>5.0</v>
      </c>
      <c r="L3217" s="3" t="s">
        <v>15</v>
      </c>
    </row>
    <row r="3218" ht="15.75" customHeight="1">
      <c r="A3218" s="3" t="s">
        <v>3305</v>
      </c>
      <c r="B3218" s="3" t="s">
        <v>51</v>
      </c>
      <c r="C3218" s="3" t="s">
        <v>26</v>
      </c>
      <c r="D3218" s="3">
        <v>85006.7282904732</v>
      </c>
      <c r="E3218" s="3">
        <v>29643.7487344768</v>
      </c>
      <c r="F3218" s="3">
        <v>26221.8279226252</v>
      </c>
      <c r="G3218" s="3">
        <v>18434.2708232501</v>
      </c>
      <c r="H3218" s="3">
        <v>-77057.6475133487</v>
      </c>
      <c r="I3218" s="3">
        <v>73737.2547716091</v>
      </c>
      <c r="J3218" s="4">
        <v>45658.0</v>
      </c>
      <c r="K3218" s="3">
        <v>21.0</v>
      </c>
      <c r="L3218" s="3" t="s">
        <v>19</v>
      </c>
    </row>
    <row r="3219" ht="15.75" customHeight="1">
      <c r="A3219" s="3" t="s">
        <v>3306</v>
      </c>
      <c r="B3219" s="3" t="s">
        <v>13</v>
      </c>
      <c r="C3219" s="3" t="s">
        <v>30</v>
      </c>
      <c r="D3219" s="3">
        <v>85017.6112603794</v>
      </c>
      <c r="E3219" s="3">
        <v>29648.3634528042</v>
      </c>
      <c r="F3219" s="3">
        <v>26229.5079260547</v>
      </c>
      <c r="G3219" s="3">
        <v>18437.6683739374</v>
      </c>
      <c r="H3219" s="3">
        <v>-77107.1512310977</v>
      </c>
      <c r="I3219" s="3">
        <v>73740.6362460289</v>
      </c>
      <c r="J3219" s="4">
        <v>45778.0</v>
      </c>
      <c r="K3219" s="3">
        <v>17.0</v>
      </c>
      <c r="L3219" s="3" t="s">
        <v>21</v>
      </c>
    </row>
    <row r="3220" ht="15.75" customHeight="1">
      <c r="A3220" s="3" t="s">
        <v>3307</v>
      </c>
      <c r="B3220" s="3" t="s">
        <v>17</v>
      </c>
      <c r="C3220" s="3" t="s">
        <v>18</v>
      </c>
      <c r="D3220" s="3">
        <v>85028.4942302856</v>
      </c>
      <c r="E3220" s="3">
        <v>29652.9781711317</v>
      </c>
      <c r="F3220" s="3">
        <v>26237.1879294842</v>
      </c>
      <c r="G3220" s="3">
        <v>18441.0659246247</v>
      </c>
      <c r="H3220" s="3">
        <v>-77156.6549488467</v>
      </c>
      <c r="I3220" s="3">
        <v>73744.0177204487</v>
      </c>
      <c r="J3220" s="4">
        <v>45962.0</v>
      </c>
      <c r="K3220" s="3">
        <v>2.0</v>
      </c>
      <c r="L3220" s="3" t="s">
        <v>23</v>
      </c>
    </row>
    <row r="3221" ht="15.75" customHeight="1">
      <c r="A3221" s="3" t="s">
        <v>3308</v>
      </c>
      <c r="B3221" s="3" t="s">
        <v>29</v>
      </c>
      <c r="C3221" s="3" t="s">
        <v>54</v>
      </c>
      <c r="D3221" s="3">
        <v>85039.3772001918</v>
      </c>
      <c r="E3221" s="3">
        <v>29657.5928894591</v>
      </c>
      <c r="F3221" s="3">
        <v>26244.8679329137</v>
      </c>
      <c r="G3221" s="3">
        <v>18444.463475312</v>
      </c>
      <c r="H3221" s="3">
        <v>-77206.1586665957</v>
      </c>
      <c r="I3221" s="3">
        <v>73747.3991948686</v>
      </c>
      <c r="J3221" s="4">
        <v>45717.0</v>
      </c>
      <c r="K3221" s="3">
        <v>10.0</v>
      </c>
      <c r="L3221" s="3" t="s">
        <v>27</v>
      </c>
    </row>
    <row r="3222" ht="15.75" customHeight="1">
      <c r="A3222" s="3" t="s">
        <v>3309</v>
      </c>
      <c r="B3222" s="3" t="s">
        <v>53</v>
      </c>
      <c r="C3222" s="3" t="s">
        <v>14</v>
      </c>
      <c r="D3222" s="3">
        <v>85050.260170098</v>
      </c>
      <c r="E3222" s="3">
        <v>29662.2076077865</v>
      </c>
      <c r="F3222" s="3">
        <v>26252.5479363432</v>
      </c>
      <c r="G3222" s="3">
        <v>18447.8610259992</v>
      </c>
      <c r="H3222" s="3">
        <v>66602.3991440988</v>
      </c>
      <c r="I3222" s="3">
        <v>71602.3991440988</v>
      </c>
      <c r="J3222" s="4">
        <v>45870.0</v>
      </c>
      <c r="K3222" s="3">
        <v>24.0</v>
      </c>
      <c r="L3222" s="3" t="s">
        <v>31</v>
      </c>
    </row>
    <row r="3223" ht="15.75" customHeight="1">
      <c r="A3223" s="3" t="s">
        <v>3310</v>
      </c>
      <c r="B3223" s="3" t="s">
        <v>17</v>
      </c>
      <c r="C3223" s="3" t="s">
        <v>14</v>
      </c>
      <c r="D3223" s="3">
        <v>85061.1431400042</v>
      </c>
      <c r="E3223" s="3">
        <v>29666.8223261139</v>
      </c>
      <c r="F3223" s="3">
        <v>26260.2279397727</v>
      </c>
      <c r="G3223" s="3">
        <v>18451.2585766865</v>
      </c>
      <c r="H3223" s="3">
        <v>-77305.1661020937</v>
      </c>
      <c r="I3223" s="3">
        <v>73754.1621437082</v>
      </c>
      <c r="J3223" s="4">
        <v>45962.0</v>
      </c>
      <c r="K3223" s="3">
        <v>9.0</v>
      </c>
      <c r="L3223" s="3" t="s">
        <v>34</v>
      </c>
    </row>
    <row r="3224" ht="15.75" customHeight="1">
      <c r="A3224" s="3" t="s">
        <v>3311</v>
      </c>
      <c r="B3224" s="3" t="s">
        <v>17</v>
      </c>
      <c r="C3224" s="3" t="s">
        <v>26</v>
      </c>
      <c r="D3224" s="3">
        <v>85072.0261099104</v>
      </c>
      <c r="E3224" s="3">
        <v>29671.4370444414</v>
      </c>
      <c r="F3224" s="3">
        <v>26267.9079432022</v>
      </c>
      <c r="G3224" s="5"/>
      <c r="H3224" s="3">
        <v>-77354.6698198437</v>
      </c>
      <c r="I3224" s="3">
        <v>73757.543618128</v>
      </c>
      <c r="J3224" s="4">
        <v>45839.0</v>
      </c>
      <c r="K3224" s="3">
        <v>1.0</v>
      </c>
      <c r="L3224" s="3" t="s">
        <v>38</v>
      </c>
    </row>
    <row r="3225" ht="15.75" customHeight="1">
      <c r="A3225" s="3" t="s">
        <v>3312</v>
      </c>
      <c r="B3225" s="3" t="s">
        <v>13</v>
      </c>
      <c r="C3225" s="3" t="s">
        <v>26</v>
      </c>
      <c r="D3225" s="3">
        <v>85082.9090798165</v>
      </c>
      <c r="E3225" s="3">
        <v>29676.0517627688</v>
      </c>
      <c r="F3225" s="3">
        <v>26275.5879466317</v>
      </c>
      <c r="G3225" s="3">
        <v>18458.0536780611</v>
      </c>
      <c r="H3225" s="3">
        <v>-77404.1735375927</v>
      </c>
      <c r="I3225" s="3">
        <v>73760.9250925478</v>
      </c>
      <c r="J3225" s="4">
        <v>45870.0</v>
      </c>
      <c r="K3225" s="3">
        <v>23.0</v>
      </c>
      <c r="L3225" s="3" t="s">
        <v>40</v>
      </c>
    </row>
    <row r="3226" ht="15.75" customHeight="1">
      <c r="A3226" s="3" t="s">
        <v>3313</v>
      </c>
      <c r="B3226" s="3" t="s">
        <v>29</v>
      </c>
      <c r="C3226" s="3" t="s">
        <v>26</v>
      </c>
      <c r="D3226" s="3">
        <v>85093.7920497227</v>
      </c>
      <c r="E3226" s="3">
        <v>29680.6664810962</v>
      </c>
      <c r="F3226" s="3">
        <v>26283.2679500612</v>
      </c>
      <c r="G3226" s="3">
        <v>18461.4512287484</v>
      </c>
      <c r="H3226" s="3">
        <v>-77453.6772553417</v>
      </c>
      <c r="I3226" s="3">
        <v>73764.3065669676</v>
      </c>
      <c r="J3226" s="4">
        <v>45870.0</v>
      </c>
      <c r="K3226" s="3">
        <v>24.0</v>
      </c>
      <c r="L3226" s="3" t="s">
        <v>42</v>
      </c>
    </row>
    <row r="3227" ht="15.75" customHeight="1">
      <c r="A3227" s="3" t="s">
        <v>3314</v>
      </c>
      <c r="B3227" s="3" t="s">
        <v>51</v>
      </c>
      <c r="C3227" s="3" t="s">
        <v>18</v>
      </c>
      <c r="D3227" s="3">
        <v>85104.6750196289</v>
      </c>
      <c r="E3227" s="3">
        <v>29685.2811994236</v>
      </c>
      <c r="F3227" s="3">
        <v>26290.9479534907</v>
      </c>
      <c r="G3227" s="3">
        <v>18464.8487794357</v>
      </c>
      <c r="H3227" s="3">
        <v>-77503.1809730907</v>
      </c>
      <c r="I3227" s="3">
        <v>73767.6880413874</v>
      </c>
      <c r="J3227" s="4">
        <v>45809.0</v>
      </c>
      <c r="K3227" s="3">
        <v>22.0</v>
      </c>
      <c r="L3227" s="3" t="s">
        <v>15</v>
      </c>
    </row>
    <row r="3228" ht="15.75" customHeight="1">
      <c r="A3228" s="3" t="s">
        <v>3315</v>
      </c>
      <c r="B3228" s="3" t="s">
        <v>25</v>
      </c>
      <c r="C3228" s="3" t="s">
        <v>54</v>
      </c>
      <c r="D3228" s="3">
        <v>85115.5579895351</v>
      </c>
      <c r="E3228" s="3">
        <v>29689.895917751</v>
      </c>
      <c r="F3228" s="3">
        <v>26298.6279569202</v>
      </c>
      <c r="G3228" s="3">
        <v>18468.246330123</v>
      </c>
      <c r="H3228" s="3">
        <v>-77552.6846908397</v>
      </c>
      <c r="I3228" s="3">
        <v>73771.0695158073</v>
      </c>
      <c r="J3228" s="4">
        <v>45809.0</v>
      </c>
      <c r="K3228" s="3">
        <v>23.0</v>
      </c>
      <c r="L3228" s="3" t="s">
        <v>19</v>
      </c>
    </row>
    <row r="3229" ht="15.75" customHeight="1">
      <c r="A3229" s="3" t="s">
        <v>3316</v>
      </c>
      <c r="B3229" s="3" t="s">
        <v>53</v>
      </c>
      <c r="C3229" s="3" t="s">
        <v>30</v>
      </c>
      <c r="D3229" s="3">
        <v>85126.4409594413</v>
      </c>
      <c r="E3229" s="3">
        <v>29694.5106360785</v>
      </c>
      <c r="F3229" s="3">
        <v>26306.3079603497</v>
      </c>
      <c r="G3229" s="3">
        <v>18471.6438808103</v>
      </c>
      <c r="H3229" s="3">
        <v>-77602.1884085887</v>
      </c>
      <c r="I3229" s="3">
        <v>73774.4509902271</v>
      </c>
      <c r="J3229" s="4">
        <v>45658.0</v>
      </c>
      <c r="K3229" s="3">
        <v>7.0</v>
      </c>
      <c r="L3229" s="3" t="s">
        <v>21</v>
      </c>
    </row>
    <row r="3230" ht="15.75" customHeight="1">
      <c r="A3230" s="3" t="s">
        <v>3317</v>
      </c>
      <c r="B3230" s="3" t="s">
        <v>36</v>
      </c>
      <c r="C3230" s="3" t="s">
        <v>54</v>
      </c>
      <c r="D3230" s="3">
        <v>85137.3239293475</v>
      </c>
      <c r="E3230" s="3">
        <v>29699.1253544059</v>
      </c>
      <c r="F3230" s="3">
        <v>26313.9879637791</v>
      </c>
      <c r="G3230" s="3">
        <v>18475.0414314975</v>
      </c>
      <c r="H3230" s="3">
        <v>-77651.6921263377</v>
      </c>
      <c r="I3230" s="3">
        <v>73777.8324646469</v>
      </c>
      <c r="J3230" s="4">
        <v>45658.0</v>
      </c>
      <c r="K3230" s="3">
        <v>3.0</v>
      </c>
      <c r="L3230" s="3" t="s">
        <v>23</v>
      </c>
    </row>
    <row r="3231" ht="15.75" customHeight="1">
      <c r="A3231" s="3" t="s">
        <v>3318</v>
      </c>
      <c r="B3231" s="3" t="s">
        <v>13</v>
      </c>
      <c r="C3231" s="3" t="s">
        <v>26</v>
      </c>
      <c r="D3231" s="3">
        <v>85148.2068992537</v>
      </c>
      <c r="E3231" s="3">
        <v>29703.7400727333</v>
      </c>
      <c r="F3231" s="3">
        <v>26321.6679672086</v>
      </c>
      <c r="G3231" s="3">
        <v>18478.4389821848</v>
      </c>
      <c r="H3231" s="3">
        <v>-77701.1958440867</v>
      </c>
      <c r="I3231" s="3">
        <v>73781.2139390667</v>
      </c>
      <c r="J3231" s="4">
        <v>45717.0</v>
      </c>
      <c r="K3231" s="3">
        <v>12.0</v>
      </c>
      <c r="L3231" s="3" t="s">
        <v>27</v>
      </c>
    </row>
    <row r="3232" ht="15.75" customHeight="1">
      <c r="A3232" s="3" t="s">
        <v>3319</v>
      </c>
      <c r="B3232" s="3" t="s">
        <v>13</v>
      </c>
      <c r="C3232" s="3" t="s">
        <v>33</v>
      </c>
      <c r="D3232" s="3">
        <v>85159.0898691599</v>
      </c>
      <c r="E3232" s="3">
        <v>29708.3547910607</v>
      </c>
      <c r="F3232" s="3">
        <v>26329.3479706381</v>
      </c>
      <c r="G3232" s="3">
        <v>18481.8365328721</v>
      </c>
      <c r="H3232" s="3">
        <v>-77750.6995618367</v>
      </c>
      <c r="I3232" s="3">
        <v>73784.5954134865</v>
      </c>
      <c r="J3232" s="4">
        <v>45962.0</v>
      </c>
      <c r="K3232" s="3">
        <v>9.0</v>
      </c>
      <c r="L3232" s="3" t="s">
        <v>31</v>
      </c>
    </row>
    <row r="3233" ht="15.75" customHeight="1">
      <c r="A3233" s="3" t="s">
        <v>3320</v>
      </c>
      <c r="B3233" s="3" t="s">
        <v>53</v>
      </c>
      <c r="C3233" s="3" t="s">
        <v>26</v>
      </c>
      <c r="D3233" s="3">
        <v>85169.9728390661</v>
      </c>
      <c r="E3233" s="3">
        <v>29712.9695093882</v>
      </c>
      <c r="F3233" s="3">
        <v>26337.0279740676</v>
      </c>
      <c r="G3233" s="3">
        <v>18485.2340835594</v>
      </c>
      <c r="H3233" s="3">
        <v>-77800.2032795857</v>
      </c>
      <c r="I3233" s="3">
        <v>73787.9768879063</v>
      </c>
      <c r="J3233" s="4">
        <v>45778.0</v>
      </c>
      <c r="K3233" s="3">
        <v>19.0</v>
      </c>
      <c r="L3233" s="3" t="s">
        <v>34</v>
      </c>
    </row>
    <row r="3234" ht="15.75" customHeight="1">
      <c r="A3234" s="3" t="s">
        <v>3321</v>
      </c>
      <c r="B3234" s="3" t="s">
        <v>17</v>
      </c>
      <c r="C3234" s="3" t="s">
        <v>18</v>
      </c>
      <c r="D3234" s="3">
        <v>85180.8558089723</v>
      </c>
      <c r="E3234" s="3">
        <v>29717.5842277156</v>
      </c>
      <c r="F3234" s="3">
        <v>26344.7079774971</v>
      </c>
      <c r="G3234" s="3">
        <v>18488.6316342467</v>
      </c>
      <c r="H3234" s="3">
        <v>-77849.7069973347</v>
      </c>
      <c r="I3234" s="3">
        <v>73791.3583623261</v>
      </c>
      <c r="J3234" s="4">
        <v>45931.0</v>
      </c>
      <c r="K3234" s="3">
        <v>18.0</v>
      </c>
      <c r="L3234" s="3" t="s">
        <v>38</v>
      </c>
    </row>
    <row r="3235" ht="15.75" customHeight="1">
      <c r="A3235" s="3" t="s">
        <v>3322</v>
      </c>
      <c r="B3235" s="3" t="s">
        <v>13</v>
      </c>
      <c r="C3235" s="3" t="s">
        <v>30</v>
      </c>
      <c r="D3235" s="3">
        <v>85191.7387788785</v>
      </c>
      <c r="E3235" s="3">
        <v>29722.198946043</v>
      </c>
      <c r="F3235" s="3">
        <v>26352.3879809266</v>
      </c>
      <c r="G3235" s="3">
        <v>18492.029184934</v>
      </c>
      <c r="H3235" s="3">
        <v>-77899.2107150837</v>
      </c>
      <c r="I3235" s="3">
        <v>73600.9018623885</v>
      </c>
      <c r="J3235" s="3" t="s">
        <v>1012</v>
      </c>
      <c r="K3235" s="3">
        <v>18.0</v>
      </c>
      <c r="L3235" s="3" t="s">
        <v>34</v>
      </c>
    </row>
    <row r="3236" ht="15.75" customHeight="1">
      <c r="A3236" s="3" t="s">
        <v>3323</v>
      </c>
      <c r="B3236" s="3" t="s">
        <v>53</v>
      </c>
      <c r="C3236" s="3" t="s">
        <v>14</v>
      </c>
      <c r="D3236" s="3">
        <v>85202.6217487847</v>
      </c>
      <c r="E3236" s="3">
        <v>29726.8136643704</v>
      </c>
      <c r="F3236" s="3">
        <v>26360.0679843561</v>
      </c>
      <c r="G3236" s="3">
        <v>18495.4267356213</v>
      </c>
      <c r="H3236" s="3">
        <v>-77948.7144328327</v>
      </c>
      <c r="I3236" s="3">
        <v>73603.7471313509</v>
      </c>
      <c r="J3236" s="3" t="s">
        <v>1014</v>
      </c>
      <c r="K3236" s="3">
        <v>21.0</v>
      </c>
      <c r="L3236" s="3" t="s">
        <v>23</v>
      </c>
    </row>
    <row r="3237" ht="15.75" customHeight="1">
      <c r="A3237" s="3" t="s">
        <v>3324</v>
      </c>
      <c r="B3237" s="3" t="s">
        <v>17</v>
      </c>
      <c r="C3237" s="3" t="s">
        <v>37</v>
      </c>
      <c r="D3237" s="3">
        <v>85213.5047186909</v>
      </c>
      <c r="E3237" s="3">
        <v>29731.4283826978</v>
      </c>
      <c r="F3237" s="3">
        <v>26367.7479877856</v>
      </c>
      <c r="G3237" s="3">
        <v>18498.8242863085</v>
      </c>
      <c r="H3237" s="3">
        <v>-77998.2181505817</v>
      </c>
      <c r="I3237" s="3">
        <v>73606.5924003134</v>
      </c>
      <c r="J3237" s="3" t="s">
        <v>1016</v>
      </c>
      <c r="K3237" s="3">
        <v>22.0</v>
      </c>
      <c r="L3237" s="3" t="s">
        <v>15</v>
      </c>
    </row>
    <row r="3238" ht="15.75" customHeight="1">
      <c r="A3238" s="3" t="s">
        <v>3325</v>
      </c>
      <c r="B3238" s="3" t="s">
        <v>51</v>
      </c>
      <c r="C3238" s="3" t="s">
        <v>14</v>
      </c>
      <c r="D3238" s="3">
        <v>85224.3876885971</v>
      </c>
      <c r="E3238" s="3">
        <v>29736.0431010253</v>
      </c>
      <c r="F3238" s="3">
        <v>26375.4279912151</v>
      </c>
      <c r="G3238" s="3">
        <v>18502.2218369958</v>
      </c>
      <c r="H3238" s="3">
        <v>-78047.7218683307</v>
      </c>
      <c r="I3238" s="3">
        <v>73609.4376692759</v>
      </c>
      <c r="J3238" s="3" t="s">
        <v>1018</v>
      </c>
      <c r="K3238" s="3">
        <v>11.0</v>
      </c>
      <c r="L3238" s="3" t="s">
        <v>19</v>
      </c>
    </row>
    <row r="3239" ht="15.75" customHeight="1">
      <c r="A3239" s="3" t="s">
        <v>3326</v>
      </c>
      <c r="B3239" s="3" t="s">
        <v>13</v>
      </c>
      <c r="C3239" s="3" t="s">
        <v>18</v>
      </c>
      <c r="D3239" s="3">
        <v>85235.2706585033</v>
      </c>
      <c r="E3239" s="3">
        <v>29740.6578193527</v>
      </c>
      <c r="F3239" s="3">
        <v>26383.1079946446</v>
      </c>
      <c r="G3239" s="3">
        <v>18505.6193876831</v>
      </c>
      <c r="H3239" s="3">
        <v>-78097.2255860807</v>
      </c>
      <c r="I3239" s="3">
        <v>73612.2829382384</v>
      </c>
      <c r="J3239" s="3" t="s">
        <v>1016</v>
      </c>
      <c r="K3239" s="3">
        <v>18.0</v>
      </c>
      <c r="L3239" s="3" t="s">
        <v>23</v>
      </c>
    </row>
    <row r="3240" ht="15.75" customHeight="1">
      <c r="A3240" s="3" t="s">
        <v>3327</v>
      </c>
      <c r="B3240" s="3" t="s">
        <v>25</v>
      </c>
      <c r="C3240" s="3" t="s">
        <v>18</v>
      </c>
      <c r="D3240" s="3">
        <v>85246.1536284094</v>
      </c>
      <c r="E3240" s="3">
        <v>29745.2725376801</v>
      </c>
      <c r="F3240" s="3">
        <v>26390.7879980741</v>
      </c>
      <c r="G3240" s="3">
        <v>18509.0169383704</v>
      </c>
      <c r="H3240" s="3">
        <v>-78146.7293038297</v>
      </c>
      <c r="I3240" s="3">
        <v>73615.1282072009</v>
      </c>
      <c r="J3240" s="3" t="s">
        <v>1014</v>
      </c>
      <c r="K3240" s="3">
        <v>12.0</v>
      </c>
      <c r="L3240" s="3" t="s">
        <v>34</v>
      </c>
    </row>
    <row r="3241" ht="15.75" customHeight="1">
      <c r="A3241" s="3" t="s">
        <v>3328</v>
      </c>
      <c r="B3241" s="3" t="s">
        <v>17</v>
      </c>
      <c r="C3241" s="3" t="s">
        <v>37</v>
      </c>
      <c r="D3241" s="3">
        <v>85267.9195682218</v>
      </c>
      <c r="E3241" s="3">
        <v>29754.501974335</v>
      </c>
      <c r="F3241" s="3">
        <v>26406.1480049331</v>
      </c>
      <c r="G3241" s="3">
        <v>18515.812039745</v>
      </c>
      <c r="H3241" s="3">
        <v>-78245.7367393277</v>
      </c>
      <c r="I3241" s="3">
        <v>73620.8187451258</v>
      </c>
      <c r="J3241" s="3" t="s">
        <v>1023</v>
      </c>
      <c r="K3241" s="3">
        <v>1.0</v>
      </c>
      <c r="L3241" s="3" t="s">
        <v>27</v>
      </c>
    </row>
    <row r="3242" ht="15.75" customHeight="1">
      <c r="A3242" s="3" t="s">
        <v>3329</v>
      </c>
      <c r="B3242" s="3" t="s">
        <v>36</v>
      </c>
      <c r="C3242" s="3" t="s">
        <v>54</v>
      </c>
      <c r="D3242" s="5"/>
      <c r="E3242" s="3">
        <v>29759.1166926624</v>
      </c>
      <c r="F3242" s="3">
        <v>26413.8280083626</v>
      </c>
      <c r="G3242" s="3">
        <v>18519.2095904323</v>
      </c>
      <c r="H3242" s="3">
        <v>-78295.2404570767</v>
      </c>
      <c r="I3242" s="3">
        <v>73623.6640140883</v>
      </c>
      <c r="J3242" s="3" t="s">
        <v>1012</v>
      </c>
      <c r="K3242" s="3">
        <v>9.0</v>
      </c>
      <c r="L3242" s="3" t="s">
        <v>42</v>
      </c>
    </row>
    <row r="3243" ht="15.75" customHeight="1">
      <c r="A3243" s="3" t="s">
        <v>3330</v>
      </c>
      <c r="B3243" s="3" t="s">
        <v>51</v>
      </c>
      <c r="C3243" s="3" t="s">
        <v>54</v>
      </c>
      <c r="D3243" s="3">
        <v>85289.6855080342</v>
      </c>
      <c r="E3243" s="3">
        <v>29763.7314109898</v>
      </c>
      <c r="F3243" s="3">
        <v>26421.5080117921</v>
      </c>
      <c r="G3243" s="3">
        <v>18522.6071411196</v>
      </c>
      <c r="H3243" s="3">
        <v>-78344.7441748257</v>
      </c>
      <c r="I3243" s="3">
        <v>73626.5092830508</v>
      </c>
      <c r="J3243" s="3" t="s">
        <v>1026</v>
      </c>
      <c r="K3243" s="3">
        <v>9.0</v>
      </c>
      <c r="L3243" s="3" t="s">
        <v>21</v>
      </c>
    </row>
    <row r="3244" ht="15.75" customHeight="1">
      <c r="A3244" s="3" t="s">
        <v>3331</v>
      </c>
      <c r="B3244" s="3" t="s">
        <v>51</v>
      </c>
      <c r="C3244" s="3" t="s">
        <v>37</v>
      </c>
      <c r="D3244" s="3">
        <v>85300.5684779404</v>
      </c>
      <c r="E3244" s="3">
        <v>29768.3461293172</v>
      </c>
      <c r="F3244" s="3">
        <v>26429.1880152216</v>
      </c>
      <c r="G3244" s="3">
        <v>18526.0046918068</v>
      </c>
      <c r="H3244" s="3">
        <v>-78394.2478925747</v>
      </c>
      <c r="I3244" s="3">
        <v>73629.3545520132</v>
      </c>
      <c r="J3244" s="3" t="s">
        <v>1018</v>
      </c>
      <c r="K3244" s="3">
        <v>19.0</v>
      </c>
      <c r="L3244" s="3" t="s">
        <v>34</v>
      </c>
    </row>
    <row r="3245" ht="15.75" customHeight="1">
      <c r="A3245" s="3" t="s">
        <v>3332</v>
      </c>
      <c r="B3245" s="3" t="s">
        <v>36</v>
      </c>
      <c r="C3245" s="3" t="s">
        <v>33</v>
      </c>
      <c r="D3245" s="3">
        <v>85311.4514478466</v>
      </c>
      <c r="E3245" s="3">
        <v>29772.9608476446</v>
      </c>
      <c r="F3245" s="3">
        <v>26436.8680186511</v>
      </c>
      <c r="G3245" s="3">
        <v>18529.4022424941</v>
      </c>
      <c r="H3245" s="3">
        <v>-78443.7516103237</v>
      </c>
      <c r="I3245" s="3">
        <v>73632.1998209757</v>
      </c>
      <c r="J3245" s="3" t="s">
        <v>1018</v>
      </c>
      <c r="K3245" s="3">
        <v>18.0</v>
      </c>
      <c r="L3245" s="3" t="s">
        <v>19</v>
      </c>
    </row>
    <row r="3246" ht="15.75" customHeight="1">
      <c r="A3246" s="3" t="s">
        <v>3333</v>
      </c>
      <c r="B3246" s="3" t="s">
        <v>13</v>
      </c>
      <c r="C3246" s="3" t="s">
        <v>26</v>
      </c>
      <c r="D3246" s="3">
        <v>85322.3344177528</v>
      </c>
      <c r="E3246" s="3">
        <v>29777.5755659721</v>
      </c>
      <c r="F3246" s="3">
        <v>26444.5480220806</v>
      </c>
      <c r="G3246" s="3">
        <v>18532.7997931814</v>
      </c>
      <c r="H3246" s="3">
        <v>-78493.2553280737</v>
      </c>
      <c r="I3246" s="3">
        <v>73635.0450899382</v>
      </c>
      <c r="J3246" s="3" t="s">
        <v>1018</v>
      </c>
      <c r="K3246" s="3">
        <v>18.0</v>
      </c>
      <c r="L3246" s="3" t="s">
        <v>38</v>
      </c>
    </row>
    <row r="3247" ht="15.75" customHeight="1">
      <c r="A3247" s="3" t="s">
        <v>3334</v>
      </c>
      <c r="B3247" s="3" t="s">
        <v>29</v>
      </c>
      <c r="C3247" s="3" t="s">
        <v>26</v>
      </c>
      <c r="D3247" s="3">
        <v>85333.217387659</v>
      </c>
      <c r="E3247" s="3">
        <v>29782.1902842995</v>
      </c>
      <c r="F3247" s="3">
        <v>26452.2280255101</v>
      </c>
      <c r="G3247" s="3">
        <v>18536.1973438687</v>
      </c>
      <c r="H3247" s="3">
        <v>-78542.7590458227</v>
      </c>
      <c r="I3247" s="3">
        <v>73637.8903589007</v>
      </c>
      <c r="J3247" s="3" t="s">
        <v>1031</v>
      </c>
      <c r="K3247" s="3">
        <v>6.0</v>
      </c>
      <c r="L3247" s="3" t="s">
        <v>34</v>
      </c>
    </row>
    <row r="3248" ht="15.75" customHeight="1">
      <c r="A3248" s="3" t="s">
        <v>3335</v>
      </c>
      <c r="B3248" s="3" t="s">
        <v>17</v>
      </c>
      <c r="C3248" s="3" t="s">
        <v>30</v>
      </c>
      <c r="D3248" s="3">
        <v>85354.9833274714</v>
      </c>
      <c r="E3248" s="3">
        <v>29791.4197209543</v>
      </c>
      <c r="F3248" s="3">
        <v>26467.5880323691</v>
      </c>
      <c r="G3248" s="3">
        <v>18542.9924452433</v>
      </c>
      <c r="H3248" s="3">
        <v>66811.9908822281</v>
      </c>
      <c r="I3248" s="3">
        <v>71811.9908822281</v>
      </c>
      <c r="J3248" s="3" t="s">
        <v>1034</v>
      </c>
      <c r="K3248" s="3">
        <v>2.0</v>
      </c>
      <c r="L3248" s="3" t="s">
        <v>38</v>
      </c>
    </row>
    <row r="3249" ht="15.75" customHeight="1">
      <c r="A3249" s="3" t="s">
        <v>3336</v>
      </c>
      <c r="B3249" s="3" t="s">
        <v>53</v>
      </c>
      <c r="C3249" s="3" t="s">
        <v>54</v>
      </c>
      <c r="D3249" s="3">
        <v>85365.8662973776</v>
      </c>
      <c r="E3249" s="3">
        <v>29796.0344392818</v>
      </c>
      <c r="F3249" s="3">
        <v>26475.2680357986</v>
      </c>
      <c r="G3249" s="3">
        <v>18546.3899959306</v>
      </c>
      <c r="H3249" s="3">
        <v>-78691.2701990697</v>
      </c>
      <c r="I3249" s="3">
        <v>73646.4261657881</v>
      </c>
      <c r="J3249" s="3" t="s">
        <v>1034</v>
      </c>
      <c r="K3249" s="3">
        <v>22.0</v>
      </c>
      <c r="L3249" s="3" t="s">
        <v>31</v>
      </c>
    </row>
    <row r="3250" ht="15.75" customHeight="1">
      <c r="A3250" s="3" t="s">
        <v>3337</v>
      </c>
      <c r="B3250" s="3" t="s">
        <v>29</v>
      </c>
      <c r="C3250" s="3" t="s">
        <v>30</v>
      </c>
      <c r="D3250" s="3">
        <v>85376.7492672838</v>
      </c>
      <c r="E3250" s="3">
        <v>29800.6491576092</v>
      </c>
      <c r="F3250" s="3">
        <v>26482.9480392281</v>
      </c>
      <c r="G3250" s="3">
        <v>18549.7875466179</v>
      </c>
      <c r="H3250" s="3">
        <v>-78740.7739168187</v>
      </c>
      <c r="I3250" s="3">
        <v>73649.2714347506</v>
      </c>
      <c r="J3250" s="3" t="s">
        <v>1014</v>
      </c>
      <c r="K3250" s="3">
        <v>10.0</v>
      </c>
      <c r="L3250" s="3" t="s">
        <v>15</v>
      </c>
    </row>
    <row r="3251" ht="15.75" customHeight="1">
      <c r="A3251" s="3" t="s">
        <v>3338</v>
      </c>
      <c r="B3251" s="3" t="s">
        <v>29</v>
      </c>
      <c r="C3251" s="3" t="s">
        <v>37</v>
      </c>
      <c r="D3251" s="3">
        <v>85387.63223719</v>
      </c>
      <c r="E3251" s="3">
        <v>29805.2638759366</v>
      </c>
      <c r="F3251" s="3">
        <v>26490.6280426576</v>
      </c>
      <c r="G3251" s="3">
        <v>18553.1850973051</v>
      </c>
      <c r="H3251" s="3">
        <v>-78790.2776345677</v>
      </c>
      <c r="I3251" s="3">
        <v>73652.1167037131</v>
      </c>
      <c r="J3251" s="3" t="s">
        <v>1023</v>
      </c>
      <c r="K3251" s="3">
        <v>24.0</v>
      </c>
      <c r="L3251" s="3" t="s">
        <v>19</v>
      </c>
    </row>
    <row r="3252" ht="15.75" customHeight="1">
      <c r="A3252" s="3" t="s">
        <v>3339</v>
      </c>
      <c r="B3252" s="3" t="s">
        <v>29</v>
      </c>
      <c r="C3252" s="3" t="s">
        <v>33</v>
      </c>
      <c r="D3252" s="3">
        <v>85409.3981770023</v>
      </c>
      <c r="E3252" s="3">
        <v>29814.4933125914</v>
      </c>
      <c r="F3252" s="3">
        <v>26505.9880495166</v>
      </c>
      <c r="G3252" s="3">
        <v>18559.9801986797</v>
      </c>
      <c r="H3252" s="3">
        <v>-78889.2850700667</v>
      </c>
      <c r="I3252" s="3">
        <v>73657.807241638</v>
      </c>
      <c r="J3252" s="3" t="s">
        <v>1040</v>
      </c>
      <c r="K3252" s="3">
        <v>7.0</v>
      </c>
      <c r="L3252" s="3" t="s">
        <v>19</v>
      </c>
    </row>
    <row r="3253" ht="15.75" customHeight="1">
      <c r="A3253" s="3" t="s">
        <v>3340</v>
      </c>
      <c r="B3253" s="3" t="s">
        <v>17</v>
      </c>
      <c r="C3253" s="3" t="s">
        <v>30</v>
      </c>
      <c r="D3253" s="3">
        <v>85420.2811469085</v>
      </c>
      <c r="E3253" s="3">
        <v>29819.1080309189</v>
      </c>
      <c r="F3253" s="3">
        <v>26513.6680529461</v>
      </c>
      <c r="G3253" s="3">
        <v>18563.377749367</v>
      </c>
      <c r="H3253" s="3">
        <v>-78938.7887878157</v>
      </c>
      <c r="I3253" s="3">
        <v>73660.6525106005</v>
      </c>
      <c r="J3253" s="3" t="s">
        <v>1042</v>
      </c>
      <c r="K3253" s="3">
        <v>9.0</v>
      </c>
      <c r="L3253" s="3" t="s">
        <v>19</v>
      </c>
    </row>
    <row r="3254" ht="15.75" customHeight="1">
      <c r="A3254" s="3" t="s">
        <v>3341</v>
      </c>
      <c r="B3254" s="3" t="s">
        <v>25</v>
      </c>
      <c r="C3254" s="3" t="s">
        <v>33</v>
      </c>
      <c r="D3254" s="3">
        <v>85431.1641168147</v>
      </c>
      <c r="E3254" s="3">
        <v>29823.7227492463</v>
      </c>
      <c r="F3254" s="3">
        <v>26521.3480563756</v>
      </c>
      <c r="G3254" s="3">
        <v>18566.7753000543</v>
      </c>
      <c r="H3254" s="3">
        <v>-78988.2925055647</v>
      </c>
      <c r="I3254" s="3">
        <v>73663.497779563</v>
      </c>
      <c r="J3254" s="3" t="s">
        <v>1014</v>
      </c>
      <c r="K3254" s="3">
        <v>3.0</v>
      </c>
      <c r="L3254" s="3" t="s">
        <v>38</v>
      </c>
    </row>
    <row r="3255" ht="15.75" customHeight="1">
      <c r="A3255" s="3" t="s">
        <v>3342</v>
      </c>
      <c r="B3255" s="3" t="s">
        <v>51</v>
      </c>
      <c r="C3255" s="3" t="s">
        <v>33</v>
      </c>
      <c r="D3255" s="3">
        <v>85452.9300566271</v>
      </c>
      <c r="E3255" s="3">
        <v>29832.9521859011</v>
      </c>
      <c r="F3255" s="3">
        <v>26536.7080632346</v>
      </c>
      <c r="G3255" s="3">
        <v>18573.5704014289</v>
      </c>
      <c r="H3255" s="3">
        <v>-79087.2999410627</v>
      </c>
      <c r="I3255" s="3">
        <v>73669.188317488</v>
      </c>
      <c r="J3255" s="3" t="s">
        <v>1034</v>
      </c>
      <c r="K3255" s="3">
        <v>21.0</v>
      </c>
      <c r="L3255" s="3" t="s">
        <v>23</v>
      </c>
    </row>
    <row r="3256" ht="15.75" customHeight="1">
      <c r="A3256" s="3" t="s">
        <v>3343</v>
      </c>
      <c r="B3256" s="3" t="s">
        <v>36</v>
      </c>
      <c r="C3256" s="3" t="s">
        <v>26</v>
      </c>
      <c r="D3256" s="3">
        <v>85463.8130265333</v>
      </c>
      <c r="E3256" s="3">
        <v>29837.5669042286</v>
      </c>
      <c r="F3256" s="3">
        <v>26544.3880666641</v>
      </c>
      <c r="G3256" s="3">
        <v>18576.9679521161</v>
      </c>
      <c r="H3256" s="3">
        <v>-79136.8036588117</v>
      </c>
      <c r="I3256" s="3">
        <v>73672.0335864504</v>
      </c>
      <c r="J3256" s="3" t="s">
        <v>1014</v>
      </c>
      <c r="K3256" s="3">
        <v>7.0</v>
      </c>
      <c r="L3256" s="3" t="s">
        <v>15</v>
      </c>
    </row>
    <row r="3257" ht="15.75" customHeight="1">
      <c r="A3257" s="3" t="s">
        <v>3344</v>
      </c>
      <c r="B3257" s="3" t="s">
        <v>51</v>
      </c>
      <c r="C3257" s="3" t="s">
        <v>14</v>
      </c>
      <c r="D3257" s="3">
        <v>85474.6959964395</v>
      </c>
      <c r="E3257" s="3">
        <v>29842.181622556</v>
      </c>
      <c r="F3257" s="3">
        <v>26552.0680700936</v>
      </c>
      <c r="G3257" s="3">
        <v>18580.3655028034</v>
      </c>
      <c r="H3257" s="3">
        <v>-79186.3073765607</v>
      </c>
      <c r="I3257" s="3">
        <v>73674.8788554129</v>
      </c>
      <c r="J3257" s="3" t="s">
        <v>1034</v>
      </c>
      <c r="K3257" s="3">
        <v>23.0</v>
      </c>
      <c r="L3257" s="3" t="s">
        <v>42</v>
      </c>
    </row>
    <row r="3258" ht="15.75" customHeight="1">
      <c r="A3258" s="3" t="s">
        <v>3345</v>
      </c>
      <c r="B3258" s="3" t="s">
        <v>25</v>
      </c>
      <c r="C3258" s="3" t="s">
        <v>54</v>
      </c>
      <c r="D3258" s="3">
        <v>85485.5789663457</v>
      </c>
      <c r="E3258" s="3">
        <v>29846.7963408834</v>
      </c>
      <c r="F3258" s="3">
        <v>26559.7480735231</v>
      </c>
      <c r="G3258" s="3">
        <v>18583.7630534907</v>
      </c>
      <c r="H3258" s="3">
        <v>-79235.8110943097</v>
      </c>
      <c r="I3258" s="3">
        <v>73677.7241243754</v>
      </c>
      <c r="J3258" s="3" t="s">
        <v>1014</v>
      </c>
      <c r="K3258" s="3">
        <v>11.0</v>
      </c>
      <c r="L3258" s="3" t="s">
        <v>42</v>
      </c>
    </row>
    <row r="3259" ht="15.75" customHeight="1">
      <c r="A3259" s="3" t="s">
        <v>3346</v>
      </c>
      <c r="B3259" s="3" t="s">
        <v>25</v>
      </c>
      <c r="C3259" s="3" t="s">
        <v>37</v>
      </c>
      <c r="D3259" s="3">
        <v>85496.4619362519</v>
      </c>
      <c r="E3259" s="3">
        <v>29851.4110592108</v>
      </c>
      <c r="F3259" s="3">
        <v>26567.4280769526</v>
      </c>
      <c r="G3259" s="3">
        <v>18587.160604178</v>
      </c>
      <c r="H3259" s="3">
        <v>-79285.3148120597</v>
      </c>
      <c r="I3259" s="3">
        <v>73680.5693933379</v>
      </c>
      <c r="J3259" s="3" t="s">
        <v>1034</v>
      </c>
      <c r="K3259" s="3">
        <v>22.0</v>
      </c>
      <c r="L3259" s="3" t="s">
        <v>42</v>
      </c>
    </row>
    <row r="3260" ht="15.75" customHeight="1">
      <c r="A3260" s="3" t="s">
        <v>3347</v>
      </c>
      <c r="B3260" s="3" t="s">
        <v>53</v>
      </c>
      <c r="C3260" s="3" t="s">
        <v>54</v>
      </c>
      <c r="D3260" s="3">
        <v>85507.3449061581</v>
      </c>
      <c r="E3260" s="3">
        <v>29856.0257775382</v>
      </c>
      <c r="F3260" s="3">
        <v>26575.1080803821</v>
      </c>
      <c r="G3260" s="3">
        <v>18590.5581548653</v>
      </c>
      <c r="H3260" s="3">
        <v>-79334.8185298087</v>
      </c>
      <c r="I3260" s="3">
        <v>73683.4146623003</v>
      </c>
      <c r="J3260" s="3" t="s">
        <v>1018</v>
      </c>
      <c r="K3260" s="3">
        <v>2.0</v>
      </c>
      <c r="L3260" s="3" t="s">
        <v>38</v>
      </c>
    </row>
    <row r="3261" ht="15.75" customHeight="1">
      <c r="A3261" s="3" t="s">
        <v>3348</v>
      </c>
      <c r="B3261" s="3" t="s">
        <v>13</v>
      </c>
      <c r="C3261" s="3" t="s">
        <v>54</v>
      </c>
      <c r="D3261" s="3">
        <v>85518.2278760643</v>
      </c>
      <c r="E3261" s="3">
        <v>29860.6404958657</v>
      </c>
      <c r="F3261" s="3">
        <v>26582.7880838116</v>
      </c>
      <c r="G3261" s="3">
        <v>18593.9557055526</v>
      </c>
      <c r="H3261" s="3">
        <v>-79384.3222475577</v>
      </c>
      <c r="I3261" s="3">
        <v>73686.2599312628</v>
      </c>
      <c r="J3261" s="3" t="s">
        <v>1014</v>
      </c>
      <c r="K3261" s="3">
        <v>4.0</v>
      </c>
      <c r="L3261" s="3" t="s">
        <v>27</v>
      </c>
    </row>
    <row r="3262" ht="15.75" customHeight="1">
      <c r="A3262" s="3" t="s">
        <v>3349</v>
      </c>
      <c r="B3262" s="3" t="s">
        <v>13</v>
      </c>
      <c r="C3262" s="3" t="s">
        <v>37</v>
      </c>
      <c r="D3262" s="3">
        <v>85529.1108459705</v>
      </c>
      <c r="E3262" s="3">
        <v>29865.2552141931</v>
      </c>
      <c r="F3262" s="3">
        <v>26590.4680872411</v>
      </c>
      <c r="G3262" s="3">
        <v>18597.3532562399</v>
      </c>
      <c r="H3262" s="3">
        <v>-79433.8259653067</v>
      </c>
      <c r="I3262" s="3">
        <v>73689.1052002253</v>
      </c>
      <c r="J3262" s="3" t="s">
        <v>1023</v>
      </c>
      <c r="K3262" s="3">
        <v>24.0</v>
      </c>
      <c r="L3262" s="3" t="s">
        <v>19</v>
      </c>
    </row>
    <row r="3263" ht="15.75" customHeight="1">
      <c r="A3263" s="3" t="s">
        <v>3350</v>
      </c>
      <c r="B3263" s="3" t="s">
        <v>53</v>
      </c>
      <c r="C3263" s="3" t="s">
        <v>30</v>
      </c>
      <c r="D3263" s="3">
        <v>85539.9938158767</v>
      </c>
      <c r="E3263" s="3">
        <v>29869.8699325205</v>
      </c>
      <c r="F3263" s="3">
        <v>26598.1480906705</v>
      </c>
      <c r="G3263" s="3">
        <v>18600.7508069272</v>
      </c>
      <c r="H3263" s="3">
        <v>-79483.3296830557</v>
      </c>
      <c r="I3263" s="3">
        <v>73691.9504691878</v>
      </c>
      <c r="J3263" s="3" t="s">
        <v>1031</v>
      </c>
      <c r="K3263" s="3">
        <v>6.0</v>
      </c>
      <c r="L3263" s="3" t="s">
        <v>42</v>
      </c>
    </row>
    <row r="3264" ht="15.75" customHeight="1">
      <c r="A3264" s="3" t="s">
        <v>3351</v>
      </c>
      <c r="B3264" s="3" t="s">
        <v>29</v>
      </c>
      <c r="C3264" s="3" t="s">
        <v>30</v>
      </c>
      <c r="D3264" s="3">
        <v>85550.8767857829</v>
      </c>
      <c r="E3264" s="3">
        <v>29874.4846508479</v>
      </c>
      <c r="F3264" s="3">
        <v>26605.8280941</v>
      </c>
      <c r="G3264" s="3">
        <v>18604.1483576144</v>
      </c>
      <c r="H3264" s="3">
        <v>-79532.8334008047</v>
      </c>
      <c r="I3264" s="3">
        <v>73694.7957381503</v>
      </c>
      <c r="J3264" s="3" t="s">
        <v>1018</v>
      </c>
      <c r="K3264" s="3">
        <v>23.0</v>
      </c>
      <c r="L3264" s="3" t="s">
        <v>21</v>
      </c>
    </row>
    <row r="3265" ht="15.75" customHeight="1">
      <c r="A3265" s="3" t="s">
        <v>3352</v>
      </c>
      <c r="B3265" s="3" t="s">
        <v>36</v>
      </c>
      <c r="C3265" s="3" t="s">
        <v>30</v>
      </c>
      <c r="D3265" s="3">
        <v>85561.7597556891</v>
      </c>
      <c r="E3265" s="3">
        <v>29879.0993691754</v>
      </c>
      <c r="F3265" s="3">
        <v>26613.5080975295</v>
      </c>
      <c r="G3265" s="3">
        <v>18607.5459083017</v>
      </c>
      <c r="H3265" s="3">
        <v>-79582.3371185537</v>
      </c>
      <c r="I3265" s="3">
        <v>73697.6410071127</v>
      </c>
      <c r="J3265" s="3" t="s">
        <v>1031</v>
      </c>
      <c r="K3265" s="3">
        <v>20.0</v>
      </c>
      <c r="L3265" s="3" t="s">
        <v>34</v>
      </c>
    </row>
    <row r="3266" ht="15.75" customHeight="1">
      <c r="A3266" s="3" t="s">
        <v>3353</v>
      </c>
      <c r="B3266" s="3" t="s">
        <v>17</v>
      </c>
      <c r="C3266" s="3" t="s">
        <v>30</v>
      </c>
      <c r="D3266" s="3">
        <v>85572.6427255952</v>
      </c>
      <c r="E3266" s="3">
        <v>29883.7140875028</v>
      </c>
      <c r="F3266" s="3">
        <v>26621.188100959</v>
      </c>
      <c r="G3266" s="3">
        <v>18610.943458989</v>
      </c>
      <c r="H3266" s="3">
        <v>-79631.8408363027</v>
      </c>
      <c r="I3266" s="3">
        <v>73700.4862760752</v>
      </c>
      <c r="J3266" s="3" t="s">
        <v>1034</v>
      </c>
      <c r="K3266" s="3">
        <v>9.0</v>
      </c>
      <c r="L3266" s="3" t="s">
        <v>38</v>
      </c>
    </row>
    <row r="3267" ht="15.75" customHeight="1">
      <c r="A3267" s="3" t="s">
        <v>3354</v>
      </c>
      <c r="B3267" s="3" t="s">
        <v>53</v>
      </c>
      <c r="C3267" s="3" t="s">
        <v>30</v>
      </c>
      <c r="D3267" s="3">
        <v>85583.5256955014</v>
      </c>
      <c r="E3267" s="3">
        <v>29888.3288058302</v>
      </c>
      <c r="F3267" s="3">
        <v>26628.8681043885</v>
      </c>
      <c r="G3267" s="3">
        <v>18614.3410096763</v>
      </c>
      <c r="H3267" s="3">
        <v>-79681.3445540527</v>
      </c>
      <c r="I3267" s="3">
        <v>73703.3315450377</v>
      </c>
      <c r="J3267" s="3" t="s">
        <v>1012</v>
      </c>
      <c r="K3267" s="3">
        <v>15.0</v>
      </c>
      <c r="L3267" s="3" t="s">
        <v>34</v>
      </c>
    </row>
    <row r="3268" ht="15.75" customHeight="1">
      <c r="A3268" s="3" t="s">
        <v>3355</v>
      </c>
      <c r="B3268" s="3" t="s">
        <v>51</v>
      </c>
      <c r="C3268" s="3" t="s">
        <v>30</v>
      </c>
      <c r="D3268" s="3">
        <v>85594.4086654076</v>
      </c>
      <c r="E3268" s="3">
        <v>29892.9435241576</v>
      </c>
      <c r="F3268" s="3">
        <v>26636.548107818</v>
      </c>
      <c r="G3268" s="3">
        <v>18617.7385603636</v>
      </c>
      <c r="H3268" s="3">
        <v>-79730.8482718017</v>
      </c>
      <c r="I3268" s="3">
        <v>73706.1768140002</v>
      </c>
      <c r="J3268" s="3" t="s">
        <v>1031</v>
      </c>
      <c r="K3268" s="3">
        <v>18.0</v>
      </c>
      <c r="L3268" s="3" t="s">
        <v>27</v>
      </c>
    </row>
    <row r="3269" ht="15.75" customHeight="1">
      <c r="A3269" s="3" t="s">
        <v>3356</v>
      </c>
      <c r="B3269" s="3" t="s">
        <v>51</v>
      </c>
      <c r="C3269" s="3" t="s">
        <v>37</v>
      </c>
      <c r="D3269" s="3">
        <v>85605.2916353138</v>
      </c>
      <c r="E3269" s="3">
        <v>29897.558242485</v>
      </c>
      <c r="F3269" s="3">
        <v>26644.2281112475</v>
      </c>
      <c r="G3269" s="3">
        <v>18621.1361110509</v>
      </c>
      <c r="H3269" s="3">
        <v>-79780.3519895507</v>
      </c>
      <c r="I3269" s="3">
        <v>73709.0220829627</v>
      </c>
      <c r="J3269" s="3" t="s">
        <v>1026</v>
      </c>
      <c r="K3269" s="3">
        <v>15.0</v>
      </c>
      <c r="L3269" s="3" t="s">
        <v>42</v>
      </c>
    </row>
    <row r="3270" ht="15.75" customHeight="1">
      <c r="A3270" s="3" t="s">
        <v>3357</v>
      </c>
      <c r="B3270" s="3" t="s">
        <v>17</v>
      </c>
      <c r="C3270" s="3" t="s">
        <v>54</v>
      </c>
      <c r="D3270" s="3">
        <v>85616.17460522</v>
      </c>
      <c r="E3270" s="3">
        <v>29902.1729608125</v>
      </c>
      <c r="F3270" s="3">
        <v>26651.908114677</v>
      </c>
      <c r="G3270" s="3">
        <v>18624.5336617382</v>
      </c>
      <c r="H3270" s="3">
        <v>-79829.8557072997</v>
      </c>
      <c r="I3270" s="3">
        <v>73711.8673519251</v>
      </c>
      <c r="J3270" s="3" t="s">
        <v>57</v>
      </c>
      <c r="K3270" s="3">
        <v>15.0</v>
      </c>
      <c r="L3270" s="3" t="s">
        <v>21</v>
      </c>
    </row>
    <row r="3271" ht="15.75" customHeight="1">
      <c r="A3271" s="3" t="s">
        <v>3358</v>
      </c>
      <c r="B3271" s="3" t="s">
        <v>13</v>
      </c>
      <c r="C3271" s="3" t="s">
        <v>14</v>
      </c>
      <c r="D3271" s="3">
        <v>85627.0575751262</v>
      </c>
      <c r="E3271" s="3">
        <v>29906.7876791399</v>
      </c>
      <c r="F3271" s="3">
        <v>26659.5881181065</v>
      </c>
      <c r="G3271" s="3">
        <v>18627.9312124255</v>
      </c>
      <c r="H3271" s="3">
        <v>-79879.3594250487</v>
      </c>
      <c r="I3271" s="3">
        <v>73714.7126208876</v>
      </c>
      <c r="J3271" s="3" t="s">
        <v>1062</v>
      </c>
      <c r="K3271" s="3">
        <v>7.0</v>
      </c>
      <c r="L3271" s="3" t="s">
        <v>19</v>
      </c>
    </row>
    <row r="3272" ht="15.75" customHeight="1">
      <c r="A3272" s="3" t="s">
        <v>3359</v>
      </c>
      <c r="B3272" s="3" t="s">
        <v>53</v>
      </c>
      <c r="C3272" s="3" t="s">
        <v>30</v>
      </c>
      <c r="D3272" s="3">
        <v>85637.9405450324</v>
      </c>
      <c r="E3272" s="3">
        <v>29911.4023974673</v>
      </c>
      <c r="F3272" s="3">
        <v>26667.268121536</v>
      </c>
      <c r="G3272" s="3">
        <v>18631.3287631127</v>
      </c>
      <c r="H3272" s="3">
        <v>-79928.8631427977</v>
      </c>
      <c r="I3272" s="3">
        <v>73717.5578898501</v>
      </c>
      <c r="J3272" s="3" t="s">
        <v>1014</v>
      </c>
      <c r="K3272" s="3">
        <v>3.0</v>
      </c>
      <c r="L3272" s="3" t="s">
        <v>31</v>
      </c>
    </row>
    <row r="3273" ht="15.75" customHeight="1">
      <c r="A3273" s="3" t="s">
        <v>3360</v>
      </c>
      <c r="B3273" s="3" t="s">
        <v>29</v>
      </c>
      <c r="C3273" s="3" t="s">
        <v>18</v>
      </c>
      <c r="D3273" s="3">
        <v>85648.8235149386</v>
      </c>
      <c r="E3273" s="3">
        <v>29916.0171157947</v>
      </c>
      <c r="F3273" s="3">
        <v>26674.9481249655</v>
      </c>
      <c r="G3273" s="3">
        <v>18634.7263138</v>
      </c>
      <c r="H3273" s="3">
        <v>-79978.3668605467</v>
      </c>
      <c r="I3273" s="3">
        <v>73720.4031588126</v>
      </c>
      <c r="J3273" s="3" t="s">
        <v>1016</v>
      </c>
      <c r="K3273" s="3">
        <v>14.0</v>
      </c>
      <c r="L3273" s="3" t="s">
        <v>19</v>
      </c>
    </row>
    <row r="3274" ht="15.75" customHeight="1">
      <c r="A3274" s="3" t="s">
        <v>3361</v>
      </c>
      <c r="B3274" s="3" t="s">
        <v>36</v>
      </c>
      <c r="C3274" s="3" t="s">
        <v>37</v>
      </c>
      <c r="D3274" s="3">
        <v>85659.7064848448</v>
      </c>
      <c r="E3274" s="3">
        <v>29920.6318341222</v>
      </c>
      <c r="F3274" s="3">
        <v>26682.628128395</v>
      </c>
      <c r="G3274" s="5"/>
      <c r="H3274" s="3">
        <v>-80027.8705782957</v>
      </c>
      <c r="I3274" s="3">
        <v>73723.248427775</v>
      </c>
      <c r="J3274" s="3" t="s">
        <v>1034</v>
      </c>
      <c r="K3274" s="3">
        <v>2.0</v>
      </c>
      <c r="L3274" s="3" t="s">
        <v>40</v>
      </c>
    </row>
    <row r="3275" ht="15.75" customHeight="1">
      <c r="A3275" s="3" t="s">
        <v>3362</v>
      </c>
      <c r="B3275" s="3" t="s">
        <v>25</v>
      </c>
      <c r="C3275" s="3" t="s">
        <v>18</v>
      </c>
      <c r="D3275" s="3">
        <v>85670.589454751</v>
      </c>
      <c r="E3275" s="3">
        <v>29925.2465524496</v>
      </c>
      <c r="F3275" s="3">
        <v>26690.3081318245</v>
      </c>
      <c r="G3275" s="3">
        <v>18641.5214151746</v>
      </c>
      <c r="H3275" s="3">
        <v>-80077.3742960457</v>
      </c>
      <c r="I3275" s="3">
        <v>73726.0936967375</v>
      </c>
      <c r="J3275" s="3" t="s">
        <v>1042</v>
      </c>
      <c r="K3275" s="3">
        <v>15.0</v>
      </c>
      <c r="L3275" s="3" t="s">
        <v>21</v>
      </c>
    </row>
    <row r="3276" ht="15.75" customHeight="1">
      <c r="A3276" s="3" t="s">
        <v>3363</v>
      </c>
      <c r="B3276" s="3" t="s">
        <v>13</v>
      </c>
      <c r="C3276" s="3" t="s">
        <v>33</v>
      </c>
      <c r="D3276" s="3">
        <v>85681.4724246572</v>
      </c>
      <c r="E3276" s="3">
        <v>29929.861270777</v>
      </c>
      <c r="F3276" s="3">
        <v>26697.988135254</v>
      </c>
      <c r="G3276" s="3">
        <v>18644.9189658619</v>
      </c>
      <c r="H3276" s="3">
        <v>-80126.8780137947</v>
      </c>
      <c r="I3276" s="3">
        <v>73728.9389657</v>
      </c>
      <c r="J3276" s="3" t="s">
        <v>1018</v>
      </c>
      <c r="K3276" s="3">
        <v>7.0</v>
      </c>
      <c r="L3276" s="3" t="s">
        <v>34</v>
      </c>
    </row>
    <row r="3277" ht="15.75" customHeight="1">
      <c r="A3277" s="3" t="s">
        <v>3364</v>
      </c>
      <c r="B3277" s="3" t="s">
        <v>36</v>
      </c>
      <c r="C3277" s="3" t="s">
        <v>33</v>
      </c>
      <c r="D3277" s="3">
        <v>85692.3553945634</v>
      </c>
      <c r="E3277" s="3">
        <v>29934.4759891044</v>
      </c>
      <c r="F3277" s="3">
        <v>26705.6681386835</v>
      </c>
      <c r="G3277" s="3">
        <v>18648.3165165492</v>
      </c>
      <c r="H3277" s="3">
        <v>-80176.3817315437</v>
      </c>
      <c r="I3277" s="3">
        <v>73731.7842346625</v>
      </c>
      <c r="J3277" s="3" t="s">
        <v>1031</v>
      </c>
      <c r="K3277" s="3">
        <v>8.0</v>
      </c>
      <c r="L3277" s="3" t="s">
        <v>15</v>
      </c>
    </row>
    <row r="3278" ht="15.75" customHeight="1">
      <c r="A3278" s="3" t="s">
        <v>3365</v>
      </c>
      <c r="B3278" s="3" t="s">
        <v>29</v>
      </c>
      <c r="C3278" s="3" t="s">
        <v>14</v>
      </c>
      <c r="D3278" s="3">
        <v>85703.2383644696</v>
      </c>
      <c r="E3278" s="3">
        <v>29939.0907074318</v>
      </c>
      <c r="F3278" s="3">
        <v>26713.348142113</v>
      </c>
      <c r="G3278" s="3">
        <v>18651.7140672365</v>
      </c>
      <c r="H3278" s="3">
        <v>-80225.8854492927</v>
      </c>
      <c r="I3278" s="3">
        <v>73734.629503625</v>
      </c>
      <c r="J3278" s="3" t="s">
        <v>1042</v>
      </c>
      <c r="K3278" s="3">
        <v>18.0</v>
      </c>
      <c r="L3278" s="3" t="s">
        <v>34</v>
      </c>
    </row>
    <row r="3279" ht="15.75" customHeight="1">
      <c r="A3279" s="3" t="s">
        <v>3366</v>
      </c>
      <c r="B3279" s="3" t="s">
        <v>51</v>
      </c>
      <c r="C3279" s="3" t="s">
        <v>37</v>
      </c>
      <c r="D3279" s="3">
        <v>85714.1213343758</v>
      </c>
      <c r="E3279" s="3">
        <v>29943.7054257593</v>
      </c>
      <c r="F3279" s="3">
        <v>26721.0281455425</v>
      </c>
      <c r="G3279" s="3">
        <v>18655.1116179237</v>
      </c>
      <c r="H3279" s="3">
        <v>-80275.3891670417</v>
      </c>
      <c r="I3279" s="3">
        <v>73737.4747725874</v>
      </c>
      <c r="J3279" s="3" t="s">
        <v>1031</v>
      </c>
      <c r="K3279" s="3">
        <v>22.0</v>
      </c>
      <c r="L3279" s="3" t="s">
        <v>40</v>
      </c>
    </row>
    <row r="3280" ht="15.75" customHeight="1">
      <c r="A3280" s="3" t="s">
        <v>3367</v>
      </c>
      <c r="B3280" s="3" t="s">
        <v>53</v>
      </c>
      <c r="C3280" s="3" t="s">
        <v>14</v>
      </c>
      <c r="D3280" s="3">
        <v>85725.004304282</v>
      </c>
      <c r="E3280" s="3">
        <v>29948.3201440867</v>
      </c>
      <c r="F3280" s="3">
        <v>26728.708148972</v>
      </c>
      <c r="G3280" s="3">
        <v>18658.509168611</v>
      </c>
      <c r="H3280" s="3">
        <v>-80324.8928847907</v>
      </c>
      <c r="I3280" s="3">
        <v>73740.3200415499</v>
      </c>
      <c r="J3280" s="3" t="s">
        <v>1034</v>
      </c>
      <c r="K3280" s="3">
        <v>13.0</v>
      </c>
      <c r="L3280" s="3" t="s">
        <v>40</v>
      </c>
    </row>
    <row r="3281" ht="15.75" customHeight="1">
      <c r="A3281" s="3" t="s">
        <v>3368</v>
      </c>
      <c r="B3281" s="3" t="s">
        <v>29</v>
      </c>
      <c r="C3281" s="3" t="s">
        <v>26</v>
      </c>
      <c r="D3281" s="3">
        <v>85735.8872741881</v>
      </c>
      <c r="E3281" s="3">
        <v>29952.9348624141</v>
      </c>
      <c r="F3281" s="3">
        <v>26736.3881524015</v>
      </c>
      <c r="G3281" s="3">
        <v>18661.9067192983</v>
      </c>
      <c r="H3281" s="3">
        <v>-80374.3966025397</v>
      </c>
      <c r="I3281" s="3">
        <v>73743.1653105124</v>
      </c>
      <c r="J3281" s="3" t="s">
        <v>1026</v>
      </c>
      <c r="K3281" s="3">
        <v>19.0</v>
      </c>
      <c r="L3281" s="3" t="s">
        <v>40</v>
      </c>
    </row>
    <row r="3282" ht="15.75" customHeight="1">
      <c r="A3282" s="3" t="s">
        <v>3369</v>
      </c>
      <c r="B3282" s="3" t="s">
        <v>13</v>
      </c>
      <c r="C3282" s="3" t="s">
        <v>18</v>
      </c>
      <c r="D3282" s="3">
        <v>85746.7702440943</v>
      </c>
      <c r="E3282" s="3">
        <v>29957.5495807415</v>
      </c>
      <c r="F3282" s="3">
        <v>26744.068155831</v>
      </c>
      <c r="G3282" s="3">
        <v>18665.3042699856</v>
      </c>
      <c r="H3282" s="3">
        <v>-80423.9003202887</v>
      </c>
      <c r="I3282" s="3">
        <v>73746.0105794749</v>
      </c>
      <c r="J3282" s="3" t="s">
        <v>1012</v>
      </c>
      <c r="K3282" s="3">
        <v>5.0</v>
      </c>
      <c r="L3282" s="3" t="s">
        <v>38</v>
      </c>
    </row>
    <row r="3283" ht="15.75" customHeight="1">
      <c r="A3283" s="3" t="s">
        <v>3370</v>
      </c>
      <c r="B3283" s="3" t="s">
        <v>51</v>
      </c>
      <c r="C3283" s="3" t="s">
        <v>30</v>
      </c>
      <c r="D3283" s="3">
        <v>85757.6532140005</v>
      </c>
      <c r="E3283" s="3">
        <v>29962.164299069</v>
      </c>
      <c r="F3283" s="3">
        <v>26751.7481592605</v>
      </c>
      <c r="G3283" s="3">
        <v>18668.7018206729</v>
      </c>
      <c r="H3283" s="3">
        <v>-80473.4040380387</v>
      </c>
      <c r="I3283" s="3">
        <v>73748.8558484374</v>
      </c>
      <c r="J3283" s="3" t="s">
        <v>1062</v>
      </c>
      <c r="K3283" s="3">
        <v>14.0</v>
      </c>
      <c r="L3283" s="3" t="s">
        <v>19</v>
      </c>
    </row>
    <row r="3284" ht="15.75" customHeight="1">
      <c r="A3284" s="3" t="s">
        <v>3371</v>
      </c>
      <c r="B3284" s="3" t="s">
        <v>25</v>
      </c>
      <c r="C3284" s="3" t="s">
        <v>14</v>
      </c>
      <c r="D3284" s="3">
        <v>85768.5361839067</v>
      </c>
      <c r="E3284" s="3">
        <v>29966.7790173964</v>
      </c>
      <c r="F3284" s="3">
        <v>26759.42816269</v>
      </c>
      <c r="G3284" s="3">
        <v>18672.0993713602</v>
      </c>
      <c r="H3284" s="3">
        <v>-80522.9077557877</v>
      </c>
      <c r="I3284" s="3">
        <v>73751.7011173998</v>
      </c>
      <c r="J3284" s="3" t="s">
        <v>1031</v>
      </c>
      <c r="K3284" s="3">
        <v>2.0</v>
      </c>
      <c r="L3284" s="3" t="s">
        <v>40</v>
      </c>
    </row>
    <row r="3285" ht="15.75" customHeight="1">
      <c r="A3285" s="3" t="s">
        <v>3372</v>
      </c>
      <c r="B3285" s="3" t="s">
        <v>29</v>
      </c>
      <c r="C3285" s="3" t="s">
        <v>54</v>
      </c>
      <c r="D3285" s="3">
        <v>85790.3021237191</v>
      </c>
      <c r="E3285" s="3">
        <v>29976.0084540512</v>
      </c>
      <c r="F3285" s="3">
        <v>26774.788169549</v>
      </c>
      <c r="G3285" s="3">
        <v>18678.8944727348</v>
      </c>
      <c r="H3285" s="3">
        <v>-80621.9151912857</v>
      </c>
      <c r="I3285" s="3">
        <v>73757.3916553248</v>
      </c>
      <c r="J3285" s="3" t="s">
        <v>1034</v>
      </c>
      <c r="K3285" s="3">
        <v>16.0</v>
      </c>
      <c r="L3285" s="3" t="s">
        <v>40</v>
      </c>
    </row>
    <row r="3286" ht="15.75" customHeight="1">
      <c r="A3286" s="3" t="s">
        <v>3373</v>
      </c>
      <c r="B3286" s="3" t="s">
        <v>51</v>
      </c>
      <c r="C3286" s="3" t="s">
        <v>30</v>
      </c>
      <c r="D3286" s="3">
        <v>85801.1850936253</v>
      </c>
      <c r="E3286" s="3">
        <v>29980.6231723786</v>
      </c>
      <c r="F3286" s="3">
        <v>26782.4681729785</v>
      </c>
      <c r="G3286" s="3">
        <v>18682.292023422</v>
      </c>
      <c r="H3286" s="3">
        <v>-80671.4189090347</v>
      </c>
      <c r="I3286" s="3">
        <v>73760.2369242873</v>
      </c>
      <c r="J3286" s="3" t="s">
        <v>1042</v>
      </c>
      <c r="K3286" s="3">
        <v>2.0</v>
      </c>
      <c r="L3286" s="3" t="s">
        <v>19</v>
      </c>
    </row>
    <row r="3287" ht="15.75" customHeight="1">
      <c r="A3287" s="3" t="s">
        <v>3374</v>
      </c>
      <c r="B3287" s="3" t="s">
        <v>25</v>
      </c>
      <c r="C3287" s="3" t="s">
        <v>26</v>
      </c>
      <c r="D3287" s="3">
        <v>85812.0680635315</v>
      </c>
      <c r="E3287" s="3">
        <v>29985.2378907061</v>
      </c>
      <c r="F3287" s="3">
        <v>26790.148176408</v>
      </c>
      <c r="G3287" s="3">
        <v>18685.6895741093</v>
      </c>
      <c r="H3287" s="3">
        <v>-80720.9226267837</v>
      </c>
      <c r="I3287" s="3">
        <v>73763.0821932498</v>
      </c>
      <c r="J3287" s="3" t="s">
        <v>1021</v>
      </c>
      <c r="K3287" s="3">
        <v>22.0</v>
      </c>
      <c r="L3287" s="3" t="s">
        <v>23</v>
      </c>
    </row>
    <row r="3288" ht="15.75" customHeight="1">
      <c r="A3288" s="3" t="s">
        <v>3375</v>
      </c>
      <c r="B3288" s="3" t="s">
        <v>51</v>
      </c>
      <c r="C3288" s="3" t="s">
        <v>37</v>
      </c>
      <c r="D3288" s="3">
        <v>85822.9510334377</v>
      </c>
      <c r="E3288" s="3">
        <v>29989.8526090335</v>
      </c>
      <c r="F3288" s="3">
        <v>26797.8281798375</v>
      </c>
      <c r="G3288" s="3">
        <v>18689.0871247966</v>
      </c>
      <c r="H3288" s="3">
        <v>-80770.4263445327</v>
      </c>
      <c r="I3288" s="3">
        <v>73765.9274622122</v>
      </c>
      <c r="J3288" s="3" t="s">
        <v>1040</v>
      </c>
      <c r="K3288" s="3">
        <v>13.0</v>
      </c>
      <c r="L3288" s="3" t="s">
        <v>19</v>
      </c>
    </row>
    <row r="3289" ht="15.75" customHeight="1">
      <c r="A3289" s="3" t="s">
        <v>3376</v>
      </c>
      <c r="B3289" s="3" t="s">
        <v>36</v>
      </c>
      <c r="C3289" s="3" t="s">
        <v>54</v>
      </c>
      <c r="D3289" s="3">
        <v>85833.8340033439</v>
      </c>
      <c r="E3289" s="3">
        <v>29994.4673273609</v>
      </c>
      <c r="F3289" s="3">
        <v>26805.508183267</v>
      </c>
      <c r="G3289" s="3">
        <v>18692.4846754839</v>
      </c>
      <c r="H3289" s="3">
        <v>-80819.9300622817</v>
      </c>
      <c r="I3289" s="3">
        <v>73768.7727311747</v>
      </c>
      <c r="J3289" s="3" t="s">
        <v>1023</v>
      </c>
      <c r="K3289" s="3">
        <v>18.0</v>
      </c>
      <c r="L3289" s="3" t="s">
        <v>21</v>
      </c>
    </row>
    <row r="3290" ht="15.75" customHeight="1">
      <c r="A3290" s="3" t="s">
        <v>3377</v>
      </c>
      <c r="B3290" s="3" t="s">
        <v>36</v>
      </c>
      <c r="C3290" s="3" t="s">
        <v>26</v>
      </c>
      <c r="D3290" s="3">
        <v>85844.7169732501</v>
      </c>
      <c r="E3290" s="3">
        <v>29999.0820456883</v>
      </c>
      <c r="F3290" s="3">
        <v>26813.1881866965</v>
      </c>
      <c r="G3290" s="3">
        <v>18695.8822261712</v>
      </c>
      <c r="H3290" s="3">
        <v>-80869.4337800317</v>
      </c>
      <c r="I3290" s="3">
        <v>73771.6180001372</v>
      </c>
      <c r="J3290" s="3" t="s">
        <v>1034</v>
      </c>
      <c r="K3290" s="3">
        <v>16.0</v>
      </c>
      <c r="L3290" s="3" t="s">
        <v>42</v>
      </c>
    </row>
    <row r="3291" ht="15.75" customHeight="1">
      <c r="A3291" s="3" t="s">
        <v>3378</v>
      </c>
      <c r="B3291" s="3" t="s">
        <v>13</v>
      </c>
      <c r="C3291" s="3" t="s">
        <v>26</v>
      </c>
      <c r="D3291" s="3">
        <v>85855.5999431563</v>
      </c>
      <c r="E3291" s="3">
        <v>30003.6967640157</v>
      </c>
      <c r="F3291" s="3">
        <v>26820.868190126</v>
      </c>
      <c r="G3291" s="3">
        <v>18699.2797768585</v>
      </c>
      <c r="H3291" s="3">
        <v>-80918.9374977807</v>
      </c>
      <c r="I3291" s="3">
        <v>73774.4632690997</v>
      </c>
      <c r="J3291" s="3" t="s">
        <v>1023</v>
      </c>
      <c r="K3291" s="3">
        <v>8.0</v>
      </c>
      <c r="L3291" s="3" t="s">
        <v>21</v>
      </c>
    </row>
    <row r="3292" ht="15.75" customHeight="1">
      <c r="A3292" s="3" t="s">
        <v>3379</v>
      </c>
      <c r="B3292" s="3" t="s">
        <v>29</v>
      </c>
      <c r="C3292" s="3" t="s">
        <v>18</v>
      </c>
      <c r="D3292" s="3">
        <v>85866.4829130625</v>
      </c>
      <c r="E3292" s="3">
        <v>30008.3114823432</v>
      </c>
      <c r="F3292" s="3">
        <v>26828.5481935555</v>
      </c>
      <c r="G3292" s="3">
        <v>18702.6773275458</v>
      </c>
      <c r="H3292" s="3">
        <v>-80968.4412155297</v>
      </c>
      <c r="I3292" s="3">
        <v>73777.3085380621</v>
      </c>
      <c r="J3292" s="3" t="s">
        <v>1012</v>
      </c>
      <c r="K3292" s="3">
        <v>13.0</v>
      </c>
      <c r="L3292" s="3" t="s">
        <v>15</v>
      </c>
    </row>
    <row r="3293" ht="15.75" customHeight="1">
      <c r="A3293" s="3" t="s">
        <v>3380</v>
      </c>
      <c r="B3293" s="3" t="s">
        <v>53</v>
      </c>
      <c r="C3293" s="3" t="s">
        <v>37</v>
      </c>
      <c r="D3293" s="3">
        <v>85877.3658829687</v>
      </c>
      <c r="E3293" s="3">
        <v>30012.9262006706</v>
      </c>
      <c r="F3293" s="3">
        <v>26836.228196985</v>
      </c>
      <c r="G3293" s="3">
        <v>18706.0748782331</v>
      </c>
      <c r="H3293" s="3">
        <v>-81017.9449332787</v>
      </c>
      <c r="I3293" s="3">
        <v>73780.1538070246</v>
      </c>
      <c r="J3293" s="3" t="s">
        <v>1042</v>
      </c>
      <c r="K3293" s="3">
        <v>18.0</v>
      </c>
      <c r="L3293" s="3" t="s">
        <v>40</v>
      </c>
    </row>
    <row r="3294" ht="15.75" customHeight="1">
      <c r="A3294" s="3" t="s">
        <v>3381</v>
      </c>
      <c r="B3294" s="3" t="s">
        <v>17</v>
      </c>
      <c r="C3294" s="3" t="s">
        <v>37</v>
      </c>
      <c r="D3294" s="3">
        <v>85888.2488528749</v>
      </c>
      <c r="E3294" s="3">
        <v>30017.540918998</v>
      </c>
      <c r="F3294" s="3">
        <v>26843.9082004145</v>
      </c>
      <c r="G3294" s="3">
        <v>18709.4724289203</v>
      </c>
      <c r="H3294" s="3">
        <v>-81067.4486510277</v>
      </c>
      <c r="I3294" s="3">
        <v>73782.9990759871</v>
      </c>
      <c r="J3294" s="3" t="s">
        <v>1012</v>
      </c>
      <c r="K3294" s="3">
        <v>11.0</v>
      </c>
      <c r="L3294" s="3" t="s">
        <v>38</v>
      </c>
    </row>
    <row r="3295" ht="15.75" customHeight="1">
      <c r="A3295" s="3" t="s">
        <v>3382</v>
      </c>
      <c r="B3295" s="3" t="s">
        <v>29</v>
      </c>
      <c r="C3295" s="3" t="s">
        <v>14</v>
      </c>
      <c r="D3295" s="3">
        <v>85899.131822781</v>
      </c>
      <c r="E3295" s="3">
        <v>30022.1556373254</v>
      </c>
      <c r="F3295" s="3">
        <v>26851.588203844</v>
      </c>
      <c r="G3295" s="3">
        <v>18712.8699796076</v>
      </c>
      <c r="H3295" s="3">
        <v>-81116.9523687767</v>
      </c>
      <c r="I3295" s="3">
        <v>73785.8443449496</v>
      </c>
      <c r="J3295" s="3" t="s">
        <v>1012</v>
      </c>
      <c r="K3295" s="3">
        <v>15.0</v>
      </c>
      <c r="L3295" s="3" t="s">
        <v>31</v>
      </c>
    </row>
    <row r="3296" ht="15.75" customHeight="1">
      <c r="A3296" s="3" t="s">
        <v>3383</v>
      </c>
      <c r="B3296" s="3" t="s">
        <v>51</v>
      </c>
      <c r="C3296" s="3" t="s">
        <v>18</v>
      </c>
      <c r="D3296" s="3">
        <v>85910.0147926872</v>
      </c>
      <c r="E3296" s="3">
        <v>30026.7703556529</v>
      </c>
      <c r="F3296" s="3">
        <v>26859.2682072735</v>
      </c>
      <c r="G3296" s="3">
        <v>18716.2675302949</v>
      </c>
      <c r="H3296" s="3">
        <v>-81166.4560865257</v>
      </c>
      <c r="I3296" s="3">
        <v>73788.6896139121</v>
      </c>
      <c r="J3296" s="3" t="s">
        <v>1023</v>
      </c>
      <c r="K3296" s="3">
        <v>17.0</v>
      </c>
      <c r="L3296" s="3" t="s">
        <v>19</v>
      </c>
    </row>
    <row r="3297" ht="15.75" customHeight="1">
      <c r="A3297" s="3" t="s">
        <v>3384</v>
      </c>
      <c r="B3297" s="3" t="s">
        <v>13</v>
      </c>
      <c r="C3297" s="3" t="s">
        <v>33</v>
      </c>
      <c r="D3297" s="3">
        <v>85920.8977625934</v>
      </c>
      <c r="E3297" s="3">
        <v>30031.3850739803</v>
      </c>
      <c r="F3297" s="3">
        <v>26866.948210703</v>
      </c>
      <c r="G3297" s="3">
        <v>18719.6650809822</v>
      </c>
      <c r="H3297" s="3">
        <v>-81215.9598042747</v>
      </c>
      <c r="I3297" s="3">
        <v>73791.5348828745</v>
      </c>
      <c r="J3297" s="3" t="s">
        <v>1018</v>
      </c>
      <c r="K3297" s="3">
        <v>5.0</v>
      </c>
      <c r="L3297" s="3" t="s">
        <v>15</v>
      </c>
    </row>
    <row r="3298" ht="15.75" customHeight="1">
      <c r="A3298" s="3" t="s">
        <v>3385</v>
      </c>
      <c r="B3298" s="3" t="s">
        <v>13</v>
      </c>
      <c r="C3298" s="3" t="s">
        <v>37</v>
      </c>
      <c r="D3298" s="3">
        <v>85931.7807324996</v>
      </c>
      <c r="E3298" s="3">
        <v>30035.9997923077</v>
      </c>
      <c r="F3298" s="3">
        <v>26874.6282141325</v>
      </c>
      <c r="G3298" s="3">
        <v>18723.0626316695</v>
      </c>
      <c r="H3298" s="3">
        <v>-81265.4635220247</v>
      </c>
      <c r="I3298" s="3">
        <v>73794.380151837</v>
      </c>
      <c r="J3298" s="3" t="s">
        <v>1040</v>
      </c>
      <c r="K3298" s="3">
        <v>24.0</v>
      </c>
      <c r="L3298" s="3" t="s">
        <v>21</v>
      </c>
    </row>
    <row r="3299" ht="15.75" customHeight="1">
      <c r="A3299" s="3" t="s">
        <v>3386</v>
      </c>
      <c r="B3299" s="3" t="s">
        <v>17</v>
      </c>
      <c r="C3299" s="3" t="s">
        <v>14</v>
      </c>
      <c r="D3299" s="3">
        <v>85942.6637024058</v>
      </c>
      <c r="E3299" s="3">
        <v>30040.6145106351</v>
      </c>
      <c r="F3299" s="3">
        <v>26882.3082175619</v>
      </c>
      <c r="G3299" s="3">
        <v>18726.4601823568</v>
      </c>
      <c r="H3299" s="3">
        <v>-81314.9672397737</v>
      </c>
      <c r="I3299" s="3">
        <v>73797.2254207995</v>
      </c>
      <c r="J3299" s="3" t="s">
        <v>1012</v>
      </c>
      <c r="K3299" s="3">
        <v>20.0</v>
      </c>
      <c r="L3299" s="3" t="s">
        <v>42</v>
      </c>
    </row>
    <row r="3300" ht="15.75" customHeight="1">
      <c r="A3300" s="3" t="s">
        <v>3387</v>
      </c>
      <c r="B3300" s="3" t="s">
        <v>25</v>
      </c>
      <c r="C3300" s="3" t="s">
        <v>30</v>
      </c>
      <c r="D3300" s="3">
        <v>85953.546672312</v>
      </c>
      <c r="E3300" s="3">
        <v>30045.2292289625</v>
      </c>
      <c r="F3300" s="3">
        <v>26889.9882209914</v>
      </c>
      <c r="G3300" s="3">
        <v>18729.8577330441</v>
      </c>
      <c r="H3300" s="3">
        <v>-81364.4709575227</v>
      </c>
      <c r="I3300" s="3">
        <v>73800.070689762</v>
      </c>
      <c r="J3300" s="3" t="s">
        <v>1042</v>
      </c>
      <c r="K3300" s="3">
        <v>2.0</v>
      </c>
      <c r="L3300" s="3" t="s">
        <v>23</v>
      </c>
    </row>
    <row r="3301" ht="15.75" customHeight="1">
      <c r="A3301" s="3" t="s">
        <v>3388</v>
      </c>
      <c r="B3301" s="3" t="s">
        <v>51</v>
      </c>
      <c r="C3301" s="3" t="s">
        <v>33</v>
      </c>
      <c r="D3301" s="3">
        <v>85964.4296422182</v>
      </c>
      <c r="E3301" s="3">
        <v>30049.84394729</v>
      </c>
      <c r="F3301" s="3">
        <v>26897.6682244209</v>
      </c>
      <c r="G3301" s="3">
        <v>18733.2552837314</v>
      </c>
      <c r="H3301" s="3">
        <v>-81413.9746752717</v>
      </c>
      <c r="I3301" s="3">
        <v>73802.9159587245</v>
      </c>
      <c r="J3301" s="3" t="s">
        <v>1023</v>
      </c>
      <c r="K3301" s="3">
        <v>23.0</v>
      </c>
      <c r="L3301" s="3" t="s">
        <v>21</v>
      </c>
    </row>
    <row r="3302" ht="15.75" customHeight="1">
      <c r="A3302" s="3" t="s">
        <v>3389</v>
      </c>
      <c r="B3302" s="3" t="s">
        <v>51</v>
      </c>
      <c r="C3302" s="3" t="s">
        <v>26</v>
      </c>
      <c r="D3302" s="3">
        <v>85975.3126121244</v>
      </c>
      <c r="E3302" s="3">
        <v>30054.4586656174</v>
      </c>
      <c r="F3302" s="3">
        <v>26905.3482278504</v>
      </c>
      <c r="G3302" s="3">
        <v>18736.6528344186</v>
      </c>
      <c r="H3302" s="3">
        <v>-81463.4783930207</v>
      </c>
      <c r="I3302" s="3">
        <v>73805.7612276869</v>
      </c>
      <c r="J3302" s="3" t="s">
        <v>1023</v>
      </c>
      <c r="K3302" s="3">
        <v>16.0</v>
      </c>
      <c r="L3302" s="3" t="s">
        <v>19</v>
      </c>
    </row>
    <row r="3303" ht="15.75" customHeight="1">
      <c r="A3303" s="3" t="s">
        <v>3390</v>
      </c>
      <c r="B3303" s="3" t="s">
        <v>13</v>
      </c>
      <c r="C3303" s="3" t="s">
        <v>18</v>
      </c>
      <c r="D3303" s="5"/>
      <c r="E3303" s="3">
        <v>30059.0733839448</v>
      </c>
      <c r="F3303" s="3">
        <v>26913.0282312799</v>
      </c>
      <c r="G3303" s="3">
        <v>18740.0503851059</v>
      </c>
      <c r="H3303" s="3">
        <v>-81512.9821107697</v>
      </c>
      <c r="I3303" s="3">
        <v>73808.6064966494</v>
      </c>
      <c r="J3303" s="3" t="s">
        <v>1012</v>
      </c>
      <c r="K3303" s="3">
        <v>16.0</v>
      </c>
      <c r="L3303" s="3" t="s">
        <v>40</v>
      </c>
    </row>
    <row r="3304" ht="15.75" customHeight="1">
      <c r="A3304" s="3" t="s">
        <v>3391</v>
      </c>
      <c r="B3304" s="3" t="s">
        <v>53</v>
      </c>
      <c r="C3304" s="3" t="s">
        <v>33</v>
      </c>
      <c r="D3304" s="3">
        <v>85997.0785519368</v>
      </c>
      <c r="E3304" s="3">
        <v>30063.6881022722</v>
      </c>
      <c r="F3304" s="3">
        <v>26920.7082347094</v>
      </c>
      <c r="G3304" s="3">
        <v>18743.4479357932</v>
      </c>
      <c r="H3304" s="3">
        <v>-81562.4858285187</v>
      </c>
      <c r="I3304" s="3">
        <v>73811.4517656119</v>
      </c>
      <c r="J3304" s="3" t="s">
        <v>1042</v>
      </c>
      <c r="K3304" s="3">
        <v>7.0</v>
      </c>
      <c r="L3304" s="3" t="s">
        <v>27</v>
      </c>
    </row>
    <row r="3305" ht="15.75" customHeight="1">
      <c r="A3305" s="3" t="s">
        <v>3392</v>
      </c>
      <c r="B3305" s="3" t="s">
        <v>13</v>
      </c>
      <c r="C3305" s="3" t="s">
        <v>18</v>
      </c>
      <c r="D3305" s="3">
        <v>86007.961521843</v>
      </c>
      <c r="E3305" s="3">
        <v>30068.3028205997</v>
      </c>
      <c r="F3305" s="3">
        <v>26928.3882381389</v>
      </c>
      <c r="G3305" s="3">
        <v>18746.8454864805</v>
      </c>
      <c r="H3305" s="3">
        <v>-81611.9895462677</v>
      </c>
      <c r="I3305" s="3">
        <v>73814.2970345744</v>
      </c>
      <c r="J3305" s="3" t="s">
        <v>1034</v>
      </c>
      <c r="K3305" s="3">
        <v>1.0</v>
      </c>
      <c r="L3305" s="3" t="s">
        <v>15</v>
      </c>
    </row>
    <row r="3306" ht="15.75" customHeight="1">
      <c r="A3306" s="3" t="s">
        <v>3393</v>
      </c>
      <c r="B3306" s="3" t="s">
        <v>17</v>
      </c>
      <c r="C3306" s="3" t="s">
        <v>18</v>
      </c>
      <c r="D3306" s="3">
        <v>86018.8444917492</v>
      </c>
      <c r="E3306" s="3">
        <v>30072.9175389271</v>
      </c>
      <c r="F3306" s="3">
        <v>26936.0682415684</v>
      </c>
      <c r="G3306" s="3">
        <v>18750.2430371678</v>
      </c>
      <c r="H3306" s="3">
        <v>-81661.4932640177</v>
      </c>
      <c r="I3306" s="3">
        <v>73817.1423035368</v>
      </c>
      <c r="J3306" s="3" t="s">
        <v>1014</v>
      </c>
      <c r="K3306" s="3">
        <v>3.0</v>
      </c>
      <c r="L3306" s="3" t="s">
        <v>19</v>
      </c>
    </row>
    <row r="3307" ht="15.75" customHeight="1">
      <c r="A3307" s="3" t="s">
        <v>3394</v>
      </c>
      <c r="B3307" s="3" t="s">
        <v>53</v>
      </c>
      <c r="C3307" s="3" t="s">
        <v>54</v>
      </c>
      <c r="D3307" s="3">
        <v>86029.7274616554</v>
      </c>
      <c r="E3307" s="3">
        <v>30077.5322572545</v>
      </c>
      <c r="F3307" s="3">
        <v>26943.7482449979</v>
      </c>
      <c r="G3307" s="3">
        <v>18753.6405878551</v>
      </c>
      <c r="H3307" s="3">
        <v>-81710.9969817667</v>
      </c>
      <c r="I3307" s="3">
        <v>73819.9875724993</v>
      </c>
      <c r="J3307" s="3" t="s">
        <v>1021</v>
      </c>
      <c r="K3307" s="3">
        <v>2.0</v>
      </c>
      <c r="L3307" s="3" t="s">
        <v>19</v>
      </c>
    </row>
    <row r="3308" ht="15.75" customHeight="1">
      <c r="A3308" s="3" t="s">
        <v>3395</v>
      </c>
      <c r="B3308" s="3" t="s">
        <v>53</v>
      </c>
      <c r="C3308" s="3" t="s">
        <v>33</v>
      </c>
      <c r="D3308" s="3">
        <v>86040.6104315616</v>
      </c>
      <c r="E3308" s="3">
        <v>30082.1469755819</v>
      </c>
      <c r="F3308" s="3">
        <v>26951.4282484274</v>
      </c>
      <c r="G3308" s="3">
        <v>18757.0381385424</v>
      </c>
      <c r="H3308" s="3">
        <v>-81760.5006995157</v>
      </c>
      <c r="I3308" s="3">
        <v>73822.8328414618</v>
      </c>
      <c r="J3308" s="3" t="s">
        <v>1034</v>
      </c>
      <c r="K3308" s="3">
        <v>18.0</v>
      </c>
      <c r="L3308" s="3" t="s">
        <v>40</v>
      </c>
    </row>
    <row r="3309" ht="15.75" customHeight="1">
      <c r="A3309" s="3" t="s">
        <v>3396</v>
      </c>
      <c r="B3309" s="3" t="s">
        <v>25</v>
      </c>
      <c r="C3309" s="3" t="s">
        <v>33</v>
      </c>
      <c r="D3309" s="3">
        <v>86051.4934014678</v>
      </c>
      <c r="E3309" s="3">
        <v>30086.7616939093</v>
      </c>
      <c r="F3309" s="3">
        <v>26959.1082518569</v>
      </c>
      <c r="G3309" s="3">
        <v>18760.4356892296</v>
      </c>
      <c r="H3309" s="3">
        <v>-81810.0044172647</v>
      </c>
      <c r="I3309" s="3">
        <v>73825.6781104243</v>
      </c>
      <c r="J3309" s="3" t="s">
        <v>1026</v>
      </c>
      <c r="K3309" s="3">
        <v>12.0</v>
      </c>
      <c r="L3309" s="3" t="s">
        <v>27</v>
      </c>
    </row>
    <row r="3310" ht="15.75" customHeight="1">
      <c r="A3310" s="3" t="s">
        <v>3397</v>
      </c>
      <c r="B3310" s="3" t="s">
        <v>17</v>
      </c>
      <c r="C3310" s="3" t="s">
        <v>18</v>
      </c>
      <c r="D3310" s="3">
        <v>86062.3763713739</v>
      </c>
      <c r="E3310" s="3">
        <v>30091.3764122368</v>
      </c>
      <c r="F3310" s="3">
        <v>26966.7882552864</v>
      </c>
      <c r="G3310" s="3">
        <v>18763.8332399169</v>
      </c>
      <c r="H3310" s="3">
        <v>-81859.5081350137</v>
      </c>
      <c r="I3310" s="3">
        <v>73828.5233793868</v>
      </c>
      <c r="J3310" s="3" t="s">
        <v>1040</v>
      </c>
      <c r="K3310" s="3">
        <v>7.0</v>
      </c>
      <c r="L3310" s="3" t="s">
        <v>31</v>
      </c>
    </row>
    <row r="3311" ht="15.75" customHeight="1">
      <c r="A3311" s="3" t="s">
        <v>3398</v>
      </c>
      <c r="B3311" s="3" t="s">
        <v>25</v>
      </c>
      <c r="C3311" s="3" t="s">
        <v>26</v>
      </c>
      <c r="D3311" s="3">
        <v>86073.2593412801</v>
      </c>
      <c r="E3311" s="3">
        <v>30095.9911305642</v>
      </c>
      <c r="F3311" s="3">
        <v>26974.4682587159</v>
      </c>
      <c r="G3311" s="3">
        <v>18767.2307906042</v>
      </c>
      <c r="H3311" s="3">
        <v>-81909.0118527627</v>
      </c>
      <c r="I3311" s="3">
        <v>73831.3686483492</v>
      </c>
      <c r="J3311" s="3" t="s">
        <v>1023</v>
      </c>
      <c r="K3311" s="3">
        <v>15.0</v>
      </c>
      <c r="L3311" s="3" t="s">
        <v>40</v>
      </c>
    </row>
    <row r="3312" ht="15.75" customHeight="1">
      <c r="A3312" s="3" t="s">
        <v>3399</v>
      </c>
      <c r="B3312" s="3" t="s">
        <v>53</v>
      </c>
      <c r="C3312" s="3" t="s">
        <v>18</v>
      </c>
      <c r="D3312" s="3">
        <v>86084.1423111863</v>
      </c>
      <c r="E3312" s="3">
        <v>30100.6058488916</v>
      </c>
      <c r="F3312" s="3">
        <v>26982.1482621454</v>
      </c>
      <c r="G3312" s="3">
        <v>18770.6283412915</v>
      </c>
      <c r="H3312" s="3">
        <v>-81958.5155705117</v>
      </c>
      <c r="I3312" s="3">
        <v>73834.2139173117</v>
      </c>
      <c r="J3312" s="3" t="s">
        <v>1034</v>
      </c>
      <c r="K3312" s="3">
        <v>12.0</v>
      </c>
      <c r="L3312" s="3" t="s">
        <v>21</v>
      </c>
    </row>
    <row r="3313" ht="15.75" customHeight="1">
      <c r="A3313" s="3" t="s">
        <v>3400</v>
      </c>
      <c r="B3313" s="3" t="s">
        <v>36</v>
      </c>
      <c r="C3313" s="3" t="s">
        <v>18</v>
      </c>
      <c r="D3313" s="3">
        <v>86095.0252810925</v>
      </c>
      <c r="E3313" s="3">
        <v>30105.220567219</v>
      </c>
      <c r="F3313" s="3">
        <v>26989.8282655749</v>
      </c>
      <c r="G3313" s="3">
        <v>18774.0258919788</v>
      </c>
      <c r="H3313" s="3">
        <v>-82008.0192882607</v>
      </c>
      <c r="I3313" s="3">
        <v>73837.0591862742</v>
      </c>
      <c r="J3313" s="3" t="s">
        <v>1034</v>
      </c>
      <c r="K3313" s="3">
        <v>3.0</v>
      </c>
      <c r="L3313" s="3" t="s">
        <v>34</v>
      </c>
    </row>
    <row r="3314" ht="15.75" customHeight="1">
      <c r="A3314" s="3" t="s">
        <v>3401</v>
      </c>
      <c r="B3314" s="3" t="s">
        <v>25</v>
      </c>
      <c r="C3314" s="3" t="s">
        <v>30</v>
      </c>
      <c r="D3314" s="3">
        <v>86105.9082509987</v>
      </c>
      <c r="E3314" s="3">
        <v>30109.8352855465</v>
      </c>
      <c r="F3314" s="3">
        <v>26997.5082690044</v>
      </c>
      <c r="G3314" s="3">
        <v>18777.4234426661</v>
      </c>
      <c r="H3314" s="3">
        <v>-82057.5230060107</v>
      </c>
      <c r="I3314" s="3">
        <v>73839.9044552367</v>
      </c>
      <c r="J3314" s="3" t="s">
        <v>1021</v>
      </c>
      <c r="K3314" s="3">
        <v>3.0</v>
      </c>
      <c r="L3314" s="3" t="s">
        <v>15</v>
      </c>
    </row>
    <row r="3315" ht="15.75" customHeight="1">
      <c r="A3315" s="3" t="s">
        <v>3402</v>
      </c>
      <c r="B3315" s="3" t="s">
        <v>13</v>
      </c>
      <c r="C3315" s="3" t="s">
        <v>30</v>
      </c>
      <c r="D3315" s="3">
        <v>86116.7912209049</v>
      </c>
      <c r="E3315" s="3">
        <v>30114.4500038739</v>
      </c>
      <c r="F3315" s="3">
        <v>27005.1882724339</v>
      </c>
      <c r="G3315" s="3">
        <v>18780.8209933534</v>
      </c>
      <c r="H3315" s="3">
        <v>-82107.0267237597</v>
      </c>
      <c r="I3315" s="3">
        <v>73842.7497241992</v>
      </c>
      <c r="J3315" s="3" t="s">
        <v>1021</v>
      </c>
      <c r="K3315" s="3">
        <v>15.0</v>
      </c>
      <c r="L3315" s="3" t="s">
        <v>23</v>
      </c>
    </row>
    <row r="3316" ht="15.75" customHeight="1">
      <c r="A3316" s="3" t="s">
        <v>3403</v>
      </c>
      <c r="B3316" s="3" t="s">
        <v>17</v>
      </c>
      <c r="C3316" s="3" t="s">
        <v>26</v>
      </c>
      <c r="D3316" s="3">
        <v>86127.6741908111</v>
      </c>
      <c r="E3316" s="3">
        <v>30119.0647222013</v>
      </c>
      <c r="F3316" s="3">
        <v>27012.8682758634</v>
      </c>
      <c r="G3316" s="3">
        <v>18784.2185440407</v>
      </c>
      <c r="H3316" s="3">
        <v>-82156.5304415087</v>
      </c>
      <c r="I3316" s="3">
        <v>73845.5949931616</v>
      </c>
      <c r="J3316" s="3" t="s">
        <v>1014</v>
      </c>
      <c r="K3316" s="3">
        <v>10.0</v>
      </c>
      <c r="L3316" s="3" t="s">
        <v>27</v>
      </c>
    </row>
    <row r="3317" ht="15.75" customHeight="1">
      <c r="A3317" s="3" t="s">
        <v>3404</v>
      </c>
      <c r="B3317" s="3" t="s">
        <v>51</v>
      </c>
      <c r="C3317" s="3" t="s">
        <v>26</v>
      </c>
      <c r="D3317" s="3">
        <v>86138.5571607173</v>
      </c>
      <c r="E3317" s="3">
        <v>30123.6794405287</v>
      </c>
      <c r="F3317" s="3">
        <v>27020.5482792929</v>
      </c>
      <c r="G3317" s="3">
        <v>18787.6160947279</v>
      </c>
      <c r="H3317" s="3">
        <v>-82206.0341592577</v>
      </c>
      <c r="I3317" s="3">
        <v>73848.4402621241</v>
      </c>
      <c r="J3317" s="3" t="s">
        <v>1062</v>
      </c>
      <c r="K3317" s="3">
        <v>9.0</v>
      </c>
      <c r="L3317" s="3" t="s">
        <v>15</v>
      </c>
    </row>
    <row r="3318" ht="15.75" customHeight="1">
      <c r="A3318" s="3" t="s">
        <v>3405</v>
      </c>
      <c r="B3318" s="3" t="s">
        <v>53</v>
      </c>
      <c r="C3318" s="3" t="s">
        <v>14</v>
      </c>
      <c r="D3318" s="3">
        <v>86160.3231005297</v>
      </c>
      <c r="E3318" s="3">
        <v>30132.9088771836</v>
      </c>
      <c r="F3318" s="3">
        <v>27035.9082861519</v>
      </c>
      <c r="G3318" s="3">
        <v>18794.4111961025</v>
      </c>
      <c r="H3318" s="3">
        <v>-82305.0415947557</v>
      </c>
      <c r="I3318" s="3">
        <v>73854.1308000491</v>
      </c>
      <c r="J3318" s="3" t="s">
        <v>1012</v>
      </c>
      <c r="K3318" s="3">
        <v>25.0</v>
      </c>
      <c r="L3318" s="3" t="s">
        <v>27</v>
      </c>
    </row>
    <row r="3319" ht="15.75" customHeight="1">
      <c r="A3319" s="3" t="s">
        <v>3406</v>
      </c>
      <c r="B3319" s="3" t="s">
        <v>53</v>
      </c>
      <c r="C3319" s="3" t="s">
        <v>18</v>
      </c>
      <c r="D3319" s="3">
        <v>86171.2060704359</v>
      </c>
      <c r="E3319" s="3">
        <v>30137.523595511</v>
      </c>
      <c r="F3319" s="3">
        <v>27043.5882895814</v>
      </c>
      <c r="G3319" s="3">
        <v>18797.8087467898</v>
      </c>
      <c r="H3319" s="3">
        <v>-82354.5453125047</v>
      </c>
      <c r="I3319" s="3">
        <v>73856.9760690116</v>
      </c>
      <c r="J3319" s="3" t="s">
        <v>1014</v>
      </c>
      <c r="K3319" s="3">
        <v>24.0</v>
      </c>
      <c r="L3319" s="3" t="s">
        <v>40</v>
      </c>
    </row>
    <row r="3320" ht="15.75" customHeight="1">
      <c r="A3320" s="3" t="s">
        <v>3407</v>
      </c>
      <c r="B3320" s="3" t="s">
        <v>36</v>
      </c>
      <c r="C3320" s="3" t="s">
        <v>37</v>
      </c>
      <c r="D3320" s="3">
        <v>86192.9720102483</v>
      </c>
      <c r="E3320" s="3">
        <v>30146.7530321658</v>
      </c>
      <c r="F3320" s="3">
        <v>27058.9482964404</v>
      </c>
      <c r="G3320" s="3">
        <v>18804.6038481644</v>
      </c>
      <c r="H3320" s="3">
        <v>-82453.5527480037</v>
      </c>
      <c r="I3320" s="3">
        <v>73862.6666069365</v>
      </c>
      <c r="J3320" s="3" t="s">
        <v>1040</v>
      </c>
      <c r="K3320" s="3">
        <v>23.0</v>
      </c>
      <c r="L3320" s="3" t="s">
        <v>21</v>
      </c>
    </row>
    <row r="3321" ht="15.75" customHeight="1">
      <c r="A3321" s="3" t="s">
        <v>3408</v>
      </c>
      <c r="B3321" s="3" t="s">
        <v>53</v>
      </c>
      <c r="C3321" s="3" t="s">
        <v>18</v>
      </c>
      <c r="D3321" s="3">
        <v>86203.8549801545</v>
      </c>
      <c r="E3321" s="3">
        <v>30151.3677504933</v>
      </c>
      <c r="F3321" s="3">
        <v>27066.6282998699</v>
      </c>
      <c r="G3321" s="3">
        <v>18808.0013988517</v>
      </c>
      <c r="H3321" s="3">
        <v>-82503.0564657527</v>
      </c>
      <c r="I3321" s="3">
        <v>73865.511875899</v>
      </c>
      <c r="J3321" s="3" t="s">
        <v>1042</v>
      </c>
      <c r="K3321" s="3">
        <v>11.0</v>
      </c>
      <c r="L3321" s="3" t="s">
        <v>42</v>
      </c>
    </row>
    <row r="3322" ht="15.75" customHeight="1">
      <c r="A3322" s="3" t="s">
        <v>3409</v>
      </c>
      <c r="B3322" s="3" t="s">
        <v>25</v>
      </c>
      <c r="C3322" s="3" t="s">
        <v>14</v>
      </c>
      <c r="D3322" s="3">
        <v>86214.7379500607</v>
      </c>
      <c r="E3322" s="3">
        <v>30155.9824688207</v>
      </c>
      <c r="F3322" s="3">
        <v>27074.3083032994</v>
      </c>
      <c r="G3322" s="3">
        <v>18811.398949539</v>
      </c>
      <c r="H3322" s="3">
        <v>-82552.5601835017</v>
      </c>
      <c r="I3322" s="3">
        <v>73868.3571448615</v>
      </c>
      <c r="J3322" s="3" t="s">
        <v>1042</v>
      </c>
      <c r="K3322" s="3">
        <v>3.0</v>
      </c>
      <c r="L3322" s="3" t="s">
        <v>38</v>
      </c>
    </row>
    <row r="3323" ht="15.75" customHeight="1">
      <c r="A3323" s="3" t="s">
        <v>3410</v>
      </c>
      <c r="B3323" s="3" t="s">
        <v>13</v>
      </c>
      <c r="C3323" s="3" t="s">
        <v>18</v>
      </c>
      <c r="D3323" s="3">
        <v>86225.6209199668</v>
      </c>
      <c r="E3323" s="3">
        <v>30160.5971871481</v>
      </c>
      <c r="F3323" s="3">
        <v>27081.9883067289</v>
      </c>
      <c r="G3323" s="3">
        <v>18814.7965002262</v>
      </c>
      <c r="H3323" s="3">
        <v>-82602.0639012507</v>
      </c>
      <c r="I3323" s="3">
        <v>73871.202413824</v>
      </c>
      <c r="J3323" s="3" t="s">
        <v>1023</v>
      </c>
      <c r="K3323" s="3">
        <v>3.0</v>
      </c>
      <c r="L3323" s="3" t="s">
        <v>31</v>
      </c>
    </row>
    <row r="3324" ht="15.75" customHeight="1">
      <c r="A3324" s="3" t="s">
        <v>3411</v>
      </c>
      <c r="B3324" s="3" t="s">
        <v>53</v>
      </c>
      <c r="C3324" s="3" t="s">
        <v>18</v>
      </c>
      <c r="D3324" s="3">
        <v>86236.503889873</v>
      </c>
      <c r="E3324" s="3">
        <v>30165.2119054755</v>
      </c>
      <c r="F3324" s="3">
        <v>27089.6683101584</v>
      </c>
      <c r="G3324" s="3">
        <v>18818.1940509135</v>
      </c>
      <c r="H3324" s="3">
        <v>-82651.5676189997</v>
      </c>
      <c r="I3324" s="3">
        <v>73874.0476827864</v>
      </c>
      <c r="J3324" s="3" t="s">
        <v>1021</v>
      </c>
      <c r="K3324" s="3">
        <v>6.0</v>
      </c>
      <c r="L3324" s="3" t="s">
        <v>40</v>
      </c>
    </row>
    <row r="3325" ht="15.75" customHeight="1">
      <c r="A3325" s="3" t="s">
        <v>3412</v>
      </c>
      <c r="B3325" s="3" t="s">
        <v>53</v>
      </c>
      <c r="C3325" s="3" t="s">
        <v>54</v>
      </c>
      <c r="D3325" s="3">
        <v>86247.3868597792</v>
      </c>
      <c r="E3325" s="3">
        <v>30169.8266238029</v>
      </c>
      <c r="F3325" s="3">
        <v>27097.3483135879</v>
      </c>
      <c r="G3325" s="3">
        <v>18821.5916016008</v>
      </c>
      <c r="H3325" s="3">
        <v>-82701.0713367487</v>
      </c>
      <c r="I3325" s="3">
        <v>73876.8929517489</v>
      </c>
      <c r="J3325" s="3" t="s">
        <v>1018</v>
      </c>
      <c r="K3325" s="3">
        <v>9.0</v>
      </c>
      <c r="L3325" s="3" t="s">
        <v>31</v>
      </c>
    </row>
    <row r="3326" ht="15.75" customHeight="1">
      <c r="A3326" s="3" t="s">
        <v>3413</v>
      </c>
      <c r="B3326" s="3" t="s">
        <v>17</v>
      </c>
      <c r="C3326" s="3" t="s">
        <v>54</v>
      </c>
      <c r="D3326" s="3">
        <v>86258.2698296854</v>
      </c>
      <c r="E3326" s="3">
        <v>30174.4413421304</v>
      </c>
      <c r="F3326" s="3">
        <v>27105.0283170174</v>
      </c>
      <c r="G3326" s="3">
        <v>18824.9891522881</v>
      </c>
      <c r="H3326" s="3">
        <v>-82750.5750544977</v>
      </c>
      <c r="I3326" s="3">
        <v>73879.7382207114</v>
      </c>
      <c r="J3326" s="3" t="s">
        <v>1014</v>
      </c>
      <c r="K3326" s="3">
        <v>21.0</v>
      </c>
      <c r="L3326" s="3" t="s">
        <v>42</v>
      </c>
    </row>
    <row r="3327" ht="15.75" customHeight="1">
      <c r="A3327" s="3" t="s">
        <v>3414</v>
      </c>
      <c r="B3327" s="3" t="s">
        <v>13</v>
      </c>
      <c r="C3327" s="3" t="s">
        <v>37</v>
      </c>
      <c r="D3327" s="3">
        <v>86269.1527995916</v>
      </c>
      <c r="E3327" s="3">
        <v>30179.0560604578</v>
      </c>
      <c r="F3327" s="3">
        <v>27112.7083204469</v>
      </c>
      <c r="G3327" s="3">
        <v>18828.3867029754</v>
      </c>
      <c r="H3327" s="3">
        <v>-82800.0787722477</v>
      </c>
      <c r="I3327" s="3">
        <v>73882.5834896739</v>
      </c>
      <c r="J3327" s="3" t="s">
        <v>1018</v>
      </c>
      <c r="K3327" s="3">
        <v>5.0</v>
      </c>
      <c r="L3327" s="3" t="s">
        <v>40</v>
      </c>
    </row>
    <row r="3328" ht="15.75" customHeight="1">
      <c r="A3328" s="3" t="s">
        <v>3415</v>
      </c>
      <c r="B3328" s="3" t="s">
        <v>36</v>
      </c>
      <c r="C3328" s="3" t="s">
        <v>14</v>
      </c>
      <c r="D3328" s="3">
        <v>86280.0357694978</v>
      </c>
      <c r="E3328" s="3">
        <v>30183.6707787852</v>
      </c>
      <c r="F3328" s="3">
        <v>27120.3883238764</v>
      </c>
      <c r="G3328" s="3">
        <v>18831.7842536627</v>
      </c>
      <c r="H3328" s="3">
        <v>-82849.5824899967</v>
      </c>
      <c r="I3328" s="3">
        <v>73885.4287586363</v>
      </c>
      <c r="J3328" s="3" t="s">
        <v>1018</v>
      </c>
      <c r="K3328" s="3">
        <v>18.0</v>
      </c>
      <c r="L3328" s="3" t="s">
        <v>40</v>
      </c>
    </row>
    <row r="3329" ht="15.75" customHeight="1">
      <c r="A3329" s="3" t="s">
        <v>3416</v>
      </c>
      <c r="B3329" s="3" t="s">
        <v>53</v>
      </c>
      <c r="C3329" s="3" t="s">
        <v>18</v>
      </c>
      <c r="D3329" s="3">
        <v>86290.918739404</v>
      </c>
      <c r="E3329" s="3">
        <v>30188.2854971126</v>
      </c>
      <c r="F3329" s="3">
        <v>27128.0683273059</v>
      </c>
      <c r="G3329" s="3">
        <v>18835.18180435</v>
      </c>
      <c r="H3329" s="3">
        <v>-82899.0862077457</v>
      </c>
      <c r="I3329" s="3">
        <v>73888.2740275988</v>
      </c>
      <c r="J3329" s="3" t="s">
        <v>1012</v>
      </c>
      <c r="K3329" s="3">
        <v>3.0</v>
      </c>
      <c r="L3329" s="3" t="s">
        <v>23</v>
      </c>
    </row>
    <row r="3330" ht="15.75" customHeight="1">
      <c r="A3330" s="3" t="s">
        <v>3417</v>
      </c>
      <c r="B3330" s="3" t="s">
        <v>29</v>
      </c>
      <c r="C3330" s="3" t="s">
        <v>26</v>
      </c>
      <c r="D3330" s="3">
        <v>86301.8017093102</v>
      </c>
      <c r="E3330" s="3">
        <v>30192.9002154401</v>
      </c>
      <c r="F3330" s="3">
        <v>27135.7483307354</v>
      </c>
      <c r="G3330" s="3">
        <v>18838.5793550372</v>
      </c>
      <c r="H3330" s="3">
        <v>-82948.5899254947</v>
      </c>
      <c r="I3330" s="3">
        <v>73891.1192965613</v>
      </c>
      <c r="J3330" s="3" t="s">
        <v>1023</v>
      </c>
      <c r="K3330" s="3">
        <v>22.0</v>
      </c>
      <c r="L3330" s="3" t="s">
        <v>19</v>
      </c>
    </row>
    <row r="3331" ht="15.75" customHeight="1">
      <c r="A3331" s="3" t="s">
        <v>3418</v>
      </c>
      <c r="B3331" s="3" t="s">
        <v>13</v>
      </c>
      <c r="C3331" s="3" t="s">
        <v>30</v>
      </c>
      <c r="D3331" s="3">
        <v>86312.6846792164</v>
      </c>
      <c r="E3331" s="3">
        <v>30197.5149337675</v>
      </c>
      <c r="F3331" s="3">
        <v>27143.4283341649</v>
      </c>
      <c r="G3331" s="3">
        <v>18841.9769057245</v>
      </c>
      <c r="H3331" s="3">
        <v>-82998.0936432437</v>
      </c>
      <c r="I3331" s="3">
        <v>73893.9645655238</v>
      </c>
      <c r="J3331" s="3" t="s">
        <v>1012</v>
      </c>
      <c r="K3331" s="3">
        <v>17.0</v>
      </c>
      <c r="L3331" s="3" t="s">
        <v>15</v>
      </c>
    </row>
    <row r="3332" ht="15.75" customHeight="1">
      <c r="A3332" s="3" t="s">
        <v>3419</v>
      </c>
      <c r="B3332" s="3" t="s">
        <v>13</v>
      </c>
      <c r="C3332" s="3" t="s">
        <v>33</v>
      </c>
      <c r="D3332" s="3">
        <v>86323.5676491226</v>
      </c>
      <c r="E3332" s="3">
        <v>30202.1296520949</v>
      </c>
      <c r="F3332" s="3">
        <v>27151.1083375944</v>
      </c>
      <c r="G3332" s="3">
        <v>18845.3744564118</v>
      </c>
      <c r="H3332" s="3">
        <v>67478.1931927108</v>
      </c>
      <c r="I3332" s="3">
        <v>72478.1931927108</v>
      </c>
      <c r="J3332" s="3" t="s">
        <v>1040</v>
      </c>
      <c r="K3332" s="3">
        <v>17.0</v>
      </c>
      <c r="L3332" s="3" t="s">
        <v>23</v>
      </c>
    </row>
    <row r="3333" ht="15.75" customHeight="1">
      <c r="A3333" s="3" t="s">
        <v>3420</v>
      </c>
      <c r="B3333" s="3" t="s">
        <v>13</v>
      </c>
      <c r="C3333" s="3" t="s">
        <v>30</v>
      </c>
      <c r="D3333" s="3">
        <v>86334.4506190288</v>
      </c>
      <c r="E3333" s="3">
        <v>30206.7443704223</v>
      </c>
      <c r="F3333" s="3">
        <v>27158.7883410239</v>
      </c>
      <c r="G3333" s="3">
        <v>18848.7720070991</v>
      </c>
      <c r="H3333" s="3">
        <v>-83097.1010787417</v>
      </c>
      <c r="I3333" s="3">
        <v>73899.6551034487</v>
      </c>
      <c r="J3333" s="3" t="s">
        <v>1023</v>
      </c>
      <c r="K3333" s="3">
        <v>22.0</v>
      </c>
      <c r="L3333" s="3" t="s">
        <v>15</v>
      </c>
    </row>
    <row r="3334" ht="15.75" customHeight="1">
      <c r="A3334" s="3" t="s">
        <v>3421</v>
      </c>
      <c r="B3334" s="3" t="s">
        <v>13</v>
      </c>
      <c r="C3334" s="3" t="s">
        <v>26</v>
      </c>
      <c r="D3334" s="3">
        <v>86345.333588935</v>
      </c>
      <c r="E3334" s="3">
        <v>30211.3590887497</v>
      </c>
      <c r="F3334" s="3">
        <v>27166.4683444533</v>
      </c>
      <c r="G3334" s="3">
        <v>18852.1695577864</v>
      </c>
      <c r="H3334" s="3">
        <v>-83146.6047964907</v>
      </c>
      <c r="I3334" s="3">
        <v>73902.5003724112</v>
      </c>
      <c r="J3334" s="3" t="s">
        <v>1034</v>
      </c>
      <c r="K3334" s="3">
        <v>12.0</v>
      </c>
      <c r="L3334" s="3" t="s">
        <v>23</v>
      </c>
    </row>
    <row r="3335" ht="15.75" customHeight="1">
      <c r="A3335" s="3" t="s">
        <v>3422</v>
      </c>
      <c r="B3335" s="3" t="s">
        <v>17</v>
      </c>
      <c r="C3335" s="3" t="s">
        <v>18</v>
      </c>
      <c r="D3335" s="3">
        <v>86356.2165588412</v>
      </c>
      <c r="E3335" s="3">
        <v>30215.9738070772</v>
      </c>
      <c r="F3335" s="3">
        <v>27174.1483478828</v>
      </c>
      <c r="G3335" s="3">
        <v>18855.5671084737</v>
      </c>
      <c r="H3335" s="3">
        <v>-83196.1085142407</v>
      </c>
      <c r="I3335" s="3">
        <v>73905.3456413737</v>
      </c>
      <c r="J3335" s="3" t="s">
        <v>1014</v>
      </c>
      <c r="K3335" s="3">
        <v>15.0</v>
      </c>
      <c r="L3335" s="3" t="s">
        <v>21</v>
      </c>
    </row>
    <row r="3336" ht="15.75" customHeight="1">
      <c r="A3336" s="3" t="s">
        <v>3423</v>
      </c>
      <c r="B3336" s="3" t="s">
        <v>25</v>
      </c>
      <c r="C3336" s="3" t="s">
        <v>33</v>
      </c>
      <c r="D3336" s="3">
        <v>86367.0995287474</v>
      </c>
      <c r="E3336" s="3">
        <v>30220.5885254046</v>
      </c>
      <c r="F3336" s="3">
        <v>27181.8283513123</v>
      </c>
      <c r="G3336" s="3">
        <v>18858.964659161</v>
      </c>
      <c r="H3336" s="3">
        <v>-83245.6122319897</v>
      </c>
      <c r="I3336" s="3">
        <v>73908.1909103362</v>
      </c>
      <c r="J3336" s="3" t="s">
        <v>3424</v>
      </c>
      <c r="K3336" s="3">
        <v>23.0</v>
      </c>
      <c r="L3336" s="3" t="s">
        <v>27</v>
      </c>
    </row>
    <row r="3337" ht="15.75" customHeight="1">
      <c r="A3337" s="3" t="s">
        <v>3425</v>
      </c>
      <c r="B3337" s="3" t="s">
        <v>29</v>
      </c>
      <c r="C3337" s="3" t="s">
        <v>18</v>
      </c>
      <c r="D3337" s="3">
        <v>86377.9824986536</v>
      </c>
      <c r="E3337" s="3">
        <v>30225.203243732</v>
      </c>
      <c r="F3337" s="3">
        <v>27189.5083547418</v>
      </c>
      <c r="G3337" s="3">
        <v>18862.3622098483</v>
      </c>
      <c r="H3337" s="3">
        <v>-83295.1159497387</v>
      </c>
      <c r="I3337" s="3">
        <v>73911.0361792987</v>
      </c>
      <c r="J3337" s="3" t="s">
        <v>1012</v>
      </c>
      <c r="K3337" s="3">
        <v>9.0</v>
      </c>
      <c r="L3337" s="3" t="s">
        <v>23</v>
      </c>
    </row>
    <row r="3338" ht="15.75" customHeight="1">
      <c r="A3338" s="3" t="s">
        <v>3426</v>
      </c>
      <c r="B3338" s="3" t="s">
        <v>51</v>
      </c>
      <c r="C3338" s="3" t="s">
        <v>14</v>
      </c>
      <c r="D3338" s="3">
        <v>86388.8654685598</v>
      </c>
      <c r="E3338" s="3">
        <v>30229.8179620594</v>
      </c>
      <c r="F3338" s="3">
        <v>27197.1883581713</v>
      </c>
      <c r="G3338" s="3">
        <v>18865.7597605355</v>
      </c>
      <c r="H3338" s="3">
        <v>-83344.6196674877</v>
      </c>
      <c r="I3338" s="3">
        <v>73913.8814482611</v>
      </c>
      <c r="J3338" s="3" t="s">
        <v>1031</v>
      </c>
      <c r="K3338" s="3">
        <v>16.0</v>
      </c>
      <c r="L3338" s="3" t="s">
        <v>21</v>
      </c>
    </row>
    <row r="3339" ht="15.75" customHeight="1">
      <c r="A3339" s="3" t="s">
        <v>3427</v>
      </c>
      <c r="B3339" s="3" t="s">
        <v>13</v>
      </c>
      <c r="C3339" s="3" t="s">
        <v>54</v>
      </c>
      <c r="D3339" s="3">
        <v>86399.7484384659</v>
      </c>
      <c r="E3339" s="3">
        <v>30234.4326803869</v>
      </c>
      <c r="F3339" s="3">
        <v>27204.8683616008</v>
      </c>
      <c r="G3339" s="3">
        <v>18869.1573112228</v>
      </c>
      <c r="H3339" s="3">
        <v>-83394.1233852367</v>
      </c>
      <c r="I3339" s="3">
        <v>73916.7267172236</v>
      </c>
      <c r="J3339" s="3" t="s">
        <v>1018</v>
      </c>
      <c r="K3339" s="3">
        <v>24.0</v>
      </c>
      <c r="L3339" s="3" t="s">
        <v>42</v>
      </c>
    </row>
    <row r="3340" ht="15.75" customHeight="1">
      <c r="A3340" s="3" t="s">
        <v>3428</v>
      </c>
      <c r="B3340" s="3" t="s">
        <v>51</v>
      </c>
      <c r="C3340" s="3" t="s">
        <v>30</v>
      </c>
      <c r="D3340" s="3">
        <v>86410.6314083721</v>
      </c>
      <c r="E3340" s="3">
        <v>30239.0473987143</v>
      </c>
      <c r="F3340" s="3">
        <v>27212.5483650303</v>
      </c>
      <c r="G3340" s="3">
        <v>18872.5548619101</v>
      </c>
      <c r="H3340" s="3">
        <v>-83443.6271029857</v>
      </c>
      <c r="I3340" s="3">
        <v>73919.5719861861</v>
      </c>
      <c r="J3340" s="3" t="s">
        <v>1031</v>
      </c>
      <c r="K3340" s="3">
        <v>19.0</v>
      </c>
      <c r="L3340" s="3" t="s">
        <v>40</v>
      </c>
    </row>
    <row r="3341" ht="15.75" customHeight="1">
      <c r="A3341" s="3" t="s">
        <v>3429</v>
      </c>
      <c r="B3341" s="3" t="s">
        <v>25</v>
      </c>
      <c r="C3341" s="3" t="s">
        <v>33</v>
      </c>
      <c r="D3341" s="3">
        <v>86421.5143782783</v>
      </c>
      <c r="E3341" s="3">
        <v>30243.6621170417</v>
      </c>
      <c r="F3341" s="3">
        <v>27220.2283684598</v>
      </c>
      <c r="G3341" s="3">
        <v>18875.9524125974</v>
      </c>
      <c r="H3341" s="3">
        <v>-83493.1308207347</v>
      </c>
      <c r="I3341" s="3">
        <v>73922.4172551486</v>
      </c>
      <c r="J3341" s="3" t="s">
        <v>1042</v>
      </c>
      <c r="K3341" s="3">
        <v>13.0</v>
      </c>
      <c r="L3341" s="3" t="s">
        <v>23</v>
      </c>
    </row>
    <row r="3342" ht="15.75" customHeight="1">
      <c r="A3342" s="3" t="s">
        <v>3430</v>
      </c>
      <c r="B3342" s="3" t="s">
        <v>17</v>
      </c>
      <c r="C3342" s="3" t="s">
        <v>54</v>
      </c>
      <c r="D3342" s="3">
        <v>86432.3973481845</v>
      </c>
      <c r="E3342" s="3">
        <v>30248.2768353691</v>
      </c>
      <c r="F3342" s="3">
        <v>27227.9083718893</v>
      </c>
      <c r="G3342" s="3">
        <v>18879.3499632847</v>
      </c>
      <c r="H3342" s="3">
        <v>-83542.6345384837</v>
      </c>
      <c r="I3342" s="3">
        <v>73925.262524111</v>
      </c>
      <c r="J3342" s="3" t="s">
        <v>1021</v>
      </c>
      <c r="K3342" s="3">
        <v>23.0</v>
      </c>
      <c r="L3342" s="3" t="s">
        <v>42</v>
      </c>
    </row>
    <row r="3343" ht="15.75" customHeight="1">
      <c r="A3343" s="3" t="s">
        <v>3431</v>
      </c>
      <c r="B3343" s="3" t="s">
        <v>29</v>
      </c>
      <c r="C3343" s="3" t="s">
        <v>37</v>
      </c>
      <c r="D3343" s="3">
        <v>86443.2803180907</v>
      </c>
      <c r="E3343" s="3">
        <v>30252.8915536965</v>
      </c>
      <c r="F3343" s="3">
        <v>27235.5883753188</v>
      </c>
      <c r="G3343" s="3">
        <v>18882.747513972</v>
      </c>
      <c r="H3343" s="3">
        <v>-83592.1382562337</v>
      </c>
      <c r="I3343" s="3">
        <v>73928.1077930735</v>
      </c>
      <c r="J3343" s="3" t="s">
        <v>1040</v>
      </c>
      <c r="K3343" s="3">
        <v>16.0</v>
      </c>
      <c r="L3343" s="3" t="s">
        <v>31</v>
      </c>
    </row>
    <row r="3344" ht="15.75" customHeight="1">
      <c r="A3344" s="3" t="s">
        <v>3432</v>
      </c>
      <c r="B3344" s="3" t="s">
        <v>36</v>
      </c>
      <c r="C3344" s="3" t="s">
        <v>33</v>
      </c>
      <c r="D3344" s="3">
        <v>86454.1632879969</v>
      </c>
      <c r="E3344" s="3">
        <v>30257.506272024</v>
      </c>
      <c r="F3344" s="3">
        <v>27243.2683787483</v>
      </c>
      <c r="G3344" s="3">
        <v>18886.1450646593</v>
      </c>
      <c r="H3344" s="3">
        <v>-83641.6419739827</v>
      </c>
      <c r="I3344" s="3">
        <v>73930.953062036</v>
      </c>
      <c r="J3344" s="3" t="s">
        <v>1021</v>
      </c>
      <c r="K3344" s="3">
        <v>18.0</v>
      </c>
      <c r="L3344" s="3" t="s">
        <v>27</v>
      </c>
    </row>
    <row r="3345" ht="15.75" customHeight="1">
      <c r="A3345" s="3" t="s">
        <v>3433</v>
      </c>
      <c r="B3345" s="3" t="s">
        <v>36</v>
      </c>
      <c r="C3345" s="3" t="s">
        <v>33</v>
      </c>
      <c r="D3345" s="3">
        <v>86465.0462579031</v>
      </c>
      <c r="E3345" s="3">
        <v>30262.1209903514</v>
      </c>
      <c r="F3345" s="3">
        <v>27250.9483821778</v>
      </c>
      <c r="G3345" s="3">
        <v>18889.5426153466</v>
      </c>
      <c r="H3345" s="3">
        <v>67575.5036425565</v>
      </c>
      <c r="I3345" s="3">
        <v>72575.5036425565</v>
      </c>
      <c r="J3345" s="3" t="s">
        <v>1018</v>
      </c>
      <c r="K3345" s="3">
        <v>20.0</v>
      </c>
      <c r="L3345" s="3" t="s">
        <v>21</v>
      </c>
    </row>
    <row r="3346" ht="15.75" customHeight="1">
      <c r="A3346" s="3" t="s">
        <v>3434</v>
      </c>
      <c r="B3346" s="3" t="s">
        <v>36</v>
      </c>
      <c r="C3346" s="3" t="s">
        <v>14</v>
      </c>
      <c r="D3346" s="3">
        <v>86475.9292278093</v>
      </c>
      <c r="E3346" s="3">
        <v>30266.7357086788</v>
      </c>
      <c r="F3346" s="3">
        <v>27258.6283856073</v>
      </c>
      <c r="G3346" s="3">
        <v>18892.9401660338</v>
      </c>
      <c r="H3346" s="3">
        <v>-83740.6494094807</v>
      </c>
      <c r="I3346" s="3">
        <v>73936.643599961</v>
      </c>
      <c r="J3346" s="3" t="s">
        <v>1062</v>
      </c>
      <c r="K3346" s="3">
        <v>5.0</v>
      </c>
      <c r="L3346" s="3" t="s">
        <v>42</v>
      </c>
    </row>
    <row r="3347" ht="15.75" customHeight="1">
      <c r="A3347" s="3" t="s">
        <v>3435</v>
      </c>
      <c r="B3347" s="3" t="s">
        <v>53</v>
      </c>
      <c r="C3347" s="3" t="s">
        <v>26</v>
      </c>
      <c r="D3347" s="3">
        <v>86486.8121977155</v>
      </c>
      <c r="E3347" s="3">
        <v>30271.3504270062</v>
      </c>
      <c r="F3347" s="3">
        <v>27266.3083890368</v>
      </c>
      <c r="G3347" s="3">
        <v>18896.3377167211</v>
      </c>
      <c r="H3347" s="3">
        <v>-83790.1531272297</v>
      </c>
      <c r="I3347" s="3">
        <v>73939.4888689234</v>
      </c>
      <c r="J3347" s="3" t="s">
        <v>1021</v>
      </c>
      <c r="K3347" s="3">
        <v>16.0</v>
      </c>
      <c r="L3347" s="3" t="s">
        <v>34</v>
      </c>
    </row>
    <row r="3348" ht="15.75" customHeight="1">
      <c r="A3348" s="3" t="s">
        <v>3436</v>
      </c>
      <c r="B3348" s="3" t="s">
        <v>36</v>
      </c>
      <c r="C3348" s="3" t="s">
        <v>18</v>
      </c>
      <c r="D3348" s="3">
        <v>86508.5781375279</v>
      </c>
      <c r="E3348" s="3">
        <v>30280.5798636611</v>
      </c>
      <c r="F3348" s="3">
        <v>27281.6683958958</v>
      </c>
      <c r="G3348" s="3">
        <v>18903.1328180957</v>
      </c>
      <c r="H3348" s="3">
        <v>-83889.1605627277</v>
      </c>
      <c r="I3348" s="3">
        <v>73945.1794068484</v>
      </c>
      <c r="J3348" s="3" t="s">
        <v>1031</v>
      </c>
      <c r="K3348" s="3">
        <v>12.0</v>
      </c>
      <c r="L3348" s="3" t="s">
        <v>40</v>
      </c>
    </row>
    <row r="3349" ht="15.75" customHeight="1">
      <c r="A3349" s="3" t="s">
        <v>3437</v>
      </c>
      <c r="B3349" s="3" t="s">
        <v>29</v>
      </c>
      <c r="C3349" s="3" t="s">
        <v>37</v>
      </c>
      <c r="D3349" s="3">
        <v>86519.4611074341</v>
      </c>
      <c r="E3349" s="3">
        <v>30285.1945819885</v>
      </c>
      <c r="F3349" s="3">
        <v>27289.3483993253</v>
      </c>
      <c r="G3349" s="3">
        <v>18906.530368783</v>
      </c>
      <c r="H3349" s="3">
        <v>-83938.6642804767</v>
      </c>
      <c r="I3349" s="3">
        <v>73948.0246758109</v>
      </c>
      <c r="J3349" s="3" t="s">
        <v>1042</v>
      </c>
      <c r="K3349" s="3">
        <v>6.0</v>
      </c>
      <c r="L3349" s="3" t="s">
        <v>27</v>
      </c>
    </row>
    <row r="3350" ht="15.75" customHeight="1">
      <c r="A3350" s="3" t="s">
        <v>3438</v>
      </c>
      <c r="B3350" s="3" t="s">
        <v>13</v>
      </c>
      <c r="C3350" s="3" t="s">
        <v>26</v>
      </c>
      <c r="D3350" s="5"/>
      <c r="E3350" s="3">
        <v>30289.8093003159</v>
      </c>
      <c r="F3350" s="3">
        <v>27297.0284027548</v>
      </c>
      <c r="G3350" s="3">
        <v>18909.9279194703</v>
      </c>
      <c r="H3350" s="3">
        <v>-83988.1679982267</v>
      </c>
      <c r="I3350" s="3">
        <v>73950.8699447734</v>
      </c>
      <c r="J3350" s="3" t="s">
        <v>1021</v>
      </c>
      <c r="K3350" s="3">
        <v>10.0</v>
      </c>
      <c r="L3350" s="3" t="s">
        <v>27</v>
      </c>
    </row>
    <row r="3351" ht="15.75" customHeight="1">
      <c r="A3351" s="3" t="s">
        <v>3439</v>
      </c>
      <c r="B3351" s="3" t="s">
        <v>36</v>
      </c>
      <c r="C3351" s="3" t="s">
        <v>54</v>
      </c>
      <c r="D3351" s="3">
        <v>86541.2270472465</v>
      </c>
      <c r="E3351" s="3">
        <v>30294.4240186433</v>
      </c>
      <c r="F3351" s="3">
        <v>27304.7084061843</v>
      </c>
      <c r="G3351" s="3">
        <v>18913.3254701576</v>
      </c>
      <c r="H3351" s="3">
        <v>-84037.6717159757</v>
      </c>
      <c r="I3351" s="3">
        <v>73953.7152137358</v>
      </c>
      <c r="J3351" s="3" t="s">
        <v>1040</v>
      </c>
      <c r="K3351" s="3">
        <v>23.0</v>
      </c>
      <c r="L3351" s="3" t="s">
        <v>34</v>
      </c>
    </row>
    <row r="3352" ht="15.75" customHeight="1">
      <c r="A3352" s="3" t="s">
        <v>3440</v>
      </c>
      <c r="B3352" s="3" t="s">
        <v>53</v>
      </c>
      <c r="C3352" s="3" t="s">
        <v>18</v>
      </c>
      <c r="D3352" s="3">
        <v>86552.1100171527</v>
      </c>
      <c r="E3352" s="3">
        <v>30299.0387369708</v>
      </c>
      <c r="F3352" s="3">
        <v>27312.3884096138</v>
      </c>
      <c r="G3352" s="3">
        <v>18916.7230208448</v>
      </c>
      <c r="H3352" s="3">
        <v>-84087.1754337247</v>
      </c>
      <c r="I3352" s="3">
        <v>73956.5604826983</v>
      </c>
      <c r="J3352" s="3" t="s">
        <v>1023</v>
      </c>
      <c r="K3352" s="3">
        <v>23.0</v>
      </c>
      <c r="L3352" s="3" t="s">
        <v>21</v>
      </c>
    </row>
    <row r="3353" ht="15.75" customHeight="1">
      <c r="A3353" s="3" t="s">
        <v>3441</v>
      </c>
      <c r="B3353" s="3" t="s">
        <v>13</v>
      </c>
      <c r="C3353" s="3" t="s">
        <v>14</v>
      </c>
      <c r="D3353" s="3">
        <v>86562.9929870588</v>
      </c>
      <c r="E3353" s="3">
        <v>30303.6534552982</v>
      </c>
      <c r="F3353" s="3">
        <v>27320.0684130433</v>
      </c>
      <c r="G3353" s="3">
        <v>18920.1205715321</v>
      </c>
      <c r="H3353" s="3">
        <v>-84136.6791514737</v>
      </c>
      <c r="I3353" s="3">
        <v>73959.4057516608</v>
      </c>
      <c r="J3353" s="3" t="s">
        <v>1034</v>
      </c>
      <c r="K3353" s="3">
        <v>10.0</v>
      </c>
      <c r="L3353" s="3" t="s">
        <v>34</v>
      </c>
    </row>
    <row r="3354" ht="15.75" customHeight="1">
      <c r="A3354" s="3" t="s">
        <v>3442</v>
      </c>
      <c r="B3354" s="3" t="s">
        <v>51</v>
      </c>
      <c r="C3354" s="3" t="s">
        <v>14</v>
      </c>
      <c r="D3354" s="3">
        <v>86573.875956965</v>
      </c>
      <c r="E3354" s="3">
        <v>30308.2681736256</v>
      </c>
      <c r="F3354" s="3">
        <v>27327.7484164728</v>
      </c>
      <c r="G3354" s="3">
        <v>18923.5181222194</v>
      </c>
      <c r="H3354" s="3">
        <v>-84186.1828692227</v>
      </c>
      <c r="I3354" s="3">
        <v>73962.2510206233</v>
      </c>
      <c r="J3354" s="3" t="s">
        <v>1042</v>
      </c>
      <c r="K3354" s="3">
        <v>22.0</v>
      </c>
      <c r="L3354" s="3" t="s">
        <v>38</v>
      </c>
    </row>
    <row r="3355" ht="15.75" customHeight="1">
      <c r="A3355" s="3" t="s">
        <v>3443</v>
      </c>
      <c r="B3355" s="3" t="s">
        <v>13</v>
      </c>
      <c r="C3355" s="3" t="s">
        <v>18</v>
      </c>
      <c r="D3355" s="3">
        <v>86584.7589268712</v>
      </c>
      <c r="E3355" s="3">
        <v>30312.882891953</v>
      </c>
      <c r="F3355" s="3">
        <v>27335.4284199023</v>
      </c>
      <c r="G3355" s="3">
        <v>18926.9156729067</v>
      </c>
      <c r="H3355" s="3">
        <v>-84235.6865869717</v>
      </c>
      <c r="I3355" s="3">
        <v>73965.0962895857</v>
      </c>
      <c r="J3355" s="3" t="s">
        <v>1031</v>
      </c>
      <c r="K3355" s="3">
        <v>13.0</v>
      </c>
      <c r="L3355" s="3" t="s">
        <v>19</v>
      </c>
    </row>
    <row r="3356" ht="15.75" customHeight="1">
      <c r="A3356" s="3" t="s">
        <v>3444</v>
      </c>
      <c r="B3356" s="3" t="s">
        <v>53</v>
      </c>
      <c r="C3356" s="3" t="s">
        <v>54</v>
      </c>
      <c r="D3356" s="3">
        <v>86595.6418967774</v>
      </c>
      <c r="E3356" s="3">
        <v>30317.4976102805</v>
      </c>
      <c r="F3356" s="3">
        <v>27343.1084233318</v>
      </c>
      <c r="G3356" s="3">
        <v>18930.313223594</v>
      </c>
      <c r="H3356" s="3">
        <v>-84285.1903047207</v>
      </c>
      <c r="I3356" s="3">
        <v>73967.9415585482</v>
      </c>
      <c r="J3356" s="3" t="s">
        <v>1062</v>
      </c>
      <c r="K3356" s="3">
        <v>21.0</v>
      </c>
      <c r="L3356" s="3" t="s">
        <v>27</v>
      </c>
    </row>
    <row r="3357" ht="15.75" customHeight="1">
      <c r="A3357" s="3" t="s">
        <v>3445</v>
      </c>
      <c r="B3357" s="3" t="s">
        <v>53</v>
      </c>
      <c r="C3357" s="3" t="s">
        <v>37</v>
      </c>
      <c r="D3357" s="3">
        <v>86606.5248666836</v>
      </c>
      <c r="E3357" s="3">
        <v>30322.1123286079</v>
      </c>
      <c r="F3357" s="3">
        <v>27350.7884267613</v>
      </c>
      <c r="G3357" s="3">
        <v>18933.7107742813</v>
      </c>
      <c r="H3357" s="3">
        <v>-84334.6940224697</v>
      </c>
      <c r="I3357" s="3">
        <v>73970.7868275107</v>
      </c>
      <c r="J3357" s="3" t="s">
        <v>1016</v>
      </c>
      <c r="K3357" s="3">
        <v>2.0</v>
      </c>
      <c r="L3357" s="3" t="s">
        <v>34</v>
      </c>
    </row>
    <row r="3358" ht="15.75" customHeight="1">
      <c r="A3358" s="3" t="s">
        <v>3446</v>
      </c>
      <c r="B3358" s="3" t="s">
        <v>51</v>
      </c>
      <c r="C3358" s="3" t="s">
        <v>18</v>
      </c>
      <c r="D3358" s="3">
        <v>86617.4078365898</v>
      </c>
      <c r="E3358" s="3">
        <v>30326.7270469353</v>
      </c>
      <c r="F3358" s="3">
        <v>27358.4684301908</v>
      </c>
      <c r="G3358" s="3">
        <v>18937.1083249686</v>
      </c>
      <c r="H3358" s="3">
        <v>-84384.1977402198</v>
      </c>
      <c r="I3358" s="3">
        <v>73973.6320964732</v>
      </c>
      <c r="J3358" s="3" t="s">
        <v>1012</v>
      </c>
      <c r="K3358" s="3">
        <v>24.0</v>
      </c>
      <c r="L3358" s="3" t="s">
        <v>21</v>
      </c>
    </row>
    <row r="3359" ht="15.75" customHeight="1">
      <c r="A3359" s="3" t="s">
        <v>3447</v>
      </c>
      <c r="B3359" s="3" t="s">
        <v>13</v>
      </c>
      <c r="C3359" s="3" t="s">
        <v>54</v>
      </c>
      <c r="D3359" s="3">
        <v>86628.290806496</v>
      </c>
      <c r="E3359" s="3">
        <v>30331.3417652627</v>
      </c>
      <c r="F3359" s="3">
        <v>27366.1484336203</v>
      </c>
      <c r="G3359" s="3">
        <v>18940.5058756559</v>
      </c>
      <c r="H3359" s="3">
        <v>-84433.7014579687</v>
      </c>
      <c r="I3359" s="3">
        <v>73976.4773654357</v>
      </c>
      <c r="J3359" s="3" t="s">
        <v>1018</v>
      </c>
      <c r="K3359" s="3">
        <v>11.0</v>
      </c>
      <c r="L3359" s="3" t="s">
        <v>40</v>
      </c>
    </row>
    <row r="3360" ht="15.75" customHeight="1">
      <c r="A3360" s="3" t="s">
        <v>3448</v>
      </c>
      <c r="B3360" s="3" t="s">
        <v>25</v>
      </c>
      <c r="C3360" s="3" t="s">
        <v>33</v>
      </c>
      <c r="D3360" s="3">
        <v>86639.1737764022</v>
      </c>
      <c r="E3360" s="3">
        <v>30335.9564835901</v>
      </c>
      <c r="F3360" s="3">
        <v>27373.8284370498</v>
      </c>
      <c r="G3360" s="3">
        <v>18943.9034263431</v>
      </c>
      <c r="H3360" s="3">
        <v>-84483.2051757177</v>
      </c>
      <c r="I3360" s="3">
        <v>73979.3226343981</v>
      </c>
      <c r="J3360" s="3" t="s">
        <v>1012</v>
      </c>
      <c r="K3360" s="3">
        <v>1.0</v>
      </c>
      <c r="L3360" s="3" t="s">
        <v>23</v>
      </c>
    </row>
    <row r="3361" ht="15.75" customHeight="1">
      <c r="A3361" s="3" t="s">
        <v>3449</v>
      </c>
      <c r="B3361" s="3" t="s">
        <v>53</v>
      </c>
      <c r="C3361" s="3" t="s">
        <v>30</v>
      </c>
      <c r="D3361" s="3">
        <v>86650.0567463084</v>
      </c>
      <c r="E3361" s="3">
        <v>30340.5712019176</v>
      </c>
      <c r="F3361" s="3">
        <v>27381.5084404793</v>
      </c>
      <c r="G3361" s="3">
        <v>18947.3009770304</v>
      </c>
      <c r="H3361" s="3">
        <v>-84532.7088934667</v>
      </c>
      <c r="I3361" s="3">
        <v>73982.1679033606</v>
      </c>
      <c r="J3361" s="3" t="s">
        <v>1034</v>
      </c>
      <c r="K3361" s="3">
        <v>1.0</v>
      </c>
      <c r="L3361" s="3" t="s">
        <v>19</v>
      </c>
    </row>
    <row r="3362" ht="15.75" customHeight="1">
      <c r="A3362" s="3" t="s">
        <v>3450</v>
      </c>
      <c r="B3362" s="3" t="s">
        <v>51</v>
      </c>
      <c r="C3362" s="3" t="s">
        <v>26</v>
      </c>
      <c r="D3362" s="3">
        <v>86660.9397162146</v>
      </c>
      <c r="E3362" s="3">
        <v>30345.185920245</v>
      </c>
      <c r="F3362" s="3">
        <v>27389.1884439088</v>
      </c>
      <c r="G3362" s="3">
        <v>18950.6985277177</v>
      </c>
      <c r="H3362" s="3">
        <v>-84582.2126112157</v>
      </c>
      <c r="I3362" s="3">
        <v>73985.0131723231</v>
      </c>
      <c r="J3362" s="3" t="s">
        <v>1012</v>
      </c>
      <c r="K3362" s="3">
        <v>11.0</v>
      </c>
      <c r="L3362" s="3" t="s">
        <v>27</v>
      </c>
    </row>
    <row r="3363" ht="15.75" customHeight="1">
      <c r="A3363" s="3" t="s">
        <v>3451</v>
      </c>
      <c r="B3363" s="3" t="s">
        <v>13</v>
      </c>
      <c r="C3363" s="3" t="s">
        <v>18</v>
      </c>
      <c r="D3363" s="3">
        <v>86671.8226861208</v>
      </c>
      <c r="E3363" s="3">
        <v>30349.8006385724</v>
      </c>
      <c r="F3363" s="3">
        <v>27396.8684473383</v>
      </c>
      <c r="G3363" s="3">
        <v>18954.096078405</v>
      </c>
      <c r="H3363" s="3">
        <v>-84631.7163289647</v>
      </c>
      <c r="I3363" s="3">
        <v>73987.8584412856</v>
      </c>
      <c r="J3363" s="3" t="s">
        <v>1040</v>
      </c>
      <c r="K3363" s="3">
        <v>17.0</v>
      </c>
      <c r="L3363" s="3" t="s">
        <v>23</v>
      </c>
    </row>
    <row r="3364" ht="15.75" customHeight="1">
      <c r="A3364" s="3" t="s">
        <v>3452</v>
      </c>
      <c r="B3364" s="3" t="s">
        <v>53</v>
      </c>
      <c r="C3364" s="3" t="s">
        <v>37</v>
      </c>
      <c r="D3364" s="3">
        <v>86682.705656027</v>
      </c>
      <c r="E3364" s="3">
        <v>30354.4153568998</v>
      </c>
      <c r="F3364" s="3">
        <v>27404.5484507678</v>
      </c>
      <c r="G3364" s="5"/>
      <c r="H3364" s="3">
        <v>-84681.2200467137</v>
      </c>
      <c r="I3364" s="3">
        <v>73990.7037102481</v>
      </c>
      <c r="J3364" s="3" t="s">
        <v>1021</v>
      </c>
      <c r="K3364" s="3">
        <v>4.0</v>
      </c>
      <c r="L3364" s="3" t="s">
        <v>31</v>
      </c>
    </row>
    <row r="3365" ht="15.75" customHeight="1">
      <c r="A3365" s="3" t="s">
        <v>3453</v>
      </c>
      <c r="B3365" s="3" t="s">
        <v>25</v>
      </c>
      <c r="C3365" s="3" t="s">
        <v>54</v>
      </c>
      <c r="D3365" s="3">
        <v>86693.5886259332</v>
      </c>
      <c r="E3365" s="3">
        <v>30359.0300752273</v>
      </c>
      <c r="F3365" s="3">
        <v>27412.2284541973</v>
      </c>
      <c r="G3365" s="3">
        <v>18960.8911797796</v>
      </c>
      <c r="H3365" s="3">
        <v>-84730.7237644627</v>
      </c>
      <c r="I3365" s="3">
        <v>73993.5489792105</v>
      </c>
      <c r="J3365" s="3" t="s">
        <v>1012</v>
      </c>
      <c r="K3365" s="3">
        <v>20.0</v>
      </c>
      <c r="L3365" s="3" t="s">
        <v>42</v>
      </c>
    </row>
    <row r="3366" ht="15.75" customHeight="1">
      <c r="A3366" s="3" t="s">
        <v>3454</v>
      </c>
      <c r="B3366" s="3" t="s">
        <v>13</v>
      </c>
      <c r="C3366" s="3" t="s">
        <v>37</v>
      </c>
      <c r="D3366" s="3">
        <v>86704.4715958394</v>
      </c>
      <c r="E3366" s="3">
        <v>30363.6447935547</v>
      </c>
      <c r="F3366" s="3">
        <v>27419.9084576268</v>
      </c>
      <c r="G3366" s="3">
        <v>18964.2887304669</v>
      </c>
      <c r="H3366" s="3">
        <v>-84780.2274822128</v>
      </c>
      <c r="I3366" s="3">
        <v>73996.394248173</v>
      </c>
      <c r="J3366" s="3" t="s">
        <v>1040</v>
      </c>
      <c r="K3366" s="3">
        <v>12.0</v>
      </c>
      <c r="L3366" s="3" t="s">
        <v>40</v>
      </c>
    </row>
    <row r="3367" ht="15.75" customHeight="1">
      <c r="A3367" s="3" t="s">
        <v>3455</v>
      </c>
      <c r="B3367" s="3" t="s">
        <v>29</v>
      </c>
      <c r="C3367" s="3" t="s">
        <v>33</v>
      </c>
      <c r="D3367" s="3">
        <v>86715.3545657455</v>
      </c>
      <c r="E3367" s="3">
        <v>30368.2595118821</v>
      </c>
      <c r="F3367" s="3">
        <v>27427.5884610563</v>
      </c>
      <c r="G3367" s="3">
        <v>18967.6862811542</v>
      </c>
      <c r="H3367" s="3">
        <v>-84829.7311999617</v>
      </c>
      <c r="I3367" s="3">
        <v>73999.2395171355</v>
      </c>
      <c r="J3367" s="3" t="s">
        <v>1016</v>
      </c>
      <c r="K3367" s="3">
        <v>19.0</v>
      </c>
      <c r="L3367" s="3" t="s">
        <v>42</v>
      </c>
    </row>
    <row r="3368" ht="15.75" customHeight="1">
      <c r="A3368" s="3" t="s">
        <v>3456</v>
      </c>
      <c r="B3368" s="3" t="s">
        <v>51</v>
      </c>
      <c r="C3368" s="3" t="s">
        <v>14</v>
      </c>
      <c r="D3368" s="3">
        <v>86726.2375356517</v>
      </c>
      <c r="E3368" s="3">
        <v>30372.8742302095</v>
      </c>
      <c r="F3368" s="3">
        <v>27435.2684644858</v>
      </c>
      <c r="G3368" s="3">
        <v>18971.0838318414</v>
      </c>
      <c r="H3368" s="3">
        <v>-84879.2349177107</v>
      </c>
      <c r="I3368" s="3">
        <v>74002.084786098</v>
      </c>
      <c r="J3368" s="3" t="s">
        <v>1040</v>
      </c>
      <c r="K3368" s="3">
        <v>20.0</v>
      </c>
      <c r="L3368" s="3" t="s">
        <v>21</v>
      </c>
    </row>
    <row r="3369" ht="15.75" customHeight="1">
      <c r="A3369" s="3" t="s">
        <v>3457</v>
      </c>
      <c r="B3369" s="3" t="s">
        <v>13</v>
      </c>
      <c r="C3369" s="3" t="s">
        <v>14</v>
      </c>
      <c r="D3369" s="3">
        <v>86737.1205055579</v>
      </c>
      <c r="E3369" s="3">
        <v>30377.4889485369</v>
      </c>
      <c r="F3369" s="3">
        <v>27442.9484679152</v>
      </c>
      <c r="G3369" s="3">
        <v>18974.4813825287</v>
      </c>
      <c r="H3369" s="3">
        <v>-84928.7386354597</v>
      </c>
      <c r="I3369" s="3">
        <v>74004.9300550605</v>
      </c>
      <c r="J3369" s="3" t="s">
        <v>1016</v>
      </c>
      <c r="K3369" s="3">
        <v>1.0</v>
      </c>
      <c r="L3369" s="3" t="s">
        <v>34</v>
      </c>
    </row>
    <row r="3370" ht="15.75" customHeight="1">
      <c r="A3370" s="3" t="s">
        <v>3458</v>
      </c>
      <c r="B3370" s="3" t="s">
        <v>29</v>
      </c>
      <c r="C3370" s="3" t="s">
        <v>30</v>
      </c>
      <c r="D3370" s="3">
        <v>86748.0034754641</v>
      </c>
      <c r="E3370" s="3">
        <v>30382.1036668644</v>
      </c>
      <c r="F3370" s="3">
        <v>27450.6284713447</v>
      </c>
      <c r="G3370" s="3">
        <v>18977.878933216</v>
      </c>
      <c r="H3370" s="3">
        <v>-84978.2423532087</v>
      </c>
      <c r="I3370" s="3">
        <v>74007.7753240229</v>
      </c>
      <c r="J3370" s="3" t="s">
        <v>1040</v>
      </c>
      <c r="K3370" s="3">
        <v>12.0</v>
      </c>
      <c r="L3370" s="3" t="s">
        <v>21</v>
      </c>
    </row>
    <row r="3371" ht="15.75" customHeight="1">
      <c r="A3371" s="3" t="s">
        <v>3459</v>
      </c>
      <c r="B3371" s="3" t="s">
        <v>53</v>
      </c>
      <c r="C3371" s="3" t="s">
        <v>14</v>
      </c>
      <c r="D3371" s="3">
        <v>86769.7694152765</v>
      </c>
      <c r="E3371" s="3">
        <v>30391.3331035192</v>
      </c>
      <c r="F3371" s="3">
        <v>27465.9884782037</v>
      </c>
      <c r="G3371" s="3">
        <v>18984.6740345906</v>
      </c>
      <c r="H3371" s="3">
        <v>-85077.2497887067</v>
      </c>
      <c r="I3371" s="3">
        <v>74013.4658619479</v>
      </c>
      <c r="J3371" s="3" t="s">
        <v>1012</v>
      </c>
      <c r="K3371" s="3">
        <v>11.0</v>
      </c>
      <c r="L3371" s="3" t="s">
        <v>34</v>
      </c>
    </row>
    <row r="3372" ht="15.75" customHeight="1">
      <c r="A3372" s="3" t="s">
        <v>3460</v>
      </c>
      <c r="B3372" s="3" t="s">
        <v>29</v>
      </c>
      <c r="C3372" s="3" t="s">
        <v>30</v>
      </c>
      <c r="D3372" s="3">
        <v>86780.6523851827</v>
      </c>
      <c r="E3372" s="3">
        <v>30395.9478218466</v>
      </c>
      <c r="F3372" s="3">
        <v>27473.6684816332</v>
      </c>
      <c r="G3372" s="3">
        <v>18988.0715852779</v>
      </c>
      <c r="H3372" s="3">
        <v>-85126.7535064557</v>
      </c>
      <c r="I3372" s="3">
        <v>74016.3111309104</v>
      </c>
      <c r="J3372" s="3" t="s">
        <v>1062</v>
      </c>
      <c r="K3372" s="3">
        <v>17.0</v>
      </c>
      <c r="L3372" s="3" t="s">
        <v>34</v>
      </c>
    </row>
    <row r="3373" ht="15.75" customHeight="1">
      <c r="A3373" s="3" t="s">
        <v>3461</v>
      </c>
      <c r="B3373" s="3" t="s">
        <v>51</v>
      </c>
      <c r="C3373" s="3" t="s">
        <v>37</v>
      </c>
      <c r="D3373" s="3">
        <v>86791.5353550889</v>
      </c>
      <c r="E3373" s="3">
        <v>30400.562540174</v>
      </c>
      <c r="F3373" s="3">
        <v>27481.3484850627</v>
      </c>
      <c r="G3373" s="3">
        <v>18991.4691359652</v>
      </c>
      <c r="H3373" s="3">
        <v>-85176.2572242058</v>
      </c>
      <c r="I3373" s="3">
        <v>74019.1563998728</v>
      </c>
      <c r="J3373" s="3" t="s">
        <v>1031</v>
      </c>
      <c r="K3373" s="3">
        <v>4.0</v>
      </c>
      <c r="L3373" s="3" t="s">
        <v>15</v>
      </c>
    </row>
    <row r="3374" ht="15.75" customHeight="1">
      <c r="A3374" s="3" t="s">
        <v>3462</v>
      </c>
      <c r="B3374" s="3" t="s">
        <v>13</v>
      </c>
      <c r="C3374" s="3" t="s">
        <v>33</v>
      </c>
      <c r="D3374" s="3">
        <v>86802.4183249951</v>
      </c>
      <c r="E3374" s="3">
        <v>30405.1772585015</v>
      </c>
      <c r="F3374" s="3">
        <v>27489.0284884922</v>
      </c>
      <c r="G3374" s="3">
        <v>18994.8666866524</v>
      </c>
      <c r="H3374" s="3">
        <v>-85225.7609419548</v>
      </c>
      <c r="I3374" s="3">
        <v>74022.0016688353</v>
      </c>
      <c r="J3374" s="3" t="s">
        <v>1062</v>
      </c>
      <c r="K3374" s="3">
        <v>21.0</v>
      </c>
      <c r="L3374" s="3" t="s">
        <v>42</v>
      </c>
    </row>
    <row r="3375" ht="15.75" customHeight="1">
      <c r="A3375" s="3" t="s">
        <v>3463</v>
      </c>
      <c r="B3375" s="3" t="s">
        <v>29</v>
      </c>
      <c r="C3375" s="3" t="s">
        <v>54</v>
      </c>
      <c r="D3375" s="3">
        <v>86813.3012949013</v>
      </c>
      <c r="E3375" s="3">
        <v>30409.7919768289</v>
      </c>
      <c r="F3375" s="3">
        <v>27496.7084919217</v>
      </c>
      <c r="G3375" s="3">
        <v>18998.2642373397</v>
      </c>
      <c r="H3375" s="3">
        <v>-85275.2646597037</v>
      </c>
      <c r="I3375" s="3">
        <v>74024.8469377978</v>
      </c>
      <c r="J3375" s="3" t="s">
        <v>1062</v>
      </c>
      <c r="K3375" s="3">
        <v>11.0</v>
      </c>
      <c r="L3375" s="3" t="s">
        <v>23</v>
      </c>
    </row>
    <row r="3376" ht="15.75" customHeight="1">
      <c r="A3376" s="3" t="s">
        <v>3464</v>
      </c>
      <c r="B3376" s="3" t="s">
        <v>25</v>
      </c>
      <c r="C3376" s="3" t="s">
        <v>14</v>
      </c>
      <c r="D3376" s="3">
        <v>86824.1842648075</v>
      </c>
      <c r="E3376" s="3">
        <v>30414.4066951563</v>
      </c>
      <c r="F3376" s="3">
        <v>27504.3884953512</v>
      </c>
      <c r="G3376" s="3">
        <v>19001.661788027</v>
      </c>
      <c r="H3376" s="3">
        <v>-85324.7683774527</v>
      </c>
      <c r="I3376" s="3">
        <v>74027.6922067603</v>
      </c>
      <c r="J3376" s="3" t="s">
        <v>970</v>
      </c>
      <c r="K3376" s="3">
        <v>7.0</v>
      </c>
      <c r="L3376" s="3" t="s">
        <v>19</v>
      </c>
    </row>
    <row r="3377" ht="15.75" customHeight="1">
      <c r="A3377" s="3" t="s">
        <v>3465</v>
      </c>
      <c r="B3377" s="3" t="s">
        <v>36</v>
      </c>
      <c r="C3377" s="3" t="s">
        <v>18</v>
      </c>
      <c r="D3377" s="3">
        <v>86835.0672347137</v>
      </c>
      <c r="E3377" s="3">
        <v>30419.0214134837</v>
      </c>
      <c r="F3377" s="3">
        <v>27512.0684987807</v>
      </c>
      <c r="G3377" s="3">
        <v>19005.0593387143</v>
      </c>
      <c r="H3377" s="3">
        <v>-85374.2720952017</v>
      </c>
      <c r="I3377" s="3">
        <v>74030.5374757228</v>
      </c>
      <c r="J3377" s="3" t="s">
        <v>1062</v>
      </c>
      <c r="K3377" s="3">
        <v>5.0</v>
      </c>
      <c r="L3377" s="3" t="s">
        <v>27</v>
      </c>
    </row>
    <row r="3378" ht="15.75" customHeight="1">
      <c r="A3378" s="3" t="s">
        <v>3466</v>
      </c>
      <c r="B3378" s="3" t="s">
        <v>36</v>
      </c>
      <c r="C3378" s="3" t="s">
        <v>54</v>
      </c>
      <c r="D3378" s="3">
        <v>86845.9502046199</v>
      </c>
      <c r="E3378" s="3">
        <v>30423.6361318112</v>
      </c>
      <c r="F3378" s="3">
        <v>27519.7485022102</v>
      </c>
      <c r="G3378" s="3">
        <v>19008.4568894016</v>
      </c>
      <c r="H3378" s="3">
        <v>-85423.7758129507</v>
      </c>
      <c r="I3378" s="3">
        <v>74033.3827446852</v>
      </c>
      <c r="J3378" s="3" t="s">
        <v>1026</v>
      </c>
      <c r="K3378" s="3">
        <v>21.0</v>
      </c>
      <c r="L3378" s="3" t="s">
        <v>19</v>
      </c>
    </row>
    <row r="3379" ht="15.75" customHeight="1">
      <c r="A3379" s="3" t="s">
        <v>3467</v>
      </c>
      <c r="B3379" s="3" t="s">
        <v>36</v>
      </c>
      <c r="C3379" s="3" t="s">
        <v>26</v>
      </c>
      <c r="D3379" s="3">
        <v>86856.8331745261</v>
      </c>
      <c r="E3379" s="3">
        <v>30428.2508501386</v>
      </c>
      <c r="F3379" s="3">
        <v>27527.4285056397</v>
      </c>
      <c r="G3379" s="3">
        <v>19011.8544400889</v>
      </c>
      <c r="H3379" s="3">
        <v>-85473.2795306997</v>
      </c>
      <c r="I3379" s="3">
        <v>74036.2280136477</v>
      </c>
      <c r="J3379" s="3" t="s">
        <v>1062</v>
      </c>
      <c r="K3379" s="3">
        <v>22.0</v>
      </c>
      <c r="L3379" s="3" t="s">
        <v>40</v>
      </c>
    </row>
    <row r="3380" ht="15.75" customHeight="1">
      <c r="A3380" s="3" t="s">
        <v>3468</v>
      </c>
      <c r="B3380" s="3" t="s">
        <v>25</v>
      </c>
      <c r="C3380" s="3" t="s">
        <v>14</v>
      </c>
      <c r="D3380" s="3">
        <v>86867.7161444323</v>
      </c>
      <c r="E3380" s="3">
        <v>30432.865568466</v>
      </c>
      <c r="F3380" s="3">
        <v>27535.1085090692</v>
      </c>
      <c r="G3380" s="3">
        <v>19015.2519907762</v>
      </c>
      <c r="H3380" s="3">
        <v>-85522.7832484497</v>
      </c>
      <c r="I3380" s="3">
        <v>74039.0732826102</v>
      </c>
      <c r="J3380" s="3" t="s">
        <v>1040</v>
      </c>
      <c r="K3380" s="3">
        <v>6.0</v>
      </c>
      <c r="L3380" s="3" t="s">
        <v>19</v>
      </c>
    </row>
    <row r="3381" ht="15.75" customHeight="1">
      <c r="A3381" s="3" t="s">
        <v>3469</v>
      </c>
      <c r="B3381" s="3" t="s">
        <v>53</v>
      </c>
      <c r="C3381" s="3" t="s">
        <v>37</v>
      </c>
      <c r="D3381" s="3">
        <v>86878.5991143385</v>
      </c>
      <c r="E3381" s="3">
        <v>30437.4802867934</v>
      </c>
      <c r="F3381" s="3">
        <v>27542.7885124987</v>
      </c>
      <c r="G3381" s="3">
        <v>19018.6495414635</v>
      </c>
      <c r="H3381" s="3">
        <v>-85572.2869661987</v>
      </c>
      <c r="I3381" s="3">
        <v>74041.9185515727</v>
      </c>
      <c r="J3381" s="3" t="s">
        <v>1042</v>
      </c>
      <c r="K3381" s="3">
        <v>8.0</v>
      </c>
      <c r="L3381" s="3" t="s">
        <v>40</v>
      </c>
    </row>
    <row r="3382" ht="15.75" customHeight="1">
      <c r="A3382" s="3" t="s">
        <v>3470</v>
      </c>
      <c r="B3382" s="3" t="s">
        <v>13</v>
      </c>
      <c r="C3382" s="3" t="s">
        <v>37</v>
      </c>
      <c r="D3382" s="3">
        <v>86889.4820842446</v>
      </c>
      <c r="E3382" s="3">
        <v>30442.0950051208</v>
      </c>
      <c r="F3382" s="3">
        <v>27550.4685159282</v>
      </c>
      <c r="G3382" s="3">
        <v>19022.0470921507</v>
      </c>
      <c r="H3382" s="3">
        <v>-85621.7906839478</v>
      </c>
      <c r="I3382" s="3">
        <v>74044.7638205352</v>
      </c>
      <c r="J3382" s="3" t="s">
        <v>1021</v>
      </c>
      <c r="K3382" s="3">
        <v>25.0</v>
      </c>
      <c r="L3382" s="3" t="s">
        <v>34</v>
      </c>
    </row>
    <row r="3383" ht="15.75" customHeight="1">
      <c r="A3383" s="3" t="s">
        <v>3471</v>
      </c>
      <c r="B3383" s="3" t="s">
        <v>36</v>
      </c>
      <c r="C3383" s="3" t="s">
        <v>26</v>
      </c>
      <c r="D3383" s="3">
        <v>86900.3650541508</v>
      </c>
      <c r="E3383" s="3">
        <v>30446.7097234483</v>
      </c>
      <c r="F3383" s="3">
        <v>27558.1485193577</v>
      </c>
      <c r="G3383" s="3">
        <v>19025.444642838</v>
      </c>
      <c r="H3383" s="3">
        <v>-85671.2944016967</v>
      </c>
      <c r="I3383" s="3">
        <v>74047.6090894976</v>
      </c>
      <c r="J3383" s="3" t="s">
        <v>1034</v>
      </c>
      <c r="K3383" s="3">
        <v>4.0</v>
      </c>
      <c r="L3383" s="3" t="s">
        <v>19</v>
      </c>
    </row>
    <row r="3384" ht="15.75" customHeight="1">
      <c r="A3384" s="3" t="s">
        <v>3472</v>
      </c>
      <c r="B3384" s="3" t="s">
        <v>17</v>
      </c>
      <c r="C3384" s="3" t="s">
        <v>14</v>
      </c>
      <c r="D3384" s="3">
        <v>86911.248024057</v>
      </c>
      <c r="E3384" s="3">
        <v>30451.3244417757</v>
      </c>
      <c r="F3384" s="3">
        <v>27565.8285227872</v>
      </c>
      <c r="G3384" s="3">
        <v>19028.8421935253</v>
      </c>
      <c r="H3384" s="3">
        <v>-85720.7981194457</v>
      </c>
      <c r="I3384" s="3">
        <v>74050.4543584601</v>
      </c>
      <c r="J3384" s="3" t="s">
        <v>1012</v>
      </c>
      <c r="K3384" s="3">
        <v>20.0</v>
      </c>
      <c r="L3384" s="3" t="s">
        <v>31</v>
      </c>
    </row>
    <row r="3385" ht="15.75" customHeight="1">
      <c r="A3385" s="3" t="s">
        <v>3473</v>
      </c>
      <c r="B3385" s="3" t="s">
        <v>51</v>
      </c>
      <c r="C3385" s="3" t="s">
        <v>26</v>
      </c>
      <c r="D3385" s="3">
        <v>86922.1309939632</v>
      </c>
      <c r="E3385" s="3">
        <v>30455.9391601031</v>
      </c>
      <c r="F3385" s="3">
        <v>27573.5085262167</v>
      </c>
      <c r="G3385" s="3">
        <v>19032.2397442126</v>
      </c>
      <c r="H3385" s="3">
        <v>-85770.3018371947</v>
      </c>
      <c r="I3385" s="3">
        <v>74053.2996274226</v>
      </c>
      <c r="J3385" s="3" t="s">
        <v>1026</v>
      </c>
      <c r="K3385" s="3">
        <v>4.0</v>
      </c>
      <c r="L3385" s="3" t="s">
        <v>19</v>
      </c>
    </row>
    <row r="3386" ht="15.75" customHeight="1">
      <c r="A3386" s="3" t="s">
        <v>3474</v>
      </c>
      <c r="B3386" s="3" t="s">
        <v>17</v>
      </c>
      <c r="C3386" s="3" t="s">
        <v>37</v>
      </c>
      <c r="D3386" s="3">
        <v>86933.0139638694</v>
      </c>
      <c r="E3386" s="3">
        <v>30460.5538784305</v>
      </c>
      <c r="F3386" s="3">
        <v>27581.1885296462</v>
      </c>
      <c r="G3386" s="3">
        <v>19035.6372948999</v>
      </c>
      <c r="H3386" s="3">
        <v>-85819.8055549437</v>
      </c>
      <c r="I3386" s="3">
        <v>74056.1448963851</v>
      </c>
      <c r="J3386" s="3" t="s">
        <v>1016</v>
      </c>
      <c r="K3386" s="3">
        <v>11.0</v>
      </c>
      <c r="L3386" s="3" t="s">
        <v>31</v>
      </c>
    </row>
    <row r="3387" ht="15.75" customHeight="1">
      <c r="A3387" s="3" t="s">
        <v>3475</v>
      </c>
      <c r="B3387" s="3" t="s">
        <v>17</v>
      </c>
      <c r="C3387" s="3" t="s">
        <v>18</v>
      </c>
      <c r="D3387" s="3">
        <v>86943.8969337756</v>
      </c>
      <c r="E3387" s="3">
        <v>30465.168596758</v>
      </c>
      <c r="F3387" s="3">
        <v>27588.8685330757</v>
      </c>
      <c r="G3387" s="3">
        <v>19039.0348455872</v>
      </c>
      <c r="H3387" s="3">
        <v>-85869.3092726927</v>
      </c>
      <c r="I3387" s="3">
        <v>74058.9901653475</v>
      </c>
      <c r="J3387" s="3" t="s">
        <v>1018</v>
      </c>
      <c r="K3387" s="3">
        <v>15.0</v>
      </c>
      <c r="L3387" s="3" t="s">
        <v>31</v>
      </c>
    </row>
    <row r="3388" ht="15.75" customHeight="1">
      <c r="A3388" s="3" t="s">
        <v>3476</v>
      </c>
      <c r="B3388" s="3" t="s">
        <v>36</v>
      </c>
      <c r="C3388" s="3" t="s">
        <v>18</v>
      </c>
      <c r="D3388" s="3">
        <v>86965.662873588</v>
      </c>
      <c r="E3388" s="3">
        <v>30474.3980334128</v>
      </c>
      <c r="F3388" s="3">
        <v>27604.2285399347</v>
      </c>
      <c r="G3388" s="3">
        <v>19045.8299469618</v>
      </c>
      <c r="H3388" s="3">
        <v>-85968.3167081917</v>
      </c>
      <c r="I3388" s="3">
        <v>74064.6807032725</v>
      </c>
      <c r="J3388" s="3" t="s">
        <v>1042</v>
      </c>
      <c r="K3388" s="3">
        <v>3.0</v>
      </c>
      <c r="L3388" s="3" t="s">
        <v>21</v>
      </c>
    </row>
    <row r="3389" ht="15.75" customHeight="1">
      <c r="A3389" s="3" t="s">
        <v>3477</v>
      </c>
      <c r="B3389" s="3" t="s">
        <v>25</v>
      </c>
      <c r="C3389" s="3" t="s">
        <v>37</v>
      </c>
      <c r="D3389" s="3">
        <v>86976.5458434942</v>
      </c>
      <c r="E3389" s="3">
        <v>30479.0127517402</v>
      </c>
      <c r="F3389" s="3">
        <v>27611.9085433642</v>
      </c>
      <c r="G3389" s="3">
        <v>19049.227497649</v>
      </c>
      <c r="H3389" s="3">
        <v>-86017.8204259408</v>
      </c>
      <c r="I3389" s="3">
        <v>74067.525972235</v>
      </c>
      <c r="J3389" s="3" t="s">
        <v>1016</v>
      </c>
      <c r="K3389" s="3">
        <v>17.0</v>
      </c>
      <c r="L3389" s="3" t="s">
        <v>23</v>
      </c>
    </row>
    <row r="3390" ht="15.75" customHeight="1">
      <c r="A3390" s="3" t="s">
        <v>3478</v>
      </c>
      <c r="B3390" s="3" t="s">
        <v>25</v>
      </c>
      <c r="C3390" s="3" t="s">
        <v>26</v>
      </c>
      <c r="D3390" s="3">
        <v>86987.4288134004</v>
      </c>
      <c r="E3390" s="3">
        <v>30483.6274700676</v>
      </c>
      <c r="F3390" s="3">
        <v>27619.5885467937</v>
      </c>
      <c r="G3390" s="3">
        <v>19052.6250483363</v>
      </c>
      <c r="H3390" s="3">
        <v>-86067.3241436898</v>
      </c>
      <c r="I3390" s="3">
        <v>74070.3712411975</v>
      </c>
      <c r="J3390" s="3" t="s">
        <v>1012</v>
      </c>
      <c r="K3390" s="3">
        <v>2.0</v>
      </c>
      <c r="L3390" s="3" t="s">
        <v>27</v>
      </c>
    </row>
    <row r="3391" ht="15.75" customHeight="1">
      <c r="A3391" s="3" t="s">
        <v>3479</v>
      </c>
      <c r="B3391" s="3" t="s">
        <v>25</v>
      </c>
      <c r="C3391" s="3" t="s">
        <v>26</v>
      </c>
      <c r="D3391" s="3">
        <v>86998.3117833066</v>
      </c>
      <c r="E3391" s="3">
        <v>30488.2421883951</v>
      </c>
      <c r="F3391" s="3">
        <v>27627.2685502232</v>
      </c>
      <c r="G3391" s="3">
        <v>19056.0225990236</v>
      </c>
      <c r="H3391" s="3">
        <v>-86116.8278614387</v>
      </c>
      <c r="I3391" s="3">
        <v>74073.2165101599</v>
      </c>
      <c r="J3391" s="3" t="s">
        <v>1012</v>
      </c>
      <c r="K3391" s="3">
        <v>7.0</v>
      </c>
      <c r="L3391" s="3" t="s">
        <v>15</v>
      </c>
    </row>
    <row r="3392" ht="15.75" customHeight="1">
      <c r="A3392" s="3" t="s">
        <v>3480</v>
      </c>
      <c r="B3392" s="3" t="s">
        <v>51</v>
      </c>
      <c r="C3392" s="3" t="s">
        <v>14</v>
      </c>
      <c r="D3392" s="3">
        <v>87009.1947532128</v>
      </c>
      <c r="E3392" s="3">
        <v>30492.8569067225</v>
      </c>
      <c r="F3392" s="3">
        <v>27634.9485536527</v>
      </c>
      <c r="G3392" s="3">
        <v>19059.4201497109</v>
      </c>
      <c r="H3392" s="3">
        <v>-86166.3315791877</v>
      </c>
      <c r="I3392" s="3">
        <v>74076.0617791224</v>
      </c>
      <c r="J3392" s="3" t="s">
        <v>1040</v>
      </c>
      <c r="K3392" s="3">
        <v>8.0</v>
      </c>
      <c r="L3392" s="3" t="s">
        <v>19</v>
      </c>
    </row>
    <row r="3393" ht="15.75" customHeight="1">
      <c r="A3393" s="3" t="s">
        <v>3481</v>
      </c>
      <c r="B3393" s="3" t="s">
        <v>29</v>
      </c>
      <c r="C3393" s="3" t="s">
        <v>30</v>
      </c>
      <c r="D3393" s="3">
        <v>87020.077723119</v>
      </c>
      <c r="E3393" s="3">
        <v>30497.4716250499</v>
      </c>
      <c r="F3393" s="3">
        <v>27642.6285570822</v>
      </c>
      <c r="G3393" s="3">
        <v>19062.8177003982</v>
      </c>
      <c r="H3393" s="3">
        <v>-86215.8352969367</v>
      </c>
      <c r="I3393" s="3">
        <v>74078.9070480849</v>
      </c>
      <c r="J3393" s="3" t="s">
        <v>1026</v>
      </c>
      <c r="K3393" s="3">
        <v>20.0</v>
      </c>
      <c r="L3393" s="3" t="s">
        <v>34</v>
      </c>
    </row>
    <row r="3394" ht="15.75" customHeight="1">
      <c r="A3394" s="3" t="s">
        <v>3482</v>
      </c>
      <c r="B3394" s="3" t="s">
        <v>53</v>
      </c>
      <c r="C3394" s="3" t="s">
        <v>54</v>
      </c>
      <c r="D3394" s="3">
        <v>87030.9606930252</v>
      </c>
      <c r="E3394" s="3">
        <v>30502.0863433773</v>
      </c>
      <c r="F3394" s="3">
        <v>27650.3085605117</v>
      </c>
      <c r="G3394" s="3">
        <v>19066.2152510855</v>
      </c>
      <c r="H3394" s="3">
        <v>-86265.3390146857</v>
      </c>
      <c r="I3394" s="3">
        <v>74081.7523170474</v>
      </c>
      <c r="J3394" s="3" t="s">
        <v>1040</v>
      </c>
      <c r="K3394" s="3">
        <v>10.0</v>
      </c>
      <c r="L3394" s="3" t="s">
        <v>23</v>
      </c>
    </row>
    <row r="3395" ht="15.75" customHeight="1">
      <c r="A3395" s="3" t="s">
        <v>3483</v>
      </c>
      <c r="B3395" s="3" t="s">
        <v>17</v>
      </c>
      <c r="C3395" s="3" t="s">
        <v>33</v>
      </c>
      <c r="D3395" s="3">
        <v>87041.8436629314</v>
      </c>
      <c r="E3395" s="3">
        <v>30506.7010617048</v>
      </c>
      <c r="F3395" s="3">
        <v>27657.9885639412</v>
      </c>
      <c r="G3395" s="3">
        <v>19069.6128017728</v>
      </c>
      <c r="H3395" s="3">
        <v>-86314.8427324357</v>
      </c>
      <c r="I3395" s="3">
        <v>74084.5975860099</v>
      </c>
      <c r="J3395" s="3" t="s">
        <v>1062</v>
      </c>
      <c r="K3395" s="3">
        <v>13.0</v>
      </c>
      <c r="L3395" s="3" t="s">
        <v>34</v>
      </c>
    </row>
    <row r="3396" ht="15.75" customHeight="1">
      <c r="A3396" s="3" t="s">
        <v>3484</v>
      </c>
      <c r="B3396" s="3" t="s">
        <v>53</v>
      </c>
      <c r="C3396" s="3" t="s">
        <v>54</v>
      </c>
      <c r="D3396" s="3">
        <v>87063.6096027437</v>
      </c>
      <c r="E3396" s="3">
        <v>30515.9304983596</v>
      </c>
      <c r="F3396" s="3">
        <v>27673.3485708002</v>
      </c>
      <c r="G3396" s="3">
        <v>19076.4079031473</v>
      </c>
      <c r="H3396" s="3">
        <v>-86413.8501679337</v>
      </c>
      <c r="I3396" s="3">
        <v>74090.2881239348</v>
      </c>
      <c r="J3396" s="3" t="s">
        <v>1040</v>
      </c>
      <c r="K3396" s="3">
        <v>15.0</v>
      </c>
      <c r="L3396" s="3" t="s">
        <v>19</v>
      </c>
    </row>
    <row r="3397" ht="15.75" customHeight="1">
      <c r="A3397" s="3" t="s">
        <v>3485</v>
      </c>
      <c r="B3397" s="3" t="s">
        <v>25</v>
      </c>
      <c r="C3397" s="3" t="s">
        <v>30</v>
      </c>
      <c r="D3397" s="3">
        <v>87074.4925726499</v>
      </c>
      <c r="E3397" s="3">
        <v>30520.545216687</v>
      </c>
      <c r="F3397" s="3">
        <v>27681.0285742297</v>
      </c>
      <c r="G3397" s="3">
        <v>19079.8054538346</v>
      </c>
      <c r="H3397" s="3">
        <v>-86463.3538856828</v>
      </c>
      <c r="I3397" s="3">
        <v>74093.1333928973</v>
      </c>
      <c r="J3397" s="3" t="s">
        <v>1023</v>
      </c>
      <c r="K3397" s="3">
        <v>16.0</v>
      </c>
      <c r="L3397" s="3" t="s">
        <v>21</v>
      </c>
    </row>
    <row r="3398" ht="15.75" customHeight="1">
      <c r="A3398" s="3" t="s">
        <v>3486</v>
      </c>
      <c r="B3398" s="3" t="s">
        <v>53</v>
      </c>
      <c r="C3398" s="3" t="s">
        <v>37</v>
      </c>
      <c r="D3398" s="3">
        <v>87096.2585124623</v>
      </c>
      <c r="E3398" s="3">
        <v>30529.7746533419</v>
      </c>
      <c r="F3398" s="3">
        <v>27696.3885810887</v>
      </c>
      <c r="G3398" s="3">
        <v>19086.6005552092</v>
      </c>
      <c r="H3398" s="3">
        <v>-86562.3613211807</v>
      </c>
      <c r="I3398" s="3">
        <v>74098.8239308223</v>
      </c>
      <c r="J3398" s="3" t="s">
        <v>1016</v>
      </c>
      <c r="K3398" s="3">
        <v>4.0</v>
      </c>
      <c r="L3398" s="3" t="s">
        <v>27</v>
      </c>
    </row>
    <row r="3399" ht="15.75" customHeight="1">
      <c r="A3399" s="3" t="s">
        <v>3487</v>
      </c>
      <c r="B3399" s="3" t="s">
        <v>53</v>
      </c>
      <c r="C3399" s="3" t="s">
        <v>37</v>
      </c>
      <c r="D3399" s="3">
        <v>87107.1414823685</v>
      </c>
      <c r="E3399" s="3">
        <v>30534.3893716693</v>
      </c>
      <c r="F3399" s="3">
        <v>27704.0685845182</v>
      </c>
      <c r="G3399" s="3">
        <v>19089.9981058965</v>
      </c>
      <c r="H3399" s="3">
        <v>-86611.8650389297</v>
      </c>
      <c r="I3399" s="3">
        <v>74101.6691997847</v>
      </c>
      <c r="J3399" s="3" t="s">
        <v>1018</v>
      </c>
      <c r="K3399" s="3">
        <v>11.0</v>
      </c>
      <c r="L3399" s="3" t="s">
        <v>42</v>
      </c>
    </row>
    <row r="3400" ht="15.75" customHeight="1">
      <c r="A3400" s="3" t="s">
        <v>3488</v>
      </c>
      <c r="B3400" s="3" t="s">
        <v>13</v>
      </c>
      <c r="C3400" s="3" t="s">
        <v>33</v>
      </c>
      <c r="D3400" s="3">
        <v>87128.9074221809</v>
      </c>
      <c r="E3400" s="3">
        <v>30543.6188083241</v>
      </c>
      <c r="F3400" s="3">
        <v>27719.4285913771</v>
      </c>
      <c r="G3400" s="3">
        <v>19096.7932072711</v>
      </c>
      <c r="H3400" s="3">
        <v>-86710.8724744287</v>
      </c>
      <c r="I3400" s="3">
        <v>74107.3597377097</v>
      </c>
      <c r="J3400" s="3" t="s">
        <v>1031</v>
      </c>
      <c r="K3400" s="3">
        <v>21.0</v>
      </c>
      <c r="L3400" s="3" t="s">
        <v>19</v>
      </c>
    </row>
    <row r="3401" ht="15.75" customHeight="1">
      <c r="A3401" s="3" t="s">
        <v>3489</v>
      </c>
      <c r="B3401" s="3" t="s">
        <v>51</v>
      </c>
      <c r="C3401" s="3" t="s">
        <v>14</v>
      </c>
      <c r="D3401" s="3">
        <v>87139.7903920871</v>
      </c>
      <c r="E3401" s="3">
        <v>30548.2335266516</v>
      </c>
      <c r="F3401" s="3">
        <v>27727.1085948066</v>
      </c>
      <c r="G3401" s="3">
        <v>19100.1907579583</v>
      </c>
      <c r="H3401" s="3">
        <v>-86760.3761921777</v>
      </c>
      <c r="I3401" s="3">
        <v>74110.2050066722</v>
      </c>
      <c r="J3401" s="3" t="s">
        <v>1023</v>
      </c>
      <c r="K3401" s="3">
        <v>23.0</v>
      </c>
      <c r="L3401" s="3" t="s">
        <v>40</v>
      </c>
    </row>
    <row r="3402" ht="15.75" customHeight="1">
      <c r="A3402" s="3" t="s">
        <v>3490</v>
      </c>
      <c r="B3402" s="3" t="s">
        <v>25</v>
      </c>
      <c r="C3402" s="3" t="s">
        <v>33</v>
      </c>
      <c r="D3402" s="3">
        <v>87150.6733619933</v>
      </c>
      <c r="E3402" s="3">
        <v>30552.848244979</v>
      </c>
      <c r="F3402" s="3">
        <v>27734.7885982361</v>
      </c>
      <c r="G3402" s="3">
        <v>19103.5883086456</v>
      </c>
      <c r="H3402" s="3">
        <v>-86809.8799099267</v>
      </c>
      <c r="I3402" s="3">
        <v>74113.0502756346</v>
      </c>
      <c r="J3402" s="3" t="s">
        <v>1034</v>
      </c>
      <c r="K3402" s="3">
        <v>2.0</v>
      </c>
      <c r="L3402" s="3" t="s">
        <v>31</v>
      </c>
    </row>
    <row r="3403" ht="15.75" customHeight="1">
      <c r="A3403" s="3" t="s">
        <v>3491</v>
      </c>
      <c r="B3403" s="3" t="s">
        <v>51</v>
      </c>
      <c r="C3403" s="3" t="s">
        <v>54</v>
      </c>
      <c r="D3403" s="3">
        <v>87161.5563318995</v>
      </c>
      <c r="E3403" s="3">
        <v>30557.4629633064</v>
      </c>
      <c r="F3403" s="3">
        <v>27742.4686016656</v>
      </c>
      <c r="G3403" s="3">
        <v>19106.9858593329</v>
      </c>
      <c r="H3403" s="3">
        <v>-86859.3836276758</v>
      </c>
      <c r="I3403" s="3">
        <v>74115.8955445971</v>
      </c>
      <c r="J3403" s="3" t="s">
        <v>1012</v>
      </c>
      <c r="K3403" s="3">
        <v>14.0</v>
      </c>
      <c r="L3403" s="3" t="s">
        <v>42</v>
      </c>
    </row>
    <row r="3404" ht="15.75" customHeight="1">
      <c r="A3404" s="3" t="s">
        <v>3492</v>
      </c>
      <c r="B3404" s="3" t="s">
        <v>17</v>
      </c>
      <c r="C3404" s="3" t="s">
        <v>30</v>
      </c>
      <c r="D3404" s="3">
        <v>87172.4393018057</v>
      </c>
      <c r="E3404" s="3">
        <v>30562.0776816338</v>
      </c>
      <c r="F3404" s="3">
        <v>27750.1486050951</v>
      </c>
      <c r="G3404" s="3">
        <v>19110.3834100202</v>
      </c>
      <c r="H3404" s="3">
        <v>-86908.8873454248</v>
      </c>
      <c r="I3404" s="3">
        <v>74118.7408135596</v>
      </c>
      <c r="J3404" s="3" t="s">
        <v>1014</v>
      </c>
      <c r="K3404" s="3">
        <v>12.0</v>
      </c>
      <c r="L3404" s="3" t="s">
        <v>27</v>
      </c>
    </row>
    <row r="3405" ht="15.75" customHeight="1">
      <c r="A3405" s="3" t="s">
        <v>3493</v>
      </c>
      <c r="B3405" s="3" t="s">
        <v>13</v>
      </c>
      <c r="C3405" s="3" t="s">
        <v>33</v>
      </c>
      <c r="D3405" s="3">
        <v>87183.3222717119</v>
      </c>
      <c r="E3405" s="3">
        <v>30566.6923999612</v>
      </c>
      <c r="F3405" s="3">
        <v>27757.8286085246</v>
      </c>
      <c r="G3405" s="3">
        <v>19113.7809607075</v>
      </c>
      <c r="H3405" s="3">
        <v>-86958.3910631737</v>
      </c>
      <c r="I3405" s="3">
        <v>74121.5860825221</v>
      </c>
      <c r="J3405" s="3" t="s">
        <v>1014</v>
      </c>
      <c r="K3405" s="3">
        <v>11.0</v>
      </c>
      <c r="L3405" s="3" t="s">
        <v>40</v>
      </c>
    </row>
    <row r="3406" ht="15.75" customHeight="1">
      <c r="A3406" s="3" t="s">
        <v>3494</v>
      </c>
      <c r="B3406" s="3" t="s">
        <v>13</v>
      </c>
      <c r="C3406" s="3" t="s">
        <v>37</v>
      </c>
      <c r="D3406" s="5"/>
      <c r="E3406" s="3">
        <v>30571.3071182887</v>
      </c>
      <c r="F3406" s="3">
        <v>27765.5086119541</v>
      </c>
      <c r="G3406" s="3">
        <v>19117.1785113948</v>
      </c>
      <c r="H3406" s="3">
        <v>-87007.8947809227</v>
      </c>
      <c r="I3406" s="3">
        <v>74124.4313514846</v>
      </c>
      <c r="J3406" s="3" t="s">
        <v>1018</v>
      </c>
      <c r="K3406" s="3">
        <v>25.0</v>
      </c>
      <c r="L3406" s="3" t="s">
        <v>27</v>
      </c>
    </row>
    <row r="3407" ht="15.75" customHeight="1">
      <c r="A3407" s="3" t="s">
        <v>3495</v>
      </c>
      <c r="B3407" s="3" t="s">
        <v>13</v>
      </c>
      <c r="C3407" s="3" t="s">
        <v>14</v>
      </c>
      <c r="D3407" s="3">
        <v>87205.0882115243</v>
      </c>
      <c r="E3407" s="3">
        <v>30575.9218366161</v>
      </c>
      <c r="F3407" s="3">
        <v>27773.1886153836</v>
      </c>
      <c r="G3407" s="3">
        <v>19120.5760620821</v>
      </c>
      <c r="H3407" s="3">
        <v>-87057.3984986717</v>
      </c>
      <c r="I3407" s="3">
        <v>74127.276620447</v>
      </c>
      <c r="J3407" s="3" t="s">
        <v>1021</v>
      </c>
      <c r="K3407" s="3">
        <v>20.0</v>
      </c>
      <c r="L3407" s="3" t="s">
        <v>42</v>
      </c>
    </row>
    <row r="3408" ht="15.75" customHeight="1">
      <c r="A3408" s="3" t="s">
        <v>3496</v>
      </c>
      <c r="B3408" s="3" t="s">
        <v>51</v>
      </c>
      <c r="C3408" s="3" t="s">
        <v>14</v>
      </c>
      <c r="D3408" s="3">
        <v>87215.9711814304</v>
      </c>
      <c r="E3408" s="3">
        <v>30580.5365549435</v>
      </c>
      <c r="F3408" s="3">
        <v>27780.8686188131</v>
      </c>
      <c r="G3408" s="3">
        <v>19123.9736127694</v>
      </c>
      <c r="H3408" s="3">
        <v>-87106.9022164217</v>
      </c>
      <c r="I3408" s="3">
        <v>74130.1218894095</v>
      </c>
      <c r="J3408" s="3" t="s">
        <v>1040</v>
      </c>
      <c r="K3408" s="3">
        <v>11.0</v>
      </c>
      <c r="L3408" s="3" t="s">
        <v>19</v>
      </c>
    </row>
    <row r="3409" ht="15.75" customHeight="1">
      <c r="A3409" s="3" t="s">
        <v>3497</v>
      </c>
      <c r="B3409" s="3" t="s">
        <v>51</v>
      </c>
      <c r="C3409" s="3" t="s">
        <v>14</v>
      </c>
      <c r="D3409" s="3">
        <v>87226.8541513366</v>
      </c>
      <c r="E3409" s="3">
        <v>30585.1512732709</v>
      </c>
      <c r="F3409" s="3">
        <v>27788.5486222426</v>
      </c>
      <c r="G3409" s="3">
        <v>19127.3711634566</v>
      </c>
      <c r="H3409" s="3">
        <v>-87156.4059341707</v>
      </c>
      <c r="I3409" s="3">
        <v>74132.967158372</v>
      </c>
      <c r="J3409" s="3" t="s">
        <v>1016</v>
      </c>
      <c r="K3409" s="3">
        <v>2.0</v>
      </c>
      <c r="L3409" s="3" t="s">
        <v>15</v>
      </c>
    </row>
    <row r="3410" ht="15.75" customHeight="1">
      <c r="A3410" s="3" t="s">
        <v>3498</v>
      </c>
      <c r="B3410" s="3" t="s">
        <v>36</v>
      </c>
      <c r="C3410" s="3" t="s">
        <v>26</v>
      </c>
      <c r="D3410" s="3">
        <v>87237.7371212428</v>
      </c>
      <c r="E3410" s="3">
        <v>30589.7659915984</v>
      </c>
      <c r="F3410" s="3">
        <v>27796.2286256721</v>
      </c>
      <c r="G3410" s="3">
        <v>19130.7687141439</v>
      </c>
      <c r="H3410" s="3">
        <v>-87205.9096519197</v>
      </c>
      <c r="I3410" s="3">
        <v>74135.8124273345</v>
      </c>
      <c r="J3410" s="3" t="s">
        <v>1034</v>
      </c>
      <c r="K3410" s="3">
        <v>17.0</v>
      </c>
      <c r="L3410" s="3" t="s">
        <v>21</v>
      </c>
    </row>
    <row r="3411" ht="15.75" customHeight="1">
      <c r="A3411" s="3" t="s">
        <v>3499</v>
      </c>
      <c r="B3411" s="3" t="s">
        <v>51</v>
      </c>
      <c r="C3411" s="3" t="s">
        <v>18</v>
      </c>
      <c r="D3411" s="3">
        <v>87248.620091149</v>
      </c>
      <c r="E3411" s="3">
        <v>30594.3807099258</v>
      </c>
      <c r="F3411" s="3">
        <v>27803.9086291016</v>
      </c>
      <c r="G3411" s="3">
        <v>19134.1662648312</v>
      </c>
      <c r="H3411" s="3">
        <v>-87255.4133696687</v>
      </c>
      <c r="I3411" s="3">
        <v>74138.657696297</v>
      </c>
      <c r="J3411" s="3" t="s">
        <v>1016</v>
      </c>
      <c r="K3411" s="3">
        <v>16.0</v>
      </c>
      <c r="L3411" s="3" t="s">
        <v>31</v>
      </c>
    </row>
    <row r="3412" ht="15.75" customHeight="1">
      <c r="A3412" s="3" t="s">
        <v>3500</v>
      </c>
      <c r="B3412" s="3" t="s">
        <v>51</v>
      </c>
      <c r="C3412" s="3" t="s">
        <v>14</v>
      </c>
      <c r="D3412" s="3">
        <v>87259.5030610552</v>
      </c>
      <c r="E3412" s="3">
        <v>30598.9954282532</v>
      </c>
      <c r="F3412" s="3">
        <v>27811.5886325311</v>
      </c>
      <c r="G3412" s="3">
        <v>19137.5638155185</v>
      </c>
      <c r="H3412" s="3">
        <v>-87304.9170874178</v>
      </c>
      <c r="I3412" s="3">
        <v>74141.5029652594</v>
      </c>
      <c r="J3412" s="3" t="s">
        <v>1031</v>
      </c>
      <c r="K3412" s="3">
        <v>9.0</v>
      </c>
      <c r="L3412" s="3" t="s">
        <v>34</v>
      </c>
    </row>
    <row r="3413" ht="15.75" customHeight="1">
      <c r="A3413" s="3" t="s">
        <v>3501</v>
      </c>
      <c r="B3413" s="3" t="s">
        <v>13</v>
      </c>
      <c r="C3413" s="3" t="s">
        <v>26</v>
      </c>
      <c r="D3413" s="3">
        <v>87270.3860309614</v>
      </c>
      <c r="E3413" s="3">
        <v>30603.6101465806</v>
      </c>
      <c r="F3413" s="3">
        <v>27819.2686359606</v>
      </c>
      <c r="G3413" s="3">
        <v>19140.9613662058</v>
      </c>
      <c r="H3413" s="3">
        <v>-87354.4208051668</v>
      </c>
      <c r="I3413" s="3">
        <v>74144.3482342219</v>
      </c>
      <c r="J3413" s="3" t="s">
        <v>1034</v>
      </c>
      <c r="K3413" s="3">
        <v>25.0</v>
      </c>
      <c r="L3413" s="3" t="s">
        <v>21</v>
      </c>
    </row>
    <row r="3414" ht="15.75" customHeight="1">
      <c r="A3414" s="3" t="s">
        <v>3502</v>
      </c>
      <c r="B3414" s="3" t="s">
        <v>29</v>
      </c>
      <c r="C3414" s="3" t="s">
        <v>26</v>
      </c>
      <c r="D3414" s="3">
        <v>87281.2690008676</v>
      </c>
      <c r="E3414" s="3">
        <v>30608.224864908</v>
      </c>
      <c r="F3414" s="3">
        <v>27826.9486393901</v>
      </c>
      <c r="G3414" s="3">
        <v>19144.3589168931</v>
      </c>
      <c r="H3414" s="3">
        <v>-87403.9245229157</v>
      </c>
      <c r="I3414" s="3">
        <v>74147.1935031844</v>
      </c>
      <c r="J3414" s="3" t="s">
        <v>1026</v>
      </c>
      <c r="K3414" s="3">
        <v>6.0</v>
      </c>
      <c r="L3414" s="3" t="s">
        <v>31</v>
      </c>
    </row>
    <row r="3415" ht="15.75" customHeight="1">
      <c r="A3415" s="3" t="s">
        <v>3503</v>
      </c>
      <c r="B3415" s="3" t="s">
        <v>17</v>
      </c>
      <c r="C3415" s="3" t="s">
        <v>26</v>
      </c>
      <c r="D3415" s="3">
        <v>87292.1519707738</v>
      </c>
      <c r="E3415" s="3">
        <v>30612.8395832355</v>
      </c>
      <c r="F3415" s="3">
        <v>27834.6286428196</v>
      </c>
      <c r="G3415" s="3">
        <v>19147.7564675804</v>
      </c>
      <c r="H3415" s="3">
        <v>-87453.4282406647</v>
      </c>
      <c r="I3415" s="3">
        <v>74150.0387721469</v>
      </c>
      <c r="J3415" s="3" t="s">
        <v>1042</v>
      </c>
      <c r="K3415" s="3">
        <v>17.0</v>
      </c>
      <c r="L3415" s="3" t="s">
        <v>40</v>
      </c>
    </row>
    <row r="3416" ht="15.75" customHeight="1">
      <c r="A3416" s="3" t="s">
        <v>3504</v>
      </c>
      <c r="B3416" s="3" t="s">
        <v>53</v>
      </c>
      <c r="C3416" s="3" t="s">
        <v>30</v>
      </c>
      <c r="D3416" s="3">
        <v>87303.03494068</v>
      </c>
      <c r="E3416" s="3">
        <v>30617.4543015629</v>
      </c>
      <c r="F3416" s="3">
        <v>27842.3086462491</v>
      </c>
      <c r="G3416" s="3">
        <v>19151.1540182676</v>
      </c>
      <c r="H3416" s="3">
        <v>-87502.9319584147</v>
      </c>
      <c r="I3416" s="3">
        <v>74152.8840411093</v>
      </c>
      <c r="J3416" s="3" t="s">
        <v>1062</v>
      </c>
      <c r="K3416" s="3">
        <v>25.0</v>
      </c>
      <c r="L3416" s="3" t="s">
        <v>40</v>
      </c>
    </row>
    <row r="3417" ht="15.75" customHeight="1">
      <c r="A3417" s="3" t="s">
        <v>3505</v>
      </c>
      <c r="B3417" s="3" t="s">
        <v>53</v>
      </c>
      <c r="C3417" s="3" t="s">
        <v>54</v>
      </c>
      <c r="D3417" s="3">
        <v>87313.9179105862</v>
      </c>
      <c r="E3417" s="3">
        <v>30622.0690198903</v>
      </c>
      <c r="F3417" s="3">
        <v>27849.9886496786</v>
      </c>
      <c r="G3417" s="3">
        <v>19154.5515689549</v>
      </c>
      <c r="H3417" s="3">
        <v>-87552.4356761637</v>
      </c>
      <c r="I3417" s="3">
        <v>74155.7293100718</v>
      </c>
      <c r="J3417" s="3" t="s">
        <v>1016</v>
      </c>
      <c r="K3417" s="3">
        <v>20.0</v>
      </c>
      <c r="L3417" s="3" t="s">
        <v>42</v>
      </c>
    </row>
    <row r="3418" ht="15.75" customHeight="1">
      <c r="A3418" s="3" t="s">
        <v>3506</v>
      </c>
      <c r="B3418" s="3" t="s">
        <v>53</v>
      </c>
      <c r="C3418" s="3" t="s">
        <v>33</v>
      </c>
      <c r="D3418" s="3">
        <v>87324.8008804924</v>
      </c>
      <c r="E3418" s="3">
        <v>30626.6837382177</v>
      </c>
      <c r="F3418" s="3">
        <v>27857.6686531081</v>
      </c>
      <c r="G3418" s="3">
        <v>19157.9491196422</v>
      </c>
      <c r="H3418" s="3">
        <v>-87601.9393939127</v>
      </c>
      <c r="I3418" s="3">
        <v>74158.5745790343</v>
      </c>
      <c r="J3418" s="3" t="s">
        <v>1016</v>
      </c>
      <c r="K3418" s="3">
        <v>1.0</v>
      </c>
      <c r="L3418" s="3" t="s">
        <v>34</v>
      </c>
    </row>
    <row r="3419" ht="15.75" customHeight="1">
      <c r="A3419" s="3" t="s">
        <v>3507</v>
      </c>
      <c r="B3419" s="5"/>
      <c r="C3419" s="3" t="s">
        <v>14</v>
      </c>
      <c r="D3419" s="3">
        <v>87335.6838503986</v>
      </c>
      <c r="E3419" s="3">
        <v>30631.2984565452</v>
      </c>
      <c r="F3419" s="3">
        <v>27865.3486565376</v>
      </c>
      <c r="G3419" s="3">
        <v>19161.3466703295</v>
      </c>
      <c r="H3419" s="3">
        <v>-87651.4431116617</v>
      </c>
      <c r="I3419" s="3">
        <v>74161.4198479968</v>
      </c>
      <c r="J3419" s="3" t="s">
        <v>1034</v>
      </c>
      <c r="K3419" s="3">
        <v>17.0</v>
      </c>
      <c r="L3419" s="3" t="s">
        <v>38</v>
      </c>
    </row>
    <row r="3420" ht="15.75" customHeight="1">
      <c r="A3420" s="3" t="s">
        <v>3508</v>
      </c>
      <c r="B3420" s="3" t="s">
        <v>17</v>
      </c>
      <c r="C3420" s="3" t="s">
        <v>33</v>
      </c>
      <c r="D3420" s="3">
        <v>87346.5668203048</v>
      </c>
      <c r="E3420" s="3">
        <v>30635.9131748726</v>
      </c>
      <c r="F3420" s="3">
        <v>27873.0286599671</v>
      </c>
      <c r="G3420" s="3">
        <v>19164.7442210168</v>
      </c>
      <c r="H3420" s="3">
        <v>-87700.9468294108</v>
      </c>
      <c r="I3420" s="3">
        <v>74164.2651169593</v>
      </c>
      <c r="J3420" s="3" t="s">
        <v>1018</v>
      </c>
      <c r="K3420" s="3">
        <v>23.0</v>
      </c>
      <c r="L3420" s="3" t="s">
        <v>42</v>
      </c>
    </row>
    <row r="3421" ht="15.75" customHeight="1">
      <c r="A3421" s="3" t="s">
        <v>3509</v>
      </c>
      <c r="B3421" s="3" t="s">
        <v>36</v>
      </c>
      <c r="C3421" s="3" t="s">
        <v>26</v>
      </c>
      <c r="D3421" s="3">
        <v>87357.449790211</v>
      </c>
      <c r="E3421" s="3">
        <v>30640.5278932</v>
      </c>
      <c r="F3421" s="3">
        <v>27880.7086633966</v>
      </c>
      <c r="G3421" s="3">
        <v>19168.1417717041</v>
      </c>
      <c r="H3421" s="3">
        <v>-87750.4505471598</v>
      </c>
      <c r="I3421" s="3">
        <v>74167.1103859217</v>
      </c>
      <c r="J3421" s="3" t="s">
        <v>1012</v>
      </c>
      <c r="K3421" s="3">
        <v>20.0</v>
      </c>
      <c r="L3421" s="3" t="s">
        <v>21</v>
      </c>
    </row>
    <row r="3422" ht="15.75" customHeight="1">
      <c r="A3422" s="3" t="s">
        <v>3510</v>
      </c>
      <c r="B3422" s="3" t="s">
        <v>53</v>
      </c>
      <c r="C3422" s="3" t="s">
        <v>33</v>
      </c>
      <c r="D3422" s="3">
        <v>87368.3327601171</v>
      </c>
      <c r="E3422" s="3">
        <v>30645.1426115274</v>
      </c>
      <c r="F3422" s="3">
        <v>27888.3886668261</v>
      </c>
      <c r="G3422" s="3">
        <v>19171.5393223914</v>
      </c>
      <c r="H3422" s="3">
        <v>-87799.9542649087</v>
      </c>
      <c r="I3422" s="3">
        <v>74169.9556548842</v>
      </c>
      <c r="J3422" s="3" t="s">
        <v>1031</v>
      </c>
      <c r="K3422" s="3">
        <v>18.0</v>
      </c>
      <c r="L3422" s="3" t="s">
        <v>27</v>
      </c>
    </row>
    <row r="3423" ht="15.75" customHeight="1">
      <c r="A3423" s="3" t="s">
        <v>3511</v>
      </c>
      <c r="B3423" s="3" t="s">
        <v>25</v>
      </c>
      <c r="C3423" s="3" t="s">
        <v>37</v>
      </c>
      <c r="D3423" s="3">
        <v>87379.2157300233</v>
      </c>
      <c r="E3423" s="3">
        <v>30649.7573298548</v>
      </c>
      <c r="F3423" s="3">
        <v>27896.0686702556</v>
      </c>
      <c r="G3423" s="3">
        <v>19174.9368730787</v>
      </c>
      <c r="H3423" s="3">
        <v>-87849.4579826577</v>
      </c>
      <c r="I3423" s="3">
        <v>74172.8009238467</v>
      </c>
      <c r="J3423" s="3" t="s">
        <v>1031</v>
      </c>
      <c r="K3423" s="3">
        <v>8.0</v>
      </c>
      <c r="L3423" s="3" t="s">
        <v>15</v>
      </c>
    </row>
    <row r="3424" ht="15.75" customHeight="1">
      <c r="A3424" s="3" t="s">
        <v>3512</v>
      </c>
      <c r="B3424" s="3" t="s">
        <v>51</v>
      </c>
      <c r="C3424" s="3" t="s">
        <v>18</v>
      </c>
      <c r="D3424" s="3">
        <v>87390.0986999295</v>
      </c>
      <c r="E3424" s="3">
        <v>30654.3720481823</v>
      </c>
      <c r="F3424" s="3">
        <v>27903.7486736851</v>
      </c>
      <c r="G3424" s="3">
        <v>19178.3344237659</v>
      </c>
      <c r="H3424" s="3">
        <v>-87898.9617004077</v>
      </c>
      <c r="I3424" s="3">
        <v>74175.6461928092</v>
      </c>
      <c r="J3424" s="3" t="s">
        <v>1062</v>
      </c>
      <c r="K3424" s="3">
        <v>14.0</v>
      </c>
      <c r="L3424" s="3" t="s">
        <v>40</v>
      </c>
    </row>
    <row r="3425" ht="15.75" customHeight="1">
      <c r="A3425" s="3" t="s">
        <v>3513</v>
      </c>
      <c r="B3425" s="3" t="s">
        <v>17</v>
      </c>
      <c r="C3425" s="3" t="s">
        <v>26</v>
      </c>
      <c r="D3425" s="3">
        <v>87400.9816698357</v>
      </c>
      <c r="E3425" s="3">
        <v>30658.9867665097</v>
      </c>
      <c r="F3425" s="3">
        <v>27911.4286771146</v>
      </c>
      <c r="G3425" s="3">
        <v>19181.7319744532</v>
      </c>
      <c r="H3425" s="3">
        <v>-87948.4654181567</v>
      </c>
      <c r="I3425" s="3">
        <v>74178.4914617717</v>
      </c>
      <c r="J3425" s="3" t="s">
        <v>1026</v>
      </c>
      <c r="K3425" s="3">
        <v>4.0</v>
      </c>
      <c r="L3425" s="3" t="s">
        <v>21</v>
      </c>
    </row>
    <row r="3426" ht="15.75" customHeight="1">
      <c r="A3426" s="3" t="s">
        <v>3514</v>
      </c>
      <c r="B3426" s="3" t="s">
        <v>17</v>
      </c>
      <c r="C3426" s="3" t="s">
        <v>26</v>
      </c>
      <c r="D3426" s="3">
        <v>87411.8646397419</v>
      </c>
      <c r="E3426" s="3">
        <v>30663.6014848371</v>
      </c>
      <c r="F3426" s="3">
        <v>27919.1086805441</v>
      </c>
      <c r="G3426" s="3">
        <v>19185.1295251405</v>
      </c>
      <c r="H3426" s="3">
        <v>-87997.9691359057</v>
      </c>
      <c r="I3426" s="3">
        <v>73794.739836746</v>
      </c>
      <c r="J3426" s="4">
        <v>45992.0</v>
      </c>
      <c r="K3426" s="3">
        <v>21.0</v>
      </c>
      <c r="L3426" s="3" t="s">
        <v>21</v>
      </c>
    </row>
    <row r="3427" ht="15.75" customHeight="1">
      <c r="A3427" s="3" t="s">
        <v>3515</v>
      </c>
      <c r="B3427" s="3" t="s">
        <v>17</v>
      </c>
      <c r="C3427" s="3" t="s">
        <v>26</v>
      </c>
      <c r="D3427" s="3">
        <v>87422.7476096481</v>
      </c>
      <c r="E3427" s="3">
        <v>30668.2162031645</v>
      </c>
      <c r="F3427" s="3">
        <v>27926.7886839736</v>
      </c>
      <c r="G3427" s="3">
        <v>19188.5270758278</v>
      </c>
      <c r="H3427" s="3">
        <v>-88047.4728536547</v>
      </c>
      <c r="I3427" s="3">
        <v>73798.1213111658</v>
      </c>
      <c r="J3427" s="4">
        <v>45658.0</v>
      </c>
      <c r="K3427" s="3">
        <v>1.0</v>
      </c>
      <c r="L3427" s="3" t="s">
        <v>23</v>
      </c>
    </row>
    <row r="3428" ht="15.75" customHeight="1">
      <c r="A3428" s="3" t="s">
        <v>3516</v>
      </c>
      <c r="B3428" s="3" t="s">
        <v>17</v>
      </c>
      <c r="C3428" s="3" t="s">
        <v>33</v>
      </c>
      <c r="D3428" s="3">
        <v>87433.6305795543</v>
      </c>
      <c r="E3428" s="3">
        <v>30672.830921492</v>
      </c>
      <c r="F3428" s="3">
        <v>27934.4686874031</v>
      </c>
      <c r="G3428" s="3">
        <v>19191.9246265151</v>
      </c>
      <c r="H3428" s="3">
        <v>-88096.9765714037</v>
      </c>
      <c r="I3428" s="3">
        <v>73801.5027855856</v>
      </c>
      <c r="J3428" s="4">
        <v>45748.0</v>
      </c>
      <c r="K3428" s="3">
        <v>8.0</v>
      </c>
      <c r="L3428" s="3" t="s">
        <v>27</v>
      </c>
    </row>
    <row r="3429" ht="15.75" customHeight="1">
      <c r="A3429" s="3" t="s">
        <v>3517</v>
      </c>
      <c r="B3429" s="3" t="s">
        <v>13</v>
      </c>
      <c r="C3429" s="3" t="s">
        <v>33</v>
      </c>
      <c r="D3429" s="3">
        <v>87444.5135494605</v>
      </c>
      <c r="E3429" s="3">
        <v>30677.4456398194</v>
      </c>
      <c r="F3429" s="3">
        <v>27942.1486908326</v>
      </c>
      <c r="G3429" s="3">
        <v>19195.3221772024</v>
      </c>
      <c r="H3429" s="3">
        <v>-88146.4802891528</v>
      </c>
      <c r="I3429" s="3">
        <v>73804.8842600054</v>
      </c>
      <c r="J3429" s="4">
        <v>45778.0</v>
      </c>
      <c r="K3429" s="3">
        <v>12.0</v>
      </c>
      <c r="L3429" s="3" t="s">
        <v>31</v>
      </c>
    </row>
    <row r="3430" ht="15.75" customHeight="1">
      <c r="A3430" s="3" t="s">
        <v>3518</v>
      </c>
      <c r="B3430" s="3" t="s">
        <v>17</v>
      </c>
      <c r="C3430" s="3" t="s">
        <v>54</v>
      </c>
      <c r="D3430" s="3">
        <v>87455.3965193667</v>
      </c>
      <c r="E3430" s="3">
        <v>30682.0603581468</v>
      </c>
      <c r="F3430" s="3">
        <v>27949.8286942621</v>
      </c>
      <c r="G3430" s="3">
        <v>19198.7197278897</v>
      </c>
      <c r="H3430" s="3">
        <v>-88195.9840069018</v>
      </c>
      <c r="I3430" s="3">
        <v>73808.2657344252</v>
      </c>
      <c r="J3430" s="4">
        <v>45809.0</v>
      </c>
      <c r="K3430" s="3">
        <v>17.0</v>
      </c>
      <c r="L3430" s="3" t="s">
        <v>34</v>
      </c>
    </row>
    <row r="3431" ht="15.75" customHeight="1">
      <c r="A3431" s="3" t="s">
        <v>3519</v>
      </c>
      <c r="B3431" s="3" t="s">
        <v>17</v>
      </c>
      <c r="C3431" s="3" t="s">
        <v>30</v>
      </c>
      <c r="D3431" s="3">
        <v>87466.2794892729</v>
      </c>
      <c r="E3431" s="3">
        <v>30686.6750764742</v>
      </c>
      <c r="F3431" s="3">
        <v>27957.5086976916</v>
      </c>
      <c r="G3431" s="3">
        <v>19202.117278577</v>
      </c>
      <c r="H3431" s="3">
        <v>-88245.4877246507</v>
      </c>
      <c r="I3431" s="3">
        <v>73811.647208845</v>
      </c>
      <c r="J3431" s="4">
        <v>45839.0</v>
      </c>
      <c r="K3431" s="3">
        <v>2.0</v>
      </c>
      <c r="L3431" s="3" t="s">
        <v>38</v>
      </c>
    </row>
    <row r="3432" ht="15.75" customHeight="1">
      <c r="A3432" s="3" t="s">
        <v>3520</v>
      </c>
      <c r="B3432" s="3" t="s">
        <v>13</v>
      </c>
      <c r="C3432" s="3" t="s">
        <v>33</v>
      </c>
      <c r="D3432" s="3">
        <v>87477.1624591791</v>
      </c>
      <c r="E3432" s="3">
        <v>30691.2897948016</v>
      </c>
      <c r="F3432" s="3">
        <v>27965.1887011211</v>
      </c>
      <c r="G3432" s="3">
        <v>19205.5148292642</v>
      </c>
      <c r="H3432" s="3">
        <v>-88294.9914424007</v>
      </c>
      <c r="I3432" s="3">
        <v>73815.0286832648</v>
      </c>
      <c r="J3432" s="4">
        <v>45992.0</v>
      </c>
      <c r="K3432" s="3">
        <v>1.0</v>
      </c>
      <c r="L3432" s="3" t="s">
        <v>40</v>
      </c>
    </row>
    <row r="3433" ht="15.75" customHeight="1">
      <c r="A3433" s="3" t="s">
        <v>3521</v>
      </c>
      <c r="B3433" s="3" t="s">
        <v>25</v>
      </c>
      <c r="C3433" s="3" t="s">
        <v>30</v>
      </c>
      <c r="D3433" s="3">
        <v>87488.0454290853</v>
      </c>
      <c r="E3433" s="3">
        <v>30695.9045131291</v>
      </c>
      <c r="F3433" s="3">
        <v>27972.8687045506</v>
      </c>
      <c r="G3433" s="3">
        <v>19208.9123799515</v>
      </c>
      <c r="H3433" s="3">
        <v>-88344.4951601497</v>
      </c>
      <c r="I3433" s="3">
        <v>73818.4101576847</v>
      </c>
      <c r="J3433" s="4">
        <v>45778.0</v>
      </c>
      <c r="K3433" s="3">
        <v>19.0</v>
      </c>
      <c r="L3433" s="3" t="s">
        <v>42</v>
      </c>
    </row>
    <row r="3434" ht="15.75" customHeight="1">
      <c r="A3434" s="3" t="s">
        <v>3522</v>
      </c>
      <c r="B3434" s="3" t="s">
        <v>29</v>
      </c>
      <c r="C3434" s="3" t="s">
        <v>14</v>
      </c>
      <c r="D3434" s="3">
        <v>87498.9283989915</v>
      </c>
      <c r="E3434" s="3">
        <v>30700.5192314565</v>
      </c>
      <c r="F3434" s="3">
        <v>27980.5487079801</v>
      </c>
      <c r="G3434" s="3">
        <v>19212.3099306388</v>
      </c>
      <c r="H3434" s="3">
        <v>-88393.9988778987</v>
      </c>
      <c r="I3434" s="3">
        <v>73821.7916321045</v>
      </c>
      <c r="J3434" s="4">
        <v>45992.0</v>
      </c>
      <c r="K3434" s="3">
        <v>8.0</v>
      </c>
      <c r="L3434" s="3" t="s">
        <v>15</v>
      </c>
    </row>
    <row r="3435" ht="15.75" customHeight="1">
      <c r="A3435" s="3" t="s">
        <v>3523</v>
      </c>
      <c r="B3435" s="3" t="s">
        <v>36</v>
      </c>
      <c r="C3435" s="3" t="s">
        <v>18</v>
      </c>
      <c r="D3435" s="3">
        <v>87520.6943388039</v>
      </c>
      <c r="E3435" s="3">
        <v>30709.7486681113</v>
      </c>
      <c r="F3435" s="3">
        <v>27995.9087148391</v>
      </c>
      <c r="G3435" s="3">
        <v>19219.1050320134</v>
      </c>
      <c r="H3435" s="3">
        <v>-88493.0063133967</v>
      </c>
      <c r="I3435" s="3">
        <v>73828.5545809441</v>
      </c>
      <c r="J3435" s="4">
        <v>45717.0</v>
      </c>
      <c r="K3435" s="3">
        <v>9.0</v>
      </c>
      <c r="L3435" s="3" t="s">
        <v>21</v>
      </c>
    </row>
    <row r="3436" ht="15.75" customHeight="1">
      <c r="A3436" s="3" t="s">
        <v>3524</v>
      </c>
      <c r="B3436" s="3" t="s">
        <v>25</v>
      </c>
      <c r="C3436" s="3" t="s">
        <v>14</v>
      </c>
      <c r="D3436" s="3">
        <v>87531.5773087101</v>
      </c>
      <c r="E3436" s="3">
        <v>30714.3633864388</v>
      </c>
      <c r="F3436" s="3">
        <v>28003.5887182685</v>
      </c>
      <c r="G3436" s="3">
        <v>19222.5025827007</v>
      </c>
      <c r="H3436" s="3">
        <v>-88542.5100311457</v>
      </c>
      <c r="I3436" s="3">
        <v>73831.9360553639</v>
      </c>
      <c r="J3436" s="4">
        <v>45962.0</v>
      </c>
      <c r="K3436" s="3">
        <v>11.0</v>
      </c>
      <c r="L3436" s="3" t="s">
        <v>23</v>
      </c>
    </row>
    <row r="3437" ht="15.75" customHeight="1">
      <c r="A3437" s="3" t="s">
        <v>3525</v>
      </c>
      <c r="B3437" s="3" t="s">
        <v>17</v>
      </c>
      <c r="C3437" s="3" t="s">
        <v>33</v>
      </c>
      <c r="D3437" s="3">
        <v>87542.4602786162</v>
      </c>
      <c r="E3437" s="3">
        <v>30718.9781047662</v>
      </c>
      <c r="F3437" s="3">
        <v>28011.268721698</v>
      </c>
      <c r="G3437" s="3">
        <v>19225.900133388</v>
      </c>
      <c r="H3437" s="3">
        <v>-88592.0137488948</v>
      </c>
      <c r="I3437" s="3">
        <v>73835.3175297837</v>
      </c>
      <c r="J3437" s="4">
        <v>45870.0</v>
      </c>
      <c r="K3437" s="3">
        <v>20.0</v>
      </c>
      <c r="L3437" s="3" t="s">
        <v>27</v>
      </c>
    </row>
    <row r="3438" ht="15.75" customHeight="1">
      <c r="A3438" s="3" t="s">
        <v>3526</v>
      </c>
      <c r="B3438" s="3" t="s">
        <v>25</v>
      </c>
      <c r="C3438" s="3" t="s">
        <v>37</v>
      </c>
      <c r="D3438" s="3">
        <v>20500.0</v>
      </c>
      <c r="E3438" s="3">
        <v>30723.5928230936</v>
      </c>
      <c r="F3438" s="3">
        <v>28018.9487251275</v>
      </c>
      <c r="G3438" s="3">
        <v>19229.2976840752</v>
      </c>
      <c r="H3438" s="3">
        <v>-88641.5174666437</v>
      </c>
      <c r="I3438" s="3">
        <v>73838.6990042035</v>
      </c>
      <c r="J3438" s="4">
        <v>45962.0</v>
      </c>
      <c r="K3438" s="3">
        <v>2.0</v>
      </c>
      <c r="L3438" s="3" t="s">
        <v>31</v>
      </c>
    </row>
    <row r="3439" ht="15.75" customHeight="1">
      <c r="A3439" s="3" t="s">
        <v>3527</v>
      </c>
      <c r="B3439" s="3" t="s">
        <v>29</v>
      </c>
      <c r="C3439" s="3" t="s">
        <v>54</v>
      </c>
      <c r="D3439" s="3">
        <v>21000.0</v>
      </c>
      <c r="E3439" s="3">
        <v>30728.207541421</v>
      </c>
      <c r="F3439" s="3">
        <v>28026.628728557</v>
      </c>
      <c r="G3439" s="3">
        <v>19232.6952347625</v>
      </c>
      <c r="H3439" s="3">
        <v>-88691.0211843937</v>
      </c>
      <c r="I3439" s="3">
        <v>73842.0804786234</v>
      </c>
      <c r="J3439" s="4">
        <v>45809.0</v>
      </c>
      <c r="K3439" s="3">
        <v>24.0</v>
      </c>
      <c r="L3439" s="3" t="s">
        <v>34</v>
      </c>
    </row>
    <row r="3440" ht="15.75" customHeight="1">
      <c r="A3440" s="3" t="s">
        <v>3528</v>
      </c>
      <c r="B3440" s="3" t="s">
        <v>17</v>
      </c>
      <c r="C3440" s="3" t="s">
        <v>33</v>
      </c>
      <c r="D3440" s="3">
        <v>21500.0</v>
      </c>
      <c r="E3440" s="3">
        <v>30732.8222597484</v>
      </c>
      <c r="F3440" s="3">
        <v>28034.3087319865</v>
      </c>
      <c r="G3440" s="3">
        <v>19236.0927854498</v>
      </c>
      <c r="H3440" s="3">
        <v>-88740.5249021427</v>
      </c>
      <c r="I3440" s="3">
        <v>73845.4619530432</v>
      </c>
      <c r="J3440" s="4">
        <v>45992.0</v>
      </c>
      <c r="K3440" s="3">
        <v>7.0</v>
      </c>
      <c r="L3440" s="3" t="s">
        <v>38</v>
      </c>
    </row>
    <row r="3441" ht="15.75" customHeight="1">
      <c r="A3441" s="3" t="s">
        <v>3529</v>
      </c>
      <c r="B3441" s="3" t="s">
        <v>29</v>
      </c>
      <c r="C3441" s="3" t="s">
        <v>37</v>
      </c>
      <c r="D3441" s="3">
        <v>167600.0</v>
      </c>
      <c r="E3441" s="3">
        <v>30742.0516964033</v>
      </c>
      <c r="F3441" s="3">
        <v>28049.6687388455</v>
      </c>
      <c r="G3441" s="3">
        <v>19242.8878868244</v>
      </c>
      <c r="H3441" s="3">
        <v>-88839.5323376407</v>
      </c>
      <c r="I3441" s="3">
        <v>73852.2249018828</v>
      </c>
      <c r="J3441" s="4">
        <v>45992.0</v>
      </c>
      <c r="K3441" s="3">
        <v>2.0</v>
      </c>
      <c r="L3441" s="3" t="s">
        <v>42</v>
      </c>
    </row>
    <row r="3442" ht="15.75" customHeight="1">
      <c r="A3442" s="3" t="s">
        <v>3530</v>
      </c>
      <c r="B3442" s="3" t="s">
        <v>36</v>
      </c>
      <c r="C3442" s="3" t="s">
        <v>30</v>
      </c>
      <c r="D3442" s="3">
        <v>87553.3432485224</v>
      </c>
      <c r="E3442" s="3">
        <v>30746.6664147307</v>
      </c>
      <c r="F3442" s="3">
        <v>28057.348742275</v>
      </c>
      <c r="G3442" s="3">
        <v>19246.2854375117</v>
      </c>
      <c r="H3442" s="3">
        <v>-88889.0360553897</v>
      </c>
      <c r="I3442" s="3">
        <v>73855.6063763026</v>
      </c>
      <c r="J3442" s="4">
        <v>45717.0</v>
      </c>
      <c r="K3442" s="3">
        <v>24.0</v>
      </c>
      <c r="L3442" s="3" t="s">
        <v>15</v>
      </c>
    </row>
    <row r="3443" ht="15.75" customHeight="1">
      <c r="A3443" s="3" t="s">
        <v>3531</v>
      </c>
      <c r="B3443" s="3" t="s">
        <v>29</v>
      </c>
      <c r="C3443" s="3" t="s">
        <v>26</v>
      </c>
      <c r="D3443" s="3">
        <v>87564.2262184286</v>
      </c>
      <c r="E3443" s="3">
        <v>30751.2811330581</v>
      </c>
      <c r="F3443" s="3">
        <v>28065.0287457045</v>
      </c>
      <c r="G3443" s="3">
        <v>19249.682988199</v>
      </c>
      <c r="H3443" s="3">
        <v>-88938.5397731387</v>
      </c>
      <c r="I3443" s="3">
        <v>73858.9878507224</v>
      </c>
      <c r="J3443" s="4">
        <v>45962.0</v>
      </c>
      <c r="K3443" s="3">
        <v>19.0</v>
      </c>
      <c r="L3443" s="3" t="s">
        <v>19</v>
      </c>
    </row>
    <row r="3444" ht="15.75" customHeight="1">
      <c r="A3444" s="3" t="s">
        <v>3532</v>
      </c>
      <c r="B3444" s="3" t="s">
        <v>51</v>
      </c>
      <c r="C3444" s="3" t="s">
        <v>18</v>
      </c>
      <c r="D3444" s="3">
        <v>87575.1091883348</v>
      </c>
      <c r="E3444" s="3">
        <v>30755.8958513855</v>
      </c>
      <c r="F3444" s="3">
        <v>28072.708749134</v>
      </c>
      <c r="G3444" s="3">
        <v>19253.0805388863</v>
      </c>
      <c r="H3444" s="3">
        <v>-88988.0434908878</v>
      </c>
      <c r="I3444" s="3">
        <v>73862.3693251422</v>
      </c>
      <c r="J3444" s="4">
        <v>45931.0</v>
      </c>
      <c r="K3444" s="3">
        <v>10.0</v>
      </c>
      <c r="L3444" s="3" t="s">
        <v>21</v>
      </c>
    </row>
    <row r="3445" ht="15.75" customHeight="1">
      <c r="A3445" s="3" t="s">
        <v>3533</v>
      </c>
      <c r="B3445" s="3" t="s">
        <v>53</v>
      </c>
      <c r="C3445" s="3" t="s">
        <v>37</v>
      </c>
      <c r="D3445" s="3">
        <v>87585.992158241</v>
      </c>
      <c r="E3445" s="3">
        <v>30760.510569713</v>
      </c>
      <c r="F3445" s="3">
        <v>28080.3887525635</v>
      </c>
      <c r="G3445" s="3">
        <v>19256.4780895735</v>
      </c>
      <c r="H3445" s="3">
        <v>-89037.5472086377</v>
      </c>
      <c r="I3445" s="3">
        <v>73865.7507995621</v>
      </c>
      <c r="J3445" s="4">
        <v>45962.0</v>
      </c>
      <c r="K3445" s="3">
        <v>20.0</v>
      </c>
      <c r="L3445" s="3" t="s">
        <v>23</v>
      </c>
    </row>
    <row r="3446" ht="15.75" customHeight="1">
      <c r="A3446" s="3" t="s">
        <v>3534</v>
      </c>
      <c r="B3446" s="3" t="s">
        <v>53</v>
      </c>
      <c r="C3446" s="3" t="s">
        <v>26</v>
      </c>
      <c r="D3446" s="3">
        <v>87596.8751281472</v>
      </c>
      <c r="E3446" s="3">
        <v>30765.1252880404</v>
      </c>
      <c r="F3446" s="3">
        <v>28088.068755993</v>
      </c>
      <c r="G3446" s="3">
        <v>19259.8756402608</v>
      </c>
      <c r="H3446" s="3">
        <v>-89087.0509263867</v>
      </c>
      <c r="I3446" s="3">
        <v>73869.1322739819</v>
      </c>
      <c r="J3446" s="4">
        <v>45962.0</v>
      </c>
      <c r="K3446" s="3">
        <v>14.0</v>
      </c>
      <c r="L3446" s="3" t="s">
        <v>27</v>
      </c>
    </row>
    <row r="3447" ht="15.75" customHeight="1">
      <c r="A3447" s="3" t="s">
        <v>3535</v>
      </c>
      <c r="B3447" s="3" t="s">
        <v>51</v>
      </c>
      <c r="C3447" s="3" t="s">
        <v>18</v>
      </c>
      <c r="D3447" s="3">
        <v>87607.7580980534</v>
      </c>
      <c r="E3447" s="3">
        <v>30769.7400063678</v>
      </c>
      <c r="F3447" s="3">
        <v>28095.7487594225</v>
      </c>
      <c r="G3447" s="3">
        <v>19263.2731909481</v>
      </c>
      <c r="H3447" s="3">
        <v>-89136.5546441357</v>
      </c>
      <c r="I3447" s="3">
        <v>73872.5137484017</v>
      </c>
      <c r="J3447" s="4">
        <v>45992.0</v>
      </c>
      <c r="K3447" s="3">
        <v>10.0</v>
      </c>
      <c r="L3447" s="3" t="s">
        <v>31</v>
      </c>
    </row>
    <row r="3448" ht="15.75" customHeight="1">
      <c r="A3448" s="3" t="s">
        <v>3536</v>
      </c>
      <c r="B3448" s="3" t="s">
        <v>36</v>
      </c>
      <c r="C3448" s="3" t="s">
        <v>37</v>
      </c>
      <c r="D3448" s="3">
        <v>87618.6410679596</v>
      </c>
      <c r="E3448" s="3">
        <v>30774.3547246952</v>
      </c>
      <c r="F3448" s="3">
        <v>28103.428762852</v>
      </c>
      <c r="G3448" s="3">
        <v>19266.6707416354</v>
      </c>
      <c r="H3448" s="3">
        <v>-89186.0583618847</v>
      </c>
      <c r="I3448" s="3">
        <v>73875.8952228215</v>
      </c>
      <c r="J3448" s="4">
        <v>45689.0</v>
      </c>
      <c r="K3448" s="3">
        <v>25.0</v>
      </c>
      <c r="L3448" s="3" t="s">
        <v>34</v>
      </c>
    </row>
    <row r="3449" ht="15.75" customHeight="1">
      <c r="A3449" s="3" t="s">
        <v>3537</v>
      </c>
      <c r="B3449" s="3" t="s">
        <v>13</v>
      </c>
      <c r="C3449" s="3" t="s">
        <v>33</v>
      </c>
      <c r="D3449" s="3">
        <v>87629.5240378658</v>
      </c>
      <c r="E3449" s="3">
        <v>30778.9694430227</v>
      </c>
      <c r="F3449" s="3">
        <v>28111.1087662815</v>
      </c>
      <c r="G3449" s="3">
        <v>19270.0682923227</v>
      </c>
      <c r="H3449" s="3">
        <v>-89235.5620796337</v>
      </c>
      <c r="I3449" s="3">
        <v>73879.2766972413</v>
      </c>
      <c r="J3449" s="4">
        <v>45717.0</v>
      </c>
      <c r="K3449" s="3">
        <v>24.0</v>
      </c>
      <c r="L3449" s="3" t="s">
        <v>38</v>
      </c>
    </row>
    <row r="3450" ht="15.75" customHeight="1">
      <c r="A3450" s="3" t="s">
        <v>3538</v>
      </c>
      <c r="B3450" s="3" t="s">
        <v>29</v>
      </c>
      <c r="C3450" s="3" t="s">
        <v>14</v>
      </c>
      <c r="D3450" s="3">
        <v>87640.407007772</v>
      </c>
      <c r="E3450" s="3">
        <v>30783.5841613501</v>
      </c>
      <c r="F3450" s="3">
        <v>28118.788769711</v>
      </c>
      <c r="G3450" s="3">
        <v>19273.46584301</v>
      </c>
      <c r="H3450" s="3">
        <v>-89285.0657973827</v>
      </c>
      <c r="I3450" s="3">
        <v>73882.6581716611</v>
      </c>
      <c r="J3450" s="3" t="s">
        <v>3539</v>
      </c>
      <c r="K3450" s="3">
        <v>2.0</v>
      </c>
      <c r="L3450" s="3" t="s">
        <v>40</v>
      </c>
    </row>
    <row r="3451" ht="15.75" customHeight="1">
      <c r="A3451" s="3" t="s">
        <v>3540</v>
      </c>
      <c r="B3451" s="3" t="s">
        <v>13</v>
      </c>
      <c r="C3451" s="3" t="s">
        <v>33</v>
      </c>
      <c r="D3451" s="3">
        <v>87651.2899776782</v>
      </c>
      <c r="E3451" s="3">
        <v>30788.1988796775</v>
      </c>
      <c r="F3451" s="3">
        <v>28126.4687731405</v>
      </c>
      <c r="G3451" s="3">
        <v>19276.8633936973</v>
      </c>
      <c r="H3451" s="3">
        <v>-89334.5695151317</v>
      </c>
      <c r="I3451" s="3">
        <v>73886.0396460809</v>
      </c>
      <c r="J3451" s="4">
        <v>45778.0</v>
      </c>
      <c r="K3451" s="3">
        <v>20.0</v>
      </c>
      <c r="L3451" s="3" t="s">
        <v>42</v>
      </c>
    </row>
    <row r="3452" ht="15.75" customHeight="1">
      <c r="A3452" s="3" t="s">
        <v>3541</v>
      </c>
      <c r="B3452" s="3" t="s">
        <v>25</v>
      </c>
      <c r="C3452" s="3" t="s">
        <v>33</v>
      </c>
      <c r="D3452" s="3">
        <v>87662.1729475844</v>
      </c>
      <c r="E3452" s="3">
        <v>30792.8135980049</v>
      </c>
      <c r="F3452" s="3">
        <v>28134.14877657</v>
      </c>
      <c r="G3452" s="3">
        <v>19280.2609443846</v>
      </c>
      <c r="H3452" s="3">
        <v>-89384.0732328807</v>
      </c>
      <c r="I3452" s="3">
        <v>73889.4211205008</v>
      </c>
      <c r="J3452" s="4">
        <v>45992.0</v>
      </c>
      <c r="K3452" s="3">
        <v>20.0</v>
      </c>
      <c r="L3452" s="3" t="s">
        <v>15</v>
      </c>
    </row>
    <row r="3453" ht="15.75" customHeight="1">
      <c r="A3453" s="3" t="s">
        <v>3542</v>
      </c>
      <c r="B3453" s="3" t="s">
        <v>29</v>
      </c>
      <c r="C3453" s="3" t="s">
        <v>33</v>
      </c>
      <c r="D3453" s="3">
        <v>87673.0559174906</v>
      </c>
      <c r="E3453" s="3">
        <v>30797.4283163324</v>
      </c>
      <c r="F3453" s="3">
        <v>28141.8287799995</v>
      </c>
      <c r="G3453" s="3">
        <v>19283.6584950718</v>
      </c>
      <c r="H3453" s="3">
        <v>-89433.5769506307</v>
      </c>
      <c r="I3453" s="3">
        <v>73892.8025949206</v>
      </c>
      <c r="J3453" s="4">
        <v>45717.0</v>
      </c>
      <c r="K3453" s="3">
        <v>6.0</v>
      </c>
      <c r="L3453" s="3" t="s">
        <v>19</v>
      </c>
    </row>
    <row r="3454" ht="15.75" customHeight="1">
      <c r="A3454" s="3" t="s">
        <v>3543</v>
      </c>
      <c r="B3454" s="3" t="s">
        <v>53</v>
      </c>
      <c r="C3454" s="3" t="s">
        <v>14</v>
      </c>
      <c r="D3454" s="3">
        <v>87683.9388873968</v>
      </c>
      <c r="E3454" s="3">
        <v>30802.0430346598</v>
      </c>
      <c r="F3454" s="3">
        <v>28149.508783429</v>
      </c>
      <c r="G3454" s="3">
        <v>19287.0560457591</v>
      </c>
      <c r="H3454" s="3">
        <v>-89483.0806683797</v>
      </c>
      <c r="I3454" s="3">
        <v>73896.1840693404</v>
      </c>
      <c r="J3454" s="4">
        <v>45931.0</v>
      </c>
      <c r="K3454" s="3">
        <v>18.0</v>
      </c>
      <c r="L3454" s="3" t="s">
        <v>21</v>
      </c>
    </row>
    <row r="3455" ht="15.75" customHeight="1">
      <c r="A3455" s="3" t="s">
        <v>3544</v>
      </c>
      <c r="B3455" s="3" t="s">
        <v>36</v>
      </c>
      <c r="C3455" s="3" t="s">
        <v>30</v>
      </c>
      <c r="D3455" s="3">
        <v>87705.7048272092</v>
      </c>
      <c r="E3455" s="3">
        <v>30811.2724713146</v>
      </c>
      <c r="F3455" s="3">
        <v>28164.868790288</v>
      </c>
      <c r="G3455" s="3">
        <v>19293.8511471337</v>
      </c>
      <c r="H3455" s="3">
        <v>-89582.0881038777</v>
      </c>
      <c r="I3455" s="3">
        <v>73902.94701818</v>
      </c>
      <c r="J3455" s="4">
        <v>45901.0</v>
      </c>
      <c r="K3455" s="3">
        <v>2.0</v>
      </c>
      <c r="L3455" s="3" t="s">
        <v>27</v>
      </c>
    </row>
    <row r="3456" ht="15.75" customHeight="1">
      <c r="A3456" s="3" t="s">
        <v>3545</v>
      </c>
      <c r="B3456" s="3" t="s">
        <v>13</v>
      </c>
      <c r="C3456" s="3" t="s">
        <v>14</v>
      </c>
      <c r="D3456" s="3">
        <v>87716.5877971153</v>
      </c>
      <c r="E3456" s="3">
        <v>30815.887189642</v>
      </c>
      <c r="F3456" s="3">
        <v>28172.5487937175</v>
      </c>
      <c r="G3456" s="3">
        <v>19297.248697821</v>
      </c>
      <c r="H3456" s="3">
        <v>-89631.5918216267</v>
      </c>
      <c r="I3456" s="3">
        <v>73906.3284925998</v>
      </c>
      <c r="J3456" s="4">
        <v>45901.0</v>
      </c>
      <c r="K3456" s="3">
        <v>11.0</v>
      </c>
      <c r="L3456" s="3" t="s">
        <v>31</v>
      </c>
    </row>
    <row r="3457" ht="15.75" customHeight="1">
      <c r="A3457" s="3" t="s">
        <v>3546</v>
      </c>
      <c r="B3457" s="3" t="s">
        <v>36</v>
      </c>
      <c r="C3457" s="3" t="s">
        <v>37</v>
      </c>
      <c r="D3457" s="3">
        <v>87727.4707670215</v>
      </c>
      <c r="E3457" s="3">
        <v>30820.5019079695</v>
      </c>
      <c r="F3457" s="3">
        <v>28180.228797147</v>
      </c>
      <c r="G3457" s="3">
        <v>19300.6462485083</v>
      </c>
      <c r="H3457" s="3">
        <v>-89681.0955393757</v>
      </c>
      <c r="I3457" s="3">
        <v>73909.7099670196</v>
      </c>
      <c r="J3457" s="4">
        <v>45748.0</v>
      </c>
      <c r="K3457" s="3">
        <v>16.0</v>
      </c>
      <c r="L3457" s="3" t="s">
        <v>34</v>
      </c>
    </row>
    <row r="3458" ht="15.75" customHeight="1">
      <c r="A3458" s="3" t="s">
        <v>3547</v>
      </c>
      <c r="B3458" s="3" t="s">
        <v>29</v>
      </c>
      <c r="C3458" s="3" t="s">
        <v>54</v>
      </c>
      <c r="D3458" s="3">
        <v>87738.3537369277</v>
      </c>
      <c r="E3458" s="3">
        <v>30825.1166262969</v>
      </c>
      <c r="F3458" s="3">
        <v>28187.9088005765</v>
      </c>
      <c r="G3458" s="3">
        <v>19304.0437991956</v>
      </c>
      <c r="H3458" s="3">
        <v>-89730.5992571247</v>
      </c>
      <c r="I3458" s="3">
        <v>73913.0914414395</v>
      </c>
      <c r="J3458" s="4">
        <v>45962.0</v>
      </c>
      <c r="K3458" s="3">
        <v>23.0</v>
      </c>
      <c r="L3458" s="3" t="s">
        <v>38</v>
      </c>
    </row>
    <row r="3459" ht="15.75" customHeight="1">
      <c r="A3459" s="3" t="s">
        <v>3548</v>
      </c>
      <c r="B3459" s="3" t="s">
        <v>36</v>
      </c>
      <c r="C3459" s="3" t="s">
        <v>18</v>
      </c>
      <c r="D3459" s="3">
        <v>87749.2367068339</v>
      </c>
      <c r="E3459" s="3">
        <v>30829.7313446243</v>
      </c>
      <c r="F3459" s="3">
        <v>28195.588804006</v>
      </c>
      <c r="G3459" s="3">
        <v>19307.4413498828</v>
      </c>
      <c r="H3459" s="3">
        <v>-89780.1029748737</v>
      </c>
      <c r="I3459" s="3">
        <v>73916.4729158593</v>
      </c>
      <c r="J3459" s="4">
        <v>45931.0</v>
      </c>
      <c r="K3459" s="3">
        <v>5.0</v>
      </c>
      <c r="L3459" s="3" t="s">
        <v>40</v>
      </c>
    </row>
    <row r="3460" ht="15.75" customHeight="1">
      <c r="A3460" s="3" t="s">
        <v>3549</v>
      </c>
      <c r="B3460" s="3" t="s">
        <v>51</v>
      </c>
      <c r="C3460" s="3" t="s">
        <v>37</v>
      </c>
      <c r="D3460" s="3">
        <v>87760.1196767401</v>
      </c>
      <c r="E3460" s="3">
        <v>30834.3460629517</v>
      </c>
      <c r="F3460" s="3">
        <v>28203.2688074355</v>
      </c>
      <c r="G3460" s="3">
        <v>19310.8389005701</v>
      </c>
      <c r="H3460" s="3">
        <v>-89829.6066926237</v>
      </c>
      <c r="I3460" s="3">
        <v>73919.8543902791</v>
      </c>
      <c r="J3460" s="4">
        <v>45689.0</v>
      </c>
      <c r="K3460" s="3">
        <v>17.0</v>
      </c>
      <c r="L3460" s="3" t="s">
        <v>42</v>
      </c>
    </row>
    <row r="3461" ht="15.75" customHeight="1">
      <c r="A3461" s="3" t="s">
        <v>3550</v>
      </c>
      <c r="B3461" s="3" t="s">
        <v>17</v>
      </c>
      <c r="C3461" s="3" t="s">
        <v>26</v>
      </c>
      <c r="D3461" s="3">
        <v>87771.0026466463</v>
      </c>
      <c r="E3461" s="3">
        <v>30838.9607812791</v>
      </c>
      <c r="F3461" s="3">
        <v>28210.948810865</v>
      </c>
      <c r="G3461" s="3">
        <v>19314.2364512574</v>
      </c>
      <c r="H3461" s="3">
        <v>-89879.1104103727</v>
      </c>
      <c r="I3461" s="3">
        <v>73923.2358646989</v>
      </c>
      <c r="J3461" s="4">
        <v>45658.0</v>
      </c>
      <c r="K3461" s="3">
        <v>19.0</v>
      </c>
      <c r="L3461" s="3" t="s">
        <v>15</v>
      </c>
    </row>
    <row r="3462" ht="15.75" customHeight="1">
      <c r="A3462" s="3" t="s">
        <v>3551</v>
      </c>
      <c r="B3462" s="3" t="s">
        <v>36</v>
      </c>
      <c r="C3462" s="3" t="s">
        <v>30</v>
      </c>
      <c r="D3462" s="3">
        <v>87781.8856165525</v>
      </c>
      <c r="E3462" s="3">
        <v>30843.5754996066</v>
      </c>
      <c r="F3462" s="3">
        <v>28218.6288142945</v>
      </c>
      <c r="G3462" s="3">
        <v>19317.6340019447</v>
      </c>
      <c r="H3462" s="3">
        <v>-89928.6141281217</v>
      </c>
      <c r="I3462" s="3">
        <v>73926.6173391187</v>
      </c>
      <c r="J3462" s="3" t="s">
        <v>2608</v>
      </c>
      <c r="K3462" s="3">
        <v>4.0</v>
      </c>
      <c r="L3462" s="3" t="s">
        <v>19</v>
      </c>
    </row>
    <row r="3463" ht="15.75" customHeight="1">
      <c r="A3463" s="3" t="s">
        <v>3552</v>
      </c>
      <c r="B3463" s="3" t="s">
        <v>36</v>
      </c>
      <c r="C3463" s="3" t="s">
        <v>33</v>
      </c>
      <c r="D3463" s="3">
        <v>87792.7685864587</v>
      </c>
      <c r="E3463" s="3">
        <v>30848.190217934</v>
      </c>
      <c r="F3463" s="3">
        <v>28226.308817724</v>
      </c>
      <c r="G3463" s="3">
        <v>19321.031552632</v>
      </c>
      <c r="H3463" s="3">
        <v>-89978.1178458707</v>
      </c>
      <c r="I3463" s="3">
        <v>73929.9988135385</v>
      </c>
      <c r="J3463" s="4">
        <v>45717.0</v>
      </c>
      <c r="K3463" s="3">
        <v>17.0</v>
      </c>
      <c r="L3463" s="3" t="s">
        <v>21</v>
      </c>
    </row>
    <row r="3464" ht="15.75" customHeight="1">
      <c r="A3464" s="3" t="s">
        <v>3553</v>
      </c>
      <c r="B3464" s="3" t="s">
        <v>13</v>
      </c>
      <c r="C3464" s="3" t="s">
        <v>14</v>
      </c>
      <c r="D3464" s="3">
        <v>87803.6515563649</v>
      </c>
      <c r="E3464" s="3">
        <v>30852.8049362614</v>
      </c>
      <c r="F3464" s="3">
        <v>28233.9888211535</v>
      </c>
      <c r="G3464" s="3">
        <v>19324.4291033193</v>
      </c>
      <c r="H3464" s="3">
        <v>-90027.6215636197</v>
      </c>
      <c r="I3464" s="3">
        <v>73933.3802879583</v>
      </c>
      <c r="J3464" s="4">
        <v>45870.0</v>
      </c>
      <c r="K3464" s="3">
        <v>11.0</v>
      </c>
      <c r="L3464" s="3" t="s">
        <v>23</v>
      </c>
    </row>
    <row r="3465" ht="15.75" customHeight="1">
      <c r="A3465" s="3" t="s">
        <v>3554</v>
      </c>
      <c r="B3465" s="3" t="s">
        <v>25</v>
      </c>
      <c r="C3465" s="3" t="s">
        <v>30</v>
      </c>
      <c r="D3465" s="3">
        <v>87825.4174961773</v>
      </c>
      <c r="E3465" s="3">
        <v>30862.0343729163</v>
      </c>
      <c r="F3465" s="3">
        <v>28249.3488280125</v>
      </c>
      <c r="G3465" s="3">
        <v>19331.2242046939</v>
      </c>
      <c r="H3465" s="3">
        <v>-90126.6289991177</v>
      </c>
      <c r="I3465" s="3">
        <v>73940.143236798</v>
      </c>
      <c r="J3465" s="4">
        <v>45717.0</v>
      </c>
      <c r="K3465" s="3">
        <v>1.0</v>
      </c>
      <c r="L3465" s="3" t="s">
        <v>31</v>
      </c>
    </row>
    <row r="3466" ht="15.75" customHeight="1">
      <c r="A3466" s="3" t="s">
        <v>3555</v>
      </c>
      <c r="B3466" s="3" t="s">
        <v>36</v>
      </c>
      <c r="C3466" s="3" t="s">
        <v>37</v>
      </c>
      <c r="D3466" s="3">
        <v>87836.3004660835</v>
      </c>
      <c r="E3466" s="3">
        <v>30866.6490912437</v>
      </c>
      <c r="F3466" s="3">
        <v>28257.028831442</v>
      </c>
      <c r="G3466" s="3">
        <v>19334.6217553811</v>
      </c>
      <c r="H3466" s="3">
        <v>-90176.1327168667</v>
      </c>
      <c r="I3466" s="3">
        <v>73943.5247112178</v>
      </c>
      <c r="J3466" s="4">
        <v>45717.0</v>
      </c>
      <c r="K3466" s="3">
        <v>3.0</v>
      </c>
      <c r="L3466" s="3" t="s">
        <v>34</v>
      </c>
    </row>
    <row r="3467" ht="15.75" customHeight="1">
      <c r="A3467" s="3" t="s">
        <v>3556</v>
      </c>
      <c r="B3467" s="3" t="s">
        <v>25</v>
      </c>
      <c r="C3467" s="3" t="s">
        <v>26</v>
      </c>
      <c r="D3467" s="3">
        <v>87847.1834359897</v>
      </c>
      <c r="E3467" s="3">
        <v>30871.2638095711</v>
      </c>
      <c r="F3467" s="3">
        <v>28264.7088348715</v>
      </c>
      <c r="G3467" s="3">
        <v>19338.0193060684</v>
      </c>
      <c r="H3467" s="3">
        <v>-90225.6364346167</v>
      </c>
      <c r="I3467" s="3">
        <v>73946.9061856376</v>
      </c>
      <c r="J3467" s="4">
        <v>45870.0</v>
      </c>
      <c r="K3467" s="3">
        <v>23.0</v>
      </c>
      <c r="L3467" s="3" t="s">
        <v>38</v>
      </c>
    </row>
    <row r="3468" ht="15.75" customHeight="1">
      <c r="A3468" s="3" t="s">
        <v>3557</v>
      </c>
      <c r="B3468" s="3" t="s">
        <v>25</v>
      </c>
      <c r="C3468" s="3" t="s">
        <v>33</v>
      </c>
      <c r="D3468" s="3">
        <v>87858.0664058959</v>
      </c>
      <c r="E3468" s="3">
        <v>30875.8785278985</v>
      </c>
      <c r="F3468" s="3">
        <v>28272.388838301</v>
      </c>
      <c r="G3468" s="3">
        <v>19341.4168567557</v>
      </c>
      <c r="H3468" s="3">
        <v>-90275.1401523657</v>
      </c>
      <c r="I3468" s="3">
        <v>73950.2876600574</v>
      </c>
      <c r="J3468" s="4">
        <v>45962.0</v>
      </c>
      <c r="K3468" s="3">
        <v>4.0</v>
      </c>
      <c r="L3468" s="3" t="s">
        <v>40</v>
      </c>
    </row>
    <row r="3469" ht="15.75" customHeight="1">
      <c r="A3469" s="3" t="s">
        <v>3558</v>
      </c>
      <c r="B3469" s="3" t="s">
        <v>36</v>
      </c>
      <c r="C3469" s="3" t="s">
        <v>54</v>
      </c>
      <c r="D3469" s="3">
        <v>87868.949375802</v>
      </c>
      <c r="E3469" s="3">
        <v>30880.4932462259</v>
      </c>
      <c r="F3469" s="3">
        <v>28280.0688417304</v>
      </c>
      <c r="G3469" s="3">
        <v>19344.814407443</v>
      </c>
      <c r="H3469" s="3">
        <v>-90324.6438701147</v>
      </c>
      <c r="I3469" s="3">
        <v>73953.6691344772</v>
      </c>
      <c r="J3469" s="4">
        <v>45931.0</v>
      </c>
      <c r="K3469" s="3">
        <v>16.0</v>
      </c>
      <c r="L3469" s="3" t="s">
        <v>42</v>
      </c>
    </row>
    <row r="3470" ht="15.75" customHeight="1">
      <c r="A3470" s="3" t="s">
        <v>3559</v>
      </c>
      <c r="B3470" s="3" t="s">
        <v>36</v>
      </c>
      <c r="C3470" s="3" t="s">
        <v>30</v>
      </c>
      <c r="D3470" s="3">
        <v>87879.8323457082</v>
      </c>
      <c r="E3470" s="3">
        <v>30885.1079645534</v>
      </c>
      <c r="F3470" s="3">
        <v>28287.7488451599</v>
      </c>
      <c r="G3470" s="3">
        <v>19348.2119581303</v>
      </c>
      <c r="H3470" s="3">
        <v>-90374.1475878637</v>
      </c>
      <c r="I3470" s="3">
        <v>73957.050608897</v>
      </c>
      <c r="J3470" s="4">
        <v>45870.0</v>
      </c>
      <c r="K3470" s="3">
        <v>8.0</v>
      </c>
      <c r="L3470" s="3" t="s">
        <v>15</v>
      </c>
    </row>
    <row r="3471" ht="15.75" customHeight="1">
      <c r="A3471" s="3" t="s">
        <v>3560</v>
      </c>
      <c r="B3471" s="3" t="s">
        <v>29</v>
      </c>
      <c r="C3471" s="3" t="s">
        <v>37</v>
      </c>
      <c r="D3471" s="3">
        <v>87890.7153156144</v>
      </c>
      <c r="E3471" s="3">
        <v>30889.7226828808</v>
      </c>
      <c r="F3471" s="3">
        <v>28295.4288485894</v>
      </c>
      <c r="G3471" s="3">
        <v>19351.6095088176</v>
      </c>
      <c r="H3471" s="3">
        <v>-90423.6513056127</v>
      </c>
      <c r="I3471" s="3">
        <v>73960.4320833169</v>
      </c>
      <c r="J3471" s="4">
        <v>45717.0</v>
      </c>
      <c r="K3471" s="3">
        <v>24.0</v>
      </c>
      <c r="L3471" s="3" t="s">
        <v>19</v>
      </c>
    </row>
    <row r="3472" ht="15.75" customHeight="1">
      <c r="A3472" s="3" t="s">
        <v>3561</v>
      </c>
      <c r="B3472" s="3" t="s">
        <v>13</v>
      </c>
      <c r="C3472" s="3" t="s">
        <v>37</v>
      </c>
      <c r="D3472" s="3">
        <v>87901.5982855206</v>
      </c>
      <c r="E3472" s="3">
        <v>30894.3374012082</v>
      </c>
      <c r="F3472" s="3">
        <v>28303.1088520189</v>
      </c>
      <c r="G3472" s="3">
        <v>19355.0070595049</v>
      </c>
      <c r="H3472" s="3">
        <v>-90473.1550233617</v>
      </c>
      <c r="I3472" s="3">
        <v>73963.8135577367</v>
      </c>
      <c r="J3472" s="4">
        <v>45931.0</v>
      </c>
      <c r="K3472" s="3">
        <v>20.0</v>
      </c>
      <c r="L3472" s="3" t="s">
        <v>21</v>
      </c>
    </row>
    <row r="3473" ht="15.75" customHeight="1">
      <c r="A3473" s="3" t="s">
        <v>3562</v>
      </c>
      <c r="B3473" s="3" t="s">
        <v>13</v>
      </c>
      <c r="C3473" s="3" t="s">
        <v>30</v>
      </c>
      <c r="D3473" s="3">
        <v>87912.4812554268</v>
      </c>
      <c r="E3473" s="3">
        <v>30898.9521195356</v>
      </c>
      <c r="F3473" s="3">
        <v>28310.7888554484</v>
      </c>
      <c r="G3473" s="3">
        <v>19358.4046101922</v>
      </c>
      <c r="H3473" s="3">
        <v>-90522.6587411107</v>
      </c>
      <c r="I3473" s="3">
        <v>73967.1950321565</v>
      </c>
      <c r="J3473" s="4">
        <v>45931.0</v>
      </c>
      <c r="K3473" s="3">
        <v>24.0</v>
      </c>
      <c r="L3473" s="3" t="s">
        <v>23</v>
      </c>
    </row>
    <row r="3474" ht="15.75" customHeight="1">
      <c r="A3474" s="3" t="s">
        <v>3563</v>
      </c>
      <c r="B3474" s="3" t="s">
        <v>53</v>
      </c>
      <c r="C3474" s="3" t="s">
        <v>26</v>
      </c>
      <c r="D3474" s="3">
        <v>87923.364225333</v>
      </c>
      <c r="E3474" s="3">
        <v>30903.5668378631</v>
      </c>
      <c r="F3474" s="3">
        <v>28318.4688588779</v>
      </c>
      <c r="G3474" s="3">
        <v>19361.8021608794</v>
      </c>
      <c r="H3474" s="3">
        <v>-90572.1624588597</v>
      </c>
      <c r="I3474" s="3">
        <v>73970.5765065763</v>
      </c>
      <c r="J3474" s="4">
        <v>45809.0</v>
      </c>
      <c r="K3474" s="3">
        <v>17.0</v>
      </c>
      <c r="L3474" s="3" t="s">
        <v>27</v>
      </c>
    </row>
    <row r="3475" ht="15.75" customHeight="1">
      <c r="A3475" s="3" t="s">
        <v>3564</v>
      </c>
      <c r="B3475" s="3" t="s">
        <v>17</v>
      </c>
      <c r="C3475" s="3" t="s">
        <v>37</v>
      </c>
      <c r="D3475" s="3">
        <v>87934.2471952392</v>
      </c>
      <c r="E3475" s="3">
        <v>30908.1815561905</v>
      </c>
      <c r="F3475" s="3">
        <v>28326.1488623074</v>
      </c>
      <c r="G3475" s="3">
        <v>19365.1997115667</v>
      </c>
      <c r="H3475" s="3">
        <v>-90621.6661766097</v>
      </c>
      <c r="I3475" s="3">
        <v>73973.9579809961</v>
      </c>
      <c r="J3475" s="3" t="s">
        <v>3565</v>
      </c>
      <c r="K3475" s="3">
        <v>17.0</v>
      </c>
      <c r="L3475" s="3" t="s">
        <v>31</v>
      </c>
    </row>
    <row r="3476" ht="15.75" customHeight="1">
      <c r="A3476" s="3" t="s">
        <v>3566</v>
      </c>
      <c r="B3476" s="3" t="s">
        <v>51</v>
      </c>
      <c r="C3476" s="3" t="s">
        <v>54</v>
      </c>
      <c r="D3476" s="3">
        <v>87945.1301651454</v>
      </c>
      <c r="E3476" s="3">
        <v>30912.7962745179</v>
      </c>
      <c r="F3476" s="3">
        <v>28333.8288657369</v>
      </c>
      <c r="G3476" s="3">
        <v>19368.597262254</v>
      </c>
      <c r="H3476" s="3">
        <v>-90671.1698943587</v>
      </c>
      <c r="I3476" s="3">
        <v>73977.3394554159</v>
      </c>
      <c r="J3476" s="4">
        <v>45689.0</v>
      </c>
      <c r="K3476" s="3">
        <v>12.0</v>
      </c>
      <c r="L3476" s="3" t="s">
        <v>34</v>
      </c>
    </row>
    <row r="3477" ht="15.75" customHeight="1">
      <c r="A3477" s="3" t="s">
        <v>3567</v>
      </c>
      <c r="B3477" s="3" t="s">
        <v>53</v>
      </c>
      <c r="C3477" s="3" t="s">
        <v>18</v>
      </c>
      <c r="D3477" s="3">
        <v>87956.0131350516</v>
      </c>
      <c r="E3477" s="3">
        <v>30917.4109928453</v>
      </c>
      <c r="F3477" s="3">
        <v>28341.5088691664</v>
      </c>
      <c r="G3477" s="3">
        <v>19371.9948129413</v>
      </c>
      <c r="H3477" s="3">
        <v>-90720.6736121077</v>
      </c>
      <c r="I3477" s="3">
        <v>73980.7209298357</v>
      </c>
      <c r="J3477" s="4">
        <v>45689.0</v>
      </c>
      <c r="K3477" s="3">
        <v>16.0</v>
      </c>
      <c r="L3477" s="3" t="s">
        <v>38</v>
      </c>
    </row>
    <row r="3478" ht="15.75" customHeight="1">
      <c r="A3478" s="3" t="s">
        <v>3568</v>
      </c>
      <c r="B3478" s="3" t="s">
        <v>51</v>
      </c>
      <c r="C3478" s="3" t="s">
        <v>37</v>
      </c>
      <c r="D3478" s="3">
        <v>87966.8961049578</v>
      </c>
      <c r="E3478" s="3">
        <v>30922.0257111727</v>
      </c>
      <c r="F3478" s="3">
        <v>28349.1888725959</v>
      </c>
      <c r="G3478" s="3">
        <v>19375.3923636286</v>
      </c>
      <c r="H3478" s="3">
        <v>-90770.1773298567</v>
      </c>
      <c r="I3478" s="3">
        <v>73984.1024042556</v>
      </c>
      <c r="J3478" s="4">
        <v>45778.0</v>
      </c>
      <c r="K3478" s="3">
        <v>10.0</v>
      </c>
      <c r="L3478" s="3" t="s">
        <v>40</v>
      </c>
    </row>
    <row r="3479" ht="15.75" customHeight="1">
      <c r="A3479" s="3" t="s">
        <v>3569</v>
      </c>
      <c r="B3479" s="3" t="s">
        <v>25</v>
      </c>
      <c r="C3479" s="3" t="s">
        <v>30</v>
      </c>
      <c r="D3479" s="3">
        <v>87977.779074864</v>
      </c>
      <c r="E3479" s="3">
        <v>30926.6404295002</v>
      </c>
      <c r="F3479" s="3">
        <v>28356.8688760254</v>
      </c>
      <c r="G3479" s="3">
        <v>19378.7899143159</v>
      </c>
      <c r="H3479" s="3">
        <v>-90819.6810476057</v>
      </c>
      <c r="I3479" s="3">
        <v>73987.4838786754</v>
      </c>
      <c r="J3479" s="4">
        <v>45778.0</v>
      </c>
      <c r="K3479" s="3">
        <v>22.0</v>
      </c>
      <c r="L3479" s="3" t="s">
        <v>42</v>
      </c>
    </row>
    <row r="3480" ht="15.75" customHeight="1">
      <c r="A3480" s="3" t="s">
        <v>3570</v>
      </c>
      <c r="B3480" s="3" t="s">
        <v>17</v>
      </c>
      <c r="C3480" s="3" t="s">
        <v>18</v>
      </c>
      <c r="D3480" s="3">
        <v>87988.6620447702</v>
      </c>
      <c r="E3480" s="3">
        <v>30931.2551478276</v>
      </c>
      <c r="F3480" s="3">
        <v>28364.5488794549</v>
      </c>
      <c r="G3480" s="3">
        <v>19382.1874650032</v>
      </c>
      <c r="H3480" s="3">
        <v>-90869.1847653547</v>
      </c>
      <c r="I3480" s="3">
        <v>73990.8653530952</v>
      </c>
      <c r="J3480" s="4">
        <v>45689.0</v>
      </c>
      <c r="K3480" s="3">
        <v>4.0</v>
      </c>
      <c r="L3480" s="3" t="s">
        <v>15</v>
      </c>
    </row>
    <row r="3481" ht="15.75" customHeight="1">
      <c r="A3481" s="3" t="s">
        <v>3571</v>
      </c>
      <c r="B3481" s="3" t="s">
        <v>51</v>
      </c>
      <c r="C3481" s="3" t="s">
        <v>26</v>
      </c>
      <c r="D3481" s="3">
        <v>87999.5450146764</v>
      </c>
      <c r="E3481" s="3">
        <v>30935.869866155</v>
      </c>
      <c r="F3481" s="3">
        <v>28372.2288828844</v>
      </c>
      <c r="G3481" s="3">
        <v>19385.5850156904</v>
      </c>
      <c r="H3481" s="3">
        <v>-90918.6884831037</v>
      </c>
      <c r="I3481" s="3">
        <v>73994.246827515</v>
      </c>
      <c r="J3481" s="3" t="s">
        <v>2608</v>
      </c>
      <c r="K3481" s="3">
        <v>1.0</v>
      </c>
      <c r="L3481" s="3" t="s">
        <v>19</v>
      </c>
    </row>
    <row r="3482" ht="15.75" customHeight="1">
      <c r="A3482" s="3" t="s">
        <v>3572</v>
      </c>
      <c r="B3482" s="3" t="s">
        <v>53</v>
      </c>
      <c r="C3482" s="3" t="s">
        <v>18</v>
      </c>
      <c r="D3482" s="3">
        <v>88010.4279845826</v>
      </c>
      <c r="E3482" s="3">
        <v>30940.4845844824</v>
      </c>
      <c r="F3482" s="3">
        <v>28379.9088863139</v>
      </c>
      <c r="G3482" s="3">
        <v>19388.9825663777</v>
      </c>
      <c r="H3482" s="3">
        <v>-90968.1922008527</v>
      </c>
      <c r="I3482" s="3">
        <v>73997.6283019348</v>
      </c>
      <c r="J3482" s="4">
        <v>45658.0</v>
      </c>
      <c r="K3482" s="3">
        <v>13.0</v>
      </c>
      <c r="L3482" s="3" t="s">
        <v>21</v>
      </c>
    </row>
    <row r="3483" ht="15.75" customHeight="1">
      <c r="A3483" s="3" t="s">
        <v>3573</v>
      </c>
      <c r="B3483" s="3" t="s">
        <v>13</v>
      </c>
      <c r="C3483" s="3" t="s">
        <v>30</v>
      </c>
      <c r="D3483" s="5"/>
      <c r="E3483" s="3">
        <v>30949.7140211373</v>
      </c>
      <c r="F3483" s="3">
        <v>28395.2688931729</v>
      </c>
      <c r="G3483" s="3">
        <v>19395.7776677523</v>
      </c>
      <c r="H3483" s="3">
        <v>-91067.1996363517</v>
      </c>
      <c r="I3483" s="3">
        <v>74004.3912507744</v>
      </c>
      <c r="J3483" s="4">
        <v>45901.0</v>
      </c>
      <c r="K3483" s="3">
        <v>4.0</v>
      </c>
      <c r="L3483" s="3" t="s">
        <v>27</v>
      </c>
    </row>
    <row r="3484" ht="15.75" customHeight="1">
      <c r="A3484" s="3" t="s">
        <v>3574</v>
      </c>
      <c r="B3484" s="3" t="s">
        <v>51</v>
      </c>
      <c r="C3484" s="3" t="s">
        <v>37</v>
      </c>
      <c r="D3484" s="3">
        <v>88043.0768943011</v>
      </c>
      <c r="E3484" s="3">
        <v>30954.3287394647</v>
      </c>
      <c r="F3484" s="3">
        <v>28402.9488966024</v>
      </c>
      <c r="G3484" s="3">
        <v>19399.1752184396</v>
      </c>
      <c r="H3484" s="3">
        <v>-91116.7033541007</v>
      </c>
      <c r="I3484" s="3">
        <v>74007.7727251943</v>
      </c>
      <c r="J3484" s="4">
        <v>45901.0</v>
      </c>
      <c r="K3484" s="3">
        <v>21.0</v>
      </c>
      <c r="L3484" s="3" t="s">
        <v>31</v>
      </c>
    </row>
    <row r="3485" ht="15.75" customHeight="1">
      <c r="A3485" s="3" t="s">
        <v>3575</v>
      </c>
      <c r="B3485" s="3" t="s">
        <v>17</v>
      </c>
      <c r="C3485" s="3" t="s">
        <v>54</v>
      </c>
      <c r="D3485" s="3">
        <v>88053.9598642073</v>
      </c>
      <c r="E3485" s="3">
        <v>30958.9434577921</v>
      </c>
      <c r="F3485" s="3">
        <v>28410.6289000319</v>
      </c>
      <c r="G3485" s="3">
        <v>19402.5727691269</v>
      </c>
      <c r="H3485" s="3">
        <v>-91166.2070718497</v>
      </c>
      <c r="I3485" s="3">
        <v>74011.1541996141</v>
      </c>
      <c r="J3485" s="4">
        <v>45658.0</v>
      </c>
      <c r="K3485" s="3">
        <v>24.0</v>
      </c>
      <c r="L3485" s="3" t="s">
        <v>34</v>
      </c>
    </row>
    <row r="3486" ht="15.75" customHeight="1">
      <c r="A3486" s="3" t="s">
        <v>3576</v>
      </c>
      <c r="B3486" s="3" t="s">
        <v>13</v>
      </c>
      <c r="C3486" s="3" t="s">
        <v>54</v>
      </c>
      <c r="D3486" s="3">
        <v>88064.8428341135</v>
      </c>
      <c r="E3486" s="3">
        <v>30963.5581761195</v>
      </c>
      <c r="F3486" s="3">
        <v>28418.3089034614</v>
      </c>
      <c r="G3486" s="3">
        <v>19405.9703198142</v>
      </c>
      <c r="H3486" s="3">
        <v>-91215.7107895987</v>
      </c>
      <c r="I3486" s="3">
        <v>74014.5356740339</v>
      </c>
      <c r="J3486" s="4">
        <v>45809.0</v>
      </c>
      <c r="K3486" s="3">
        <v>5.0</v>
      </c>
      <c r="L3486" s="3" t="s">
        <v>38</v>
      </c>
    </row>
    <row r="3487" ht="15.75" customHeight="1">
      <c r="A3487" s="3" t="s">
        <v>3577</v>
      </c>
      <c r="B3487" s="3" t="s">
        <v>17</v>
      </c>
      <c r="C3487" s="3" t="s">
        <v>26</v>
      </c>
      <c r="D3487" s="3">
        <v>88075.7258040197</v>
      </c>
      <c r="E3487" s="3">
        <v>30968.172894447</v>
      </c>
      <c r="F3487" s="3">
        <v>28425.9889068909</v>
      </c>
      <c r="G3487" s="3">
        <v>19409.3678705015</v>
      </c>
      <c r="H3487" s="3">
        <v>-91265.2145073477</v>
      </c>
      <c r="I3487" s="3">
        <v>74017.9171484537</v>
      </c>
      <c r="J3487" s="4">
        <v>45839.0</v>
      </c>
      <c r="K3487" s="3">
        <v>2.0</v>
      </c>
      <c r="L3487" s="3" t="s">
        <v>40</v>
      </c>
    </row>
    <row r="3488" ht="15.75" customHeight="1">
      <c r="A3488" s="3" t="s">
        <v>3578</v>
      </c>
      <c r="B3488" s="3" t="s">
        <v>17</v>
      </c>
      <c r="C3488" s="3" t="s">
        <v>37</v>
      </c>
      <c r="D3488" s="3">
        <v>88086.6087739259</v>
      </c>
      <c r="E3488" s="3">
        <v>30972.7876127744</v>
      </c>
      <c r="F3488" s="3">
        <v>28433.6689103204</v>
      </c>
      <c r="G3488" s="3">
        <v>19412.7654211887</v>
      </c>
      <c r="H3488" s="3">
        <v>-91314.7182250967</v>
      </c>
      <c r="I3488" s="3">
        <v>74021.2986228735</v>
      </c>
      <c r="J3488" s="4">
        <v>45717.0</v>
      </c>
      <c r="K3488" s="3">
        <v>21.0</v>
      </c>
      <c r="L3488" s="3" t="s">
        <v>42</v>
      </c>
    </row>
    <row r="3489" ht="15.75" customHeight="1">
      <c r="A3489" s="3" t="s">
        <v>3579</v>
      </c>
      <c r="B3489" s="3" t="s">
        <v>29</v>
      </c>
      <c r="C3489" s="3" t="s">
        <v>54</v>
      </c>
      <c r="D3489" s="3">
        <v>88097.4917438321</v>
      </c>
      <c r="E3489" s="3">
        <v>30977.4023311018</v>
      </c>
      <c r="F3489" s="3">
        <v>28441.3489137499</v>
      </c>
      <c r="G3489" s="3">
        <v>19416.162971876</v>
      </c>
      <c r="H3489" s="3">
        <v>-91364.2219428457</v>
      </c>
      <c r="I3489" s="3">
        <v>74024.6800972933</v>
      </c>
      <c r="J3489" s="4">
        <v>45839.0</v>
      </c>
      <c r="K3489" s="3">
        <v>12.0</v>
      </c>
      <c r="L3489" s="3" t="s">
        <v>15</v>
      </c>
    </row>
    <row r="3490" ht="15.75" customHeight="1">
      <c r="A3490" s="3" t="s">
        <v>3580</v>
      </c>
      <c r="B3490" s="3" t="s">
        <v>51</v>
      </c>
      <c r="C3490" s="3" t="s">
        <v>54</v>
      </c>
      <c r="D3490" s="3">
        <v>88108.3747137383</v>
      </c>
      <c r="E3490" s="3">
        <v>30982.0170494292</v>
      </c>
      <c r="F3490" s="3">
        <v>28449.0289171794</v>
      </c>
      <c r="G3490" s="3">
        <v>19419.5605225633</v>
      </c>
      <c r="H3490" s="3">
        <v>-91413.7256605957</v>
      </c>
      <c r="I3490" s="3">
        <v>74028.0615717132</v>
      </c>
      <c r="J3490" s="4">
        <v>45992.0</v>
      </c>
      <c r="K3490" s="3">
        <v>12.0</v>
      </c>
      <c r="L3490" s="3" t="s">
        <v>19</v>
      </c>
    </row>
    <row r="3491" ht="15.75" customHeight="1">
      <c r="A3491" s="3" t="s">
        <v>3581</v>
      </c>
      <c r="B3491" s="3" t="s">
        <v>53</v>
      </c>
      <c r="C3491" s="3" t="s">
        <v>14</v>
      </c>
      <c r="D3491" s="3">
        <v>88119.2576836445</v>
      </c>
      <c r="E3491" s="3">
        <v>30986.6317677567</v>
      </c>
      <c r="F3491" s="3">
        <v>28456.7089206089</v>
      </c>
      <c r="G3491" s="3">
        <v>19422.9580732506</v>
      </c>
      <c r="H3491" s="3">
        <v>-91463.2293783447</v>
      </c>
      <c r="I3491" s="3">
        <v>74031.443046133</v>
      </c>
      <c r="J3491" s="4">
        <v>45870.0</v>
      </c>
      <c r="K3491" s="3">
        <v>22.0</v>
      </c>
      <c r="L3491" s="3" t="s">
        <v>21</v>
      </c>
    </row>
    <row r="3492" ht="15.75" customHeight="1">
      <c r="A3492" s="3" t="s">
        <v>3582</v>
      </c>
      <c r="B3492" s="3" t="s">
        <v>36</v>
      </c>
      <c r="C3492" s="3" t="s">
        <v>54</v>
      </c>
      <c r="D3492" s="3">
        <v>88130.1406535507</v>
      </c>
      <c r="E3492" s="3">
        <v>30991.2464860841</v>
      </c>
      <c r="F3492" s="3">
        <v>28464.3889240384</v>
      </c>
      <c r="G3492" s="3">
        <v>19426.3556239379</v>
      </c>
      <c r="H3492" s="3">
        <v>-91512.7330960937</v>
      </c>
      <c r="I3492" s="3">
        <v>74034.8245205528</v>
      </c>
      <c r="J3492" s="4">
        <v>45962.0</v>
      </c>
      <c r="K3492" s="3">
        <v>9.0</v>
      </c>
      <c r="L3492" s="3" t="s">
        <v>23</v>
      </c>
    </row>
    <row r="3493" ht="15.75" customHeight="1">
      <c r="A3493" s="3" t="s">
        <v>3583</v>
      </c>
      <c r="B3493" s="3" t="s">
        <v>25</v>
      </c>
      <c r="C3493" s="3" t="s">
        <v>37</v>
      </c>
      <c r="D3493" s="3">
        <v>88141.0236234569</v>
      </c>
      <c r="E3493" s="3">
        <v>30995.8612044115</v>
      </c>
      <c r="F3493" s="3">
        <v>28472.0689274679</v>
      </c>
      <c r="G3493" s="3">
        <v>19429.7531746252</v>
      </c>
      <c r="H3493" s="3">
        <v>-91562.2368138427</v>
      </c>
      <c r="I3493" s="3">
        <v>74038.2059949726</v>
      </c>
      <c r="J3493" s="4">
        <v>45778.0</v>
      </c>
      <c r="K3493" s="3">
        <v>4.0</v>
      </c>
      <c r="L3493" s="3" t="s">
        <v>27</v>
      </c>
    </row>
    <row r="3494" ht="15.75" customHeight="1">
      <c r="A3494" s="3" t="s">
        <v>3584</v>
      </c>
      <c r="B3494" s="3" t="s">
        <v>17</v>
      </c>
      <c r="C3494" s="3" t="s">
        <v>54</v>
      </c>
      <c r="D3494" s="3">
        <v>88151.9065933631</v>
      </c>
      <c r="E3494" s="3">
        <v>31000.4759227389</v>
      </c>
      <c r="F3494" s="3">
        <v>28479.7489308974</v>
      </c>
      <c r="G3494" s="3">
        <v>19433.1507253125</v>
      </c>
      <c r="H3494" s="3">
        <v>-91611.7405315917</v>
      </c>
      <c r="I3494" s="3">
        <v>74041.5874693924</v>
      </c>
      <c r="J3494" s="4">
        <v>45809.0</v>
      </c>
      <c r="K3494" s="3">
        <v>8.0</v>
      </c>
      <c r="L3494" s="3" t="s">
        <v>31</v>
      </c>
    </row>
    <row r="3495" ht="15.75" customHeight="1">
      <c r="A3495" s="3" t="s">
        <v>3585</v>
      </c>
      <c r="B3495" s="3" t="s">
        <v>29</v>
      </c>
      <c r="C3495" s="3" t="s">
        <v>33</v>
      </c>
      <c r="D3495" s="3">
        <v>88162.7895632693</v>
      </c>
      <c r="E3495" s="3">
        <v>31005.0906410663</v>
      </c>
      <c r="F3495" s="3">
        <v>28487.4289343269</v>
      </c>
      <c r="G3495" s="3">
        <v>19436.5482759998</v>
      </c>
      <c r="H3495" s="3">
        <v>-91661.2442493407</v>
      </c>
      <c r="I3495" s="3">
        <v>74044.9689438122</v>
      </c>
      <c r="J3495" s="4">
        <v>45778.0</v>
      </c>
      <c r="K3495" s="3">
        <v>24.0</v>
      </c>
      <c r="L3495" s="3" t="s">
        <v>34</v>
      </c>
    </row>
    <row r="3496" ht="15.75" customHeight="1">
      <c r="A3496" s="3" t="s">
        <v>3586</v>
      </c>
      <c r="B3496" s="3" t="s">
        <v>51</v>
      </c>
      <c r="C3496" s="3" t="s">
        <v>26</v>
      </c>
      <c r="D3496" s="5"/>
      <c r="E3496" s="3">
        <v>31009.7053593938</v>
      </c>
      <c r="F3496" s="3">
        <v>28495.1089377564</v>
      </c>
      <c r="G3496" s="3">
        <v>19439.945826687</v>
      </c>
      <c r="H3496" s="3">
        <v>-91710.7479670897</v>
      </c>
      <c r="I3496" s="3">
        <v>74048.350418232</v>
      </c>
      <c r="J3496" s="4">
        <v>45839.0</v>
      </c>
      <c r="K3496" s="3">
        <v>16.0</v>
      </c>
      <c r="L3496" s="3" t="s">
        <v>38</v>
      </c>
    </row>
    <row r="3497" ht="15.75" customHeight="1">
      <c r="A3497" s="3" t="s">
        <v>3587</v>
      </c>
      <c r="B3497" s="3" t="s">
        <v>29</v>
      </c>
      <c r="C3497" s="3" t="s">
        <v>30</v>
      </c>
      <c r="D3497" s="3">
        <v>88184.5555030817</v>
      </c>
      <c r="E3497" s="3">
        <v>31014.3200777212</v>
      </c>
      <c r="F3497" s="3">
        <v>28502.7889411859</v>
      </c>
      <c r="G3497" s="3">
        <v>19443.3433773743</v>
      </c>
      <c r="H3497" s="3">
        <v>-91760.2516848387</v>
      </c>
      <c r="I3497" s="3">
        <v>74051.7318926518</v>
      </c>
      <c r="J3497" s="4">
        <v>45658.0</v>
      </c>
      <c r="K3497" s="3">
        <v>1.0</v>
      </c>
      <c r="L3497" s="3" t="s">
        <v>40</v>
      </c>
    </row>
    <row r="3498" ht="15.75" customHeight="1">
      <c r="A3498" s="3" t="s">
        <v>3588</v>
      </c>
      <c r="B3498" s="3" t="s">
        <v>17</v>
      </c>
      <c r="C3498" s="3" t="s">
        <v>54</v>
      </c>
      <c r="D3498" s="3">
        <v>88195.4384729878</v>
      </c>
      <c r="E3498" s="3">
        <v>31018.9347960486</v>
      </c>
      <c r="F3498" s="3">
        <v>28510.4689446154</v>
      </c>
      <c r="G3498" s="3">
        <v>19446.7409280616</v>
      </c>
      <c r="H3498" s="3">
        <v>-91809.7554025887</v>
      </c>
      <c r="I3498" s="3">
        <v>74055.1133670717</v>
      </c>
      <c r="J3498" s="4">
        <v>45992.0</v>
      </c>
      <c r="K3498" s="3">
        <v>15.0</v>
      </c>
      <c r="L3498" s="3" t="s">
        <v>42</v>
      </c>
    </row>
    <row r="3499" ht="15.75" customHeight="1">
      <c r="A3499" s="3" t="s">
        <v>3589</v>
      </c>
      <c r="B3499" s="3" t="s">
        <v>17</v>
      </c>
      <c r="C3499" s="3" t="s">
        <v>14</v>
      </c>
      <c r="D3499" s="3">
        <v>88206.321442894</v>
      </c>
      <c r="E3499" s="3">
        <v>31023.549514376</v>
      </c>
      <c r="F3499" s="3">
        <v>28518.1489480449</v>
      </c>
      <c r="G3499" s="3">
        <v>19450.1384787489</v>
      </c>
      <c r="H3499" s="3">
        <v>-91859.2591203377</v>
      </c>
      <c r="I3499" s="3">
        <v>74058.4948414915</v>
      </c>
      <c r="J3499" s="4">
        <v>45962.0</v>
      </c>
      <c r="K3499" s="3">
        <v>24.0</v>
      </c>
      <c r="L3499" s="3" t="s">
        <v>15</v>
      </c>
    </row>
    <row r="3500" ht="15.75" customHeight="1">
      <c r="A3500" s="3" t="s">
        <v>3590</v>
      </c>
      <c r="B3500" s="3" t="s">
        <v>53</v>
      </c>
      <c r="C3500" s="3" t="s">
        <v>54</v>
      </c>
      <c r="D3500" s="3">
        <v>88217.2044128002</v>
      </c>
      <c r="E3500" s="3">
        <v>31028.1642327035</v>
      </c>
      <c r="F3500" s="3">
        <v>28525.8289514744</v>
      </c>
      <c r="G3500" s="3">
        <v>19453.5360294362</v>
      </c>
      <c r="H3500" s="3">
        <v>-91908.7628380867</v>
      </c>
      <c r="I3500" s="3">
        <v>74061.8763159113</v>
      </c>
      <c r="J3500" s="4">
        <v>45778.0</v>
      </c>
      <c r="K3500" s="3">
        <v>15.0</v>
      </c>
      <c r="L3500" s="3" t="s">
        <v>19</v>
      </c>
    </row>
    <row r="3501" ht="15.75" customHeight="1">
      <c r="A3501" s="3" t="s">
        <v>3591</v>
      </c>
      <c r="B3501" s="3" t="s">
        <v>13</v>
      </c>
      <c r="C3501" s="3" t="s">
        <v>33</v>
      </c>
      <c r="D3501" s="5"/>
      <c r="E3501" s="3">
        <v>31032.7789510309</v>
      </c>
      <c r="F3501" s="3">
        <v>28533.5089549039</v>
      </c>
      <c r="G3501" s="3">
        <v>19456.9335801235</v>
      </c>
      <c r="H3501" s="3">
        <v>-91958.2665558357</v>
      </c>
      <c r="I3501" s="3">
        <v>74065.2577903311</v>
      </c>
      <c r="J3501" s="4">
        <v>45901.0</v>
      </c>
      <c r="K3501" s="3">
        <v>19.0</v>
      </c>
      <c r="L3501" s="3" t="s">
        <v>21</v>
      </c>
    </row>
    <row r="3502" ht="15.75" customHeight="1">
      <c r="A3502" s="3" t="s">
        <v>3592</v>
      </c>
      <c r="B3502" s="3" t="s">
        <v>13</v>
      </c>
      <c r="C3502" s="3" t="s">
        <v>30</v>
      </c>
      <c r="D3502" s="3">
        <v>88238.9703526126</v>
      </c>
      <c r="E3502" s="3">
        <v>31037.3936693583</v>
      </c>
      <c r="F3502" s="3">
        <v>28541.1889583334</v>
      </c>
      <c r="G3502" s="3">
        <v>19460.3311308108</v>
      </c>
      <c r="H3502" s="3">
        <v>-92007.7702735847</v>
      </c>
      <c r="I3502" s="3">
        <v>74068.6392647509</v>
      </c>
      <c r="J3502" s="4">
        <v>45717.0</v>
      </c>
      <c r="K3502" s="3">
        <v>12.0</v>
      </c>
      <c r="L3502" s="3" t="s">
        <v>23</v>
      </c>
    </row>
    <row r="3503" ht="15.75" customHeight="1">
      <c r="A3503" s="3" t="s">
        <v>3593</v>
      </c>
      <c r="B3503" s="3" t="s">
        <v>29</v>
      </c>
      <c r="C3503" s="3" t="s">
        <v>33</v>
      </c>
      <c r="D3503" s="3">
        <v>88249.8533225188</v>
      </c>
      <c r="E3503" s="3">
        <v>31042.0083876857</v>
      </c>
      <c r="F3503" s="3">
        <v>28548.8689617629</v>
      </c>
      <c r="G3503" s="3">
        <v>19463.728681498</v>
      </c>
      <c r="H3503" s="3">
        <v>-92057.2739913337</v>
      </c>
      <c r="I3503" s="3">
        <v>74072.0207391707</v>
      </c>
      <c r="J3503" s="4">
        <v>45778.0</v>
      </c>
      <c r="K3503" s="3">
        <v>23.0</v>
      </c>
      <c r="L3503" s="3" t="s">
        <v>27</v>
      </c>
    </row>
    <row r="3504" ht="15.75" customHeight="1">
      <c r="A3504" s="3" t="s">
        <v>3594</v>
      </c>
      <c r="B3504" s="3" t="s">
        <v>53</v>
      </c>
      <c r="C3504" s="3" t="s">
        <v>18</v>
      </c>
      <c r="D3504" s="3">
        <v>88260.736292425</v>
      </c>
      <c r="E3504" s="3">
        <v>31046.6231060131</v>
      </c>
      <c r="F3504" s="3">
        <v>28556.5489651924</v>
      </c>
      <c r="G3504" s="3">
        <v>19467.1262321853</v>
      </c>
      <c r="H3504" s="3">
        <v>-92106.7777090827</v>
      </c>
      <c r="I3504" s="3">
        <v>74075.4022135906</v>
      </c>
      <c r="J3504" s="4">
        <v>45870.0</v>
      </c>
      <c r="K3504" s="3">
        <v>8.0</v>
      </c>
      <c r="L3504" s="3" t="s">
        <v>31</v>
      </c>
    </row>
    <row r="3505" ht="15.75" customHeight="1">
      <c r="A3505" s="3" t="s">
        <v>3595</v>
      </c>
      <c r="B3505" s="3" t="s">
        <v>51</v>
      </c>
      <c r="C3505" s="3" t="s">
        <v>26</v>
      </c>
      <c r="D3505" s="3">
        <v>88271.6192623312</v>
      </c>
      <c r="E3505" s="3">
        <v>31051.2378243406</v>
      </c>
      <c r="F3505" s="3">
        <v>28564.2289686219</v>
      </c>
      <c r="G3505" s="3">
        <v>19470.5237828726</v>
      </c>
      <c r="H3505" s="3">
        <v>-92156.2814268327</v>
      </c>
      <c r="I3505" s="3">
        <v>74078.7836880104</v>
      </c>
      <c r="J3505" s="4">
        <v>45992.0</v>
      </c>
      <c r="K3505" s="3">
        <v>22.0</v>
      </c>
      <c r="L3505" s="3" t="s">
        <v>34</v>
      </c>
    </row>
    <row r="3506" ht="15.75" customHeight="1">
      <c r="A3506" s="3" t="s">
        <v>3596</v>
      </c>
      <c r="B3506" s="3" t="s">
        <v>53</v>
      </c>
      <c r="C3506" s="3" t="s">
        <v>14</v>
      </c>
      <c r="D3506" s="3">
        <v>88282.5022322374</v>
      </c>
      <c r="E3506" s="3">
        <v>31055.852542668</v>
      </c>
      <c r="F3506" s="3">
        <v>28571.9089720513</v>
      </c>
      <c r="G3506" s="3">
        <v>19473.9213335599</v>
      </c>
      <c r="H3506" s="3">
        <v>-92205.7851445817</v>
      </c>
      <c r="I3506" s="3">
        <v>74082.1651624302</v>
      </c>
      <c r="J3506" s="4">
        <v>45809.0</v>
      </c>
      <c r="K3506" s="3">
        <v>15.0</v>
      </c>
      <c r="L3506" s="3" t="s">
        <v>38</v>
      </c>
    </row>
    <row r="3507" ht="15.75" customHeight="1">
      <c r="A3507" s="3" t="s">
        <v>3597</v>
      </c>
      <c r="B3507" s="3" t="s">
        <v>51</v>
      </c>
      <c r="C3507" s="3" t="s">
        <v>30</v>
      </c>
      <c r="D3507" s="3">
        <v>88293.3852021436</v>
      </c>
      <c r="E3507" s="3">
        <v>31060.4672609954</v>
      </c>
      <c r="F3507" s="3">
        <v>28579.5889754808</v>
      </c>
      <c r="G3507" s="3">
        <v>19477.3188842472</v>
      </c>
      <c r="H3507" s="3">
        <v>-92255.2888623307</v>
      </c>
      <c r="I3507" s="3">
        <v>74085.54663685</v>
      </c>
      <c r="J3507" s="4">
        <v>45748.0</v>
      </c>
      <c r="K3507" s="3">
        <v>15.0</v>
      </c>
      <c r="L3507" s="3" t="s">
        <v>40</v>
      </c>
    </row>
    <row r="3508" ht="15.75" customHeight="1">
      <c r="A3508" s="3" t="s">
        <v>3598</v>
      </c>
      <c r="B3508" s="3" t="s">
        <v>36</v>
      </c>
      <c r="C3508" s="3" t="s">
        <v>18</v>
      </c>
      <c r="D3508" s="3">
        <v>88304.2681720498</v>
      </c>
      <c r="E3508" s="3">
        <v>31065.0819793228</v>
      </c>
      <c r="F3508" s="3">
        <v>28587.2689789103</v>
      </c>
      <c r="G3508" s="3">
        <v>19480.7164349345</v>
      </c>
      <c r="H3508" s="3">
        <v>-92304.7925800797</v>
      </c>
      <c r="I3508" s="3">
        <v>74088.9281112698</v>
      </c>
      <c r="J3508" s="4">
        <v>45689.0</v>
      </c>
      <c r="K3508" s="3">
        <v>2.0</v>
      </c>
      <c r="L3508" s="3" t="s">
        <v>42</v>
      </c>
    </row>
    <row r="3509" ht="15.75" customHeight="1">
      <c r="A3509" s="3" t="s">
        <v>3599</v>
      </c>
      <c r="B3509" s="3" t="s">
        <v>51</v>
      </c>
      <c r="C3509" s="3" t="s">
        <v>30</v>
      </c>
      <c r="D3509" s="3">
        <v>88315.151141956</v>
      </c>
      <c r="E3509" s="3">
        <v>31069.6966976503</v>
      </c>
      <c r="F3509" s="3">
        <v>28594.9489823398</v>
      </c>
      <c r="G3509" s="3">
        <v>19484.1139856218</v>
      </c>
      <c r="H3509" s="3">
        <v>-92354.2962978287</v>
      </c>
      <c r="I3509" s="3">
        <v>74092.3095856896</v>
      </c>
      <c r="J3509" s="4">
        <v>45839.0</v>
      </c>
      <c r="K3509" s="3">
        <v>20.0</v>
      </c>
      <c r="L3509" s="3" t="s">
        <v>15</v>
      </c>
    </row>
    <row r="3510" ht="15.75" customHeight="1">
      <c r="A3510" s="3" t="s">
        <v>3600</v>
      </c>
      <c r="B3510" s="3" t="s">
        <v>17</v>
      </c>
      <c r="C3510" s="3" t="s">
        <v>26</v>
      </c>
      <c r="D3510" s="3">
        <v>88326.0341118622</v>
      </c>
      <c r="E3510" s="3">
        <v>31074.3114159777</v>
      </c>
      <c r="F3510" s="3">
        <v>28602.6289857693</v>
      </c>
      <c r="G3510" s="3">
        <v>19487.5115363091</v>
      </c>
      <c r="H3510" s="3">
        <v>-92403.8000155777</v>
      </c>
      <c r="I3510" s="3">
        <v>74095.6910601094</v>
      </c>
      <c r="J3510" s="4">
        <v>45689.0</v>
      </c>
      <c r="K3510" s="3">
        <v>12.0</v>
      </c>
      <c r="L3510" s="3" t="s">
        <v>19</v>
      </c>
    </row>
    <row r="3511" ht="15.75" customHeight="1">
      <c r="A3511" s="3" t="s">
        <v>3601</v>
      </c>
      <c r="B3511" s="3" t="s">
        <v>51</v>
      </c>
      <c r="C3511" s="3" t="s">
        <v>30</v>
      </c>
      <c r="D3511" s="3">
        <v>88336.9170817684</v>
      </c>
      <c r="E3511" s="3">
        <v>31078.9261343051</v>
      </c>
      <c r="F3511" s="3">
        <v>28610.3089891988</v>
      </c>
      <c r="G3511" s="3">
        <v>19490.9090869963</v>
      </c>
      <c r="H3511" s="3">
        <v>-92453.3037333267</v>
      </c>
      <c r="I3511" s="3">
        <v>74099.0725345293</v>
      </c>
      <c r="J3511" s="4">
        <v>45870.0</v>
      </c>
      <c r="K3511" s="3">
        <v>13.0</v>
      </c>
      <c r="L3511" s="3" t="s">
        <v>21</v>
      </c>
    </row>
    <row r="3512" ht="15.75" customHeight="1">
      <c r="A3512" s="3" t="s">
        <v>3602</v>
      </c>
      <c r="B3512" s="3" t="s">
        <v>36</v>
      </c>
      <c r="C3512" s="3" t="s">
        <v>14</v>
      </c>
      <c r="D3512" s="3">
        <v>88347.8000516746</v>
      </c>
      <c r="E3512" s="3">
        <v>31083.5408526325</v>
      </c>
      <c r="F3512" s="3">
        <v>28617.9889926283</v>
      </c>
      <c r="G3512" s="3">
        <v>19494.3066376836</v>
      </c>
      <c r="H3512" s="3">
        <v>-92502.8074510757</v>
      </c>
      <c r="I3512" s="3">
        <v>74102.4540089491</v>
      </c>
      <c r="J3512" s="4">
        <v>45870.0</v>
      </c>
      <c r="K3512" s="3">
        <v>21.0</v>
      </c>
      <c r="L3512" s="3" t="s">
        <v>23</v>
      </c>
    </row>
    <row r="3513" ht="15.75" customHeight="1">
      <c r="A3513" s="3" t="s">
        <v>3603</v>
      </c>
      <c r="B3513" s="3" t="s">
        <v>36</v>
      </c>
      <c r="C3513" s="3" t="s">
        <v>54</v>
      </c>
      <c r="D3513" s="3">
        <v>88358.6830215808</v>
      </c>
      <c r="E3513" s="3">
        <v>31088.1555709599</v>
      </c>
      <c r="F3513" s="3">
        <v>28625.6689960578</v>
      </c>
      <c r="G3513" s="3">
        <v>19497.7041883709</v>
      </c>
      <c r="H3513" s="3">
        <v>-92552.3111688257</v>
      </c>
      <c r="I3513" s="3">
        <v>74105.8354833689</v>
      </c>
      <c r="J3513" s="4">
        <v>45870.0</v>
      </c>
      <c r="K3513" s="3">
        <v>21.0</v>
      </c>
      <c r="L3513" s="3" t="s">
        <v>27</v>
      </c>
    </row>
    <row r="3514" ht="15.75" customHeight="1">
      <c r="A3514" s="3" t="s">
        <v>3604</v>
      </c>
      <c r="B3514" s="3" t="s">
        <v>25</v>
      </c>
      <c r="C3514" s="3" t="s">
        <v>54</v>
      </c>
      <c r="D3514" s="3">
        <v>88369.5659914869</v>
      </c>
      <c r="E3514" s="3">
        <v>31092.7702892874</v>
      </c>
      <c r="F3514" s="3">
        <v>28633.3489994873</v>
      </c>
      <c r="G3514" s="3">
        <v>19501.1017390582</v>
      </c>
      <c r="H3514" s="3">
        <v>-92601.8148865747</v>
      </c>
      <c r="I3514" s="3">
        <v>74109.2169577887</v>
      </c>
      <c r="J3514" s="3" t="s">
        <v>1542</v>
      </c>
      <c r="K3514" s="3">
        <v>10.0</v>
      </c>
      <c r="L3514" s="3" t="s">
        <v>31</v>
      </c>
    </row>
    <row r="3515" ht="15.75" customHeight="1">
      <c r="A3515" s="3" t="s">
        <v>3605</v>
      </c>
      <c r="B3515" s="3" t="s">
        <v>17</v>
      </c>
      <c r="C3515" s="3" t="s">
        <v>14</v>
      </c>
      <c r="D3515" s="3">
        <v>88380.4489613931</v>
      </c>
      <c r="E3515" s="3">
        <v>31097.3850076148</v>
      </c>
      <c r="F3515" s="3">
        <v>28641.0290029168</v>
      </c>
      <c r="G3515" s="3">
        <v>19504.4992897455</v>
      </c>
      <c r="H3515" s="3">
        <v>-92651.3186043237</v>
      </c>
      <c r="I3515" s="3">
        <v>74112.5984322085</v>
      </c>
      <c r="J3515" s="4">
        <v>45748.0</v>
      </c>
      <c r="K3515" s="3">
        <v>3.0</v>
      </c>
      <c r="L3515" s="3" t="s">
        <v>34</v>
      </c>
    </row>
    <row r="3516" ht="15.75" customHeight="1">
      <c r="A3516" s="3" t="s">
        <v>3606</v>
      </c>
      <c r="B3516" s="3" t="s">
        <v>13</v>
      </c>
      <c r="C3516" s="3" t="s">
        <v>33</v>
      </c>
      <c r="D3516" s="3">
        <v>88391.3319312993</v>
      </c>
      <c r="E3516" s="3">
        <v>31101.9997259422</v>
      </c>
      <c r="F3516" s="3">
        <v>28648.7090063463</v>
      </c>
      <c r="G3516" s="3">
        <v>19507.8968404328</v>
      </c>
      <c r="H3516" s="3">
        <v>-92700.8223220727</v>
      </c>
      <c r="I3516" s="3">
        <v>74115.9799066283</v>
      </c>
      <c r="J3516" s="4">
        <v>45748.0</v>
      </c>
      <c r="K3516" s="3">
        <v>9.0</v>
      </c>
      <c r="L3516" s="3" t="s">
        <v>38</v>
      </c>
    </row>
    <row r="3517" ht="15.75" customHeight="1">
      <c r="A3517" s="3" t="s">
        <v>3607</v>
      </c>
      <c r="B3517" s="3" t="s">
        <v>53</v>
      </c>
      <c r="C3517" s="3" t="s">
        <v>30</v>
      </c>
      <c r="D3517" s="3">
        <v>88402.2149012055</v>
      </c>
      <c r="E3517" s="3">
        <v>31106.6144442696</v>
      </c>
      <c r="F3517" s="3">
        <v>28656.3890097758</v>
      </c>
      <c r="G3517" s="3">
        <v>19511.2943911201</v>
      </c>
      <c r="H3517" s="3">
        <v>-92750.3260398217</v>
      </c>
      <c r="I3517" s="3">
        <v>74119.3613810481</v>
      </c>
      <c r="J3517" s="4">
        <v>45809.0</v>
      </c>
      <c r="K3517" s="3">
        <v>5.0</v>
      </c>
      <c r="L3517" s="3" t="s">
        <v>40</v>
      </c>
    </row>
    <row r="3518" ht="15.75" customHeight="1">
      <c r="A3518" s="3" t="s">
        <v>3608</v>
      </c>
      <c r="B3518" s="3" t="s">
        <v>36</v>
      </c>
      <c r="C3518" s="3" t="s">
        <v>18</v>
      </c>
      <c r="D3518" s="3">
        <v>88413.0978711117</v>
      </c>
      <c r="E3518" s="3">
        <v>31111.2291625971</v>
      </c>
      <c r="F3518" s="3">
        <v>28664.0690132053</v>
      </c>
      <c r="G3518" s="3">
        <v>19514.6919418074</v>
      </c>
      <c r="H3518" s="3">
        <v>-92799.8297575707</v>
      </c>
      <c r="I3518" s="3">
        <v>74122.742855468</v>
      </c>
      <c r="J3518" s="4">
        <v>45992.0</v>
      </c>
      <c r="K3518" s="3">
        <v>11.0</v>
      </c>
      <c r="L3518" s="3" t="s">
        <v>42</v>
      </c>
    </row>
    <row r="3519" ht="15.75" customHeight="1">
      <c r="A3519" s="3" t="s">
        <v>3609</v>
      </c>
      <c r="B3519" s="3" t="s">
        <v>29</v>
      </c>
      <c r="C3519" s="3" t="s">
        <v>26</v>
      </c>
      <c r="D3519" s="3">
        <v>88434.8638109241</v>
      </c>
      <c r="E3519" s="3">
        <v>31120.4585992519</v>
      </c>
      <c r="F3519" s="3">
        <v>28679.4290200643</v>
      </c>
      <c r="G3519" s="3">
        <v>19521.4870431819</v>
      </c>
      <c r="H3519" s="3">
        <v>-92898.8371930687</v>
      </c>
      <c r="I3519" s="3">
        <v>74129.5058043076</v>
      </c>
      <c r="J3519" s="4">
        <v>45992.0</v>
      </c>
      <c r="K3519" s="3">
        <v>17.0</v>
      </c>
      <c r="L3519" s="3" t="s">
        <v>19</v>
      </c>
    </row>
    <row r="3520" ht="15.75" customHeight="1">
      <c r="A3520" s="3" t="s">
        <v>3610</v>
      </c>
      <c r="B3520" s="3" t="s">
        <v>53</v>
      </c>
      <c r="C3520" s="3" t="s">
        <v>30</v>
      </c>
      <c r="D3520" s="3">
        <v>88445.7467808303</v>
      </c>
      <c r="E3520" s="3">
        <v>31125.0733175793</v>
      </c>
      <c r="F3520" s="3">
        <v>28687.1090234938</v>
      </c>
      <c r="G3520" s="3">
        <v>19524.8845938692</v>
      </c>
      <c r="H3520" s="3">
        <v>-92948.3409108187</v>
      </c>
      <c r="I3520" s="3">
        <v>74132.8872787274</v>
      </c>
      <c r="J3520" s="4">
        <v>45809.0</v>
      </c>
      <c r="K3520" s="3">
        <v>6.0</v>
      </c>
      <c r="L3520" s="3" t="s">
        <v>21</v>
      </c>
    </row>
    <row r="3521" ht="15.75" customHeight="1">
      <c r="A3521" s="3" t="s">
        <v>3611</v>
      </c>
      <c r="B3521" s="3" t="s">
        <v>51</v>
      </c>
      <c r="C3521" s="3" t="s">
        <v>26</v>
      </c>
      <c r="D3521" s="3">
        <v>88456.6297507365</v>
      </c>
      <c r="E3521" s="3">
        <v>31129.6880359067</v>
      </c>
      <c r="F3521" s="3">
        <v>28694.7890269233</v>
      </c>
      <c r="G3521" s="3">
        <v>19528.2821445565</v>
      </c>
      <c r="H3521" s="3">
        <v>-92997.8446285677</v>
      </c>
      <c r="I3521" s="3">
        <v>74136.2687531472</v>
      </c>
      <c r="J3521" s="4">
        <v>45901.0</v>
      </c>
      <c r="K3521" s="3">
        <v>1.0</v>
      </c>
      <c r="L3521" s="3" t="s">
        <v>23</v>
      </c>
    </row>
    <row r="3522" ht="15.75" customHeight="1">
      <c r="A3522" s="3" t="s">
        <v>3612</v>
      </c>
      <c r="B3522" s="3" t="s">
        <v>51</v>
      </c>
      <c r="C3522" s="3" t="s">
        <v>30</v>
      </c>
      <c r="D3522" s="3">
        <v>88467.5127206427</v>
      </c>
      <c r="E3522" s="3">
        <v>31134.3027542342</v>
      </c>
      <c r="F3522" s="3">
        <v>28702.4690303528</v>
      </c>
      <c r="G3522" s="3">
        <v>19531.6796952438</v>
      </c>
      <c r="H3522" s="3">
        <v>-93047.3483463167</v>
      </c>
      <c r="I3522" s="3">
        <v>74139.650227567</v>
      </c>
      <c r="J3522" s="4">
        <v>45748.0</v>
      </c>
      <c r="K3522" s="3">
        <v>13.0</v>
      </c>
      <c r="L3522" s="3" t="s">
        <v>27</v>
      </c>
    </row>
    <row r="3523" ht="15.75" customHeight="1">
      <c r="A3523" s="3" t="s">
        <v>3613</v>
      </c>
      <c r="B3523" s="3" t="s">
        <v>17</v>
      </c>
      <c r="C3523" s="3" t="s">
        <v>26</v>
      </c>
      <c r="D3523" s="3">
        <v>88478.3956905489</v>
      </c>
      <c r="E3523" s="3">
        <v>31138.9174725616</v>
      </c>
      <c r="F3523" s="3">
        <v>28710.1490337823</v>
      </c>
      <c r="G3523" s="3">
        <v>19535.0772459311</v>
      </c>
      <c r="H3523" s="3">
        <v>-93096.8520640657</v>
      </c>
      <c r="I3523" s="3">
        <v>74143.0317019868</v>
      </c>
      <c r="J3523" s="4">
        <v>45839.0</v>
      </c>
      <c r="K3523" s="3">
        <v>18.0</v>
      </c>
      <c r="L3523" s="3" t="s">
        <v>31</v>
      </c>
    </row>
    <row r="3524" ht="15.75" customHeight="1">
      <c r="A3524" s="3" t="s">
        <v>3614</v>
      </c>
      <c r="B3524" s="3" t="s">
        <v>29</v>
      </c>
      <c r="C3524" s="3" t="s">
        <v>33</v>
      </c>
      <c r="D3524" s="3">
        <v>88489.2786604551</v>
      </c>
      <c r="E3524" s="3">
        <v>31143.532190889</v>
      </c>
      <c r="F3524" s="3">
        <v>28717.8290372118</v>
      </c>
      <c r="G3524" s="3">
        <v>19538.4747966184</v>
      </c>
      <c r="H3524" s="3">
        <v>-93146.3557818147</v>
      </c>
      <c r="I3524" s="3">
        <v>74146.4131764067</v>
      </c>
      <c r="J3524" s="4">
        <v>45901.0</v>
      </c>
      <c r="K3524" s="3">
        <v>1.0</v>
      </c>
      <c r="L3524" s="3" t="s">
        <v>34</v>
      </c>
    </row>
    <row r="3525" ht="15.75" customHeight="1">
      <c r="A3525" s="3" t="s">
        <v>3615</v>
      </c>
      <c r="B3525" s="3" t="s">
        <v>13</v>
      </c>
      <c r="C3525" s="3" t="s">
        <v>54</v>
      </c>
      <c r="D3525" s="3">
        <v>88500.1616303613</v>
      </c>
      <c r="E3525" s="3">
        <v>31148.1469092164</v>
      </c>
      <c r="F3525" s="3">
        <v>28725.5090406413</v>
      </c>
      <c r="G3525" s="3">
        <v>19541.8723473056</v>
      </c>
      <c r="H3525" s="3">
        <v>-93195.8594995637</v>
      </c>
      <c r="I3525" s="3">
        <v>74149.7946508265</v>
      </c>
      <c r="J3525" s="4">
        <v>45839.0</v>
      </c>
      <c r="K3525" s="3">
        <v>20.0</v>
      </c>
      <c r="L3525" s="3" t="s">
        <v>38</v>
      </c>
    </row>
    <row r="3526" ht="15.75" customHeight="1">
      <c r="A3526" s="3" t="s">
        <v>3616</v>
      </c>
      <c r="B3526" s="3" t="s">
        <v>29</v>
      </c>
      <c r="C3526" s="3" t="s">
        <v>18</v>
      </c>
      <c r="D3526" s="3">
        <v>88511.0446002675</v>
      </c>
      <c r="E3526" s="3">
        <v>31152.7616275439</v>
      </c>
      <c r="F3526" s="3">
        <v>28733.1890440708</v>
      </c>
      <c r="G3526" s="3">
        <v>19545.2698979929</v>
      </c>
      <c r="H3526" s="3">
        <v>-93245.3632173127</v>
      </c>
      <c r="I3526" s="3">
        <v>74153.1761252463</v>
      </c>
      <c r="J3526" s="4">
        <v>45748.0</v>
      </c>
      <c r="K3526" s="3">
        <v>9.0</v>
      </c>
      <c r="L3526" s="3" t="s">
        <v>40</v>
      </c>
    </row>
    <row r="3527" ht="15.75" customHeight="1">
      <c r="A3527" s="3" t="s">
        <v>3617</v>
      </c>
      <c r="B3527" s="3" t="s">
        <v>13</v>
      </c>
      <c r="C3527" s="3" t="s">
        <v>18</v>
      </c>
      <c r="D3527" s="3">
        <v>88521.9275701736</v>
      </c>
      <c r="E3527" s="3">
        <v>31157.3763458713</v>
      </c>
      <c r="F3527" s="3">
        <v>28740.8690475003</v>
      </c>
      <c r="G3527" s="3">
        <v>19548.6674486802</v>
      </c>
      <c r="H3527" s="3">
        <v>-93294.8669350617</v>
      </c>
      <c r="I3527" s="3">
        <v>74156.5575996661</v>
      </c>
      <c r="J3527" s="4">
        <v>45839.0</v>
      </c>
      <c r="K3527" s="3">
        <v>13.0</v>
      </c>
      <c r="L3527" s="3" t="s">
        <v>42</v>
      </c>
    </row>
    <row r="3528" ht="15.75" customHeight="1">
      <c r="A3528" s="3" t="s">
        <v>3618</v>
      </c>
      <c r="B3528" s="3" t="s">
        <v>17</v>
      </c>
      <c r="C3528" s="3" t="s">
        <v>33</v>
      </c>
      <c r="D3528" s="3">
        <v>88532.8105400798</v>
      </c>
      <c r="E3528" s="3">
        <v>31161.9910641987</v>
      </c>
      <c r="F3528" s="3">
        <v>28748.5490509298</v>
      </c>
      <c r="G3528" s="3">
        <v>19552.0649993675</v>
      </c>
      <c r="H3528" s="3">
        <v>-93344.3706528117</v>
      </c>
      <c r="I3528" s="3">
        <v>74159.9390740859</v>
      </c>
      <c r="J3528" s="4">
        <v>45809.0</v>
      </c>
      <c r="K3528" s="3">
        <v>17.0</v>
      </c>
      <c r="L3528" s="3" t="s">
        <v>15</v>
      </c>
    </row>
    <row r="3529" ht="15.75" customHeight="1">
      <c r="A3529" s="3" t="s">
        <v>3619</v>
      </c>
      <c r="B3529" s="3" t="s">
        <v>51</v>
      </c>
      <c r="C3529" s="3" t="s">
        <v>26</v>
      </c>
      <c r="D3529" s="3">
        <v>88543.693509986</v>
      </c>
      <c r="E3529" s="3">
        <v>31166.6057825261</v>
      </c>
      <c r="F3529" s="3">
        <v>28756.2290543593</v>
      </c>
      <c r="G3529" s="3">
        <v>19555.4625500548</v>
      </c>
      <c r="H3529" s="3">
        <v>-93393.8743705607</v>
      </c>
      <c r="I3529" s="3">
        <v>74163.3205485057</v>
      </c>
      <c r="J3529" s="4">
        <v>45658.0</v>
      </c>
      <c r="K3529" s="3">
        <v>22.0</v>
      </c>
      <c r="L3529" s="3" t="s">
        <v>19</v>
      </c>
    </row>
    <row r="3530" ht="15.75" customHeight="1">
      <c r="A3530" s="3" t="s">
        <v>3620</v>
      </c>
      <c r="B3530" s="3" t="s">
        <v>36</v>
      </c>
      <c r="C3530" s="3" t="s">
        <v>54</v>
      </c>
      <c r="D3530" s="3">
        <v>88554.5764798922</v>
      </c>
      <c r="E3530" s="3">
        <v>31171.2205008535</v>
      </c>
      <c r="F3530" s="3">
        <v>28763.9090577888</v>
      </c>
      <c r="G3530" s="3">
        <v>19558.8601007421</v>
      </c>
      <c r="H3530" s="3">
        <v>-93443.3780883097</v>
      </c>
      <c r="I3530" s="3">
        <v>74166.7020229255</v>
      </c>
      <c r="J3530" s="4">
        <v>45870.0</v>
      </c>
      <c r="K3530" s="3">
        <v>23.0</v>
      </c>
      <c r="L3530" s="3" t="s">
        <v>21</v>
      </c>
    </row>
    <row r="3531" ht="15.75" customHeight="1">
      <c r="A3531" s="3" t="s">
        <v>3621</v>
      </c>
      <c r="B3531" s="3" t="s">
        <v>29</v>
      </c>
      <c r="C3531" s="3" t="s">
        <v>18</v>
      </c>
      <c r="D3531" s="3">
        <v>88565.4594497984</v>
      </c>
      <c r="E3531" s="3">
        <v>31175.835219181</v>
      </c>
      <c r="F3531" s="3">
        <v>28771.5890612183</v>
      </c>
      <c r="G3531" s="3">
        <v>19562.2576514294</v>
      </c>
      <c r="H3531" s="3">
        <v>-93492.8818060587</v>
      </c>
      <c r="I3531" s="3">
        <v>74170.0834973454</v>
      </c>
      <c r="J3531" s="4">
        <v>45809.0</v>
      </c>
      <c r="K3531" s="3">
        <v>13.0</v>
      </c>
      <c r="L3531" s="3" t="s">
        <v>23</v>
      </c>
    </row>
    <row r="3532" ht="15.75" customHeight="1">
      <c r="A3532" s="3" t="s">
        <v>3622</v>
      </c>
      <c r="B3532" s="3" t="s">
        <v>51</v>
      </c>
      <c r="C3532" s="3" t="s">
        <v>26</v>
      </c>
      <c r="D3532" s="3">
        <v>88576.3424197046</v>
      </c>
      <c r="E3532" s="3">
        <v>31180.4499375084</v>
      </c>
      <c r="F3532" s="3">
        <v>28779.2690646478</v>
      </c>
      <c r="G3532" s="3">
        <v>19565.6552021167</v>
      </c>
      <c r="H3532" s="3">
        <v>-93542.3855238077</v>
      </c>
      <c r="I3532" s="3">
        <v>74173.4649717652</v>
      </c>
      <c r="J3532" s="4">
        <v>45717.0</v>
      </c>
      <c r="K3532" s="3">
        <v>2.0</v>
      </c>
      <c r="L3532" s="3" t="s">
        <v>27</v>
      </c>
    </row>
    <row r="3533" ht="15.75" customHeight="1">
      <c r="A3533" s="3" t="s">
        <v>3623</v>
      </c>
      <c r="B3533" s="3" t="s">
        <v>51</v>
      </c>
      <c r="C3533" s="3" t="s">
        <v>26</v>
      </c>
      <c r="D3533" s="3">
        <v>88587.2253896108</v>
      </c>
      <c r="E3533" s="3">
        <v>31185.0646558358</v>
      </c>
      <c r="F3533" s="3">
        <v>28786.9490680773</v>
      </c>
      <c r="G3533" s="3">
        <v>19569.0527528039</v>
      </c>
      <c r="H3533" s="3">
        <v>-93591.8892415567</v>
      </c>
      <c r="I3533" s="3">
        <v>74176.846446185</v>
      </c>
      <c r="J3533" s="4">
        <v>45839.0</v>
      </c>
      <c r="K3533" s="3">
        <v>9.0</v>
      </c>
      <c r="L3533" s="3" t="s">
        <v>31</v>
      </c>
    </row>
    <row r="3534" ht="15.75" customHeight="1">
      <c r="A3534" s="3" t="s">
        <v>3624</v>
      </c>
      <c r="B3534" s="3" t="s">
        <v>13</v>
      </c>
      <c r="C3534" s="3" t="s">
        <v>30</v>
      </c>
      <c r="D3534" s="3">
        <v>88598.108359517</v>
      </c>
      <c r="E3534" s="3">
        <v>31189.6793741632</v>
      </c>
      <c r="F3534" s="3">
        <v>28794.6290715068</v>
      </c>
      <c r="G3534" s="3">
        <v>19572.4503034912</v>
      </c>
      <c r="H3534" s="3">
        <v>-93641.3929593057</v>
      </c>
      <c r="I3534" s="3">
        <v>74180.2279206048</v>
      </c>
      <c r="J3534" s="4">
        <v>45748.0</v>
      </c>
      <c r="K3534" s="3">
        <v>3.0</v>
      </c>
      <c r="L3534" s="3" t="s">
        <v>34</v>
      </c>
    </row>
    <row r="3535" ht="15.75" customHeight="1">
      <c r="A3535" s="3" t="s">
        <v>3625</v>
      </c>
      <c r="B3535" s="3" t="s">
        <v>29</v>
      </c>
      <c r="C3535" s="3" t="s">
        <v>18</v>
      </c>
      <c r="D3535" s="5"/>
      <c r="E3535" s="3">
        <v>31198.9088108181</v>
      </c>
      <c r="F3535" s="3">
        <v>28809.9890783658</v>
      </c>
      <c r="G3535" s="3">
        <v>19579.2454048658</v>
      </c>
      <c r="H3535" s="3">
        <v>-93740.4003948047</v>
      </c>
      <c r="I3535" s="3">
        <v>74186.9908694444</v>
      </c>
      <c r="J3535" s="4">
        <v>45809.0</v>
      </c>
      <c r="K3535" s="3">
        <v>13.0</v>
      </c>
      <c r="L3535" s="3" t="s">
        <v>40</v>
      </c>
    </row>
    <row r="3536" ht="15.75" customHeight="1">
      <c r="A3536" s="3" t="s">
        <v>3626</v>
      </c>
      <c r="B3536" s="3" t="s">
        <v>36</v>
      </c>
      <c r="C3536" s="3" t="s">
        <v>26</v>
      </c>
      <c r="D3536" s="3">
        <v>88630.7572692356</v>
      </c>
      <c r="E3536" s="3">
        <v>31203.5235291455</v>
      </c>
      <c r="F3536" s="3">
        <v>28817.6690817953</v>
      </c>
      <c r="G3536" s="3">
        <v>19582.6429555531</v>
      </c>
      <c r="H3536" s="3">
        <v>-93789.9041125537</v>
      </c>
      <c r="I3536" s="3">
        <v>74190.3723438642</v>
      </c>
      <c r="J3536" s="4">
        <v>45870.0</v>
      </c>
      <c r="K3536" s="3">
        <v>3.0</v>
      </c>
      <c r="L3536" s="3" t="s">
        <v>42</v>
      </c>
    </row>
    <row r="3537" ht="15.75" customHeight="1">
      <c r="A3537" s="3" t="s">
        <v>3627</v>
      </c>
      <c r="B3537" s="3" t="s">
        <v>17</v>
      </c>
      <c r="C3537" s="3" t="s">
        <v>33</v>
      </c>
      <c r="D3537" s="3">
        <v>88641.6402391418</v>
      </c>
      <c r="E3537" s="3">
        <v>31208.1382474729</v>
      </c>
      <c r="F3537" s="3">
        <v>28825.3490852248</v>
      </c>
      <c r="G3537" s="3">
        <v>19586.0405062404</v>
      </c>
      <c r="H3537" s="3">
        <v>-93839.4078303027</v>
      </c>
      <c r="I3537" s="3">
        <v>74193.7538182841</v>
      </c>
      <c r="J3537" s="4">
        <v>45992.0</v>
      </c>
      <c r="K3537" s="3">
        <v>25.0</v>
      </c>
      <c r="L3537" s="3" t="s">
        <v>15</v>
      </c>
    </row>
    <row r="3538" ht="15.75" customHeight="1">
      <c r="A3538" s="3" t="s">
        <v>3628</v>
      </c>
      <c r="B3538" s="3" t="s">
        <v>17</v>
      </c>
      <c r="C3538" s="3" t="s">
        <v>37</v>
      </c>
      <c r="D3538" s="3">
        <v>88663.4061789542</v>
      </c>
      <c r="E3538" s="3">
        <v>31217.3676841278</v>
      </c>
      <c r="F3538" s="3">
        <v>28840.7090920838</v>
      </c>
      <c r="G3538" s="3">
        <v>19592.835607615</v>
      </c>
      <c r="H3538" s="3">
        <v>-93938.4152658007</v>
      </c>
      <c r="I3538" s="3">
        <v>74200.5167671237</v>
      </c>
      <c r="J3538" s="4">
        <v>45931.0</v>
      </c>
      <c r="K3538" s="3">
        <v>14.0</v>
      </c>
      <c r="L3538" s="3" t="s">
        <v>21</v>
      </c>
    </row>
    <row r="3539" ht="15.75" customHeight="1">
      <c r="A3539" s="3" t="s">
        <v>3629</v>
      </c>
      <c r="B3539" s="3" t="s">
        <v>17</v>
      </c>
      <c r="C3539" s="3" t="s">
        <v>37</v>
      </c>
      <c r="D3539" s="3">
        <v>88674.2891488604</v>
      </c>
      <c r="E3539" s="3">
        <v>31221.9824024552</v>
      </c>
      <c r="F3539" s="3">
        <v>28848.3890955132</v>
      </c>
      <c r="G3539" s="3">
        <v>19596.2331583022</v>
      </c>
      <c r="H3539" s="3">
        <v>-93987.9189835497</v>
      </c>
      <c r="I3539" s="3">
        <v>74203.8982415435</v>
      </c>
      <c r="J3539" s="4">
        <v>45870.0</v>
      </c>
      <c r="K3539" s="3">
        <v>14.0</v>
      </c>
      <c r="L3539" s="3" t="s">
        <v>23</v>
      </c>
    </row>
    <row r="3540" ht="15.75" customHeight="1">
      <c r="A3540" s="3" t="s">
        <v>3630</v>
      </c>
      <c r="B3540" s="3" t="s">
        <v>51</v>
      </c>
      <c r="C3540" s="3" t="s">
        <v>37</v>
      </c>
      <c r="D3540" s="3">
        <v>88685.1721187665</v>
      </c>
      <c r="E3540" s="3">
        <v>31226.5971207826</v>
      </c>
      <c r="F3540" s="3">
        <v>28856.0690989427</v>
      </c>
      <c r="G3540" s="3">
        <v>19599.6307089895</v>
      </c>
      <c r="H3540" s="3">
        <v>-94037.4227012987</v>
      </c>
      <c r="I3540" s="3">
        <v>74207.2797159633</v>
      </c>
      <c r="J3540" s="4">
        <v>45658.0</v>
      </c>
      <c r="K3540" s="3">
        <v>7.0</v>
      </c>
      <c r="L3540" s="3" t="s">
        <v>27</v>
      </c>
    </row>
    <row r="3541" ht="15.75" customHeight="1">
      <c r="A3541" s="3" t="s">
        <v>3631</v>
      </c>
      <c r="B3541" s="3" t="s">
        <v>25</v>
      </c>
      <c r="C3541" s="3" t="s">
        <v>33</v>
      </c>
      <c r="D3541" s="3">
        <v>88696.0550886727</v>
      </c>
      <c r="E3541" s="3">
        <v>31231.21183911</v>
      </c>
      <c r="F3541" s="3">
        <v>28863.7491023722</v>
      </c>
      <c r="G3541" s="3">
        <v>19603.0282596768</v>
      </c>
      <c r="H3541" s="3">
        <v>-94086.9264190477</v>
      </c>
      <c r="I3541" s="3">
        <v>74210.6611903831</v>
      </c>
      <c r="J3541" s="4">
        <v>45778.0</v>
      </c>
      <c r="K3541" s="3">
        <v>17.0</v>
      </c>
      <c r="L3541" s="3" t="s">
        <v>31</v>
      </c>
    </row>
    <row r="3542" ht="15.75" customHeight="1">
      <c r="A3542" s="3" t="s">
        <v>3632</v>
      </c>
      <c r="B3542" s="3" t="s">
        <v>29</v>
      </c>
      <c r="C3542" s="3" t="s">
        <v>54</v>
      </c>
      <c r="D3542" s="3">
        <v>88706.9380585789</v>
      </c>
      <c r="E3542" s="3">
        <v>31235.8265574374</v>
      </c>
      <c r="F3542" s="3">
        <v>28871.4291058017</v>
      </c>
      <c r="G3542" s="3">
        <v>19606.4258103641</v>
      </c>
      <c r="H3542" s="3">
        <v>-94136.4301367977</v>
      </c>
      <c r="I3542" s="3">
        <v>74214.0426648029</v>
      </c>
      <c r="J3542" s="4">
        <v>45658.0</v>
      </c>
      <c r="K3542" s="3">
        <v>7.0</v>
      </c>
      <c r="L3542" s="3" t="s">
        <v>34</v>
      </c>
    </row>
    <row r="3543" ht="15.75" customHeight="1">
      <c r="A3543" s="3" t="s">
        <v>3633</v>
      </c>
      <c r="B3543" s="3" t="s">
        <v>51</v>
      </c>
      <c r="C3543" s="3" t="s">
        <v>54</v>
      </c>
      <c r="D3543" s="3">
        <v>88717.8210284851</v>
      </c>
      <c r="E3543" s="3">
        <v>31240.4412757649</v>
      </c>
      <c r="F3543" s="3">
        <v>28879.1091092312</v>
      </c>
      <c r="G3543" s="5"/>
      <c r="H3543" s="3">
        <v>-94185.9338545467</v>
      </c>
      <c r="I3543" s="3">
        <v>74217.4241392228</v>
      </c>
      <c r="J3543" s="4">
        <v>45748.0</v>
      </c>
      <c r="K3543" s="3">
        <v>1.0</v>
      </c>
      <c r="L3543" s="3" t="s">
        <v>38</v>
      </c>
    </row>
    <row r="3544" ht="15.75" customHeight="1">
      <c r="A3544" s="3" t="s">
        <v>3634</v>
      </c>
      <c r="B3544" s="3" t="s">
        <v>36</v>
      </c>
      <c r="C3544" s="3" t="s">
        <v>14</v>
      </c>
      <c r="D3544" s="3">
        <v>88728.7039983913</v>
      </c>
      <c r="E3544" s="3">
        <v>31245.0559940923</v>
      </c>
      <c r="F3544" s="3">
        <v>28886.7891126607</v>
      </c>
      <c r="G3544" s="3">
        <v>19613.2209117387</v>
      </c>
      <c r="H3544" s="3">
        <v>-94235.4375722957</v>
      </c>
      <c r="I3544" s="3">
        <v>74220.8056136426</v>
      </c>
      <c r="J3544" s="4">
        <v>45689.0</v>
      </c>
      <c r="K3544" s="3">
        <v>23.0</v>
      </c>
      <c r="L3544" s="3" t="s">
        <v>40</v>
      </c>
    </row>
    <row r="3545" ht="15.75" customHeight="1">
      <c r="A3545" s="3" t="s">
        <v>3635</v>
      </c>
      <c r="B3545" s="3" t="s">
        <v>29</v>
      </c>
      <c r="C3545" s="3" t="s">
        <v>14</v>
      </c>
      <c r="D3545" s="3">
        <v>88739.5869682975</v>
      </c>
      <c r="E3545" s="3">
        <v>31249.6707124197</v>
      </c>
      <c r="F3545" s="3">
        <v>28894.4691160902</v>
      </c>
      <c r="G3545" s="3">
        <v>19616.618462426</v>
      </c>
      <c r="H3545" s="3">
        <v>-94284.9412900447</v>
      </c>
      <c r="I3545" s="3">
        <v>74224.1870880624</v>
      </c>
      <c r="J3545" s="4">
        <v>45809.0</v>
      </c>
      <c r="K3545" s="3">
        <v>11.0</v>
      </c>
      <c r="L3545" s="3" t="s">
        <v>42</v>
      </c>
    </row>
    <row r="3546" ht="15.75" customHeight="1">
      <c r="A3546" s="3" t="s">
        <v>3636</v>
      </c>
      <c r="B3546" s="3" t="s">
        <v>53</v>
      </c>
      <c r="C3546" s="3" t="s">
        <v>14</v>
      </c>
      <c r="D3546" s="3">
        <v>88750.4699382037</v>
      </c>
      <c r="E3546" s="3">
        <v>31254.2854307471</v>
      </c>
      <c r="F3546" s="3">
        <v>28902.1491195197</v>
      </c>
      <c r="G3546" s="3">
        <v>19620.0160131132</v>
      </c>
      <c r="H3546" s="3">
        <v>-94334.4450077937</v>
      </c>
      <c r="I3546" s="3">
        <v>74227.5685624822</v>
      </c>
      <c r="J3546" s="4">
        <v>45809.0</v>
      </c>
      <c r="K3546" s="3">
        <v>1.0</v>
      </c>
      <c r="L3546" s="3" t="s">
        <v>15</v>
      </c>
    </row>
    <row r="3547" ht="15.75" customHeight="1">
      <c r="A3547" s="3" t="s">
        <v>3637</v>
      </c>
      <c r="B3547" s="3" t="s">
        <v>29</v>
      </c>
      <c r="C3547" s="3" t="s">
        <v>54</v>
      </c>
      <c r="D3547" s="3">
        <v>88772.2358780161</v>
      </c>
      <c r="E3547" s="3">
        <v>31263.514867402</v>
      </c>
      <c r="F3547" s="3">
        <v>28917.5091263787</v>
      </c>
      <c r="G3547" s="3">
        <v>19626.8111144878</v>
      </c>
      <c r="H3547" s="3">
        <v>-94433.4524432917</v>
      </c>
      <c r="I3547" s="3">
        <v>74234.3315113218</v>
      </c>
      <c r="J3547" s="4">
        <v>45717.0</v>
      </c>
      <c r="K3547" s="3">
        <v>9.0</v>
      </c>
      <c r="L3547" s="3" t="s">
        <v>21</v>
      </c>
    </row>
    <row r="3548" ht="15.75" customHeight="1">
      <c r="A3548" s="3" t="s">
        <v>3638</v>
      </c>
      <c r="B3548" s="3" t="s">
        <v>36</v>
      </c>
      <c r="C3548" s="3" t="s">
        <v>37</v>
      </c>
      <c r="D3548" s="3">
        <v>88783.1188479223</v>
      </c>
      <c r="E3548" s="3">
        <v>31268.1295857294</v>
      </c>
      <c r="F3548" s="3">
        <v>28925.1891298082</v>
      </c>
      <c r="G3548" s="3">
        <v>19630.2086651751</v>
      </c>
      <c r="H3548" s="3">
        <v>-94482.9561610407</v>
      </c>
      <c r="I3548" s="3">
        <v>74237.7129857416</v>
      </c>
      <c r="J3548" s="4">
        <v>45901.0</v>
      </c>
      <c r="K3548" s="3">
        <v>11.0</v>
      </c>
      <c r="L3548" s="3" t="s">
        <v>23</v>
      </c>
    </row>
    <row r="3549" ht="15.75" customHeight="1">
      <c r="A3549" s="3" t="s">
        <v>3639</v>
      </c>
      <c r="B3549" s="3" t="s">
        <v>29</v>
      </c>
      <c r="C3549" s="3" t="s">
        <v>14</v>
      </c>
      <c r="D3549" s="3">
        <v>88794.0018178285</v>
      </c>
      <c r="E3549" s="3">
        <v>31272.7443040568</v>
      </c>
      <c r="F3549" s="3">
        <v>28932.8691332377</v>
      </c>
      <c r="G3549" s="3">
        <v>19633.6062158624</v>
      </c>
      <c r="H3549" s="3">
        <v>-94532.4598787907</v>
      </c>
      <c r="I3549" s="3">
        <v>74241.0944601615</v>
      </c>
      <c r="J3549" s="4">
        <v>45809.0</v>
      </c>
      <c r="K3549" s="3">
        <v>13.0</v>
      </c>
      <c r="L3549" s="3" t="s">
        <v>27</v>
      </c>
    </row>
    <row r="3550" ht="15.75" customHeight="1">
      <c r="A3550" s="3" t="s">
        <v>3640</v>
      </c>
      <c r="B3550" s="3" t="s">
        <v>51</v>
      </c>
      <c r="C3550" s="3" t="s">
        <v>33</v>
      </c>
      <c r="D3550" s="3">
        <v>88804.8847877347</v>
      </c>
      <c r="E3550" s="3">
        <v>31277.3590223842</v>
      </c>
      <c r="F3550" s="3">
        <v>28940.5491366672</v>
      </c>
      <c r="G3550" s="3">
        <v>19637.0037665497</v>
      </c>
      <c r="H3550" s="3">
        <v>-94581.9635965397</v>
      </c>
      <c r="I3550" s="3">
        <v>74244.4759345813</v>
      </c>
      <c r="J3550" s="4">
        <v>45658.0</v>
      </c>
      <c r="K3550" s="3">
        <v>25.0</v>
      </c>
      <c r="L3550" s="3" t="s">
        <v>31</v>
      </c>
    </row>
    <row r="3551" ht="15.75" customHeight="1">
      <c r="A3551" s="3" t="s">
        <v>3641</v>
      </c>
      <c r="B3551" s="3" t="s">
        <v>51</v>
      </c>
      <c r="C3551" s="3" t="s">
        <v>37</v>
      </c>
      <c r="D3551" s="3">
        <v>88815.7677576409</v>
      </c>
      <c r="E3551" s="3">
        <v>31281.9737407117</v>
      </c>
      <c r="F3551" s="3">
        <v>28948.2291400967</v>
      </c>
      <c r="G3551" s="3">
        <v>19640.401317237</v>
      </c>
      <c r="H3551" s="3">
        <v>-94631.4673142887</v>
      </c>
      <c r="I3551" s="3">
        <v>74247.8574090011</v>
      </c>
      <c r="J3551" s="4">
        <v>45870.0</v>
      </c>
      <c r="K3551" s="3">
        <v>22.0</v>
      </c>
      <c r="L3551" s="3" t="s">
        <v>34</v>
      </c>
    </row>
    <row r="3552" ht="15.75" customHeight="1">
      <c r="A3552" s="3" t="s">
        <v>3642</v>
      </c>
      <c r="B3552" s="3" t="s">
        <v>53</v>
      </c>
      <c r="C3552" s="3" t="s">
        <v>26</v>
      </c>
      <c r="D3552" s="3">
        <v>88826.6507275471</v>
      </c>
      <c r="E3552" s="3">
        <v>31286.5884590391</v>
      </c>
      <c r="F3552" s="3">
        <v>28955.9091435262</v>
      </c>
      <c r="G3552" s="3">
        <v>19643.7988679243</v>
      </c>
      <c r="H3552" s="3">
        <v>-94680.9710320377</v>
      </c>
      <c r="I3552" s="3">
        <v>74251.2388834209</v>
      </c>
      <c r="J3552" s="4">
        <v>45809.0</v>
      </c>
      <c r="K3552" s="3">
        <v>17.0</v>
      </c>
      <c r="L3552" s="3" t="s">
        <v>38</v>
      </c>
    </row>
    <row r="3553" ht="15.75" customHeight="1">
      <c r="A3553" s="3" t="s">
        <v>3643</v>
      </c>
      <c r="B3553" s="3" t="s">
        <v>51</v>
      </c>
      <c r="C3553" s="3" t="s">
        <v>54</v>
      </c>
      <c r="D3553" s="3">
        <v>88837.5336974533</v>
      </c>
      <c r="E3553" s="3">
        <v>31291.2031773665</v>
      </c>
      <c r="F3553" s="3">
        <v>28963.5891469557</v>
      </c>
      <c r="G3553" s="3">
        <v>19647.1964186115</v>
      </c>
      <c r="H3553" s="3">
        <v>-94730.4747497867</v>
      </c>
      <c r="I3553" s="3">
        <v>74254.6203578407</v>
      </c>
      <c r="J3553" s="4">
        <v>45689.0</v>
      </c>
      <c r="K3553" s="3">
        <v>6.0</v>
      </c>
      <c r="L3553" s="3" t="s">
        <v>40</v>
      </c>
    </row>
    <row r="3554" ht="15.75" customHeight="1">
      <c r="A3554" s="3" t="s">
        <v>3644</v>
      </c>
      <c r="B3554" s="3" t="s">
        <v>53</v>
      </c>
      <c r="C3554" s="3" t="s">
        <v>54</v>
      </c>
      <c r="D3554" s="3">
        <v>88848.4166673595</v>
      </c>
      <c r="E3554" s="3">
        <v>31295.8178956939</v>
      </c>
      <c r="F3554" s="3">
        <v>28971.2691503852</v>
      </c>
      <c r="G3554" s="3">
        <v>19650.5939692988</v>
      </c>
      <c r="H3554" s="3">
        <v>-94779.9784675357</v>
      </c>
      <c r="I3554" s="3">
        <v>74258.0018322605</v>
      </c>
      <c r="J3554" s="4">
        <v>45717.0</v>
      </c>
      <c r="K3554" s="3">
        <v>2.0</v>
      </c>
      <c r="L3554" s="3" t="s">
        <v>42</v>
      </c>
    </row>
    <row r="3555" ht="15.75" customHeight="1">
      <c r="A3555" s="3" t="s">
        <v>3645</v>
      </c>
      <c r="B3555" s="3" t="s">
        <v>17</v>
      </c>
      <c r="C3555" s="3" t="s">
        <v>14</v>
      </c>
      <c r="D3555" s="3">
        <v>88859.2996372656</v>
      </c>
      <c r="E3555" s="3">
        <v>31300.4326140214</v>
      </c>
      <c r="F3555" s="3">
        <v>28978.9491538147</v>
      </c>
      <c r="G3555" s="3">
        <v>19653.9915199861</v>
      </c>
      <c r="H3555" s="3">
        <v>-94829.4821852847</v>
      </c>
      <c r="I3555" s="3">
        <v>74261.3833066803</v>
      </c>
      <c r="J3555" s="4">
        <v>45901.0</v>
      </c>
      <c r="K3555" s="3">
        <v>15.0</v>
      </c>
      <c r="L3555" s="3" t="s">
        <v>15</v>
      </c>
    </row>
    <row r="3556" ht="15.75" customHeight="1">
      <c r="A3556" s="3" t="s">
        <v>3646</v>
      </c>
      <c r="B3556" s="3" t="s">
        <v>51</v>
      </c>
      <c r="C3556" s="3" t="s">
        <v>33</v>
      </c>
      <c r="D3556" s="3">
        <v>88870.1826071718</v>
      </c>
      <c r="E3556" s="3">
        <v>31305.0473323488</v>
      </c>
      <c r="F3556" s="3">
        <v>28986.6291572442</v>
      </c>
      <c r="G3556" s="5"/>
      <c r="H3556" s="3">
        <v>-94878.9859030337</v>
      </c>
      <c r="I3556" s="3">
        <v>74264.7647811002</v>
      </c>
      <c r="J3556" s="4">
        <v>45901.0</v>
      </c>
      <c r="K3556" s="3">
        <v>5.0</v>
      </c>
      <c r="L3556" s="3" t="s">
        <v>19</v>
      </c>
    </row>
    <row r="3557" ht="15.75" customHeight="1">
      <c r="A3557" s="3" t="s">
        <v>3647</v>
      </c>
      <c r="B3557" s="3" t="s">
        <v>36</v>
      </c>
      <c r="C3557" s="3" t="s">
        <v>18</v>
      </c>
      <c r="D3557" s="3">
        <v>88881.065577078</v>
      </c>
      <c r="E3557" s="3">
        <v>31309.6620506762</v>
      </c>
      <c r="F3557" s="3">
        <v>28994.3091606737</v>
      </c>
      <c r="G3557" s="3">
        <v>19660.7866213607</v>
      </c>
      <c r="H3557" s="3">
        <v>-94928.4896207837</v>
      </c>
      <c r="I3557" s="3">
        <v>74268.14625552</v>
      </c>
      <c r="J3557" s="4">
        <v>45839.0</v>
      </c>
      <c r="K3557" s="3">
        <v>4.0</v>
      </c>
      <c r="L3557" s="3" t="s">
        <v>21</v>
      </c>
    </row>
    <row r="3558" ht="15.75" customHeight="1">
      <c r="A3558" s="3" t="s">
        <v>3648</v>
      </c>
      <c r="B3558" s="3" t="s">
        <v>25</v>
      </c>
      <c r="C3558" s="3" t="s">
        <v>30</v>
      </c>
      <c r="D3558" s="3">
        <v>88891.9485469842</v>
      </c>
      <c r="E3558" s="3">
        <v>31314.2767690036</v>
      </c>
      <c r="F3558" s="3">
        <v>29001.9891641032</v>
      </c>
      <c r="G3558" s="3">
        <v>19664.184172048</v>
      </c>
      <c r="H3558" s="3">
        <v>-94977.9933385327</v>
      </c>
      <c r="I3558" s="3">
        <v>74271.5277299398</v>
      </c>
      <c r="J3558" s="4">
        <v>45748.0</v>
      </c>
      <c r="K3558" s="3">
        <v>11.0</v>
      </c>
      <c r="L3558" s="3" t="s">
        <v>23</v>
      </c>
    </row>
    <row r="3559" ht="15.75" customHeight="1">
      <c r="A3559" s="3" t="s">
        <v>3649</v>
      </c>
      <c r="B3559" s="3" t="s">
        <v>25</v>
      </c>
      <c r="C3559" s="3" t="s">
        <v>30</v>
      </c>
      <c r="D3559" s="3">
        <v>88902.8315168904</v>
      </c>
      <c r="E3559" s="3">
        <v>31318.891487331</v>
      </c>
      <c r="F3559" s="3">
        <v>29009.6691675327</v>
      </c>
      <c r="G3559" s="3">
        <v>19667.5817227353</v>
      </c>
      <c r="H3559" s="3">
        <v>-95027.4970562817</v>
      </c>
      <c r="I3559" s="3">
        <v>74274.9092043596</v>
      </c>
      <c r="J3559" s="4">
        <v>45901.0</v>
      </c>
      <c r="K3559" s="3">
        <v>3.0</v>
      </c>
      <c r="L3559" s="3" t="s">
        <v>27</v>
      </c>
    </row>
    <row r="3560" ht="15.75" customHeight="1">
      <c r="A3560" s="3" t="s">
        <v>3650</v>
      </c>
      <c r="B3560" s="3" t="s">
        <v>36</v>
      </c>
      <c r="C3560" s="3" t="s">
        <v>33</v>
      </c>
      <c r="D3560" s="3">
        <v>88913.7144867966</v>
      </c>
      <c r="E3560" s="3">
        <v>31323.5062056585</v>
      </c>
      <c r="F3560" s="3">
        <v>29017.3491709622</v>
      </c>
      <c r="G3560" s="3">
        <v>19670.9792734226</v>
      </c>
      <c r="H3560" s="3">
        <v>-95077.0007740307</v>
      </c>
      <c r="I3560" s="3">
        <v>74278.2906787794</v>
      </c>
      <c r="J3560" s="4">
        <v>45778.0</v>
      </c>
      <c r="K3560" s="3">
        <v>19.0</v>
      </c>
      <c r="L3560" s="3" t="s">
        <v>31</v>
      </c>
    </row>
    <row r="3561" ht="15.75" customHeight="1">
      <c r="A3561" s="3" t="s">
        <v>3651</v>
      </c>
      <c r="B3561" s="3" t="s">
        <v>29</v>
      </c>
      <c r="C3561" s="3" t="s">
        <v>14</v>
      </c>
      <c r="D3561" s="3">
        <v>88924.5974567028</v>
      </c>
      <c r="E3561" s="3">
        <v>31328.1209239859</v>
      </c>
      <c r="F3561" s="3">
        <v>29025.0291743917</v>
      </c>
      <c r="G3561" s="3">
        <v>19674.3768241098</v>
      </c>
      <c r="H3561" s="3">
        <v>-95126.5044917797</v>
      </c>
      <c r="I3561" s="3">
        <v>74281.6721531992</v>
      </c>
      <c r="J3561" s="4">
        <v>45689.0</v>
      </c>
      <c r="K3561" s="3">
        <v>23.0</v>
      </c>
      <c r="L3561" s="3" t="s">
        <v>34</v>
      </c>
    </row>
    <row r="3562" ht="15.75" customHeight="1">
      <c r="A3562" s="3" t="s">
        <v>3652</v>
      </c>
      <c r="B3562" s="3" t="s">
        <v>13</v>
      </c>
      <c r="C3562" s="3" t="s">
        <v>26</v>
      </c>
      <c r="D3562" s="3">
        <v>88935.480426609</v>
      </c>
      <c r="E3562" s="3">
        <v>31332.7356423133</v>
      </c>
      <c r="F3562" s="3">
        <v>29032.7091778212</v>
      </c>
      <c r="G3562" s="3">
        <v>19677.7743747971</v>
      </c>
      <c r="H3562" s="3">
        <v>-95176.0082095287</v>
      </c>
      <c r="I3562" s="3">
        <v>74285.053627619</v>
      </c>
      <c r="J3562" s="4">
        <v>45962.0</v>
      </c>
      <c r="K3562" s="3">
        <v>7.0</v>
      </c>
      <c r="L3562" s="3" t="s">
        <v>38</v>
      </c>
    </row>
    <row r="3563" ht="15.75" customHeight="1">
      <c r="A3563" s="3" t="s">
        <v>3653</v>
      </c>
      <c r="B3563" s="3" t="s">
        <v>17</v>
      </c>
      <c r="C3563" s="3" t="s">
        <v>26</v>
      </c>
      <c r="D3563" s="3">
        <v>88946.3633965152</v>
      </c>
      <c r="E3563" s="3">
        <v>31337.3503606407</v>
      </c>
      <c r="F3563" s="3">
        <v>29040.3891812507</v>
      </c>
      <c r="G3563" s="3">
        <v>19681.1719254844</v>
      </c>
      <c r="H3563" s="3">
        <v>-95225.5119272777</v>
      </c>
      <c r="I3563" s="3">
        <v>74288.4351020389</v>
      </c>
      <c r="J3563" s="4">
        <v>45778.0</v>
      </c>
      <c r="K3563" s="3">
        <v>2.0</v>
      </c>
      <c r="L3563" s="3" t="s">
        <v>40</v>
      </c>
    </row>
    <row r="3564" ht="15.75" customHeight="1">
      <c r="A3564" s="3" t="s">
        <v>3654</v>
      </c>
      <c r="B3564" s="3" t="s">
        <v>17</v>
      </c>
      <c r="C3564" s="3" t="s">
        <v>30</v>
      </c>
      <c r="D3564" s="3">
        <v>88957.2463664214</v>
      </c>
      <c r="E3564" s="3">
        <v>31341.9650789682</v>
      </c>
      <c r="F3564" s="3">
        <v>29048.0691846802</v>
      </c>
      <c r="G3564" s="3">
        <v>19684.5694761717</v>
      </c>
      <c r="H3564" s="3">
        <v>-95275.0156450267</v>
      </c>
      <c r="I3564" s="3">
        <v>74291.8165764587</v>
      </c>
      <c r="J3564" s="4">
        <v>45992.0</v>
      </c>
      <c r="K3564" s="3">
        <v>19.0</v>
      </c>
      <c r="L3564" s="3" t="s">
        <v>42</v>
      </c>
    </row>
    <row r="3565" ht="15.75" customHeight="1">
      <c r="A3565" s="3" t="s">
        <v>3655</v>
      </c>
      <c r="B3565" s="3" t="s">
        <v>13</v>
      </c>
      <c r="C3565" s="3" t="s">
        <v>18</v>
      </c>
      <c r="D3565" s="3">
        <v>88968.1293363276</v>
      </c>
      <c r="E3565" s="3">
        <v>31346.5797972956</v>
      </c>
      <c r="F3565" s="3">
        <v>29055.7491881097</v>
      </c>
      <c r="G3565" s="3">
        <v>19687.967026859</v>
      </c>
      <c r="H3565" s="3">
        <v>-95324.5193627767</v>
      </c>
      <c r="I3565" s="3">
        <v>74295.1980508785</v>
      </c>
      <c r="J3565" s="4">
        <v>45778.0</v>
      </c>
      <c r="K3565" s="3">
        <v>18.0</v>
      </c>
      <c r="L3565" s="3" t="s">
        <v>15</v>
      </c>
    </row>
    <row r="3566" ht="15.75" customHeight="1">
      <c r="A3566" s="3" t="s">
        <v>3656</v>
      </c>
      <c r="B3566" s="3" t="s">
        <v>25</v>
      </c>
      <c r="C3566" s="3" t="s">
        <v>14</v>
      </c>
      <c r="D3566" s="3">
        <v>88979.0123062338</v>
      </c>
      <c r="E3566" s="3">
        <v>31351.194515623</v>
      </c>
      <c r="F3566" s="3">
        <v>29063.4291915392</v>
      </c>
      <c r="G3566" s="3">
        <v>19691.3645775463</v>
      </c>
      <c r="H3566" s="3">
        <v>-95374.0230805257</v>
      </c>
      <c r="I3566" s="3">
        <v>74298.5795252983</v>
      </c>
      <c r="J3566" s="4">
        <v>45689.0</v>
      </c>
      <c r="K3566" s="3">
        <v>7.0</v>
      </c>
      <c r="L3566" s="3" t="s">
        <v>19</v>
      </c>
    </row>
    <row r="3567" ht="15.75" customHeight="1">
      <c r="A3567" s="3" t="s">
        <v>3657</v>
      </c>
      <c r="B3567" s="3" t="s">
        <v>25</v>
      </c>
      <c r="C3567" s="3" t="s">
        <v>18</v>
      </c>
      <c r="D3567" s="3">
        <v>88989.89527614</v>
      </c>
      <c r="E3567" s="3">
        <v>31355.8092339504</v>
      </c>
      <c r="F3567" s="3">
        <v>29071.1091949687</v>
      </c>
      <c r="G3567" s="3">
        <v>19694.7621282336</v>
      </c>
      <c r="H3567" s="3">
        <v>-95423.5267982747</v>
      </c>
      <c r="I3567" s="3">
        <v>74301.9609997181</v>
      </c>
      <c r="J3567" s="4">
        <v>45658.0</v>
      </c>
      <c r="K3567" s="3">
        <v>23.0</v>
      </c>
      <c r="L3567" s="3" t="s">
        <v>21</v>
      </c>
    </row>
    <row r="3568" ht="15.75" customHeight="1">
      <c r="A3568" s="3" t="s">
        <v>3658</v>
      </c>
      <c r="B3568" s="3" t="s">
        <v>25</v>
      </c>
      <c r="C3568" s="3" t="s">
        <v>33</v>
      </c>
      <c r="D3568" s="3">
        <v>89000.7782460462</v>
      </c>
      <c r="E3568" s="3">
        <v>31360.4239522778</v>
      </c>
      <c r="F3568" s="3">
        <v>29078.7891983982</v>
      </c>
      <c r="G3568" s="3">
        <v>19698.1596789208</v>
      </c>
      <c r="H3568" s="3">
        <v>-95473.0305160237</v>
      </c>
      <c r="I3568" s="3">
        <v>74305.3424741379</v>
      </c>
      <c r="J3568" s="4">
        <v>45658.0</v>
      </c>
      <c r="K3568" s="3">
        <v>21.0</v>
      </c>
      <c r="L3568" s="3" t="s">
        <v>23</v>
      </c>
    </row>
    <row r="3569" ht="15.75" customHeight="1">
      <c r="A3569" s="3" t="s">
        <v>3659</v>
      </c>
      <c r="B3569" s="3" t="s">
        <v>13</v>
      </c>
      <c r="C3569" s="3" t="s">
        <v>37</v>
      </c>
      <c r="D3569" s="3">
        <v>89011.6612159524</v>
      </c>
      <c r="E3569" s="3">
        <v>31365.0386706053</v>
      </c>
      <c r="F3569" s="3">
        <v>29086.4692018277</v>
      </c>
      <c r="G3569" s="3">
        <v>19701.5572296081</v>
      </c>
      <c r="H3569" s="3">
        <v>-95522.5342337727</v>
      </c>
      <c r="I3569" s="3">
        <v>74308.7239485577</v>
      </c>
      <c r="J3569" s="4">
        <v>45717.0</v>
      </c>
      <c r="K3569" s="3">
        <v>13.0</v>
      </c>
      <c r="L3569" s="3" t="s">
        <v>27</v>
      </c>
    </row>
    <row r="3570" ht="15.75" customHeight="1">
      <c r="A3570" s="3" t="s">
        <v>3660</v>
      </c>
      <c r="B3570" s="3" t="s">
        <v>53</v>
      </c>
      <c r="C3570" s="3" t="s">
        <v>14</v>
      </c>
      <c r="D3570" s="3">
        <v>89022.5441858585</v>
      </c>
      <c r="E3570" s="3">
        <v>31369.6533889327</v>
      </c>
      <c r="F3570" s="3">
        <v>29094.1492052572</v>
      </c>
      <c r="G3570" s="3">
        <v>19704.9547802954</v>
      </c>
      <c r="H3570" s="3">
        <v>-95572.0379515217</v>
      </c>
      <c r="I3570" s="3">
        <v>74312.1054229776</v>
      </c>
      <c r="J3570" s="4">
        <v>45931.0</v>
      </c>
      <c r="K3570" s="3">
        <v>14.0</v>
      </c>
      <c r="L3570" s="3" t="s">
        <v>31</v>
      </c>
    </row>
    <row r="3571" ht="15.75" customHeight="1">
      <c r="A3571" s="3" t="s">
        <v>3661</v>
      </c>
      <c r="B3571" s="3" t="s">
        <v>17</v>
      </c>
      <c r="C3571" s="3" t="s">
        <v>54</v>
      </c>
      <c r="D3571" s="3">
        <v>89033.4271557647</v>
      </c>
      <c r="E3571" s="3">
        <v>31374.2681072601</v>
      </c>
      <c r="F3571" s="3">
        <v>29101.8292086867</v>
      </c>
      <c r="G3571" s="3">
        <v>19708.3523309827</v>
      </c>
      <c r="H3571" s="3">
        <v>-95621.5416692707</v>
      </c>
      <c r="I3571" s="3">
        <v>74315.4868973974</v>
      </c>
      <c r="J3571" s="4">
        <v>45839.0</v>
      </c>
      <c r="K3571" s="3">
        <v>21.0</v>
      </c>
      <c r="L3571" s="3" t="s">
        <v>34</v>
      </c>
    </row>
    <row r="3572" ht="15.75" customHeight="1">
      <c r="A3572" s="3" t="s">
        <v>3662</v>
      </c>
      <c r="B3572" s="3" t="s">
        <v>25</v>
      </c>
      <c r="C3572" s="3" t="s">
        <v>37</v>
      </c>
      <c r="D3572" s="3">
        <v>89044.3101256709</v>
      </c>
      <c r="E3572" s="3">
        <v>31378.8828255875</v>
      </c>
      <c r="F3572" s="3">
        <v>29109.5092121162</v>
      </c>
      <c r="G3572" s="3">
        <v>19711.74988167</v>
      </c>
      <c r="H3572" s="3">
        <v>-95671.0453870197</v>
      </c>
      <c r="I3572" s="3">
        <v>74318.8683718172</v>
      </c>
      <c r="J3572" s="4">
        <v>45992.0</v>
      </c>
      <c r="K3572" s="3">
        <v>13.0</v>
      </c>
      <c r="L3572" s="3" t="s">
        <v>38</v>
      </c>
    </row>
    <row r="3573" ht="15.75" customHeight="1">
      <c r="A3573" s="3" t="s">
        <v>3663</v>
      </c>
      <c r="B3573" s="3" t="s">
        <v>36</v>
      </c>
      <c r="C3573" s="3" t="s">
        <v>54</v>
      </c>
      <c r="D3573" s="3">
        <v>89055.1930955771</v>
      </c>
      <c r="E3573" s="3">
        <v>31383.497543915</v>
      </c>
      <c r="F3573" s="3">
        <v>29117.1892155457</v>
      </c>
      <c r="G3573" s="3">
        <v>19715.1474323573</v>
      </c>
      <c r="H3573" s="3">
        <v>-95720.5491047697</v>
      </c>
      <c r="I3573" s="3">
        <v>74322.249846237</v>
      </c>
      <c r="J3573" s="4">
        <v>45658.0</v>
      </c>
      <c r="K3573" s="3">
        <v>20.0</v>
      </c>
      <c r="L3573" s="3" t="s">
        <v>40</v>
      </c>
    </row>
    <row r="3574" ht="15.75" customHeight="1">
      <c r="A3574" s="3" t="s">
        <v>3664</v>
      </c>
      <c r="B3574" s="3" t="s">
        <v>36</v>
      </c>
      <c r="C3574" s="3" t="s">
        <v>26</v>
      </c>
      <c r="D3574" s="3">
        <v>89066.0760654833</v>
      </c>
      <c r="E3574" s="3">
        <v>31388.1122622424</v>
      </c>
      <c r="F3574" s="3">
        <v>29124.8692189751</v>
      </c>
      <c r="G3574" s="3">
        <v>19718.5449830446</v>
      </c>
      <c r="H3574" s="3">
        <v>-95770.0528225187</v>
      </c>
      <c r="I3574" s="3">
        <v>74325.6313206568</v>
      </c>
      <c r="J3574" s="4">
        <v>45839.0</v>
      </c>
      <c r="K3574" s="3">
        <v>12.0</v>
      </c>
      <c r="L3574" s="3" t="s">
        <v>42</v>
      </c>
    </row>
    <row r="3575" ht="15.75" customHeight="1">
      <c r="A3575" s="3" t="s">
        <v>3665</v>
      </c>
      <c r="B3575" s="3" t="s">
        <v>29</v>
      </c>
      <c r="C3575" s="3" t="s">
        <v>37</v>
      </c>
      <c r="D3575" s="3">
        <v>89076.9590353895</v>
      </c>
      <c r="E3575" s="3">
        <v>31392.7269805698</v>
      </c>
      <c r="F3575" s="3">
        <v>29132.5492224046</v>
      </c>
      <c r="G3575" s="3">
        <v>19721.9425337319</v>
      </c>
      <c r="H3575" s="3">
        <v>-95819.5565402677</v>
      </c>
      <c r="I3575" s="3">
        <v>74329.0127950766</v>
      </c>
      <c r="J3575" s="4">
        <v>45870.0</v>
      </c>
      <c r="K3575" s="3">
        <v>3.0</v>
      </c>
      <c r="L3575" s="3" t="s">
        <v>15</v>
      </c>
    </row>
    <row r="3576" ht="15.75" customHeight="1">
      <c r="A3576" s="3" t="s">
        <v>3666</v>
      </c>
      <c r="B3576" s="3" t="s">
        <v>36</v>
      </c>
      <c r="C3576" s="3" t="s">
        <v>33</v>
      </c>
      <c r="D3576" s="3">
        <v>89087.8420052957</v>
      </c>
      <c r="E3576" s="3">
        <v>31397.3416988972</v>
      </c>
      <c r="F3576" s="3">
        <v>29140.2292258341</v>
      </c>
      <c r="G3576" s="3">
        <v>19725.3400844191</v>
      </c>
      <c r="H3576" s="3">
        <v>-95869.0602580167</v>
      </c>
      <c r="I3576" s="3">
        <v>74332.3942694964</v>
      </c>
      <c r="J3576" s="4">
        <v>45962.0</v>
      </c>
      <c r="K3576" s="3">
        <v>19.0</v>
      </c>
      <c r="L3576" s="3" t="s">
        <v>19</v>
      </c>
    </row>
    <row r="3577" ht="15.75" customHeight="1">
      <c r="A3577" s="3" t="s">
        <v>3667</v>
      </c>
      <c r="B3577" s="3" t="s">
        <v>36</v>
      </c>
      <c r="C3577" s="3" t="s">
        <v>54</v>
      </c>
      <c r="D3577" s="3">
        <v>89098.7249752019</v>
      </c>
      <c r="E3577" s="3">
        <v>31401.9564172246</v>
      </c>
      <c r="F3577" s="3">
        <v>29147.9092292636</v>
      </c>
      <c r="G3577" s="3">
        <v>19728.7376351064</v>
      </c>
      <c r="H3577" s="3">
        <v>-95918.5639757657</v>
      </c>
      <c r="I3577" s="3">
        <v>74335.7757439163</v>
      </c>
      <c r="J3577" s="4">
        <v>45778.0</v>
      </c>
      <c r="K3577" s="3">
        <v>23.0</v>
      </c>
      <c r="L3577" s="3" t="s">
        <v>21</v>
      </c>
    </row>
    <row r="3578" ht="15.75" customHeight="1">
      <c r="A3578" s="3" t="s">
        <v>3668</v>
      </c>
      <c r="B3578" s="3" t="s">
        <v>25</v>
      </c>
      <c r="C3578" s="3" t="s">
        <v>33</v>
      </c>
      <c r="D3578" s="3">
        <v>89109.6079451081</v>
      </c>
      <c r="E3578" s="3">
        <v>31406.5711355521</v>
      </c>
      <c r="F3578" s="3">
        <v>29155.5892326931</v>
      </c>
      <c r="G3578" s="3">
        <v>19732.1351857937</v>
      </c>
      <c r="H3578" s="3">
        <v>-95968.0676935147</v>
      </c>
      <c r="I3578" s="3">
        <v>74339.1572183361</v>
      </c>
      <c r="J3578" s="4">
        <v>45748.0</v>
      </c>
      <c r="K3578" s="3">
        <v>12.0</v>
      </c>
      <c r="L3578" s="3" t="s">
        <v>23</v>
      </c>
    </row>
    <row r="3579" ht="15.75" customHeight="1">
      <c r="A3579" s="3" t="s">
        <v>3669</v>
      </c>
      <c r="B3579" s="3" t="s">
        <v>36</v>
      </c>
      <c r="C3579" s="3" t="s">
        <v>33</v>
      </c>
      <c r="D3579" s="3">
        <v>89120.4909150143</v>
      </c>
      <c r="E3579" s="3">
        <v>31411.1858538795</v>
      </c>
      <c r="F3579" s="3">
        <v>29163.2692361226</v>
      </c>
      <c r="G3579" s="3">
        <v>19735.532736481</v>
      </c>
      <c r="H3579" s="3">
        <v>-96017.5714112637</v>
      </c>
      <c r="I3579" s="3">
        <v>74342.5386927559</v>
      </c>
      <c r="J3579" s="4">
        <v>45748.0</v>
      </c>
      <c r="K3579" s="3">
        <v>10.0</v>
      </c>
      <c r="L3579" s="3" t="s">
        <v>27</v>
      </c>
    </row>
    <row r="3580" ht="15.75" customHeight="1">
      <c r="A3580" s="3" t="s">
        <v>3670</v>
      </c>
      <c r="B3580" s="3" t="s">
        <v>36</v>
      </c>
      <c r="C3580" s="3" t="s">
        <v>37</v>
      </c>
      <c r="D3580" s="3">
        <v>89142.2568548267</v>
      </c>
      <c r="E3580" s="3">
        <v>31420.4152905343</v>
      </c>
      <c r="F3580" s="3">
        <v>29178.6292429816</v>
      </c>
      <c r="G3580" s="3">
        <v>19742.3278378556</v>
      </c>
      <c r="H3580" s="3">
        <v>-96116.5788467627</v>
      </c>
      <c r="I3580" s="3">
        <v>74349.3016415955</v>
      </c>
      <c r="J3580" s="4">
        <v>45870.0</v>
      </c>
      <c r="K3580" s="3">
        <v>13.0</v>
      </c>
      <c r="L3580" s="3" t="s">
        <v>34</v>
      </c>
    </row>
    <row r="3581" ht="15.75" customHeight="1">
      <c r="A3581" s="3" t="s">
        <v>3671</v>
      </c>
      <c r="B3581" s="3" t="s">
        <v>13</v>
      </c>
      <c r="C3581" s="3" t="s">
        <v>18</v>
      </c>
      <c r="D3581" s="3">
        <v>89153.1398247329</v>
      </c>
      <c r="E3581" s="3">
        <v>31425.0300088618</v>
      </c>
      <c r="F3581" s="3">
        <v>29186.3092464111</v>
      </c>
      <c r="G3581" s="3">
        <v>19745.7253885429</v>
      </c>
      <c r="H3581" s="3">
        <v>-96166.0825645117</v>
      </c>
      <c r="I3581" s="3">
        <v>74352.6831160153</v>
      </c>
      <c r="J3581" s="4">
        <v>45901.0</v>
      </c>
      <c r="K3581" s="3">
        <v>9.0</v>
      </c>
      <c r="L3581" s="3" t="s">
        <v>38</v>
      </c>
    </row>
    <row r="3582" ht="15.75" customHeight="1">
      <c r="A3582" s="3" t="s">
        <v>3672</v>
      </c>
      <c r="B3582" s="3" t="s">
        <v>25</v>
      </c>
      <c r="C3582" s="3" t="s">
        <v>18</v>
      </c>
      <c r="D3582" s="3">
        <v>89164.0227946391</v>
      </c>
      <c r="E3582" s="3">
        <v>31429.6447271892</v>
      </c>
      <c r="F3582" s="3">
        <v>29193.9892498406</v>
      </c>
      <c r="G3582" s="3">
        <v>19749.1229392302</v>
      </c>
      <c r="H3582" s="3">
        <v>-96215.5862822607</v>
      </c>
      <c r="I3582" s="3">
        <v>74356.0645904351</v>
      </c>
      <c r="J3582" s="4">
        <v>45839.0</v>
      </c>
      <c r="K3582" s="3">
        <v>20.0</v>
      </c>
      <c r="L3582" s="3" t="s">
        <v>40</v>
      </c>
    </row>
    <row r="3583" ht="15.75" customHeight="1">
      <c r="A3583" s="3" t="s">
        <v>3673</v>
      </c>
      <c r="B3583" s="3" t="s">
        <v>13</v>
      </c>
      <c r="C3583" s="3" t="s">
        <v>30</v>
      </c>
      <c r="D3583" s="3">
        <v>89174.9057645453</v>
      </c>
      <c r="E3583" s="3">
        <v>31434.2594455166</v>
      </c>
      <c r="F3583" s="3">
        <v>29201.6692532701</v>
      </c>
      <c r="G3583" s="3">
        <v>19752.5204899174</v>
      </c>
      <c r="H3583" s="3">
        <v>-96265.0900000097</v>
      </c>
      <c r="I3583" s="3">
        <v>74359.446064855</v>
      </c>
      <c r="J3583" s="4">
        <v>45778.0</v>
      </c>
      <c r="K3583" s="3">
        <v>12.0</v>
      </c>
      <c r="L3583" s="3" t="s">
        <v>42</v>
      </c>
    </row>
    <row r="3584" ht="15.75" customHeight="1">
      <c r="A3584" s="3" t="s">
        <v>3674</v>
      </c>
      <c r="B3584" s="3" t="s">
        <v>13</v>
      </c>
      <c r="C3584" s="3" t="s">
        <v>37</v>
      </c>
      <c r="D3584" s="3">
        <v>89196.6717043576</v>
      </c>
      <c r="E3584" s="3">
        <v>31443.4888821714</v>
      </c>
      <c r="F3584" s="3">
        <v>29217.0292601291</v>
      </c>
      <c r="G3584" s="3">
        <v>19759.315591292</v>
      </c>
      <c r="H3584" s="3">
        <v>-96364.0974355077</v>
      </c>
      <c r="I3584" s="3">
        <v>74366.2090136946</v>
      </c>
      <c r="J3584" s="4">
        <v>45870.0</v>
      </c>
      <c r="K3584" s="3">
        <v>17.0</v>
      </c>
      <c r="L3584" s="3" t="s">
        <v>19</v>
      </c>
    </row>
    <row r="3585" ht="15.75" customHeight="1">
      <c r="A3585" s="3" t="s">
        <v>3675</v>
      </c>
      <c r="B3585" s="3" t="s">
        <v>29</v>
      </c>
      <c r="C3585" s="3" t="s">
        <v>26</v>
      </c>
      <c r="D3585" s="3">
        <v>89207.5546742638</v>
      </c>
      <c r="E3585" s="3">
        <v>31448.1036004989</v>
      </c>
      <c r="F3585" s="3">
        <v>29224.7092635586</v>
      </c>
      <c r="G3585" s="3">
        <v>19762.7131419793</v>
      </c>
      <c r="H3585" s="3">
        <v>-96413.6011532567</v>
      </c>
      <c r="I3585" s="3">
        <v>74369.5904881144</v>
      </c>
      <c r="J3585" s="4">
        <v>45748.0</v>
      </c>
      <c r="K3585" s="3">
        <v>12.0</v>
      </c>
      <c r="L3585" s="3" t="s">
        <v>21</v>
      </c>
    </row>
    <row r="3586" ht="15.75" customHeight="1">
      <c r="A3586" s="3" t="s">
        <v>3676</v>
      </c>
      <c r="B3586" s="3" t="s">
        <v>53</v>
      </c>
      <c r="C3586" s="3" t="s">
        <v>37</v>
      </c>
      <c r="D3586" s="3">
        <v>89229.3206140762</v>
      </c>
      <c r="E3586" s="3">
        <v>31457.3330371537</v>
      </c>
      <c r="F3586" s="3">
        <v>29240.0692704176</v>
      </c>
      <c r="G3586" s="3">
        <v>19769.5082433539</v>
      </c>
      <c r="H3586" s="3">
        <v>-96512.6085887557</v>
      </c>
      <c r="I3586" s="3">
        <v>74376.353436954</v>
      </c>
      <c r="J3586" s="4">
        <v>45658.0</v>
      </c>
      <c r="K3586" s="3">
        <v>18.0</v>
      </c>
      <c r="L3586" s="3" t="s">
        <v>27</v>
      </c>
    </row>
    <row r="3587" ht="15.75" customHeight="1">
      <c r="A3587" s="3" t="s">
        <v>3677</v>
      </c>
      <c r="B3587" s="3" t="s">
        <v>25</v>
      </c>
      <c r="C3587" s="3" t="s">
        <v>37</v>
      </c>
      <c r="D3587" s="3">
        <v>89251.0865538886</v>
      </c>
      <c r="E3587" s="3">
        <v>31466.5624738086</v>
      </c>
      <c r="F3587" s="3">
        <v>29255.4292772766</v>
      </c>
      <c r="G3587" s="3">
        <v>19776.3033447284</v>
      </c>
      <c r="H3587" s="3">
        <v>-96611.6160242537</v>
      </c>
      <c r="I3587" s="3">
        <v>74383.1163857937</v>
      </c>
      <c r="J3587" s="4">
        <v>45962.0</v>
      </c>
      <c r="K3587" s="3">
        <v>19.0</v>
      </c>
      <c r="L3587" s="3" t="s">
        <v>34</v>
      </c>
    </row>
    <row r="3588" ht="15.75" customHeight="1">
      <c r="A3588" s="3" t="s">
        <v>3678</v>
      </c>
      <c r="B3588" s="3" t="s">
        <v>36</v>
      </c>
      <c r="C3588" s="3" t="s">
        <v>33</v>
      </c>
      <c r="D3588" s="3">
        <v>89261.9695237948</v>
      </c>
      <c r="E3588" s="3">
        <v>31471.177192136</v>
      </c>
      <c r="F3588" s="3">
        <v>29263.1092807061</v>
      </c>
      <c r="G3588" s="3">
        <v>19779.7008954157</v>
      </c>
      <c r="H3588" s="3">
        <v>-96661.1197420027</v>
      </c>
      <c r="I3588" s="3">
        <v>74386.4978602135</v>
      </c>
      <c r="J3588" s="4">
        <v>45992.0</v>
      </c>
      <c r="K3588" s="3">
        <v>8.0</v>
      </c>
      <c r="L3588" s="3" t="s">
        <v>38</v>
      </c>
    </row>
    <row r="3589" ht="15.75" customHeight="1">
      <c r="A3589" s="3" t="s">
        <v>3679</v>
      </c>
      <c r="B3589" s="3" t="s">
        <v>51</v>
      </c>
      <c r="C3589" s="3" t="s">
        <v>33</v>
      </c>
      <c r="D3589" s="3">
        <v>89272.852493701</v>
      </c>
      <c r="E3589" s="3">
        <v>31475.7919104634</v>
      </c>
      <c r="F3589" s="3">
        <v>29270.7892841356</v>
      </c>
      <c r="G3589" s="3">
        <v>19783.098446103</v>
      </c>
      <c r="H3589" s="3">
        <v>-96710.6234597517</v>
      </c>
      <c r="I3589" s="3">
        <v>74389.8793346333</v>
      </c>
      <c r="J3589" s="4">
        <v>45901.0</v>
      </c>
      <c r="K3589" s="3">
        <v>21.0</v>
      </c>
      <c r="L3589" s="3" t="s">
        <v>40</v>
      </c>
    </row>
    <row r="3590" ht="15.75" customHeight="1">
      <c r="A3590" s="3" t="s">
        <v>3680</v>
      </c>
      <c r="B3590" s="3" t="s">
        <v>17</v>
      </c>
      <c r="C3590" s="3" t="s">
        <v>26</v>
      </c>
      <c r="D3590" s="3">
        <v>89283.7354636072</v>
      </c>
      <c r="E3590" s="3">
        <v>31480.4066287908</v>
      </c>
      <c r="F3590" s="3">
        <v>29278.4692875651</v>
      </c>
      <c r="G3590" s="3">
        <v>19786.4959967903</v>
      </c>
      <c r="H3590" s="3">
        <v>-96760.1271775007</v>
      </c>
      <c r="I3590" s="3">
        <v>74393.2608090531</v>
      </c>
      <c r="J3590" s="4">
        <v>45901.0</v>
      </c>
      <c r="K3590" s="3">
        <v>8.0</v>
      </c>
      <c r="L3590" s="3" t="s">
        <v>42</v>
      </c>
    </row>
    <row r="3591" ht="15.75" customHeight="1">
      <c r="A3591" s="3" t="s">
        <v>3681</v>
      </c>
      <c r="B3591" s="3" t="s">
        <v>51</v>
      </c>
      <c r="C3591" s="3" t="s">
        <v>30</v>
      </c>
      <c r="D3591" s="3">
        <v>89294.6184335134</v>
      </c>
      <c r="E3591" s="3">
        <v>31485.0213471182</v>
      </c>
      <c r="F3591" s="3">
        <v>29286.1492909946</v>
      </c>
      <c r="G3591" s="3">
        <v>19789.8935474776</v>
      </c>
      <c r="H3591" s="3">
        <v>-96809.6308952497</v>
      </c>
      <c r="I3591" s="3">
        <v>74396.6422834729</v>
      </c>
      <c r="J3591" s="4">
        <v>45748.0</v>
      </c>
      <c r="K3591" s="3">
        <v>20.0</v>
      </c>
      <c r="L3591" s="3" t="s">
        <v>15</v>
      </c>
    </row>
    <row r="3592" ht="15.75" customHeight="1">
      <c r="A3592" s="3" t="s">
        <v>3682</v>
      </c>
      <c r="B3592" s="3" t="s">
        <v>36</v>
      </c>
      <c r="C3592" s="3" t="s">
        <v>26</v>
      </c>
      <c r="D3592" s="3">
        <v>89316.3843733258</v>
      </c>
      <c r="E3592" s="3">
        <v>31494.2507837731</v>
      </c>
      <c r="F3592" s="3">
        <v>29301.5092978536</v>
      </c>
      <c r="G3592" s="3">
        <v>19796.6886488522</v>
      </c>
      <c r="H3592" s="3">
        <v>-96908.6383307487</v>
      </c>
      <c r="I3592" s="3">
        <v>74403.4052323125</v>
      </c>
      <c r="J3592" s="4">
        <v>45658.0</v>
      </c>
      <c r="K3592" s="3">
        <v>21.0</v>
      </c>
      <c r="L3592" s="3" t="s">
        <v>21</v>
      </c>
    </row>
    <row r="3593" ht="15.75" customHeight="1">
      <c r="A3593" s="3" t="s">
        <v>3683</v>
      </c>
      <c r="B3593" s="3" t="s">
        <v>13</v>
      </c>
      <c r="C3593" s="3" t="s">
        <v>26</v>
      </c>
      <c r="D3593" s="3">
        <v>89338.1503131382</v>
      </c>
      <c r="E3593" s="3">
        <v>31503.4802204279</v>
      </c>
      <c r="F3593" s="3">
        <v>29316.8693047126</v>
      </c>
      <c r="G3593" s="3">
        <v>19803.4837502267</v>
      </c>
      <c r="H3593" s="3">
        <v>-97007.6457662467</v>
      </c>
      <c r="I3593" s="3">
        <v>74410.1681811522</v>
      </c>
      <c r="J3593" s="4">
        <v>45839.0</v>
      </c>
      <c r="K3593" s="3">
        <v>15.0</v>
      </c>
      <c r="L3593" s="3" t="s">
        <v>27</v>
      </c>
    </row>
    <row r="3594" ht="15.75" customHeight="1">
      <c r="A3594" s="3" t="s">
        <v>3684</v>
      </c>
      <c r="B3594" s="3" t="s">
        <v>36</v>
      </c>
      <c r="C3594" s="3" t="s">
        <v>14</v>
      </c>
      <c r="D3594" s="3">
        <v>89349.0332830443</v>
      </c>
      <c r="E3594" s="3">
        <v>31508.0949387554</v>
      </c>
      <c r="F3594" s="3">
        <v>29324.5493081421</v>
      </c>
      <c r="G3594" s="3">
        <v>19806.881300914</v>
      </c>
      <c r="H3594" s="3">
        <v>-97057.1494839957</v>
      </c>
      <c r="I3594" s="3">
        <v>74413.549655572</v>
      </c>
      <c r="J3594" s="4">
        <v>45870.0</v>
      </c>
      <c r="K3594" s="3">
        <v>5.0</v>
      </c>
      <c r="L3594" s="3" t="s">
        <v>31</v>
      </c>
    </row>
    <row r="3595" ht="15.75" customHeight="1">
      <c r="A3595" s="3" t="s">
        <v>3685</v>
      </c>
      <c r="B3595" s="3" t="s">
        <v>29</v>
      </c>
      <c r="C3595" s="3" t="s">
        <v>14</v>
      </c>
      <c r="D3595" s="3">
        <v>89359.9162529505</v>
      </c>
      <c r="E3595" s="3">
        <v>31512.7096570828</v>
      </c>
      <c r="F3595" s="3">
        <v>29332.2293115716</v>
      </c>
      <c r="G3595" s="3">
        <v>19810.2788516013</v>
      </c>
      <c r="H3595" s="3">
        <v>-97106.6532017447</v>
      </c>
      <c r="I3595" s="3">
        <v>74416.9311299918</v>
      </c>
      <c r="J3595" s="4">
        <v>45870.0</v>
      </c>
      <c r="K3595" s="3">
        <v>20.0</v>
      </c>
      <c r="L3595" s="3" t="s">
        <v>34</v>
      </c>
    </row>
    <row r="3596" ht="15.75" customHeight="1">
      <c r="A3596" s="3" t="s">
        <v>3686</v>
      </c>
      <c r="B3596" s="3" t="s">
        <v>13</v>
      </c>
      <c r="C3596" s="3" t="s">
        <v>14</v>
      </c>
      <c r="D3596" s="3">
        <v>89370.7992228567</v>
      </c>
      <c r="E3596" s="3">
        <v>31517.3243754102</v>
      </c>
      <c r="F3596" s="3">
        <v>29339.9093150011</v>
      </c>
      <c r="G3596" s="3">
        <v>19813.6764022886</v>
      </c>
      <c r="H3596" s="3">
        <v>-97156.1569194937</v>
      </c>
      <c r="I3596" s="3">
        <v>74420.3126044116</v>
      </c>
      <c r="J3596" s="3" t="s">
        <v>502</v>
      </c>
      <c r="K3596" s="3">
        <v>12.0</v>
      </c>
      <c r="L3596" s="3" t="s">
        <v>38</v>
      </c>
    </row>
    <row r="3597" ht="15.75" customHeight="1">
      <c r="A3597" s="3" t="s">
        <v>3687</v>
      </c>
      <c r="B3597" s="3" t="s">
        <v>53</v>
      </c>
      <c r="C3597" s="3" t="s">
        <v>14</v>
      </c>
      <c r="D3597" s="3">
        <v>89381.6821927629</v>
      </c>
      <c r="E3597" s="3">
        <v>31521.9390937376</v>
      </c>
      <c r="F3597" s="3">
        <v>29347.5893184306</v>
      </c>
      <c r="G3597" s="3">
        <v>19817.0739529759</v>
      </c>
      <c r="H3597" s="3">
        <v>-97205.6606372427</v>
      </c>
      <c r="I3597" s="3">
        <v>74423.6940788314</v>
      </c>
      <c r="J3597" s="4">
        <v>45778.0</v>
      </c>
      <c r="K3597" s="3">
        <v>25.0</v>
      </c>
      <c r="L3597" s="3" t="s">
        <v>40</v>
      </c>
    </row>
    <row r="3598" ht="15.75" customHeight="1">
      <c r="A3598" s="3" t="s">
        <v>3688</v>
      </c>
      <c r="B3598" s="3" t="s">
        <v>13</v>
      </c>
      <c r="C3598" s="3" t="s">
        <v>37</v>
      </c>
      <c r="D3598" s="3">
        <v>89392.5651626691</v>
      </c>
      <c r="E3598" s="3">
        <v>31526.553812065</v>
      </c>
      <c r="F3598" s="3">
        <v>29355.2693218601</v>
      </c>
      <c r="G3598" s="3">
        <v>19820.4715036632</v>
      </c>
      <c r="H3598" s="3">
        <v>-97255.1643549927</v>
      </c>
      <c r="I3598" s="3">
        <v>74427.0755532513</v>
      </c>
      <c r="J3598" s="4">
        <v>45809.0</v>
      </c>
      <c r="K3598" s="3">
        <v>2.0</v>
      </c>
      <c r="L3598" s="3" t="s">
        <v>42</v>
      </c>
    </row>
    <row r="3599" ht="15.75" customHeight="1">
      <c r="A3599" s="3" t="s">
        <v>3689</v>
      </c>
      <c r="B3599" s="3" t="s">
        <v>29</v>
      </c>
      <c r="C3599" s="3" t="s">
        <v>54</v>
      </c>
      <c r="D3599" s="5"/>
      <c r="E3599" s="3">
        <v>31531.1685303925</v>
      </c>
      <c r="F3599" s="3">
        <v>29362.9493252896</v>
      </c>
      <c r="G3599" s="3">
        <v>19823.8690543505</v>
      </c>
      <c r="H3599" s="3">
        <v>-97304.6680727417</v>
      </c>
      <c r="I3599" s="3">
        <v>74430.4570276711</v>
      </c>
      <c r="J3599" s="4">
        <v>45962.0</v>
      </c>
      <c r="K3599" s="3">
        <v>7.0</v>
      </c>
      <c r="L3599" s="3" t="s">
        <v>15</v>
      </c>
    </row>
    <row r="3600" ht="15.75" customHeight="1">
      <c r="A3600" s="3" t="s">
        <v>3690</v>
      </c>
      <c r="B3600" s="3" t="s">
        <v>29</v>
      </c>
      <c r="C3600" s="3" t="s">
        <v>37</v>
      </c>
      <c r="D3600" s="3">
        <v>89414.3311024815</v>
      </c>
      <c r="E3600" s="3">
        <v>31535.7832487199</v>
      </c>
      <c r="F3600" s="3">
        <v>29370.6293287191</v>
      </c>
      <c r="G3600" s="3">
        <v>19827.2666050378</v>
      </c>
      <c r="H3600" s="3">
        <v>-97354.1717904907</v>
      </c>
      <c r="I3600" s="3">
        <v>74433.8385020909</v>
      </c>
      <c r="J3600" s="4">
        <v>45658.0</v>
      </c>
      <c r="K3600" s="3">
        <v>18.0</v>
      </c>
      <c r="L3600" s="3" t="s">
        <v>19</v>
      </c>
    </row>
    <row r="3601" ht="15.75" customHeight="1">
      <c r="A3601" s="3" t="s">
        <v>3691</v>
      </c>
      <c r="B3601" s="3" t="s">
        <v>51</v>
      </c>
      <c r="C3601" s="3" t="s">
        <v>30</v>
      </c>
      <c r="D3601" s="3">
        <v>89425.2140723877</v>
      </c>
      <c r="E3601" s="3">
        <v>31540.3979670473</v>
      </c>
      <c r="F3601" s="3">
        <v>29378.3093321486</v>
      </c>
      <c r="G3601" s="3">
        <v>19830.664155725</v>
      </c>
      <c r="H3601" s="3">
        <v>-97403.6755082397</v>
      </c>
      <c r="I3601" s="3">
        <v>74437.2199765107</v>
      </c>
      <c r="J3601" s="4">
        <v>45748.0</v>
      </c>
      <c r="K3601" s="3">
        <v>2.0</v>
      </c>
      <c r="L3601" s="3" t="s">
        <v>21</v>
      </c>
    </row>
    <row r="3602" ht="15.75" customHeight="1">
      <c r="A3602" s="3" t="s">
        <v>3692</v>
      </c>
      <c r="B3602" s="3" t="s">
        <v>53</v>
      </c>
      <c r="C3602" s="3" t="s">
        <v>37</v>
      </c>
      <c r="D3602" s="3">
        <v>89436.0970422939</v>
      </c>
      <c r="E3602" s="3">
        <v>31545.0126853747</v>
      </c>
      <c r="F3602" s="3">
        <v>29385.9893355781</v>
      </c>
      <c r="G3602" s="3">
        <v>19834.0617064123</v>
      </c>
      <c r="H3602" s="3">
        <v>-97453.1792259887</v>
      </c>
      <c r="I3602" s="3">
        <v>74440.6014509305</v>
      </c>
      <c r="J3602" s="4">
        <v>45962.0</v>
      </c>
      <c r="K3602" s="3">
        <v>15.0</v>
      </c>
      <c r="L3602" s="3" t="s">
        <v>23</v>
      </c>
    </row>
    <row r="3603" ht="15.75" customHeight="1">
      <c r="A3603" s="3" t="s">
        <v>3693</v>
      </c>
      <c r="B3603" s="3" t="s">
        <v>36</v>
      </c>
      <c r="C3603" s="3" t="s">
        <v>30</v>
      </c>
      <c r="D3603" s="3">
        <v>89446.9800122001</v>
      </c>
      <c r="E3603" s="3">
        <v>31549.6274037022</v>
      </c>
      <c r="F3603" s="3">
        <v>29393.6693390076</v>
      </c>
      <c r="G3603" s="3">
        <v>19837.4592570996</v>
      </c>
      <c r="H3603" s="3">
        <v>-97502.6829437377</v>
      </c>
      <c r="I3603" s="3">
        <v>74443.9829253503</v>
      </c>
      <c r="J3603" s="4">
        <v>45689.0</v>
      </c>
      <c r="K3603" s="3">
        <v>4.0</v>
      </c>
      <c r="L3603" s="3" t="s">
        <v>27</v>
      </c>
    </row>
    <row r="3604" ht="15.75" customHeight="1">
      <c r="A3604" s="3" t="s">
        <v>3694</v>
      </c>
      <c r="B3604" s="3" t="s">
        <v>53</v>
      </c>
      <c r="C3604" s="3" t="s">
        <v>54</v>
      </c>
      <c r="D3604" s="3">
        <v>89457.8629821063</v>
      </c>
      <c r="E3604" s="3">
        <v>31554.2421220296</v>
      </c>
      <c r="F3604" s="3">
        <v>29401.3493424371</v>
      </c>
      <c r="G3604" s="3">
        <v>19840.8568077869</v>
      </c>
      <c r="H3604" s="3">
        <v>-97552.1866614867</v>
      </c>
      <c r="I3604" s="3">
        <v>74447.3643997701</v>
      </c>
      <c r="J3604" s="4">
        <v>45809.0</v>
      </c>
      <c r="K3604" s="3">
        <v>11.0</v>
      </c>
      <c r="L3604" s="3" t="s">
        <v>31</v>
      </c>
    </row>
    <row r="3605" ht="15.75" customHeight="1">
      <c r="A3605" s="3" t="s">
        <v>3695</v>
      </c>
      <c r="B3605" s="3" t="s">
        <v>53</v>
      </c>
      <c r="C3605" s="3" t="s">
        <v>30</v>
      </c>
      <c r="D3605" s="3">
        <v>89468.7459520125</v>
      </c>
      <c r="E3605" s="3">
        <v>31558.856840357</v>
      </c>
      <c r="F3605" s="3">
        <v>29409.0293458665</v>
      </c>
      <c r="G3605" s="3">
        <v>19844.2543584742</v>
      </c>
      <c r="H3605" s="3">
        <v>-97601.6903792357</v>
      </c>
      <c r="I3605" s="3">
        <v>74450.74587419</v>
      </c>
      <c r="J3605" s="4">
        <v>45717.0</v>
      </c>
      <c r="K3605" s="3">
        <v>21.0</v>
      </c>
      <c r="L3605" s="3" t="s">
        <v>34</v>
      </c>
    </row>
    <row r="3606" ht="15.75" customHeight="1">
      <c r="A3606" s="3" t="s">
        <v>3696</v>
      </c>
      <c r="B3606" s="3" t="s">
        <v>25</v>
      </c>
      <c r="C3606" s="3" t="s">
        <v>18</v>
      </c>
      <c r="D3606" s="3">
        <v>89479.6289219187</v>
      </c>
      <c r="E3606" s="3">
        <v>31563.4715586844</v>
      </c>
      <c r="F3606" s="3">
        <v>29416.709349296</v>
      </c>
      <c r="G3606" s="3">
        <v>19847.6519091615</v>
      </c>
      <c r="H3606" s="3">
        <v>-97651.1940969857</v>
      </c>
      <c r="I3606" s="3">
        <v>74454.1273486098</v>
      </c>
      <c r="J3606" s="4">
        <v>45901.0</v>
      </c>
      <c r="K3606" s="3">
        <v>3.0</v>
      </c>
      <c r="L3606" s="3" t="s">
        <v>38</v>
      </c>
    </row>
    <row r="3607" ht="15.75" customHeight="1">
      <c r="A3607" s="3" t="s">
        <v>3697</v>
      </c>
      <c r="B3607" s="3" t="s">
        <v>13</v>
      </c>
      <c r="C3607" s="3" t="s">
        <v>37</v>
      </c>
      <c r="D3607" s="3">
        <v>89490.5118918249</v>
      </c>
      <c r="E3607" s="3">
        <v>31568.0862770118</v>
      </c>
      <c r="F3607" s="3">
        <v>29424.3893527255</v>
      </c>
      <c r="G3607" s="3">
        <v>19851.0494598488</v>
      </c>
      <c r="H3607" s="3">
        <v>-97700.6978147347</v>
      </c>
      <c r="I3607" s="3">
        <v>74457.5088230296</v>
      </c>
      <c r="J3607" s="4">
        <v>45778.0</v>
      </c>
      <c r="K3607" s="3">
        <v>9.0</v>
      </c>
      <c r="L3607" s="3" t="s">
        <v>40</v>
      </c>
    </row>
    <row r="3608" ht="15.75" customHeight="1">
      <c r="A3608" s="3" t="s">
        <v>3698</v>
      </c>
      <c r="B3608" s="3" t="s">
        <v>13</v>
      </c>
      <c r="C3608" s="3" t="s">
        <v>37</v>
      </c>
      <c r="D3608" s="3">
        <v>89501.3948617311</v>
      </c>
      <c r="E3608" s="3">
        <v>31572.7009953393</v>
      </c>
      <c r="F3608" s="3">
        <v>29432.069356155</v>
      </c>
      <c r="G3608" s="5"/>
      <c r="H3608" s="3">
        <v>-97750.2015324837</v>
      </c>
      <c r="I3608" s="3">
        <v>74460.8902974494</v>
      </c>
      <c r="J3608" s="4">
        <v>45717.0</v>
      </c>
      <c r="K3608" s="3">
        <v>19.0</v>
      </c>
      <c r="L3608" s="3" t="s">
        <v>42</v>
      </c>
    </row>
    <row r="3609" ht="15.75" customHeight="1">
      <c r="A3609" s="3" t="s">
        <v>3699</v>
      </c>
      <c r="B3609" s="3" t="s">
        <v>51</v>
      </c>
      <c r="C3609" s="3" t="s">
        <v>37</v>
      </c>
      <c r="D3609" s="3">
        <v>89512.2778316372</v>
      </c>
      <c r="E3609" s="3">
        <v>31577.3157136667</v>
      </c>
      <c r="F3609" s="3">
        <v>29439.7493595845</v>
      </c>
      <c r="G3609" s="3">
        <v>19857.8445612233</v>
      </c>
      <c r="H3609" s="3">
        <v>-97799.7052502327</v>
      </c>
      <c r="I3609" s="3">
        <v>74464.2717718692</v>
      </c>
      <c r="J3609" s="4">
        <v>45901.0</v>
      </c>
      <c r="K3609" s="3">
        <v>2.0</v>
      </c>
      <c r="L3609" s="3" t="s">
        <v>15</v>
      </c>
    </row>
    <row r="3610" ht="15.75" customHeight="1">
      <c r="A3610" s="3" t="s">
        <v>3700</v>
      </c>
      <c r="B3610" s="3" t="s">
        <v>29</v>
      </c>
      <c r="C3610" s="3" t="s">
        <v>26</v>
      </c>
      <c r="D3610" s="3">
        <v>89523.1608015434</v>
      </c>
      <c r="E3610" s="3">
        <v>31581.9304319941</v>
      </c>
      <c r="F3610" s="3">
        <v>29447.429363014</v>
      </c>
      <c r="G3610" s="3">
        <v>19861.2421119106</v>
      </c>
      <c r="H3610" s="3">
        <v>-97849.2089679817</v>
      </c>
      <c r="I3610" s="3">
        <v>74467.653246289</v>
      </c>
      <c r="J3610" s="4">
        <v>45870.0</v>
      </c>
      <c r="K3610" s="3">
        <v>12.0</v>
      </c>
      <c r="L3610" s="3" t="s">
        <v>19</v>
      </c>
    </row>
    <row r="3611" ht="15.75" customHeight="1">
      <c r="A3611" s="3" t="s">
        <v>3701</v>
      </c>
      <c r="B3611" s="3" t="s">
        <v>13</v>
      </c>
      <c r="C3611" s="3" t="s">
        <v>14</v>
      </c>
      <c r="D3611" s="3">
        <v>89534.0437714496</v>
      </c>
      <c r="E3611" s="3">
        <v>31586.5451503215</v>
      </c>
      <c r="F3611" s="3">
        <v>29455.1093664435</v>
      </c>
      <c r="G3611" s="3">
        <v>19864.6396625979</v>
      </c>
      <c r="H3611" s="3">
        <v>-97898.7126857307</v>
      </c>
      <c r="I3611" s="3">
        <v>74471.0347207088</v>
      </c>
      <c r="J3611" s="4">
        <v>45962.0</v>
      </c>
      <c r="K3611" s="3">
        <v>18.0</v>
      </c>
      <c r="L3611" s="3" t="s">
        <v>21</v>
      </c>
    </row>
    <row r="3612" ht="15.75" customHeight="1">
      <c r="A3612" s="3" t="s">
        <v>3702</v>
      </c>
      <c r="B3612" s="3" t="s">
        <v>25</v>
      </c>
      <c r="C3612" s="3" t="s">
        <v>33</v>
      </c>
      <c r="D3612" s="3">
        <v>89544.9267413558</v>
      </c>
      <c r="E3612" s="3">
        <v>31591.159868649</v>
      </c>
      <c r="F3612" s="3">
        <v>29462.789369873</v>
      </c>
      <c r="G3612" s="3">
        <v>19868.0372132852</v>
      </c>
      <c r="H3612" s="3">
        <v>-97948.2164034797</v>
      </c>
      <c r="I3612" s="3">
        <v>74474.4161951287</v>
      </c>
      <c r="J3612" s="4">
        <v>45901.0</v>
      </c>
      <c r="K3612" s="3">
        <v>20.0</v>
      </c>
      <c r="L3612" s="3" t="s">
        <v>23</v>
      </c>
    </row>
    <row r="3613" ht="15.75" customHeight="1">
      <c r="A3613" s="3" t="s">
        <v>3703</v>
      </c>
      <c r="B3613" s="3" t="s">
        <v>29</v>
      </c>
      <c r="C3613" s="3" t="s">
        <v>26</v>
      </c>
      <c r="D3613" s="3">
        <v>89555.809711262</v>
      </c>
      <c r="E3613" s="3">
        <v>31595.7745869764</v>
      </c>
      <c r="F3613" s="3">
        <v>29470.4693733025</v>
      </c>
      <c r="G3613" s="3">
        <v>19871.4347639725</v>
      </c>
      <c r="H3613" s="3">
        <v>-97997.7201212287</v>
      </c>
      <c r="I3613" s="3">
        <v>74477.7976695485</v>
      </c>
      <c r="J3613" s="4">
        <v>45992.0</v>
      </c>
      <c r="K3613" s="3">
        <v>2.0</v>
      </c>
      <c r="L3613" s="3" t="s">
        <v>27</v>
      </c>
    </row>
    <row r="3614" ht="15.75" customHeight="1">
      <c r="A3614" s="3" t="s">
        <v>3704</v>
      </c>
      <c r="B3614" s="3" t="s">
        <v>29</v>
      </c>
      <c r="C3614" s="3" t="s">
        <v>18</v>
      </c>
      <c r="D3614" s="3">
        <v>89566.6926811682</v>
      </c>
      <c r="E3614" s="3">
        <v>31600.3893053038</v>
      </c>
      <c r="F3614" s="3">
        <v>29478.149376732</v>
      </c>
      <c r="G3614" s="3">
        <v>19874.8323146598</v>
      </c>
      <c r="H3614" s="3">
        <v>-98047.2238389787</v>
      </c>
      <c r="I3614" s="3">
        <v>74481.1791439683</v>
      </c>
      <c r="J3614" s="4">
        <v>45778.0</v>
      </c>
      <c r="K3614" s="3">
        <v>20.0</v>
      </c>
      <c r="L3614" s="3" t="s">
        <v>31</v>
      </c>
    </row>
    <row r="3615" ht="15.75" customHeight="1">
      <c r="A3615" s="3" t="s">
        <v>3705</v>
      </c>
      <c r="B3615" s="3" t="s">
        <v>29</v>
      </c>
      <c r="C3615" s="3" t="s">
        <v>30</v>
      </c>
      <c r="D3615" s="3">
        <v>89588.4586209806</v>
      </c>
      <c r="E3615" s="3">
        <v>31609.6187419586</v>
      </c>
      <c r="F3615" s="3">
        <v>29493.509383591</v>
      </c>
      <c r="G3615" s="3">
        <v>19881.6274160343</v>
      </c>
      <c r="H3615" s="3">
        <v>-98146.2312744767</v>
      </c>
      <c r="I3615" s="3">
        <v>74487.9420928079</v>
      </c>
      <c r="J3615" s="4">
        <v>45931.0</v>
      </c>
      <c r="K3615" s="3">
        <v>18.0</v>
      </c>
      <c r="L3615" s="3" t="s">
        <v>38</v>
      </c>
    </row>
    <row r="3616" ht="15.75" customHeight="1">
      <c r="A3616" s="3" t="s">
        <v>3706</v>
      </c>
      <c r="B3616" s="3" t="s">
        <v>29</v>
      </c>
      <c r="C3616" s="3" t="s">
        <v>37</v>
      </c>
      <c r="D3616" s="3">
        <v>89599.3415908868</v>
      </c>
      <c r="E3616" s="3">
        <v>31614.2334602861</v>
      </c>
      <c r="F3616" s="3">
        <v>29501.1893870205</v>
      </c>
      <c r="G3616" s="3">
        <v>19885.0249667216</v>
      </c>
      <c r="H3616" s="3">
        <v>-98195.7349922257</v>
      </c>
      <c r="I3616" s="3">
        <v>74491.3235672277</v>
      </c>
      <c r="J3616" s="4">
        <v>45870.0</v>
      </c>
      <c r="K3616" s="3">
        <v>15.0</v>
      </c>
      <c r="L3616" s="3" t="s">
        <v>40</v>
      </c>
    </row>
    <row r="3617" ht="15.75" customHeight="1">
      <c r="A3617" s="3" t="s">
        <v>3707</v>
      </c>
      <c r="B3617" s="3" t="s">
        <v>36</v>
      </c>
      <c r="C3617" s="3" t="s">
        <v>33</v>
      </c>
      <c r="D3617" s="3">
        <v>89610.224560793</v>
      </c>
      <c r="E3617" s="3">
        <v>31618.8481786135</v>
      </c>
      <c r="F3617" s="3">
        <v>29508.86939045</v>
      </c>
      <c r="G3617" s="3">
        <v>19888.4225174089</v>
      </c>
      <c r="H3617" s="3">
        <v>-98245.2387099747</v>
      </c>
      <c r="I3617" s="3">
        <v>74494.7050416475</v>
      </c>
      <c r="J3617" s="4">
        <v>45748.0</v>
      </c>
      <c r="K3617" s="3">
        <v>12.0</v>
      </c>
      <c r="L3617" s="3" t="s">
        <v>42</v>
      </c>
    </row>
    <row r="3618" ht="15.75" customHeight="1">
      <c r="A3618" s="3" t="s">
        <v>3708</v>
      </c>
      <c r="B3618" s="3" t="s">
        <v>29</v>
      </c>
      <c r="C3618" s="3" t="s">
        <v>18</v>
      </c>
      <c r="D3618" s="3">
        <v>89621.1075306992</v>
      </c>
      <c r="E3618" s="3">
        <v>31623.4628969409</v>
      </c>
      <c r="F3618" s="3">
        <v>29516.5493938795</v>
      </c>
      <c r="G3618" s="3">
        <v>19891.8200680962</v>
      </c>
      <c r="H3618" s="3">
        <v>-98294.7424277237</v>
      </c>
      <c r="I3618" s="3">
        <v>74498.0865160674</v>
      </c>
      <c r="J3618" s="4">
        <v>45962.0</v>
      </c>
      <c r="K3618" s="3">
        <v>15.0</v>
      </c>
      <c r="L3618" s="3" t="s">
        <v>15</v>
      </c>
    </row>
    <row r="3619" ht="15.75" customHeight="1">
      <c r="A3619" s="3" t="s">
        <v>3709</v>
      </c>
      <c r="B3619" s="3" t="s">
        <v>13</v>
      </c>
      <c r="C3619" s="3" t="s">
        <v>30</v>
      </c>
      <c r="D3619" s="3">
        <v>89631.9905006054</v>
      </c>
      <c r="E3619" s="3">
        <v>31628.0776152683</v>
      </c>
      <c r="F3619" s="3">
        <v>29524.229397309</v>
      </c>
      <c r="G3619" s="3">
        <v>19895.2176187835</v>
      </c>
      <c r="H3619" s="3">
        <v>-98344.2461454727</v>
      </c>
      <c r="I3619" s="3">
        <v>74501.4679904872</v>
      </c>
      <c r="J3619" s="4">
        <v>45778.0</v>
      </c>
      <c r="K3619" s="3">
        <v>21.0</v>
      </c>
      <c r="L3619" s="3" t="s">
        <v>19</v>
      </c>
    </row>
    <row r="3620" ht="15.75" customHeight="1">
      <c r="A3620" s="3" t="s">
        <v>3710</v>
      </c>
      <c r="B3620" s="3" t="s">
        <v>53</v>
      </c>
      <c r="C3620" s="3" t="s">
        <v>18</v>
      </c>
      <c r="D3620" s="3">
        <v>89642.8734705116</v>
      </c>
      <c r="E3620" s="3">
        <v>31632.6923335957</v>
      </c>
      <c r="F3620" s="3">
        <v>29531.9094007385</v>
      </c>
      <c r="G3620" s="3">
        <v>19898.6151694708</v>
      </c>
      <c r="H3620" s="3">
        <v>-98393.7498632217</v>
      </c>
      <c r="I3620" s="3">
        <v>74504.849464907</v>
      </c>
      <c r="J3620" s="4">
        <v>45748.0</v>
      </c>
      <c r="K3620" s="3">
        <v>4.0</v>
      </c>
      <c r="L3620" s="3" t="s">
        <v>21</v>
      </c>
    </row>
    <row r="3621" ht="15.75" customHeight="1">
      <c r="A3621" s="3" t="s">
        <v>3711</v>
      </c>
      <c r="B3621" s="3" t="s">
        <v>36</v>
      </c>
      <c r="C3621" s="3" t="s">
        <v>18</v>
      </c>
      <c r="D3621" s="3">
        <v>89653.7564404178</v>
      </c>
      <c r="E3621" s="3">
        <v>31637.3070519232</v>
      </c>
      <c r="F3621" s="3">
        <v>29539.589404168</v>
      </c>
      <c r="G3621" s="3">
        <v>19902.0127201581</v>
      </c>
      <c r="H3621" s="3">
        <v>-98443.2535809718</v>
      </c>
      <c r="I3621" s="3">
        <v>74508.2309393268</v>
      </c>
      <c r="J3621" s="3" t="s">
        <v>134</v>
      </c>
      <c r="K3621" s="3">
        <v>19.0</v>
      </c>
      <c r="L3621" s="3" t="s">
        <v>23</v>
      </c>
    </row>
    <row r="3622" ht="15.75" customHeight="1">
      <c r="A3622" s="3" t="s">
        <v>3712</v>
      </c>
      <c r="B3622" s="3" t="s">
        <v>29</v>
      </c>
      <c r="C3622" s="3" t="s">
        <v>14</v>
      </c>
      <c r="D3622" s="3">
        <v>89664.639410324</v>
      </c>
      <c r="E3622" s="3">
        <v>31641.9217702506</v>
      </c>
      <c r="F3622" s="3">
        <v>29547.2694075975</v>
      </c>
      <c r="G3622" s="3">
        <v>19905.4102708454</v>
      </c>
      <c r="H3622" s="3">
        <v>-98492.7572987207</v>
      </c>
      <c r="I3622" s="3">
        <v>74511.6124137466</v>
      </c>
      <c r="J3622" s="4">
        <v>45748.0</v>
      </c>
      <c r="K3622" s="3">
        <v>13.0</v>
      </c>
      <c r="L3622" s="3" t="s">
        <v>27</v>
      </c>
    </row>
    <row r="3623" ht="15.75" customHeight="1">
      <c r="A3623" s="3" t="s">
        <v>3713</v>
      </c>
      <c r="B3623" s="3" t="s">
        <v>51</v>
      </c>
      <c r="C3623" s="3" t="s">
        <v>18</v>
      </c>
      <c r="D3623" s="3">
        <v>89675.5223802301</v>
      </c>
      <c r="E3623" s="3">
        <v>31646.536488578</v>
      </c>
      <c r="F3623" s="3">
        <v>29554.949411027</v>
      </c>
      <c r="G3623" s="3">
        <v>19908.8078215326</v>
      </c>
      <c r="H3623" s="3">
        <v>-98542.2610164697</v>
      </c>
      <c r="I3623" s="3">
        <v>74514.9938881664</v>
      </c>
      <c r="J3623" s="4">
        <v>45931.0</v>
      </c>
      <c r="K3623" s="3">
        <v>21.0</v>
      </c>
      <c r="L3623" s="3" t="s">
        <v>31</v>
      </c>
    </row>
    <row r="3624" ht="15.75" customHeight="1">
      <c r="A3624" s="3" t="s">
        <v>3714</v>
      </c>
      <c r="B3624" s="3" t="s">
        <v>13</v>
      </c>
      <c r="C3624" s="3" t="s">
        <v>54</v>
      </c>
      <c r="D3624" s="3">
        <v>89686.4053501363</v>
      </c>
      <c r="E3624" s="3">
        <v>31651.1512069054</v>
      </c>
      <c r="F3624" s="3">
        <v>29562.6294144565</v>
      </c>
      <c r="G3624" s="3">
        <v>19912.2053722199</v>
      </c>
      <c r="H3624" s="3">
        <v>-98591.7647342187</v>
      </c>
      <c r="I3624" s="3">
        <v>74518.3753625862</v>
      </c>
      <c r="J3624" s="4">
        <v>45778.0</v>
      </c>
      <c r="K3624" s="3">
        <v>12.0</v>
      </c>
      <c r="L3624" s="3" t="s">
        <v>34</v>
      </c>
    </row>
    <row r="3625" ht="15.75" customHeight="1">
      <c r="A3625" s="3" t="s">
        <v>3715</v>
      </c>
      <c r="B3625" s="3" t="s">
        <v>51</v>
      </c>
      <c r="C3625" s="3" t="s">
        <v>37</v>
      </c>
      <c r="D3625" s="3">
        <v>89697.2883200425</v>
      </c>
      <c r="E3625" s="3">
        <v>31655.7659252329</v>
      </c>
      <c r="F3625" s="3">
        <v>29570.309417886</v>
      </c>
      <c r="G3625" s="5"/>
      <c r="H3625" s="3">
        <v>-98641.2684519677</v>
      </c>
      <c r="I3625" s="3">
        <v>74521.7568370061</v>
      </c>
      <c r="J3625" s="4">
        <v>45809.0</v>
      </c>
      <c r="K3625" s="3">
        <v>8.0</v>
      </c>
      <c r="L3625" s="3" t="s">
        <v>38</v>
      </c>
    </row>
    <row r="3626" ht="15.75" customHeight="1">
      <c r="A3626" s="3" t="s">
        <v>3716</v>
      </c>
      <c r="B3626" s="3" t="s">
        <v>53</v>
      </c>
      <c r="C3626" s="3" t="s">
        <v>26</v>
      </c>
      <c r="D3626" s="3">
        <v>89708.1712899487</v>
      </c>
      <c r="E3626" s="3">
        <v>31660.3806435603</v>
      </c>
      <c r="F3626" s="3">
        <v>29577.9894213155</v>
      </c>
      <c r="G3626" s="3">
        <v>19919.0004735945</v>
      </c>
      <c r="H3626" s="3">
        <v>-98690.7721697167</v>
      </c>
      <c r="I3626" s="3">
        <v>74525.1383114259</v>
      </c>
      <c r="J3626" s="4">
        <v>45658.0</v>
      </c>
      <c r="K3626" s="3">
        <v>19.0</v>
      </c>
      <c r="L3626" s="3" t="s">
        <v>40</v>
      </c>
    </row>
    <row r="3627" ht="15.75" customHeight="1">
      <c r="A3627" s="3" t="s">
        <v>3717</v>
      </c>
      <c r="B3627" s="3" t="s">
        <v>17</v>
      </c>
      <c r="C3627" s="3" t="s">
        <v>14</v>
      </c>
      <c r="D3627" s="3">
        <v>89719.0542598549</v>
      </c>
      <c r="E3627" s="3">
        <v>31664.9953618877</v>
      </c>
      <c r="F3627" s="3">
        <v>29585.669424745</v>
      </c>
      <c r="G3627" s="3">
        <v>19922.3980242818</v>
      </c>
      <c r="H3627" s="3">
        <v>-98740.2758874657</v>
      </c>
      <c r="I3627" s="3">
        <v>74528.5197858457</v>
      </c>
      <c r="J3627" s="4">
        <v>45870.0</v>
      </c>
      <c r="K3627" s="3">
        <v>10.0</v>
      </c>
      <c r="L3627" s="3" t="s">
        <v>42</v>
      </c>
    </row>
    <row r="3628" ht="15.75" customHeight="1">
      <c r="A3628" s="3" t="s">
        <v>3718</v>
      </c>
      <c r="B3628" s="3" t="s">
        <v>25</v>
      </c>
      <c r="C3628" s="3" t="s">
        <v>18</v>
      </c>
      <c r="D3628" s="3">
        <v>89729.9372297611</v>
      </c>
      <c r="E3628" s="3">
        <v>31669.6100802151</v>
      </c>
      <c r="F3628" s="3">
        <v>29593.3494281745</v>
      </c>
      <c r="G3628" s="3">
        <v>19925.7955749691</v>
      </c>
      <c r="H3628" s="3">
        <v>-98789.7796052147</v>
      </c>
      <c r="I3628" s="3">
        <v>74531.9012602655</v>
      </c>
      <c r="J3628" s="4">
        <v>45931.0</v>
      </c>
      <c r="K3628" s="3">
        <v>21.0</v>
      </c>
      <c r="L3628" s="3" t="s">
        <v>15</v>
      </c>
    </row>
    <row r="3629" ht="15.75" customHeight="1">
      <c r="A3629" s="3" t="s">
        <v>3719</v>
      </c>
      <c r="B3629" s="3" t="s">
        <v>51</v>
      </c>
      <c r="C3629" s="3" t="s">
        <v>14</v>
      </c>
      <c r="D3629" s="3">
        <v>89751.7031695735</v>
      </c>
      <c r="E3629" s="3">
        <v>31678.83951687</v>
      </c>
      <c r="F3629" s="3">
        <v>29608.7094350335</v>
      </c>
      <c r="G3629" s="3">
        <v>19932.5906763436</v>
      </c>
      <c r="H3629" s="3">
        <v>-98888.7870407137</v>
      </c>
      <c r="I3629" s="3">
        <v>74538.6642091051</v>
      </c>
      <c r="J3629" s="4">
        <v>45962.0</v>
      </c>
      <c r="K3629" s="3">
        <v>1.0</v>
      </c>
      <c r="L3629" s="3" t="s">
        <v>21</v>
      </c>
    </row>
    <row r="3630" ht="15.75" customHeight="1">
      <c r="A3630" s="3" t="s">
        <v>3720</v>
      </c>
      <c r="B3630" s="3" t="s">
        <v>25</v>
      </c>
      <c r="C3630" s="3" t="s">
        <v>18</v>
      </c>
      <c r="D3630" s="3">
        <v>89762.5861394797</v>
      </c>
      <c r="E3630" s="3">
        <v>31683.4542351974</v>
      </c>
      <c r="F3630" s="3">
        <v>29616.389438463</v>
      </c>
      <c r="G3630" s="3">
        <v>19935.9882270309</v>
      </c>
      <c r="H3630" s="3">
        <v>-98938.2907584627</v>
      </c>
      <c r="I3630" s="3">
        <v>74542.0456835249</v>
      </c>
      <c r="J3630" s="4">
        <v>45809.0</v>
      </c>
      <c r="K3630" s="3">
        <v>11.0</v>
      </c>
      <c r="L3630" s="3" t="s">
        <v>23</v>
      </c>
    </row>
    <row r="3631" ht="15.75" customHeight="1">
      <c r="A3631" s="3" t="s">
        <v>3721</v>
      </c>
      <c r="B3631" s="3" t="s">
        <v>17</v>
      </c>
      <c r="C3631" s="3" t="s">
        <v>37</v>
      </c>
      <c r="D3631" s="3">
        <v>89773.4691093859</v>
      </c>
      <c r="E3631" s="3">
        <v>31688.0689535248</v>
      </c>
      <c r="F3631" s="3">
        <v>29624.0694418925</v>
      </c>
      <c r="G3631" s="3">
        <v>19939.3857777182</v>
      </c>
      <c r="H3631" s="3">
        <v>-98987.7944762117</v>
      </c>
      <c r="I3631" s="3">
        <v>74545.4271579448</v>
      </c>
      <c r="J3631" s="4">
        <v>45901.0</v>
      </c>
      <c r="K3631" s="3">
        <v>18.0</v>
      </c>
      <c r="L3631" s="3" t="s">
        <v>27</v>
      </c>
    </row>
    <row r="3632" ht="15.75" customHeight="1">
      <c r="A3632" s="3" t="s">
        <v>3722</v>
      </c>
      <c r="B3632" s="3" t="s">
        <v>13</v>
      </c>
      <c r="C3632" s="3" t="s">
        <v>26</v>
      </c>
      <c r="D3632" s="3">
        <v>89784.3520792921</v>
      </c>
      <c r="E3632" s="3">
        <v>31692.6836718522</v>
      </c>
      <c r="F3632" s="3">
        <v>29631.749445322</v>
      </c>
      <c r="G3632" s="3">
        <v>19942.7833284055</v>
      </c>
      <c r="H3632" s="3">
        <v>-99037.2981939607</v>
      </c>
      <c r="I3632" s="3">
        <v>74548.8086323646</v>
      </c>
      <c r="J3632" s="4">
        <v>45901.0</v>
      </c>
      <c r="K3632" s="3">
        <v>21.0</v>
      </c>
      <c r="L3632" s="3" t="s">
        <v>31</v>
      </c>
    </row>
    <row r="3633" ht="15.75" customHeight="1">
      <c r="A3633" s="3" t="s">
        <v>3723</v>
      </c>
      <c r="B3633" s="3" t="s">
        <v>17</v>
      </c>
      <c r="C3633" s="3" t="s">
        <v>30</v>
      </c>
      <c r="D3633" s="3">
        <v>89795.2350491983</v>
      </c>
      <c r="E3633" s="3">
        <v>31697.2983901797</v>
      </c>
      <c r="F3633" s="3">
        <v>29639.4294487515</v>
      </c>
      <c r="G3633" s="3">
        <v>19946.1808790928</v>
      </c>
      <c r="H3633" s="3">
        <v>-99086.8019117097</v>
      </c>
      <c r="I3633" s="3">
        <v>74552.1901067844</v>
      </c>
      <c r="J3633" s="4">
        <v>45962.0</v>
      </c>
      <c r="K3633" s="3">
        <v>6.0</v>
      </c>
      <c r="L3633" s="3" t="s">
        <v>34</v>
      </c>
    </row>
    <row r="3634" ht="15.75" customHeight="1">
      <c r="A3634" s="3" t="s">
        <v>3724</v>
      </c>
      <c r="B3634" s="3" t="s">
        <v>53</v>
      </c>
      <c r="C3634" s="3" t="s">
        <v>33</v>
      </c>
      <c r="D3634" s="3">
        <v>89806.1180191045</v>
      </c>
      <c r="E3634" s="3">
        <v>31701.9131085071</v>
      </c>
      <c r="F3634" s="3">
        <v>29647.109452181</v>
      </c>
      <c r="G3634" s="3">
        <v>19949.5784297801</v>
      </c>
      <c r="H3634" s="3">
        <v>-99136.3056294587</v>
      </c>
      <c r="I3634" s="3">
        <v>74555.5715812042</v>
      </c>
      <c r="J3634" s="4">
        <v>45748.0</v>
      </c>
      <c r="K3634" s="3">
        <v>19.0</v>
      </c>
      <c r="L3634" s="3" t="s">
        <v>38</v>
      </c>
    </row>
    <row r="3635" ht="15.75" customHeight="1">
      <c r="A3635" s="3" t="s">
        <v>3725</v>
      </c>
      <c r="B3635" s="3" t="s">
        <v>13</v>
      </c>
      <c r="C3635" s="3" t="s">
        <v>18</v>
      </c>
      <c r="D3635" s="3">
        <v>89817.0009890107</v>
      </c>
      <c r="E3635" s="3">
        <v>31706.5278268345</v>
      </c>
      <c r="F3635" s="3">
        <v>29654.7894556105</v>
      </c>
      <c r="G3635" s="3">
        <v>19952.9759804674</v>
      </c>
      <c r="H3635" s="3">
        <v>-99185.8093472077</v>
      </c>
      <c r="I3635" s="3">
        <v>74558.953055624</v>
      </c>
      <c r="J3635" s="4">
        <v>45809.0</v>
      </c>
      <c r="K3635" s="3">
        <v>3.0</v>
      </c>
      <c r="L3635" s="3" t="s">
        <v>40</v>
      </c>
    </row>
    <row r="3636" ht="15.75" customHeight="1">
      <c r="A3636" s="3" t="s">
        <v>3726</v>
      </c>
      <c r="B3636" s="3" t="s">
        <v>53</v>
      </c>
      <c r="C3636" s="3" t="s">
        <v>54</v>
      </c>
      <c r="D3636" s="3">
        <v>89827.8839589169</v>
      </c>
      <c r="E3636" s="3">
        <v>31711.1425451619</v>
      </c>
      <c r="F3636" s="3">
        <v>29662.46945904</v>
      </c>
      <c r="G3636" s="3">
        <v>19956.3735311547</v>
      </c>
      <c r="H3636" s="3">
        <v>-99235.3130649578</v>
      </c>
      <c r="I3636" s="3">
        <v>74562.3345300438</v>
      </c>
      <c r="J3636" s="4">
        <v>45870.0</v>
      </c>
      <c r="K3636" s="3">
        <v>19.0</v>
      </c>
      <c r="L3636" s="3" t="s">
        <v>42</v>
      </c>
    </row>
    <row r="3637" ht="15.75" customHeight="1">
      <c r="A3637" s="3" t="s">
        <v>3727</v>
      </c>
      <c r="B3637" s="5"/>
      <c r="C3637" s="3" t="s">
        <v>18</v>
      </c>
      <c r="D3637" s="3">
        <v>89838.766928823</v>
      </c>
      <c r="E3637" s="3">
        <v>31715.7572634893</v>
      </c>
      <c r="F3637" s="3">
        <v>29670.1494624695</v>
      </c>
      <c r="G3637" s="3">
        <v>19959.7710818419</v>
      </c>
      <c r="H3637" s="3">
        <v>-99284.8167827068</v>
      </c>
      <c r="I3637" s="3">
        <v>74565.7160044636</v>
      </c>
      <c r="J3637" s="4">
        <v>45992.0</v>
      </c>
      <c r="K3637" s="3">
        <v>11.0</v>
      </c>
      <c r="L3637" s="3" t="s">
        <v>15</v>
      </c>
    </row>
    <row r="3638" ht="15.75" customHeight="1">
      <c r="A3638" s="3" t="s">
        <v>3728</v>
      </c>
      <c r="B3638" s="3" t="s">
        <v>36</v>
      </c>
      <c r="C3638" s="3" t="s">
        <v>14</v>
      </c>
      <c r="D3638" s="3">
        <v>89849.6498987292</v>
      </c>
      <c r="E3638" s="3">
        <v>31720.3719818168</v>
      </c>
      <c r="F3638" s="3">
        <v>29677.829465899</v>
      </c>
      <c r="G3638" s="3">
        <v>19963.1686325292</v>
      </c>
      <c r="H3638" s="3">
        <v>-99334.3205004557</v>
      </c>
      <c r="I3638" s="3">
        <v>74569.0974788835</v>
      </c>
      <c r="J3638" s="4">
        <v>45901.0</v>
      </c>
      <c r="K3638" s="3">
        <v>9.0</v>
      </c>
      <c r="L3638" s="3" t="s">
        <v>19</v>
      </c>
    </row>
    <row r="3639" ht="15.75" customHeight="1">
      <c r="A3639" s="3" t="s">
        <v>3729</v>
      </c>
      <c r="B3639" s="3" t="s">
        <v>36</v>
      </c>
      <c r="C3639" s="3" t="s">
        <v>30</v>
      </c>
      <c r="D3639" s="3">
        <v>89860.5328686354</v>
      </c>
      <c r="E3639" s="3">
        <v>31724.9867001442</v>
      </c>
      <c r="F3639" s="3">
        <v>29685.5094693284</v>
      </c>
      <c r="G3639" s="3">
        <v>19966.5661832165</v>
      </c>
      <c r="H3639" s="3">
        <v>-99383.8242182047</v>
      </c>
      <c r="I3639" s="3">
        <v>74572.4789533033</v>
      </c>
      <c r="J3639" s="4">
        <v>45839.0</v>
      </c>
      <c r="K3639" s="3">
        <v>12.0</v>
      </c>
      <c r="L3639" s="3" t="s">
        <v>21</v>
      </c>
    </row>
    <row r="3640" ht="15.75" customHeight="1">
      <c r="A3640" s="3" t="s">
        <v>3730</v>
      </c>
      <c r="B3640" s="3" t="s">
        <v>17</v>
      </c>
      <c r="C3640" s="3" t="s">
        <v>18</v>
      </c>
      <c r="D3640" s="3">
        <v>89871.4158385416</v>
      </c>
      <c r="E3640" s="3">
        <v>31729.6014184716</v>
      </c>
      <c r="F3640" s="3">
        <v>29693.1894727579</v>
      </c>
      <c r="G3640" s="3">
        <v>19969.9637339038</v>
      </c>
      <c r="H3640" s="3">
        <v>-99433.3279359537</v>
      </c>
      <c r="I3640" s="3">
        <v>74575.8604277231</v>
      </c>
      <c r="J3640" s="4">
        <v>45689.0</v>
      </c>
      <c r="K3640" s="3">
        <v>13.0</v>
      </c>
      <c r="L3640" s="3" t="s">
        <v>23</v>
      </c>
    </row>
    <row r="3641" ht="15.75" customHeight="1">
      <c r="A3641" s="3" t="s">
        <v>3731</v>
      </c>
      <c r="B3641" s="3" t="s">
        <v>29</v>
      </c>
      <c r="C3641" s="3" t="s">
        <v>14</v>
      </c>
      <c r="D3641" s="3">
        <v>89893.181778354</v>
      </c>
      <c r="E3641" s="3">
        <v>31738.8308551265</v>
      </c>
      <c r="F3641" s="3">
        <v>29708.5494796169</v>
      </c>
      <c r="G3641" s="3">
        <v>19976.7588352784</v>
      </c>
      <c r="H3641" s="3">
        <v>-99532.3353714517</v>
      </c>
      <c r="I3641" s="3">
        <v>74582.6233765627</v>
      </c>
      <c r="J3641" s="4">
        <v>45748.0</v>
      </c>
      <c r="K3641" s="3">
        <v>15.0</v>
      </c>
      <c r="L3641" s="3" t="s">
        <v>31</v>
      </c>
    </row>
    <row r="3642" ht="15.75" customHeight="1">
      <c r="A3642" s="3" t="s">
        <v>3732</v>
      </c>
      <c r="B3642" s="3" t="s">
        <v>25</v>
      </c>
      <c r="C3642" s="3" t="s">
        <v>30</v>
      </c>
      <c r="D3642" s="3">
        <v>89904.0647482602</v>
      </c>
      <c r="E3642" s="3">
        <v>31743.4455734539</v>
      </c>
      <c r="F3642" s="3">
        <v>29716.2294830464</v>
      </c>
      <c r="G3642" s="3">
        <v>19980.1563859657</v>
      </c>
      <c r="H3642" s="3">
        <v>-99581.8390892017</v>
      </c>
      <c r="I3642" s="3">
        <v>74586.0048509825</v>
      </c>
      <c r="J3642" s="4">
        <v>45931.0</v>
      </c>
      <c r="K3642" s="3">
        <v>17.0</v>
      </c>
      <c r="L3642" s="3" t="s">
        <v>34</v>
      </c>
    </row>
    <row r="3643" ht="15.75" customHeight="1">
      <c r="A3643" s="3" t="s">
        <v>3733</v>
      </c>
      <c r="B3643" s="3" t="s">
        <v>53</v>
      </c>
      <c r="C3643" s="3" t="s">
        <v>33</v>
      </c>
      <c r="D3643" s="3">
        <v>89914.9477181664</v>
      </c>
      <c r="E3643" s="3">
        <v>31748.0602917813</v>
      </c>
      <c r="F3643" s="3">
        <v>29723.9094864759</v>
      </c>
      <c r="G3643" s="3">
        <v>19983.553936653</v>
      </c>
      <c r="H3643" s="3">
        <v>-99631.3428069507</v>
      </c>
      <c r="I3643" s="3">
        <v>74589.3863254023</v>
      </c>
      <c r="J3643" s="3" t="s">
        <v>882</v>
      </c>
      <c r="K3643" s="3">
        <v>12.0</v>
      </c>
      <c r="L3643" s="3" t="s">
        <v>38</v>
      </c>
    </row>
    <row r="3644" ht="15.75" customHeight="1">
      <c r="A3644" s="3" t="s">
        <v>3734</v>
      </c>
      <c r="B3644" s="3" t="s">
        <v>29</v>
      </c>
      <c r="C3644" s="3" t="s">
        <v>18</v>
      </c>
      <c r="D3644" s="3">
        <v>89925.8306880726</v>
      </c>
      <c r="E3644" s="3">
        <v>31752.6750101087</v>
      </c>
      <c r="F3644" s="3">
        <v>29731.5894899054</v>
      </c>
      <c r="G3644" s="3">
        <v>19986.9514873402</v>
      </c>
      <c r="H3644" s="3">
        <v>-99680.8465246998</v>
      </c>
      <c r="I3644" s="3">
        <v>74592.7677998222</v>
      </c>
      <c r="J3644" s="4">
        <v>45809.0</v>
      </c>
      <c r="K3644" s="3">
        <v>23.0</v>
      </c>
      <c r="L3644" s="3" t="s">
        <v>40</v>
      </c>
    </row>
    <row r="3645" ht="15.75" customHeight="1">
      <c r="A3645" s="3" t="s">
        <v>3735</v>
      </c>
      <c r="B3645" s="3" t="s">
        <v>25</v>
      </c>
      <c r="C3645" s="3" t="s">
        <v>37</v>
      </c>
      <c r="D3645" s="3">
        <v>89936.7136579788</v>
      </c>
      <c r="E3645" s="3">
        <v>31757.2897284361</v>
      </c>
      <c r="F3645" s="3">
        <v>29739.2694933349</v>
      </c>
      <c r="G3645" s="3">
        <v>19990.3490380275</v>
      </c>
      <c r="H3645" s="3">
        <v>-99730.3502424487</v>
      </c>
      <c r="I3645" s="3">
        <v>74596.149274242</v>
      </c>
      <c r="J3645" s="4">
        <v>45689.0</v>
      </c>
      <c r="K3645" s="3">
        <v>11.0</v>
      </c>
      <c r="L3645" s="3" t="s">
        <v>42</v>
      </c>
    </row>
    <row r="3646" ht="15.75" customHeight="1">
      <c r="A3646" s="3" t="s">
        <v>3736</v>
      </c>
      <c r="B3646" s="3" t="s">
        <v>13</v>
      </c>
      <c r="C3646" s="3" t="s">
        <v>54</v>
      </c>
      <c r="D3646" s="3">
        <v>89947.596627885</v>
      </c>
      <c r="E3646" s="3">
        <v>31761.9044467636</v>
      </c>
      <c r="F3646" s="3">
        <v>29746.9494967644</v>
      </c>
      <c r="G3646" s="3">
        <v>19993.7465887148</v>
      </c>
      <c r="H3646" s="3">
        <v>-99779.8539601977</v>
      </c>
      <c r="I3646" s="3">
        <v>74599.5307486618</v>
      </c>
      <c r="J3646" s="4">
        <v>45748.0</v>
      </c>
      <c r="K3646" s="3">
        <v>20.0</v>
      </c>
      <c r="L3646" s="3" t="s">
        <v>15</v>
      </c>
    </row>
    <row r="3647" ht="15.75" customHeight="1">
      <c r="A3647" s="3" t="s">
        <v>3737</v>
      </c>
      <c r="B3647" s="3" t="s">
        <v>29</v>
      </c>
      <c r="C3647" s="3" t="s">
        <v>18</v>
      </c>
      <c r="D3647" s="3">
        <v>89958.4795977912</v>
      </c>
      <c r="E3647" s="3">
        <v>31766.519165091</v>
      </c>
      <c r="F3647" s="3">
        <v>29754.6295001939</v>
      </c>
      <c r="G3647" s="3">
        <v>19997.1441394021</v>
      </c>
      <c r="H3647" s="3">
        <v>-99829.3576779467</v>
      </c>
      <c r="I3647" s="3">
        <v>74602.9122230816</v>
      </c>
      <c r="J3647" s="4">
        <v>45809.0</v>
      </c>
      <c r="K3647" s="3">
        <v>2.0</v>
      </c>
      <c r="L3647" s="3" t="s">
        <v>19</v>
      </c>
    </row>
    <row r="3648" ht="15.75" customHeight="1">
      <c r="A3648" s="3" t="s">
        <v>3738</v>
      </c>
      <c r="B3648" s="3" t="s">
        <v>29</v>
      </c>
      <c r="C3648" s="3" t="s">
        <v>14</v>
      </c>
      <c r="D3648" s="3">
        <v>89969.3625676974</v>
      </c>
      <c r="E3648" s="3">
        <v>31771.1338834184</v>
      </c>
      <c r="F3648" s="3">
        <v>29762.3095036234</v>
      </c>
      <c r="G3648" s="3">
        <v>20000.5416900894</v>
      </c>
      <c r="H3648" s="3">
        <v>-99878.8613956957</v>
      </c>
      <c r="I3648" s="3">
        <v>74606.2936975014</v>
      </c>
      <c r="J3648" s="4">
        <v>45931.0</v>
      </c>
      <c r="K3648" s="3">
        <v>25.0</v>
      </c>
      <c r="L3648" s="3" t="s">
        <v>21</v>
      </c>
    </row>
    <row r="3649" ht="15.75" customHeight="1">
      <c r="A3649" s="3" t="s">
        <v>3739</v>
      </c>
      <c r="B3649" s="3" t="s">
        <v>51</v>
      </c>
      <c r="C3649" s="3" t="s">
        <v>33</v>
      </c>
      <c r="D3649" s="3">
        <v>89980.2455376036</v>
      </c>
      <c r="E3649" s="3">
        <v>31775.7486017458</v>
      </c>
      <c r="F3649" s="3">
        <v>29769.9895070529</v>
      </c>
      <c r="G3649" s="3">
        <v>20003.9392407767</v>
      </c>
      <c r="H3649" s="3">
        <v>-99928.3651134447</v>
      </c>
      <c r="I3649" s="3">
        <v>74609.6751719212</v>
      </c>
      <c r="J3649" s="4">
        <v>45931.0</v>
      </c>
      <c r="K3649" s="3">
        <v>10.0</v>
      </c>
      <c r="L3649" s="3" t="s">
        <v>23</v>
      </c>
    </row>
    <row r="3650" ht="15.75" customHeight="1">
      <c r="A3650" s="3" t="s">
        <v>3740</v>
      </c>
      <c r="B3650" s="3" t="s">
        <v>36</v>
      </c>
      <c r="C3650" s="3" t="s">
        <v>14</v>
      </c>
      <c r="D3650" s="3">
        <v>89991.1285075098</v>
      </c>
      <c r="E3650" s="3">
        <v>31780.3633200733</v>
      </c>
      <c r="F3650" s="3">
        <v>29777.6695104824</v>
      </c>
      <c r="G3650" s="3">
        <v>20007.336791464</v>
      </c>
      <c r="H3650" s="3">
        <v>-99977.8688311947</v>
      </c>
      <c r="I3650" s="3">
        <v>74613.056646341</v>
      </c>
      <c r="J3650" s="4">
        <v>45839.0</v>
      </c>
      <c r="K3650" s="3">
        <v>20.0</v>
      </c>
      <c r="L3650" s="3" t="s">
        <v>27</v>
      </c>
    </row>
    <row r="3651" ht="15.75" customHeight="1">
      <c r="A3651" s="3" t="s">
        <v>3741</v>
      </c>
      <c r="B3651" s="3" t="s">
        <v>25</v>
      </c>
      <c r="C3651" s="3" t="s">
        <v>30</v>
      </c>
      <c r="D3651" s="3">
        <v>90002.0114774159</v>
      </c>
      <c r="E3651" s="3">
        <v>31784.9780384007</v>
      </c>
      <c r="F3651" s="3">
        <v>29785.3495139119</v>
      </c>
      <c r="G3651" s="3">
        <v>20010.7343421512</v>
      </c>
      <c r="H3651" s="3">
        <v>-100027.372548944</v>
      </c>
      <c r="I3651" s="3">
        <v>74616.4381207609</v>
      </c>
      <c r="J3651" s="4">
        <v>45778.0</v>
      </c>
      <c r="K3651" s="3">
        <v>12.0</v>
      </c>
      <c r="L3651" s="3" t="s">
        <v>31</v>
      </c>
    </row>
    <row r="3652" ht="15.75" customHeight="1">
      <c r="A3652" s="3" t="s">
        <v>3742</v>
      </c>
      <c r="B3652" s="3" t="s">
        <v>17</v>
      </c>
      <c r="C3652" s="3" t="s">
        <v>33</v>
      </c>
      <c r="D3652" s="3">
        <v>90012.8944473221</v>
      </c>
      <c r="E3652" s="3">
        <v>31789.5927567281</v>
      </c>
      <c r="F3652" s="3">
        <v>29793.0295173414</v>
      </c>
      <c r="G3652" s="3">
        <v>20014.1318928385</v>
      </c>
      <c r="H3652" s="3">
        <v>-100076.876266693</v>
      </c>
      <c r="I3652" s="3">
        <v>74619.8195951807</v>
      </c>
      <c r="J3652" s="4">
        <v>45778.0</v>
      </c>
      <c r="K3652" s="3">
        <v>23.0</v>
      </c>
      <c r="L3652" s="3" t="s">
        <v>34</v>
      </c>
    </row>
    <row r="3653" ht="15.75" customHeight="1">
      <c r="A3653" s="3" t="s">
        <v>3743</v>
      </c>
      <c r="B3653" s="3" t="s">
        <v>17</v>
      </c>
      <c r="C3653" s="3" t="s">
        <v>26</v>
      </c>
      <c r="D3653" s="3">
        <v>90034.6603871345</v>
      </c>
      <c r="E3653" s="3">
        <v>31798.8221933829</v>
      </c>
      <c r="F3653" s="3">
        <v>29808.3895242004</v>
      </c>
      <c r="G3653" s="3">
        <v>20020.9269942131</v>
      </c>
      <c r="H3653" s="3">
        <v>-100175.883702191</v>
      </c>
      <c r="I3653" s="3">
        <v>74626.5825440203</v>
      </c>
      <c r="J3653" s="4">
        <v>45748.0</v>
      </c>
      <c r="K3653" s="3">
        <v>11.0</v>
      </c>
      <c r="L3653" s="3" t="s">
        <v>40</v>
      </c>
    </row>
    <row r="3654" ht="15.75" customHeight="1">
      <c r="A3654" s="3" t="s">
        <v>3744</v>
      </c>
      <c r="B3654" s="3" t="s">
        <v>17</v>
      </c>
      <c r="C3654" s="3" t="s">
        <v>26</v>
      </c>
      <c r="D3654" s="3">
        <v>90045.5433570407</v>
      </c>
      <c r="E3654" s="3">
        <v>31803.4369117104</v>
      </c>
      <c r="F3654" s="3">
        <v>29816.0695276299</v>
      </c>
      <c r="G3654" s="3">
        <v>20024.3245449004</v>
      </c>
      <c r="H3654" s="3">
        <v>-100225.38741994</v>
      </c>
      <c r="I3654" s="3">
        <v>74629.9640184401</v>
      </c>
      <c r="J3654" s="4">
        <v>45992.0</v>
      </c>
      <c r="K3654" s="3">
        <v>24.0</v>
      </c>
      <c r="L3654" s="3" t="s">
        <v>42</v>
      </c>
    </row>
    <row r="3655" ht="15.75" customHeight="1">
      <c r="A3655" s="3" t="s">
        <v>3745</v>
      </c>
      <c r="B3655" s="3" t="s">
        <v>51</v>
      </c>
      <c r="C3655" s="3" t="s">
        <v>26</v>
      </c>
      <c r="D3655" s="3">
        <v>90056.4263269469</v>
      </c>
      <c r="E3655" s="3">
        <v>31808.0516300378</v>
      </c>
      <c r="F3655" s="3">
        <v>29823.7495310594</v>
      </c>
      <c r="G3655" s="3">
        <v>20027.7220955877</v>
      </c>
      <c r="H3655" s="3">
        <v>-100274.891137689</v>
      </c>
      <c r="I3655" s="3">
        <v>74633.3454928599</v>
      </c>
      <c r="J3655" s="4">
        <v>45931.0</v>
      </c>
      <c r="K3655" s="3">
        <v>11.0</v>
      </c>
      <c r="L3655" s="3" t="s">
        <v>15</v>
      </c>
    </row>
    <row r="3656" ht="15.75" customHeight="1">
      <c r="A3656" s="3" t="s">
        <v>3746</v>
      </c>
      <c r="B3656" s="3" t="s">
        <v>36</v>
      </c>
      <c r="C3656" s="3" t="s">
        <v>14</v>
      </c>
      <c r="D3656" s="3">
        <v>90067.3092968531</v>
      </c>
      <c r="E3656" s="3">
        <v>31812.6663483652</v>
      </c>
      <c r="F3656" s="3">
        <v>29831.4295344889</v>
      </c>
      <c r="G3656" s="3">
        <v>20031.119646275</v>
      </c>
      <c r="H3656" s="3">
        <v>-100324.394855438</v>
      </c>
      <c r="I3656" s="3">
        <v>74636.7269672797</v>
      </c>
      <c r="J3656" s="4">
        <v>45839.0</v>
      </c>
      <c r="K3656" s="3">
        <v>3.0</v>
      </c>
      <c r="L3656" s="3" t="s">
        <v>19</v>
      </c>
    </row>
    <row r="3657" ht="15.75" customHeight="1">
      <c r="A3657" s="3" t="s">
        <v>3747</v>
      </c>
      <c r="B3657" s="3" t="s">
        <v>53</v>
      </c>
      <c r="C3657" s="3" t="s">
        <v>33</v>
      </c>
      <c r="D3657" s="3">
        <v>90078.1922667593</v>
      </c>
      <c r="E3657" s="3">
        <v>31817.2810666926</v>
      </c>
      <c r="F3657" s="3">
        <v>29839.1095379184</v>
      </c>
      <c r="G3657" s="3">
        <v>20034.5171969623</v>
      </c>
      <c r="H3657" s="3">
        <v>-100373.898573188</v>
      </c>
      <c r="I3657" s="3">
        <v>74640.1084416996</v>
      </c>
      <c r="J3657" s="4">
        <v>45992.0</v>
      </c>
      <c r="K3657" s="3">
        <v>17.0</v>
      </c>
      <c r="L3657" s="3" t="s">
        <v>21</v>
      </c>
    </row>
    <row r="3658" ht="15.75" customHeight="1">
      <c r="A3658" s="3" t="s">
        <v>3748</v>
      </c>
      <c r="B3658" s="3" t="s">
        <v>36</v>
      </c>
      <c r="C3658" s="3" t="s">
        <v>14</v>
      </c>
      <c r="D3658" s="3">
        <v>90099.9582065717</v>
      </c>
      <c r="E3658" s="3">
        <v>31826.5105033475</v>
      </c>
      <c r="F3658" s="3">
        <v>29854.4695447774</v>
      </c>
      <c r="G3658" s="3">
        <v>20041.3122983368</v>
      </c>
      <c r="H3658" s="3">
        <v>-100472.906008686</v>
      </c>
      <c r="I3658" s="3">
        <v>74646.8713905392</v>
      </c>
      <c r="J3658" s="4">
        <v>45809.0</v>
      </c>
      <c r="K3658" s="3">
        <v>17.0</v>
      </c>
      <c r="L3658" s="3" t="s">
        <v>27</v>
      </c>
    </row>
    <row r="3659" ht="15.75" customHeight="1">
      <c r="A3659" s="3" t="s">
        <v>3749</v>
      </c>
      <c r="B3659" s="3" t="s">
        <v>17</v>
      </c>
      <c r="C3659" s="3" t="s">
        <v>26</v>
      </c>
      <c r="D3659" s="3">
        <v>90110.8411764779</v>
      </c>
      <c r="E3659" s="3">
        <v>31831.1252216749</v>
      </c>
      <c r="F3659" s="3">
        <v>29862.1495482069</v>
      </c>
      <c r="G3659" s="3">
        <v>20044.7098490241</v>
      </c>
      <c r="H3659" s="3">
        <v>70066.1313274538</v>
      </c>
      <c r="I3659" s="3">
        <v>75066.1313274538</v>
      </c>
      <c r="J3659" s="4">
        <v>45748.0</v>
      </c>
      <c r="K3659" s="3">
        <v>4.0</v>
      </c>
      <c r="L3659" s="3" t="s">
        <v>31</v>
      </c>
    </row>
    <row r="3660" ht="15.75" customHeight="1">
      <c r="A3660" s="3" t="s">
        <v>3750</v>
      </c>
      <c r="B3660" s="3" t="s">
        <v>29</v>
      </c>
      <c r="C3660" s="3" t="s">
        <v>54</v>
      </c>
      <c r="D3660" s="5"/>
      <c r="E3660" s="3">
        <v>31835.7399400023</v>
      </c>
      <c r="F3660" s="3">
        <v>29869.8295516364</v>
      </c>
      <c r="G3660" s="3">
        <v>20048.1073997114</v>
      </c>
      <c r="H3660" s="3">
        <v>-100571.913444184</v>
      </c>
      <c r="I3660" s="3">
        <v>74653.6343393788</v>
      </c>
      <c r="J3660" s="4">
        <v>45717.0</v>
      </c>
      <c r="K3660" s="3">
        <v>7.0</v>
      </c>
      <c r="L3660" s="3" t="s">
        <v>34</v>
      </c>
    </row>
    <row r="3661" ht="15.75" customHeight="1">
      <c r="A3661" s="3" t="s">
        <v>3751</v>
      </c>
      <c r="B3661" s="3" t="s">
        <v>53</v>
      </c>
      <c r="C3661" s="3" t="s">
        <v>14</v>
      </c>
      <c r="D3661" s="3">
        <v>90132.6071162903</v>
      </c>
      <c r="E3661" s="3">
        <v>31840.3546583297</v>
      </c>
      <c r="F3661" s="3">
        <v>29877.5095550659</v>
      </c>
      <c r="G3661" s="3">
        <v>20051.5049503987</v>
      </c>
      <c r="H3661" s="3">
        <v>-100621.417161933</v>
      </c>
      <c r="I3661" s="3">
        <v>74657.0158137986</v>
      </c>
      <c r="J3661" s="4">
        <v>45962.0</v>
      </c>
      <c r="K3661" s="3">
        <v>3.0</v>
      </c>
      <c r="L3661" s="3" t="s">
        <v>38</v>
      </c>
    </row>
    <row r="3662" ht="15.75" customHeight="1">
      <c r="A3662" s="3" t="s">
        <v>3752</v>
      </c>
      <c r="B3662" s="3" t="s">
        <v>25</v>
      </c>
      <c r="C3662" s="3" t="s">
        <v>54</v>
      </c>
      <c r="D3662" s="3">
        <v>90143.4900861965</v>
      </c>
      <c r="E3662" s="3">
        <v>31844.9693766572</v>
      </c>
      <c r="F3662" s="3">
        <v>29885.1895584954</v>
      </c>
      <c r="G3662" s="3">
        <v>20054.902501086</v>
      </c>
      <c r="H3662" s="3">
        <v>-100670.920879682</v>
      </c>
      <c r="I3662" s="3">
        <v>74660.3972882184</v>
      </c>
      <c r="J3662" s="4">
        <v>45931.0</v>
      </c>
      <c r="K3662" s="3">
        <v>3.0</v>
      </c>
      <c r="L3662" s="3" t="s">
        <v>40</v>
      </c>
    </row>
    <row r="3663" ht="15.75" customHeight="1">
      <c r="A3663" s="3" t="s">
        <v>3753</v>
      </c>
      <c r="B3663" s="3" t="s">
        <v>25</v>
      </c>
      <c r="C3663" s="3" t="s">
        <v>14</v>
      </c>
      <c r="D3663" s="3">
        <v>90154.3730561027</v>
      </c>
      <c r="E3663" s="3">
        <v>31849.5840949846</v>
      </c>
      <c r="F3663" s="3">
        <v>29892.8695619249</v>
      </c>
      <c r="G3663" s="3">
        <v>20058.3000517733</v>
      </c>
      <c r="H3663" s="3">
        <v>-100720.424597431</v>
      </c>
      <c r="I3663" s="3">
        <v>74663.7787626383</v>
      </c>
      <c r="J3663" s="4">
        <v>45962.0</v>
      </c>
      <c r="K3663" s="3">
        <v>4.0</v>
      </c>
      <c r="L3663" s="3" t="s">
        <v>42</v>
      </c>
    </row>
    <row r="3664" ht="15.75" customHeight="1">
      <c r="A3664" s="3" t="s">
        <v>3754</v>
      </c>
      <c r="B3664" s="3" t="s">
        <v>51</v>
      </c>
      <c r="C3664" s="3" t="s">
        <v>33</v>
      </c>
      <c r="D3664" s="3">
        <v>90165.2560260089</v>
      </c>
      <c r="E3664" s="3">
        <v>31854.198813312</v>
      </c>
      <c r="F3664" s="3">
        <v>29900.5495653544</v>
      </c>
      <c r="G3664" s="3">
        <v>20061.6976024606</v>
      </c>
      <c r="H3664" s="3">
        <v>-100769.928315181</v>
      </c>
      <c r="I3664" s="3">
        <v>74667.1602370581</v>
      </c>
      <c r="J3664" s="4">
        <v>45689.0</v>
      </c>
      <c r="K3664" s="3">
        <v>5.0</v>
      </c>
      <c r="L3664" s="3" t="s">
        <v>15</v>
      </c>
    </row>
    <row r="3665" ht="15.75" customHeight="1">
      <c r="A3665" s="3" t="s">
        <v>3755</v>
      </c>
      <c r="B3665" s="3" t="s">
        <v>17</v>
      </c>
      <c r="C3665" s="3" t="s">
        <v>26</v>
      </c>
      <c r="D3665" s="3">
        <v>90176.138995915</v>
      </c>
      <c r="E3665" s="3">
        <v>31858.8135316394</v>
      </c>
      <c r="F3665" s="3">
        <v>29908.2295687839</v>
      </c>
      <c r="G3665" s="3">
        <v>20065.0951531478</v>
      </c>
      <c r="H3665" s="3">
        <v>-100819.43203293</v>
      </c>
      <c r="I3665" s="3">
        <v>74670.5417114779</v>
      </c>
      <c r="J3665" s="3" t="s">
        <v>2608</v>
      </c>
      <c r="K3665" s="3">
        <v>7.0</v>
      </c>
      <c r="L3665" s="3" t="s">
        <v>19</v>
      </c>
    </row>
    <row r="3666" ht="15.75" customHeight="1">
      <c r="A3666" s="3" t="s">
        <v>3756</v>
      </c>
      <c r="B3666" s="3" t="s">
        <v>25</v>
      </c>
      <c r="C3666" s="3" t="s">
        <v>14</v>
      </c>
      <c r="D3666" s="3">
        <v>90187.0219658212</v>
      </c>
      <c r="E3666" s="3">
        <v>31863.4282499669</v>
      </c>
      <c r="F3666" s="3">
        <v>29915.9095722134</v>
      </c>
      <c r="G3666" s="3">
        <v>20068.4927038351</v>
      </c>
      <c r="H3666" s="3">
        <v>-100868.935750679</v>
      </c>
      <c r="I3666" s="3">
        <v>74673.9231858977</v>
      </c>
      <c r="J3666" s="4">
        <v>45778.0</v>
      </c>
      <c r="K3666" s="3">
        <v>13.0</v>
      </c>
      <c r="L3666" s="3" t="s">
        <v>21</v>
      </c>
    </row>
    <row r="3667" ht="15.75" customHeight="1">
      <c r="A3667" s="3" t="s">
        <v>3757</v>
      </c>
      <c r="B3667" s="3" t="s">
        <v>53</v>
      </c>
      <c r="C3667" s="3" t="s">
        <v>18</v>
      </c>
      <c r="D3667" s="3">
        <v>90197.9049357274</v>
      </c>
      <c r="E3667" s="3">
        <v>31868.0429682943</v>
      </c>
      <c r="F3667" s="3">
        <v>29923.5895756429</v>
      </c>
      <c r="G3667" s="3">
        <v>20071.8902545224</v>
      </c>
      <c r="H3667" s="3">
        <v>-100918.439468428</v>
      </c>
      <c r="I3667" s="3">
        <v>74677.3046603175</v>
      </c>
      <c r="J3667" s="4">
        <v>45901.0</v>
      </c>
      <c r="K3667" s="3">
        <v>13.0</v>
      </c>
      <c r="L3667" s="3" t="s">
        <v>23</v>
      </c>
    </row>
    <row r="3668" ht="15.75" customHeight="1">
      <c r="A3668" s="3" t="s">
        <v>3758</v>
      </c>
      <c r="B3668" s="3" t="s">
        <v>36</v>
      </c>
      <c r="C3668" s="3" t="s">
        <v>26</v>
      </c>
      <c r="D3668" s="3">
        <v>90208.7879056336</v>
      </c>
      <c r="E3668" s="3">
        <v>31872.6576866217</v>
      </c>
      <c r="F3668" s="3">
        <v>29931.2695790724</v>
      </c>
      <c r="G3668" s="3">
        <v>20075.2878052097</v>
      </c>
      <c r="H3668" s="3">
        <v>-100967.943186177</v>
      </c>
      <c r="I3668" s="3">
        <v>74680.6861347373</v>
      </c>
      <c r="J3668" s="4">
        <v>45658.0</v>
      </c>
      <c r="K3668" s="3">
        <v>12.0</v>
      </c>
      <c r="L3668" s="3" t="s">
        <v>27</v>
      </c>
    </row>
    <row r="3669" ht="15.75" customHeight="1">
      <c r="A3669" s="3" t="s">
        <v>3759</v>
      </c>
      <c r="B3669" s="3" t="s">
        <v>53</v>
      </c>
      <c r="C3669" s="3" t="s">
        <v>54</v>
      </c>
      <c r="D3669" s="3">
        <v>90219.6708755398</v>
      </c>
      <c r="E3669" s="3">
        <v>31877.2724049491</v>
      </c>
      <c r="F3669" s="3">
        <v>29938.9495825019</v>
      </c>
      <c r="G3669" s="3">
        <v>20078.685355897</v>
      </c>
      <c r="H3669" s="3">
        <v>-101017.446903926</v>
      </c>
      <c r="I3669" s="3">
        <v>74684.0676091571</v>
      </c>
      <c r="J3669" s="4">
        <v>45901.0</v>
      </c>
      <c r="K3669" s="3">
        <v>19.0</v>
      </c>
      <c r="L3669" s="3" t="s">
        <v>31</v>
      </c>
    </row>
    <row r="3670" ht="15.75" customHeight="1">
      <c r="A3670" s="3" t="s">
        <v>3760</v>
      </c>
      <c r="B3670" s="3" t="s">
        <v>17</v>
      </c>
      <c r="C3670" s="3" t="s">
        <v>14</v>
      </c>
      <c r="D3670" s="3">
        <v>90230.553845446</v>
      </c>
      <c r="E3670" s="3">
        <v>31881.8871232765</v>
      </c>
      <c r="F3670" s="3">
        <v>29946.6295859314</v>
      </c>
      <c r="G3670" s="3">
        <v>20082.0829065843</v>
      </c>
      <c r="H3670" s="3">
        <v>-101066.950621675</v>
      </c>
      <c r="I3670" s="3">
        <v>74687.449083577</v>
      </c>
      <c r="J3670" s="4">
        <v>45992.0</v>
      </c>
      <c r="K3670" s="3">
        <v>17.0</v>
      </c>
      <c r="L3670" s="3" t="s">
        <v>34</v>
      </c>
    </row>
    <row r="3671" ht="15.75" customHeight="1">
      <c r="A3671" s="3" t="s">
        <v>3761</v>
      </c>
      <c r="B3671" s="3" t="s">
        <v>36</v>
      </c>
      <c r="C3671" s="3" t="s">
        <v>54</v>
      </c>
      <c r="D3671" s="3">
        <v>90241.4368153522</v>
      </c>
      <c r="E3671" s="3">
        <v>31886.501841604</v>
      </c>
      <c r="F3671" s="3">
        <v>29954.3095893609</v>
      </c>
      <c r="G3671" s="3">
        <v>20085.4804572716</v>
      </c>
      <c r="H3671" s="3">
        <v>-101116.454339424</v>
      </c>
      <c r="I3671" s="3">
        <v>74690.8305579968</v>
      </c>
      <c r="J3671" s="4">
        <v>45870.0</v>
      </c>
      <c r="K3671" s="3">
        <v>25.0</v>
      </c>
      <c r="L3671" s="3" t="s">
        <v>38</v>
      </c>
    </row>
    <row r="3672" ht="15.75" customHeight="1">
      <c r="A3672" s="3" t="s">
        <v>3762</v>
      </c>
      <c r="B3672" s="3" t="s">
        <v>51</v>
      </c>
      <c r="C3672" s="3" t="s">
        <v>30</v>
      </c>
      <c r="D3672" s="3">
        <v>90263.2027551646</v>
      </c>
      <c r="E3672" s="3">
        <v>31895.7312782588</v>
      </c>
      <c r="F3672" s="3">
        <v>29969.6695962199</v>
      </c>
      <c r="G3672" s="3">
        <v>20092.2755586461</v>
      </c>
      <c r="H3672" s="3">
        <v>-101215.461774923</v>
      </c>
      <c r="I3672" s="3">
        <v>74697.5935068364</v>
      </c>
      <c r="J3672" s="4">
        <v>45962.0</v>
      </c>
      <c r="K3672" s="3">
        <v>2.0</v>
      </c>
      <c r="L3672" s="3" t="s">
        <v>42</v>
      </c>
    </row>
    <row r="3673" ht="15.75" customHeight="1">
      <c r="A3673" s="3" t="s">
        <v>3763</v>
      </c>
      <c r="B3673" s="3" t="s">
        <v>17</v>
      </c>
      <c r="C3673" s="3" t="s">
        <v>26</v>
      </c>
      <c r="D3673" s="3">
        <v>90274.0857250708</v>
      </c>
      <c r="E3673" s="3">
        <v>31900.3459965862</v>
      </c>
      <c r="F3673" s="3">
        <v>29977.3495996493</v>
      </c>
      <c r="G3673" s="3">
        <v>20095.6731093334</v>
      </c>
      <c r="H3673" s="3">
        <v>-101264.965492672</v>
      </c>
      <c r="I3673" s="3">
        <v>74700.9749812562</v>
      </c>
      <c r="J3673" s="4">
        <v>45778.0</v>
      </c>
      <c r="K3673" s="3">
        <v>9.0</v>
      </c>
      <c r="L3673" s="3" t="s">
        <v>15</v>
      </c>
    </row>
    <row r="3674" ht="15.75" customHeight="1">
      <c r="A3674" s="3" t="s">
        <v>3764</v>
      </c>
      <c r="B3674" s="3" t="s">
        <v>53</v>
      </c>
      <c r="C3674" s="3" t="s">
        <v>30</v>
      </c>
      <c r="D3674" s="3">
        <v>90284.968694977</v>
      </c>
      <c r="E3674" s="3">
        <v>31904.9607149137</v>
      </c>
      <c r="F3674" s="3">
        <v>29985.0296030788</v>
      </c>
      <c r="G3674" s="3">
        <v>20099.0706600207</v>
      </c>
      <c r="H3674" s="3">
        <v>-101314.469210421</v>
      </c>
      <c r="I3674" s="3">
        <v>74704.356455676</v>
      </c>
      <c r="J3674" s="4">
        <v>45809.0</v>
      </c>
      <c r="K3674" s="3">
        <v>10.0</v>
      </c>
      <c r="L3674" s="3" t="s">
        <v>19</v>
      </c>
    </row>
    <row r="3675" ht="15.75" customHeight="1">
      <c r="A3675" s="3" t="s">
        <v>3765</v>
      </c>
      <c r="B3675" s="3" t="s">
        <v>36</v>
      </c>
      <c r="C3675" s="3" t="s">
        <v>54</v>
      </c>
      <c r="D3675" s="3">
        <v>90295.8516648832</v>
      </c>
      <c r="E3675" s="3">
        <v>31909.5754332411</v>
      </c>
      <c r="F3675" s="3">
        <v>29992.7096065083</v>
      </c>
      <c r="G3675" s="3">
        <v>20102.468210708</v>
      </c>
      <c r="H3675" s="3">
        <v>-101363.97292817</v>
      </c>
      <c r="I3675" s="3">
        <v>74707.7379300958</v>
      </c>
      <c r="J3675" s="4">
        <v>45962.0</v>
      </c>
      <c r="K3675" s="3">
        <v>3.0</v>
      </c>
      <c r="L3675" s="3" t="s">
        <v>21</v>
      </c>
    </row>
    <row r="3676" ht="15.75" customHeight="1">
      <c r="A3676" s="3" t="s">
        <v>3766</v>
      </c>
      <c r="B3676" s="3" t="s">
        <v>29</v>
      </c>
      <c r="C3676" s="3" t="s">
        <v>33</v>
      </c>
      <c r="D3676" s="3">
        <v>90306.7346347894</v>
      </c>
      <c r="E3676" s="3">
        <v>31914.1901515685</v>
      </c>
      <c r="F3676" s="3">
        <v>30000.3896099378</v>
      </c>
      <c r="G3676" s="3">
        <v>20105.8657613953</v>
      </c>
      <c r="H3676" s="3">
        <v>-101413.476645919</v>
      </c>
      <c r="I3676" s="3">
        <v>74711.1194045157</v>
      </c>
      <c r="J3676" s="4">
        <v>45778.0</v>
      </c>
      <c r="K3676" s="3">
        <v>11.0</v>
      </c>
      <c r="L3676" s="3" t="s">
        <v>23</v>
      </c>
    </row>
    <row r="3677" ht="15.75" customHeight="1">
      <c r="A3677" s="3" t="s">
        <v>3767</v>
      </c>
      <c r="B3677" s="3" t="s">
        <v>13</v>
      </c>
      <c r="C3677" s="3" t="s">
        <v>26</v>
      </c>
      <c r="D3677" s="3">
        <v>90317.6176046956</v>
      </c>
      <c r="E3677" s="3">
        <v>31918.8048698959</v>
      </c>
      <c r="F3677" s="3">
        <v>30008.0696133673</v>
      </c>
      <c r="G3677" s="3">
        <v>20109.2633120826</v>
      </c>
      <c r="H3677" s="3">
        <v>-101462.980363668</v>
      </c>
      <c r="I3677" s="3">
        <v>74714.5008789355</v>
      </c>
      <c r="J3677" s="4">
        <v>45992.0</v>
      </c>
      <c r="K3677" s="3">
        <v>18.0</v>
      </c>
      <c r="L3677" s="3" t="s">
        <v>27</v>
      </c>
    </row>
    <row r="3678" ht="15.75" customHeight="1">
      <c r="A3678" s="3" t="s">
        <v>3768</v>
      </c>
      <c r="B3678" s="3" t="s">
        <v>17</v>
      </c>
      <c r="C3678" s="3" t="s">
        <v>14</v>
      </c>
      <c r="D3678" s="3">
        <v>90328.5005746018</v>
      </c>
      <c r="E3678" s="3">
        <v>31923.4195882233</v>
      </c>
      <c r="F3678" s="3">
        <v>30015.7496167968</v>
      </c>
      <c r="G3678" s="3">
        <v>20112.6608627699</v>
      </c>
      <c r="H3678" s="3">
        <v>-101512.484081417</v>
      </c>
      <c r="I3678" s="3">
        <v>74717.8823533553</v>
      </c>
      <c r="J3678" s="4">
        <v>45962.0</v>
      </c>
      <c r="K3678" s="3">
        <v>3.0</v>
      </c>
      <c r="L3678" s="3" t="s">
        <v>31</v>
      </c>
    </row>
    <row r="3679" ht="15.75" customHeight="1">
      <c r="A3679" s="3" t="s">
        <v>3769</v>
      </c>
      <c r="B3679" s="3" t="s">
        <v>13</v>
      </c>
      <c r="C3679" s="3" t="s">
        <v>33</v>
      </c>
      <c r="D3679" s="3">
        <v>90339.3835445079</v>
      </c>
      <c r="E3679" s="3">
        <v>31928.0343065508</v>
      </c>
      <c r="F3679" s="3">
        <v>30023.4296202263</v>
      </c>
      <c r="G3679" s="3">
        <v>20116.0584134571</v>
      </c>
      <c r="H3679" s="3">
        <v>-101561.987799167</v>
      </c>
      <c r="I3679" s="3">
        <v>74721.2638277751</v>
      </c>
      <c r="J3679" s="4">
        <v>45748.0</v>
      </c>
      <c r="K3679" s="3">
        <v>8.0</v>
      </c>
      <c r="L3679" s="3" t="s">
        <v>34</v>
      </c>
    </row>
    <row r="3680" ht="15.75" customHeight="1">
      <c r="A3680" s="3" t="s">
        <v>3770</v>
      </c>
      <c r="B3680" s="3" t="s">
        <v>53</v>
      </c>
      <c r="C3680" s="3" t="s">
        <v>54</v>
      </c>
      <c r="D3680" s="3">
        <v>90350.2665144141</v>
      </c>
      <c r="E3680" s="3">
        <v>31932.6490248782</v>
      </c>
      <c r="F3680" s="3">
        <v>30031.1096236558</v>
      </c>
      <c r="G3680" s="3">
        <v>20119.4559641444</v>
      </c>
      <c r="H3680" s="3">
        <v>-101611.491516916</v>
      </c>
      <c r="I3680" s="3">
        <v>74724.6453021949</v>
      </c>
      <c r="J3680" s="4">
        <v>45689.0</v>
      </c>
      <c r="K3680" s="3">
        <v>12.0</v>
      </c>
      <c r="L3680" s="3" t="s">
        <v>38</v>
      </c>
    </row>
    <row r="3681" ht="15.75" customHeight="1">
      <c r="A3681" s="3" t="s">
        <v>3771</v>
      </c>
      <c r="B3681" s="3" t="s">
        <v>25</v>
      </c>
      <c r="C3681" s="3" t="s">
        <v>26</v>
      </c>
      <c r="D3681" s="3">
        <v>90361.1494843203</v>
      </c>
      <c r="E3681" s="3">
        <v>31937.2637432056</v>
      </c>
      <c r="F3681" s="3">
        <v>30038.7896270853</v>
      </c>
      <c r="G3681" s="3">
        <v>20122.8535148317</v>
      </c>
      <c r="H3681" s="3">
        <v>-101660.995234665</v>
      </c>
      <c r="I3681" s="3">
        <v>74728.0267766147</v>
      </c>
      <c r="J3681" s="4">
        <v>45992.0</v>
      </c>
      <c r="K3681" s="3">
        <v>11.0</v>
      </c>
      <c r="L3681" s="3" t="s">
        <v>40</v>
      </c>
    </row>
    <row r="3682" ht="15.75" customHeight="1">
      <c r="A3682" s="3" t="s">
        <v>3772</v>
      </c>
      <c r="B3682" s="3" t="s">
        <v>36</v>
      </c>
      <c r="C3682" s="3" t="s">
        <v>30</v>
      </c>
      <c r="D3682" s="3">
        <v>90372.0324542265</v>
      </c>
      <c r="E3682" s="3">
        <v>31941.878461533</v>
      </c>
      <c r="F3682" s="3">
        <v>30046.4696305148</v>
      </c>
      <c r="G3682" s="3">
        <v>20126.251065519</v>
      </c>
      <c r="H3682" s="3">
        <v>-101710.498952414</v>
      </c>
      <c r="I3682" s="3">
        <v>74731.4082510345</v>
      </c>
      <c r="J3682" s="4">
        <v>45931.0</v>
      </c>
      <c r="K3682" s="3">
        <v>20.0</v>
      </c>
      <c r="L3682" s="3" t="s">
        <v>42</v>
      </c>
    </row>
    <row r="3683" ht="15.75" customHeight="1">
      <c r="A3683" s="3" t="s">
        <v>3773</v>
      </c>
      <c r="B3683" s="3" t="s">
        <v>29</v>
      </c>
      <c r="C3683" s="3" t="s">
        <v>37</v>
      </c>
      <c r="D3683" s="3">
        <v>90382.9154241327</v>
      </c>
      <c r="E3683" s="3">
        <v>31946.4931798605</v>
      </c>
      <c r="F3683" s="3">
        <v>30054.1496339443</v>
      </c>
      <c r="G3683" s="3">
        <v>20129.6486162063</v>
      </c>
      <c r="H3683" s="3">
        <v>-101760.002670163</v>
      </c>
      <c r="I3683" s="3">
        <v>74734.7897254544</v>
      </c>
      <c r="J3683" s="4">
        <v>45717.0</v>
      </c>
      <c r="K3683" s="3">
        <v>20.0</v>
      </c>
      <c r="L3683" s="3" t="s">
        <v>15</v>
      </c>
    </row>
    <row r="3684" ht="15.75" customHeight="1">
      <c r="A3684" s="3" t="s">
        <v>3774</v>
      </c>
      <c r="B3684" s="3" t="s">
        <v>53</v>
      </c>
      <c r="C3684" s="3" t="s">
        <v>14</v>
      </c>
      <c r="D3684" s="3">
        <v>90404.6813639451</v>
      </c>
      <c r="E3684" s="3">
        <v>31955.7226165153</v>
      </c>
      <c r="F3684" s="3">
        <v>30069.5096408033</v>
      </c>
      <c r="G3684" s="3">
        <v>20136.4437175809</v>
      </c>
      <c r="H3684" s="3">
        <v>-101859.010105661</v>
      </c>
      <c r="I3684" s="3">
        <v>74741.552674294</v>
      </c>
      <c r="J3684" s="4">
        <v>45748.0</v>
      </c>
      <c r="K3684" s="3">
        <v>25.0</v>
      </c>
      <c r="L3684" s="3" t="s">
        <v>21</v>
      </c>
    </row>
    <row r="3685" ht="15.75" customHeight="1">
      <c r="A3685" s="3" t="s">
        <v>3775</v>
      </c>
      <c r="B3685" s="3" t="s">
        <v>36</v>
      </c>
      <c r="C3685" s="3" t="s">
        <v>18</v>
      </c>
      <c r="D3685" s="3">
        <v>90415.5643338513</v>
      </c>
      <c r="E3685" s="3">
        <v>31960.3373348427</v>
      </c>
      <c r="F3685" s="3">
        <v>30077.1896442328</v>
      </c>
      <c r="G3685" s="3">
        <v>20139.8412682682</v>
      </c>
      <c r="H3685" s="3">
        <v>-101908.51382341</v>
      </c>
      <c r="I3685" s="3">
        <v>74744.9341487138</v>
      </c>
      <c r="J3685" s="4">
        <v>45962.0</v>
      </c>
      <c r="K3685" s="3">
        <v>17.0</v>
      </c>
      <c r="L3685" s="3" t="s">
        <v>23</v>
      </c>
    </row>
    <row r="3686" ht="15.75" customHeight="1">
      <c r="A3686" s="3" t="s">
        <v>3776</v>
      </c>
      <c r="B3686" s="3" t="s">
        <v>13</v>
      </c>
      <c r="C3686" s="3" t="s">
        <v>30</v>
      </c>
      <c r="D3686" s="3">
        <v>90426.4473037575</v>
      </c>
      <c r="E3686" s="3">
        <v>31964.9520531701</v>
      </c>
      <c r="F3686" s="3">
        <v>30084.8696476623</v>
      </c>
      <c r="G3686" s="3">
        <v>20143.2388189554</v>
      </c>
      <c r="H3686" s="3">
        <v>70283.2084848021</v>
      </c>
      <c r="I3686" s="3">
        <v>75283.2084848021</v>
      </c>
      <c r="J3686" s="4">
        <v>45901.0</v>
      </c>
      <c r="K3686" s="3">
        <v>2.0</v>
      </c>
      <c r="L3686" s="3" t="s">
        <v>27</v>
      </c>
    </row>
    <row r="3687" ht="15.75" customHeight="1">
      <c r="A3687" s="3" t="s">
        <v>3777</v>
      </c>
      <c r="B3687" s="3" t="s">
        <v>53</v>
      </c>
      <c r="C3687" s="3" t="s">
        <v>37</v>
      </c>
      <c r="D3687" s="3">
        <v>90437.3302736637</v>
      </c>
      <c r="E3687" s="3">
        <v>31969.5667714976</v>
      </c>
      <c r="F3687" s="3">
        <v>30092.5496510918</v>
      </c>
      <c r="G3687" s="3">
        <v>20146.6363696427</v>
      </c>
      <c r="H3687" s="3">
        <v>-102007.521258909</v>
      </c>
      <c r="I3687" s="3">
        <v>74751.6970975534</v>
      </c>
      <c r="J3687" s="4">
        <v>45778.0</v>
      </c>
      <c r="K3687" s="3">
        <v>19.0</v>
      </c>
      <c r="L3687" s="3" t="s">
        <v>31</v>
      </c>
    </row>
    <row r="3688" ht="15.75" customHeight="1">
      <c r="A3688" s="3" t="s">
        <v>3778</v>
      </c>
      <c r="B3688" s="3" t="s">
        <v>29</v>
      </c>
      <c r="C3688" s="3" t="s">
        <v>54</v>
      </c>
      <c r="D3688" s="3">
        <v>90448.2132435699</v>
      </c>
      <c r="E3688" s="3">
        <v>31974.181489825</v>
      </c>
      <c r="F3688" s="3">
        <v>30100.2296545213</v>
      </c>
      <c r="G3688" s="3">
        <v>20150.03392033</v>
      </c>
      <c r="H3688" s="3">
        <v>-102057.024976658</v>
      </c>
      <c r="I3688" s="3">
        <v>74755.0785719732</v>
      </c>
      <c r="J3688" s="4">
        <v>45992.0</v>
      </c>
      <c r="K3688" s="3">
        <v>6.0</v>
      </c>
      <c r="L3688" s="3" t="s">
        <v>34</v>
      </c>
    </row>
    <row r="3689" ht="15.75" customHeight="1">
      <c r="A3689" s="3" t="s">
        <v>3779</v>
      </c>
      <c r="B3689" s="3" t="s">
        <v>53</v>
      </c>
      <c r="C3689" s="3" t="s">
        <v>26</v>
      </c>
      <c r="D3689" s="3">
        <v>90459.0962134761</v>
      </c>
      <c r="E3689" s="3">
        <v>31978.7962081524</v>
      </c>
      <c r="F3689" s="3">
        <v>30107.9096579508</v>
      </c>
      <c r="G3689" s="3">
        <v>20153.4314710173</v>
      </c>
      <c r="H3689" s="3">
        <v>-102106.528694407</v>
      </c>
      <c r="I3689" s="3">
        <v>74758.4600463931</v>
      </c>
      <c r="J3689" s="4">
        <v>45778.0</v>
      </c>
      <c r="K3689" s="3">
        <v>24.0</v>
      </c>
      <c r="L3689" s="3" t="s">
        <v>38</v>
      </c>
    </row>
    <row r="3690" ht="15.75" customHeight="1">
      <c r="A3690" s="3" t="s">
        <v>3780</v>
      </c>
      <c r="B3690" s="3" t="s">
        <v>36</v>
      </c>
      <c r="C3690" s="3" t="s">
        <v>26</v>
      </c>
      <c r="D3690" s="3">
        <v>90469.9791833823</v>
      </c>
      <c r="E3690" s="3">
        <v>31983.4109264798</v>
      </c>
      <c r="F3690" s="3">
        <v>30115.5896613803</v>
      </c>
      <c r="G3690" s="5"/>
      <c r="H3690" s="3">
        <v>-102156.032412156</v>
      </c>
      <c r="I3690" s="3">
        <v>74761.8415208129</v>
      </c>
      <c r="J3690" s="4">
        <v>45748.0</v>
      </c>
      <c r="K3690" s="3">
        <v>20.0</v>
      </c>
      <c r="L3690" s="3" t="s">
        <v>40</v>
      </c>
    </row>
    <row r="3691" ht="15.75" customHeight="1">
      <c r="A3691" s="3" t="s">
        <v>3781</v>
      </c>
      <c r="B3691" s="3" t="s">
        <v>17</v>
      </c>
      <c r="C3691" s="3" t="s">
        <v>37</v>
      </c>
      <c r="D3691" s="3">
        <v>90480.8621532885</v>
      </c>
      <c r="E3691" s="3">
        <v>31988.0256448072</v>
      </c>
      <c r="F3691" s="3">
        <v>30123.2696648098</v>
      </c>
      <c r="G3691" s="3">
        <v>20160.2265723919</v>
      </c>
      <c r="H3691" s="3">
        <v>-102205.536129905</v>
      </c>
      <c r="I3691" s="3">
        <v>74765.2229952327</v>
      </c>
      <c r="J3691" s="4">
        <v>45839.0</v>
      </c>
      <c r="K3691" s="3">
        <v>6.0</v>
      </c>
      <c r="L3691" s="3" t="s">
        <v>42</v>
      </c>
    </row>
    <row r="3692" ht="15.75" customHeight="1">
      <c r="A3692" s="3" t="s">
        <v>3782</v>
      </c>
      <c r="B3692" s="3" t="s">
        <v>25</v>
      </c>
      <c r="C3692" s="3" t="s">
        <v>14</v>
      </c>
      <c r="D3692" s="3">
        <v>90491.7451231946</v>
      </c>
      <c r="E3692" s="3">
        <v>31992.6403631347</v>
      </c>
      <c r="F3692" s="3">
        <v>30130.9496682393</v>
      </c>
      <c r="G3692" s="5"/>
      <c r="H3692" s="3">
        <v>-102255.039847654</v>
      </c>
      <c r="I3692" s="3">
        <v>74768.6044696525</v>
      </c>
      <c r="J3692" s="4">
        <v>45658.0</v>
      </c>
      <c r="K3692" s="3">
        <v>23.0</v>
      </c>
      <c r="L3692" s="3" t="s">
        <v>15</v>
      </c>
    </row>
    <row r="3693" ht="15.75" customHeight="1">
      <c r="A3693" s="3" t="s">
        <v>3783</v>
      </c>
      <c r="B3693" s="3" t="s">
        <v>25</v>
      </c>
      <c r="C3693" s="3" t="s">
        <v>18</v>
      </c>
      <c r="D3693" s="3">
        <v>90513.511063007</v>
      </c>
      <c r="E3693" s="3">
        <v>32001.8697997895</v>
      </c>
      <c r="F3693" s="3">
        <v>30146.3096750983</v>
      </c>
      <c r="G3693" s="3">
        <v>20170.4192244537</v>
      </c>
      <c r="H3693" s="3">
        <v>-102354.047283153</v>
      </c>
      <c r="I3693" s="3">
        <v>74775.3674184921</v>
      </c>
      <c r="J3693" s="4">
        <v>45992.0</v>
      </c>
      <c r="K3693" s="3">
        <v>11.0</v>
      </c>
      <c r="L3693" s="3" t="s">
        <v>21</v>
      </c>
    </row>
    <row r="3694" ht="15.75" customHeight="1">
      <c r="A3694" s="3" t="s">
        <v>3784</v>
      </c>
      <c r="B3694" s="3" t="s">
        <v>53</v>
      </c>
      <c r="C3694" s="3" t="s">
        <v>26</v>
      </c>
      <c r="D3694" s="3">
        <v>90524.3940329132</v>
      </c>
      <c r="E3694" s="3">
        <v>32006.4845181169</v>
      </c>
      <c r="F3694" s="3">
        <v>30153.9896785278</v>
      </c>
      <c r="G3694" s="3">
        <v>20173.816775141</v>
      </c>
      <c r="H3694" s="3">
        <v>-102403.551000902</v>
      </c>
      <c r="I3694" s="3">
        <v>74778.748892912</v>
      </c>
      <c r="J3694" s="4">
        <v>45748.0</v>
      </c>
      <c r="K3694" s="3">
        <v>6.0</v>
      </c>
      <c r="L3694" s="3" t="s">
        <v>23</v>
      </c>
    </row>
    <row r="3695" ht="15.75" customHeight="1">
      <c r="A3695" s="3" t="s">
        <v>3785</v>
      </c>
      <c r="B3695" s="3" t="s">
        <v>29</v>
      </c>
      <c r="C3695" s="3" t="s">
        <v>26</v>
      </c>
      <c r="D3695" s="3">
        <v>90535.2770028194</v>
      </c>
      <c r="E3695" s="3">
        <v>32011.0992364444</v>
      </c>
      <c r="F3695" s="3">
        <v>30161.6696819573</v>
      </c>
      <c r="G3695" s="3">
        <v>20177.2143258283</v>
      </c>
      <c r="H3695" s="3">
        <v>-102453.054718651</v>
      </c>
      <c r="I3695" s="3">
        <v>74782.1303673318</v>
      </c>
      <c r="J3695" s="4">
        <v>45689.0</v>
      </c>
      <c r="K3695" s="3">
        <v>18.0</v>
      </c>
      <c r="L3695" s="3" t="s">
        <v>27</v>
      </c>
    </row>
    <row r="3696" ht="15.75" customHeight="1">
      <c r="A3696" s="3" t="s">
        <v>3786</v>
      </c>
      <c r="B3696" s="3" t="s">
        <v>17</v>
      </c>
      <c r="C3696" s="3" t="s">
        <v>18</v>
      </c>
      <c r="D3696" s="3">
        <v>90546.1599727256</v>
      </c>
      <c r="E3696" s="3">
        <v>32015.7139547718</v>
      </c>
      <c r="F3696" s="3">
        <v>30169.3496853868</v>
      </c>
      <c r="G3696" s="3">
        <v>20180.6118765156</v>
      </c>
      <c r="H3696" s="3">
        <v>-102502.5584364</v>
      </c>
      <c r="I3696" s="3">
        <v>74785.5118417516</v>
      </c>
      <c r="J3696" s="4">
        <v>45962.0</v>
      </c>
      <c r="K3696" s="3">
        <v>8.0</v>
      </c>
      <c r="L3696" s="3" t="s">
        <v>31</v>
      </c>
    </row>
    <row r="3697" ht="15.75" customHeight="1">
      <c r="A3697" s="3" t="s">
        <v>3787</v>
      </c>
      <c r="B3697" s="3" t="s">
        <v>36</v>
      </c>
      <c r="C3697" s="3" t="s">
        <v>37</v>
      </c>
      <c r="D3697" s="3">
        <v>90557.0429426318</v>
      </c>
      <c r="E3697" s="3">
        <v>32020.3286730992</v>
      </c>
      <c r="F3697" s="3">
        <v>30177.0296888163</v>
      </c>
      <c r="G3697" s="3">
        <v>20184.0094272029</v>
      </c>
      <c r="H3697" s="3">
        <v>-102552.062154149</v>
      </c>
      <c r="I3697" s="3">
        <v>74788.8933161714</v>
      </c>
      <c r="J3697" s="4">
        <v>45931.0</v>
      </c>
      <c r="K3697" s="3">
        <v>22.0</v>
      </c>
      <c r="L3697" s="3" t="s">
        <v>34</v>
      </c>
    </row>
    <row r="3698" ht="15.75" customHeight="1">
      <c r="A3698" s="3" t="s">
        <v>3788</v>
      </c>
      <c r="B3698" s="3" t="s">
        <v>25</v>
      </c>
      <c r="C3698" s="3" t="s">
        <v>33</v>
      </c>
      <c r="D3698" s="3">
        <v>90567.925912538</v>
      </c>
      <c r="E3698" s="3">
        <v>32024.9433914266</v>
      </c>
      <c r="F3698" s="3">
        <v>30184.7096922458</v>
      </c>
      <c r="G3698" s="3">
        <v>20187.4069778902</v>
      </c>
      <c r="H3698" s="3">
        <v>-102601.565871898</v>
      </c>
      <c r="I3698" s="3">
        <v>74792.2747905912</v>
      </c>
      <c r="J3698" s="4">
        <v>45778.0</v>
      </c>
      <c r="K3698" s="3">
        <v>14.0</v>
      </c>
      <c r="L3698" s="3" t="s">
        <v>38</v>
      </c>
    </row>
    <row r="3699" ht="15.75" customHeight="1">
      <c r="A3699" s="3" t="s">
        <v>3789</v>
      </c>
      <c r="B3699" s="3" t="s">
        <v>25</v>
      </c>
      <c r="C3699" s="3" t="s">
        <v>14</v>
      </c>
      <c r="D3699" s="3">
        <v>90578.8088824442</v>
      </c>
      <c r="E3699" s="3">
        <v>32029.558109754</v>
      </c>
      <c r="F3699" s="3">
        <v>30192.3896956753</v>
      </c>
      <c r="G3699" s="3">
        <v>20190.8045285775</v>
      </c>
      <c r="H3699" s="3">
        <v>-102651.069589647</v>
      </c>
      <c r="I3699" s="3">
        <v>74795.656265011</v>
      </c>
      <c r="J3699" s="4">
        <v>45962.0</v>
      </c>
      <c r="K3699" s="3">
        <v>24.0</v>
      </c>
      <c r="L3699" s="3" t="s">
        <v>40</v>
      </c>
    </row>
    <row r="3700" ht="15.75" customHeight="1">
      <c r="A3700" s="3" t="s">
        <v>3790</v>
      </c>
      <c r="B3700" s="3" t="s">
        <v>25</v>
      </c>
      <c r="C3700" s="3" t="s">
        <v>30</v>
      </c>
      <c r="D3700" s="3">
        <v>90589.6918523504</v>
      </c>
      <c r="E3700" s="3">
        <v>32034.1728280815</v>
      </c>
      <c r="F3700" s="3">
        <v>30200.0696991048</v>
      </c>
      <c r="G3700" s="3">
        <v>20194.2020792647</v>
      </c>
      <c r="H3700" s="3">
        <v>-102700.573307396</v>
      </c>
      <c r="I3700" s="3">
        <v>74799.0377394308</v>
      </c>
      <c r="J3700" s="4">
        <v>45901.0</v>
      </c>
      <c r="K3700" s="3">
        <v>17.0</v>
      </c>
      <c r="L3700" s="3" t="s">
        <v>42</v>
      </c>
    </row>
    <row r="3701" ht="15.75" customHeight="1">
      <c r="A3701" s="3" t="s">
        <v>3791</v>
      </c>
      <c r="B3701" s="3" t="s">
        <v>53</v>
      </c>
      <c r="C3701" s="3" t="s">
        <v>14</v>
      </c>
      <c r="D3701" s="3">
        <v>90600.5748222566</v>
      </c>
      <c r="E3701" s="3">
        <v>32038.7875464089</v>
      </c>
      <c r="F3701" s="3">
        <v>30207.7497025343</v>
      </c>
      <c r="G3701" s="3">
        <v>20197.599629952</v>
      </c>
      <c r="H3701" s="3">
        <v>-102750.077025146</v>
      </c>
      <c r="I3701" s="3">
        <v>74802.4192138507</v>
      </c>
      <c r="J3701" s="4">
        <v>45870.0</v>
      </c>
      <c r="K3701" s="3">
        <v>16.0</v>
      </c>
      <c r="L3701" s="3" t="s">
        <v>15</v>
      </c>
    </row>
    <row r="3702" ht="15.75" customHeight="1">
      <c r="A3702" s="3" t="s">
        <v>3792</v>
      </c>
      <c r="B3702" s="3" t="s">
        <v>13</v>
      </c>
      <c r="C3702" s="3" t="s">
        <v>37</v>
      </c>
      <c r="D3702" s="3">
        <v>90622.340762069</v>
      </c>
      <c r="E3702" s="3">
        <v>32048.0169830637</v>
      </c>
      <c r="F3702" s="3">
        <v>30223.1097093933</v>
      </c>
      <c r="G3702" s="3">
        <v>20204.3947313266</v>
      </c>
      <c r="H3702" s="3">
        <v>-102849.084460644</v>
      </c>
      <c r="I3702" s="3">
        <v>74809.1821626903</v>
      </c>
      <c r="J3702" s="4">
        <v>45931.0</v>
      </c>
      <c r="K3702" s="3">
        <v>13.0</v>
      </c>
      <c r="L3702" s="3" t="s">
        <v>21</v>
      </c>
    </row>
    <row r="3703" ht="15.75" customHeight="1">
      <c r="A3703" s="3" t="s">
        <v>3793</v>
      </c>
      <c r="B3703" s="3" t="s">
        <v>53</v>
      </c>
      <c r="C3703" s="3" t="s">
        <v>54</v>
      </c>
      <c r="D3703" s="3">
        <v>90633.2237319752</v>
      </c>
      <c r="E3703" s="3">
        <v>32052.6317013912</v>
      </c>
      <c r="F3703" s="3">
        <v>30230.7897128228</v>
      </c>
      <c r="G3703" s="3">
        <v>20207.7922820139</v>
      </c>
      <c r="H3703" s="3">
        <v>-102898.588178393</v>
      </c>
      <c r="I3703" s="3">
        <v>74812.5636371101</v>
      </c>
      <c r="J3703" s="4">
        <v>45962.0</v>
      </c>
      <c r="K3703" s="3">
        <v>6.0</v>
      </c>
      <c r="L3703" s="3" t="s">
        <v>23</v>
      </c>
    </row>
    <row r="3704" ht="15.75" customHeight="1">
      <c r="A3704" s="3" t="s">
        <v>3794</v>
      </c>
      <c r="B3704" s="3" t="s">
        <v>17</v>
      </c>
      <c r="C3704" s="3" t="s">
        <v>37</v>
      </c>
      <c r="D3704" s="3">
        <v>90644.1067018814</v>
      </c>
      <c r="E3704" s="3">
        <v>32057.2464197186</v>
      </c>
      <c r="F3704" s="3">
        <v>30238.4697162523</v>
      </c>
      <c r="G3704" s="3">
        <v>20211.1898327012</v>
      </c>
      <c r="H3704" s="3">
        <v>-102948.091896142</v>
      </c>
      <c r="I3704" s="3">
        <v>74815.9451115299</v>
      </c>
      <c r="J3704" s="4">
        <v>45962.0</v>
      </c>
      <c r="K3704" s="3">
        <v>7.0</v>
      </c>
      <c r="L3704" s="3" t="s">
        <v>27</v>
      </c>
    </row>
    <row r="3705" ht="15.75" customHeight="1">
      <c r="A3705" s="3" t="s">
        <v>3795</v>
      </c>
      <c r="B3705" s="3" t="s">
        <v>25</v>
      </c>
      <c r="C3705" s="3" t="s">
        <v>37</v>
      </c>
      <c r="D3705" s="3">
        <v>90654.9896717876</v>
      </c>
      <c r="E3705" s="3">
        <v>32061.861138046</v>
      </c>
      <c r="F3705" s="3">
        <v>30246.1497196818</v>
      </c>
      <c r="G3705" s="3">
        <v>20214.5873833885</v>
      </c>
      <c r="H3705" s="3">
        <v>-102997.595613891</v>
      </c>
      <c r="I3705" s="3">
        <v>74819.3265859497</v>
      </c>
      <c r="J3705" s="4">
        <v>45658.0</v>
      </c>
      <c r="K3705" s="3">
        <v>3.0</v>
      </c>
      <c r="L3705" s="3" t="s">
        <v>31</v>
      </c>
    </row>
    <row r="3706" ht="15.75" customHeight="1">
      <c r="A3706" s="3" t="s">
        <v>3796</v>
      </c>
      <c r="B3706" s="3" t="s">
        <v>13</v>
      </c>
      <c r="C3706" s="3" t="s">
        <v>30</v>
      </c>
      <c r="D3706" s="3">
        <v>90665.8726416937</v>
      </c>
      <c r="E3706" s="3">
        <v>32066.4758563734</v>
      </c>
      <c r="F3706" s="3">
        <v>30253.8297231112</v>
      </c>
      <c r="G3706" s="5"/>
      <c r="H3706" s="3">
        <v>-103047.09933164</v>
      </c>
      <c r="I3706" s="3">
        <v>74822.7080603695</v>
      </c>
      <c r="J3706" s="4">
        <v>45778.0</v>
      </c>
      <c r="K3706" s="3">
        <v>25.0</v>
      </c>
      <c r="L3706" s="3" t="s">
        <v>34</v>
      </c>
    </row>
    <row r="3707" ht="15.75" customHeight="1">
      <c r="A3707" s="3" t="s">
        <v>3797</v>
      </c>
      <c r="B3707" s="3" t="s">
        <v>51</v>
      </c>
      <c r="C3707" s="3" t="s">
        <v>26</v>
      </c>
      <c r="D3707" s="3">
        <v>90676.7556115999</v>
      </c>
      <c r="E3707" s="3">
        <v>32071.0905747008</v>
      </c>
      <c r="F3707" s="3">
        <v>30261.5097265407</v>
      </c>
      <c r="G3707" s="3">
        <v>20221.382484763</v>
      </c>
      <c r="H3707" s="3">
        <v>-103096.60304939</v>
      </c>
      <c r="I3707" s="3">
        <v>74826.0895347894</v>
      </c>
      <c r="J3707" s="4">
        <v>45962.0</v>
      </c>
      <c r="K3707" s="3">
        <v>6.0</v>
      </c>
      <c r="L3707" s="3" t="s">
        <v>38</v>
      </c>
    </row>
    <row r="3708" ht="15.75" customHeight="1">
      <c r="A3708" s="3" t="s">
        <v>3798</v>
      </c>
      <c r="B3708" s="3" t="s">
        <v>51</v>
      </c>
      <c r="C3708" s="3" t="s">
        <v>18</v>
      </c>
      <c r="D3708" s="3">
        <v>90687.6385815061</v>
      </c>
      <c r="E3708" s="3">
        <v>32075.7052930283</v>
      </c>
      <c r="F3708" s="3">
        <v>30269.1897299702</v>
      </c>
      <c r="G3708" s="3">
        <v>20224.7800354503</v>
      </c>
      <c r="H3708" s="3">
        <v>-103146.106767139</v>
      </c>
      <c r="I3708" s="3">
        <v>74829.4710092092</v>
      </c>
      <c r="J3708" s="4">
        <v>45809.0</v>
      </c>
      <c r="K3708" s="3">
        <v>17.0</v>
      </c>
      <c r="L3708" s="3" t="s">
        <v>40</v>
      </c>
    </row>
    <row r="3709" ht="15.75" customHeight="1">
      <c r="A3709" s="3" t="s">
        <v>3799</v>
      </c>
      <c r="B3709" s="3" t="s">
        <v>29</v>
      </c>
      <c r="C3709" s="3" t="s">
        <v>30</v>
      </c>
      <c r="D3709" s="3">
        <v>90698.5215514123</v>
      </c>
      <c r="E3709" s="3">
        <v>32080.3200113557</v>
      </c>
      <c r="F3709" s="3">
        <v>30276.8697333997</v>
      </c>
      <c r="G3709" s="3">
        <v>20228.1775861376</v>
      </c>
      <c r="H3709" s="3">
        <v>-103195.610484888</v>
      </c>
      <c r="I3709" s="3">
        <v>74832.852483629</v>
      </c>
      <c r="J3709" s="4">
        <v>45870.0</v>
      </c>
      <c r="K3709" s="3">
        <v>7.0</v>
      </c>
      <c r="L3709" s="3" t="s">
        <v>42</v>
      </c>
    </row>
    <row r="3710" ht="15.75" customHeight="1">
      <c r="A3710" s="3" t="s">
        <v>3800</v>
      </c>
      <c r="B3710" s="3" t="s">
        <v>53</v>
      </c>
      <c r="C3710" s="3" t="s">
        <v>18</v>
      </c>
      <c r="D3710" s="3">
        <v>90709.4045213185</v>
      </c>
      <c r="E3710" s="3">
        <v>32084.9347296831</v>
      </c>
      <c r="F3710" s="3">
        <v>30284.5497368292</v>
      </c>
      <c r="G3710" s="3">
        <v>20231.5751368249</v>
      </c>
      <c r="H3710" s="3">
        <v>-103245.114202637</v>
      </c>
      <c r="I3710" s="3">
        <v>74836.2339580488</v>
      </c>
      <c r="J3710" s="4">
        <v>45901.0</v>
      </c>
      <c r="K3710" s="3">
        <v>2.0</v>
      </c>
      <c r="L3710" s="3" t="s">
        <v>15</v>
      </c>
    </row>
    <row r="3711" ht="15.75" customHeight="1">
      <c r="A3711" s="3" t="s">
        <v>3801</v>
      </c>
      <c r="B3711" s="3" t="s">
        <v>51</v>
      </c>
      <c r="C3711" s="3" t="s">
        <v>30</v>
      </c>
      <c r="D3711" s="3">
        <v>90720.2874912247</v>
      </c>
      <c r="E3711" s="3">
        <v>32089.5494480105</v>
      </c>
      <c r="F3711" s="3">
        <v>30292.2297402587</v>
      </c>
      <c r="G3711" s="3">
        <v>20234.9726875122</v>
      </c>
      <c r="H3711" s="3">
        <v>-103294.617920386</v>
      </c>
      <c r="I3711" s="3">
        <v>74839.6154324686</v>
      </c>
      <c r="J3711" s="4">
        <v>45717.0</v>
      </c>
      <c r="K3711" s="3">
        <v>23.0</v>
      </c>
      <c r="L3711" s="3" t="s">
        <v>19</v>
      </c>
    </row>
    <row r="3712" ht="15.75" customHeight="1">
      <c r="A3712" s="3" t="s">
        <v>3802</v>
      </c>
      <c r="B3712" s="3" t="s">
        <v>29</v>
      </c>
      <c r="C3712" s="3" t="s">
        <v>14</v>
      </c>
      <c r="D3712" s="3">
        <v>90731.1704611309</v>
      </c>
      <c r="E3712" s="3">
        <v>32094.164166338</v>
      </c>
      <c r="F3712" s="3">
        <v>30299.9097436882</v>
      </c>
      <c r="G3712" s="3">
        <v>20238.3702381995</v>
      </c>
      <c r="H3712" s="3">
        <v>-103344.121638135</v>
      </c>
      <c r="I3712" s="3">
        <v>74842.9969068884</v>
      </c>
      <c r="J3712" s="4">
        <v>45778.0</v>
      </c>
      <c r="K3712" s="3">
        <v>21.0</v>
      </c>
      <c r="L3712" s="3" t="s">
        <v>21</v>
      </c>
    </row>
    <row r="3713" ht="15.75" customHeight="1">
      <c r="A3713" s="3" t="s">
        <v>3803</v>
      </c>
      <c r="B3713" s="3" t="s">
        <v>36</v>
      </c>
      <c r="C3713" s="3" t="s">
        <v>54</v>
      </c>
      <c r="D3713" s="3">
        <v>90742.0534310371</v>
      </c>
      <c r="E3713" s="3">
        <v>32098.7788846654</v>
      </c>
      <c r="F3713" s="3">
        <v>30307.5897471177</v>
      </c>
      <c r="G3713" s="3">
        <v>20241.7677888868</v>
      </c>
      <c r="H3713" s="3">
        <v>-103393.625355884</v>
      </c>
      <c r="I3713" s="3">
        <v>74846.3783813082</v>
      </c>
      <c r="J3713" s="4">
        <v>45870.0</v>
      </c>
      <c r="K3713" s="3">
        <v>16.0</v>
      </c>
      <c r="L3713" s="3" t="s">
        <v>23</v>
      </c>
    </row>
    <row r="3714" ht="15.75" customHeight="1">
      <c r="A3714" s="3" t="s">
        <v>3804</v>
      </c>
      <c r="B3714" s="3" t="s">
        <v>29</v>
      </c>
      <c r="C3714" s="3" t="s">
        <v>26</v>
      </c>
      <c r="D3714" s="3">
        <v>90752.9364009433</v>
      </c>
      <c r="E3714" s="3">
        <v>32103.3936029928</v>
      </c>
      <c r="F3714" s="3">
        <v>30315.2697505472</v>
      </c>
      <c r="G3714" s="3">
        <v>20245.165339574</v>
      </c>
      <c r="H3714" s="3">
        <v>-103443.129073633</v>
      </c>
      <c r="I3714" s="3">
        <v>74849.7598557281</v>
      </c>
      <c r="J3714" s="4">
        <v>45778.0</v>
      </c>
      <c r="K3714" s="3">
        <v>15.0</v>
      </c>
      <c r="L3714" s="3" t="s">
        <v>27</v>
      </c>
    </row>
    <row r="3715" ht="15.75" customHeight="1">
      <c r="A3715" s="3" t="s">
        <v>3805</v>
      </c>
      <c r="B3715" s="3" t="s">
        <v>53</v>
      </c>
      <c r="C3715" s="3" t="s">
        <v>26</v>
      </c>
      <c r="D3715" s="3">
        <v>90763.8193708495</v>
      </c>
      <c r="E3715" s="3">
        <v>32108.0083213202</v>
      </c>
      <c r="F3715" s="3">
        <v>30322.9497539767</v>
      </c>
      <c r="G3715" s="3">
        <v>20248.5628902613</v>
      </c>
      <c r="H3715" s="3">
        <v>-103492.632791383</v>
      </c>
      <c r="I3715" s="3">
        <v>74853.1413301479</v>
      </c>
      <c r="J3715" s="4">
        <v>45809.0</v>
      </c>
      <c r="K3715" s="3">
        <v>21.0</v>
      </c>
      <c r="L3715" s="3" t="s">
        <v>31</v>
      </c>
    </row>
    <row r="3716" ht="15.75" customHeight="1">
      <c r="A3716" s="3" t="s">
        <v>3806</v>
      </c>
      <c r="B3716" s="3" t="s">
        <v>17</v>
      </c>
      <c r="C3716" s="3" t="s">
        <v>33</v>
      </c>
      <c r="D3716" s="3">
        <v>90785.5853106619</v>
      </c>
      <c r="E3716" s="3">
        <v>32117.2377579751</v>
      </c>
      <c r="F3716" s="3">
        <v>30338.3097608357</v>
      </c>
      <c r="G3716" s="3">
        <v>20255.3579916359</v>
      </c>
      <c r="H3716" s="3">
        <v>-103591.640226881</v>
      </c>
      <c r="I3716" s="3">
        <v>74859.9042789875</v>
      </c>
      <c r="J3716" s="4">
        <v>45962.0</v>
      </c>
      <c r="K3716" s="3">
        <v>20.0</v>
      </c>
      <c r="L3716" s="3" t="s">
        <v>38</v>
      </c>
    </row>
    <row r="3717" ht="15.75" customHeight="1">
      <c r="A3717" s="3" t="s">
        <v>3807</v>
      </c>
      <c r="B3717" s="3" t="s">
        <v>53</v>
      </c>
      <c r="C3717" s="3" t="s">
        <v>30</v>
      </c>
      <c r="D3717" s="3">
        <v>90807.3512504743</v>
      </c>
      <c r="E3717" s="3">
        <v>32126.4671946299</v>
      </c>
      <c r="F3717" s="3">
        <v>30353.6697676947</v>
      </c>
      <c r="G3717" s="3">
        <v>20262.1530930105</v>
      </c>
      <c r="H3717" s="3">
        <v>-103690.647662379</v>
      </c>
      <c r="I3717" s="3">
        <v>74866.6672278271</v>
      </c>
      <c r="J3717" s="4">
        <v>45901.0</v>
      </c>
      <c r="K3717" s="3">
        <v>7.0</v>
      </c>
      <c r="L3717" s="3" t="s">
        <v>42</v>
      </c>
    </row>
    <row r="3718" ht="15.75" customHeight="1">
      <c r="A3718" s="3" t="s">
        <v>3808</v>
      </c>
      <c r="B3718" s="3" t="s">
        <v>13</v>
      </c>
      <c r="C3718" s="3" t="s">
        <v>33</v>
      </c>
      <c r="D3718" s="3">
        <v>90818.2342203805</v>
      </c>
      <c r="E3718" s="3">
        <v>32131.0819129573</v>
      </c>
      <c r="F3718" s="3">
        <v>30361.3497711242</v>
      </c>
      <c r="G3718" s="3">
        <v>20265.5506436978</v>
      </c>
      <c r="H3718" s="3">
        <v>-103740.151380128</v>
      </c>
      <c r="I3718" s="3">
        <v>74870.0487022469</v>
      </c>
      <c r="J3718" s="4">
        <v>45658.0</v>
      </c>
      <c r="K3718" s="3">
        <v>13.0</v>
      </c>
      <c r="L3718" s="3" t="s">
        <v>15</v>
      </c>
    </row>
    <row r="3719" ht="15.75" customHeight="1">
      <c r="A3719" s="3" t="s">
        <v>3809</v>
      </c>
      <c r="B3719" s="3" t="s">
        <v>29</v>
      </c>
      <c r="C3719" s="3" t="s">
        <v>37</v>
      </c>
      <c r="D3719" s="3">
        <v>90829.1171902866</v>
      </c>
      <c r="E3719" s="3">
        <v>32135.6966312848</v>
      </c>
      <c r="F3719" s="3">
        <v>30369.0297745537</v>
      </c>
      <c r="G3719" s="3">
        <v>20268.9481943851</v>
      </c>
      <c r="H3719" s="3">
        <v>-103789.655097877</v>
      </c>
      <c r="I3719" s="3">
        <v>74873.4301766668</v>
      </c>
      <c r="J3719" s="4">
        <v>45778.0</v>
      </c>
      <c r="K3719" s="3">
        <v>17.0</v>
      </c>
      <c r="L3719" s="3" t="s">
        <v>19</v>
      </c>
    </row>
    <row r="3720" ht="15.75" customHeight="1">
      <c r="A3720" s="3" t="s">
        <v>3810</v>
      </c>
      <c r="B3720" s="3" t="s">
        <v>36</v>
      </c>
      <c r="C3720" s="3" t="s">
        <v>33</v>
      </c>
      <c r="D3720" s="3">
        <v>90840.0001601928</v>
      </c>
      <c r="E3720" s="3">
        <v>32140.3113496122</v>
      </c>
      <c r="F3720" s="3">
        <v>30376.7097779832</v>
      </c>
      <c r="G3720" s="3">
        <v>20272.3457450723</v>
      </c>
      <c r="H3720" s="3">
        <v>-103839.158815626</v>
      </c>
      <c r="I3720" s="3">
        <v>74876.8116510866</v>
      </c>
      <c r="J3720" s="4">
        <v>45992.0</v>
      </c>
      <c r="K3720" s="3">
        <v>14.0</v>
      </c>
      <c r="L3720" s="3" t="s">
        <v>21</v>
      </c>
    </row>
    <row r="3721" ht="15.75" customHeight="1">
      <c r="A3721" s="3" t="s">
        <v>3811</v>
      </c>
      <c r="B3721" s="3" t="s">
        <v>29</v>
      </c>
      <c r="C3721" s="3" t="s">
        <v>30</v>
      </c>
      <c r="D3721" s="3">
        <v>90850.883130099</v>
      </c>
      <c r="E3721" s="3">
        <v>32144.9260679396</v>
      </c>
      <c r="F3721" s="3">
        <v>30384.3897814127</v>
      </c>
      <c r="G3721" s="3">
        <v>20275.7432957596</v>
      </c>
      <c r="H3721" s="3">
        <v>-103888.662533376</v>
      </c>
      <c r="I3721" s="3">
        <v>74880.1931255064</v>
      </c>
      <c r="J3721" s="4">
        <v>45992.0</v>
      </c>
      <c r="K3721" s="3">
        <v>4.0</v>
      </c>
      <c r="L3721" s="3" t="s">
        <v>23</v>
      </c>
    </row>
    <row r="3722" ht="15.75" customHeight="1">
      <c r="A3722" s="3" t="s">
        <v>3812</v>
      </c>
      <c r="B3722" s="3" t="s">
        <v>13</v>
      </c>
      <c r="C3722" s="3" t="s">
        <v>26</v>
      </c>
      <c r="D3722" s="3">
        <v>90861.7661000052</v>
      </c>
      <c r="E3722" s="3">
        <v>32149.540786267</v>
      </c>
      <c r="F3722" s="3">
        <v>30392.0697848422</v>
      </c>
      <c r="G3722" s="3">
        <v>20279.1408464469</v>
      </c>
      <c r="H3722" s="3">
        <v>-103938.166251125</v>
      </c>
      <c r="I3722" s="3">
        <v>74883.5745999262</v>
      </c>
      <c r="J3722" s="4">
        <v>45962.0</v>
      </c>
      <c r="K3722" s="3">
        <v>10.0</v>
      </c>
      <c r="L3722" s="3" t="s">
        <v>27</v>
      </c>
    </row>
    <row r="3723" ht="15.75" customHeight="1">
      <c r="A3723" s="3" t="s">
        <v>3813</v>
      </c>
      <c r="B3723" s="3" t="s">
        <v>25</v>
      </c>
      <c r="C3723" s="3" t="s">
        <v>37</v>
      </c>
      <c r="D3723" s="3">
        <v>90872.6490699114</v>
      </c>
      <c r="E3723" s="3">
        <v>32154.1555045944</v>
      </c>
      <c r="F3723" s="3">
        <v>30399.7497882717</v>
      </c>
      <c r="G3723" s="3">
        <v>20282.5383971342</v>
      </c>
      <c r="H3723" s="3">
        <v>-103987.669968874</v>
      </c>
      <c r="I3723" s="3">
        <v>74886.956074346</v>
      </c>
      <c r="J3723" s="4">
        <v>45717.0</v>
      </c>
      <c r="K3723" s="3">
        <v>11.0</v>
      </c>
      <c r="L3723" s="3" t="s">
        <v>31</v>
      </c>
    </row>
    <row r="3724" ht="15.75" customHeight="1">
      <c r="A3724" s="3" t="s">
        <v>3814</v>
      </c>
      <c r="B3724" s="3" t="s">
        <v>36</v>
      </c>
      <c r="C3724" s="3" t="s">
        <v>14</v>
      </c>
      <c r="D3724" s="3">
        <v>90883.5320398176</v>
      </c>
      <c r="E3724" s="3">
        <v>32158.7702229219</v>
      </c>
      <c r="F3724" s="3">
        <v>30407.4297917012</v>
      </c>
      <c r="G3724" s="3">
        <v>20285.9359478215</v>
      </c>
      <c r="H3724" s="3">
        <v>-104037.173686623</v>
      </c>
      <c r="I3724" s="3">
        <v>74890.3375487658</v>
      </c>
      <c r="J3724" s="4">
        <v>45901.0</v>
      </c>
      <c r="K3724" s="3">
        <v>2.0</v>
      </c>
      <c r="L3724" s="3" t="s">
        <v>34</v>
      </c>
    </row>
    <row r="3725" ht="15.75" customHeight="1">
      <c r="A3725" s="3" t="s">
        <v>3815</v>
      </c>
      <c r="B3725" s="3" t="s">
        <v>36</v>
      </c>
      <c r="C3725" s="3" t="s">
        <v>14</v>
      </c>
      <c r="D3725" s="3">
        <v>90894.4150097238</v>
      </c>
      <c r="E3725" s="3">
        <v>32163.3849412493</v>
      </c>
      <c r="F3725" s="3">
        <v>30415.1097951307</v>
      </c>
      <c r="G3725" s="3">
        <v>20289.3334985088</v>
      </c>
      <c r="H3725" s="3">
        <v>-104086.677404372</v>
      </c>
      <c r="I3725" s="3">
        <v>74893.7190231856</v>
      </c>
      <c r="J3725" s="4">
        <v>45870.0</v>
      </c>
      <c r="K3725" s="3">
        <v>18.0</v>
      </c>
      <c r="L3725" s="3" t="s">
        <v>38</v>
      </c>
    </row>
    <row r="3726" ht="15.75" customHeight="1">
      <c r="A3726" s="3" t="s">
        <v>3816</v>
      </c>
      <c r="B3726" s="3" t="s">
        <v>29</v>
      </c>
      <c r="C3726" s="3" t="s">
        <v>26</v>
      </c>
      <c r="D3726" s="3">
        <v>90905.29797963</v>
      </c>
      <c r="E3726" s="3">
        <v>32167.9996595767</v>
      </c>
      <c r="F3726" s="3">
        <v>30422.7897985602</v>
      </c>
      <c r="G3726" s="3">
        <v>20292.7310491961</v>
      </c>
      <c r="H3726" s="3">
        <v>-104136.181122121</v>
      </c>
      <c r="I3726" s="3">
        <v>74897.1004976055</v>
      </c>
      <c r="J3726" s="4">
        <v>45901.0</v>
      </c>
      <c r="K3726" s="3">
        <v>1.0</v>
      </c>
      <c r="L3726" s="3" t="s">
        <v>40</v>
      </c>
    </row>
    <row r="3727" ht="15.75" customHeight="1">
      <c r="A3727" s="3" t="s">
        <v>3817</v>
      </c>
      <c r="B3727" s="3" t="s">
        <v>13</v>
      </c>
      <c r="C3727" s="3" t="s">
        <v>26</v>
      </c>
      <c r="D3727" s="3">
        <v>90916.1809495362</v>
      </c>
      <c r="E3727" s="3">
        <v>32172.6143779041</v>
      </c>
      <c r="F3727" s="3">
        <v>30430.4698019897</v>
      </c>
      <c r="G3727" s="3">
        <v>20296.1285998834</v>
      </c>
      <c r="H3727" s="3">
        <v>-104185.68483987</v>
      </c>
      <c r="I3727" s="3">
        <v>74900.4819720253</v>
      </c>
      <c r="J3727" s="4">
        <v>45992.0</v>
      </c>
      <c r="K3727" s="3">
        <v>16.0</v>
      </c>
      <c r="L3727" s="3" t="s">
        <v>42</v>
      </c>
    </row>
    <row r="3728" ht="15.75" customHeight="1">
      <c r="A3728" s="3" t="s">
        <v>3818</v>
      </c>
      <c r="B3728" s="3" t="s">
        <v>51</v>
      </c>
      <c r="C3728" s="3" t="s">
        <v>54</v>
      </c>
      <c r="D3728" s="3">
        <v>90927.0639194424</v>
      </c>
      <c r="E3728" s="3">
        <v>32177.2290962316</v>
      </c>
      <c r="F3728" s="3">
        <v>30438.1498054192</v>
      </c>
      <c r="G3728" s="3">
        <v>20299.5261505706</v>
      </c>
      <c r="H3728" s="3">
        <v>-104235.188557619</v>
      </c>
      <c r="I3728" s="3">
        <v>74903.8634464451</v>
      </c>
      <c r="J3728" s="4">
        <v>45689.0</v>
      </c>
      <c r="K3728" s="3">
        <v>25.0</v>
      </c>
      <c r="L3728" s="3" t="s">
        <v>15</v>
      </c>
    </row>
    <row r="3729" ht="15.75" customHeight="1">
      <c r="A3729" s="3" t="s">
        <v>3819</v>
      </c>
      <c r="B3729" s="3" t="s">
        <v>17</v>
      </c>
      <c r="C3729" s="3" t="s">
        <v>18</v>
      </c>
      <c r="D3729" s="3">
        <v>90937.9468893486</v>
      </c>
      <c r="E3729" s="3">
        <v>32181.843814559</v>
      </c>
      <c r="F3729" s="3">
        <v>30445.8298088487</v>
      </c>
      <c r="G3729" s="3">
        <v>20302.9237012579</v>
      </c>
      <c r="H3729" s="3">
        <v>-104284.692275369</v>
      </c>
      <c r="I3729" s="3">
        <v>74907.2449208649</v>
      </c>
      <c r="J3729" s="4">
        <v>45809.0</v>
      </c>
      <c r="K3729" s="3">
        <v>6.0</v>
      </c>
      <c r="L3729" s="3" t="s">
        <v>19</v>
      </c>
    </row>
    <row r="3730" ht="15.75" customHeight="1">
      <c r="A3730" s="3" t="s">
        <v>3820</v>
      </c>
      <c r="B3730" s="3" t="s">
        <v>51</v>
      </c>
      <c r="C3730" s="3" t="s">
        <v>37</v>
      </c>
      <c r="D3730" s="3">
        <v>90948.8298592548</v>
      </c>
      <c r="E3730" s="3">
        <v>32186.4585328864</v>
      </c>
      <c r="F3730" s="3">
        <v>30453.5098122782</v>
      </c>
      <c r="G3730" s="3">
        <v>20306.3212519452</v>
      </c>
      <c r="H3730" s="3">
        <v>-104334.195993118</v>
      </c>
      <c r="I3730" s="3">
        <v>74910.6263952847</v>
      </c>
      <c r="J3730" s="4">
        <v>45717.0</v>
      </c>
      <c r="K3730" s="3">
        <v>7.0</v>
      </c>
      <c r="L3730" s="3" t="s">
        <v>21</v>
      </c>
    </row>
    <row r="3731" ht="15.75" customHeight="1">
      <c r="A3731" s="3" t="s">
        <v>3821</v>
      </c>
      <c r="B3731" s="3" t="s">
        <v>13</v>
      </c>
      <c r="C3731" s="3" t="s">
        <v>26</v>
      </c>
      <c r="D3731" s="3">
        <v>90959.712829161</v>
      </c>
      <c r="E3731" s="3">
        <v>32191.0732512138</v>
      </c>
      <c r="F3731" s="3">
        <v>30461.1898157077</v>
      </c>
      <c r="G3731" s="3">
        <v>20309.7188026325</v>
      </c>
      <c r="H3731" s="3">
        <v>-104383.699710867</v>
      </c>
      <c r="I3731" s="3">
        <v>74914.0078697045</v>
      </c>
      <c r="J3731" s="4">
        <v>45717.0</v>
      </c>
      <c r="K3731" s="3">
        <v>23.0</v>
      </c>
      <c r="L3731" s="3" t="s">
        <v>23</v>
      </c>
    </row>
    <row r="3732" ht="15.75" customHeight="1">
      <c r="A3732" s="3" t="s">
        <v>3822</v>
      </c>
      <c r="B3732" s="3" t="s">
        <v>51</v>
      </c>
      <c r="C3732" s="3" t="s">
        <v>30</v>
      </c>
      <c r="D3732" s="5"/>
      <c r="E3732" s="3">
        <v>32195.6879695412</v>
      </c>
      <c r="F3732" s="3">
        <v>30468.8698191372</v>
      </c>
      <c r="G3732" s="3">
        <v>20313.1163533198</v>
      </c>
      <c r="H3732" s="3">
        <v>-104433.203428616</v>
      </c>
      <c r="I3732" s="3">
        <v>74917.3893441243</v>
      </c>
      <c r="J3732" s="4">
        <v>45901.0</v>
      </c>
      <c r="K3732" s="3">
        <v>12.0</v>
      </c>
      <c r="L3732" s="3" t="s">
        <v>27</v>
      </c>
    </row>
    <row r="3733" ht="15.75" customHeight="1">
      <c r="A3733" s="3" t="s">
        <v>3823</v>
      </c>
      <c r="B3733" s="3" t="s">
        <v>51</v>
      </c>
      <c r="C3733" s="3" t="s">
        <v>18</v>
      </c>
      <c r="D3733" s="3">
        <v>90981.4787689734</v>
      </c>
      <c r="E3733" s="3">
        <v>32200.3026878687</v>
      </c>
      <c r="F3733" s="3">
        <v>30476.5498225667</v>
      </c>
      <c r="G3733" s="3">
        <v>20316.5139040071</v>
      </c>
      <c r="H3733" s="3">
        <v>-104482.707146365</v>
      </c>
      <c r="I3733" s="3">
        <v>74920.7708185442</v>
      </c>
      <c r="J3733" s="4">
        <v>45778.0</v>
      </c>
      <c r="K3733" s="3">
        <v>19.0</v>
      </c>
      <c r="L3733" s="3" t="s">
        <v>31</v>
      </c>
    </row>
    <row r="3734" ht="15.75" customHeight="1">
      <c r="A3734" s="3" t="s">
        <v>3824</v>
      </c>
      <c r="B3734" s="3" t="s">
        <v>36</v>
      </c>
      <c r="C3734" s="3" t="s">
        <v>33</v>
      </c>
      <c r="D3734" s="3">
        <v>90992.3617388795</v>
      </c>
      <c r="E3734" s="3">
        <v>32204.9174061961</v>
      </c>
      <c r="F3734" s="3">
        <v>30484.2298259962</v>
      </c>
      <c r="G3734" s="3">
        <v>20319.9114546944</v>
      </c>
      <c r="H3734" s="3">
        <v>-104532.210864114</v>
      </c>
      <c r="I3734" s="3">
        <v>74924.152292964</v>
      </c>
      <c r="J3734" s="4">
        <v>45717.0</v>
      </c>
      <c r="K3734" s="3">
        <v>9.0</v>
      </c>
      <c r="L3734" s="3" t="s">
        <v>34</v>
      </c>
    </row>
    <row r="3735" ht="15.75" customHeight="1">
      <c r="A3735" s="3" t="s">
        <v>3825</v>
      </c>
      <c r="B3735" s="3" t="s">
        <v>29</v>
      </c>
      <c r="C3735" s="3" t="s">
        <v>18</v>
      </c>
      <c r="D3735" s="3">
        <v>91003.2447087857</v>
      </c>
      <c r="E3735" s="3">
        <v>32209.5321245235</v>
      </c>
      <c r="F3735" s="3">
        <v>30491.9098294257</v>
      </c>
      <c r="G3735" s="3">
        <v>20323.3090053816</v>
      </c>
      <c r="H3735" s="3">
        <v>-104581.714581863</v>
      </c>
      <c r="I3735" s="3">
        <v>74927.5337673838</v>
      </c>
      <c r="J3735" s="4">
        <v>45931.0</v>
      </c>
      <c r="K3735" s="3">
        <v>15.0</v>
      </c>
      <c r="L3735" s="3" t="s">
        <v>38</v>
      </c>
    </row>
    <row r="3736" ht="15.75" customHeight="1">
      <c r="A3736" s="3" t="s">
        <v>3826</v>
      </c>
      <c r="B3736" s="3" t="s">
        <v>29</v>
      </c>
      <c r="C3736" s="3" t="s">
        <v>30</v>
      </c>
      <c r="D3736" s="3">
        <v>91014.1276786919</v>
      </c>
      <c r="E3736" s="3">
        <v>32214.1468428509</v>
      </c>
      <c r="F3736" s="3">
        <v>30499.5898328552</v>
      </c>
      <c r="G3736" s="3">
        <v>20326.7065560689</v>
      </c>
      <c r="H3736" s="3">
        <v>-104631.218299612</v>
      </c>
      <c r="I3736" s="3">
        <v>74930.9152418036</v>
      </c>
      <c r="J3736" s="4">
        <v>45689.0</v>
      </c>
      <c r="K3736" s="3">
        <v>10.0</v>
      </c>
      <c r="L3736" s="3" t="s">
        <v>40</v>
      </c>
    </row>
    <row r="3737" ht="15.75" customHeight="1">
      <c r="A3737" s="3" t="s">
        <v>3827</v>
      </c>
      <c r="B3737" s="3" t="s">
        <v>51</v>
      </c>
      <c r="C3737" s="3" t="s">
        <v>37</v>
      </c>
      <c r="D3737" s="3">
        <v>91025.0106485981</v>
      </c>
      <c r="E3737" s="3">
        <v>32218.7615611784</v>
      </c>
      <c r="F3737" s="3">
        <v>30507.2698362847</v>
      </c>
      <c r="G3737" s="3">
        <v>20330.1041067562</v>
      </c>
      <c r="H3737" s="3">
        <v>-104680.722017362</v>
      </c>
      <c r="I3737" s="3">
        <v>74934.2967162234</v>
      </c>
      <c r="J3737" s="4">
        <v>45931.0</v>
      </c>
      <c r="K3737" s="3">
        <v>19.0</v>
      </c>
      <c r="L3737" s="3" t="s">
        <v>42</v>
      </c>
    </row>
    <row r="3738" ht="15.75" customHeight="1">
      <c r="A3738" s="3" t="s">
        <v>3828</v>
      </c>
      <c r="B3738" s="3" t="s">
        <v>53</v>
      </c>
      <c r="C3738" s="3" t="s">
        <v>33</v>
      </c>
      <c r="D3738" s="3">
        <v>91035.8936185043</v>
      </c>
      <c r="E3738" s="3">
        <v>32223.3762795058</v>
      </c>
      <c r="F3738" s="3">
        <v>30514.9498397142</v>
      </c>
      <c r="G3738" s="3">
        <v>20333.5016574435</v>
      </c>
      <c r="H3738" s="3">
        <v>-104730.225735111</v>
      </c>
      <c r="I3738" s="3">
        <v>74937.6781906432</v>
      </c>
      <c r="J3738" s="4">
        <v>45778.0</v>
      </c>
      <c r="K3738" s="3">
        <v>17.0</v>
      </c>
      <c r="L3738" s="3" t="s">
        <v>15</v>
      </c>
    </row>
    <row r="3739" ht="15.75" customHeight="1">
      <c r="A3739" s="3" t="s">
        <v>3829</v>
      </c>
      <c r="B3739" s="3" t="s">
        <v>29</v>
      </c>
      <c r="C3739" s="3" t="s">
        <v>33</v>
      </c>
      <c r="D3739" s="3">
        <v>91046.7765884105</v>
      </c>
      <c r="E3739" s="3">
        <v>32227.9909978332</v>
      </c>
      <c r="F3739" s="3">
        <v>30522.6298431437</v>
      </c>
      <c r="G3739" s="3">
        <v>20336.8992081308</v>
      </c>
      <c r="H3739" s="3">
        <v>-104779.72945286</v>
      </c>
      <c r="I3739" s="3">
        <v>74941.059665063</v>
      </c>
      <c r="J3739" s="4">
        <v>45778.0</v>
      </c>
      <c r="K3739" s="3">
        <v>1.0</v>
      </c>
      <c r="L3739" s="3" t="s">
        <v>19</v>
      </c>
    </row>
    <row r="3740" ht="15.75" customHeight="1">
      <c r="A3740" s="3" t="s">
        <v>3830</v>
      </c>
      <c r="B3740" s="3" t="s">
        <v>17</v>
      </c>
      <c r="C3740" s="3" t="s">
        <v>54</v>
      </c>
      <c r="D3740" s="3">
        <v>91057.6595583167</v>
      </c>
      <c r="E3740" s="3">
        <v>32232.6057161606</v>
      </c>
      <c r="F3740" s="3">
        <v>30530.3098465731</v>
      </c>
      <c r="G3740" s="5"/>
      <c r="H3740" s="3">
        <v>-104829.233170609</v>
      </c>
      <c r="I3740" s="3">
        <v>74944.4411394829</v>
      </c>
      <c r="J3740" s="4">
        <v>45870.0</v>
      </c>
      <c r="K3740" s="3">
        <v>25.0</v>
      </c>
      <c r="L3740" s="3" t="s">
        <v>21</v>
      </c>
    </row>
    <row r="3741" ht="15.75" customHeight="1">
      <c r="A3741" s="3" t="s">
        <v>3831</v>
      </c>
      <c r="B3741" s="3" t="s">
        <v>36</v>
      </c>
      <c r="C3741" s="3" t="s">
        <v>33</v>
      </c>
      <c r="D3741" s="3">
        <v>91068.5425282229</v>
      </c>
      <c r="E3741" s="3">
        <v>32237.220434488</v>
      </c>
      <c r="F3741" s="3">
        <v>30537.9898500026</v>
      </c>
      <c r="G3741" s="3">
        <v>20343.6943095054</v>
      </c>
      <c r="H3741" s="3">
        <v>-104878.736888358</v>
      </c>
      <c r="I3741" s="3">
        <v>74947.8226139027</v>
      </c>
      <c r="J3741" s="4">
        <v>45992.0</v>
      </c>
      <c r="K3741" s="3">
        <v>14.0</v>
      </c>
      <c r="L3741" s="3" t="s">
        <v>23</v>
      </c>
    </row>
    <row r="3742" ht="15.75" customHeight="1">
      <c r="A3742" s="3" t="s">
        <v>3832</v>
      </c>
      <c r="B3742" s="3" t="s">
        <v>13</v>
      </c>
      <c r="C3742" s="3" t="s">
        <v>33</v>
      </c>
      <c r="D3742" s="3">
        <v>91079.4254981291</v>
      </c>
      <c r="E3742" s="3">
        <v>32241.8351528155</v>
      </c>
      <c r="F3742" s="3">
        <v>30545.6698534321</v>
      </c>
      <c r="G3742" s="3">
        <v>20347.0918601927</v>
      </c>
      <c r="H3742" s="3">
        <v>-104928.240606107</v>
      </c>
      <c r="I3742" s="3">
        <v>74951.2040883225</v>
      </c>
      <c r="J3742" s="4">
        <v>45901.0</v>
      </c>
      <c r="K3742" s="3">
        <v>10.0</v>
      </c>
      <c r="L3742" s="3" t="s">
        <v>27</v>
      </c>
    </row>
    <row r="3743" ht="15.75" customHeight="1">
      <c r="A3743" s="3" t="s">
        <v>3833</v>
      </c>
      <c r="B3743" s="3" t="s">
        <v>36</v>
      </c>
      <c r="C3743" s="3" t="s">
        <v>33</v>
      </c>
      <c r="D3743" s="3">
        <v>91090.3084680353</v>
      </c>
      <c r="E3743" s="3">
        <v>32246.4498711429</v>
      </c>
      <c r="F3743" s="3">
        <v>30553.3498568616</v>
      </c>
      <c r="G3743" s="3">
        <v>20350.4894108799</v>
      </c>
      <c r="H3743" s="3">
        <v>-104977.744323856</v>
      </c>
      <c r="I3743" s="3">
        <v>74954.5855627423</v>
      </c>
      <c r="J3743" s="4">
        <v>45717.0</v>
      </c>
      <c r="K3743" s="3">
        <v>14.0</v>
      </c>
      <c r="L3743" s="3" t="s">
        <v>31</v>
      </c>
    </row>
    <row r="3744" ht="15.75" customHeight="1">
      <c r="A3744" s="3" t="s">
        <v>3834</v>
      </c>
      <c r="B3744" s="3" t="s">
        <v>51</v>
      </c>
      <c r="C3744" s="3" t="s">
        <v>54</v>
      </c>
      <c r="D3744" s="3">
        <v>91101.1914379415</v>
      </c>
      <c r="E3744" s="3">
        <v>32251.0645894703</v>
      </c>
      <c r="F3744" s="3">
        <v>30561.0298602911</v>
      </c>
      <c r="G3744" s="3">
        <v>20353.8869615672</v>
      </c>
      <c r="H3744" s="3">
        <v>-105027.248041605</v>
      </c>
      <c r="I3744" s="3">
        <v>74957.9670371621</v>
      </c>
      <c r="J3744" s="4">
        <v>45748.0</v>
      </c>
      <c r="K3744" s="3">
        <v>10.0</v>
      </c>
      <c r="L3744" s="3" t="s">
        <v>34</v>
      </c>
    </row>
    <row r="3745" ht="15.75" customHeight="1">
      <c r="A3745" s="3" t="s">
        <v>3835</v>
      </c>
      <c r="B3745" s="3" t="s">
        <v>17</v>
      </c>
      <c r="C3745" s="3" t="s">
        <v>30</v>
      </c>
      <c r="D3745" s="3">
        <v>91122.9573777539</v>
      </c>
      <c r="E3745" s="3">
        <v>32260.2940261252</v>
      </c>
      <c r="F3745" s="3">
        <v>30576.3898671501</v>
      </c>
      <c r="G3745" s="3">
        <v>20360.6820629418</v>
      </c>
      <c r="H3745" s="3">
        <v>-105126.255477104</v>
      </c>
      <c r="I3745" s="3">
        <v>74964.7299860017</v>
      </c>
      <c r="J3745" s="4">
        <v>45778.0</v>
      </c>
      <c r="K3745" s="3">
        <v>24.0</v>
      </c>
      <c r="L3745" s="3" t="s">
        <v>40</v>
      </c>
    </row>
    <row r="3746" ht="15.75" customHeight="1">
      <c r="A3746" s="3" t="s">
        <v>3836</v>
      </c>
      <c r="B3746" s="3" t="s">
        <v>17</v>
      </c>
      <c r="C3746" s="3" t="s">
        <v>14</v>
      </c>
      <c r="D3746" s="3">
        <v>91133.8403476601</v>
      </c>
      <c r="E3746" s="3">
        <v>32264.9087444526</v>
      </c>
      <c r="F3746" s="3">
        <v>30584.0698705796</v>
      </c>
      <c r="G3746" s="3">
        <v>20364.0796136291</v>
      </c>
      <c r="H3746" s="3">
        <v>-105175.759194853</v>
      </c>
      <c r="I3746" s="3">
        <v>74968.1114604216</v>
      </c>
      <c r="J3746" s="4">
        <v>45748.0</v>
      </c>
      <c r="K3746" s="3">
        <v>1.0</v>
      </c>
      <c r="L3746" s="3" t="s">
        <v>42</v>
      </c>
    </row>
    <row r="3747" ht="15.75" customHeight="1">
      <c r="A3747" s="3" t="s">
        <v>3837</v>
      </c>
      <c r="B3747" s="3" t="s">
        <v>25</v>
      </c>
      <c r="C3747" s="3" t="s">
        <v>14</v>
      </c>
      <c r="D3747" s="3">
        <v>91144.7233175662</v>
      </c>
      <c r="E3747" s="3">
        <v>32269.52346278</v>
      </c>
      <c r="F3747" s="3">
        <v>30591.7498740091</v>
      </c>
      <c r="G3747" s="3">
        <v>20367.4771643164</v>
      </c>
      <c r="H3747" s="3">
        <v>-105225.262912602</v>
      </c>
      <c r="I3747" s="3">
        <v>74971.4929348414</v>
      </c>
      <c r="J3747" s="4">
        <v>45962.0</v>
      </c>
      <c r="K3747" s="3">
        <v>6.0</v>
      </c>
      <c r="L3747" s="3" t="s">
        <v>15</v>
      </c>
    </row>
    <row r="3748" ht="15.75" customHeight="1">
      <c r="A3748" s="3" t="s">
        <v>3838</v>
      </c>
      <c r="B3748" s="3" t="s">
        <v>25</v>
      </c>
      <c r="C3748" s="3" t="s">
        <v>26</v>
      </c>
      <c r="D3748" s="3">
        <v>91155.6062874724</v>
      </c>
      <c r="E3748" s="3">
        <v>32274.1381811074</v>
      </c>
      <c r="F3748" s="3">
        <v>30599.4298774386</v>
      </c>
      <c r="G3748" s="3">
        <v>20370.8747150037</v>
      </c>
      <c r="H3748" s="3">
        <v>-105274.766630351</v>
      </c>
      <c r="I3748" s="3">
        <v>74974.8744092612</v>
      </c>
      <c r="J3748" s="4">
        <v>45717.0</v>
      </c>
      <c r="K3748" s="3">
        <v>4.0</v>
      </c>
      <c r="L3748" s="3" t="s">
        <v>19</v>
      </c>
    </row>
    <row r="3749" ht="15.75" customHeight="1">
      <c r="A3749" s="3" t="s">
        <v>3839</v>
      </c>
      <c r="B3749" s="3" t="s">
        <v>36</v>
      </c>
      <c r="C3749" s="3" t="s">
        <v>30</v>
      </c>
      <c r="D3749" s="3">
        <v>91166.4892573786</v>
      </c>
      <c r="E3749" s="3">
        <v>32278.7528994348</v>
      </c>
      <c r="F3749" s="3">
        <v>30607.1098808681</v>
      </c>
      <c r="G3749" s="3">
        <v>20374.272265691</v>
      </c>
      <c r="H3749" s="3">
        <v>-105324.2703481</v>
      </c>
      <c r="I3749" s="3">
        <v>74978.255883681</v>
      </c>
      <c r="J3749" s="4">
        <v>45658.0</v>
      </c>
      <c r="K3749" s="3">
        <v>12.0</v>
      </c>
      <c r="L3749" s="3" t="s">
        <v>21</v>
      </c>
    </row>
    <row r="3750" ht="15.75" customHeight="1">
      <c r="A3750" s="3" t="s">
        <v>3840</v>
      </c>
      <c r="B3750" s="3" t="s">
        <v>51</v>
      </c>
      <c r="C3750" s="3" t="s">
        <v>37</v>
      </c>
      <c r="D3750" s="3">
        <v>91177.3722272848</v>
      </c>
      <c r="E3750" s="3">
        <v>32283.3676177623</v>
      </c>
      <c r="F3750" s="3">
        <v>30614.7898842976</v>
      </c>
      <c r="G3750" s="3">
        <v>20377.6698163782</v>
      </c>
      <c r="H3750" s="3">
        <v>-105373.774065849</v>
      </c>
      <c r="I3750" s="3">
        <v>74981.6373581008</v>
      </c>
      <c r="J3750" s="4">
        <v>45901.0</v>
      </c>
      <c r="K3750" s="3">
        <v>16.0</v>
      </c>
      <c r="L3750" s="3" t="s">
        <v>23</v>
      </c>
    </row>
    <row r="3751" ht="15.75" customHeight="1">
      <c r="A3751" s="3" t="s">
        <v>3841</v>
      </c>
      <c r="B3751" s="3" t="s">
        <v>13</v>
      </c>
      <c r="C3751" s="3" t="s">
        <v>18</v>
      </c>
      <c r="D3751" s="3">
        <v>91188.255197191</v>
      </c>
      <c r="E3751" s="3">
        <v>32287.9823360897</v>
      </c>
      <c r="F3751" s="3">
        <v>30622.4698877271</v>
      </c>
      <c r="G3751" s="3">
        <v>20381.0673670655</v>
      </c>
      <c r="H3751" s="3">
        <v>-105423.277783598</v>
      </c>
      <c r="I3751" s="3">
        <v>74985.0188325206</v>
      </c>
      <c r="J3751" s="4">
        <v>45931.0</v>
      </c>
      <c r="K3751" s="3">
        <v>6.0</v>
      </c>
      <c r="L3751" s="3" t="s">
        <v>27</v>
      </c>
    </row>
    <row r="3752" ht="15.75" customHeight="1">
      <c r="A3752" s="3" t="s">
        <v>3842</v>
      </c>
      <c r="B3752" s="3" t="s">
        <v>29</v>
      </c>
      <c r="C3752" s="3" t="s">
        <v>30</v>
      </c>
      <c r="D3752" s="3">
        <v>91199.1381670972</v>
      </c>
      <c r="E3752" s="3">
        <v>32292.5970544171</v>
      </c>
      <c r="F3752" s="3">
        <v>30630.1498911566</v>
      </c>
      <c r="G3752" s="3">
        <v>20384.4649177528</v>
      </c>
      <c r="H3752" s="3">
        <v>-105472.781501348</v>
      </c>
      <c r="I3752" s="3">
        <v>74988.4003069404</v>
      </c>
      <c r="J3752" s="4">
        <v>45809.0</v>
      </c>
      <c r="K3752" s="3">
        <v>15.0</v>
      </c>
      <c r="L3752" s="3" t="s">
        <v>31</v>
      </c>
    </row>
    <row r="3753" ht="15.75" customHeight="1">
      <c r="A3753" s="3" t="s">
        <v>3843</v>
      </c>
      <c r="B3753" s="3" t="s">
        <v>53</v>
      </c>
      <c r="C3753" s="3" t="s">
        <v>54</v>
      </c>
      <c r="D3753" s="3">
        <v>91210.0211370034</v>
      </c>
      <c r="E3753" s="3">
        <v>32297.2117727445</v>
      </c>
      <c r="F3753" s="3">
        <v>30637.8298945861</v>
      </c>
      <c r="G3753" s="3">
        <v>20387.8624684401</v>
      </c>
      <c r="H3753" s="3">
        <v>-105522.285219097</v>
      </c>
      <c r="I3753" s="3">
        <v>74991.7817813603</v>
      </c>
      <c r="J3753" s="4">
        <v>45901.0</v>
      </c>
      <c r="K3753" s="3">
        <v>12.0</v>
      </c>
      <c r="L3753" s="3" t="s">
        <v>34</v>
      </c>
    </row>
    <row r="3754" ht="15.75" customHeight="1">
      <c r="A3754" s="3" t="s">
        <v>3844</v>
      </c>
      <c r="B3754" s="3" t="s">
        <v>36</v>
      </c>
      <c r="C3754" s="3" t="s">
        <v>54</v>
      </c>
      <c r="D3754" s="3">
        <v>91220.9041069096</v>
      </c>
      <c r="E3754" s="3">
        <v>32301.826491072</v>
      </c>
      <c r="F3754" s="3">
        <v>30645.5098980156</v>
      </c>
      <c r="G3754" s="3">
        <v>20391.2600191274</v>
      </c>
      <c r="H3754" s="3">
        <v>-105571.788936846</v>
      </c>
      <c r="I3754" s="3">
        <v>74995.1632557801</v>
      </c>
      <c r="J3754" s="4">
        <v>45901.0</v>
      </c>
      <c r="K3754" s="3">
        <v>5.0</v>
      </c>
      <c r="L3754" s="3" t="s">
        <v>38</v>
      </c>
    </row>
    <row r="3755" ht="15.75" customHeight="1">
      <c r="A3755" s="3" t="s">
        <v>3845</v>
      </c>
      <c r="B3755" s="3" t="s">
        <v>17</v>
      </c>
      <c r="C3755" s="3" t="s">
        <v>33</v>
      </c>
      <c r="D3755" s="3">
        <v>91231.7870768158</v>
      </c>
      <c r="E3755" s="3">
        <v>32306.4412093994</v>
      </c>
      <c r="F3755" s="3">
        <v>30653.1899014451</v>
      </c>
      <c r="G3755" s="3">
        <v>20394.6575698147</v>
      </c>
      <c r="H3755" s="3">
        <v>-105621.292654595</v>
      </c>
      <c r="I3755" s="3">
        <v>74998.5447301999</v>
      </c>
      <c r="J3755" s="4">
        <v>45931.0</v>
      </c>
      <c r="K3755" s="3">
        <v>2.0</v>
      </c>
      <c r="L3755" s="3" t="s">
        <v>40</v>
      </c>
    </row>
    <row r="3756" ht="15.75" customHeight="1">
      <c r="A3756" s="3" t="s">
        <v>3846</v>
      </c>
      <c r="B3756" s="3" t="s">
        <v>53</v>
      </c>
      <c r="C3756" s="3" t="s">
        <v>33</v>
      </c>
      <c r="D3756" s="5"/>
      <c r="E3756" s="3">
        <v>32311.0559277268</v>
      </c>
      <c r="F3756" s="3">
        <v>30660.8699048746</v>
      </c>
      <c r="G3756" s="3">
        <v>20398.055120502</v>
      </c>
      <c r="H3756" s="3">
        <v>-105670.796372344</v>
      </c>
      <c r="I3756" s="3">
        <v>75001.9262046197</v>
      </c>
      <c r="J3756" s="4">
        <v>45931.0</v>
      </c>
      <c r="K3756" s="3">
        <v>9.0</v>
      </c>
      <c r="L3756" s="3" t="s">
        <v>42</v>
      </c>
    </row>
    <row r="3757" ht="15.75" customHeight="1">
      <c r="A3757" s="3" t="s">
        <v>3847</v>
      </c>
      <c r="B3757" s="3" t="s">
        <v>17</v>
      </c>
      <c r="C3757" s="3" t="s">
        <v>54</v>
      </c>
      <c r="D3757" s="3">
        <v>91253.5530166282</v>
      </c>
      <c r="E3757" s="3">
        <v>32315.6706460542</v>
      </c>
      <c r="F3757" s="3">
        <v>30668.5499083041</v>
      </c>
      <c r="G3757" s="3">
        <v>20401.4526711892</v>
      </c>
      <c r="H3757" s="3">
        <v>-105720.300090093</v>
      </c>
      <c r="I3757" s="3">
        <v>75005.3076790395</v>
      </c>
      <c r="J3757" s="4">
        <v>45778.0</v>
      </c>
      <c r="K3757" s="3">
        <v>24.0</v>
      </c>
      <c r="L3757" s="3" t="s">
        <v>15</v>
      </c>
    </row>
    <row r="3758" ht="15.75" customHeight="1">
      <c r="A3758" s="3" t="s">
        <v>3848</v>
      </c>
      <c r="B3758" s="3" t="s">
        <v>36</v>
      </c>
      <c r="C3758" s="3" t="s">
        <v>14</v>
      </c>
      <c r="D3758" s="3">
        <v>91264.4359865344</v>
      </c>
      <c r="E3758" s="3">
        <v>32320.2853643816</v>
      </c>
      <c r="F3758" s="3">
        <v>30676.2299117336</v>
      </c>
      <c r="G3758" s="3">
        <v>20404.8502218765</v>
      </c>
      <c r="H3758" s="3">
        <v>-105769.803807842</v>
      </c>
      <c r="I3758" s="3">
        <v>75008.6891534593</v>
      </c>
      <c r="J3758" s="4">
        <v>45839.0</v>
      </c>
      <c r="K3758" s="3">
        <v>15.0</v>
      </c>
      <c r="L3758" s="3" t="s">
        <v>19</v>
      </c>
    </row>
    <row r="3759" ht="15.75" customHeight="1">
      <c r="A3759" s="3" t="s">
        <v>3849</v>
      </c>
      <c r="B3759" s="3" t="s">
        <v>29</v>
      </c>
      <c r="C3759" s="3" t="s">
        <v>18</v>
      </c>
      <c r="D3759" s="3">
        <v>91275.3189564406</v>
      </c>
      <c r="E3759" s="3">
        <v>32324.9000827091</v>
      </c>
      <c r="F3759" s="3">
        <v>30683.9099151631</v>
      </c>
      <c r="G3759" s="3">
        <v>20408.2477725638</v>
      </c>
      <c r="H3759" s="3">
        <v>-105819.307525591</v>
      </c>
      <c r="I3759" s="3">
        <v>75012.0706278791</v>
      </c>
      <c r="J3759" s="4">
        <v>45658.0</v>
      </c>
      <c r="K3759" s="3">
        <v>4.0</v>
      </c>
      <c r="L3759" s="3" t="s">
        <v>21</v>
      </c>
    </row>
    <row r="3760" ht="15.75" customHeight="1">
      <c r="A3760" s="3" t="s">
        <v>3850</v>
      </c>
      <c r="B3760" s="3" t="s">
        <v>29</v>
      </c>
      <c r="C3760" s="3" t="s">
        <v>33</v>
      </c>
      <c r="D3760" s="3">
        <v>91286.2019263468</v>
      </c>
      <c r="E3760" s="3">
        <v>32329.5148010365</v>
      </c>
      <c r="F3760" s="3">
        <v>30691.5899185926</v>
      </c>
      <c r="G3760" s="3">
        <v>20411.6453232511</v>
      </c>
      <c r="H3760" s="3">
        <v>-105868.811243341</v>
      </c>
      <c r="I3760" s="3">
        <v>75015.452102299</v>
      </c>
      <c r="J3760" s="4">
        <v>45931.0</v>
      </c>
      <c r="K3760" s="3">
        <v>17.0</v>
      </c>
      <c r="L3760" s="3" t="s">
        <v>23</v>
      </c>
    </row>
    <row r="3761" ht="15.75" customHeight="1">
      <c r="A3761" s="3" t="s">
        <v>3851</v>
      </c>
      <c r="B3761" s="3" t="s">
        <v>36</v>
      </c>
      <c r="C3761" s="3" t="s">
        <v>18</v>
      </c>
      <c r="D3761" s="3">
        <v>91297.084896253</v>
      </c>
      <c r="E3761" s="3">
        <v>32334.1295193639</v>
      </c>
      <c r="F3761" s="3">
        <v>30699.2699220221</v>
      </c>
      <c r="G3761" s="3">
        <v>20415.0428739384</v>
      </c>
      <c r="H3761" s="3">
        <v>-105918.31496109</v>
      </c>
      <c r="I3761" s="3">
        <v>75018.8335767188</v>
      </c>
      <c r="J3761" s="4">
        <v>45962.0</v>
      </c>
      <c r="K3761" s="3">
        <v>1.0</v>
      </c>
      <c r="L3761" s="3" t="s">
        <v>27</v>
      </c>
    </row>
    <row r="3762" ht="15.75" customHeight="1">
      <c r="A3762" s="3" t="s">
        <v>3852</v>
      </c>
      <c r="B3762" s="3" t="s">
        <v>53</v>
      </c>
      <c r="C3762" s="3" t="s">
        <v>30</v>
      </c>
      <c r="D3762" s="3">
        <v>91307.9678661592</v>
      </c>
      <c r="E3762" s="3">
        <v>32338.7442376913</v>
      </c>
      <c r="F3762" s="3">
        <v>30706.9499254516</v>
      </c>
      <c r="G3762" s="3">
        <v>20418.4404246257</v>
      </c>
      <c r="H3762" s="3">
        <v>-105967.818678839</v>
      </c>
      <c r="I3762" s="3">
        <v>75022.2150511386</v>
      </c>
      <c r="J3762" s="4">
        <v>45748.0</v>
      </c>
      <c r="K3762" s="3">
        <v>12.0</v>
      </c>
      <c r="L3762" s="3" t="s">
        <v>31</v>
      </c>
    </row>
    <row r="3763" ht="15.75" customHeight="1">
      <c r="A3763" s="3" t="s">
        <v>3853</v>
      </c>
      <c r="B3763" s="3" t="s">
        <v>53</v>
      </c>
      <c r="C3763" s="3" t="s">
        <v>18</v>
      </c>
      <c r="D3763" s="3">
        <v>91318.8508360653</v>
      </c>
      <c r="E3763" s="3">
        <v>32343.3589560188</v>
      </c>
      <c r="F3763" s="3">
        <v>30714.6299288811</v>
      </c>
      <c r="G3763" s="3">
        <v>20421.837975313</v>
      </c>
      <c r="H3763" s="3">
        <v>-106017.322396588</v>
      </c>
      <c r="I3763" s="3">
        <v>75025.5965255584</v>
      </c>
      <c r="J3763" s="4">
        <v>45809.0</v>
      </c>
      <c r="K3763" s="3">
        <v>24.0</v>
      </c>
      <c r="L3763" s="3" t="s">
        <v>34</v>
      </c>
    </row>
    <row r="3764" ht="15.75" customHeight="1">
      <c r="A3764" s="3" t="s">
        <v>3854</v>
      </c>
      <c r="B3764" s="3" t="s">
        <v>53</v>
      </c>
      <c r="C3764" s="3" t="s">
        <v>33</v>
      </c>
      <c r="D3764" s="3">
        <v>91329.7338059715</v>
      </c>
      <c r="E3764" s="3">
        <v>32347.9736743462</v>
      </c>
      <c r="F3764" s="3">
        <v>30722.3099323106</v>
      </c>
      <c r="G3764" s="3">
        <v>20425.2355260003</v>
      </c>
      <c r="H3764" s="3">
        <v>-106066.826114337</v>
      </c>
      <c r="I3764" s="3">
        <v>75028.9779999782</v>
      </c>
      <c r="J3764" s="4">
        <v>45931.0</v>
      </c>
      <c r="K3764" s="3">
        <v>6.0</v>
      </c>
      <c r="L3764" s="3" t="s">
        <v>38</v>
      </c>
    </row>
    <row r="3765" ht="15.75" customHeight="1">
      <c r="A3765" s="3" t="s">
        <v>3855</v>
      </c>
      <c r="B3765" s="3" t="s">
        <v>13</v>
      </c>
      <c r="C3765" s="3" t="s">
        <v>37</v>
      </c>
      <c r="D3765" s="3">
        <v>91340.6167758777</v>
      </c>
      <c r="E3765" s="3">
        <v>32352.5883926736</v>
      </c>
      <c r="F3765" s="3">
        <v>30729.9899357401</v>
      </c>
      <c r="G3765" s="3">
        <v>20428.6330766875</v>
      </c>
      <c r="H3765" s="3">
        <v>-106116.329832086</v>
      </c>
      <c r="I3765" s="3">
        <v>75032.359474398</v>
      </c>
      <c r="J3765" s="4">
        <v>45901.0</v>
      </c>
      <c r="K3765" s="3">
        <v>23.0</v>
      </c>
      <c r="L3765" s="3" t="s">
        <v>40</v>
      </c>
    </row>
    <row r="3766" ht="15.75" customHeight="1">
      <c r="A3766" s="3" t="s">
        <v>3856</v>
      </c>
      <c r="B3766" s="3" t="s">
        <v>17</v>
      </c>
      <c r="C3766" s="3" t="s">
        <v>18</v>
      </c>
      <c r="D3766" s="3">
        <v>91351.4997457839</v>
      </c>
      <c r="E3766" s="3">
        <v>32357.203111001</v>
      </c>
      <c r="F3766" s="3">
        <v>30737.6699391696</v>
      </c>
      <c r="G3766" s="3">
        <v>20432.0306273748</v>
      </c>
      <c r="H3766" s="3">
        <v>-106165.833549835</v>
      </c>
      <c r="I3766" s="3">
        <v>75035.7409488178</v>
      </c>
      <c r="J3766" s="4">
        <v>45809.0</v>
      </c>
      <c r="K3766" s="3">
        <v>8.0</v>
      </c>
      <c r="L3766" s="3" t="s">
        <v>42</v>
      </c>
    </row>
    <row r="3767" ht="15.75" customHeight="1">
      <c r="A3767" s="3" t="s">
        <v>3857</v>
      </c>
      <c r="B3767" s="3" t="s">
        <v>36</v>
      </c>
      <c r="C3767" s="3" t="s">
        <v>26</v>
      </c>
      <c r="D3767" s="3">
        <v>91362.3827156901</v>
      </c>
      <c r="E3767" s="3">
        <v>32361.8178293284</v>
      </c>
      <c r="F3767" s="3">
        <v>30745.3499425991</v>
      </c>
      <c r="G3767" s="3">
        <v>20435.4281780621</v>
      </c>
      <c r="H3767" s="3">
        <v>-106215.337267585</v>
      </c>
      <c r="I3767" s="3">
        <v>75039.1224232377</v>
      </c>
      <c r="J3767" s="4">
        <v>45992.0</v>
      </c>
      <c r="K3767" s="3">
        <v>9.0</v>
      </c>
      <c r="L3767" s="3" t="s">
        <v>15</v>
      </c>
    </row>
    <row r="3768" ht="15.75" customHeight="1">
      <c r="A3768" s="3" t="s">
        <v>3858</v>
      </c>
      <c r="B3768" s="3" t="s">
        <v>36</v>
      </c>
      <c r="C3768" s="3" t="s">
        <v>54</v>
      </c>
      <c r="D3768" s="3">
        <v>91373.2656855963</v>
      </c>
      <c r="E3768" s="3">
        <v>32366.4325476559</v>
      </c>
      <c r="F3768" s="3">
        <v>30753.0299460286</v>
      </c>
      <c r="G3768" s="3">
        <v>20438.8257287494</v>
      </c>
      <c r="H3768" s="3">
        <v>-106264.840985334</v>
      </c>
      <c r="I3768" s="3">
        <v>75042.5038976575</v>
      </c>
      <c r="J3768" s="4">
        <v>45748.0</v>
      </c>
      <c r="K3768" s="3">
        <v>16.0</v>
      </c>
      <c r="L3768" s="3" t="s">
        <v>19</v>
      </c>
    </row>
    <row r="3769" ht="15.75" customHeight="1">
      <c r="A3769" s="3" t="s">
        <v>3859</v>
      </c>
      <c r="B3769" s="3" t="s">
        <v>51</v>
      </c>
      <c r="C3769" s="3" t="s">
        <v>33</v>
      </c>
      <c r="D3769" s="5"/>
      <c r="E3769" s="3">
        <v>32371.0472659833</v>
      </c>
      <c r="F3769" s="3">
        <v>30760.7099494581</v>
      </c>
      <c r="G3769" s="3">
        <v>20442.2232794367</v>
      </c>
      <c r="H3769" s="3">
        <v>-106314.344703083</v>
      </c>
      <c r="I3769" s="3">
        <v>75045.8853720773</v>
      </c>
      <c r="J3769" s="4">
        <v>45778.0</v>
      </c>
      <c r="K3769" s="3">
        <v>2.0</v>
      </c>
      <c r="L3769" s="3" t="s">
        <v>21</v>
      </c>
    </row>
    <row r="3770" ht="15.75" customHeight="1">
      <c r="A3770" s="3" t="s">
        <v>3860</v>
      </c>
      <c r="B3770" s="3" t="s">
        <v>51</v>
      </c>
      <c r="C3770" s="3" t="s">
        <v>26</v>
      </c>
      <c r="D3770" s="3">
        <v>91395.0316254087</v>
      </c>
      <c r="E3770" s="3">
        <v>32375.6619843107</v>
      </c>
      <c r="F3770" s="3">
        <v>30768.3899528876</v>
      </c>
      <c r="G3770" s="3">
        <v>20445.620830124</v>
      </c>
      <c r="H3770" s="3">
        <v>-106363.848420832</v>
      </c>
      <c r="I3770" s="3">
        <v>75049.2668464971</v>
      </c>
      <c r="J3770" s="4">
        <v>45901.0</v>
      </c>
      <c r="K3770" s="3">
        <v>21.0</v>
      </c>
      <c r="L3770" s="3" t="s">
        <v>23</v>
      </c>
    </row>
    <row r="3771" ht="15.75" customHeight="1">
      <c r="A3771" s="3" t="s">
        <v>3861</v>
      </c>
      <c r="B3771" s="3" t="s">
        <v>13</v>
      </c>
      <c r="C3771" s="3" t="s">
        <v>14</v>
      </c>
      <c r="D3771" s="3">
        <v>91405.9145953149</v>
      </c>
      <c r="E3771" s="3">
        <v>32380.2767026381</v>
      </c>
      <c r="F3771" s="3">
        <v>30776.0699563171</v>
      </c>
      <c r="G3771" s="3">
        <v>20449.0183808113</v>
      </c>
      <c r="H3771" s="3">
        <v>-106413.352138581</v>
      </c>
      <c r="I3771" s="3">
        <v>75052.6483209169</v>
      </c>
      <c r="J3771" s="4">
        <v>45839.0</v>
      </c>
      <c r="K3771" s="3">
        <v>7.0</v>
      </c>
      <c r="L3771" s="3" t="s">
        <v>27</v>
      </c>
    </row>
    <row r="3772" ht="15.75" customHeight="1">
      <c r="A3772" s="3" t="s">
        <v>3862</v>
      </c>
      <c r="B3772" s="3" t="s">
        <v>29</v>
      </c>
      <c r="C3772" s="3" t="s">
        <v>54</v>
      </c>
      <c r="D3772" s="3">
        <v>91416.7975652211</v>
      </c>
      <c r="E3772" s="3">
        <v>32384.8914209656</v>
      </c>
      <c r="F3772" s="3">
        <v>30783.7499597466</v>
      </c>
      <c r="G3772" s="3">
        <v>20452.4159314986</v>
      </c>
      <c r="H3772" s="3">
        <v>-106462.85585633</v>
      </c>
      <c r="I3772" s="3">
        <v>75056.0297953367</v>
      </c>
      <c r="J3772" s="4">
        <v>45658.0</v>
      </c>
      <c r="K3772" s="3">
        <v>10.0</v>
      </c>
      <c r="L3772" s="3" t="s">
        <v>31</v>
      </c>
    </row>
    <row r="3773" ht="15.75" customHeight="1">
      <c r="A3773" s="3" t="s">
        <v>3863</v>
      </c>
      <c r="B3773" s="3" t="s">
        <v>13</v>
      </c>
      <c r="C3773" s="3" t="s">
        <v>33</v>
      </c>
      <c r="D3773" s="3">
        <v>91427.6805351273</v>
      </c>
      <c r="E3773" s="3">
        <v>32389.506139293</v>
      </c>
      <c r="F3773" s="3">
        <v>30791.4299631761</v>
      </c>
      <c r="G3773" s="3">
        <v>20455.8134821858</v>
      </c>
      <c r="H3773" s="3">
        <v>-106512.359574079</v>
      </c>
      <c r="I3773" s="3">
        <v>75059.4112697565</v>
      </c>
      <c r="J3773" s="4">
        <v>45992.0</v>
      </c>
      <c r="K3773" s="3">
        <v>18.0</v>
      </c>
      <c r="L3773" s="3" t="s">
        <v>34</v>
      </c>
    </row>
    <row r="3774" ht="15.75" customHeight="1">
      <c r="A3774" s="3" t="s">
        <v>3864</v>
      </c>
      <c r="B3774" s="3" t="s">
        <v>25</v>
      </c>
      <c r="C3774" s="3" t="s">
        <v>54</v>
      </c>
      <c r="D3774" s="3">
        <v>91438.5635050335</v>
      </c>
      <c r="E3774" s="3">
        <v>32394.1208576204</v>
      </c>
      <c r="F3774" s="3">
        <v>30799.1099666056</v>
      </c>
      <c r="G3774" s="3">
        <v>20459.2110328731</v>
      </c>
      <c r="H3774" s="3">
        <v>-106561.863291828</v>
      </c>
      <c r="I3774" s="3">
        <v>75062.7927441764</v>
      </c>
      <c r="J3774" s="4">
        <v>45992.0</v>
      </c>
      <c r="K3774" s="3">
        <v>15.0</v>
      </c>
      <c r="L3774" s="3" t="s">
        <v>38</v>
      </c>
    </row>
    <row r="3775" ht="15.75" customHeight="1">
      <c r="A3775" s="3" t="s">
        <v>3865</v>
      </c>
      <c r="B3775" s="3" t="s">
        <v>36</v>
      </c>
      <c r="C3775" s="3" t="s">
        <v>26</v>
      </c>
      <c r="D3775" s="3">
        <v>91449.4464749397</v>
      </c>
      <c r="E3775" s="3">
        <v>32398.7355759478</v>
      </c>
      <c r="F3775" s="3">
        <v>30806.7899700351</v>
      </c>
      <c r="G3775" s="3">
        <v>20462.6085835604</v>
      </c>
      <c r="H3775" s="3">
        <v>-106611.367009578</v>
      </c>
      <c r="I3775" s="3">
        <v>75066.1742185962</v>
      </c>
      <c r="J3775" s="4">
        <v>45658.0</v>
      </c>
      <c r="K3775" s="3">
        <v>24.0</v>
      </c>
      <c r="L3775" s="3" t="s">
        <v>40</v>
      </c>
    </row>
    <row r="3776" ht="15.75" customHeight="1">
      <c r="A3776" s="3" t="s">
        <v>3866</v>
      </c>
      <c r="B3776" s="3" t="s">
        <v>29</v>
      </c>
      <c r="C3776" s="3" t="s">
        <v>33</v>
      </c>
      <c r="D3776" s="3">
        <v>91460.3294448459</v>
      </c>
      <c r="E3776" s="3">
        <v>32403.3502942752</v>
      </c>
      <c r="F3776" s="3">
        <v>30814.4699734645</v>
      </c>
      <c r="G3776" s="3">
        <v>20466.0061342477</v>
      </c>
      <c r="H3776" s="3">
        <v>-106660.870727327</v>
      </c>
      <c r="I3776" s="3">
        <v>75069.555693016</v>
      </c>
      <c r="J3776" s="4">
        <v>45809.0</v>
      </c>
      <c r="K3776" s="3">
        <v>24.0</v>
      </c>
      <c r="L3776" s="3" t="s">
        <v>42</v>
      </c>
    </row>
    <row r="3777" ht="15.75" customHeight="1">
      <c r="A3777" s="3" t="s">
        <v>3867</v>
      </c>
      <c r="B3777" s="3" t="s">
        <v>36</v>
      </c>
      <c r="C3777" s="3" t="s">
        <v>26</v>
      </c>
      <c r="D3777" s="3">
        <v>91471.2124147521</v>
      </c>
      <c r="E3777" s="3">
        <v>32407.9650126027</v>
      </c>
      <c r="F3777" s="3">
        <v>30822.149976894</v>
      </c>
      <c r="G3777" s="3">
        <v>20469.403684935</v>
      </c>
      <c r="H3777" s="3">
        <v>-106710.374445076</v>
      </c>
      <c r="I3777" s="3">
        <v>75072.9371674358</v>
      </c>
      <c r="J3777" s="4">
        <v>45901.0</v>
      </c>
      <c r="K3777" s="3">
        <v>22.0</v>
      </c>
      <c r="L3777" s="3" t="s">
        <v>15</v>
      </c>
    </row>
    <row r="3778" ht="15.75" customHeight="1">
      <c r="A3778" s="3" t="s">
        <v>3868</v>
      </c>
      <c r="B3778" s="3" t="s">
        <v>29</v>
      </c>
      <c r="C3778" s="3" t="s">
        <v>54</v>
      </c>
      <c r="D3778" s="3">
        <v>91482.0953846583</v>
      </c>
      <c r="E3778" s="3">
        <v>32412.5797309301</v>
      </c>
      <c r="F3778" s="3">
        <v>30829.8299803235</v>
      </c>
      <c r="G3778" s="3">
        <v>20472.8012356223</v>
      </c>
      <c r="H3778" s="3">
        <v>-106759.878162825</v>
      </c>
      <c r="I3778" s="3">
        <v>75076.3186418556</v>
      </c>
      <c r="J3778" s="4">
        <v>45962.0</v>
      </c>
      <c r="K3778" s="3">
        <v>12.0</v>
      </c>
      <c r="L3778" s="3" t="s">
        <v>19</v>
      </c>
    </row>
    <row r="3779" ht="15.75" customHeight="1">
      <c r="A3779" s="3" t="s">
        <v>3869</v>
      </c>
      <c r="B3779" s="3" t="s">
        <v>13</v>
      </c>
      <c r="C3779" s="3" t="s">
        <v>14</v>
      </c>
      <c r="D3779" s="3">
        <v>91492.9783545644</v>
      </c>
      <c r="E3779" s="3">
        <v>32417.1944492575</v>
      </c>
      <c r="F3779" s="3">
        <v>30837.509983753</v>
      </c>
      <c r="G3779" s="3">
        <v>20476.1987863096</v>
      </c>
      <c r="H3779" s="3">
        <v>-106809.381880574</v>
      </c>
      <c r="I3779" s="3">
        <v>75079.7001162754</v>
      </c>
      <c r="J3779" s="4">
        <v>45689.0</v>
      </c>
      <c r="K3779" s="3">
        <v>22.0</v>
      </c>
      <c r="L3779" s="3" t="s">
        <v>21</v>
      </c>
    </row>
    <row r="3780" ht="15.75" customHeight="1">
      <c r="A3780" s="3" t="s">
        <v>3870</v>
      </c>
      <c r="B3780" s="3" t="s">
        <v>13</v>
      </c>
      <c r="C3780" s="3" t="s">
        <v>26</v>
      </c>
      <c r="D3780" s="3">
        <v>91503.8613244706</v>
      </c>
      <c r="E3780" s="3">
        <v>32421.8091675849</v>
      </c>
      <c r="F3780" s="3">
        <v>30845.1899871825</v>
      </c>
      <c r="G3780" s="3">
        <v>20479.5963369969</v>
      </c>
      <c r="H3780" s="3">
        <v>-106858.885598323</v>
      </c>
      <c r="I3780" s="3">
        <v>75083.0815906952</v>
      </c>
      <c r="J3780" s="4">
        <v>45658.0</v>
      </c>
      <c r="K3780" s="3">
        <v>14.0</v>
      </c>
      <c r="L3780" s="3" t="s">
        <v>23</v>
      </c>
    </row>
    <row r="3781" ht="15.75" customHeight="1">
      <c r="A3781" s="3" t="s">
        <v>3871</v>
      </c>
      <c r="B3781" s="3" t="s">
        <v>51</v>
      </c>
      <c r="C3781" s="3" t="s">
        <v>30</v>
      </c>
      <c r="D3781" s="3">
        <v>91514.7442943768</v>
      </c>
      <c r="E3781" s="3">
        <v>32426.4238859123</v>
      </c>
      <c r="F3781" s="3">
        <v>30852.869990612</v>
      </c>
      <c r="G3781" s="3">
        <v>20482.9938876841</v>
      </c>
      <c r="H3781" s="3">
        <v>-106908.389316072</v>
      </c>
      <c r="I3781" s="3">
        <v>75086.4630651151</v>
      </c>
      <c r="J3781" s="4">
        <v>45839.0</v>
      </c>
      <c r="K3781" s="3">
        <v>18.0</v>
      </c>
      <c r="L3781" s="3" t="s">
        <v>27</v>
      </c>
    </row>
    <row r="3782" ht="15.75" customHeight="1">
      <c r="A3782" s="3" t="s">
        <v>3872</v>
      </c>
      <c r="B3782" s="3" t="s">
        <v>51</v>
      </c>
      <c r="C3782" s="3" t="s">
        <v>37</v>
      </c>
      <c r="D3782" s="3">
        <v>91525.627264283</v>
      </c>
      <c r="E3782" s="3">
        <v>32431.0386042398</v>
      </c>
      <c r="F3782" s="3">
        <v>30860.5499940415</v>
      </c>
      <c r="G3782" s="3">
        <v>20486.3914383714</v>
      </c>
      <c r="H3782" s="3">
        <v>-106957.893033821</v>
      </c>
      <c r="I3782" s="3">
        <v>75089.8445395349</v>
      </c>
      <c r="J3782" s="4">
        <v>45778.0</v>
      </c>
      <c r="K3782" s="3">
        <v>4.0</v>
      </c>
      <c r="L3782" s="3" t="s">
        <v>31</v>
      </c>
    </row>
    <row r="3783" ht="15.75" customHeight="1">
      <c r="A3783" s="3" t="s">
        <v>3873</v>
      </c>
      <c r="B3783" s="3" t="s">
        <v>51</v>
      </c>
      <c r="C3783" s="3" t="s">
        <v>33</v>
      </c>
      <c r="D3783" s="3">
        <v>91547.3932040954</v>
      </c>
      <c r="E3783" s="3">
        <v>32440.2680408946</v>
      </c>
      <c r="F3783" s="3">
        <v>30875.9100009005</v>
      </c>
      <c r="G3783" s="3">
        <v>20493.186539746</v>
      </c>
      <c r="H3783" s="3">
        <v>-107056.90046932</v>
      </c>
      <c r="I3783" s="3">
        <v>75096.6074883745</v>
      </c>
      <c r="J3783" s="4">
        <v>45717.0</v>
      </c>
      <c r="K3783" s="3">
        <v>22.0</v>
      </c>
      <c r="L3783" s="3" t="s">
        <v>38</v>
      </c>
    </row>
    <row r="3784" ht="15.75" customHeight="1">
      <c r="A3784" s="3" t="s">
        <v>3874</v>
      </c>
      <c r="B3784" s="3" t="s">
        <v>25</v>
      </c>
      <c r="C3784" s="3" t="s">
        <v>54</v>
      </c>
      <c r="D3784" s="3">
        <v>91558.2761740016</v>
      </c>
      <c r="E3784" s="3">
        <v>32444.882759222</v>
      </c>
      <c r="F3784" s="3">
        <v>30883.59000433</v>
      </c>
      <c r="G3784" s="3">
        <v>20496.5840904333</v>
      </c>
      <c r="H3784" s="3">
        <v>-107106.404187069</v>
      </c>
      <c r="I3784" s="3">
        <v>75099.9889627943</v>
      </c>
      <c r="J3784" s="4">
        <v>45717.0</v>
      </c>
      <c r="K3784" s="3">
        <v>25.0</v>
      </c>
      <c r="L3784" s="3" t="s">
        <v>40</v>
      </c>
    </row>
    <row r="3785" ht="15.75" customHeight="1">
      <c r="A3785" s="3" t="s">
        <v>3875</v>
      </c>
      <c r="B3785" s="3" t="s">
        <v>29</v>
      </c>
      <c r="C3785" s="3" t="s">
        <v>14</v>
      </c>
      <c r="D3785" s="3">
        <v>91580.042113814</v>
      </c>
      <c r="E3785" s="3">
        <v>32454.1121958769</v>
      </c>
      <c r="F3785" s="3">
        <v>30898.950011189</v>
      </c>
      <c r="G3785" s="3">
        <v>20503.3791918079</v>
      </c>
      <c r="H3785" s="3">
        <v>-107205.411622567</v>
      </c>
      <c r="I3785" s="3">
        <v>75106.7519116339</v>
      </c>
      <c r="J3785" s="4">
        <v>45962.0</v>
      </c>
      <c r="K3785" s="3">
        <v>16.0</v>
      </c>
      <c r="L3785" s="3" t="s">
        <v>15</v>
      </c>
    </row>
    <row r="3786" ht="15.75" customHeight="1">
      <c r="A3786" s="3" t="s">
        <v>3876</v>
      </c>
      <c r="B3786" s="3" t="s">
        <v>25</v>
      </c>
      <c r="C3786" s="3" t="s">
        <v>37</v>
      </c>
      <c r="D3786" s="3">
        <v>91590.9250837202</v>
      </c>
      <c r="E3786" s="3">
        <v>32458.7269142043</v>
      </c>
      <c r="F3786" s="3">
        <v>30906.6300146185</v>
      </c>
      <c r="G3786" s="3">
        <v>20506.7767424951</v>
      </c>
      <c r="H3786" s="3">
        <v>-107254.915340316</v>
      </c>
      <c r="I3786" s="3">
        <v>75110.1333860538</v>
      </c>
      <c r="J3786" s="4">
        <v>45689.0</v>
      </c>
      <c r="K3786" s="3">
        <v>12.0</v>
      </c>
      <c r="L3786" s="3" t="s">
        <v>19</v>
      </c>
    </row>
    <row r="3787" ht="15.75" customHeight="1">
      <c r="A3787" s="3" t="s">
        <v>3877</v>
      </c>
      <c r="B3787" s="3" t="s">
        <v>13</v>
      </c>
      <c r="C3787" s="3" t="s">
        <v>18</v>
      </c>
      <c r="D3787" s="3">
        <v>91601.8080536264</v>
      </c>
      <c r="E3787" s="3">
        <v>32463.3416325317</v>
      </c>
      <c r="F3787" s="3">
        <v>30914.310018048</v>
      </c>
      <c r="G3787" s="3">
        <v>20510.1742931824</v>
      </c>
      <c r="H3787" s="3">
        <v>-107304.419058065</v>
      </c>
      <c r="I3787" s="3">
        <v>75113.5148604736</v>
      </c>
      <c r="J3787" s="4">
        <v>45839.0</v>
      </c>
      <c r="K3787" s="3">
        <v>3.0</v>
      </c>
      <c r="L3787" s="3" t="s">
        <v>21</v>
      </c>
    </row>
    <row r="3788" ht="15.75" customHeight="1">
      <c r="A3788" s="3" t="s">
        <v>3878</v>
      </c>
      <c r="B3788" s="3" t="s">
        <v>25</v>
      </c>
      <c r="C3788" s="3" t="s">
        <v>18</v>
      </c>
      <c r="D3788" s="3">
        <v>91612.6910235326</v>
      </c>
      <c r="E3788" s="3">
        <v>32467.9563508591</v>
      </c>
      <c r="F3788" s="3">
        <v>30921.9900214775</v>
      </c>
      <c r="G3788" s="3">
        <v>20513.5718438697</v>
      </c>
      <c r="H3788" s="3">
        <v>-107353.922775814</v>
      </c>
      <c r="I3788" s="3">
        <v>75116.8963348934</v>
      </c>
      <c r="J3788" s="4">
        <v>45992.0</v>
      </c>
      <c r="K3788" s="3">
        <v>16.0</v>
      </c>
      <c r="L3788" s="3" t="s">
        <v>23</v>
      </c>
    </row>
    <row r="3789" ht="15.75" customHeight="1">
      <c r="A3789" s="3" t="s">
        <v>3879</v>
      </c>
      <c r="B3789" s="3" t="s">
        <v>36</v>
      </c>
      <c r="C3789" s="3" t="s">
        <v>18</v>
      </c>
      <c r="D3789" s="3">
        <v>91623.5739934388</v>
      </c>
      <c r="E3789" s="3">
        <v>32472.5710691866</v>
      </c>
      <c r="F3789" s="3">
        <v>30929.670024907</v>
      </c>
      <c r="G3789" s="3">
        <v>20516.969394557</v>
      </c>
      <c r="H3789" s="3">
        <v>-107403.426493564</v>
      </c>
      <c r="I3789" s="3">
        <v>75120.2778093132</v>
      </c>
      <c r="J3789" s="4">
        <v>45962.0</v>
      </c>
      <c r="K3789" s="3">
        <v>25.0</v>
      </c>
      <c r="L3789" s="3" t="s">
        <v>27</v>
      </c>
    </row>
    <row r="3790" ht="15.75" customHeight="1">
      <c r="A3790" s="3" t="s">
        <v>3880</v>
      </c>
      <c r="B3790" s="3" t="s">
        <v>51</v>
      </c>
      <c r="C3790" s="3" t="s">
        <v>54</v>
      </c>
      <c r="D3790" s="3">
        <v>91634.456963345</v>
      </c>
      <c r="E3790" s="3">
        <v>32477.185787514</v>
      </c>
      <c r="F3790" s="3">
        <v>30937.3500283365</v>
      </c>
      <c r="G3790" s="3">
        <v>20520.3669452443</v>
      </c>
      <c r="H3790" s="3">
        <v>-107452.930211313</v>
      </c>
      <c r="I3790" s="3">
        <v>75123.659283733</v>
      </c>
      <c r="J3790" s="4">
        <v>45992.0</v>
      </c>
      <c r="K3790" s="3">
        <v>4.0</v>
      </c>
      <c r="L3790" s="3" t="s">
        <v>31</v>
      </c>
    </row>
    <row r="3791" ht="15.75" customHeight="1">
      <c r="A3791" s="3" t="s">
        <v>3881</v>
      </c>
      <c r="B3791" s="3" t="s">
        <v>51</v>
      </c>
      <c r="C3791" s="3" t="s">
        <v>14</v>
      </c>
      <c r="D3791" s="3">
        <v>91645.3399332511</v>
      </c>
      <c r="E3791" s="3">
        <v>32481.8005058414</v>
      </c>
      <c r="F3791" s="3">
        <v>30945.030031766</v>
      </c>
      <c r="G3791" s="3">
        <v>20523.7644959316</v>
      </c>
      <c r="H3791" s="3">
        <v>-107502.433929062</v>
      </c>
      <c r="I3791" s="3">
        <v>75127.0407581528</v>
      </c>
      <c r="J3791" s="4">
        <v>45809.0</v>
      </c>
      <c r="K3791" s="3">
        <v>3.0</v>
      </c>
      <c r="L3791" s="3" t="s">
        <v>34</v>
      </c>
    </row>
    <row r="3792" ht="15.75" customHeight="1">
      <c r="A3792" s="3" t="s">
        <v>3882</v>
      </c>
      <c r="B3792" s="3" t="s">
        <v>53</v>
      </c>
      <c r="C3792" s="3" t="s">
        <v>37</v>
      </c>
      <c r="D3792" s="3">
        <v>91656.2229031573</v>
      </c>
      <c r="E3792" s="3">
        <v>32486.4152241688</v>
      </c>
      <c r="F3792" s="3">
        <v>30952.7100351955</v>
      </c>
      <c r="G3792" s="3">
        <v>20527.1620466189</v>
      </c>
      <c r="H3792" s="3">
        <v>-107551.937646811</v>
      </c>
      <c r="I3792" s="3">
        <v>75130.4222325727</v>
      </c>
      <c r="J3792" s="4">
        <v>45992.0</v>
      </c>
      <c r="K3792" s="3">
        <v>7.0</v>
      </c>
      <c r="L3792" s="3" t="s">
        <v>38</v>
      </c>
    </row>
    <row r="3793" ht="15.75" customHeight="1">
      <c r="A3793" s="3" t="s">
        <v>3883</v>
      </c>
      <c r="B3793" s="3" t="s">
        <v>17</v>
      </c>
      <c r="C3793" s="3" t="s">
        <v>37</v>
      </c>
      <c r="D3793" s="3">
        <v>91667.1058730635</v>
      </c>
      <c r="E3793" s="3">
        <v>32491.0299424963</v>
      </c>
      <c r="F3793" s="3">
        <v>30960.390038625</v>
      </c>
      <c r="G3793" s="3">
        <v>20530.5595973062</v>
      </c>
      <c r="H3793" s="3">
        <v>-107601.44136456</v>
      </c>
      <c r="I3793" s="3">
        <v>75133.8037069925</v>
      </c>
      <c r="J3793" s="4">
        <v>45901.0</v>
      </c>
      <c r="K3793" s="3">
        <v>8.0</v>
      </c>
      <c r="L3793" s="3" t="s">
        <v>40</v>
      </c>
    </row>
    <row r="3794" ht="15.75" customHeight="1">
      <c r="A3794" s="3" t="s">
        <v>3884</v>
      </c>
      <c r="B3794" s="3" t="s">
        <v>25</v>
      </c>
      <c r="C3794" s="3" t="s">
        <v>14</v>
      </c>
      <c r="D3794" s="3">
        <v>91677.9888429697</v>
      </c>
      <c r="E3794" s="3">
        <v>32495.6446608237</v>
      </c>
      <c r="F3794" s="3">
        <v>30968.0700420545</v>
      </c>
      <c r="G3794" s="3">
        <v>20533.9571479934</v>
      </c>
      <c r="H3794" s="3">
        <v>-107650.945082309</v>
      </c>
      <c r="I3794" s="3">
        <v>75137.1851814123</v>
      </c>
      <c r="J3794" s="4">
        <v>45931.0</v>
      </c>
      <c r="K3794" s="3">
        <v>25.0</v>
      </c>
      <c r="L3794" s="3" t="s">
        <v>42</v>
      </c>
    </row>
    <row r="3795" ht="15.75" customHeight="1">
      <c r="A3795" s="3" t="s">
        <v>3885</v>
      </c>
      <c r="B3795" s="3" t="s">
        <v>53</v>
      </c>
      <c r="C3795" s="3" t="s">
        <v>54</v>
      </c>
      <c r="D3795" s="3">
        <v>91688.8718128759</v>
      </c>
      <c r="E3795" s="3">
        <v>32500.2593791511</v>
      </c>
      <c r="F3795" s="3">
        <v>30975.750045484</v>
      </c>
      <c r="G3795" s="3">
        <v>20537.3546986807</v>
      </c>
      <c r="H3795" s="3">
        <v>-107700.448800058</v>
      </c>
      <c r="I3795" s="3">
        <v>75140.5666558321</v>
      </c>
      <c r="J3795" s="4">
        <v>45689.0</v>
      </c>
      <c r="K3795" s="3">
        <v>25.0</v>
      </c>
      <c r="L3795" s="3" t="s">
        <v>15</v>
      </c>
    </row>
    <row r="3796" ht="15.75" customHeight="1">
      <c r="A3796" s="3" t="s">
        <v>3886</v>
      </c>
      <c r="B3796" s="3" t="s">
        <v>53</v>
      </c>
      <c r="C3796" s="3" t="s">
        <v>14</v>
      </c>
      <c r="D3796" s="3">
        <v>91699.7547827821</v>
      </c>
      <c r="E3796" s="3">
        <v>32504.8740974785</v>
      </c>
      <c r="F3796" s="3">
        <v>30983.4300489135</v>
      </c>
      <c r="G3796" s="3">
        <v>20540.752249368</v>
      </c>
      <c r="H3796" s="3">
        <v>-107749.952517807</v>
      </c>
      <c r="I3796" s="3">
        <v>75143.9481302519</v>
      </c>
      <c r="J3796" s="4">
        <v>45931.0</v>
      </c>
      <c r="K3796" s="3">
        <v>23.0</v>
      </c>
      <c r="L3796" s="3" t="s">
        <v>19</v>
      </c>
    </row>
    <row r="3797" ht="15.75" customHeight="1">
      <c r="A3797" s="3" t="s">
        <v>3887</v>
      </c>
      <c r="B3797" s="3" t="s">
        <v>25</v>
      </c>
      <c r="C3797" s="3" t="s">
        <v>54</v>
      </c>
      <c r="D3797" s="3">
        <v>91710.6377526883</v>
      </c>
      <c r="E3797" s="3">
        <v>32509.4888158059</v>
      </c>
      <c r="F3797" s="3">
        <v>30991.110052343</v>
      </c>
      <c r="G3797" s="3">
        <v>20544.1498000553</v>
      </c>
      <c r="H3797" s="3">
        <v>-107799.456235557</v>
      </c>
      <c r="I3797" s="3">
        <v>75147.3296046717</v>
      </c>
      <c r="J3797" s="4">
        <v>45962.0</v>
      </c>
      <c r="K3797" s="3">
        <v>13.0</v>
      </c>
      <c r="L3797" s="3" t="s">
        <v>21</v>
      </c>
    </row>
    <row r="3798" ht="15.75" customHeight="1">
      <c r="A3798" s="3" t="s">
        <v>3888</v>
      </c>
      <c r="B3798" s="3" t="s">
        <v>25</v>
      </c>
      <c r="C3798" s="3" t="s">
        <v>26</v>
      </c>
      <c r="D3798" s="3">
        <v>91721.5207225945</v>
      </c>
      <c r="E3798" s="3">
        <v>32514.1035341334</v>
      </c>
      <c r="F3798" s="3">
        <v>30998.7900557725</v>
      </c>
      <c r="G3798" s="3">
        <v>20547.5473507426</v>
      </c>
      <c r="H3798" s="3">
        <v>-107848.959953306</v>
      </c>
      <c r="I3798" s="3">
        <v>75150.7110790915</v>
      </c>
      <c r="J3798" s="4">
        <v>45658.0</v>
      </c>
      <c r="K3798" s="3">
        <v>24.0</v>
      </c>
      <c r="L3798" s="3" t="s">
        <v>23</v>
      </c>
    </row>
    <row r="3799" ht="15.75" customHeight="1">
      <c r="A3799" s="3" t="s">
        <v>3889</v>
      </c>
      <c r="B3799" s="3" t="s">
        <v>53</v>
      </c>
      <c r="C3799" s="3" t="s">
        <v>26</v>
      </c>
      <c r="D3799" s="3">
        <v>91732.4036925007</v>
      </c>
      <c r="E3799" s="3">
        <v>32518.7182524608</v>
      </c>
      <c r="F3799" s="3">
        <v>31006.470059202</v>
      </c>
      <c r="G3799" s="3">
        <v>20550.9449014299</v>
      </c>
      <c r="H3799" s="3">
        <v>-107898.463671055</v>
      </c>
      <c r="I3799" s="3">
        <v>75154.0925535114</v>
      </c>
      <c r="J3799" s="4">
        <v>45870.0</v>
      </c>
      <c r="K3799" s="3">
        <v>12.0</v>
      </c>
      <c r="L3799" s="3" t="s">
        <v>27</v>
      </c>
    </row>
    <row r="3800" ht="15.75" customHeight="1">
      <c r="A3800" s="3" t="s">
        <v>3890</v>
      </c>
      <c r="B3800" s="3" t="s">
        <v>53</v>
      </c>
      <c r="C3800" s="3" t="s">
        <v>33</v>
      </c>
      <c r="D3800" s="3">
        <v>91743.2866624069</v>
      </c>
      <c r="E3800" s="3">
        <v>32523.3329707882</v>
      </c>
      <c r="F3800" s="3">
        <v>31014.1500626315</v>
      </c>
      <c r="G3800" s="3">
        <v>20554.3424521172</v>
      </c>
      <c r="H3800" s="3">
        <v>-107947.967388804</v>
      </c>
      <c r="I3800" s="3">
        <v>75157.4740279312</v>
      </c>
      <c r="J3800" s="3" t="s">
        <v>2945</v>
      </c>
      <c r="K3800" s="3">
        <v>3.0</v>
      </c>
      <c r="L3800" s="3" t="s">
        <v>31</v>
      </c>
    </row>
    <row r="3801" ht="15.75" customHeight="1">
      <c r="A3801" s="3" t="s">
        <v>3891</v>
      </c>
      <c r="B3801" s="3" t="s">
        <v>51</v>
      </c>
      <c r="C3801" s="3" t="s">
        <v>54</v>
      </c>
      <c r="D3801" s="3">
        <v>91754.1696323131</v>
      </c>
      <c r="E3801" s="3">
        <v>32527.9476891156</v>
      </c>
      <c r="F3801" s="3">
        <v>31021.830066061</v>
      </c>
      <c r="G3801" s="3">
        <v>20557.7400028045</v>
      </c>
      <c r="H3801" s="3">
        <v>-107997.471106553</v>
      </c>
      <c r="I3801" s="3">
        <v>75160.855502351</v>
      </c>
      <c r="J3801" s="4">
        <v>45689.0</v>
      </c>
      <c r="K3801" s="3">
        <v>23.0</v>
      </c>
      <c r="L3801" s="3" t="s">
        <v>34</v>
      </c>
    </row>
    <row r="3802" ht="15.75" customHeight="1">
      <c r="A3802" s="3" t="s">
        <v>3892</v>
      </c>
      <c r="B3802" s="3" t="s">
        <v>36</v>
      </c>
      <c r="C3802" s="3" t="s">
        <v>54</v>
      </c>
      <c r="D3802" s="3">
        <v>91765.0526022193</v>
      </c>
      <c r="E3802" s="3">
        <v>32532.5624074431</v>
      </c>
      <c r="F3802" s="3">
        <v>31029.5100694905</v>
      </c>
      <c r="G3802" s="5"/>
      <c r="H3802" s="3">
        <v>-108046.974824302</v>
      </c>
      <c r="I3802" s="3">
        <v>75164.2369767708</v>
      </c>
      <c r="J3802" s="4">
        <v>45658.0</v>
      </c>
      <c r="K3802" s="3">
        <v>2.0</v>
      </c>
      <c r="L3802" s="3" t="s">
        <v>38</v>
      </c>
    </row>
    <row r="3803" ht="15.75" customHeight="1">
      <c r="A3803" s="3" t="s">
        <v>3893</v>
      </c>
      <c r="B3803" s="3" t="s">
        <v>13</v>
      </c>
      <c r="C3803" s="3" t="s">
        <v>18</v>
      </c>
      <c r="D3803" s="3">
        <v>91775.9355721255</v>
      </c>
      <c r="E3803" s="3">
        <v>32537.1771257705</v>
      </c>
      <c r="F3803" s="3">
        <v>31037.19007292</v>
      </c>
      <c r="G3803" s="3">
        <v>20564.535104179</v>
      </c>
      <c r="H3803" s="3">
        <v>-108096.478542051</v>
      </c>
      <c r="I3803" s="3">
        <v>75167.6184511906</v>
      </c>
      <c r="J3803" s="4">
        <v>45992.0</v>
      </c>
      <c r="K3803" s="3">
        <v>21.0</v>
      </c>
      <c r="L3803" s="3" t="s">
        <v>40</v>
      </c>
    </row>
    <row r="3804" ht="15.75" customHeight="1">
      <c r="A3804" s="3" t="s">
        <v>3894</v>
      </c>
      <c r="B3804" s="3" t="s">
        <v>29</v>
      </c>
      <c r="C3804" s="3" t="s">
        <v>54</v>
      </c>
      <c r="D3804" s="3">
        <v>91808.584481844</v>
      </c>
      <c r="E3804" s="3">
        <v>32551.0212807527</v>
      </c>
      <c r="F3804" s="3">
        <v>31060.2300832085</v>
      </c>
      <c r="G3804" s="3">
        <v>20574.7277562409</v>
      </c>
      <c r="H3804" s="3">
        <v>-108244.989695299</v>
      </c>
      <c r="I3804" s="3">
        <v>75177.7628744501</v>
      </c>
      <c r="J3804" s="4">
        <v>45717.0</v>
      </c>
      <c r="K3804" s="3">
        <v>11.0</v>
      </c>
      <c r="L3804" s="3" t="s">
        <v>19</v>
      </c>
    </row>
    <row r="3805" ht="15.75" customHeight="1">
      <c r="A3805" s="3" t="s">
        <v>3895</v>
      </c>
      <c r="B3805" s="3" t="s">
        <v>13</v>
      </c>
      <c r="C3805" s="3" t="s">
        <v>33</v>
      </c>
      <c r="D3805" s="3">
        <v>91819.4674517502</v>
      </c>
      <c r="E3805" s="3">
        <v>32555.6359990802</v>
      </c>
      <c r="F3805" s="3">
        <v>31067.910086638</v>
      </c>
      <c r="G3805" s="3">
        <v>20578.1253069282</v>
      </c>
      <c r="H3805" s="3">
        <v>-108294.493413048</v>
      </c>
      <c r="I3805" s="3">
        <v>75181.1443488699</v>
      </c>
      <c r="J3805" s="4">
        <v>45870.0</v>
      </c>
      <c r="K3805" s="3">
        <v>9.0</v>
      </c>
      <c r="L3805" s="3" t="s">
        <v>21</v>
      </c>
    </row>
    <row r="3806" ht="15.75" customHeight="1">
      <c r="A3806" s="3" t="s">
        <v>3896</v>
      </c>
      <c r="B3806" s="3" t="s">
        <v>25</v>
      </c>
      <c r="C3806" s="3" t="s">
        <v>33</v>
      </c>
      <c r="D3806" s="3">
        <v>91841.2333915626</v>
      </c>
      <c r="E3806" s="3">
        <v>32564.865435735</v>
      </c>
      <c r="F3806" s="3">
        <v>31083.270093497</v>
      </c>
      <c r="G3806" s="3">
        <v>20584.9204083027</v>
      </c>
      <c r="H3806" s="3">
        <v>-108393.500848546</v>
      </c>
      <c r="I3806" s="3">
        <v>75187.9072977095</v>
      </c>
      <c r="J3806" s="4">
        <v>45689.0</v>
      </c>
      <c r="K3806" s="3">
        <v>17.0</v>
      </c>
      <c r="L3806" s="3" t="s">
        <v>27</v>
      </c>
    </row>
    <row r="3807" ht="15.75" customHeight="1">
      <c r="A3807" s="3" t="s">
        <v>3897</v>
      </c>
      <c r="B3807" s="3" t="s">
        <v>13</v>
      </c>
      <c r="C3807" s="3" t="s">
        <v>18</v>
      </c>
      <c r="D3807" s="3">
        <v>91852.1163614688</v>
      </c>
      <c r="E3807" s="3">
        <v>32569.4801540624</v>
      </c>
      <c r="F3807" s="3">
        <v>31090.9500969264</v>
      </c>
      <c r="G3807" s="3">
        <v>20588.31795899</v>
      </c>
      <c r="H3807" s="3">
        <v>-108443.004566295</v>
      </c>
      <c r="I3807" s="3">
        <v>75191.2887721293</v>
      </c>
      <c r="J3807" s="4">
        <v>45658.0</v>
      </c>
      <c r="K3807" s="3">
        <v>22.0</v>
      </c>
      <c r="L3807" s="3" t="s">
        <v>31</v>
      </c>
    </row>
    <row r="3808" ht="15.75" customHeight="1">
      <c r="A3808" s="3" t="s">
        <v>3898</v>
      </c>
      <c r="B3808" s="3" t="s">
        <v>13</v>
      </c>
      <c r="C3808" s="3" t="s">
        <v>26</v>
      </c>
      <c r="D3808" s="3">
        <v>91862.999331375</v>
      </c>
      <c r="E3808" s="3">
        <v>32574.0948723899</v>
      </c>
      <c r="F3808" s="3">
        <v>31098.6301003559</v>
      </c>
      <c r="G3808" s="3">
        <v>20591.7155096773</v>
      </c>
      <c r="H3808" s="3">
        <v>-108492.508284044</v>
      </c>
      <c r="I3808" s="3">
        <v>75194.6702465491</v>
      </c>
      <c r="J3808" s="4">
        <v>45962.0</v>
      </c>
      <c r="K3808" s="3">
        <v>7.0</v>
      </c>
      <c r="L3808" s="3" t="s">
        <v>34</v>
      </c>
    </row>
    <row r="3809" ht="15.75" customHeight="1">
      <c r="A3809" s="3" t="s">
        <v>3899</v>
      </c>
      <c r="B3809" s="3" t="s">
        <v>36</v>
      </c>
      <c r="C3809" s="3" t="s">
        <v>30</v>
      </c>
      <c r="D3809" s="3">
        <v>91873.8823012812</v>
      </c>
      <c r="E3809" s="3">
        <v>32578.7095907173</v>
      </c>
      <c r="F3809" s="3">
        <v>31106.3101037854</v>
      </c>
      <c r="G3809" s="3">
        <v>20595.1130603646</v>
      </c>
      <c r="H3809" s="3">
        <v>-108542.012001793</v>
      </c>
      <c r="I3809" s="3">
        <v>75198.0517209689</v>
      </c>
      <c r="J3809" s="4">
        <v>45748.0</v>
      </c>
      <c r="K3809" s="3">
        <v>10.0</v>
      </c>
      <c r="L3809" s="3" t="s">
        <v>38</v>
      </c>
    </row>
    <row r="3810" ht="15.75" customHeight="1">
      <c r="A3810" s="3" t="s">
        <v>3900</v>
      </c>
      <c r="B3810" s="3" t="s">
        <v>17</v>
      </c>
      <c r="C3810" s="3" t="s">
        <v>26</v>
      </c>
      <c r="D3810" s="3">
        <v>91884.7652711874</v>
      </c>
      <c r="E3810" s="3">
        <v>32583.3243090447</v>
      </c>
      <c r="F3810" s="3">
        <v>31113.9901072149</v>
      </c>
      <c r="G3810" s="3">
        <v>20598.5106110519</v>
      </c>
      <c r="H3810" s="3">
        <v>-108591.515719543</v>
      </c>
      <c r="I3810" s="3">
        <v>75201.4331953888</v>
      </c>
      <c r="J3810" s="4">
        <v>45778.0</v>
      </c>
      <c r="K3810" s="3">
        <v>20.0</v>
      </c>
      <c r="L3810" s="3" t="s">
        <v>40</v>
      </c>
    </row>
    <row r="3811" ht="15.75" customHeight="1">
      <c r="A3811" s="3" t="s">
        <v>3901</v>
      </c>
      <c r="B3811" s="3" t="s">
        <v>51</v>
      </c>
      <c r="C3811" s="3" t="s">
        <v>30</v>
      </c>
      <c r="D3811" s="3">
        <v>91895.6482410936</v>
      </c>
      <c r="E3811" s="3">
        <v>32587.9390273721</v>
      </c>
      <c r="F3811" s="3">
        <v>31121.6701106444</v>
      </c>
      <c r="G3811" s="3">
        <v>20601.9081617392</v>
      </c>
      <c r="H3811" s="3">
        <v>-108641.019437292</v>
      </c>
      <c r="I3811" s="3">
        <v>75204.8146698086</v>
      </c>
      <c r="J3811" s="4">
        <v>45962.0</v>
      </c>
      <c r="K3811" s="3">
        <v>8.0</v>
      </c>
      <c r="L3811" s="3" t="s">
        <v>42</v>
      </c>
    </row>
    <row r="3812" ht="15.75" customHeight="1">
      <c r="A3812" s="3" t="s">
        <v>3902</v>
      </c>
      <c r="B3812" s="3" t="s">
        <v>13</v>
      </c>
      <c r="C3812" s="3" t="s">
        <v>54</v>
      </c>
      <c r="D3812" s="3">
        <v>91906.5312109998</v>
      </c>
      <c r="E3812" s="3">
        <v>32592.5537456995</v>
      </c>
      <c r="F3812" s="3">
        <v>31129.3501140739</v>
      </c>
      <c r="G3812" s="3">
        <v>20605.3057124265</v>
      </c>
      <c r="H3812" s="3">
        <v>-108690.523155041</v>
      </c>
      <c r="I3812" s="3">
        <v>75208.1961442284</v>
      </c>
      <c r="J3812" s="4">
        <v>45901.0</v>
      </c>
      <c r="K3812" s="3">
        <v>6.0</v>
      </c>
      <c r="L3812" s="3" t="s">
        <v>15</v>
      </c>
    </row>
    <row r="3813" ht="15.75" customHeight="1">
      <c r="A3813" s="3" t="s">
        <v>3903</v>
      </c>
      <c r="B3813" s="3" t="s">
        <v>53</v>
      </c>
      <c r="C3813" s="3" t="s">
        <v>14</v>
      </c>
      <c r="D3813" s="3">
        <v>91917.414180906</v>
      </c>
      <c r="E3813" s="3">
        <v>32597.168464027</v>
      </c>
      <c r="F3813" s="3">
        <v>31137.0301175034</v>
      </c>
      <c r="G3813" s="3">
        <v>20608.7032631138</v>
      </c>
      <c r="H3813" s="3">
        <v>-108740.02687279</v>
      </c>
      <c r="I3813" s="3">
        <v>75211.5776186482</v>
      </c>
      <c r="J3813" s="4">
        <v>45992.0</v>
      </c>
      <c r="K3813" s="3">
        <v>16.0</v>
      </c>
      <c r="L3813" s="3" t="s">
        <v>19</v>
      </c>
    </row>
    <row r="3814" ht="15.75" customHeight="1">
      <c r="A3814" s="3" t="s">
        <v>3904</v>
      </c>
      <c r="B3814" s="3" t="s">
        <v>51</v>
      </c>
      <c r="C3814" s="3" t="s">
        <v>14</v>
      </c>
      <c r="D3814" s="3">
        <v>91928.2971508122</v>
      </c>
      <c r="E3814" s="3">
        <v>32601.7831823544</v>
      </c>
      <c r="F3814" s="3">
        <v>31144.7101209329</v>
      </c>
      <c r="G3814" s="3">
        <v>20612.100813801</v>
      </c>
      <c r="H3814" s="3">
        <v>-108789.530590539</v>
      </c>
      <c r="I3814" s="3">
        <v>75214.959093068</v>
      </c>
      <c r="J3814" s="4">
        <v>45809.0</v>
      </c>
      <c r="K3814" s="3">
        <v>3.0</v>
      </c>
      <c r="L3814" s="3" t="s">
        <v>21</v>
      </c>
    </row>
    <row r="3815" ht="15.75" customHeight="1">
      <c r="A3815" s="3" t="s">
        <v>3905</v>
      </c>
      <c r="B3815" s="3" t="s">
        <v>25</v>
      </c>
      <c r="C3815" s="3" t="s">
        <v>18</v>
      </c>
      <c r="D3815" s="3">
        <v>91939.1801207184</v>
      </c>
      <c r="E3815" s="3">
        <v>32606.3979006818</v>
      </c>
      <c r="F3815" s="3">
        <v>31152.3901243624</v>
      </c>
      <c r="G3815" s="3">
        <v>20615.4983644883</v>
      </c>
      <c r="H3815" s="3">
        <v>-108839.034308288</v>
      </c>
      <c r="I3815" s="3">
        <v>75218.3405674878</v>
      </c>
      <c r="J3815" s="4">
        <v>45839.0</v>
      </c>
      <c r="K3815" s="3">
        <v>5.0</v>
      </c>
      <c r="L3815" s="3" t="s">
        <v>23</v>
      </c>
    </row>
    <row r="3816" ht="15.75" customHeight="1">
      <c r="A3816" s="3" t="s">
        <v>3906</v>
      </c>
      <c r="B3816" s="3" t="s">
        <v>51</v>
      </c>
      <c r="C3816" s="3" t="s">
        <v>37</v>
      </c>
      <c r="D3816" s="5"/>
      <c r="E3816" s="3">
        <v>32615.6273373367</v>
      </c>
      <c r="F3816" s="3">
        <v>31167.7501312214</v>
      </c>
      <c r="G3816" s="3">
        <v>20622.2934658629</v>
      </c>
      <c r="H3816" s="3">
        <v>-108938.041743786</v>
      </c>
      <c r="I3816" s="3">
        <v>75225.1035163275</v>
      </c>
      <c r="J3816" s="4">
        <v>45901.0</v>
      </c>
      <c r="K3816" s="3">
        <v>10.0</v>
      </c>
      <c r="L3816" s="3" t="s">
        <v>31</v>
      </c>
    </row>
    <row r="3817" ht="15.75" customHeight="1">
      <c r="A3817" s="3" t="s">
        <v>3907</v>
      </c>
      <c r="B3817" s="3" t="s">
        <v>13</v>
      </c>
      <c r="C3817" s="3" t="s">
        <v>54</v>
      </c>
      <c r="D3817" s="3">
        <v>91971.8290304369</v>
      </c>
      <c r="E3817" s="3">
        <v>32620.2420556641</v>
      </c>
      <c r="F3817" s="3">
        <v>31175.4301346509</v>
      </c>
      <c r="G3817" s="3">
        <v>20625.6910165502</v>
      </c>
      <c r="H3817" s="3">
        <v>-108987.545461536</v>
      </c>
      <c r="I3817" s="3">
        <v>75228.4849907473</v>
      </c>
      <c r="J3817" s="4">
        <v>45748.0</v>
      </c>
      <c r="K3817" s="3">
        <v>19.0</v>
      </c>
      <c r="L3817" s="3" t="s">
        <v>34</v>
      </c>
    </row>
    <row r="3818" ht="15.75" customHeight="1">
      <c r="A3818" s="3" t="s">
        <v>3908</v>
      </c>
      <c r="B3818" s="3" t="s">
        <v>51</v>
      </c>
      <c r="C3818" s="3" t="s">
        <v>26</v>
      </c>
      <c r="D3818" s="3">
        <v>91982.7120003431</v>
      </c>
      <c r="E3818" s="3">
        <v>32624.8567739915</v>
      </c>
      <c r="F3818" s="3">
        <v>31183.1101380804</v>
      </c>
      <c r="G3818" s="3">
        <v>20629.0885672375</v>
      </c>
      <c r="H3818" s="3">
        <v>-109037.049179285</v>
      </c>
      <c r="I3818" s="3">
        <v>75231.8664651671</v>
      </c>
      <c r="J3818" s="4">
        <v>45901.0</v>
      </c>
      <c r="K3818" s="3">
        <v>25.0</v>
      </c>
      <c r="L3818" s="3" t="s">
        <v>38</v>
      </c>
    </row>
    <row r="3819" ht="15.75" customHeight="1">
      <c r="A3819" s="3" t="s">
        <v>3909</v>
      </c>
      <c r="B3819" s="3" t="s">
        <v>29</v>
      </c>
      <c r="C3819" s="3" t="s">
        <v>14</v>
      </c>
      <c r="D3819" s="3">
        <v>91993.5949702493</v>
      </c>
      <c r="E3819" s="3">
        <v>32629.4714923189</v>
      </c>
      <c r="F3819" s="3">
        <v>31190.7901415099</v>
      </c>
      <c r="G3819" s="3">
        <v>20632.4861179248</v>
      </c>
      <c r="H3819" s="3">
        <v>-109086.552897034</v>
      </c>
      <c r="I3819" s="3">
        <v>75235.2479395869</v>
      </c>
      <c r="J3819" s="4">
        <v>45931.0</v>
      </c>
      <c r="K3819" s="3">
        <v>2.0</v>
      </c>
      <c r="L3819" s="3" t="s">
        <v>40</v>
      </c>
    </row>
    <row r="3820" ht="15.75" customHeight="1">
      <c r="A3820" s="3" t="s">
        <v>3910</v>
      </c>
      <c r="B3820" s="3" t="s">
        <v>36</v>
      </c>
      <c r="C3820" s="3" t="s">
        <v>18</v>
      </c>
      <c r="D3820" s="3">
        <v>92004.4779401555</v>
      </c>
      <c r="E3820" s="3">
        <v>32634.0862106463</v>
      </c>
      <c r="F3820" s="3">
        <v>31198.4701449394</v>
      </c>
      <c r="G3820" s="3">
        <v>20635.8836686121</v>
      </c>
      <c r="H3820" s="3">
        <v>-109136.056614783</v>
      </c>
      <c r="I3820" s="3">
        <v>75238.6294140067</v>
      </c>
      <c r="J3820" s="4">
        <v>45962.0</v>
      </c>
      <c r="K3820" s="3">
        <v>3.0</v>
      </c>
      <c r="L3820" s="3" t="s">
        <v>42</v>
      </c>
    </row>
    <row r="3821" ht="15.75" customHeight="1">
      <c r="A3821" s="3" t="s">
        <v>3911</v>
      </c>
      <c r="B3821" s="3" t="s">
        <v>29</v>
      </c>
      <c r="C3821" s="3" t="s">
        <v>54</v>
      </c>
      <c r="D3821" s="5"/>
      <c r="E3821" s="3">
        <v>32638.7009289738</v>
      </c>
      <c r="F3821" s="3">
        <v>31206.1501483689</v>
      </c>
      <c r="G3821" s="3">
        <v>20639.2812192993</v>
      </c>
      <c r="H3821" s="3">
        <v>-109185.560332532</v>
      </c>
      <c r="I3821" s="3">
        <v>75242.0108884265</v>
      </c>
      <c r="J3821" s="4">
        <v>45658.0</v>
      </c>
      <c r="K3821" s="3">
        <v>21.0</v>
      </c>
      <c r="L3821" s="3" t="s">
        <v>15</v>
      </c>
    </row>
    <row r="3822" ht="15.75" customHeight="1">
      <c r="A3822" s="3" t="s">
        <v>3912</v>
      </c>
      <c r="B3822" s="3" t="s">
        <v>13</v>
      </c>
      <c r="C3822" s="3" t="s">
        <v>26</v>
      </c>
      <c r="D3822" s="3">
        <v>92026.2438799679</v>
      </c>
      <c r="E3822" s="3">
        <v>32643.3156473012</v>
      </c>
      <c r="F3822" s="3">
        <v>31213.8301517984</v>
      </c>
      <c r="G3822" s="3">
        <v>20642.6787699866</v>
      </c>
      <c r="H3822" s="3">
        <v>-109235.064050281</v>
      </c>
      <c r="I3822" s="3">
        <v>75245.3923628463</v>
      </c>
      <c r="J3822" s="4">
        <v>45870.0</v>
      </c>
      <c r="K3822" s="3">
        <v>21.0</v>
      </c>
      <c r="L3822" s="3" t="s">
        <v>19</v>
      </c>
    </row>
    <row r="3823" ht="15.75" customHeight="1">
      <c r="A3823" s="3" t="s">
        <v>3913</v>
      </c>
      <c r="B3823" s="3" t="s">
        <v>17</v>
      </c>
      <c r="C3823" s="3" t="s">
        <v>26</v>
      </c>
      <c r="D3823" s="3">
        <v>92037.1268498741</v>
      </c>
      <c r="E3823" s="3">
        <v>32647.9303656286</v>
      </c>
      <c r="F3823" s="3">
        <v>31221.5101552279</v>
      </c>
      <c r="G3823" s="3">
        <v>20646.0763206739</v>
      </c>
      <c r="H3823" s="3">
        <v>-109284.56776803</v>
      </c>
      <c r="I3823" s="3">
        <v>75248.7738372662</v>
      </c>
      <c r="J3823" s="4">
        <v>45901.0</v>
      </c>
      <c r="K3823" s="3">
        <v>9.0</v>
      </c>
      <c r="L3823" s="3" t="s">
        <v>21</v>
      </c>
    </row>
    <row r="3824" ht="15.75" customHeight="1">
      <c r="A3824" s="3" t="s">
        <v>3914</v>
      </c>
      <c r="B3824" s="3" t="s">
        <v>53</v>
      </c>
      <c r="C3824" s="3" t="s">
        <v>54</v>
      </c>
      <c r="D3824" s="3">
        <v>92048.0098197803</v>
      </c>
      <c r="E3824" s="3">
        <v>32652.545083956</v>
      </c>
      <c r="F3824" s="3">
        <v>31229.1901586574</v>
      </c>
      <c r="G3824" s="3">
        <v>20649.4738713612</v>
      </c>
      <c r="H3824" s="3">
        <v>-109334.071485779</v>
      </c>
      <c r="I3824" s="3">
        <v>75252.155311686</v>
      </c>
      <c r="J3824" s="4">
        <v>45778.0</v>
      </c>
      <c r="K3824" s="3">
        <v>20.0</v>
      </c>
      <c r="L3824" s="3" t="s">
        <v>23</v>
      </c>
    </row>
    <row r="3825" ht="15.75" customHeight="1">
      <c r="A3825" s="3" t="s">
        <v>3915</v>
      </c>
      <c r="B3825" s="3" t="s">
        <v>51</v>
      </c>
      <c r="C3825" s="3" t="s">
        <v>37</v>
      </c>
      <c r="D3825" s="3">
        <v>92058.8927896865</v>
      </c>
      <c r="E3825" s="3">
        <v>32657.1598022835</v>
      </c>
      <c r="F3825" s="3">
        <v>31236.8701620869</v>
      </c>
      <c r="G3825" s="3">
        <v>20652.8714220485</v>
      </c>
      <c r="H3825" s="3">
        <v>-109383.575203529</v>
      </c>
      <c r="I3825" s="3">
        <v>75255.5367861058</v>
      </c>
      <c r="J3825" s="4">
        <v>45992.0</v>
      </c>
      <c r="K3825" s="3">
        <v>11.0</v>
      </c>
      <c r="L3825" s="3" t="s">
        <v>27</v>
      </c>
    </row>
    <row r="3826" ht="15.75" customHeight="1">
      <c r="A3826" s="3" t="s">
        <v>3916</v>
      </c>
      <c r="B3826" s="3" t="s">
        <v>51</v>
      </c>
      <c r="C3826" s="3" t="s">
        <v>37</v>
      </c>
      <c r="D3826" s="3">
        <v>92069.7757595927</v>
      </c>
      <c r="E3826" s="3">
        <v>32661.7745206109</v>
      </c>
      <c r="F3826" s="3">
        <v>31244.5501655164</v>
      </c>
      <c r="G3826" s="3">
        <v>20656.2689727358</v>
      </c>
      <c r="H3826" s="3">
        <v>-109433.078921278</v>
      </c>
      <c r="I3826" s="3">
        <v>75258.9182605256</v>
      </c>
      <c r="J3826" s="4">
        <v>45839.0</v>
      </c>
      <c r="K3826" s="3">
        <v>12.0</v>
      </c>
      <c r="L3826" s="3" t="s">
        <v>31</v>
      </c>
    </row>
    <row r="3827" ht="15.75" customHeight="1">
      <c r="A3827" s="3" t="s">
        <v>3917</v>
      </c>
      <c r="B3827" s="3" t="s">
        <v>29</v>
      </c>
      <c r="C3827" s="3" t="s">
        <v>37</v>
      </c>
      <c r="D3827" s="3">
        <v>92080.6587294989</v>
      </c>
      <c r="E3827" s="3">
        <v>32666.3892389383</v>
      </c>
      <c r="F3827" s="3">
        <v>31252.2301689459</v>
      </c>
      <c r="G3827" s="3">
        <v>20659.6665234231</v>
      </c>
      <c r="H3827" s="3">
        <v>-109482.582639027</v>
      </c>
      <c r="I3827" s="3">
        <v>75262.2997349454</v>
      </c>
      <c r="J3827" s="4">
        <v>45901.0</v>
      </c>
      <c r="K3827" s="3">
        <v>22.0</v>
      </c>
      <c r="L3827" s="3" t="s">
        <v>34</v>
      </c>
    </row>
    <row r="3828" ht="15.75" customHeight="1">
      <c r="A3828" s="3" t="s">
        <v>3918</v>
      </c>
      <c r="B3828" s="3" t="s">
        <v>29</v>
      </c>
      <c r="C3828" s="3" t="s">
        <v>26</v>
      </c>
      <c r="D3828" s="3">
        <v>92091.5416994051</v>
      </c>
      <c r="E3828" s="3">
        <v>32671.0039572657</v>
      </c>
      <c r="F3828" s="3">
        <v>31259.9101723754</v>
      </c>
      <c r="G3828" s="3">
        <v>20663.0640741103</v>
      </c>
      <c r="H3828" s="3">
        <v>-109532.086356776</v>
      </c>
      <c r="I3828" s="3">
        <v>75265.6812093652</v>
      </c>
      <c r="J3828" s="4">
        <v>45748.0</v>
      </c>
      <c r="K3828" s="3">
        <v>15.0</v>
      </c>
      <c r="L3828" s="3" t="s">
        <v>38</v>
      </c>
    </row>
    <row r="3829" ht="15.75" customHeight="1">
      <c r="A3829" s="3" t="s">
        <v>3919</v>
      </c>
      <c r="B3829" s="3" t="s">
        <v>36</v>
      </c>
      <c r="C3829" s="3" t="s">
        <v>26</v>
      </c>
      <c r="D3829" s="3">
        <v>92102.4246693113</v>
      </c>
      <c r="E3829" s="3">
        <v>32675.6186755931</v>
      </c>
      <c r="F3829" s="3">
        <v>31267.5901758049</v>
      </c>
      <c r="G3829" s="3">
        <v>20666.4616247976</v>
      </c>
      <c r="H3829" s="3">
        <v>-109581.590074525</v>
      </c>
      <c r="I3829" s="3">
        <v>75269.062683785</v>
      </c>
      <c r="J3829" s="4">
        <v>45962.0</v>
      </c>
      <c r="K3829" s="3">
        <v>3.0</v>
      </c>
      <c r="L3829" s="3" t="s">
        <v>40</v>
      </c>
    </row>
    <row r="3830" ht="15.75" customHeight="1">
      <c r="A3830" s="3" t="s">
        <v>3920</v>
      </c>
      <c r="B3830" s="3" t="s">
        <v>17</v>
      </c>
      <c r="C3830" s="3" t="s">
        <v>33</v>
      </c>
      <c r="D3830" s="3">
        <v>92113.3076392175</v>
      </c>
      <c r="E3830" s="3">
        <v>32680.2333939206</v>
      </c>
      <c r="F3830" s="3">
        <v>31275.2701792344</v>
      </c>
      <c r="G3830" s="3">
        <v>20669.8591754849</v>
      </c>
      <c r="H3830" s="3">
        <v>-109631.093792274</v>
      </c>
      <c r="I3830" s="3">
        <v>75272.4441582049</v>
      </c>
      <c r="J3830" s="4">
        <v>45992.0</v>
      </c>
      <c r="K3830" s="3">
        <v>12.0</v>
      </c>
      <c r="L3830" s="3" t="s">
        <v>42</v>
      </c>
    </row>
    <row r="3831" ht="15.75" customHeight="1">
      <c r="A3831" s="3" t="s">
        <v>3921</v>
      </c>
      <c r="B3831" s="3" t="s">
        <v>53</v>
      </c>
      <c r="C3831" s="3" t="s">
        <v>18</v>
      </c>
      <c r="D3831" s="3">
        <v>92124.1906091237</v>
      </c>
      <c r="E3831" s="3">
        <v>32684.848112248</v>
      </c>
      <c r="F3831" s="3">
        <v>31282.9501826639</v>
      </c>
      <c r="G3831" s="3">
        <v>20673.2567261722</v>
      </c>
      <c r="H3831" s="3">
        <v>-109680.597510023</v>
      </c>
      <c r="I3831" s="3">
        <v>75275.8256326247</v>
      </c>
      <c r="J3831" s="4">
        <v>45992.0</v>
      </c>
      <c r="K3831" s="3">
        <v>20.0</v>
      </c>
      <c r="L3831" s="3" t="s">
        <v>15</v>
      </c>
    </row>
    <row r="3832" ht="15.75" customHeight="1">
      <c r="A3832" s="3" t="s">
        <v>3922</v>
      </c>
      <c r="B3832" s="3" t="s">
        <v>36</v>
      </c>
      <c r="C3832" s="3" t="s">
        <v>18</v>
      </c>
      <c r="D3832" s="3">
        <v>92135.0735790299</v>
      </c>
      <c r="E3832" s="3">
        <v>32689.4628305754</v>
      </c>
      <c r="F3832" s="3">
        <v>31290.6301860934</v>
      </c>
      <c r="G3832" s="3">
        <v>20676.6542768595</v>
      </c>
      <c r="H3832" s="3">
        <v>-109730.101227772</v>
      </c>
      <c r="I3832" s="3">
        <v>75279.2071070445</v>
      </c>
      <c r="J3832" s="4">
        <v>45658.0</v>
      </c>
      <c r="K3832" s="3">
        <v>25.0</v>
      </c>
      <c r="L3832" s="3" t="s">
        <v>19</v>
      </c>
    </row>
    <row r="3833" ht="15.75" customHeight="1">
      <c r="A3833" s="3" t="s">
        <v>3923</v>
      </c>
      <c r="B3833" s="3" t="s">
        <v>29</v>
      </c>
      <c r="C3833" s="3" t="s">
        <v>37</v>
      </c>
      <c r="D3833" s="3">
        <v>92145.956548936</v>
      </c>
      <c r="E3833" s="3">
        <v>32694.0775489028</v>
      </c>
      <c r="F3833" s="3">
        <v>31298.3101895229</v>
      </c>
      <c r="G3833" s="3">
        <v>20680.0518275468</v>
      </c>
      <c r="H3833" s="3">
        <v>-109779.604945522</v>
      </c>
      <c r="I3833" s="3">
        <v>75282.5885814643</v>
      </c>
      <c r="J3833" s="4">
        <v>45658.0</v>
      </c>
      <c r="K3833" s="3">
        <v>15.0</v>
      </c>
      <c r="L3833" s="3" t="s">
        <v>21</v>
      </c>
    </row>
    <row r="3834" ht="15.75" customHeight="1">
      <c r="A3834" s="3" t="s">
        <v>3924</v>
      </c>
      <c r="B3834" s="3" t="s">
        <v>36</v>
      </c>
      <c r="C3834" s="3" t="s">
        <v>54</v>
      </c>
      <c r="D3834" s="3">
        <v>92156.8395188422</v>
      </c>
      <c r="E3834" s="3">
        <v>32698.6922672303</v>
      </c>
      <c r="F3834" s="3">
        <v>31305.9901929524</v>
      </c>
      <c r="G3834" s="3">
        <v>20683.4493782341</v>
      </c>
      <c r="H3834" s="3">
        <v>-109829.108663271</v>
      </c>
      <c r="I3834" s="3">
        <v>75285.9700558841</v>
      </c>
      <c r="J3834" s="4">
        <v>45992.0</v>
      </c>
      <c r="K3834" s="3">
        <v>14.0</v>
      </c>
      <c r="L3834" s="3" t="s">
        <v>23</v>
      </c>
    </row>
    <row r="3835" ht="15.75" customHeight="1">
      <c r="A3835" s="3" t="s">
        <v>3925</v>
      </c>
      <c r="B3835" s="3" t="s">
        <v>53</v>
      </c>
      <c r="C3835" s="3" t="s">
        <v>26</v>
      </c>
      <c r="D3835" s="3">
        <v>92167.7224887484</v>
      </c>
      <c r="E3835" s="3">
        <v>32703.3069855577</v>
      </c>
      <c r="F3835" s="3">
        <v>31313.6701963819</v>
      </c>
      <c r="G3835" s="3">
        <v>20686.8469289214</v>
      </c>
      <c r="H3835" s="3">
        <v>-109878.61238102</v>
      </c>
      <c r="I3835" s="3">
        <v>75289.3515303039</v>
      </c>
      <c r="J3835" s="4">
        <v>45962.0</v>
      </c>
      <c r="K3835" s="3">
        <v>15.0</v>
      </c>
      <c r="L3835" s="3" t="s">
        <v>27</v>
      </c>
    </row>
    <row r="3836" ht="15.75" customHeight="1">
      <c r="A3836" s="3" t="s">
        <v>3926</v>
      </c>
      <c r="B3836" s="5"/>
      <c r="C3836" s="3" t="s">
        <v>14</v>
      </c>
      <c r="D3836" s="3">
        <v>92178.6054586546</v>
      </c>
      <c r="E3836" s="3">
        <v>32707.9217038851</v>
      </c>
      <c r="F3836" s="3">
        <v>31321.3501998114</v>
      </c>
      <c r="G3836" s="3">
        <v>20690.2444796086</v>
      </c>
      <c r="H3836" s="3">
        <v>-109928.116098769</v>
      </c>
      <c r="I3836" s="3">
        <v>75292.7330047237</v>
      </c>
      <c r="J3836" s="4">
        <v>45901.0</v>
      </c>
      <c r="K3836" s="3">
        <v>19.0</v>
      </c>
      <c r="L3836" s="3" t="s">
        <v>31</v>
      </c>
    </row>
    <row r="3837" ht="15.75" customHeight="1">
      <c r="A3837" s="3" t="s">
        <v>3927</v>
      </c>
      <c r="B3837" s="3" t="s">
        <v>25</v>
      </c>
      <c r="C3837" s="3" t="s">
        <v>26</v>
      </c>
      <c r="D3837" s="3">
        <v>92189.4884285608</v>
      </c>
      <c r="E3837" s="3">
        <v>32712.5364222125</v>
      </c>
      <c r="F3837" s="3">
        <v>31329.0302032409</v>
      </c>
      <c r="G3837" s="3">
        <v>20693.6420302959</v>
      </c>
      <c r="H3837" s="3">
        <v>-109977.619816518</v>
      </c>
      <c r="I3837" s="3">
        <v>75296.1144791436</v>
      </c>
      <c r="J3837" s="4">
        <v>45778.0</v>
      </c>
      <c r="K3837" s="3">
        <v>16.0</v>
      </c>
      <c r="L3837" s="3" t="s">
        <v>34</v>
      </c>
    </row>
    <row r="3838" ht="15.75" customHeight="1">
      <c r="A3838" s="3" t="s">
        <v>3928</v>
      </c>
      <c r="B3838" s="3" t="s">
        <v>51</v>
      </c>
      <c r="C3838" s="3" t="s">
        <v>14</v>
      </c>
      <c r="D3838" s="3">
        <v>92200.371398467</v>
      </c>
      <c r="E3838" s="3">
        <v>32717.1511405399</v>
      </c>
      <c r="F3838" s="3">
        <v>31336.7102066704</v>
      </c>
      <c r="G3838" s="3">
        <v>20697.0395809832</v>
      </c>
      <c r="H3838" s="3">
        <v>-110027.123534267</v>
      </c>
      <c r="I3838" s="3">
        <v>75299.4959535634</v>
      </c>
      <c r="J3838" s="4">
        <v>45717.0</v>
      </c>
      <c r="K3838" s="3">
        <v>2.0</v>
      </c>
      <c r="L3838" s="3" t="s">
        <v>38</v>
      </c>
    </row>
    <row r="3839" ht="15.75" customHeight="1">
      <c r="A3839" s="3" t="s">
        <v>3929</v>
      </c>
      <c r="B3839" s="3" t="s">
        <v>13</v>
      </c>
      <c r="C3839" s="3" t="s">
        <v>26</v>
      </c>
      <c r="D3839" s="3">
        <v>92211.2543683732</v>
      </c>
      <c r="E3839" s="3">
        <v>32721.7658588674</v>
      </c>
      <c r="F3839" s="3">
        <v>31344.3902100999</v>
      </c>
      <c r="G3839" s="3">
        <v>20700.4371316705</v>
      </c>
      <c r="H3839" s="3">
        <v>-110076.627252016</v>
      </c>
      <c r="I3839" s="3">
        <v>75302.8774279832</v>
      </c>
      <c r="J3839" s="4">
        <v>45778.0</v>
      </c>
      <c r="K3839" s="3">
        <v>23.0</v>
      </c>
      <c r="L3839" s="3" t="s">
        <v>40</v>
      </c>
    </row>
    <row r="3840" ht="15.75" customHeight="1">
      <c r="A3840" s="3" t="s">
        <v>3930</v>
      </c>
      <c r="B3840" s="3" t="s">
        <v>53</v>
      </c>
      <c r="C3840" s="3" t="s">
        <v>30</v>
      </c>
      <c r="D3840" s="3">
        <v>92222.1373382794</v>
      </c>
      <c r="E3840" s="3">
        <v>32726.3805771948</v>
      </c>
      <c r="F3840" s="3">
        <v>31352.0702135294</v>
      </c>
      <c r="G3840" s="3">
        <v>20703.8346823578</v>
      </c>
      <c r="H3840" s="3">
        <v>-110126.130969765</v>
      </c>
      <c r="I3840" s="3">
        <v>75306.258902403</v>
      </c>
      <c r="J3840" s="4">
        <v>45839.0</v>
      </c>
      <c r="K3840" s="3">
        <v>8.0</v>
      </c>
      <c r="L3840" s="3" t="s">
        <v>42</v>
      </c>
    </row>
    <row r="3841" ht="15.75" customHeight="1">
      <c r="A3841" s="3" t="s">
        <v>3931</v>
      </c>
      <c r="B3841" s="3" t="s">
        <v>17</v>
      </c>
      <c r="C3841" s="3" t="s">
        <v>18</v>
      </c>
      <c r="D3841" s="3">
        <v>92233.0203081856</v>
      </c>
      <c r="E3841" s="3">
        <v>32730.9952955222</v>
      </c>
      <c r="F3841" s="3">
        <v>31359.7502169589</v>
      </c>
      <c r="G3841" s="3">
        <v>20707.2322330451</v>
      </c>
      <c r="H3841" s="3">
        <v>-110175.634687515</v>
      </c>
      <c r="I3841" s="3">
        <v>75309.6403768228</v>
      </c>
      <c r="J3841" s="4">
        <v>45689.0</v>
      </c>
      <c r="K3841" s="3">
        <v>22.0</v>
      </c>
      <c r="L3841" s="3" t="s">
        <v>15</v>
      </c>
    </row>
    <row r="3842" ht="15.75" customHeight="1">
      <c r="A3842" s="3" t="s">
        <v>3932</v>
      </c>
      <c r="B3842" s="3" t="s">
        <v>17</v>
      </c>
      <c r="C3842" s="3" t="s">
        <v>37</v>
      </c>
      <c r="D3842" s="3">
        <v>92243.9032780918</v>
      </c>
      <c r="E3842" s="3">
        <v>32735.6100138496</v>
      </c>
      <c r="F3842" s="3">
        <v>31367.4302203883</v>
      </c>
      <c r="G3842" s="3">
        <v>20710.6297837324</v>
      </c>
      <c r="H3842" s="3">
        <v>-110225.138405264</v>
      </c>
      <c r="I3842" s="3">
        <v>75313.0218512426</v>
      </c>
      <c r="J3842" s="4">
        <v>45839.0</v>
      </c>
      <c r="K3842" s="3">
        <v>16.0</v>
      </c>
      <c r="L3842" s="3" t="s">
        <v>19</v>
      </c>
    </row>
    <row r="3843" ht="15.75" customHeight="1">
      <c r="A3843" s="3" t="s">
        <v>3933</v>
      </c>
      <c r="B3843" s="3" t="s">
        <v>25</v>
      </c>
      <c r="C3843" s="3" t="s">
        <v>30</v>
      </c>
      <c r="D3843" s="3">
        <v>92254.786247998</v>
      </c>
      <c r="E3843" s="3">
        <v>32740.2247321771</v>
      </c>
      <c r="F3843" s="3">
        <v>31375.1102238178</v>
      </c>
      <c r="G3843" s="3">
        <v>20714.0273344197</v>
      </c>
      <c r="H3843" s="3">
        <v>-110274.642123013</v>
      </c>
      <c r="I3843" s="3">
        <v>75316.4033256624</v>
      </c>
      <c r="J3843" s="4">
        <v>45870.0</v>
      </c>
      <c r="K3843" s="3">
        <v>8.0</v>
      </c>
      <c r="L3843" s="3" t="s">
        <v>21</v>
      </c>
    </row>
    <row r="3844" ht="15.75" customHeight="1">
      <c r="A3844" s="3" t="s">
        <v>3934</v>
      </c>
      <c r="B3844" s="3" t="s">
        <v>36</v>
      </c>
      <c r="C3844" s="3" t="s">
        <v>18</v>
      </c>
      <c r="D3844" s="3">
        <v>92265.6692179042</v>
      </c>
      <c r="E3844" s="3">
        <v>32744.8394505045</v>
      </c>
      <c r="F3844" s="3">
        <v>31382.7902272473</v>
      </c>
      <c r="G3844" s="3">
        <v>20717.4248851069</v>
      </c>
      <c r="H3844" s="3">
        <v>-110324.145840762</v>
      </c>
      <c r="I3844" s="3">
        <v>75319.7848000823</v>
      </c>
      <c r="J3844" s="4">
        <v>45689.0</v>
      </c>
      <c r="K3844" s="3">
        <v>7.0</v>
      </c>
      <c r="L3844" s="3" t="s">
        <v>23</v>
      </c>
    </row>
    <row r="3845" ht="15.75" customHeight="1">
      <c r="A3845" s="3" t="s">
        <v>3935</v>
      </c>
      <c r="B3845" s="3" t="s">
        <v>13</v>
      </c>
      <c r="C3845" s="3" t="s">
        <v>30</v>
      </c>
      <c r="D3845" s="3">
        <v>92276.5521878104</v>
      </c>
      <c r="E3845" s="3">
        <v>32749.4541688319</v>
      </c>
      <c r="F3845" s="3">
        <v>31390.4702306768</v>
      </c>
      <c r="G3845" s="3">
        <v>20720.8224357942</v>
      </c>
      <c r="H3845" s="3">
        <v>-110373.649558511</v>
      </c>
      <c r="I3845" s="3">
        <v>75323.1662745021</v>
      </c>
      <c r="J3845" s="4">
        <v>45931.0</v>
      </c>
      <c r="K3845" s="3">
        <v>24.0</v>
      </c>
      <c r="L3845" s="3" t="s">
        <v>27</v>
      </c>
    </row>
    <row r="3846" ht="15.75" customHeight="1">
      <c r="A3846" s="3" t="s">
        <v>3936</v>
      </c>
      <c r="B3846" s="3" t="s">
        <v>53</v>
      </c>
      <c r="C3846" s="3" t="s">
        <v>14</v>
      </c>
      <c r="D3846" s="3">
        <v>92287.4351577166</v>
      </c>
      <c r="E3846" s="3">
        <v>32754.0688871593</v>
      </c>
      <c r="F3846" s="3">
        <v>31398.1502341063</v>
      </c>
      <c r="G3846" s="3">
        <v>20724.2199864815</v>
      </c>
      <c r="H3846" s="3">
        <v>-110423.15327626</v>
      </c>
      <c r="I3846" s="3">
        <v>75326.5477489219</v>
      </c>
      <c r="J3846" s="4">
        <v>45901.0</v>
      </c>
      <c r="K3846" s="3">
        <v>20.0</v>
      </c>
      <c r="L3846" s="3" t="s">
        <v>31</v>
      </c>
    </row>
    <row r="3847" ht="15.75" customHeight="1">
      <c r="A3847" s="3" t="s">
        <v>3937</v>
      </c>
      <c r="B3847" s="3" t="s">
        <v>25</v>
      </c>
      <c r="C3847" s="3" t="s">
        <v>37</v>
      </c>
      <c r="D3847" s="3">
        <v>92298.3181276227</v>
      </c>
      <c r="E3847" s="3">
        <v>32758.6836054867</v>
      </c>
      <c r="F3847" s="3">
        <v>31405.8302375358</v>
      </c>
      <c r="G3847" s="3">
        <v>20727.6175371688</v>
      </c>
      <c r="H3847" s="3">
        <v>-110472.656994009</v>
      </c>
      <c r="I3847" s="3">
        <v>75329.9292233417</v>
      </c>
      <c r="J3847" s="4">
        <v>45748.0</v>
      </c>
      <c r="K3847" s="3">
        <v>17.0</v>
      </c>
      <c r="L3847" s="3" t="s">
        <v>34</v>
      </c>
    </row>
    <row r="3848" ht="15.75" customHeight="1">
      <c r="A3848" s="3" t="s">
        <v>3938</v>
      </c>
      <c r="B3848" s="3" t="s">
        <v>53</v>
      </c>
      <c r="C3848" s="3" t="s">
        <v>30</v>
      </c>
      <c r="D3848" s="3">
        <v>92309.2010975289</v>
      </c>
      <c r="E3848" s="3">
        <v>32763.2983238142</v>
      </c>
      <c r="F3848" s="3">
        <v>31413.5102409653</v>
      </c>
      <c r="G3848" s="3">
        <v>20731.0150878561</v>
      </c>
      <c r="H3848" s="3">
        <v>-110522.160711759</v>
      </c>
      <c r="I3848" s="3">
        <v>75333.3106977615</v>
      </c>
      <c r="J3848" s="4">
        <v>45689.0</v>
      </c>
      <c r="K3848" s="3">
        <v>7.0</v>
      </c>
      <c r="L3848" s="3" t="s">
        <v>38</v>
      </c>
    </row>
    <row r="3849" ht="15.75" customHeight="1">
      <c r="A3849" s="3" t="s">
        <v>3939</v>
      </c>
      <c r="B3849" s="3" t="s">
        <v>36</v>
      </c>
      <c r="C3849" s="3" t="s">
        <v>26</v>
      </c>
      <c r="D3849" s="3">
        <v>92320.0840674351</v>
      </c>
      <c r="E3849" s="3">
        <v>32767.9130421416</v>
      </c>
      <c r="F3849" s="3">
        <v>31421.1902443948</v>
      </c>
      <c r="G3849" s="5"/>
      <c r="H3849" s="3">
        <v>-110571.664429508</v>
      </c>
      <c r="I3849" s="3">
        <v>75336.6921721813</v>
      </c>
      <c r="J3849" s="4">
        <v>45962.0</v>
      </c>
      <c r="K3849" s="3">
        <v>10.0</v>
      </c>
      <c r="L3849" s="3" t="s">
        <v>40</v>
      </c>
    </row>
    <row r="3850" ht="15.75" customHeight="1">
      <c r="A3850" s="3" t="s">
        <v>3940</v>
      </c>
      <c r="B3850" s="3" t="s">
        <v>53</v>
      </c>
      <c r="C3850" s="3" t="s">
        <v>26</v>
      </c>
      <c r="D3850" s="3">
        <v>92330.9670373413</v>
      </c>
      <c r="E3850" s="3">
        <v>32772.527760469</v>
      </c>
      <c r="F3850" s="3">
        <v>31428.8702478243</v>
      </c>
      <c r="G3850" s="5"/>
      <c r="H3850" s="3">
        <v>-110621.168147257</v>
      </c>
      <c r="I3850" s="3">
        <v>75340.0736466011</v>
      </c>
      <c r="J3850" s="4">
        <v>45992.0</v>
      </c>
      <c r="K3850" s="3">
        <v>17.0</v>
      </c>
      <c r="L3850" s="3" t="s">
        <v>42</v>
      </c>
    </row>
    <row r="3851" ht="15.75" customHeight="1">
      <c r="A3851" s="3" t="s">
        <v>3941</v>
      </c>
      <c r="B3851" s="3" t="s">
        <v>53</v>
      </c>
      <c r="C3851" s="3" t="s">
        <v>26</v>
      </c>
      <c r="D3851" s="3">
        <v>92341.8500072475</v>
      </c>
      <c r="E3851" s="3">
        <v>32777.1424787964</v>
      </c>
      <c r="F3851" s="3">
        <v>31436.5502512538</v>
      </c>
      <c r="G3851" s="3">
        <v>20741.2077399179</v>
      </c>
      <c r="H3851" s="3">
        <v>-110670.671865006</v>
      </c>
      <c r="I3851" s="3">
        <v>75343.455121021</v>
      </c>
      <c r="J3851" s="4">
        <v>45839.0</v>
      </c>
      <c r="K3851" s="3">
        <v>10.0</v>
      </c>
      <c r="L3851" s="3" t="s">
        <v>15</v>
      </c>
    </row>
    <row r="3852" ht="15.75" customHeight="1">
      <c r="A3852" s="3" t="s">
        <v>3942</v>
      </c>
      <c r="B3852" s="3" t="s">
        <v>53</v>
      </c>
      <c r="C3852" s="3" t="s">
        <v>26</v>
      </c>
      <c r="D3852" s="3">
        <v>92363.6159470599</v>
      </c>
      <c r="E3852" s="3">
        <v>32786.3719154513</v>
      </c>
      <c r="F3852" s="3">
        <v>31451.9102581128</v>
      </c>
      <c r="G3852" s="3">
        <v>20748.0028412925</v>
      </c>
      <c r="H3852" s="3">
        <v>-110769.679300504</v>
      </c>
      <c r="I3852" s="3">
        <v>75350.2180698606</v>
      </c>
      <c r="J3852" s="4">
        <v>45870.0</v>
      </c>
      <c r="K3852" s="3">
        <v>25.0</v>
      </c>
      <c r="L3852" s="3" t="s">
        <v>21</v>
      </c>
    </row>
    <row r="3853" ht="15.75" customHeight="1">
      <c r="A3853" s="3" t="s">
        <v>3943</v>
      </c>
      <c r="B3853" s="3" t="s">
        <v>13</v>
      </c>
      <c r="C3853" s="3" t="s">
        <v>14</v>
      </c>
      <c r="D3853" s="3">
        <v>92374.4989169661</v>
      </c>
      <c r="E3853" s="3">
        <v>32790.9866337787</v>
      </c>
      <c r="F3853" s="3">
        <v>31459.5902615423</v>
      </c>
      <c r="G3853" s="3">
        <v>20751.4003919798</v>
      </c>
      <c r="H3853" s="3">
        <v>-110819.183018253</v>
      </c>
      <c r="I3853" s="3">
        <v>75353.5995442804</v>
      </c>
      <c r="J3853" s="4">
        <v>45962.0</v>
      </c>
      <c r="K3853" s="3">
        <v>13.0</v>
      </c>
      <c r="L3853" s="3" t="s">
        <v>23</v>
      </c>
    </row>
    <row r="3854" ht="15.75" customHeight="1">
      <c r="A3854" s="3" t="s">
        <v>3944</v>
      </c>
      <c r="B3854" s="3" t="s">
        <v>51</v>
      </c>
      <c r="C3854" s="3" t="s">
        <v>30</v>
      </c>
      <c r="D3854" s="3">
        <v>92385.3818868723</v>
      </c>
      <c r="E3854" s="3">
        <v>32795.6013521061</v>
      </c>
      <c r="F3854" s="3">
        <v>31467.2702649718</v>
      </c>
      <c r="G3854" s="3">
        <v>20754.7979426671</v>
      </c>
      <c r="H3854" s="3">
        <v>-110868.686736002</v>
      </c>
      <c r="I3854" s="3">
        <v>75356.9810187002</v>
      </c>
      <c r="J3854" s="4">
        <v>45748.0</v>
      </c>
      <c r="K3854" s="3">
        <v>6.0</v>
      </c>
      <c r="L3854" s="3" t="s">
        <v>27</v>
      </c>
    </row>
    <row r="3855" ht="15.75" customHeight="1">
      <c r="A3855" s="3" t="s">
        <v>3945</v>
      </c>
      <c r="B3855" s="3" t="s">
        <v>36</v>
      </c>
      <c r="C3855" s="3" t="s">
        <v>33</v>
      </c>
      <c r="D3855" s="3">
        <v>92396.2648567785</v>
      </c>
      <c r="E3855" s="3">
        <v>32800.2160704335</v>
      </c>
      <c r="F3855" s="3">
        <v>31474.9502684013</v>
      </c>
      <c r="G3855" s="3">
        <v>20758.1954933544</v>
      </c>
      <c r="H3855" s="3">
        <v>-110918.190453752</v>
      </c>
      <c r="I3855" s="3">
        <v>75360.36249312</v>
      </c>
      <c r="J3855" s="4">
        <v>45962.0</v>
      </c>
      <c r="K3855" s="3">
        <v>21.0</v>
      </c>
      <c r="L3855" s="3" t="s">
        <v>31</v>
      </c>
    </row>
    <row r="3856" ht="15.75" customHeight="1">
      <c r="A3856" s="3" t="s">
        <v>3946</v>
      </c>
      <c r="B3856" s="3" t="s">
        <v>36</v>
      </c>
      <c r="C3856" s="3" t="s">
        <v>26</v>
      </c>
      <c r="D3856" s="3">
        <v>92407.1478266847</v>
      </c>
      <c r="E3856" s="3">
        <v>32804.830788761</v>
      </c>
      <c r="F3856" s="3">
        <v>31482.6302718308</v>
      </c>
      <c r="G3856" s="3">
        <v>20761.5930440417</v>
      </c>
      <c r="H3856" s="3">
        <v>-110967.694171501</v>
      </c>
      <c r="I3856" s="3">
        <v>75363.7439675398</v>
      </c>
      <c r="J3856" s="4">
        <v>45778.0</v>
      </c>
      <c r="K3856" s="3">
        <v>16.0</v>
      </c>
      <c r="L3856" s="3" t="s">
        <v>34</v>
      </c>
    </row>
    <row r="3857" ht="15.75" customHeight="1">
      <c r="A3857" s="3" t="s">
        <v>3947</v>
      </c>
      <c r="B3857" s="3" t="s">
        <v>53</v>
      </c>
      <c r="C3857" s="3" t="s">
        <v>33</v>
      </c>
      <c r="D3857" s="3">
        <v>92418.0307965909</v>
      </c>
      <c r="E3857" s="3">
        <v>32809.4455070884</v>
      </c>
      <c r="F3857" s="3">
        <v>31490.3102752603</v>
      </c>
      <c r="G3857" s="3">
        <v>20764.990594729</v>
      </c>
      <c r="H3857" s="3">
        <v>-111017.19788925</v>
      </c>
      <c r="I3857" s="3">
        <v>75367.1254419597</v>
      </c>
      <c r="J3857" s="4">
        <v>45839.0</v>
      </c>
      <c r="K3857" s="3">
        <v>14.0</v>
      </c>
      <c r="L3857" s="3" t="s">
        <v>38</v>
      </c>
    </row>
    <row r="3858" ht="15.75" customHeight="1">
      <c r="A3858" s="3" t="s">
        <v>3948</v>
      </c>
      <c r="B3858" s="3" t="s">
        <v>51</v>
      </c>
      <c r="C3858" s="3" t="s">
        <v>18</v>
      </c>
      <c r="D3858" s="3">
        <v>92439.7967364033</v>
      </c>
      <c r="E3858" s="3">
        <v>32818.6749437432</v>
      </c>
      <c r="F3858" s="3">
        <v>31505.6702821193</v>
      </c>
      <c r="G3858" s="3">
        <v>20771.7856961035</v>
      </c>
      <c r="H3858" s="3">
        <v>-111116.205324748</v>
      </c>
      <c r="I3858" s="3">
        <v>75373.8883907993</v>
      </c>
      <c r="J3858" s="3" t="s">
        <v>190</v>
      </c>
      <c r="K3858" s="3">
        <v>7.0</v>
      </c>
      <c r="L3858" s="3" t="s">
        <v>42</v>
      </c>
    </row>
    <row r="3859" ht="15.75" customHeight="1">
      <c r="A3859" s="3" t="s">
        <v>3949</v>
      </c>
      <c r="B3859" s="3" t="s">
        <v>36</v>
      </c>
      <c r="C3859" s="3" t="s">
        <v>26</v>
      </c>
      <c r="D3859" s="3">
        <v>92450.6797063095</v>
      </c>
      <c r="E3859" s="3">
        <v>32823.2896620707</v>
      </c>
      <c r="F3859" s="3">
        <v>31513.3502855488</v>
      </c>
      <c r="G3859" s="3">
        <v>20775.1832467908</v>
      </c>
      <c r="H3859" s="3">
        <v>-111165.709042497</v>
      </c>
      <c r="I3859" s="3">
        <v>75377.2698652191</v>
      </c>
      <c r="J3859" s="4">
        <v>45748.0</v>
      </c>
      <c r="K3859" s="3">
        <v>21.0</v>
      </c>
      <c r="L3859" s="3" t="s">
        <v>15</v>
      </c>
    </row>
    <row r="3860" ht="15.75" customHeight="1">
      <c r="A3860" s="3" t="s">
        <v>3950</v>
      </c>
      <c r="B3860" s="3" t="s">
        <v>36</v>
      </c>
      <c r="C3860" s="3" t="s">
        <v>14</v>
      </c>
      <c r="D3860" s="3">
        <v>92461.5626762156</v>
      </c>
      <c r="E3860" s="3">
        <v>32827.9043803981</v>
      </c>
      <c r="F3860" s="3">
        <v>31521.0302889783</v>
      </c>
      <c r="G3860" s="5"/>
      <c r="H3860" s="3">
        <v>-111215.212760246</v>
      </c>
      <c r="I3860" s="3">
        <v>75380.6513396389</v>
      </c>
      <c r="J3860" s="4">
        <v>45778.0</v>
      </c>
      <c r="K3860" s="3">
        <v>5.0</v>
      </c>
      <c r="L3860" s="3" t="s">
        <v>19</v>
      </c>
    </row>
    <row r="3861" ht="15.75" customHeight="1">
      <c r="A3861" s="3" t="s">
        <v>3951</v>
      </c>
      <c r="B3861" s="3" t="s">
        <v>53</v>
      </c>
      <c r="C3861" s="3" t="s">
        <v>26</v>
      </c>
      <c r="D3861" s="3">
        <v>92472.4456461218</v>
      </c>
      <c r="E3861" s="3">
        <v>32832.5190987255</v>
      </c>
      <c r="F3861" s="3">
        <v>31528.7102924078</v>
      </c>
      <c r="G3861" s="3">
        <v>20781.9783481654</v>
      </c>
      <c r="H3861" s="3">
        <v>-111264.716477995</v>
      </c>
      <c r="I3861" s="3">
        <v>75384.0328140587</v>
      </c>
      <c r="J3861" s="4">
        <v>45778.0</v>
      </c>
      <c r="K3861" s="3">
        <v>8.0</v>
      </c>
      <c r="L3861" s="3" t="s">
        <v>21</v>
      </c>
    </row>
    <row r="3862" ht="15.75" customHeight="1">
      <c r="A3862" s="3" t="s">
        <v>3952</v>
      </c>
      <c r="B3862" s="3" t="s">
        <v>29</v>
      </c>
      <c r="C3862" s="3" t="s">
        <v>54</v>
      </c>
      <c r="D3862" s="3">
        <v>92483.328616028</v>
      </c>
      <c r="E3862" s="3">
        <v>32837.1338170529</v>
      </c>
      <c r="F3862" s="3">
        <v>31536.3902958373</v>
      </c>
      <c r="G3862" s="3">
        <v>20785.3758988527</v>
      </c>
      <c r="H3862" s="3">
        <v>-111314.220195745</v>
      </c>
      <c r="I3862" s="3">
        <v>75387.4142884785</v>
      </c>
      <c r="J3862" s="4">
        <v>45962.0</v>
      </c>
      <c r="K3862" s="3">
        <v>19.0</v>
      </c>
      <c r="L3862" s="3" t="s">
        <v>23</v>
      </c>
    </row>
    <row r="3863" ht="15.75" customHeight="1">
      <c r="A3863" s="3" t="s">
        <v>3953</v>
      </c>
      <c r="B3863" s="3" t="s">
        <v>53</v>
      </c>
      <c r="C3863" s="3" t="s">
        <v>14</v>
      </c>
      <c r="D3863" s="3">
        <v>92494.2115859342</v>
      </c>
      <c r="E3863" s="3">
        <v>32841.7485353803</v>
      </c>
      <c r="F3863" s="3">
        <v>31544.0702992668</v>
      </c>
      <c r="G3863" s="3">
        <v>20788.77344954</v>
      </c>
      <c r="H3863" s="3">
        <v>-111363.723913494</v>
      </c>
      <c r="I3863" s="3">
        <v>75390.7957628984</v>
      </c>
      <c r="J3863" s="4">
        <v>45658.0</v>
      </c>
      <c r="K3863" s="3">
        <v>17.0</v>
      </c>
      <c r="L3863" s="3" t="s">
        <v>27</v>
      </c>
    </row>
    <row r="3864" ht="15.75" customHeight="1">
      <c r="A3864" s="3" t="s">
        <v>3954</v>
      </c>
      <c r="B3864" s="3" t="s">
        <v>29</v>
      </c>
      <c r="C3864" s="3" t="s">
        <v>14</v>
      </c>
      <c r="D3864" s="3">
        <v>92505.0945558404</v>
      </c>
      <c r="E3864" s="3">
        <v>32846.3632537078</v>
      </c>
      <c r="F3864" s="3">
        <v>31551.7503026963</v>
      </c>
      <c r="G3864" s="3">
        <v>20792.1710002273</v>
      </c>
      <c r="H3864" s="3">
        <v>-111413.227631243</v>
      </c>
      <c r="I3864" s="3">
        <v>75394.1772373182</v>
      </c>
      <c r="J3864" s="4">
        <v>45870.0</v>
      </c>
      <c r="K3864" s="3">
        <v>1.0</v>
      </c>
      <c r="L3864" s="3" t="s">
        <v>31</v>
      </c>
    </row>
    <row r="3865" ht="15.75" customHeight="1">
      <c r="A3865" s="3" t="s">
        <v>3955</v>
      </c>
      <c r="B3865" s="3" t="s">
        <v>36</v>
      </c>
      <c r="C3865" s="3" t="s">
        <v>26</v>
      </c>
      <c r="D3865" s="3">
        <v>92515.9775257466</v>
      </c>
      <c r="E3865" s="3">
        <v>32850.9779720352</v>
      </c>
      <c r="F3865" s="3">
        <v>31559.4303061258</v>
      </c>
      <c r="G3865" s="3">
        <v>20795.5685509145</v>
      </c>
      <c r="H3865" s="3">
        <v>-111462.731348992</v>
      </c>
      <c r="I3865" s="3">
        <v>75397.558711738</v>
      </c>
      <c r="J3865" s="4">
        <v>45717.0</v>
      </c>
      <c r="K3865" s="3">
        <v>15.0</v>
      </c>
      <c r="L3865" s="3" t="s">
        <v>34</v>
      </c>
    </row>
    <row r="3866" ht="15.75" customHeight="1">
      <c r="A3866" s="3" t="s">
        <v>3956</v>
      </c>
      <c r="B3866" s="3" t="s">
        <v>36</v>
      </c>
      <c r="C3866" s="3" t="s">
        <v>54</v>
      </c>
      <c r="D3866" s="3">
        <v>92526.8604956528</v>
      </c>
      <c r="E3866" s="3">
        <v>32855.5926903626</v>
      </c>
      <c r="F3866" s="3">
        <v>31567.1103095553</v>
      </c>
      <c r="G3866" s="3">
        <v>20798.9661016018</v>
      </c>
      <c r="H3866" s="3">
        <v>-111512.235066741</v>
      </c>
      <c r="I3866" s="3">
        <v>75400.9401861578</v>
      </c>
      <c r="J3866" s="4">
        <v>45717.0</v>
      </c>
      <c r="K3866" s="3">
        <v>19.0</v>
      </c>
      <c r="L3866" s="3" t="s">
        <v>38</v>
      </c>
    </row>
    <row r="3867" ht="15.75" customHeight="1">
      <c r="A3867" s="3" t="s">
        <v>3957</v>
      </c>
      <c r="B3867" s="3" t="s">
        <v>36</v>
      </c>
      <c r="C3867" s="3" t="s">
        <v>18</v>
      </c>
      <c r="D3867" s="3">
        <v>92537.743465559</v>
      </c>
      <c r="E3867" s="3">
        <v>32860.20740869</v>
      </c>
      <c r="F3867" s="3">
        <v>31574.7903129848</v>
      </c>
      <c r="G3867" s="3">
        <v>20802.3636522891</v>
      </c>
      <c r="H3867" s="3">
        <v>-111561.73878449</v>
      </c>
      <c r="I3867" s="3">
        <v>75404.3216605776</v>
      </c>
      <c r="J3867" s="4">
        <v>45931.0</v>
      </c>
      <c r="K3867" s="3">
        <v>21.0</v>
      </c>
      <c r="L3867" s="3" t="s">
        <v>40</v>
      </c>
    </row>
    <row r="3868" ht="15.75" customHeight="1">
      <c r="A3868" s="3" t="s">
        <v>3958</v>
      </c>
      <c r="B3868" s="3" t="s">
        <v>29</v>
      </c>
      <c r="C3868" s="3" t="s">
        <v>33</v>
      </c>
      <c r="D3868" s="3">
        <v>92548.6264354652</v>
      </c>
      <c r="E3868" s="3">
        <v>32864.8221270174</v>
      </c>
      <c r="F3868" s="3">
        <v>31582.4703164143</v>
      </c>
      <c r="G3868" s="3">
        <v>20805.7612029764</v>
      </c>
      <c r="H3868" s="3">
        <v>-111611.242502239</v>
      </c>
      <c r="I3868" s="3">
        <v>75407.7031349974</v>
      </c>
      <c r="J3868" s="4">
        <v>45809.0</v>
      </c>
      <c r="K3868" s="3">
        <v>13.0</v>
      </c>
      <c r="L3868" s="3" t="s">
        <v>42</v>
      </c>
    </row>
    <row r="3869" ht="15.75" customHeight="1">
      <c r="A3869" s="3" t="s">
        <v>3959</v>
      </c>
      <c r="B3869" s="3" t="s">
        <v>29</v>
      </c>
      <c r="C3869" s="3" t="s">
        <v>33</v>
      </c>
      <c r="D3869" s="3">
        <v>92559.5094053714</v>
      </c>
      <c r="E3869" s="3">
        <v>32869.4368453449</v>
      </c>
      <c r="F3869" s="3">
        <v>31590.1503198438</v>
      </c>
      <c r="G3869" s="3">
        <v>20809.1587536637</v>
      </c>
      <c r="H3869" s="3">
        <v>-111660.746219988</v>
      </c>
      <c r="I3869" s="3">
        <v>75411.0846094172</v>
      </c>
      <c r="J3869" s="4">
        <v>45901.0</v>
      </c>
      <c r="K3869" s="3">
        <v>13.0</v>
      </c>
      <c r="L3869" s="3" t="s">
        <v>15</v>
      </c>
    </row>
    <row r="3870" ht="15.75" customHeight="1">
      <c r="A3870" s="3" t="s">
        <v>3960</v>
      </c>
      <c r="B3870" s="3" t="s">
        <v>36</v>
      </c>
      <c r="C3870" s="3" t="s">
        <v>14</v>
      </c>
      <c r="D3870" s="3">
        <v>92570.3923752776</v>
      </c>
      <c r="E3870" s="3">
        <v>32874.0515636723</v>
      </c>
      <c r="F3870" s="3">
        <v>31597.8303232733</v>
      </c>
      <c r="G3870" s="3">
        <v>20812.556304351</v>
      </c>
      <c r="H3870" s="3">
        <v>-111710.249937738</v>
      </c>
      <c r="I3870" s="3">
        <v>75414.4660838371</v>
      </c>
      <c r="J3870" s="4">
        <v>45778.0</v>
      </c>
      <c r="K3870" s="3">
        <v>19.0</v>
      </c>
      <c r="L3870" s="3" t="s">
        <v>19</v>
      </c>
    </row>
    <row r="3871" ht="15.75" customHeight="1">
      <c r="A3871" s="3" t="s">
        <v>3961</v>
      </c>
      <c r="B3871" s="3" t="s">
        <v>25</v>
      </c>
      <c r="C3871" s="3" t="s">
        <v>30</v>
      </c>
      <c r="D3871" s="3">
        <v>92581.2753451838</v>
      </c>
      <c r="E3871" s="3">
        <v>32878.6662819997</v>
      </c>
      <c r="F3871" s="3">
        <v>31605.5103267028</v>
      </c>
      <c r="G3871" s="3">
        <v>20815.9538550383</v>
      </c>
      <c r="H3871" s="3">
        <v>-111759.753655487</v>
      </c>
      <c r="I3871" s="3">
        <v>75417.8475582569</v>
      </c>
      <c r="J3871" s="4">
        <v>45962.0</v>
      </c>
      <c r="K3871" s="3">
        <v>8.0</v>
      </c>
      <c r="L3871" s="3" t="s">
        <v>21</v>
      </c>
    </row>
    <row r="3872" ht="15.75" customHeight="1">
      <c r="A3872" s="3" t="s">
        <v>3962</v>
      </c>
      <c r="B3872" s="3" t="s">
        <v>17</v>
      </c>
      <c r="C3872" s="3" t="s">
        <v>26</v>
      </c>
      <c r="D3872" s="3">
        <v>92592.15831509</v>
      </c>
      <c r="E3872" s="3">
        <v>32883.2810003271</v>
      </c>
      <c r="F3872" s="3">
        <v>31613.1903301323</v>
      </c>
      <c r="G3872" s="3">
        <v>20819.3514057255</v>
      </c>
      <c r="H3872" s="3">
        <v>-111809.257373236</v>
      </c>
      <c r="I3872" s="3">
        <v>75421.2290326767</v>
      </c>
      <c r="J3872" s="4">
        <v>45992.0</v>
      </c>
      <c r="K3872" s="3">
        <v>19.0</v>
      </c>
      <c r="L3872" s="3" t="s">
        <v>23</v>
      </c>
    </row>
    <row r="3873" ht="15.75" customHeight="1">
      <c r="A3873" s="3" t="s">
        <v>3963</v>
      </c>
      <c r="B3873" s="3" t="s">
        <v>17</v>
      </c>
      <c r="C3873" s="3" t="s">
        <v>14</v>
      </c>
      <c r="D3873" s="3">
        <v>92603.0412849962</v>
      </c>
      <c r="E3873" s="3">
        <v>32887.8957186546</v>
      </c>
      <c r="F3873" s="3">
        <v>31620.8703335618</v>
      </c>
      <c r="G3873" s="3">
        <v>20822.7489564128</v>
      </c>
      <c r="H3873" s="3">
        <v>-111858.761090985</v>
      </c>
      <c r="I3873" s="3">
        <v>75424.6105070965</v>
      </c>
      <c r="J3873" s="4">
        <v>45931.0</v>
      </c>
      <c r="K3873" s="3">
        <v>15.0</v>
      </c>
      <c r="L3873" s="3" t="s">
        <v>27</v>
      </c>
    </row>
    <row r="3874" ht="15.75" customHeight="1">
      <c r="A3874" s="3" t="s">
        <v>3964</v>
      </c>
      <c r="B3874" s="3" t="s">
        <v>25</v>
      </c>
      <c r="C3874" s="3" t="s">
        <v>18</v>
      </c>
      <c r="D3874" s="3">
        <v>92613.9242549024</v>
      </c>
      <c r="E3874" s="3">
        <v>32892.510436982</v>
      </c>
      <c r="F3874" s="3">
        <v>31628.5503369913</v>
      </c>
      <c r="G3874" s="3">
        <v>20826.1465071001</v>
      </c>
      <c r="H3874" s="3">
        <v>-111908.264808734</v>
      </c>
      <c r="I3874" s="3">
        <v>75427.9919815163</v>
      </c>
      <c r="J3874" s="4">
        <v>45901.0</v>
      </c>
      <c r="K3874" s="3">
        <v>11.0</v>
      </c>
      <c r="L3874" s="3" t="s">
        <v>31</v>
      </c>
    </row>
    <row r="3875" ht="15.75" customHeight="1">
      <c r="A3875" s="3" t="s">
        <v>3965</v>
      </c>
      <c r="B3875" s="3" t="s">
        <v>36</v>
      </c>
      <c r="C3875" s="3" t="s">
        <v>18</v>
      </c>
      <c r="D3875" s="3">
        <v>92624.8072248086</v>
      </c>
      <c r="E3875" s="3">
        <v>32897.1251553094</v>
      </c>
      <c r="F3875" s="3">
        <v>31636.2303404208</v>
      </c>
      <c r="G3875" s="3">
        <v>20829.5440577874</v>
      </c>
      <c r="H3875" s="3">
        <v>-111957.768526483</v>
      </c>
      <c r="I3875" s="3">
        <v>75431.3734559361</v>
      </c>
      <c r="J3875" s="4">
        <v>45931.0</v>
      </c>
      <c r="K3875" s="3">
        <v>3.0</v>
      </c>
      <c r="L3875" s="3" t="s">
        <v>34</v>
      </c>
    </row>
    <row r="3876" ht="15.75" customHeight="1">
      <c r="A3876" s="3" t="s">
        <v>3966</v>
      </c>
      <c r="B3876" s="3" t="s">
        <v>36</v>
      </c>
      <c r="C3876" s="3" t="s">
        <v>30</v>
      </c>
      <c r="D3876" s="3">
        <v>92635.6901947147</v>
      </c>
      <c r="E3876" s="3">
        <v>32901.7398736368</v>
      </c>
      <c r="F3876" s="3">
        <v>31643.9103438503</v>
      </c>
      <c r="G3876" s="3">
        <v>20832.9416084747</v>
      </c>
      <c r="H3876" s="3">
        <v>-112007.272244232</v>
      </c>
      <c r="I3876" s="3">
        <v>75434.7549303559</v>
      </c>
      <c r="J3876" s="4">
        <v>45717.0</v>
      </c>
      <c r="K3876" s="3">
        <v>12.0</v>
      </c>
      <c r="L3876" s="3" t="s">
        <v>38</v>
      </c>
    </row>
    <row r="3877" ht="15.75" customHeight="1">
      <c r="A3877" s="3" t="s">
        <v>3967</v>
      </c>
      <c r="B3877" s="3" t="s">
        <v>36</v>
      </c>
      <c r="C3877" s="3" t="s">
        <v>54</v>
      </c>
      <c r="D3877" s="3">
        <v>92646.5731646209</v>
      </c>
      <c r="E3877" s="3">
        <v>32906.3545919642</v>
      </c>
      <c r="F3877" s="3">
        <v>31651.5903472798</v>
      </c>
      <c r="G3877" s="3">
        <v>20836.339159162</v>
      </c>
      <c r="H3877" s="3">
        <v>-112056.775961981</v>
      </c>
      <c r="I3877" s="3">
        <v>75438.1364047758</v>
      </c>
      <c r="J3877" s="4">
        <v>45839.0</v>
      </c>
      <c r="K3877" s="3">
        <v>16.0</v>
      </c>
      <c r="L3877" s="3" t="s">
        <v>40</v>
      </c>
    </row>
    <row r="3878" ht="15.75" customHeight="1">
      <c r="A3878" s="3" t="s">
        <v>3968</v>
      </c>
      <c r="B3878" s="3" t="s">
        <v>17</v>
      </c>
      <c r="C3878" s="3" t="s">
        <v>37</v>
      </c>
      <c r="D3878" s="3">
        <v>92657.4561345271</v>
      </c>
      <c r="E3878" s="3">
        <v>32910.9693102917</v>
      </c>
      <c r="F3878" s="3">
        <v>31659.2703507092</v>
      </c>
      <c r="G3878" s="3">
        <v>20839.7367098493</v>
      </c>
      <c r="H3878" s="3">
        <v>-112106.279679731</v>
      </c>
      <c r="I3878" s="3">
        <v>75441.5178791956</v>
      </c>
      <c r="J3878" s="4">
        <v>45778.0</v>
      </c>
      <c r="K3878" s="3">
        <v>23.0</v>
      </c>
      <c r="L3878" s="3" t="s">
        <v>42</v>
      </c>
    </row>
    <row r="3879" ht="15.75" customHeight="1">
      <c r="A3879" s="3" t="s">
        <v>3969</v>
      </c>
      <c r="B3879" s="3" t="s">
        <v>13</v>
      </c>
      <c r="C3879" s="3" t="s">
        <v>30</v>
      </c>
      <c r="D3879" s="3">
        <v>92668.3391044333</v>
      </c>
      <c r="E3879" s="3">
        <v>32915.5840286191</v>
      </c>
      <c r="F3879" s="3">
        <v>31666.9503541387</v>
      </c>
      <c r="G3879" s="3">
        <v>20843.1342605366</v>
      </c>
      <c r="H3879" s="3">
        <v>-112155.78339748</v>
      </c>
      <c r="I3879" s="3">
        <v>75444.8993536154</v>
      </c>
      <c r="J3879" s="4">
        <v>45748.0</v>
      </c>
      <c r="K3879" s="3">
        <v>20.0</v>
      </c>
      <c r="L3879" s="3" t="s">
        <v>15</v>
      </c>
    </row>
    <row r="3880" ht="15.75" customHeight="1">
      <c r="A3880" s="3" t="s">
        <v>3970</v>
      </c>
      <c r="B3880" s="3" t="s">
        <v>13</v>
      </c>
      <c r="C3880" s="3" t="s">
        <v>33</v>
      </c>
      <c r="D3880" s="3">
        <v>92679.2220743395</v>
      </c>
      <c r="E3880" s="3">
        <v>32920.1987469465</v>
      </c>
      <c r="F3880" s="3">
        <v>31674.6303575682</v>
      </c>
      <c r="G3880" s="3">
        <v>20846.5318112238</v>
      </c>
      <c r="H3880" s="3">
        <v>-112205.287115229</v>
      </c>
      <c r="I3880" s="3">
        <v>75448.2808280352</v>
      </c>
      <c r="J3880" s="4">
        <v>45901.0</v>
      </c>
      <c r="K3880" s="3">
        <v>17.0</v>
      </c>
      <c r="L3880" s="3" t="s">
        <v>19</v>
      </c>
    </row>
    <row r="3881" ht="15.75" customHeight="1">
      <c r="A3881" s="3" t="s">
        <v>3971</v>
      </c>
      <c r="B3881" s="3" t="s">
        <v>25</v>
      </c>
      <c r="C3881" s="3" t="s">
        <v>33</v>
      </c>
      <c r="D3881" s="3">
        <v>92690.1050442457</v>
      </c>
      <c r="E3881" s="3">
        <v>32924.8134652739</v>
      </c>
      <c r="F3881" s="3">
        <v>31682.3103609977</v>
      </c>
      <c r="G3881" s="3">
        <v>20849.9293619111</v>
      </c>
      <c r="H3881" s="3">
        <v>-112254.790832978</v>
      </c>
      <c r="I3881" s="3">
        <v>75451.662302455</v>
      </c>
      <c r="J3881" s="4">
        <v>45689.0</v>
      </c>
      <c r="K3881" s="3">
        <v>10.0</v>
      </c>
      <c r="L3881" s="3" t="s">
        <v>21</v>
      </c>
    </row>
    <row r="3882" ht="15.75" customHeight="1">
      <c r="A3882" s="3" t="s">
        <v>3972</v>
      </c>
      <c r="B3882" s="3" t="s">
        <v>36</v>
      </c>
      <c r="C3882" s="3" t="s">
        <v>33</v>
      </c>
      <c r="D3882" s="3">
        <v>92711.8709840581</v>
      </c>
      <c r="E3882" s="3">
        <v>32934.0429019288</v>
      </c>
      <c r="F3882" s="3">
        <v>31697.6703678567</v>
      </c>
      <c r="G3882" s="3">
        <v>20856.7244632857</v>
      </c>
      <c r="H3882" s="3">
        <v>-112353.798268476</v>
      </c>
      <c r="I3882" s="3">
        <v>75458.4252512946</v>
      </c>
      <c r="J3882" s="4">
        <v>45992.0</v>
      </c>
      <c r="K3882" s="3">
        <v>13.0</v>
      </c>
      <c r="L3882" s="3" t="s">
        <v>27</v>
      </c>
    </row>
    <row r="3883" ht="15.75" customHeight="1">
      <c r="A3883" s="3" t="s">
        <v>3973</v>
      </c>
      <c r="B3883" s="3" t="s">
        <v>51</v>
      </c>
      <c r="C3883" s="3" t="s">
        <v>37</v>
      </c>
      <c r="D3883" s="3">
        <v>92722.7539539643</v>
      </c>
      <c r="E3883" s="3">
        <v>32938.6576202562</v>
      </c>
      <c r="F3883" s="3">
        <v>31705.3503712862</v>
      </c>
      <c r="G3883" s="3">
        <v>20860.122013973</v>
      </c>
      <c r="H3883" s="3">
        <v>-112403.301986225</v>
      </c>
      <c r="I3883" s="3">
        <v>75461.8067257145</v>
      </c>
      <c r="J3883" s="4">
        <v>45689.0</v>
      </c>
      <c r="K3883" s="3">
        <v>13.0</v>
      </c>
      <c r="L3883" s="3" t="s">
        <v>31</v>
      </c>
    </row>
    <row r="3884" ht="15.75" customHeight="1">
      <c r="A3884" s="3" t="s">
        <v>3974</v>
      </c>
      <c r="B3884" s="3" t="s">
        <v>17</v>
      </c>
      <c r="C3884" s="3" t="s">
        <v>14</v>
      </c>
      <c r="D3884" s="3">
        <v>92733.6369238705</v>
      </c>
      <c r="E3884" s="3">
        <v>32943.2723385836</v>
      </c>
      <c r="F3884" s="3">
        <v>31713.0303747157</v>
      </c>
      <c r="G3884" s="3">
        <v>20863.5195646603</v>
      </c>
      <c r="H3884" s="3">
        <v>-112452.805703974</v>
      </c>
      <c r="I3884" s="3">
        <v>75465.1882001343</v>
      </c>
      <c r="J3884" s="4">
        <v>45992.0</v>
      </c>
      <c r="K3884" s="3">
        <v>3.0</v>
      </c>
      <c r="L3884" s="3" t="s">
        <v>34</v>
      </c>
    </row>
    <row r="3885" ht="15.75" customHeight="1">
      <c r="A3885" s="3" t="s">
        <v>3975</v>
      </c>
      <c r="B3885" s="3" t="s">
        <v>25</v>
      </c>
      <c r="C3885" s="3" t="s">
        <v>26</v>
      </c>
      <c r="D3885" s="3">
        <v>92744.5198937767</v>
      </c>
      <c r="E3885" s="3">
        <v>32947.887056911</v>
      </c>
      <c r="F3885" s="3">
        <v>31720.7103781452</v>
      </c>
      <c r="G3885" s="3">
        <v>20866.9171153476</v>
      </c>
      <c r="H3885" s="3">
        <v>-112502.309421724</v>
      </c>
      <c r="I3885" s="3">
        <v>75468.5696745541</v>
      </c>
      <c r="J3885" s="4">
        <v>45870.0</v>
      </c>
      <c r="K3885" s="3">
        <v>11.0</v>
      </c>
      <c r="L3885" s="3" t="s">
        <v>38</v>
      </c>
    </row>
    <row r="3886" ht="15.75" customHeight="1">
      <c r="A3886" s="3" t="s">
        <v>3976</v>
      </c>
      <c r="B3886" s="3" t="s">
        <v>13</v>
      </c>
      <c r="C3886" s="3" t="s">
        <v>26</v>
      </c>
      <c r="D3886" s="3">
        <v>92755.4028636829</v>
      </c>
      <c r="E3886" s="3">
        <v>32952.5017752385</v>
      </c>
      <c r="F3886" s="3">
        <v>31728.3903815747</v>
      </c>
      <c r="G3886" s="3">
        <v>20870.3146660348</v>
      </c>
      <c r="H3886" s="3">
        <v>-112551.813139473</v>
      </c>
      <c r="I3886" s="3">
        <v>75471.9511489739</v>
      </c>
      <c r="J3886" s="4">
        <v>45839.0</v>
      </c>
      <c r="K3886" s="3">
        <v>24.0</v>
      </c>
      <c r="L3886" s="3" t="s">
        <v>40</v>
      </c>
    </row>
    <row r="3887" ht="15.75" customHeight="1">
      <c r="A3887" s="3" t="s">
        <v>3977</v>
      </c>
      <c r="B3887" s="3" t="s">
        <v>17</v>
      </c>
      <c r="C3887" s="3" t="s">
        <v>37</v>
      </c>
      <c r="D3887" s="3">
        <v>92766.2858335891</v>
      </c>
      <c r="E3887" s="3">
        <v>32957.1164935659</v>
      </c>
      <c r="F3887" s="3">
        <v>31736.0703850042</v>
      </c>
      <c r="G3887" s="3">
        <v>20873.7122167221</v>
      </c>
      <c r="H3887" s="3">
        <v>71892.573616867</v>
      </c>
      <c r="I3887" s="3">
        <v>76892.573616867</v>
      </c>
      <c r="J3887" s="4">
        <v>45839.0</v>
      </c>
      <c r="K3887" s="3">
        <v>23.0</v>
      </c>
      <c r="L3887" s="3" t="s">
        <v>42</v>
      </c>
    </row>
    <row r="3888" ht="15.75" customHeight="1">
      <c r="A3888" s="3" t="s">
        <v>3978</v>
      </c>
      <c r="B3888" s="3" t="s">
        <v>51</v>
      </c>
      <c r="C3888" s="3" t="s">
        <v>30</v>
      </c>
      <c r="D3888" s="3">
        <v>92777.1688034953</v>
      </c>
      <c r="E3888" s="3">
        <v>32961.7312118933</v>
      </c>
      <c r="F3888" s="3">
        <v>31743.7503884337</v>
      </c>
      <c r="G3888" s="3">
        <v>20877.1097674094</v>
      </c>
      <c r="H3888" s="3">
        <v>71900.0590360859</v>
      </c>
      <c r="I3888" s="3">
        <v>76900.0590360859</v>
      </c>
      <c r="J3888" s="4">
        <v>45689.0</v>
      </c>
      <c r="K3888" s="3">
        <v>13.0</v>
      </c>
      <c r="L3888" s="3" t="s">
        <v>15</v>
      </c>
    </row>
    <row r="3889" ht="15.75" customHeight="1">
      <c r="A3889" s="3" t="s">
        <v>3979</v>
      </c>
      <c r="B3889" s="3" t="s">
        <v>51</v>
      </c>
      <c r="C3889" s="3" t="s">
        <v>18</v>
      </c>
      <c r="D3889" s="3">
        <v>92788.0517734015</v>
      </c>
      <c r="E3889" s="3">
        <v>32966.3459302207</v>
      </c>
      <c r="F3889" s="3">
        <v>31751.4303918632</v>
      </c>
      <c r="G3889" s="3">
        <v>20880.5073180967</v>
      </c>
      <c r="H3889" s="3">
        <v>-112700.32429272</v>
      </c>
      <c r="I3889" s="3">
        <v>75482.0955722333</v>
      </c>
      <c r="J3889" s="4">
        <v>45748.0</v>
      </c>
      <c r="K3889" s="3">
        <v>19.0</v>
      </c>
      <c r="L3889" s="3" t="s">
        <v>19</v>
      </c>
    </row>
    <row r="3890" ht="15.75" customHeight="1">
      <c r="A3890" s="3" t="s">
        <v>3980</v>
      </c>
      <c r="B3890" s="3" t="s">
        <v>36</v>
      </c>
      <c r="C3890" s="3" t="s">
        <v>30</v>
      </c>
      <c r="D3890" s="3">
        <v>92798.9347433076</v>
      </c>
      <c r="E3890" s="3">
        <v>32970.9606485482</v>
      </c>
      <c r="F3890" s="3">
        <v>31759.1103952927</v>
      </c>
      <c r="G3890" s="3">
        <v>20883.904868784</v>
      </c>
      <c r="H3890" s="3">
        <v>-112749.828010469</v>
      </c>
      <c r="I3890" s="3">
        <v>75485.4770466532</v>
      </c>
      <c r="J3890" s="4">
        <v>45962.0</v>
      </c>
      <c r="K3890" s="3">
        <v>11.0</v>
      </c>
      <c r="L3890" s="3" t="s">
        <v>21</v>
      </c>
    </row>
    <row r="3891" ht="15.75" customHeight="1">
      <c r="A3891" s="3" t="s">
        <v>3981</v>
      </c>
      <c r="B3891" s="3" t="s">
        <v>36</v>
      </c>
      <c r="C3891" s="3" t="s">
        <v>18</v>
      </c>
      <c r="D3891" s="3">
        <v>92809.8177132138</v>
      </c>
      <c r="E3891" s="3">
        <v>32975.5753668756</v>
      </c>
      <c r="F3891" s="3">
        <v>31766.7903987222</v>
      </c>
      <c r="G3891" s="3">
        <v>20887.3024194713</v>
      </c>
      <c r="H3891" s="3">
        <v>-112799.331728218</v>
      </c>
      <c r="I3891" s="3">
        <v>75488.858521073</v>
      </c>
      <c r="J3891" s="4">
        <v>45809.0</v>
      </c>
      <c r="K3891" s="3">
        <v>15.0</v>
      </c>
      <c r="L3891" s="3" t="s">
        <v>23</v>
      </c>
    </row>
    <row r="3892" ht="15.75" customHeight="1">
      <c r="A3892" s="3" t="s">
        <v>3982</v>
      </c>
      <c r="B3892" s="3" t="s">
        <v>53</v>
      </c>
      <c r="C3892" s="3" t="s">
        <v>14</v>
      </c>
      <c r="D3892" s="3">
        <v>92820.70068312</v>
      </c>
      <c r="E3892" s="3">
        <v>32980.190085203</v>
      </c>
      <c r="F3892" s="3">
        <v>31774.4704021517</v>
      </c>
      <c r="G3892" s="3">
        <v>20890.6999701586</v>
      </c>
      <c r="H3892" s="3">
        <v>-112848.835445967</v>
      </c>
      <c r="I3892" s="3">
        <v>75492.2399954928</v>
      </c>
      <c r="J3892" s="4">
        <v>45778.0</v>
      </c>
      <c r="K3892" s="3">
        <v>21.0</v>
      </c>
      <c r="L3892" s="3" t="s">
        <v>27</v>
      </c>
    </row>
    <row r="3893" ht="15.75" customHeight="1">
      <c r="A3893" s="3" t="s">
        <v>3983</v>
      </c>
      <c r="B3893" s="3" t="s">
        <v>36</v>
      </c>
      <c r="C3893" s="3" t="s">
        <v>26</v>
      </c>
      <c r="D3893" s="3">
        <v>92831.5836530262</v>
      </c>
      <c r="E3893" s="3">
        <v>32984.8048035304</v>
      </c>
      <c r="F3893" s="3">
        <v>31782.1504055812</v>
      </c>
      <c r="G3893" s="3">
        <v>20894.0975208459</v>
      </c>
      <c r="H3893" s="3">
        <v>-112898.339163717</v>
      </c>
      <c r="I3893" s="3">
        <v>75495.6214699126</v>
      </c>
      <c r="J3893" s="4">
        <v>45778.0</v>
      </c>
      <c r="K3893" s="3">
        <v>11.0</v>
      </c>
      <c r="L3893" s="3" t="s">
        <v>31</v>
      </c>
    </row>
    <row r="3894" ht="15.75" customHeight="1">
      <c r="A3894" s="3" t="s">
        <v>3984</v>
      </c>
      <c r="B3894" s="3" t="s">
        <v>29</v>
      </c>
      <c r="C3894" s="3" t="s">
        <v>54</v>
      </c>
      <c r="D3894" s="3">
        <v>92842.4666229324</v>
      </c>
      <c r="E3894" s="3">
        <v>32989.4195218578</v>
      </c>
      <c r="F3894" s="3">
        <v>31789.8304090107</v>
      </c>
      <c r="G3894" s="3">
        <v>20897.4950715331</v>
      </c>
      <c r="H3894" s="3">
        <v>-112947.842881466</v>
      </c>
      <c r="I3894" s="3">
        <v>75499.0029443324</v>
      </c>
      <c r="J3894" s="4">
        <v>45931.0</v>
      </c>
      <c r="K3894" s="3">
        <v>18.0</v>
      </c>
      <c r="L3894" s="3" t="s">
        <v>34</v>
      </c>
    </row>
    <row r="3895" ht="15.75" customHeight="1">
      <c r="A3895" s="3" t="s">
        <v>3985</v>
      </c>
      <c r="B3895" s="3" t="s">
        <v>25</v>
      </c>
      <c r="C3895" s="3" t="s">
        <v>33</v>
      </c>
      <c r="D3895" s="3">
        <v>92853.3495928386</v>
      </c>
      <c r="E3895" s="3">
        <v>32994.0342401853</v>
      </c>
      <c r="F3895" s="3">
        <v>31797.5104124402</v>
      </c>
      <c r="G3895" s="3">
        <v>20900.8926222204</v>
      </c>
      <c r="H3895" s="3">
        <v>-112997.346599215</v>
      </c>
      <c r="I3895" s="3">
        <v>75502.3844187522</v>
      </c>
      <c r="J3895" s="4">
        <v>45992.0</v>
      </c>
      <c r="K3895" s="3">
        <v>21.0</v>
      </c>
      <c r="L3895" s="3" t="s">
        <v>38</v>
      </c>
    </row>
    <row r="3896" ht="15.75" customHeight="1">
      <c r="A3896" s="3" t="s">
        <v>3986</v>
      </c>
      <c r="B3896" s="3" t="s">
        <v>53</v>
      </c>
      <c r="C3896" s="3" t="s">
        <v>26</v>
      </c>
      <c r="D3896" s="3">
        <v>92864.2325627448</v>
      </c>
      <c r="E3896" s="3">
        <v>32998.6489585127</v>
      </c>
      <c r="F3896" s="3">
        <v>31805.1904158697</v>
      </c>
      <c r="G3896" s="3">
        <v>20904.2901729077</v>
      </c>
      <c r="H3896" s="3">
        <v>-113046.850316964</v>
      </c>
      <c r="I3896" s="3">
        <v>75505.765893172</v>
      </c>
      <c r="J3896" s="4">
        <v>45809.0</v>
      </c>
      <c r="K3896" s="3">
        <v>3.0</v>
      </c>
      <c r="L3896" s="3" t="s">
        <v>40</v>
      </c>
    </row>
    <row r="3897" ht="15.75" customHeight="1">
      <c r="A3897" s="3" t="s">
        <v>3987</v>
      </c>
      <c r="B3897" s="3" t="s">
        <v>17</v>
      </c>
      <c r="C3897" s="3" t="s">
        <v>30</v>
      </c>
      <c r="D3897" s="3">
        <v>92875.115532651</v>
      </c>
      <c r="E3897" s="3">
        <v>33003.2636768401</v>
      </c>
      <c r="F3897" s="3">
        <v>31812.8704192992</v>
      </c>
      <c r="G3897" s="3">
        <v>20907.687723595</v>
      </c>
      <c r="H3897" s="3">
        <v>-113096.354034713</v>
      </c>
      <c r="I3897" s="3">
        <v>75509.1473675919</v>
      </c>
      <c r="J3897" s="4">
        <v>45870.0</v>
      </c>
      <c r="K3897" s="3">
        <v>19.0</v>
      </c>
      <c r="L3897" s="3" t="s">
        <v>42</v>
      </c>
    </row>
    <row r="3898" ht="15.75" customHeight="1">
      <c r="A3898" s="3" t="s">
        <v>3988</v>
      </c>
      <c r="B3898" s="3" t="s">
        <v>51</v>
      </c>
      <c r="C3898" s="3" t="s">
        <v>30</v>
      </c>
      <c r="D3898" s="3">
        <v>92885.9985025572</v>
      </c>
      <c r="E3898" s="3">
        <v>33007.8783951675</v>
      </c>
      <c r="F3898" s="3">
        <v>31820.5504227287</v>
      </c>
      <c r="G3898" s="3">
        <v>20911.0852742823</v>
      </c>
      <c r="H3898" s="3">
        <v>-113145.857752462</v>
      </c>
      <c r="I3898" s="3">
        <v>75512.5288420117</v>
      </c>
      <c r="J3898" s="4">
        <v>45870.0</v>
      </c>
      <c r="K3898" s="3">
        <v>10.0</v>
      </c>
      <c r="L3898" s="3" t="s">
        <v>15</v>
      </c>
    </row>
    <row r="3899" ht="15.75" customHeight="1">
      <c r="A3899" s="3" t="s">
        <v>3989</v>
      </c>
      <c r="B3899" s="3" t="s">
        <v>13</v>
      </c>
      <c r="C3899" s="3" t="s">
        <v>30</v>
      </c>
      <c r="D3899" s="3">
        <v>92896.8814724634</v>
      </c>
      <c r="E3899" s="3">
        <v>33012.493113495</v>
      </c>
      <c r="F3899" s="3">
        <v>31828.2304261582</v>
      </c>
      <c r="G3899" s="3">
        <v>20914.4828249696</v>
      </c>
      <c r="H3899" s="3">
        <v>-113195.361470211</v>
      </c>
      <c r="I3899" s="3">
        <v>75515.9103164315</v>
      </c>
      <c r="J3899" s="4">
        <v>45717.0</v>
      </c>
      <c r="K3899" s="3">
        <v>16.0</v>
      </c>
      <c r="L3899" s="3" t="s">
        <v>19</v>
      </c>
    </row>
    <row r="3900" ht="15.75" customHeight="1">
      <c r="A3900" s="3" t="s">
        <v>3990</v>
      </c>
      <c r="B3900" s="3" t="s">
        <v>25</v>
      </c>
      <c r="C3900" s="3" t="s">
        <v>54</v>
      </c>
      <c r="D3900" s="3">
        <v>92907.7644423696</v>
      </c>
      <c r="E3900" s="3">
        <v>33017.1078318224</v>
      </c>
      <c r="F3900" s="3">
        <v>31835.9104295877</v>
      </c>
      <c r="G3900" s="3">
        <v>20917.8803756569</v>
      </c>
      <c r="H3900" s="3">
        <v>-113244.86518796</v>
      </c>
      <c r="I3900" s="3">
        <v>75519.2917908513</v>
      </c>
      <c r="J3900" s="4">
        <v>45778.0</v>
      </c>
      <c r="K3900" s="3">
        <v>12.0</v>
      </c>
      <c r="L3900" s="3" t="s">
        <v>21</v>
      </c>
    </row>
    <row r="3901" ht="15.75" customHeight="1">
      <c r="A3901" s="3" t="s">
        <v>3991</v>
      </c>
      <c r="B3901" s="3" t="s">
        <v>51</v>
      </c>
      <c r="C3901" s="3" t="s">
        <v>14</v>
      </c>
      <c r="D3901" s="3">
        <v>92918.6474122758</v>
      </c>
      <c r="E3901" s="3">
        <v>33021.7225501498</v>
      </c>
      <c r="F3901" s="3">
        <v>31843.5904330172</v>
      </c>
      <c r="G3901" s="3">
        <v>20921.2779263442</v>
      </c>
      <c r="H3901" s="3">
        <v>-113294.36890571</v>
      </c>
      <c r="I3901" s="3">
        <v>75522.6732652711</v>
      </c>
      <c r="J3901" s="4">
        <v>45870.0</v>
      </c>
      <c r="K3901" s="3">
        <v>7.0</v>
      </c>
      <c r="L3901" s="3" t="s">
        <v>23</v>
      </c>
    </row>
    <row r="3902" ht="15.75" customHeight="1">
      <c r="A3902" s="3" t="s">
        <v>3992</v>
      </c>
      <c r="B3902" s="3" t="s">
        <v>36</v>
      </c>
      <c r="C3902" s="3" t="s">
        <v>37</v>
      </c>
      <c r="D3902" s="3">
        <v>92929.530382182</v>
      </c>
      <c r="E3902" s="3">
        <v>33026.3372684772</v>
      </c>
      <c r="F3902" s="3">
        <v>31851.2704364467</v>
      </c>
      <c r="G3902" s="3">
        <v>20924.6754770314</v>
      </c>
      <c r="H3902" s="3">
        <v>-113343.872623459</v>
      </c>
      <c r="I3902" s="3">
        <v>75526.0547396909</v>
      </c>
      <c r="J3902" s="4">
        <v>45809.0</v>
      </c>
      <c r="K3902" s="3">
        <v>3.0</v>
      </c>
      <c r="L3902" s="3" t="s">
        <v>27</v>
      </c>
    </row>
    <row r="3903" ht="15.75" customHeight="1">
      <c r="A3903" s="3" t="s">
        <v>3993</v>
      </c>
      <c r="B3903" s="3" t="s">
        <v>17</v>
      </c>
      <c r="C3903" s="3" t="s">
        <v>37</v>
      </c>
      <c r="D3903" s="3">
        <v>92940.4133520882</v>
      </c>
      <c r="E3903" s="3">
        <v>33030.9519868046</v>
      </c>
      <c r="F3903" s="3">
        <v>31858.9504398762</v>
      </c>
      <c r="G3903" s="3">
        <v>20928.0730277187</v>
      </c>
      <c r="H3903" s="3">
        <v>-113393.376341208</v>
      </c>
      <c r="I3903" s="3">
        <v>75529.4362141108</v>
      </c>
      <c r="J3903" s="4">
        <v>45748.0</v>
      </c>
      <c r="K3903" s="3">
        <v>22.0</v>
      </c>
      <c r="L3903" s="3" t="s">
        <v>31</v>
      </c>
    </row>
    <row r="3904" ht="15.75" customHeight="1">
      <c r="A3904" s="3" t="s">
        <v>3994</v>
      </c>
      <c r="B3904" s="3" t="s">
        <v>51</v>
      </c>
      <c r="C3904" s="3" t="s">
        <v>26</v>
      </c>
      <c r="D3904" s="3">
        <v>92951.2963219944</v>
      </c>
      <c r="E3904" s="3">
        <v>33035.5667051321</v>
      </c>
      <c r="F3904" s="3">
        <v>31866.6304433057</v>
      </c>
      <c r="G3904" s="3">
        <v>20931.470578406</v>
      </c>
      <c r="H3904" s="3">
        <v>-113442.880058957</v>
      </c>
      <c r="I3904" s="3">
        <v>75532.8176885306</v>
      </c>
      <c r="J3904" s="4">
        <v>45658.0</v>
      </c>
      <c r="K3904" s="3">
        <v>22.0</v>
      </c>
      <c r="L3904" s="3" t="s">
        <v>34</v>
      </c>
    </row>
    <row r="3905" ht="15.75" customHeight="1">
      <c r="A3905" s="3" t="s">
        <v>3995</v>
      </c>
      <c r="B3905" s="3" t="s">
        <v>53</v>
      </c>
      <c r="C3905" s="3" t="s">
        <v>54</v>
      </c>
      <c r="D3905" s="3">
        <v>92962.1792919005</v>
      </c>
      <c r="E3905" s="3">
        <v>33040.1814234595</v>
      </c>
      <c r="F3905" s="3">
        <v>31874.3104467352</v>
      </c>
      <c r="G3905" s="3">
        <v>20934.8681290933</v>
      </c>
      <c r="H3905" s="3">
        <v>-113492.383776706</v>
      </c>
      <c r="I3905" s="3">
        <v>75536.1991629504</v>
      </c>
      <c r="J3905" s="4">
        <v>45689.0</v>
      </c>
      <c r="K3905" s="3">
        <v>2.0</v>
      </c>
      <c r="L3905" s="3" t="s">
        <v>38</v>
      </c>
    </row>
    <row r="3906" ht="15.75" customHeight="1">
      <c r="A3906" s="3" t="s">
        <v>3996</v>
      </c>
      <c r="B3906" s="3" t="s">
        <v>53</v>
      </c>
      <c r="C3906" s="3" t="s">
        <v>26</v>
      </c>
      <c r="D3906" s="3">
        <v>92973.0622618067</v>
      </c>
      <c r="E3906" s="3">
        <v>33044.7961417869</v>
      </c>
      <c r="F3906" s="3">
        <v>31881.9904501647</v>
      </c>
      <c r="G3906" s="3">
        <v>20938.2656797806</v>
      </c>
      <c r="H3906" s="3">
        <v>-113541.887494455</v>
      </c>
      <c r="I3906" s="3">
        <v>75539.5806373702</v>
      </c>
      <c r="J3906" s="4">
        <v>45809.0</v>
      </c>
      <c r="K3906" s="3">
        <v>24.0</v>
      </c>
      <c r="L3906" s="3" t="s">
        <v>40</v>
      </c>
    </row>
    <row r="3907" ht="15.75" customHeight="1">
      <c r="A3907" s="3" t="s">
        <v>3997</v>
      </c>
      <c r="B3907" s="3" t="s">
        <v>36</v>
      </c>
      <c r="C3907" s="3" t="s">
        <v>33</v>
      </c>
      <c r="D3907" s="3">
        <v>92983.9452317129</v>
      </c>
      <c r="E3907" s="3">
        <v>33049.4108601143</v>
      </c>
      <c r="F3907" s="3">
        <v>31889.6704535942</v>
      </c>
      <c r="G3907" s="3">
        <v>20941.6632304679</v>
      </c>
      <c r="H3907" s="3">
        <v>-113591.391212204</v>
      </c>
      <c r="I3907" s="3">
        <v>75542.96211179</v>
      </c>
      <c r="J3907" s="4">
        <v>45748.0</v>
      </c>
      <c r="K3907" s="3">
        <v>9.0</v>
      </c>
      <c r="L3907" s="3" t="s">
        <v>42</v>
      </c>
    </row>
    <row r="3908" ht="15.75" customHeight="1">
      <c r="A3908" s="3" t="s">
        <v>3998</v>
      </c>
      <c r="B3908" s="3" t="s">
        <v>36</v>
      </c>
      <c r="C3908" s="3" t="s">
        <v>30</v>
      </c>
      <c r="D3908" s="3">
        <v>92994.8282016191</v>
      </c>
      <c r="E3908" s="3">
        <v>33054.0255784418</v>
      </c>
      <c r="F3908" s="3">
        <v>31897.3504570237</v>
      </c>
      <c r="G3908" s="3">
        <v>20945.0607811552</v>
      </c>
      <c r="H3908" s="3">
        <v>-113640.894929954</v>
      </c>
      <c r="I3908" s="3">
        <v>75546.3435862098</v>
      </c>
      <c r="J3908" s="4">
        <v>45931.0</v>
      </c>
      <c r="K3908" s="3">
        <v>16.0</v>
      </c>
      <c r="L3908" s="3" t="s">
        <v>15</v>
      </c>
    </row>
    <row r="3909" ht="15.75" customHeight="1">
      <c r="A3909" s="3" t="s">
        <v>3999</v>
      </c>
      <c r="B3909" s="3" t="s">
        <v>25</v>
      </c>
      <c r="C3909" s="3" t="s">
        <v>54</v>
      </c>
      <c r="D3909" s="3">
        <v>93005.7111715253</v>
      </c>
      <c r="E3909" s="3">
        <v>33058.6402967692</v>
      </c>
      <c r="F3909" s="3">
        <v>31905.0304604532</v>
      </c>
      <c r="G3909" s="3">
        <v>20948.4583318424</v>
      </c>
      <c r="H3909" s="3">
        <v>-113690.398647703</v>
      </c>
      <c r="I3909" s="3">
        <v>75549.7250606296</v>
      </c>
      <c r="J3909" s="4">
        <v>45778.0</v>
      </c>
      <c r="K3909" s="3">
        <v>18.0</v>
      </c>
      <c r="L3909" s="3" t="s">
        <v>19</v>
      </c>
    </row>
    <row r="3910" ht="15.75" customHeight="1">
      <c r="A3910" s="3" t="s">
        <v>4000</v>
      </c>
      <c r="B3910" s="3" t="s">
        <v>25</v>
      </c>
      <c r="C3910" s="3" t="s">
        <v>14</v>
      </c>
      <c r="D3910" s="3">
        <v>93016.5941414315</v>
      </c>
      <c r="E3910" s="3">
        <v>33063.2550150966</v>
      </c>
      <c r="F3910" s="3">
        <v>31912.7104638827</v>
      </c>
      <c r="G3910" s="3">
        <v>20951.8558825297</v>
      </c>
      <c r="H3910" s="3">
        <v>-113739.902365452</v>
      </c>
      <c r="I3910" s="3">
        <v>75553.1065350495</v>
      </c>
      <c r="J3910" s="4">
        <v>45839.0</v>
      </c>
      <c r="K3910" s="3">
        <v>25.0</v>
      </c>
      <c r="L3910" s="3" t="s">
        <v>21</v>
      </c>
    </row>
    <row r="3911" ht="15.75" customHeight="1">
      <c r="A3911" s="3" t="s">
        <v>4001</v>
      </c>
      <c r="B3911" s="3" t="s">
        <v>25</v>
      </c>
      <c r="C3911" s="3" t="s">
        <v>18</v>
      </c>
      <c r="D3911" s="3">
        <v>93027.4771113377</v>
      </c>
      <c r="E3911" s="3">
        <v>33067.869733424</v>
      </c>
      <c r="F3911" s="3">
        <v>31920.3904673122</v>
      </c>
      <c r="G3911" s="3">
        <v>20955.253433217</v>
      </c>
      <c r="H3911" s="3">
        <v>-113789.406083201</v>
      </c>
      <c r="I3911" s="3">
        <v>75556.4880094693</v>
      </c>
      <c r="J3911" s="4">
        <v>45748.0</v>
      </c>
      <c r="K3911" s="3">
        <v>22.0</v>
      </c>
      <c r="L3911" s="3" t="s">
        <v>23</v>
      </c>
    </row>
    <row r="3912" ht="15.75" customHeight="1">
      <c r="A3912" s="3" t="s">
        <v>4002</v>
      </c>
      <c r="B3912" s="3" t="s">
        <v>53</v>
      </c>
      <c r="C3912" s="3" t="s">
        <v>54</v>
      </c>
      <c r="D3912" s="3">
        <v>93038.3600812439</v>
      </c>
      <c r="E3912" s="3">
        <v>33072.4844517514</v>
      </c>
      <c r="F3912" s="3">
        <v>31928.0704707417</v>
      </c>
      <c r="G3912" s="3">
        <v>20958.6509839043</v>
      </c>
      <c r="H3912" s="3">
        <v>-113838.90980095</v>
      </c>
      <c r="I3912" s="3">
        <v>75559.8694838891</v>
      </c>
      <c r="J3912" s="4">
        <v>45839.0</v>
      </c>
      <c r="K3912" s="3">
        <v>2.0</v>
      </c>
      <c r="L3912" s="3" t="s">
        <v>27</v>
      </c>
    </row>
    <row r="3913" ht="15.75" customHeight="1">
      <c r="A3913" s="3" t="s">
        <v>4003</v>
      </c>
      <c r="B3913" s="3" t="s">
        <v>25</v>
      </c>
      <c r="C3913" s="3" t="s">
        <v>30</v>
      </c>
      <c r="D3913" s="3">
        <v>93049.2430511501</v>
      </c>
      <c r="E3913" s="3">
        <v>33077.0991700789</v>
      </c>
      <c r="F3913" s="3">
        <v>31935.7504741711</v>
      </c>
      <c r="G3913" s="3">
        <v>20962.0485345916</v>
      </c>
      <c r="H3913" s="3">
        <v>-113888.413518699</v>
      </c>
      <c r="I3913" s="3">
        <v>75563.2509583089</v>
      </c>
      <c r="J3913" s="4">
        <v>45870.0</v>
      </c>
      <c r="K3913" s="3">
        <v>22.0</v>
      </c>
      <c r="L3913" s="3" t="s">
        <v>31</v>
      </c>
    </row>
    <row r="3914" ht="15.75" customHeight="1">
      <c r="A3914" s="3" t="s">
        <v>4004</v>
      </c>
      <c r="B3914" s="3" t="s">
        <v>17</v>
      </c>
      <c r="C3914" s="3" t="s">
        <v>26</v>
      </c>
      <c r="D3914" s="3">
        <v>93060.1260210563</v>
      </c>
      <c r="E3914" s="3">
        <v>33081.7138884063</v>
      </c>
      <c r="F3914" s="3">
        <v>31943.4304776006</v>
      </c>
      <c r="G3914" s="3">
        <v>20965.4460852789</v>
      </c>
      <c r="H3914" s="3">
        <v>-113937.917236448</v>
      </c>
      <c r="I3914" s="3">
        <v>75566.6324327287</v>
      </c>
      <c r="J3914" s="4">
        <v>45992.0</v>
      </c>
      <c r="K3914" s="3">
        <v>23.0</v>
      </c>
      <c r="L3914" s="3" t="s">
        <v>34</v>
      </c>
    </row>
    <row r="3915" ht="15.75" customHeight="1">
      <c r="A3915" s="3" t="s">
        <v>4005</v>
      </c>
      <c r="B3915" s="3" t="s">
        <v>51</v>
      </c>
      <c r="C3915" s="3" t="s">
        <v>30</v>
      </c>
      <c r="D3915" s="3">
        <v>93071.0089909625</v>
      </c>
      <c r="E3915" s="3">
        <v>33086.3286067337</v>
      </c>
      <c r="F3915" s="3">
        <v>31951.1104810301</v>
      </c>
      <c r="G3915" s="3">
        <v>20968.8436359662</v>
      </c>
      <c r="H3915" s="3">
        <v>-113987.420954197</v>
      </c>
      <c r="I3915" s="3">
        <v>75570.0139071485</v>
      </c>
      <c r="J3915" s="4">
        <v>45809.0</v>
      </c>
      <c r="K3915" s="3">
        <v>22.0</v>
      </c>
      <c r="L3915" s="3" t="s">
        <v>38</v>
      </c>
    </row>
    <row r="3916" ht="15.75" customHeight="1">
      <c r="A3916" s="3" t="s">
        <v>4006</v>
      </c>
      <c r="B3916" s="3" t="s">
        <v>36</v>
      </c>
      <c r="C3916" s="3" t="s">
        <v>37</v>
      </c>
      <c r="D3916" s="3">
        <v>93081.8919608687</v>
      </c>
      <c r="E3916" s="3">
        <v>33090.9433250611</v>
      </c>
      <c r="F3916" s="3">
        <v>31958.7904844596</v>
      </c>
      <c r="G3916" s="3">
        <v>20972.2411866535</v>
      </c>
      <c r="H3916" s="3">
        <v>-114036.924671947</v>
      </c>
      <c r="I3916" s="3">
        <v>75573.3953815683</v>
      </c>
      <c r="J3916" s="4">
        <v>45870.0</v>
      </c>
      <c r="K3916" s="3">
        <v>23.0</v>
      </c>
      <c r="L3916" s="3" t="s">
        <v>40</v>
      </c>
    </row>
    <row r="3917" ht="15.75" customHeight="1">
      <c r="A3917" s="3" t="s">
        <v>4007</v>
      </c>
      <c r="B3917" s="3" t="s">
        <v>17</v>
      </c>
      <c r="C3917" s="3" t="s">
        <v>26</v>
      </c>
      <c r="D3917" s="3">
        <v>93092.7749307749</v>
      </c>
      <c r="E3917" s="3">
        <v>33095.5580433886</v>
      </c>
      <c r="F3917" s="3">
        <v>31966.4704878891</v>
      </c>
      <c r="G3917" s="3">
        <v>20975.6387373407</v>
      </c>
      <c r="H3917" s="3">
        <v>72117.1361934342</v>
      </c>
      <c r="I3917" s="3">
        <v>77117.1361934342</v>
      </c>
      <c r="J3917" s="4">
        <v>45839.0</v>
      </c>
      <c r="K3917" s="3">
        <v>19.0</v>
      </c>
      <c r="L3917" s="3" t="s">
        <v>42</v>
      </c>
    </row>
    <row r="3918" ht="15.75" customHeight="1">
      <c r="A3918" s="3" t="s">
        <v>4008</v>
      </c>
      <c r="B3918" s="3" t="s">
        <v>29</v>
      </c>
      <c r="C3918" s="3" t="s">
        <v>30</v>
      </c>
      <c r="D3918" s="3">
        <v>93103.6579006811</v>
      </c>
      <c r="E3918" s="3">
        <v>33100.172761716</v>
      </c>
      <c r="F3918" s="3">
        <v>31974.1504913186</v>
      </c>
      <c r="G3918" s="3">
        <v>20979.036288028</v>
      </c>
      <c r="H3918" s="3">
        <v>-114135.932107445</v>
      </c>
      <c r="I3918" s="3">
        <v>75580.158330408</v>
      </c>
      <c r="J3918" s="4">
        <v>45778.0</v>
      </c>
      <c r="K3918" s="3">
        <v>21.0</v>
      </c>
      <c r="L3918" s="3" t="s">
        <v>15</v>
      </c>
    </row>
    <row r="3919" ht="15.75" customHeight="1">
      <c r="A3919" s="3" t="s">
        <v>4009</v>
      </c>
      <c r="B3919" s="3" t="s">
        <v>53</v>
      </c>
      <c r="C3919" s="3" t="s">
        <v>18</v>
      </c>
      <c r="D3919" s="3">
        <v>93114.5408705873</v>
      </c>
      <c r="E3919" s="3">
        <v>33104.7874800434</v>
      </c>
      <c r="F3919" s="3">
        <v>31981.8304947481</v>
      </c>
      <c r="G3919" s="3">
        <v>20982.4338387153</v>
      </c>
      <c r="H3919" s="3">
        <v>-114185.435825194</v>
      </c>
      <c r="I3919" s="3">
        <v>75583.5398048278</v>
      </c>
      <c r="J3919" s="4">
        <v>45809.0</v>
      </c>
      <c r="K3919" s="3">
        <v>5.0</v>
      </c>
      <c r="L3919" s="3" t="s">
        <v>19</v>
      </c>
    </row>
    <row r="3920" ht="15.75" customHeight="1">
      <c r="A3920" s="3" t="s">
        <v>4010</v>
      </c>
      <c r="B3920" s="3" t="s">
        <v>13</v>
      </c>
      <c r="C3920" s="3" t="s">
        <v>37</v>
      </c>
      <c r="D3920" s="3">
        <v>93125.4238404934</v>
      </c>
      <c r="E3920" s="3">
        <v>33109.4021983708</v>
      </c>
      <c r="F3920" s="3">
        <v>31989.5104981776</v>
      </c>
      <c r="G3920" s="3">
        <v>20985.8313894026</v>
      </c>
      <c r="H3920" s="3">
        <v>-114234.939542943</v>
      </c>
      <c r="I3920" s="3">
        <v>75586.9212792476</v>
      </c>
      <c r="J3920" s="4">
        <v>45870.0</v>
      </c>
      <c r="K3920" s="3">
        <v>10.0</v>
      </c>
      <c r="L3920" s="3" t="s">
        <v>21</v>
      </c>
    </row>
    <row r="3921" ht="15.75" customHeight="1">
      <c r="A3921" s="3" t="s">
        <v>4011</v>
      </c>
      <c r="B3921" s="3" t="s">
        <v>51</v>
      </c>
      <c r="C3921" s="3" t="s">
        <v>26</v>
      </c>
      <c r="D3921" s="3">
        <v>93136.3068103996</v>
      </c>
      <c r="E3921" s="3">
        <v>33114.0169166982</v>
      </c>
      <c r="F3921" s="3">
        <v>31997.1905016071</v>
      </c>
      <c r="G3921" s="3">
        <v>20989.2289400899</v>
      </c>
      <c r="H3921" s="3">
        <v>-114284.443260692</v>
      </c>
      <c r="I3921" s="3">
        <v>75590.3027536674</v>
      </c>
      <c r="J3921" s="4">
        <v>45839.0</v>
      </c>
      <c r="K3921" s="3">
        <v>19.0</v>
      </c>
      <c r="L3921" s="3" t="s">
        <v>23</v>
      </c>
    </row>
    <row r="3922" ht="15.75" customHeight="1">
      <c r="A3922" s="3" t="s">
        <v>4012</v>
      </c>
      <c r="B3922" s="3" t="s">
        <v>29</v>
      </c>
      <c r="C3922" s="3" t="s">
        <v>33</v>
      </c>
      <c r="D3922" s="3">
        <v>93147.1897803058</v>
      </c>
      <c r="E3922" s="3">
        <v>33118.6316350257</v>
      </c>
      <c r="F3922" s="3">
        <v>32004.8705050366</v>
      </c>
      <c r="G3922" s="3">
        <v>20992.6264907772</v>
      </c>
      <c r="H3922" s="3">
        <v>-114333.946978441</v>
      </c>
      <c r="I3922" s="3">
        <v>75593.6842280872</v>
      </c>
      <c r="J3922" s="4">
        <v>45778.0</v>
      </c>
      <c r="K3922" s="3">
        <v>25.0</v>
      </c>
      <c r="L3922" s="3" t="s">
        <v>27</v>
      </c>
    </row>
    <row r="3923" ht="15.75" customHeight="1">
      <c r="A3923" s="3" t="s">
        <v>4013</v>
      </c>
      <c r="B3923" s="3" t="s">
        <v>13</v>
      </c>
      <c r="C3923" s="3" t="s">
        <v>26</v>
      </c>
      <c r="D3923" s="3">
        <v>93158.072750212</v>
      </c>
      <c r="E3923" s="3">
        <v>33123.2463533531</v>
      </c>
      <c r="F3923" s="3">
        <v>32012.5505084661</v>
      </c>
      <c r="G3923" s="3">
        <v>20996.0240414645</v>
      </c>
      <c r="H3923" s="3">
        <v>-114383.45069619</v>
      </c>
      <c r="I3923" s="3">
        <v>75597.065702507</v>
      </c>
      <c r="J3923" s="4">
        <v>45962.0</v>
      </c>
      <c r="K3923" s="3">
        <v>14.0</v>
      </c>
      <c r="L3923" s="3" t="s">
        <v>31</v>
      </c>
    </row>
    <row r="3924" ht="15.75" customHeight="1">
      <c r="A3924" s="3" t="s">
        <v>4014</v>
      </c>
      <c r="B3924" s="3" t="s">
        <v>17</v>
      </c>
      <c r="C3924" s="3" t="s">
        <v>14</v>
      </c>
      <c r="D3924" s="3">
        <v>93168.9557201182</v>
      </c>
      <c r="E3924" s="3">
        <v>33127.8610716805</v>
      </c>
      <c r="F3924" s="3">
        <v>32020.2305118956</v>
      </c>
      <c r="G3924" s="3">
        <v>20999.4215921518</v>
      </c>
      <c r="H3924" s="3">
        <v>-114432.95441394</v>
      </c>
      <c r="I3924" s="3">
        <v>75600.4471769269</v>
      </c>
      <c r="J3924" s="4">
        <v>45748.0</v>
      </c>
      <c r="K3924" s="3">
        <v>14.0</v>
      </c>
      <c r="L3924" s="3" t="s">
        <v>34</v>
      </c>
    </row>
    <row r="3925" ht="15.75" customHeight="1">
      <c r="A3925" s="3" t="s">
        <v>4015</v>
      </c>
      <c r="B3925" s="3" t="s">
        <v>51</v>
      </c>
      <c r="C3925" s="3" t="s">
        <v>18</v>
      </c>
      <c r="D3925" s="3">
        <v>93179.8386900244</v>
      </c>
      <c r="E3925" s="3">
        <v>33132.4757900079</v>
      </c>
      <c r="F3925" s="3">
        <v>32027.9105153251</v>
      </c>
      <c r="G3925" s="3">
        <v>21002.819142839</v>
      </c>
      <c r="H3925" s="3">
        <v>72177.0195471854</v>
      </c>
      <c r="I3925" s="3">
        <v>77177.0195471854</v>
      </c>
      <c r="J3925" s="4">
        <v>45689.0</v>
      </c>
      <c r="K3925" s="3">
        <v>2.0</v>
      </c>
      <c r="L3925" s="3" t="s">
        <v>38</v>
      </c>
    </row>
    <row r="3926" ht="15.75" customHeight="1">
      <c r="A3926" s="3" t="s">
        <v>4016</v>
      </c>
      <c r="B3926" s="3" t="s">
        <v>17</v>
      </c>
      <c r="C3926" s="3" t="s">
        <v>26</v>
      </c>
      <c r="D3926" s="3">
        <v>93190.7216599306</v>
      </c>
      <c r="E3926" s="3">
        <v>33137.0905083354</v>
      </c>
      <c r="F3926" s="3">
        <v>32035.5905187546</v>
      </c>
      <c r="G3926" s="3">
        <v>21006.2166935263</v>
      </c>
      <c r="H3926" s="3">
        <v>-114531.961849438</v>
      </c>
      <c r="I3926" s="3">
        <v>75607.2101257665</v>
      </c>
      <c r="J3926" s="4">
        <v>45992.0</v>
      </c>
      <c r="K3926" s="3">
        <v>9.0</v>
      </c>
      <c r="L3926" s="3" t="s">
        <v>40</v>
      </c>
    </row>
    <row r="3927" ht="15.75" customHeight="1">
      <c r="A3927" s="3" t="s">
        <v>4017</v>
      </c>
      <c r="B3927" s="3" t="s">
        <v>51</v>
      </c>
      <c r="C3927" s="3" t="s">
        <v>14</v>
      </c>
      <c r="D3927" s="3">
        <v>93201.6046298368</v>
      </c>
      <c r="E3927" s="3">
        <v>33141.7052266628</v>
      </c>
      <c r="F3927" s="3">
        <v>32043.2705221841</v>
      </c>
      <c r="G3927" s="3">
        <v>21009.6142442136</v>
      </c>
      <c r="H3927" s="3">
        <v>-114581.465567187</v>
      </c>
      <c r="I3927" s="3">
        <v>75610.5916001863</v>
      </c>
      <c r="J3927" s="4">
        <v>45870.0</v>
      </c>
      <c r="K3927" s="3">
        <v>6.0</v>
      </c>
      <c r="L3927" s="3" t="s">
        <v>42</v>
      </c>
    </row>
    <row r="3928" ht="15.75" customHeight="1">
      <c r="A3928" s="3" t="s">
        <v>4018</v>
      </c>
      <c r="B3928" s="3" t="s">
        <v>36</v>
      </c>
      <c r="C3928" s="3" t="s">
        <v>54</v>
      </c>
      <c r="D3928" s="3">
        <v>93212.487599743</v>
      </c>
      <c r="E3928" s="3">
        <v>33146.3199449902</v>
      </c>
      <c r="F3928" s="3">
        <v>32050.9505256136</v>
      </c>
      <c r="G3928" s="3">
        <v>21013.0117949009</v>
      </c>
      <c r="H3928" s="3">
        <v>-114630.969284936</v>
      </c>
      <c r="I3928" s="3">
        <v>75613.9730746061</v>
      </c>
      <c r="J3928" s="4">
        <v>45809.0</v>
      </c>
      <c r="K3928" s="3">
        <v>22.0</v>
      </c>
      <c r="L3928" s="3" t="s">
        <v>15</v>
      </c>
    </row>
    <row r="3929" ht="15.75" customHeight="1">
      <c r="A3929" s="3" t="s">
        <v>4019</v>
      </c>
      <c r="B3929" s="3" t="s">
        <v>51</v>
      </c>
      <c r="C3929" s="3" t="s">
        <v>26</v>
      </c>
      <c r="D3929" s="3">
        <v>93223.3705696492</v>
      </c>
      <c r="E3929" s="3">
        <v>33150.9346633176</v>
      </c>
      <c r="F3929" s="3">
        <v>32058.6305290431</v>
      </c>
      <c r="G3929" s="3">
        <v>21016.4093455882</v>
      </c>
      <c r="H3929" s="3">
        <v>-114680.473002685</v>
      </c>
      <c r="I3929" s="3">
        <v>75617.3545490259</v>
      </c>
      <c r="J3929" s="4">
        <v>45717.0</v>
      </c>
      <c r="K3929" s="3">
        <v>9.0</v>
      </c>
      <c r="L3929" s="3" t="s">
        <v>19</v>
      </c>
    </row>
    <row r="3930" ht="15.75" customHeight="1">
      <c r="A3930" s="3" t="s">
        <v>4020</v>
      </c>
      <c r="B3930" s="3" t="s">
        <v>29</v>
      </c>
      <c r="C3930" s="3" t="s">
        <v>18</v>
      </c>
      <c r="D3930" s="3">
        <v>93234.2535395554</v>
      </c>
      <c r="E3930" s="3">
        <v>33155.549381645</v>
      </c>
      <c r="F3930" s="3">
        <v>32066.3105324726</v>
      </c>
      <c r="G3930" s="3">
        <v>21019.8068962755</v>
      </c>
      <c r="H3930" s="3">
        <v>-114729.976720434</v>
      </c>
      <c r="I3930" s="3">
        <v>75620.7360234457</v>
      </c>
      <c r="J3930" s="4">
        <v>45962.0</v>
      </c>
      <c r="K3930" s="3">
        <v>11.0</v>
      </c>
      <c r="L3930" s="3" t="s">
        <v>21</v>
      </c>
    </row>
    <row r="3931" ht="15.75" customHeight="1">
      <c r="A3931" s="3" t="s">
        <v>4021</v>
      </c>
      <c r="B3931" s="3" t="s">
        <v>17</v>
      </c>
      <c r="C3931" s="3" t="s">
        <v>37</v>
      </c>
      <c r="D3931" s="3">
        <v>93245.1365094616</v>
      </c>
      <c r="E3931" s="3">
        <v>33160.1640999725</v>
      </c>
      <c r="F3931" s="3">
        <v>32073.9905359021</v>
      </c>
      <c r="G3931" s="3">
        <v>21023.2044469628</v>
      </c>
      <c r="H3931" s="3">
        <v>-114779.480438183</v>
      </c>
      <c r="I3931" s="3">
        <v>75624.1174978656</v>
      </c>
      <c r="J3931" s="4">
        <v>45839.0</v>
      </c>
      <c r="K3931" s="3">
        <v>6.0</v>
      </c>
      <c r="L3931" s="3" t="s">
        <v>23</v>
      </c>
    </row>
    <row r="3932" ht="15.75" customHeight="1">
      <c r="A3932" s="3" t="s">
        <v>4022</v>
      </c>
      <c r="B3932" s="3" t="s">
        <v>29</v>
      </c>
      <c r="C3932" s="3" t="s">
        <v>18</v>
      </c>
      <c r="D3932" s="3">
        <v>93256.0194793678</v>
      </c>
      <c r="E3932" s="3">
        <v>33164.7788182999</v>
      </c>
      <c r="F3932" s="3">
        <v>32081.6705393316</v>
      </c>
      <c r="G3932" s="3">
        <v>21026.60199765</v>
      </c>
      <c r="H3932" s="3">
        <v>-114828.984155933</v>
      </c>
      <c r="I3932" s="3">
        <v>75627.4989722854</v>
      </c>
      <c r="J3932" s="4">
        <v>45717.0</v>
      </c>
      <c r="K3932" s="3">
        <v>13.0</v>
      </c>
      <c r="L3932" s="3" t="s">
        <v>27</v>
      </c>
    </row>
    <row r="3933" ht="15.75" customHeight="1">
      <c r="A3933" s="3" t="s">
        <v>4023</v>
      </c>
      <c r="B3933" s="3" t="s">
        <v>13</v>
      </c>
      <c r="C3933" s="3" t="s">
        <v>18</v>
      </c>
      <c r="D3933" s="3">
        <v>93266.902449274</v>
      </c>
      <c r="E3933" s="3">
        <v>33169.3935366273</v>
      </c>
      <c r="F3933" s="3">
        <v>32089.3505427611</v>
      </c>
      <c r="G3933" s="3">
        <v>21029.9995483373</v>
      </c>
      <c r="H3933" s="3">
        <v>-114878.487873682</v>
      </c>
      <c r="I3933" s="3">
        <v>75630.8804467052</v>
      </c>
      <c r="J3933" s="4">
        <v>45809.0</v>
      </c>
      <c r="K3933" s="3">
        <v>20.0</v>
      </c>
      <c r="L3933" s="3" t="s">
        <v>31</v>
      </c>
    </row>
    <row r="3934" ht="15.75" customHeight="1">
      <c r="A3934" s="3" t="s">
        <v>4024</v>
      </c>
      <c r="B3934" s="3" t="s">
        <v>51</v>
      </c>
      <c r="C3934" s="3" t="s">
        <v>14</v>
      </c>
      <c r="D3934" s="3">
        <v>93277.7854191802</v>
      </c>
      <c r="E3934" s="3">
        <v>33174.0082549547</v>
      </c>
      <c r="F3934" s="3">
        <v>32097.0305461906</v>
      </c>
      <c r="G3934" s="3">
        <v>21033.3970990246</v>
      </c>
      <c r="H3934" s="3">
        <v>-114927.991591431</v>
      </c>
      <c r="I3934" s="3">
        <v>75634.261921125</v>
      </c>
      <c r="J3934" s="4">
        <v>45931.0</v>
      </c>
      <c r="K3934" s="3">
        <v>9.0</v>
      </c>
      <c r="L3934" s="3" t="s">
        <v>34</v>
      </c>
    </row>
    <row r="3935" ht="15.75" customHeight="1">
      <c r="A3935" s="3" t="s">
        <v>4025</v>
      </c>
      <c r="B3935" s="3" t="s">
        <v>53</v>
      </c>
      <c r="C3935" s="3" t="s">
        <v>33</v>
      </c>
      <c r="D3935" s="3">
        <v>93288.6683890863</v>
      </c>
      <c r="E3935" s="3">
        <v>33178.6229732822</v>
      </c>
      <c r="F3935" s="3">
        <v>32104.7105496201</v>
      </c>
      <c r="G3935" s="3">
        <v>21036.7946497119</v>
      </c>
      <c r="H3935" s="3">
        <v>-114977.49530918</v>
      </c>
      <c r="I3935" s="3">
        <v>75637.6433955448</v>
      </c>
      <c r="J3935" s="4">
        <v>45962.0</v>
      </c>
      <c r="K3935" s="3">
        <v>1.0</v>
      </c>
      <c r="L3935" s="3" t="s">
        <v>38</v>
      </c>
    </row>
    <row r="3936" ht="15.75" customHeight="1">
      <c r="A3936" s="3" t="s">
        <v>4026</v>
      </c>
      <c r="B3936" s="3" t="s">
        <v>25</v>
      </c>
      <c r="C3936" s="3" t="s">
        <v>54</v>
      </c>
      <c r="D3936" s="3">
        <v>93299.5513589925</v>
      </c>
      <c r="E3936" s="3">
        <v>33183.2376916096</v>
      </c>
      <c r="F3936" s="3">
        <v>32112.3905530496</v>
      </c>
      <c r="G3936" s="3">
        <v>21040.1922003992</v>
      </c>
      <c r="H3936" s="3">
        <v>-115026.999026929</v>
      </c>
      <c r="I3936" s="3">
        <v>75641.0248699646</v>
      </c>
      <c r="J3936" s="4">
        <v>45778.0</v>
      </c>
      <c r="K3936" s="3">
        <v>17.0</v>
      </c>
      <c r="L3936" s="3" t="s">
        <v>40</v>
      </c>
    </row>
    <row r="3937" ht="15.75" customHeight="1">
      <c r="A3937" s="3" t="s">
        <v>4027</v>
      </c>
      <c r="B3937" s="3" t="s">
        <v>25</v>
      </c>
      <c r="C3937" s="3" t="s">
        <v>14</v>
      </c>
      <c r="D3937" s="3">
        <v>93310.4343288987</v>
      </c>
      <c r="E3937" s="3">
        <v>33187.852409937</v>
      </c>
      <c r="F3937" s="3">
        <v>32120.0705564791</v>
      </c>
      <c r="G3937" s="3">
        <v>21043.5897510865</v>
      </c>
      <c r="H3937" s="3">
        <v>-115076.502744678</v>
      </c>
      <c r="I3937" s="3">
        <v>75644.4063443844</v>
      </c>
      <c r="J3937" s="4">
        <v>45839.0</v>
      </c>
      <c r="K3937" s="3">
        <v>23.0</v>
      </c>
      <c r="L3937" s="3" t="s">
        <v>42</v>
      </c>
    </row>
    <row r="3938" ht="15.75" customHeight="1">
      <c r="A3938" s="3" t="s">
        <v>4028</v>
      </c>
      <c r="B3938" s="3" t="s">
        <v>53</v>
      </c>
      <c r="C3938" s="3" t="s">
        <v>37</v>
      </c>
      <c r="D3938" s="3">
        <v>93321.3172988049</v>
      </c>
      <c r="E3938" s="3">
        <v>33192.4671282644</v>
      </c>
      <c r="F3938" s="3">
        <v>32127.7505599086</v>
      </c>
      <c r="G3938" s="3">
        <v>21046.9873017738</v>
      </c>
      <c r="H3938" s="3">
        <v>-115126.006462427</v>
      </c>
      <c r="I3938" s="3">
        <v>75647.7878188043</v>
      </c>
      <c r="J3938" s="4">
        <v>45658.0</v>
      </c>
      <c r="K3938" s="3">
        <v>15.0</v>
      </c>
      <c r="L3938" s="3" t="s">
        <v>15</v>
      </c>
    </row>
    <row r="3939" ht="15.75" customHeight="1">
      <c r="A3939" s="3" t="s">
        <v>4029</v>
      </c>
      <c r="B3939" s="3" t="s">
        <v>29</v>
      </c>
      <c r="C3939" s="3" t="s">
        <v>54</v>
      </c>
      <c r="D3939" s="3">
        <v>93332.2002687111</v>
      </c>
      <c r="E3939" s="3">
        <v>33197.0818465918</v>
      </c>
      <c r="F3939" s="3">
        <v>32135.4305633381</v>
      </c>
      <c r="G3939" s="5"/>
      <c r="H3939" s="3">
        <v>-115175.510180176</v>
      </c>
      <c r="I3939" s="3">
        <v>75651.1692932241</v>
      </c>
      <c r="J3939" s="4">
        <v>45809.0</v>
      </c>
      <c r="K3939" s="3">
        <v>13.0</v>
      </c>
      <c r="L3939" s="3" t="s">
        <v>19</v>
      </c>
    </row>
    <row r="3940" ht="15.75" customHeight="1">
      <c r="A3940" s="3" t="s">
        <v>4030</v>
      </c>
      <c r="B3940" s="3" t="s">
        <v>13</v>
      </c>
      <c r="C3940" s="3" t="s">
        <v>54</v>
      </c>
      <c r="D3940" s="3">
        <v>93343.0832386173</v>
      </c>
      <c r="E3940" s="3">
        <v>33201.6965649193</v>
      </c>
      <c r="F3940" s="3">
        <v>32143.1105667676</v>
      </c>
      <c r="G3940" s="3">
        <v>21053.7824031483</v>
      </c>
      <c r="H3940" s="3">
        <v>-115225.013897926</v>
      </c>
      <c r="I3940" s="3">
        <v>75654.5507676439</v>
      </c>
      <c r="J3940" s="4">
        <v>45689.0</v>
      </c>
      <c r="K3940" s="3">
        <v>7.0</v>
      </c>
      <c r="L3940" s="3" t="s">
        <v>21</v>
      </c>
    </row>
    <row r="3941" ht="15.75" customHeight="1">
      <c r="A3941" s="3" t="s">
        <v>4031</v>
      </c>
      <c r="B3941" s="3" t="s">
        <v>29</v>
      </c>
      <c r="C3941" s="3" t="s">
        <v>33</v>
      </c>
      <c r="D3941" s="3">
        <v>93364.8491784297</v>
      </c>
      <c r="E3941" s="3">
        <v>33210.9260015741</v>
      </c>
      <c r="F3941" s="3">
        <v>32158.4705736266</v>
      </c>
      <c r="G3941" s="3">
        <v>21060.5775045229</v>
      </c>
      <c r="H3941" s="3">
        <v>-115324.021333424</v>
      </c>
      <c r="I3941" s="3">
        <v>75661.3137164835</v>
      </c>
      <c r="J3941" s="4">
        <v>45839.0</v>
      </c>
      <c r="K3941" s="3">
        <v>5.0</v>
      </c>
      <c r="L3941" s="3" t="s">
        <v>27</v>
      </c>
    </row>
    <row r="3942" ht="15.75" customHeight="1">
      <c r="A3942" s="3" t="s">
        <v>4032</v>
      </c>
      <c r="B3942" s="3" t="s">
        <v>53</v>
      </c>
      <c r="C3942" s="3" t="s">
        <v>33</v>
      </c>
      <c r="D3942" s="3">
        <v>93375.7321483359</v>
      </c>
      <c r="E3942" s="3">
        <v>33215.5407199015</v>
      </c>
      <c r="F3942" s="3">
        <v>32166.1505770561</v>
      </c>
      <c r="G3942" s="3">
        <v>21063.9750552102</v>
      </c>
      <c r="H3942" s="3">
        <v>-115373.525051173</v>
      </c>
      <c r="I3942" s="3">
        <v>75664.6951909033</v>
      </c>
      <c r="J3942" s="4">
        <v>45717.0</v>
      </c>
      <c r="K3942" s="3">
        <v>15.0</v>
      </c>
      <c r="L3942" s="3" t="s">
        <v>31</v>
      </c>
    </row>
    <row r="3943" ht="15.75" customHeight="1">
      <c r="A3943" s="3" t="s">
        <v>4033</v>
      </c>
      <c r="B3943" s="3" t="s">
        <v>17</v>
      </c>
      <c r="C3943" s="3" t="s">
        <v>37</v>
      </c>
      <c r="D3943" s="3">
        <v>93386.6151182421</v>
      </c>
      <c r="E3943" s="3">
        <v>33220.1554382289</v>
      </c>
      <c r="F3943" s="3">
        <v>32173.8305804856</v>
      </c>
      <c r="G3943" s="3">
        <v>21067.3726058975</v>
      </c>
      <c r="H3943" s="3">
        <v>-115423.028768922</v>
      </c>
      <c r="I3943" s="3">
        <v>75668.0766653231</v>
      </c>
      <c r="J3943" s="4">
        <v>45717.0</v>
      </c>
      <c r="K3943" s="3">
        <v>17.0</v>
      </c>
      <c r="L3943" s="3" t="s">
        <v>34</v>
      </c>
    </row>
    <row r="3944" ht="15.75" customHeight="1">
      <c r="A3944" s="3" t="s">
        <v>4034</v>
      </c>
      <c r="B3944" s="3" t="s">
        <v>25</v>
      </c>
      <c r="C3944" s="3" t="s">
        <v>30</v>
      </c>
      <c r="D3944" s="3">
        <v>93397.4980881483</v>
      </c>
      <c r="E3944" s="3">
        <v>33224.7701565564</v>
      </c>
      <c r="F3944" s="3">
        <v>32181.5105839151</v>
      </c>
      <c r="G3944" s="3">
        <v>21070.7701565848</v>
      </c>
      <c r="H3944" s="3">
        <v>-115472.532486671</v>
      </c>
      <c r="I3944" s="3">
        <v>75671.458139743</v>
      </c>
      <c r="J3944" s="4">
        <v>45962.0</v>
      </c>
      <c r="K3944" s="3">
        <v>4.0</v>
      </c>
      <c r="L3944" s="3" t="s">
        <v>38</v>
      </c>
    </row>
    <row r="3945" ht="15.75" customHeight="1">
      <c r="A3945" s="3" t="s">
        <v>4035</v>
      </c>
      <c r="B3945" s="3" t="s">
        <v>36</v>
      </c>
      <c r="C3945" s="3" t="s">
        <v>30</v>
      </c>
      <c r="D3945" s="3">
        <v>93408.3810580545</v>
      </c>
      <c r="E3945" s="3">
        <v>33229.3848748838</v>
      </c>
      <c r="F3945" s="3">
        <v>32189.1905873446</v>
      </c>
      <c r="G3945" s="3">
        <v>21074.1677072721</v>
      </c>
      <c r="H3945" s="3">
        <v>-115522.03620442</v>
      </c>
      <c r="I3945" s="3">
        <v>75674.8396141628</v>
      </c>
      <c r="J3945" s="4">
        <v>45748.0</v>
      </c>
      <c r="K3945" s="3">
        <v>25.0</v>
      </c>
      <c r="L3945" s="3" t="s">
        <v>40</v>
      </c>
    </row>
    <row r="3946" ht="15.75" customHeight="1">
      <c r="A3946" s="3" t="s">
        <v>4036</v>
      </c>
      <c r="B3946" s="3" t="s">
        <v>29</v>
      </c>
      <c r="C3946" s="3" t="s">
        <v>26</v>
      </c>
      <c r="D3946" s="3">
        <v>93419.2640279607</v>
      </c>
      <c r="E3946" s="3">
        <v>33233.9995932112</v>
      </c>
      <c r="F3946" s="3">
        <v>32196.8705907741</v>
      </c>
      <c r="G3946" s="3">
        <v>21077.5652579594</v>
      </c>
      <c r="H3946" s="3">
        <v>-115571.539922169</v>
      </c>
      <c r="I3946" s="3">
        <v>75678.2210885826</v>
      </c>
      <c r="J3946" s="4">
        <v>45931.0</v>
      </c>
      <c r="K3946" s="3">
        <v>22.0</v>
      </c>
      <c r="L3946" s="3" t="s">
        <v>42</v>
      </c>
    </row>
    <row r="3947" ht="15.75" customHeight="1">
      <c r="A3947" s="3" t="s">
        <v>4037</v>
      </c>
      <c r="B3947" s="3" t="s">
        <v>53</v>
      </c>
      <c r="C3947" s="3" t="s">
        <v>14</v>
      </c>
      <c r="D3947" s="3">
        <v>93430.1469978669</v>
      </c>
      <c r="E3947" s="3">
        <v>33238.6143115386</v>
      </c>
      <c r="F3947" s="3">
        <v>32204.5505942036</v>
      </c>
      <c r="G3947" s="3">
        <v>21080.9628086466</v>
      </c>
      <c r="H3947" s="3">
        <v>-115621.043639919</v>
      </c>
      <c r="I3947" s="3">
        <v>75681.6025630024</v>
      </c>
      <c r="J3947" s="4">
        <v>45658.0</v>
      </c>
      <c r="K3947" s="3">
        <v>6.0</v>
      </c>
      <c r="L3947" s="3" t="s">
        <v>15</v>
      </c>
    </row>
    <row r="3948" ht="15.75" customHeight="1">
      <c r="A3948" s="3" t="s">
        <v>4038</v>
      </c>
      <c r="B3948" s="3" t="s">
        <v>13</v>
      </c>
      <c r="C3948" s="3" t="s">
        <v>26</v>
      </c>
      <c r="D3948" s="3">
        <v>93441.0299677731</v>
      </c>
      <c r="E3948" s="3">
        <v>33243.2290298661</v>
      </c>
      <c r="F3948" s="3">
        <v>32212.2305976331</v>
      </c>
      <c r="G3948" s="3">
        <v>21084.3603593339</v>
      </c>
      <c r="H3948" s="3">
        <v>-115670.547357668</v>
      </c>
      <c r="I3948" s="3">
        <v>75684.9840374222</v>
      </c>
      <c r="J3948" s="3" t="s">
        <v>2704</v>
      </c>
      <c r="K3948" s="3">
        <v>7.0</v>
      </c>
      <c r="L3948" s="3" t="s">
        <v>19</v>
      </c>
    </row>
    <row r="3949" ht="15.75" customHeight="1">
      <c r="A3949" s="3" t="s">
        <v>4039</v>
      </c>
      <c r="B3949" s="3" t="s">
        <v>17</v>
      </c>
      <c r="C3949" s="3" t="s">
        <v>33</v>
      </c>
      <c r="D3949" s="3">
        <v>93451.9129376792</v>
      </c>
      <c r="E3949" s="3">
        <v>33247.8437481935</v>
      </c>
      <c r="F3949" s="3">
        <v>32219.9106010625</v>
      </c>
      <c r="G3949" s="3">
        <v>21087.7579100212</v>
      </c>
      <c r="H3949" s="3">
        <v>-115720.051075417</v>
      </c>
      <c r="I3949" s="3">
        <v>75688.365511842</v>
      </c>
      <c r="J3949" s="4">
        <v>45992.0</v>
      </c>
      <c r="K3949" s="3">
        <v>4.0</v>
      </c>
      <c r="L3949" s="3" t="s">
        <v>21</v>
      </c>
    </row>
    <row r="3950" ht="15.75" customHeight="1">
      <c r="A3950" s="3" t="s">
        <v>4040</v>
      </c>
      <c r="B3950" s="3" t="s">
        <v>13</v>
      </c>
      <c r="C3950" s="3" t="s">
        <v>37</v>
      </c>
      <c r="D3950" s="3">
        <v>93473.6788774916</v>
      </c>
      <c r="E3950" s="3">
        <v>33257.0731848483</v>
      </c>
      <c r="F3950" s="3">
        <v>32235.2706079215</v>
      </c>
      <c r="G3950" s="3">
        <v>21094.5530113958</v>
      </c>
      <c r="H3950" s="3">
        <v>-115819.058510915</v>
      </c>
      <c r="I3950" s="3">
        <v>75695.1284606817</v>
      </c>
      <c r="J3950" s="4">
        <v>45931.0</v>
      </c>
      <c r="K3950" s="3">
        <v>5.0</v>
      </c>
      <c r="L3950" s="3" t="s">
        <v>27</v>
      </c>
    </row>
    <row r="3951" ht="15.75" customHeight="1">
      <c r="A3951" s="3" t="s">
        <v>4041</v>
      </c>
      <c r="B3951" s="3" t="s">
        <v>53</v>
      </c>
      <c r="C3951" s="3" t="s">
        <v>14</v>
      </c>
      <c r="D3951" s="3">
        <v>93484.5618473978</v>
      </c>
      <c r="E3951" s="3">
        <v>33261.6879031757</v>
      </c>
      <c r="F3951" s="3">
        <v>32242.950611351</v>
      </c>
      <c r="G3951" s="3">
        <v>21097.9505620831</v>
      </c>
      <c r="H3951" s="3">
        <v>-115868.562228664</v>
      </c>
      <c r="I3951" s="3">
        <v>75698.5099351015</v>
      </c>
      <c r="J3951" s="4">
        <v>45931.0</v>
      </c>
      <c r="K3951" s="3">
        <v>23.0</v>
      </c>
      <c r="L3951" s="3" t="s">
        <v>31</v>
      </c>
    </row>
    <row r="3952" ht="15.75" customHeight="1">
      <c r="A3952" s="3" t="s">
        <v>4042</v>
      </c>
      <c r="B3952" s="3" t="s">
        <v>25</v>
      </c>
      <c r="C3952" s="3" t="s">
        <v>30</v>
      </c>
      <c r="D3952" s="3">
        <v>93495.444817304</v>
      </c>
      <c r="E3952" s="3">
        <v>33266.3026215032</v>
      </c>
      <c r="F3952" s="3">
        <v>32250.6306147805</v>
      </c>
      <c r="G3952" s="3">
        <v>21101.3481127704</v>
      </c>
      <c r="H3952" s="3">
        <v>-115918.065946413</v>
      </c>
      <c r="I3952" s="3">
        <v>75701.8914095213</v>
      </c>
      <c r="J3952" s="4">
        <v>45962.0</v>
      </c>
      <c r="K3952" s="3">
        <v>6.0</v>
      </c>
      <c r="L3952" s="3" t="s">
        <v>34</v>
      </c>
    </row>
    <row r="3953" ht="15.75" customHeight="1">
      <c r="A3953" s="3" t="s">
        <v>4043</v>
      </c>
      <c r="B3953" s="3" t="s">
        <v>29</v>
      </c>
      <c r="C3953" s="3" t="s">
        <v>37</v>
      </c>
      <c r="D3953" s="3">
        <v>93506.3277872102</v>
      </c>
      <c r="E3953" s="3">
        <v>33270.9173398306</v>
      </c>
      <c r="F3953" s="3">
        <v>32258.31061821</v>
      </c>
      <c r="G3953" s="3">
        <v>21104.7456634576</v>
      </c>
      <c r="H3953" s="3">
        <v>-115967.569664162</v>
      </c>
      <c r="I3953" s="3">
        <v>75705.2728839411</v>
      </c>
      <c r="J3953" s="4">
        <v>45658.0</v>
      </c>
      <c r="K3953" s="3">
        <v>2.0</v>
      </c>
      <c r="L3953" s="3" t="s">
        <v>38</v>
      </c>
    </row>
    <row r="3954" ht="15.75" customHeight="1">
      <c r="A3954" s="3" t="s">
        <v>4044</v>
      </c>
      <c r="B3954" s="3" t="s">
        <v>13</v>
      </c>
      <c r="C3954" s="3" t="s">
        <v>30</v>
      </c>
      <c r="D3954" s="3">
        <v>93517.2107571164</v>
      </c>
      <c r="E3954" s="3">
        <v>33275.532058158</v>
      </c>
      <c r="F3954" s="3">
        <v>32265.9906216395</v>
      </c>
      <c r="G3954" s="3">
        <v>21108.1432141449</v>
      </c>
      <c r="H3954" s="3">
        <v>-116017.073381912</v>
      </c>
      <c r="I3954" s="3">
        <v>75708.6543583609</v>
      </c>
      <c r="J3954" s="4">
        <v>45658.0</v>
      </c>
      <c r="K3954" s="3">
        <v>25.0</v>
      </c>
      <c r="L3954" s="3" t="s">
        <v>40</v>
      </c>
    </row>
    <row r="3955" ht="15.75" customHeight="1">
      <c r="A3955" s="3" t="s">
        <v>4045</v>
      </c>
      <c r="B3955" s="3" t="s">
        <v>51</v>
      </c>
      <c r="C3955" s="3" t="s">
        <v>26</v>
      </c>
      <c r="D3955" s="3">
        <v>93528.0937270226</v>
      </c>
      <c r="E3955" s="3">
        <v>33280.1467764854</v>
      </c>
      <c r="F3955" s="3">
        <v>32273.670625069</v>
      </c>
      <c r="G3955" s="3">
        <v>21111.5407648322</v>
      </c>
      <c r="H3955" s="3">
        <v>-116066.577099661</v>
      </c>
      <c r="I3955" s="3">
        <v>75712.0358327807</v>
      </c>
      <c r="J3955" s="3" t="s">
        <v>276</v>
      </c>
      <c r="K3955" s="3">
        <v>12.0</v>
      </c>
      <c r="L3955" s="3" t="s">
        <v>42</v>
      </c>
    </row>
    <row r="3956" ht="15.75" customHeight="1">
      <c r="A3956" s="3" t="s">
        <v>4046</v>
      </c>
      <c r="B3956" s="3" t="s">
        <v>13</v>
      </c>
      <c r="C3956" s="3" t="s">
        <v>30</v>
      </c>
      <c r="D3956" s="3">
        <v>93538.9766969288</v>
      </c>
      <c r="E3956" s="3">
        <v>33284.7614948129</v>
      </c>
      <c r="F3956" s="3">
        <v>32281.3506284985</v>
      </c>
      <c r="G3956" s="3">
        <v>21114.9383155195</v>
      </c>
      <c r="H3956" s="3">
        <v>-116116.08081741</v>
      </c>
      <c r="I3956" s="3">
        <v>75715.4173072005</v>
      </c>
      <c r="J3956" s="4">
        <v>45931.0</v>
      </c>
      <c r="K3956" s="3">
        <v>12.0</v>
      </c>
      <c r="L3956" s="3" t="s">
        <v>15</v>
      </c>
    </row>
    <row r="3957" ht="15.75" customHeight="1">
      <c r="A3957" s="3" t="s">
        <v>4047</v>
      </c>
      <c r="B3957" s="3" t="s">
        <v>51</v>
      </c>
      <c r="C3957" s="3" t="s">
        <v>26</v>
      </c>
      <c r="D3957" s="3">
        <v>93549.859666835</v>
      </c>
      <c r="E3957" s="3">
        <v>33289.3762131403</v>
      </c>
      <c r="F3957" s="3">
        <v>32289.030631928</v>
      </c>
      <c r="G3957" s="3">
        <v>21118.3358662068</v>
      </c>
      <c r="H3957" s="3">
        <v>-116165.584535159</v>
      </c>
      <c r="I3957" s="3">
        <v>75718.7987816204</v>
      </c>
      <c r="J3957" s="4">
        <v>45901.0</v>
      </c>
      <c r="K3957" s="3">
        <v>20.0</v>
      </c>
      <c r="L3957" s="3" t="s">
        <v>19</v>
      </c>
    </row>
    <row r="3958" ht="15.75" customHeight="1">
      <c r="A3958" s="3" t="s">
        <v>4048</v>
      </c>
      <c r="B3958" s="3" t="s">
        <v>53</v>
      </c>
      <c r="C3958" s="3" t="s">
        <v>26</v>
      </c>
      <c r="D3958" s="3">
        <v>93560.7426367412</v>
      </c>
      <c r="E3958" s="3">
        <v>33293.9909314677</v>
      </c>
      <c r="F3958" s="3">
        <v>32296.7106353575</v>
      </c>
      <c r="G3958" s="3">
        <v>21121.7334168941</v>
      </c>
      <c r="H3958" s="3">
        <v>-116215.088252908</v>
      </c>
      <c r="I3958" s="3">
        <v>75722.1802560402</v>
      </c>
      <c r="J3958" s="4">
        <v>45778.0</v>
      </c>
      <c r="K3958" s="3">
        <v>24.0</v>
      </c>
      <c r="L3958" s="3" t="s">
        <v>21</v>
      </c>
    </row>
    <row r="3959" ht="15.75" customHeight="1">
      <c r="A3959" s="3" t="s">
        <v>4049</v>
      </c>
      <c r="B3959" s="3" t="s">
        <v>51</v>
      </c>
      <c r="C3959" s="3" t="s">
        <v>37</v>
      </c>
      <c r="D3959" s="3">
        <v>93571.6256066474</v>
      </c>
      <c r="E3959" s="3">
        <v>33298.6056497951</v>
      </c>
      <c r="F3959" s="3">
        <v>32304.390638787</v>
      </c>
      <c r="G3959" s="3">
        <v>21125.1309675814</v>
      </c>
      <c r="H3959" s="3">
        <v>-116264.591970657</v>
      </c>
      <c r="I3959" s="3">
        <v>75725.56173046</v>
      </c>
      <c r="J3959" s="4">
        <v>45931.0</v>
      </c>
      <c r="K3959" s="3">
        <v>18.0</v>
      </c>
      <c r="L3959" s="3" t="s">
        <v>23</v>
      </c>
    </row>
    <row r="3960" ht="15.75" customHeight="1">
      <c r="A3960" s="3" t="s">
        <v>4050</v>
      </c>
      <c r="B3960" s="3" t="s">
        <v>29</v>
      </c>
      <c r="C3960" s="3" t="s">
        <v>37</v>
      </c>
      <c r="D3960" s="3">
        <v>93582.5085765536</v>
      </c>
      <c r="E3960" s="3">
        <v>33303.2203681225</v>
      </c>
      <c r="F3960" s="3">
        <v>32312.0706422165</v>
      </c>
      <c r="G3960" s="3">
        <v>21128.5285182687</v>
      </c>
      <c r="H3960" s="3">
        <v>-116314.095688406</v>
      </c>
      <c r="I3960" s="3">
        <v>75728.9432048798</v>
      </c>
      <c r="J3960" s="4">
        <v>45870.0</v>
      </c>
      <c r="K3960" s="3">
        <v>15.0</v>
      </c>
      <c r="L3960" s="3" t="s">
        <v>27</v>
      </c>
    </row>
    <row r="3961" ht="15.75" customHeight="1">
      <c r="A3961" s="3" t="s">
        <v>4051</v>
      </c>
      <c r="B3961" s="3" t="s">
        <v>17</v>
      </c>
      <c r="C3961" s="3" t="s">
        <v>33</v>
      </c>
      <c r="D3961" s="3">
        <v>93593.3915464598</v>
      </c>
      <c r="E3961" s="3">
        <v>33307.83508645</v>
      </c>
      <c r="F3961" s="3">
        <v>32319.750645646</v>
      </c>
      <c r="G3961" s="3">
        <v>21131.9260689559</v>
      </c>
      <c r="H3961" s="3">
        <v>-116363.599406155</v>
      </c>
      <c r="I3961" s="3">
        <v>75732.3246792996</v>
      </c>
      <c r="J3961" s="4">
        <v>45748.0</v>
      </c>
      <c r="K3961" s="3">
        <v>17.0</v>
      </c>
      <c r="L3961" s="3" t="s">
        <v>31</v>
      </c>
    </row>
    <row r="3962" ht="15.75" customHeight="1">
      <c r="A3962" s="3" t="s">
        <v>4052</v>
      </c>
      <c r="B3962" s="3" t="s">
        <v>29</v>
      </c>
      <c r="C3962" s="3" t="s">
        <v>14</v>
      </c>
      <c r="D3962" s="3">
        <v>93604.274516366</v>
      </c>
      <c r="E3962" s="3">
        <v>33312.4498047774</v>
      </c>
      <c r="F3962" s="3">
        <v>32327.4306490755</v>
      </c>
      <c r="G3962" s="3">
        <v>21135.3236196432</v>
      </c>
      <c r="H3962" s="3">
        <v>-116413.103123905</v>
      </c>
      <c r="I3962" s="3">
        <v>75735.7061537194</v>
      </c>
      <c r="J3962" s="4">
        <v>45962.0</v>
      </c>
      <c r="K3962" s="3">
        <v>12.0</v>
      </c>
      <c r="L3962" s="3" t="s">
        <v>34</v>
      </c>
    </row>
    <row r="3963" ht="15.75" customHeight="1">
      <c r="A3963" s="3" t="s">
        <v>4053</v>
      </c>
      <c r="B3963" s="3" t="s">
        <v>25</v>
      </c>
      <c r="C3963" s="3" t="s">
        <v>18</v>
      </c>
      <c r="D3963" s="3">
        <v>93615.1574862721</v>
      </c>
      <c r="E3963" s="3">
        <v>33317.0645231048</v>
      </c>
      <c r="F3963" s="3">
        <v>32335.110652505</v>
      </c>
      <c r="G3963" s="3">
        <v>21138.7211703305</v>
      </c>
      <c r="H3963" s="3">
        <v>-116462.606841654</v>
      </c>
      <c r="I3963" s="3">
        <v>75739.0876281392</v>
      </c>
      <c r="J3963" s="4">
        <v>45962.0</v>
      </c>
      <c r="K3963" s="3">
        <v>1.0</v>
      </c>
      <c r="L3963" s="3" t="s">
        <v>38</v>
      </c>
    </row>
    <row r="3964" ht="15.75" customHeight="1">
      <c r="A3964" s="3" t="s">
        <v>4054</v>
      </c>
      <c r="B3964" s="3" t="s">
        <v>51</v>
      </c>
      <c r="C3964" s="3" t="s">
        <v>18</v>
      </c>
      <c r="D3964" s="3">
        <v>93636.9234260845</v>
      </c>
      <c r="E3964" s="3">
        <v>33326.2939597597</v>
      </c>
      <c r="F3964" s="3">
        <v>32350.470659364</v>
      </c>
      <c r="G3964" s="3">
        <v>21145.5162717051</v>
      </c>
      <c r="H3964" s="3">
        <v>-116561.614277152</v>
      </c>
      <c r="I3964" s="3">
        <v>75745.8505769789</v>
      </c>
      <c r="J3964" s="4">
        <v>45778.0</v>
      </c>
      <c r="K3964" s="3">
        <v>20.0</v>
      </c>
      <c r="L3964" s="3" t="s">
        <v>42</v>
      </c>
    </row>
    <row r="3965" ht="15.75" customHeight="1">
      <c r="A3965" s="3" t="s">
        <v>4055</v>
      </c>
      <c r="B3965" s="3" t="s">
        <v>25</v>
      </c>
      <c r="C3965" s="3" t="s">
        <v>26</v>
      </c>
      <c r="D3965" s="3">
        <v>93647.8063959907</v>
      </c>
      <c r="E3965" s="3">
        <v>33330.9086780871</v>
      </c>
      <c r="F3965" s="3">
        <v>32358.1506627935</v>
      </c>
      <c r="G3965" s="3">
        <v>21148.9138223924</v>
      </c>
      <c r="H3965" s="3">
        <v>-116611.117994901</v>
      </c>
      <c r="I3965" s="3">
        <v>75749.2320513987</v>
      </c>
      <c r="J3965" s="4">
        <v>45992.0</v>
      </c>
      <c r="K3965" s="3">
        <v>14.0</v>
      </c>
      <c r="L3965" s="3" t="s">
        <v>15</v>
      </c>
    </row>
    <row r="3966" ht="15.75" customHeight="1">
      <c r="A3966" s="3" t="s">
        <v>4056</v>
      </c>
      <c r="B3966" s="3" t="s">
        <v>36</v>
      </c>
      <c r="C3966" s="3" t="s">
        <v>30</v>
      </c>
      <c r="D3966" s="3">
        <v>93658.6893658969</v>
      </c>
      <c r="E3966" s="3">
        <v>33335.5233964145</v>
      </c>
      <c r="F3966" s="3">
        <v>32365.830666223</v>
      </c>
      <c r="G3966" s="3">
        <v>21152.3113730797</v>
      </c>
      <c r="H3966" s="3">
        <v>-116660.62171265</v>
      </c>
      <c r="I3966" s="3">
        <v>75752.6135258185</v>
      </c>
      <c r="J3966" s="4">
        <v>45717.0</v>
      </c>
      <c r="K3966" s="3">
        <v>7.0</v>
      </c>
      <c r="L3966" s="3" t="s">
        <v>19</v>
      </c>
    </row>
    <row r="3967" ht="15.75" customHeight="1">
      <c r="A3967" s="3" t="s">
        <v>4057</v>
      </c>
      <c r="B3967" s="3" t="s">
        <v>36</v>
      </c>
      <c r="C3967" s="3" t="s">
        <v>33</v>
      </c>
      <c r="D3967" s="3">
        <v>93669.5723358031</v>
      </c>
      <c r="E3967" s="3">
        <v>33340.1381147419</v>
      </c>
      <c r="F3967" s="3">
        <v>32373.5106696525</v>
      </c>
      <c r="G3967" s="3">
        <v>21155.708923767</v>
      </c>
      <c r="H3967" s="3">
        <v>-116710.125430399</v>
      </c>
      <c r="I3967" s="3">
        <v>75755.9950002383</v>
      </c>
      <c r="J3967" s="4">
        <v>45962.0</v>
      </c>
      <c r="K3967" s="3">
        <v>4.0</v>
      </c>
      <c r="L3967" s="3" t="s">
        <v>21</v>
      </c>
    </row>
    <row r="3968" ht="15.75" customHeight="1">
      <c r="A3968" s="3" t="s">
        <v>4058</v>
      </c>
      <c r="B3968" s="3" t="s">
        <v>17</v>
      </c>
      <c r="C3968" s="3" t="s">
        <v>37</v>
      </c>
      <c r="D3968" s="3">
        <v>93680.4553057093</v>
      </c>
      <c r="E3968" s="3">
        <v>33344.7528330693</v>
      </c>
      <c r="F3968" s="3">
        <v>32381.190673082</v>
      </c>
      <c r="G3968" s="3">
        <v>21159.1064744542</v>
      </c>
      <c r="H3968" s="3">
        <v>-116759.629148148</v>
      </c>
      <c r="I3968" s="3">
        <v>75759.3764746581</v>
      </c>
      <c r="J3968" s="4">
        <v>45839.0</v>
      </c>
      <c r="K3968" s="3">
        <v>17.0</v>
      </c>
      <c r="L3968" s="3" t="s">
        <v>23</v>
      </c>
    </row>
    <row r="3969" ht="15.75" customHeight="1">
      <c r="A3969" s="3" t="s">
        <v>4059</v>
      </c>
      <c r="B3969" s="3" t="s">
        <v>29</v>
      </c>
      <c r="C3969" s="3" t="s">
        <v>18</v>
      </c>
      <c r="D3969" s="3">
        <v>93691.3382756155</v>
      </c>
      <c r="E3969" s="3">
        <v>33349.3675513968</v>
      </c>
      <c r="F3969" s="3">
        <v>32388.8706765115</v>
      </c>
      <c r="G3969" s="3">
        <v>21162.5040251415</v>
      </c>
      <c r="H3969" s="3">
        <v>-116809.132865898</v>
      </c>
      <c r="I3969" s="3">
        <v>75762.7579490779</v>
      </c>
      <c r="J3969" s="4">
        <v>45689.0</v>
      </c>
      <c r="K3969" s="3">
        <v>3.0</v>
      </c>
      <c r="L3969" s="3" t="s">
        <v>27</v>
      </c>
    </row>
    <row r="3970" ht="15.75" customHeight="1">
      <c r="A3970" s="3" t="s">
        <v>4060</v>
      </c>
      <c r="B3970" s="3" t="s">
        <v>13</v>
      </c>
      <c r="C3970" s="3" t="s">
        <v>14</v>
      </c>
      <c r="D3970" s="3">
        <v>93702.2212455217</v>
      </c>
      <c r="E3970" s="3">
        <v>33353.9822697242</v>
      </c>
      <c r="F3970" s="3">
        <v>32396.550679941</v>
      </c>
      <c r="G3970" s="3">
        <v>21165.9015758288</v>
      </c>
      <c r="H3970" s="3">
        <v>-116858.636583647</v>
      </c>
      <c r="I3970" s="3">
        <v>75766.1394234978</v>
      </c>
      <c r="J3970" s="4">
        <v>45717.0</v>
      </c>
      <c r="K3970" s="3">
        <v>4.0</v>
      </c>
      <c r="L3970" s="3" t="s">
        <v>31</v>
      </c>
    </row>
    <row r="3971" ht="15.75" customHeight="1">
      <c r="A3971" s="3" t="s">
        <v>4061</v>
      </c>
      <c r="B3971" s="3" t="s">
        <v>51</v>
      </c>
      <c r="C3971" s="3" t="s">
        <v>14</v>
      </c>
      <c r="D3971" s="3">
        <v>93713.1042154279</v>
      </c>
      <c r="E3971" s="3">
        <v>33358.5969880516</v>
      </c>
      <c r="F3971" s="3">
        <v>32404.2306833705</v>
      </c>
      <c r="G3971" s="3">
        <v>21169.2991265161</v>
      </c>
      <c r="H3971" s="3">
        <v>-116908.140301396</v>
      </c>
      <c r="I3971" s="3">
        <v>75769.5208979176</v>
      </c>
      <c r="J3971" s="4">
        <v>45748.0</v>
      </c>
      <c r="K3971" s="3">
        <v>10.0</v>
      </c>
      <c r="L3971" s="3" t="s">
        <v>34</v>
      </c>
    </row>
    <row r="3972" ht="15.75" customHeight="1">
      <c r="A3972" s="3" t="s">
        <v>4062</v>
      </c>
      <c r="B3972" s="3" t="s">
        <v>13</v>
      </c>
      <c r="C3972" s="3" t="s">
        <v>33</v>
      </c>
      <c r="D3972" s="3">
        <v>93723.9871853341</v>
      </c>
      <c r="E3972" s="3">
        <v>33363.211706379</v>
      </c>
      <c r="F3972" s="3">
        <v>32411.9106868</v>
      </c>
      <c r="G3972" s="3">
        <v>21172.6966772034</v>
      </c>
      <c r="H3972" s="3">
        <v>-116957.644019145</v>
      </c>
      <c r="I3972" s="3">
        <v>75772.9023723374</v>
      </c>
      <c r="J3972" s="4">
        <v>45962.0</v>
      </c>
      <c r="K3972" s="3">
        <v>25.0</v>
      </c>
      <c r="L3972" s="3" t="s">
        <v>38</v>
      </c>
    </row>
    <row r="3973" ht="15.75" customHeight="1">
      <c r="A3973" s="3" t="s">
        <v>4063</v>
      </c>
      <c r="B3973" s="3" t="s">
        <v>51</v>
      </c>
      <c r="C3973" s="3" t="s">
        <v>37</v>
      </c>
      <c r="D3973" s="3">
        <v>93734.8701552403</v>
      </c>
      <c r="E3973" s="3">
        <v>33367.8264247065</v>
      </c>
      <c r="F3973" s="3">
        <v>32419.5906902295</v>
      </c>
      <c r="G3973" s="3">
        <v>21176.0942278907</v>
      </c>
      <c r="H3973" s="3">
        <v>-117007.147736894</v>
      </c>
      <c r="I3973" s="3">
        <v>75776.2838467572</v>
      </c>
      <c r="J3973" s="4">
        <v>45809.0</v>
      </c>
      <c r="K3973" s="3">
        <v>3.0</v>
      </c>
      <c r="L3973" s="3" t="s">
        <v>40</v>
      </c>
    </row>
    <row r="3974" ht="15.75" customHeight="1">
      <c r="A3974" s="3" t="s">
        <v>4064</v>
      </c>
      <c r="B3974" s="3" t="s">
        <v>36</v>
      </c>
      <c r="C3974" s="3" t="s">
        <v>33</v>
      </c>
      <c r="D3974" s="3">
        <v>93745.7531251465</v>
      </c>
      <c r="E3974" s="3">
        <v>33372.4411430339</v>
      </c>
      <c r="F3974" s="3">
        <v>32427.270693659</v>
      </c>
      <c r="G3974" s="3">
        <v>21179.491778578</v>
      </c>
      <c r="H3974" s="3">
        <v>-117056.651454643</v>
      </c>
      <c r="I3974" s="3">
        <v>75779.665321177</v>
      </c>
      <c r="J3974" s="4">
        <v>45658.0</v>
      </c>
      <c r="K3974" s="3">
        <v>8.0</v>
      </c>
      <c r="L3974" s="3" t="s">
        <v>42</v>
      </c>
    </row>
    <row r="3975" ht="15.75" customHeight="1">
      <c r="A3975" s="3" t="s">
        <v>4065</v>
      </c>
      <c r="B3975" s="3" t="s">
        <v>36</v>
      </c>
      <c r="C3975" s="3" t="s">
        <v>26</v>
      </c>
      <c r="D3975" s="3">
        <v>93756.6360950527</v>
      </c>
      <c r="E3975" s="3">
        <v>33377.0558613613</v>
      </c>
      <c r="F3975" s="3">
        <v>32434.9506970885</v>
      </c>
      <c r="G3975" s="3">
        <v>21182.8893292653</v>
      </c>
      <c r="H3975" s="3">
        <v>-117106.155172392</v>
      </c>
      <c r="I3975" s="3">
        <v>75783.0467955968</v>
      </c>
      <c r="J3975" s="4">
        <v>45839.0</v>
      </c>
      <c r="K3975" s="3">
        <v>9.0</v>
      </c>
      <c r="L3975" s="3" t="s">
        <v>15</v>
      </c>
    </row>
    <row r="3976" ht="15.75" customHeight="1">
      <c r="A3976" s="3" t="s">
        <v>4066</v>
      </c>
      <c r="B3976" s="3" t="s">
        <v>29</v>
      </c>
      <c r="C3976" s="3" t="s">
        <v>33</v>
      </c>
      <c r="D3976" s="3">
        <v>93767.5190649589</v>
      </c>
      <c r="E3976" s="3">
        <v>33381.6705796887</v>
      </c>
      <c r="F3976" s="3">
        <v>32442.630700518</v>
      </c>
      <c r="G3976" s="3">
        <v>21186.2868799525</v>
      </c>
      <c r="H3976" s="3">
        <v>-117155.658890142</v>
      </c>
      <c r="I3976" s="3">
        <v>75786.4282700166</v>
      </c>
      <c r="J3976" s="4">
        <v>45689.0</v>
      </c>
      <c r="K3976" s="3">
        <v>23.0</v>
      </c>
      <c r="L3976" s="3" t="s">
        <v>19</v>
      </c>
    </row>
    <row r="3977" ht="15.75" customHeight="1">
      <c r="A3977" s="3" t="s">
        <v>4067</v>
      </c>
      <c r="B3977" s="3" t="s">
        <v>51</v>
      </c>
      <c r="C3977" s="3" t="s">
        <v>30</v>
      </c>
      <c r="D3977" s="3">
        <v>93778.402034865</v>
      </c>
      <c r="E3977" s="3">
        <v>33386.2852980161</v>
      </c>
      <c r="F3977" s="3">
        <v>32450.3107039475</v>
      </c>
      <c r="G3977" s="3">
        <v>21189.6844306398</v>
      </c>
      <c r="H3977" s="3">
        <v>-117205.162607891</v>
      </c>
      <c r="I3977" s="3">
        <v>75789.8097444365</v>
      </c>
      <c r="J3977" s="4">
        <v>45748.0</v>
      </c>
      <c r="K3977" s="3">
        <v>24.0</v>
      </c>
      <c r="L3977" s="3" t="s">
        <v>21</v>
      </c>
    </row>
    <row r="3978" ht="15.75" customHeight="1">
      <c r="A3978" s="3" t="s">
        <v>4068</v>
      </c>
      <c r="B3978" s="3" t="s">
        <v>13</v>
      </c>
      <c r="C3978" s="3" t="s">
        <v>33</v>
      </c>
      <c r="D3978" s="3">
        <v>93789.2850047712</v>
      </c>
      <c r="E3978" s="3">
        <v>33390.9000163436</v>
      </c>
      <c r="F3978" s="3">
        <v>32457.990707377</v>
      </c>
      <c r="G3978" s="3">
        <v>21193.0819813271</v>
      </c>
      <c r="H3978" s="3">
        <v>-117254.66632564</v>
      </c>
      <c r="I3978" s="3">
        <v>75793.1912188563</v>
      </c>
      <c r="J3978" s="4">
        <v>45962.0</v>
      </c>
      <c r="K3978" s="3">
        <v>14.0</v>
      </c>
      <c r="L3978" s="3" t="s">
        <v>23</v>
      </c>
    </row>
    <row r="3979" ht="15.75" customHeight="1">
      <c r="A3979" s="3" t="s">
        <v>4069</v>
      </c>
      <c r="B3979" s="3" t="s">
        <v>25</v>
      </c>
      <c r="C3979" s="3" t="s">
        <v>54</v>
      </c>
      <c r="D3979" s="3">
        <v>93800.1679746774</v>
      </c>
      <c r="E3979" s="3">
        <v>33395.514734671</v>
      </c>
      <c r="F3979" s="3">
        <v>32465.6707108065</v>
      </c>
      <c r="G3979" s="3">
        <v>21196.4795320144</v>
      </c>
      <c r="H3979" s="3">
        <v>-117304.170043389</v>
      </c>
      <c r="I3979" s="3">
        <v>75796.5726932761</v>
      </c>
      <c r="J3979" s="4">
        <v>45689.0</v>
      </c>
      <c r="K3979" s="3">
        <v>7.0</v>
      </c>
      <c r="L3979" s="3" t="s">
        <v>27</v>
      </c>
    </row>
    <row r="3980" ht="15.75" customHeight="1">
      <c r="A3980" s="3" t="s">
        <v>4070</v>
      </c>
      <c r="B3980" s="3" t="s">
        <v>25</v>
      </c>
      <c r="C3980" s="3" t="s">
        <v>54</v>
      </c>
      <c r="D3980" s="3">
        <v>93811.0509445836</v>
      </c>
      <c r="E3980" s="3">
        <v>33400.1294529984</v>
      </c>
      <c r="F3980" s="3">
        <v>32473.350714236</v>
      </c>
      <c r="G3980" s="3">
        <v>21199.8770827017</v>
      </c>
      <c r="H3980" s="3">
        <v>-117353.673761138</v>
      </c>
      <c r="I3980" s="3">
        <v>75799.9541676959</v>
      </c>
      <c r="J3980" s="4">
        <v>45809.0</v>
      </c>
      <c r="K3980" s="3">
        <v>6.0</v>
      </c>
      <c r="L3980" s="3" t="s">
        <v>31</v>
      </c>
    </row>
    <row r="3981" ht="15.75" customHeight="1">
      <c r="A3981" s="3" t="s">
        <v>4071</v>
      </c>
      <c r="B3981" s="3" t="s">
        <v>51</v>
      </c>
      <c r="C3981" s="3" t="s">
        <v>26</v>
      </c>
      <c r="D3981" s="3">
        <v>93821.9339144898</v>
      </c>
      <c r="E3981" s="3">
        <v>33404.7441713258</v>
      </c>
      <c r="F3981" s="3">
        <v>32481.0307176655</v>
      </c>
      <c r="G3981" s="3">
        <v>21203.274633389</v>
      </c>
      <c r="H3981" s="3">
        <v>-117403.177478887</v>
      </c>
      <c r="I3981" s="3">
        <v>75803.3356421157</v>
      </c>
      <c r="J3981" s="4">
        <v>45839.0</v>
      </c>
      <c r="K3981" s="3">
        <v>4.0</v>
      </c>
      <c r="L3981" s="3" t="s">
        <v>34</v>
      </c>
    </row>
    <row r="3982" ht="15.75" customHeight="1">
      <c r="A3982" s="3" t="s">
        <v>4072</v>
      </c>
      <c r="B3982" s="3" t="s">
        <v>17</v>
      </c>
      <c r="C3982" s="3" t="s">
        <v>37</v>
      </c>
      <c r="D3982" s="3">
        <v>93832.816884396</v>
      </c>
      <c r="E3982" s="3">
        <v>33409.3588896533</v>
      </c>
      <c r="F3982" s="3">
        <v>32488.710721095</v>
      </c>
      <c r="G3982" s="3">
        <v>21206.6721840763</v>
      </c>
      <c r="H3982" s="3">
        <v>-117452.681196636</v>
      </c>
      <c r="I3982" s="3">
        <v>75806.7171165355</v>
      </c>
      <c r="J3982" s="4">
        <v>45717.0</v>
      </c>
      <c r="K3982" s="3">
        <v>21.0</v>
      </c>
      <c r="L3982" s="3" t="s">
        <v>38</v>
      </c>
    </row>
    <row r="3983" ht="15.75" customHeight="1">
      <c r="A3983" s="3" t="s">
        <v>4073</v>
      </c>
      <c r="B3983" s="3" t="s">
        <v>51</v>
      </c>
      <c r="C3983" s="3" t="s">
        <v>14</v>
      </c>
      <c r="D3983" s="3">
        <v>93843.6998543022</v>
      </c>
      <c r="E3983" s="3">
        <v>33413.9736079807</v>
      </c>
      <c r="F3983" s="3">
        <v>32496.3907245244</v>
      </c>
      <c r="G3983" s="3">
        <v>21210.0697347635</v>
      </c>
      <c r="H3983" s="3">
        <v>-117502.184914385</v>
      </c>
      <c r="I3983" s="3">
        <v>75810.0985909553</v>
      </c>
      <c r="J3983" s="4">
        <v>45717.0</v>
      </c>
      <c r="K3983" s="3">
        <v>7.0</v>
      </c>
      <c r="L3983" s="3" t="s">
        <v>40</v>
      </c>
    </row>
    <row r="3984" ht="15.75" customHeight="1">
      <c r="A3984" s="3" t="s">
        <v>4074</v>
      </c>
      <c r="B3984" s="3" t="s">
        <v>17</v>
      </c>
      <c r="C3984" s="3" t="s">
        <v>14</v>
      </c>
      <c r="D3984" s="3">
        <v>93854.5828242084</v>
      </c>
      <c r="E3984" s="3">
        <v>33418.5883263081</v>
      </c>
      <c r="F3984" s="3">
        <v>32504.0707279539</v>
      </c>
      <c r="G3984" s="3">
        <v>21213.4672854508</v>
      </c>
      <c r="H3984" s="3">
        <v>-117551.688632135</v>
      </c>
      <c r="I3984" s="3">
        <v>75813.4800653752</v>
      </c>
      <c r="J3984" s="4">
        <v>45839.0</v>
      </c>
      <c r="K3984" s="3">
        <v>15.0</v>
      </c>
      <c r="L3984" s="3" t="s">
        <v>42</v>
      </c>
    </row>
    <row r="3985" ht="15.75" customHeight="1">
      <c r="A3985" s="3" t="s">
        <v>4075</v>
      </c>
      <c r="B3985" s="3" t="s">
        <v>25</v>
      </c>
      <c r="C3985" s="3" t="s">
        <v>33</v>
      </c>
      <c r="D3985" s="3">
        <v>93865.4657941146</v>
      </c>
      <c r="E3985" s="3">
        <v>33423.2030446355</v>
      </c>
      <c r="F3985" s="3">
        <v>32511.7507313834</v>
      </c>
      <c r="G3985" s="5"/>
      <c r="H3985" s="3">
        <v>-117601.192349884</v>
      </c>
      <c r="I3985" s="3">
        <v>75816.861539795</v>
      </c>
      <c r="J3985" s="4">
        <v>45748.0</v>
      </c>
      <c r="K3985" s="3">
        <v>13.0</v>
      </c>
      <c r="L3985" s="3" t="s">
        <v>15</v>
      </c>
    </row>
    <row r="3986" ht="15.75" customHeight="1">
      <c r="A3986" s="3" t="s">
        <v>4076</v>
      </c>
      <c r="B3986" s="3" t="s">
        <v>29</v>
      </c>
      <c r="C3986" s="3" t="s">
        <v>18</v>
      </c>
      <c r="D3986" s="3">
        <v>93876.3487640208</v>
      </c>
      <c r="E3986" s="3">
        <v>33427.8177629629</v>
      </c>
      <c r="F3986" s="3">
        <v>32519.4307348129</v>
      </c>
      <c r="G3986" s="3">
        <v>21220.2623868254</v>
      </c>
      <c r="H3986" s="3">
        <v>-117650.696067633</v>
      </c>
      <c r="I3986" s="3">
        <v>75820.2430142148</v>
      </c>
      <c r="J3986" s="4">
        <v>45658.0</v>
      </c>
      <c r="K3986" s="3">
        <v>11.0</v>
      </c>
      <c r="L3986" s="3" t="s">
        <v>19</v>
      </c>
    </row>
    <row r="3987" ht="15.75" customHeight="1">
      <c r="A3987" s="3" t="s">
        <v>4077</v>
      </c>
      <c r="B3987" s="3" t="s">
        <v>17</v>
      </c>
      <c r="C3987" s="3" t="s">
        <v>26</v>
      </c>
      <c r="D3987" s="3">
        <v>93887.231733927</v>
      </c>
      <c r="E3987" s="3">
        <v>33432.4324812904</v>
      </c>
      <c r="F3987" s="3">
        <v>32527.1107382424</v>
      </c>
      <c r="G3987" s="5"/>
      <c r="H3987" s="3">
        <v>-117700.199785382</v>
      </c>
      <c r="I3987" s="3">
        <v>75823.6244886346</v>
      </c>
      <c r="J3987" s="4">
        <v>45809.0</v>
      </c>
      <c r="K3987" s="3">
        <v>13.0</v>
      </c>
      <c r="L3987" s="3" t="s">
        <v>21</v>
      </c>
    </row>
    <row r="3988" ht="15.75" customHeight="1">
      <c r="A3988" s="3" t="s">
        <v>4078</v>
      </c>
      <c r="B3988" s="3" t="s">
        <v>53</v>
      </c>
      <c r="C3988" s="3" t="s">
        <v>33</v>
      </c>
      <c r="D3988" s="3">
        <v>93898.1147038332</v>
      </c>
      <c r="E3988" s="3">
        <v>33437.0471996178</v>
      </c>
      <c r="F3988" s="3">
        <v>32534.7907416719</v>
      </c>
      <c r="G3988" s="3">
        <v>21227.0574882</v>
      </c>
      <c r="H3988" s="3">
        <v>-117749.703503131</v>
      </c>
      <c r="I3988" s="3">
        <v>75827.0059630544</v>
      </c>
      <c r="J3988" s="4">
        <v>45931.0</v>
      </c>
      <c r="K3988" s="3">
        <v>18.0</v>
      </c>
      <c r="L3988" s="3" t="s">
        <v>23</v>
      </c>
    </row>
    <row r="3989" ht="15.75" customHeight="1">
      <c r="A3989" s="3" t="s">
        <v>4079</v>
      </c>
      <c r="B3989" s="3" t="s">
        <v>13</v>
      </c>
      <c r="C3989" s="3" t="s">
        <v>14</v>
      </c>
      <c r="D3989" s="3">
        <v>93908.9976737394</v>
      </c>
      <c r="E3989" s="3">
        <v>33441.6619179452</v>
      </c>
      <c r="F3989" s="3">
        <v>32542.4707451014</v>
      </c>
      <c r="G3989" s="3">
        <v>21230.4550388873</v>
      </c>
      <c r="H3989" s="3">
        <v>-117799.20722088</v>
      </c>
      <c r="I3989" s="3">
        <v>75830.3874374742</v>
      </c>
      <c r="J3989" s="4">
        <v>45870.0</v>
      </c>
      <c r="K3989" s="3">
        <v>14.0</v>
      </c>
      <c r="L3989" s="3" t="s">
        <v>27</v>
      </c>
    </row>
    <row r="3990" ht="15.75" customHeight="1">
      <c r="A3990" s="3" t="s">
        <v>4080</v>
      </c>
      <c r="B3990" s="3" t="s">
        <v>36</v>
      </c>
      <c r="C3990" s="3" t="s">
        <v>26</v>
      </c>
      <c r="D3990" s="3">
        <v>93919.8806436456</v>
      </c>
      <c r="E3990" s="3">
        <v>33446.2766362726</v>
      </c>
      <c r="F3990" s="3">
        <v>32550.1507485309</v>
      </c>
      <c r="G3990" s="3">
        <v>21233.8525895746</v>
      </c>
      <c r="H3990" s="3">
        <v>-117848.710938629</v>
      </c>
      <c r="I3990" s="3">
        <v>75833.768911894</v>
      </c>
      <c r="J3990" s="4">
        <v>45689.0</v>
      </c>
      <c r="K3990" s="3">
        <v>9.0</v>
      </c>
      <c r="L3990" s="3" t="s">
        <v>31</v>
      </c>
    </row>
    <row r="3991" ht="15.75" customHeight="1">
      <c r="A3991" s="3" t="s">
        <v>4081</v>
      </c>
      <c r="B3991" s="3" t="s">
        <v>53</v>
      </c>
      <c r="C3991" s="3" t="s">
        <v>54</v>
      </c>
      <c r="D3991" s="5"/>
      <c r="E3991" s="3">
        <v>33450.8913546001</v>
      </c>
      <c r="F3991" s="3">
        <v>32557.8307519604</v>
      </c>
      <c r="G3991" s="3">
        <v>21237.2501402618</v>
      </c>
      <c r="H3991" s="3">
        <v>-117898.214656378</v>
      </c>
      <c r="I3991" s="3">
        <v>75837.1503863139</v>
      </c>
      <c r="J3991" s="4">
        <v>45992.0</v>
      </c>
      <c r="K3991" s="3">
        <v>11.0</v>
      </c>
      <c r="L3991" s="3" t="s">
        <v>34</v>
      </c>
    </row>
    <row r="3992" ht="15.75" customHeight="1">
      <c r="A3992" s="3" t="s">
        <v>4082</v>
      </c>
      <c r="B3992" s="3" t="s">
        <v>51</v>
      </c>
      <c r="C3992" s="3" t="s">
        <v>30</v>
      </c>
      <c r="D3992" s="3">
        <v>93941.646583458</v>
      </c>
      <c r="E3992" s="3">
        <v>33455.5060729275</v>
      </c>
      <c r="F3992" s="3">
        <v>32565.5107553899</v>
      </c>
      <c r="G3992" s="3">
        <v>21240.6476909491</v>
      </c>
      <c r="H3992" s="3">
        <v>-117947.718374128</v>
      </c>
      <c r="I3992" s="3">
        <v>75840.5318607337</v>
      </c>
      <c r="J3992" s="4">
        <v>45839.0</v>
      </c>
      <c r="K3992" s="3">
        <v>21.0</v>
      </c>
      <c r="L3992" s="3" t="s">
        <v>38</v>
      </c>
    </row>
    <row r="3993" ht="15.75" customHeight="1">
      <c r="A3993" s="3" t="s">
        <v>4083</v>
      </c>
      <c r="B3993" s="3" t="s">
        <v>53</v>
      </c>
      <c r="C3993" s="3" t="s">
        <v>54</v>
      </c>
      <c r="D3993" s="3">
        <v>93952.5295533641</v>
      </c>
      <c r="E3993" s="3">
        <v>33460.1207912549</v>
      </c>
      <c r="F3993" s="3">
        <v>32573.1907588194</v>
      </c>
      <c r="G3993" s="3">
        <v>21244.0452416364</v>
      </c>
      <c r="H3993" s="3">
        <v>-117997.222091877</v>
      </c>
      <c r="I3993" s="3">
        <v>75843.9133351535</v>
      </c>
      <c r="J3993" s="4">
        <v>45809.0</v>
      </c>
      <c r="K3993" s="3">
        <v>21.0</v>
      </c>
      <c r="L3993" s="3" t="s">
        <v>40</v>
      </c>
    </row>
    <row r="3994" ht="15.75" customHeight="1">
      <c r="A3994" s="3" t="s">
        <v>4084</v>
      </c>
      <c r="B3994" s="3" t="s">
        <v>51</v>
      </c>
      <c r="C3994" s="3" t="s">
        <v>14</v>
      </c>
      <c r="D3994" s="3">
        <v>93963.4125232703</v>
      </c>
      <c r="E3994" s="3">
        <v>33464.7355095823</v>
      </c>
      <c r="F3994" s="3">
        <v>32580.8707622489</v>
      </c>
      <c r="G3994" s="3">
        <v>21247.4427923237</v>
      </c>
      <c r="H3994" s="3">
        <v>-118046.725809626</v>
      </c>
      <c r="I3994" s="3">
        <v>75847.2948095733</v>
      </c>
      <c r="J3994" s="4">
        <v>45992.0</v>
      </c>
      <c r="K3994" s="3">
        <v>14.0</v>
      </c>
      <c r="L3994" s="3" t="s">
        <v>42</v>
      </c>
    </row>
    <row r="3995" ht="15.75" customHeight="1">
      <c r="A3995" s="3" t="s">
        <v>4085</v>
      </c>
      <c r="B3995" s="3" t="s">
        <v>17</v>
      </c>
      <c r="C3995" s="3" t="s">
        <v>37</v>
      </c>
      <c r="D3995" s="3">
        <v>93974.2954931765</v>
      </c>
      <c r="E3995" s="3">
        <v>33469.3502279097</v>
      </c>
      <c r="F3995" s="3">
        <v>32588.5507656784</v>
      </c>
      <c r="G3995" s="3">
        <v>21250.840343011</v>
      </c>
      <c r="H3995" s="3">
        <v>-118096.229527375</v>
      </c>
      <c r="I3995" s="3">
        <v>75850.6762839931</v>
      </c>
      <c r="J3995" s="4">
        <v>45870.0</v>
      </c>
      <c r="K3995" s="3">
        <v>6.0</v>
      </c>
      <c r="L3995" s="3" t="s">
        <v>15</v>
      </c>
    </row>
    <row r="3996" ht="15.75" customHeight="1">
      <c r="A3996" s="3" t="s">
        <v>4086</v>
      </c>
      <c r="B3996" s="3" t="s">
        <v>29</v>
      </c>
      <c r="C3996" s="3" t="s">
        <v>14</v>
      </c>
      <c r="D3996" s="3">
        <v>93985.1784630827</v>
      </c>
      <c r="E3996" s="3">
        <v>33473.9649462372</v>
      </c>
      <c r="F3996" s="3">
        <v>32596.2307691079</v>
      </c>
      <c r="G3996" s="3">
        <v>21254.2378936983</v>
      </c>
      <c r="H3996" s="3">
        <v>-118145.733245124</v>
      </c>
      <c r="I3996" s="3">
        <v>75854.0577584129</v>
      </c>
      <c r="J3996" s="4">
        <v>45931.0</v>
      </c>
      <c r="K3996" s="3">
        <v>23.0</v>
      </c>
      <c r="L3996" s="3" t="s">
        <v>19</v>
      </c>
    </row>
    <row r="3997" ht="15.75" customHeight="1">
      <c r="A3997" s="3" t="s">
        <v>4087</v>
      </c>
      <c r="B3997" s="3" t="s">
        <v>25</v>
      </c>
      <c r="C3997" s="3" t="s">
        <v>30</v>
      </c>
      <c r="D3997" s="3">
        <v>93996.0614329889</v>
      </c>
      <c r="E3997" s="3">
        <v>33478.5796645646</v>
      </c>
      <c r="F3997" s="3">
        <v>32603.9107725374</v>
      </c>
      <c r="G3997" s="3">
        <v>21257.6354443856</v>
      </c>
      <c r="H3997" s="3">
        <v>-118195.236962873</v>
      </c>
      <c r="I3997" s="3">
        <v>75857.4392328327</v>
      </c>
      <c r="J3997" s="3" t="s">
        <v>4088</v>
      </c>
      <c r="K3997" s="3">
        <v>4.0</v>
      </c>
      <c r="L3997" s="3" t="s">
        <v>21</v>
      </c>
    </row>
    <row r="3998" ht="15.75" customHeight="1">
      <c r="A3998" s="3" t="s">
        <v>4089</v>
      </c>
      <c r="B3998" s="3" t="s">
        <v>29</v>
      </c>
      <c r="C3998" s="3" t="s">
        <v>30</v>
      </c>
      <c r="D3998" s="3">
        <v>94006.9444028951</v>
      </c>
      <c r="E3998" s="3">
        <v>33483.194382892</v>
      </c>
      <c r="F3998" s="3">
        <v>32611.5907759669</v>
      </c>
      <c r="G3998" s="3">
        <v>21261.0329950729</v>
      </c>
      <c r="H3998" s="3">
        <v>-118244.740680622</v>
      </c>
      <c r="I3998" s="3">
        <v>75860.8207072526</v>
      </c>
      <c r="J3998" s="4">
        <v>45809.0</v>
      </c>
      <c r="K3998" s="3">
        <v>9.0</v>
      </c>
      <c r="L3998" s="3" t="s">
        <v>23</v>
      </c>
    </row>
    <row r="3999" ht="15.75" customHeight="1">
      <c r="A3999" s="3" t="s">
        <v>4090</v>
      </c>
      <c r="B3999" s="3" t="s">
        <v>53</v>
      </c>
      <c r="C3999" s="3" t="s">
        <v>54</v>
      </c>
      <c r="D3999" s="3">
        <v>94017.8273728013</v>
      </c>
      <c r="E3999" s="3">
        <v>33487.8091012194</v>
      </c>
      <c r="F3999" s="3">
        <v>32619.2707793964</v>
      </c>
      <c r="G3999" s="5"/>
      <c r="H3999" s="3">
        <v>-118294.244398371</v>
      </c>
      <c r="I3999" s="3">
        <v>75864.2021816724</v>
      </c>
      <c r="J3999" s="4">
        <v>45689.0</v>
      </c>
      <c r="K3999" s="3">
        <v>11.0</v>
      </c>
      <c r="L3999" s="3" t="s">
        <v>27</v>
      </c>
    </row>
    <row r="4000" ht="15.75" customHeight="1">
      <c r="A4000" s="3" t="s">
        <v>4091</v>
      </c>
      <c r="B4000" s="3" t="s">
        <v>51</v>
      </c>
      <c r="C4000" s="3" t="s">
        <v>18</v>
      </c>
      <c r="D4000" s="3">
        <v>94028.7103427075</v>
      </c>
      <c r="E4000" s="3">
        <v>33492.4238195469</v>
      </c>
      <c r="F4000" s="3">
        <v>32626.9507828259</v>
      </c>
      <c r="G4000" s="3">
        <v>21267.8280964474</v>
      </c>
      <c r="H4000" s="3">
        <v>-118343.748116121</v>
      </c>
      <c r="I4000" s="3">
        <v>75867.5836560922</v>
      </c>
      <c r="J4000" s="4">
        <v>45962.0</v>
      </c>
      <c r="K4000" s="3">
        <v>15.0</v>
      </c>
      <c r="L4000" s="3" t="s">
        <v>31</v>
      </c>
    </row>
    <row r="4001" ht="15.75" customHeight="1">
      <c r="A4001" s="3" t="s">
        <v>4092</v>
      </c>
      <c r="B4001" s="3" t="s">
        <v>25</v>
      </c>
      <c r="C4001" s="3" t="s">
        <v>26</v>
      </c>
      <c r="D4001" s="3">
        <v>94039.5933126137</v>
      </c>
      <c r="E4001" s="3">
        <v>33497.0385378743</v>
      </c>
      <c r="F4001" s="3">
        <v>32634.6307862554</v>
      </c>
      <c r="G4001" s="3">
        <v>21271.2256471347</v>
      </c>
      <c r="H4001" s="3">
        <v>-118393.25183387</v>
      </c>
      <c r="I4001" s="3">
        <v>75870.965130512</v>
      </c>
      <c r="J4001" s="4">
        <v>45717.0</v>
      </c>
      <c r="K4001" s="3">
        <v>12.0</v>
      </c>
      <c r="L4001" s="3" t="s">
        <v>34</v>
      </c>
    </row>
    <row r="4002" ht="15.75" customHeight="1">
      <c r="A4002" s="3" t="s">
        <v>4093</v>
      </c>
      <c r="B4002" s="3" t="s">
        <v>17</v>
      </c>
      <c r="C4002" s="3" t="s">
        <v>30</v>
      </c>
      <c r="D4002" s="3">
        <v>94050.4762825199</v>
      </c>
      <c r="E4002" s="3">
        <v>33501.6532562017</v>
      </c>
      <c r="F4002" s="3">
        <v>32642.3107896849</v>
      </c>
      <c r="G4002" s="3">
        <v>21274.623197822</v>
      </c>
      <c r="H4002" s="3">
        <v>-118442.755551619</v>
      </c>
      <c r="I4002" s="3">
        <v>75874.3466049318</v>
      </c>
      <c r="J4002" s="4">
        <v>45717.0</v>
      </c>
      <c r="K4002" s="3">
        <v>23.0</v>
      </c>
      <c r="L4002" s="3" t="s">
        <v>38</v>
      </c>
    </row>
    <row r="4003" ht="15.75" customHeight="1">
      <c r="A4003" s="3" t="s">
        <v>4094</v>
      </c>
      <c r="B4003" s="3" t="s">
        <v>25</v>
      </c>
      <c r="C4003" s="3" t="s">
        <v>26</v>
      </c>
      <c r="D4003" s="3">
        <v>94061.3592524261</v>
      </c>
      <c r="E4003" s="3">
        <v>33506.2679745291</v>
      </c>
      <c r="F4003" s="3">
        <v>32649.9907931144</v>
      </c>
      <c r="G4003" s="3">
        <v>21278.0207485093</v>
      </c>
      <c r="H4003" s="3">
        <v>-118492.259269368</v>
      </c>
      <c r="I4003" s="3">
        <v>75877.7280793516</v>
      </c>
      <c r="J4003" s="4">
        <v>45748.0</v>
      </c>
      <c r="K4003" s="3">
        <v>18.0</v>
      </c>
      <c r="L4003" s="3" t="s">
        <v>40</v>
      </c>
    </row>
    <row r="4004" ht="15.75" customHeight="1">
      <c r="A4004" s="3" t="s">
        <v>4095</v>
      </c>
      <c r="B4004" s="3" t="s">
        <v>36</v>
      </c>
      <c r="C4004" s="3" t="s">
        <v>14</v>
      </c>
      <c r="D4004" s="3">
        <v>94072.2422223323</v>
      </c>
      <c r="E4004" s="3">
        <v>33510.8826928565</v>
      </c>
      <c r="F4004" s="3">
        <v>32657.6707965439</v>
      </c>
      <c r="G4004" s="3">
        <v>21281.4182991966</v>
      </c>
      <c r="H4004" s="3">
        <v>-118541.762987117</v>
      </c>
      <c r="I4004" s="3">
        <v>75881.1095537715</v>
      </c>
      <c r="J4004" s="4">
        <v>45778.0</v>
      </c>
      <c r="K4004" s="3">
        <v>7.0</v>
      </c>
      <c r="L4004" s="3" t="s">
        <v>42</v>
      </c>
    </row>
    <row r="4005" ht="15.75" customHeight="1">
      <c r="A4005" s="3" t="s">
        <v>4096</v>
      </c>
      <c r="B4005" s="3" t="s">
        <v>13</v>
      </c>
      <c r="C4005" s="3" t="s">
        <v>54</v>
      </c>
      <c r="D4005" s="3">
        <v>94083.1251922385</v>
      </c>
      <c r="E4005" s="3">
        <v>33515.497411184</v>
      </c>
      <c r="F4005" s="3">
        <v>32665.3507999734</v>
      </c>
      <c r="G4005" s="3">
        <v>21284.8158498839</v>
      </c>
      <c r="H4005" s="3">
        <v>-118591.266704866</v>
      </c>
      <c r="I4005" s="3">
        <v>75884.4910281913</v>
      </c>
      <c r="J4005" s="4">
        <v>45839.0</v>
      </c>
      <c r="K4005" s="3">
        <v>20.0</v>
      </c>
      <c r="L4005" s="3" t="s">
        <v>15</v>
      </c>
    </row>
    <row r="4006" ht="15.75" customHeight="1">
      <c r="A4006" s="3" t="s">
        <v>4097</v>
      </c>
      <c r="B4006" s="3" t="s">
        <v>13</v>
      </c>
      <c r="C4006" s="3" t="s">
        <v>14</v>
      </c>
      <c r="D4006" s="3">
        <v>94094.0081621447</v>
      </c>
      <c r="E4006" s="3">
        <v>33520.1121295114</v>
      </c>
      <c r="F4006" s="3">
        <v>32673.0308034029</v>
      </c>
      <c r="G4006" s="3">
        <v>21288.2134005711</v>
      </c>
      <c r="H4006" s="3">
        <v>-118640.770422615</v>
      </c>
      <c r="I4006" s="3">
        <v>75887.8725026111</v>
      </c>
      <c r="J4006" s="4">
        <v>45931.0</v>
      </c>
      <c r="K4006" s="3">
        <v>5.0</v>
      </c>
      <c r="L4006" s="3" t="s">
        <v>19</v>
      </c>
    </row>
    <row r="4007" ht="15.75" customHeight="1">
      <c r="A4007" s="3" t="s">
        <v>4098</v>
      </c>
      <c r="B4007" s="3" t="s">
        <v>13</v>
      </c>
      <c r="C4007" s="3" t="s">
        <v>54</v>
      </c>
      <c r="D4007" s="3">
        <v>94104.8911320509</v>
      </c>
      <c r="E4007" s="3">
        <v>33524.7268478388</v>
      </c>
      <c r="F4007" s="3">
        <v>32680.7108068324</v>
      </c>
      <c r="G4007" s="3">
        <v>21291.6109512584</v>
      </c>
      <c r="H4007" s="3">
        <v>-118690.274140364</v>
      </c>
      <c r="I4007" s="3">
        <v>75891.2539770309</v>
      </c>
      <c r="J4007" s="4">
        <v>45992.0</v>
      </c>
      <c r="K4007" s="3">
        <v>20.0</v>
      </c>
      <c r="L4007" s="3" t="s">
        <v>21</v>
      </c>
    </row>
    <row r="4008" ht="15.75" customHeight="1">
      <c r="A4008" s="3" t="s">
        <v>4099</v>
      </c>
      <c r="B4008" s="3" t="s">
        <v>51</v>
      </c>
      <c r="C4008" s="3" t="s">
        <v>54</v>
      </c>
      <c r="D4008" s="3">
        <v>94115.774101957</v>
      </c>
      <c r="E4008" s="3">
        <v>33529.3415661662</v>
      </c>
      <c r="F4008" s="3">
        <v>32688.3908102619</v>
      </c>
      <c r="G4008" s="3">
        <v>21295.0085019457</v>
      </c>
      <c r="H4008" s="3">
        <v>-118739.777858114</v>
      </c>
      <c r="I4008" s="3">
        <v>75894.6354514507</v>
      </c>
      <c r="J4008" s="4">
        <v>45689.0</v>
      </c>
      <c r="K4008" s="3">
        <v>21.0</v>
      </c>
      <c r="L4008" s="3" t="s">
        <v>23</v>
      </c>
    </row>
    <row r="4009" ht="15.75" customHeight="1">
      <c r="A4009" s="3" t="s">
        <v>4100</v>
      </c>
      <c r="B4009" s="3" t="s">
        <v>25</v>
      </c>
      <c r="C4009" s="3" t="s">
        <v>37</v>
      </c>
      <c r="D4009" s="3">
        <v>94126.6570718632</v>
      </c>
      <c r="E4009" s="3">
        <v>33533.9562844937</v>
      </c>
      <c r="F4009" s="3">
        <v>32696.0708136914</v>
      </c>
      <c r="G4009" s="3">
        <v>21298.406052633</v>
      </c>
      <c r="H4009" s="3">
        <v>-118789.281575863</v>
      </c>
      <c r="I4009" s="3">
        <v>75898.0169258705</v>
      </c>
      <c r="J4009" s="4">
        <v>45658.0</v>
      </c>
      <c r="K4009" s="3">
        <v>6.0</v>
      </c>
      <c r="L4009" s="3" t="s">
        <v>27</v>
      </c>
    </row>
    <row r="4010" ht="15.75" customHeight="1">
      <c r="A4010" s="3" t="s">
        <v>4101</v>
      </c>
      <c r="B4010" s="3" t="s">
        <v>51</v>
      </c>
      <c r="C4010" s="3" t="s">
        <v>26</v>
      </c>
      <c r="D4010" s="3">
        <v>94137.5400417694</v>
      </c>
      <c r="E4010" s="3">
        <v>33538.5710028211</v>
      </c>
      <c r="F4010" s="3">
        <v>32703.7508171209</v>
      </c>
      <c r="G4010" s="3">
        <v>21301.8036033203</v>
      </c>
      <c r="H4010" s="3">
        <v>-118838.785293612</v>
      </c>
      <c r="I4010" s="3">
        <v>75901.3984002903</v>
      </c>
      <c r="J4010" s="4">
        <v>45689.0</v>
      </c>
      <c r="K4010" s="3">
        <v>5.0</v>
      </c>
      <c r="L4010" s="3" t="s">
        <v>31</v>
      </c>
    </row>
    <row r="4011" ht="15.75" customHeight="1">
      <c r="A4011" s="3" t="s">
        <v>4102</v>
      </c>
      <c r="B4011" s="3" t="s">
        <v>17</v>
      </c>
      <c r="C4011" s="3" t="s">
        <v>37</v>
      </c>
      <c r="D4011" s="3">
        <v>94148.4230116756</v>
      </c>
      <c r="E4011" s="3">
        <v>33543.1857211485</v>
      </c>
      <c r="F4011" s="3">
        <v>32711.4308205504</v>
      </c>
      <c r="G4011" s="3">
        <v>21305.2011540076</v>
      </c>
      <c r="H4011" s="3">
        <v>-118888.289011361</v>
      </c>
      <c r="I4011" s="3">
        <v>75904.7798747102</v>
      </c>
      <c r="J4011" s="4">
        <v>45717.0</v>
      </c>
      <c r="K4011" s="3">
        <v>7.0</v>
      </c>
      <c r="L4011" s="3" t="s">
        <v>34</v>
      </c>
    </row>
    <row r="4012" ht="15.75" customHeight="1">
      <c r="A4012" s="3" t="s">
        <v>4103</v>
      </c>
      <c r="B4012" s="3" t="s">
        <v>25</v>
      </c>
      <c r="C4012" s="3" t="s">
        <v>37</v>
      </c>
      <c r="D4012" s="3">
        <v>94159.3059815818</v>
      </c>
      <c r="E4012" s="3">
        <v>33547.8004394759</v>
      </c>
      <c r="F4012" s="3">
        <v>32719.1108239799</v>
      </c>
      <c r="G4012" s="3">
        <v>21308.5987046949</v>
      </c>
      <c r="H4012" s="3">
        <v>-118937.79272911</v>
      </c>
      <c r="I4012" s="3">
        <v>75908.16134913</v>
      </c>
      <c r="J4012" s="4">
        <v>45870.0</v>
      </c>
      <c r="K4012" s="3">
        <v>5.0</v>
      </c>
      <c r="L4012" s="3" t="s">
        <v>38</v>
      </c>
    </row>
    <row r="4013" ht="15.75" customHeight="1">
      <c r="A4013" s="3" t="s">
        <v>4104</v>
      </c>
      <c r="B4013" s="3" t="s">
        <v>29</v>
      </c>
      <c r="C4013" s="3" t="s">
        <v>37</v>
      </c>
      <c r="D4013" s="3">
        <v>94170.188951488</v>
      </c>
      <c r="E4013" s="3">
        <v>33552.4151578033</v>
      </c>
      <c r="F4013" s="3">
        <v>32726.7908274094</v>
      </c>
      <c r="G4013" s="3">
        <v>21311.9962553822</v>
      </c>
      <c r="H4013" s="3">
        <v>-118987.296446859</v>
      </c>
      <c r="I4013" s="3">
        <v>75911.5428235498</v>
      </c>
      <c r="J4013" s="3" t="s">
        <v>122</v>
      </c>
      <c r="K4013" s="3">
        <v>9.0</v>
      </c>
      <c r="L4013" s="3" t="s">
        <v>40</v>
      </c>
    </row>
    <row r="4014" ht="15.75" customHeight="1">
      <c r="A4014" s="3" t="s">
        <v>4105</v>
      </c>
      <c r="B4014" s="3" t="s">
        <v>13</v>
      </c>
      <c r="C4014" s="3" t="s">
        <v>33</v>
      </c>
      <c r="D4014" s="3">
        <v>94181.0719213942</v>
      </c>
      <c r="E4014" s="3">
        <v>33557.0298761308</v>
      </c>
      <c r="F4014" s="3">
        <v>32734.4708308389</v>
      </c>
      <c r="G4014" s="3">
        <v>21315.3938060694</v>
      </c>
      <c r="H4014" s="3">
        <v>-119036.800164608</v>
      </c>
      <c r="I4014" s="3">
        <v>75914.9242979696</v>
      </c>
      <c r="J4014" s="4">
        <v>45689.0</v>
      </c>
      <c r="K4014" s="3">
        <v>10.0</v>
      </c>
      <c r="L4014" s="3" t="s">
        <v>42</v>
      </c>
    </row>
    <row r="4015" ht="15.75" customHeight="1">
      <c r="A4015" s="3" t="s">
        <v>4106</v>
      </c>
      <c r="B4015" s="3" t="s">
        <v>36</v>
      </c>
      <c r="C4015" s="3" t="s">
        <v>14</v>
      </c>
      <c r="D4015" s="3">
        <v>94191.9548913004</v>
      </c>
      <c r="E4015" s="3">
        <v>33561.6445944582</v>
      </c>
      <c r="F4015" s="3">
        <v>32742.1508342684</v>
      </c>
      <c r="G4015" s="3">
        <v>21318.7913567567</v>
      </c>
      <c r="H4015" s="3">
        <v>-119086.303882357</v>
      </c>
      <c r="I4015" s="3">
        <v>75918.3057723894</v>
      </c>
      <c r="J4015" s="4">
        <v>45901.0</v>
      </c>
      <c r="K4015" s="3">
        <v>8.0</v>
      </c>
      <c r="L4015" s="3" t="s">
        <v>15</v>
      </c>
    </row>
    <row r="4016" ht="15.75" customHeight="1">
      <c r="A4016" s="3" t="s">
        <v>4107</v>
      </c>
      <c r="B4016" s="3" t="s">
        <v>25</v>
      </c>
      <c r="C4016" s="3" t="s">
        <v>37</v>
      </c>
      <c r="D4016" s="3">
        <v>94202.8378612066</v>
      </c>
      <c r="E4016" s="3">
        <v>33566.2593127856</v>
      </c>
      <c r="F4016" s="3">
        <v>32749.8308376979</v>
      </c>
      <c r="G4016" s="3">
        <v>21322.188907444</v>
      </c>
      <c r="H4016" s="3">
        <v>-119135.807600107</v>
      </c>
      <c r="I4016" s="3">
        <v>75921.6872468092</v>
      </c>
      <c r="J4016" s="4">
        <v>45658.0</v>
      </c>
      <c r="K4016" s="3">
        <v>25.0</v>
      </c>
      <c r="L4016" s="3" t="s">
        <v>19</v>
      </c>
    </row>
    <row r="4017" ht="15.75" customHeight="1">
      <c r="A4017" s="3" t="s">
        <v>4108</v>
      </c>
      <c r="B4017" s="3" t="s">
        <v>17</v>
      </c>
      <c r="C4017" s="3" t="s">
        <v>33</v>
      </c>
      <c r="D4017" s="3">
        <v>94213.7208311128</v>
      </c>
      <c r="E4017" s="3">
        <v>33570.874031113</v>
      </c>
      <c r="F4017" s="3">
        <v>32757.5108411274</v>
      </c>
      <c r="G4017" s="3">
        <v>21325.5864581313</v>
      </c>
      <c r="H4017" s="3">
        <v>-119185.311317856</v>
      </c>
      <c r="I4017" s="3">
        <v>75925.068721229</v>
      </c>
      <c r="J4017" s="4">
        <v>45689.0</v>
      </c>
      <c r="K4017" s="3">
        <v>5.0</v>
      </c>
      <c r="L4017" s="3" t="s">
        <v>21</v>
      </c>
    </row>
    <row r="4018" ht="15.75" customHeight="1">
      <c r="A4018" s="3" t="s">
        <v>4109</v>
      </c>
      <c r="B4018" s="3" t="s">
        <v>17</v>
      </c>
      <c r="C4018" s="3" t="s">
        <v>14</v>
      </c>
      <c r="D4018" s="3">
        <v>94235.4867709252</v>
      </c>
      <c r="E4018" s="3">
        <v>33580.1034677679</v>
      </c>
      <c r="F4018" s="3">
        <v>32772.8708479863</v>
      </c>
      <c r="G4018" s="3">
        <v>21332.3815595059</v>
      </c>
      <c r="H4018" s="3">
        <v>-119284.318753354</v>
      </c>
      <c r="I4018" s="3">
        <v>75931.8316700687</v>
      </c>
      <c r="J4018" s="4">
        <v>45839.0</v>
      </c>
      <c r="K4018" s="3">
        <v>17.0</v>
      </c>
      <c r="L4018" s="3" t="s">
        <v>27</v>
      </c>
    </row>
    <row r="4019" ht="15.75" customHeight="1">
      <c r="A4019" s="3" t="s">
        <v>4110</v>
      </c>
      <c r="B4019" s="3" t="s">
        <v>36</v>
      </c>
      <c r="C4019" s="3" t="s">
        <v>37</v>
      </c>
      <c r="D4019" s="3">
        <v>94246.3697408314</v>
      </c>
      <c r="E4019" s="3">
        <v>33584.7181860953</v>
      </c>
      <c r="F4019" s="3">
        <v>32780.5508514158</v>
      </c>
      <c r="G4019" s="3">
        <v>21335.7791101932</v>
      </c>
      <c r="H4019" s="3">
        <v>-119333.822471103</v>
      </c>
      <c r="I4019" s="3">
        <v>75935.2131444885</v>
      </c>
      <c r="J4019" s="4">
        <v>45839.0</v>
      </c>
      <c r="K4019" s="3">
        <v>13.0</v>
      </c>
      <c r="L4019" s="3" t="s">
        <v>31</v>
      </c>
    </row>
    <row r="4020" ht="15.75" customHeight="1">
      <c r="A4020" s="3" t="s">
        <v>4111</v>
      </c>
      <c r="B4020" s="3" t="s">
        <v>29</v>
      </c>
      <c r="C4020" s="3" t="s">
        <v>18</v>
      </c>
      <c r="D4020" s="3">
        <v>94257.2527107376</v>
      </c>
      <c r="E4020" s="3">
        <v>33589.3329044227</v>
      </c>
      <c r="F4020" s="3">
        <v>32788.2308548453</v>
      </c>
      <c r="G4020" s="3">
        <v>21339.1766608805</v>
      </c>
      <c r="H4020" s="3">
        <v>-119383.326188852</v>
      </c>
      <c r="I4020" s="3">
        <v>75938.5946189083</v>
      </c>
      <c r="J4020" s="4">
        <v>45689.0</v>
      </c>
      <c r="K4020" s="3">
        <v>22.0</v>
      </c>
      <c r="L4020" s="3" t="s">
        <v>34</v>
      </c>
    </row>
    <row r="4021" ht="15.75" customHeight="1">
      <c r="A4021" s="3" t="s">
        <v>4112</v>
      </c>
      <c r="B4021" s="3" t="s">
        <v>53</v>
      </c>
      <c r="C4021" s="3" t="s">
        <v>18</v>
      </c>
      <c r="D4021" s="3">
        <v>94268.1356806437</v>
      </c>
      <c r="E4021" s="3">
        <v>33593.9476227501</v>
      </c>
      <c r="F4021" s="3">
        <v>32795.9108582748</v>
      </c>
      <c r="G4021" s="3">
        <v>21342.5742115677</v>
      </c>
      <c r="H4021" s="3">
        <v>-119432.829906601</v>
      </c>
      <c r="I4021" s="3">
        <v>75941.9760933281</v>
      </c>
      <c r="J4021" s="4">
        <v>45689.0</v>
      </c>
      <c r="K4021" s="3">
        <v>16.0</v>
      </c>
      <c r="L4021" s="3" t="s">
        <v>38</v>
      </c>
    </row>
    <row r="4022" ht="15.75" customHeight="1">
      <c r="A4022" s="3" t="s">
        <v>4113</v>
      </c>
      <c r="B4022" s="3" t="s">
        <v>53</v>
      </c>
      <c r="C4022" s="3" t="s">
        <v>33</v>
      </c>
      <c r="D4022" s="3">
        <v>94279.0186505499</v>
      </c>
      <c r="E4022" s="3">
        <v>33598.5623410776</v>
      </c>
      <c r="F4022" s="3">
        <v>32803.5908617043</v>
      </c>
      <c r="G4022" s="3">
        <v>21345.971762255</v>
      </c>
      <c r="H4022" s="3">
        <v>-119482.33362435</v>
      </c>
      <c r="I4022" s="3">
        <v>75945.3575677479</v>
      </c>
      <c r="J4022" s="4">
        <v>45689.0</v>
      </c>
      <c r="K4022" s="3">
        <v>10.0</v>
      </c>
      <c r="L4022" s="3" t="s">
        <v>40</v>
      </c>
    </row>
    <row r="4023" ht="15.75" customHeight="1">
      <c r="A4023" s="3" t="s">
        <v>4114</v>
      </c>
      <c r="B4023" s="3" t="s">
        <v>17</v>
      </c>
      <c r="C4023" s="3" t="s">
        <v>14</v>
      </c>
      <c r="D4023" s="3">
        <v>94289.9016204561</v>
      </c>
      <c r="E4023" s="3">
        <v>33603.177059405</v>
      </c>
      <c r="F4023" s="3">
        <v>32811.2708651338</v>
      </c>
      <c r="G4023" s="3">
        <v>21349.3693129423</v>
      </c>
      <c r="H4023" s="3">
        <v>-119531.8373421</v>
      </c>
      <c r="I4023" s="3">
        <v>75948.7390421677</v>
      </c>
      <c r="J4023" s="4">
        <v>45717.0</v>
      </c>
      <c r="K4023" s="3">
        <v>12.0</v>
      </c>
      <c r="L4023" s="3" t="s">
        <v>42</v>
      </c>
    </row>
    <row r="4024" ht="15.75" customHeight="1">
      <c r="A4024" s="3" t="s">
        <v>4115</v>
      </c>
      <c r="B4024" s="3" t="s">
        <v>17</v>
      </c>
      <c r="C4024" s="3" t="s">
        <v>26</v>
      </c>
      <c r="D4024" s="3">
        <v>94300.7845903623</v>
      </c>
      <c r="E4024" s="3">
        <v>33607.7917777324</v>
      </c>
      <c r="F4024" s="3">
        <v>32818.9508685633</v>
      </c>
      <c r="G4024" s="3">
        <v>21352.7668636296</v>
      </c>
      <c r="H4024" s="3">
        <v>-119581.341059849</v>
      </c>
      <c r="I4024" s="3">
        <v>75952.1205165876</v>
      </c>
      <c r="J4024" s="4">
        <v>45778.0</v>
      </c>
      <c r="K4024" s="3">
        <v>22.0</v>
      </c>
      <c r="L4024" s="3" t="s">
        <v>15</v>
      </c>
    </row>
    <row r="4025" ht="15.75" customHeight="1">
      <c r="A4025" s="3" t="s">
        <v>4116</v>
      </c>
      <c r="B4025" s="3" t="s">
        <v>29</v>
      </c>
      <c r="C4025" s="3" t="s">
        <v>33</v>
      </c>
      <c r="D4025" s="3">
        <v>94311.6675602685</v>
      </c>
      <c r="E4025" s="3">
        <v>33612.4064960598</v>
      </c>
      <c r="F4025" s="3">
        <v>32826.6308719928</v>
      </c>
      <c r="G4025" s="3">
        <v>21356.1644143169</v>
      </c>
      <c r="H4025" s="3">
        <v>-119630.844777598</v>
      </c>
      <c r="I4025" s="3">
        <v>75955.5019910074</v>
      </c>
      <c r="J4025" s="4">
        <v>45962.0</v>
      </c>
      <c r="K4025" s="3">
        <v>24.0</v>
      </c>
      <c r="L4025" s="3" t="s">
        <v>19</v>
      </c>
    </row>
    <row r="4026" ht="15.75" customHeight="1">
      <c r="A4026" s="3" t="s">
        <v>4117</v>
      </c>
      <c r="B4026" s="3" t="s">
        <v>13</v>
      </c>
      <c r="C4026" s="3" t="s">
        <v>18</v>
      </c>
      <c r="D4026" s="3">
        <v>94322.5505301747</v>
      </c>
      <c r="E4026" s="3">
        <v>33617.0212143873</v>
      </c>
      <c r="F4026" s="3">
        <v>32834.3108754223</v>
      </c>
      <c r="G4026" s="3">
        <v>21359.5619650042</v>
      </c>
      <c r="H4026" s="3">
        <v>-119680.348495347</v>
      </c>
      <c r="I4026" s="3">
        <v>75958.8834654272</v>
      </c>
      <c r="J4026" s="4">
        <v>45901.0</v>
      </c>
      <c r="K4026" s="3">
        <v>7.0</v>
      </c>
      <c r="L4026" s="3" t="s">
        <v>21</v>
      </c>
    </row>
    <row r="4027" ht="15.75" customHeight="1">
      <c r="A4027" s="3" t="s">
        <v>4118</v>
      </c>
      <c r="B4027" s="3" t="s">
        <v>36</v>
      </c>
      <c r="C4027" s="3" t="s">
        <v>18</v>
      </c>
      <c r="D4027" s="3">
        <v>94333.4335000809</v>
      </c>
      <c r="E4027" s="3">
        <v>33621.6359327147</v>
      </c>
      <c r="F4027" s="3">
        <v>32841.9908788518</v>
      </c>
      <c r="G4027" s="3">
        <v>21362.9595156915</v>
      </c>
      <c r="H4027" s="3">
        <v>-119729.852213096</v>
      </c>
      <c r="I4027" s="3">
        <v>75962.264939847</v>
      </c>
      <c r="J4027" s="4">
        <v>45962.0</v>
      </c>
      <c r="K4027" s="3">
        <v>19.0</v>
      </c>
      <c r="L4027" s="3" t="s">
        <v>23</v>
      </c>
    </row>
    <row r="4028" ht="15.75" customHeight="1">
      <c r="A4028" s="3" t="s">
        <v>4119</v>
      </c>
      <c r="B4028" s="3" t="s">
        <v>53</v>
      </c>
      <c r="C4028" s="3" t="s">
        <v>14</v>
      </c>
      <c r="D4028" s="3">
        <v>94344.3164699871</v>
      </c>
      <c r="E4028" s="3">
        <v>33626.2506510421</v>
      </c>
      <c r="F4028" s="3">
        <v>32849.6708822813</v>
      </c>
      <c r="G4028" s="3">
        <v>21366.3570663787</v>
      </c>
      <c r="H4028" s="3">
        <v>-119779.355930845</v>
      </c>
      <c r="I4028" s="3">
        <v>75965.6464142668</v>
      </c>
      <c r="J4028" s="4">
        <v>45839.0</v>
      </c>
      <c r="K4028" s="3">
        <v>23.0</v>
      </c>
      <c r="L4028" s="3" t="s">
        <v>27</v>
      </c>
    </row>
    <row r="4029" ht="15.75" customHeight="1">
      <c r="A4029" s="3" t="s">
        <v>4120</v>
      </c>
      <c r="B4029" s="3" t="s">
        <v>29</v>
      </c>
      <c r="C4029" s="3" t="s">
        <v>18</v>
      </c>
      <c r="D4029" s="3">
        <v>94355.1994398933</v>
      </c>
      <c r="E4029" s="3">
        <v>33630.8653693695</v>
      </c>
      <c r="F4029" s="3">
        <v>32857.3508857108</v>
      </c>
      <c r="G4029" s="3">
        <v>21369.754617066</v>
      </c>
      <c r="H4029" s="3">
        <v>-119828.859648594</v>
      </c>
      <c r="I4029" s="3">
        <v>75969.0278886866</v>
      </c>
      <c r="J4029" s="4">
        <v>45931.0</v>
      </c>
      <c r="K4029" s="3">
        <v>17.0</v>
      </c>
      <c r="L4029" s="3" t="s">
        <v>31</v>
      </c>
    </row>
    <row r="4030" ht="15.75" customHeight="1">
      <c r="A4030" s="3" t="s">
        <v>4121</v>
      </c>
      <c r="B4030" s="3" t="s">
        <v>17</v>
      </c>
      <c r="C4030" s="3" t="s">
        <v>54</v>
      </c>
      <c r="D4030" s="3">
        <v>94366.0824097995</v>
      </c>
      <c r="E4030" s="3">
        <v>33635.4800876969</v>
      </c>
      <c r="F4030" s="3">
        <v>32865.0308891403</v>
      </c>
      <c r="G4030" s="3">
        <v>21373.1521677533</v>
      </c>
      <c r="H4030" s="3">
        <v>-119878.363366343</v>
      </c>
      <c r="I4030" s="3">
        <v>75972.4093631064</v>
      </c>
      <c r="J4030" s="4">
        <v>45717.0</v>
      </c>
      <c r="K4030" s="3">
        <v>19.0</v>
      </c>
      <c r="L4030" s="3" t="s">
        <v>34</v>
      </c>
    </row>
    <row r="4031" ht="15.75" customHeight="1">
      <c r="A4031" s="3" t="s">
        <v>4122</v>
      </c>
      <c r="B4031" s="3" t="s">
        <v>25</v>
      </c>
      <c r="C4031" s="3" t="s">
        <v>33</v>
      </c>
      <c r="D4031" s="3">
        <v>94376.9653797057</v>
      </c>
      <c r="E4031" s="3">
        <v>33640.0948060244</v>
      </c>
      <c r="F4031" s="3">
        <v>32872.7108925698</v>
      </c>
      <c r="G4031" s="3">
        <v>21376.5497184406</v>
      </c>
      <c r="H4031" s="3">
        <v>-119927.867084093</v>
      </c>
      <c r="I4031" s="3">
        <v>75975.7908375263</v>
      </c>
      <c r="J4031" s="4">
        <v>45962.0</v>
      </c>
      <c r="K4031" s="3">
        <v>5.0</v>
      </c>
      <c r="L4031" s="3" t="s">
        <v>38</v>
      </c>
    </row>
    <row r="4032" ht="15.75" customHeight="1">
      <c r="A4032" s="3" t="s">
        <v>4123</v>
      </c>
      <c r="B4032" s="3" t="s">
        <v>25</v>
      </c>
      <c r="C4032" s="3" t="s">
        <v>54</v>
      </c>
      <c r="D4032" s="3">
        <v>94387.8483496119</v>
      </c>
      <c r="E4032" s="3">
        <v>33644.7095243518</v>
      </c>
      <c r="F4032" s="3">
        <v>32880.3908959993</v>
      </c>
      <c r="G4032" s="3">
        <v>21379.9472691279</v>
      </c>
      <c r="H4032" s="3">
        <v>-119977.370801842</v>
      </c>
      <c r="I4032" s="3">
        <v>75979.1723119461</v>
      </c>
      <c r="J4032" s="4">
        <v>45778.0</v>
      </c>
      <c r="K4032" s="3">
        <v>16.0</v>
      </c>
      <c r="L4032" s="3" t="s">
        <v>40</v>
      </c>
    </row>
    <row r="4033" ht="15.75" customHeight="1">
      <c r="A4033" s="3" t="s">
        <v>4124</v>
      </c>
      <c r="B4033" s="3" t="s">
        <v>13</v>
      </c>
      <c r="C4033" s="3" t="s">
        <v>18</v>
      </c>
      <c r="D4033" s="3">
        <v>94398.7313195181</v>
      </c>
      <c r="E4033" s="3">
        <v>33649.3242426792</v>
      </c>
      <c r="F4033" s="3">
        <v>32888.0708994288</v>
      </c>
      <c r="G4033" s="3">
        <v>21383.3448198152</v>
      </c>
      <c r="H4033" s="3">
        <v>-120026.874519591</v>
      </c>
      <c r="I4033" s="3">
        <v>75982.5537863659</v>
      </c>
      <c r="J4033" s="4">
        <v>45839.0</v>
      </c>
      <c r="K4033" s="3">
        <v>8.0</v>
      </c>
      <c r="L4033" s="3" t="s">
        <v>42</v>
      </c>
    </row>
    <row r="4034" ht="15.75" customHeight="1">
      <c r="A4034" s="3" t="s">
        <v>4125</v>
      </c>
      <c r="B4034" s="3" t="s">
        <v>51</v>
      </c>
      <c r="C4034" s="3" t="s">
        <v>14</v>
      </c>
      <c r="D4034" s="3">
        <v>94409.6142894243</v>
      </c>
      <c r="E4034" s="3">
        <v>33653.9389610066</v>
      </c>
      <c r="F4034" s="3">
        <v>32895.7509028583</v>
      </c>
      <c r="G4034" s="3">
        <v>21386.7423705025</v>
      </c>
      <c r="H4034" s="3">
        <v>-120076.37823734</v>
      </c>
      <c r="I4034" s="3">
        <v>75985.9352607857</v>
      </c>
      <c r="J4034" s="4">
        <v>45658.0</v>
      </c>
      <c r="K4034" s="3">
        <v>22.0</v>
      </c>
      <c r="L4034" s="3" t="s">
        <v>15</v>
      </c>
    </row>
    <row r="4035" ht="15.75" customHeight="1">
      <c r="A4035" s="3" t="s">
        <v>4126</v>
      </c>
      <c r="B4035" s="3" t="s">
        <v>36</v>
      </c>
      <c r="C4035" s="3" t="s">
        <v>14</v>
      </c>
      <c r="D4035" s="3">
        <v>94420.4972593305</v>
      </c>
      <c r="E4035" s="3">
        <v>33658.553679334</v>
      </c>
      <c r="F4035" s="3">
        <v>32903.4309062878</v>
      </c>
      <c r="G4035" s="3">
        <v>21390.1399211898</v>
      </c>
      <c r="H4035" s="3">
        <v>-120125.881955089</v>
      </c>
      <c r="I4035" s="3">
        <v>75989.3167352055</v>
      </c>
      <c r="J4035" s="4">
        <v>45839.0</v>
      </c>
      <c r="K4035" s="3">
        <v>15.0</v>
      </c>
      <c r="L4035" s="3" t="s">
        <v>19</v>
      </c>
    </row>
    <row r="4036" ht="15.75" customHeight="1">
      <c r="A4036" s="3" t="s">
        <v>4127</v>
      </c>
      <c r="B4036" s="3" t="s">
        <v>53</v>
      </c>
      <c r="C4036" s="3" t="s">
        <v>54</v>
      </c>
      <c r="D4036" s="3">
        <v>94442.2631991428</v>
      </c>
      <c r="E4036" s="3">
        <v>33667.7831159889</v>
      </c>
      <c r="F4036" s="3">
        <v>32918.7909131468</v>
      </c>
      <c r="G4036" s="3">
        <v>21396.9350225643</v>
      </c>
      <c r="H4036" s="3">
        <v>-120224.889390587</v>
      </c>
      <c r="I4036" s="3">
        <v>75996.0796840451</v>
      </c>
      <c r="J4036" s="4">
        <v>45809.0</v>
      </c>
      <c r="K4036" s="3">
        <v>17.0</v>
      </c>
      <c r="L4036" s="3" t="s">
        <v>23</v>
      </c>
    </row>
    <row r="4037" ht="15.75" customHeight="1">
      <c r="A4037" s="3" t="s">
        <v>4128</v>
      </c>
      <c r="B4037" s="3" t="s">
        <v>25</v>
      </c>
      <c r="C4037" s="3" t="s">
        <v>18</v>
      </c>
      <c r="D4037" s="3">
        <v>94453.146169049</v>
      </c>
      <c r="E4037" s="3">
        <v>33672.3978343163</v>
      </c>
      <c r="F4037" s="3">
        <v>32926.4709165763</v>
      </c>
      <c r="G4037" s="3">
        <v>21400.3325732516</v>
      </c>
      <c r="H4037" s="3">
        <v>-120274.393108337</v>
      </c>
      <c r="I4037" s="3">
        <v>75999.461158465</v>
      </c>
      <c r="J4037" s="4">
        <v>45658.0</v>
      </c>
      <c r="K4037" s="3">
        <v>14.0</v>
      </c>
      <c r="L4037" s="3" t="s">
        <v>27</v>
      </c>
    </row>
    <row r="4038" ht="15.75" customHeight="1">
      <c r="A4038" s="3" t="s">
        <v>4129</v>
      </c>
      <c r="B4038" s="3" t="s">
        <v>51</v>
      </c>
      <c r="C4038" s="3" t="s">
        <v>37</v>
      </c>
      <c r="D4038" s="3">
        <v>94464.0291389552</v>
      </c>
      <c r="E4038" s="3">
        <v>33677.0125526437</v>
      </c>
      <c r="F4038" s="3">
        <v>32934.1509200058</v>
      </c>
      <c r="G4038" s="3">
        <v>21403.7301239389</v>
      </c>
      <c r="H4038" s="3">
        <v>-120323.896826086</v>
      </c>
      <c r="I4038" s="3">
        <v>76002.8426328848</v>
      </c>
      <c r="J4038" s="4">
        <v>45839.0</v>
      </c>
      <c r="K4038" s="3">
        <v>14.0</v>
      </c>
      <c r="L4038" s="3" t="s">
        <v>31</v>
      </c>
    </row>
    <row r="4039" ht="15.75" customHeight="1">
      <c r="A4039" s="3" t="s">
        <v>4130</v>
      </c>
      <c r="B4039" s="3" t="s">
        <v>17</v>
      </c>
      <c r="C4039" s="3" t="s">
        <v>33</v>
      </c>
      <c r="D4039" s="3">
        <v>94474.9121088614</v>
      </c>
      <c r="E4039" s="3">
        <v>33681.6272709712</v>
      </c>
      <c r="F4039" s="3">
        <v>32941.8309234353</v>
      </c>
      <c r="G4039" s="3">
        <v>21407.1276746262</v>
      </c>
      <c r="H4039" s="3">
        <v>-120373.400543835</v>
      </c>
      <c r="I4039" s="3">
        <v>76006.2241073046</v>
      </c>
      <c r="J4039" s="4">
        <v>45992.0</v>
      </c>
      <c r="K4039" s="3">
        <v>11.0</v>
      </c>
      <c r="L4039" s="3" t="s">
        <v>34</v>
      </c>
    </row>
    <row r="4040" ht="15.75" customHeight="1">
      <c r="A4040" s="3" t="s">
        <v>4131</v>
      </c>
      <c r="B4040" s="3" t="s">
        <v>36</v>
      </c>
      <c r="C4040" s="3" t="s">
        <v>30</v>
      </c>
      <c r="D4040" s="5"/>
      <c r="E4040" s="3">
        <v>33686.2419892986</v>
      </c>
      <c r="F4040" s="3">
        <v>32949.5109268648</v>
      </c>
      <c r="G4040" s="3">
        <v>21410.5252253135</v>
      </c>
      <c r="H4040" s="3">
        <v>-120422.904261584</v>
      </c>
      <c r="I4040" s="3">
        <v>76009.6055817244</v>
      </c>
      <c r="J4040" s="4">
        <v>45778.0</v>
      </c>
      <c r="K4040" s="3">
        <v>6.0</v>
      </c>
      <c r="L4040" s="3" t="s">
        <v>38</v>
      </c>
    </row>
    <row r="4041" ht="15.75" customHeight="1">
      <c r="A4041" s="3" t="s">
        <v>4132</v>
      </c>
      <c r="B4041" s="3" t="s">
        <v>51</v>
      </c>
      <c r="C4041" s="3" t="s">
        <v>37</v>
      </c>
      <c r="D4041" s="3">
        <v>94496.6780486738</v>
      </c>
      <c r="E4041" s="3">
        <v>33690.856707626</v>
      </c>
      <c r="F4041" s="3">
        <v>32957.1909302943</v>
      </c>
      <c r="G4041" s="3">
        <v>21413.9227760008</v>
      </c>
      <c r="H4041" s="3">
        <v>-120472.407979333</v>
      </c>
      <c r="I4041" s="3">
        <v>76012.9870561442</v>
      </c>
      <c r="J4041" s="4">
        <v>45748.0</v>
      </c>
      <c r="K4041" s="3">
        <v>7.0</v>
      </c>
      <c r="L4041" s="3" t="s">
        <v>40</v>
      </c>
    </row>
    <row r="4042" ht="15.75" customHeight="1">
      <c r="A4042" s="3" t="s">
        <v>4133</v>
      </c>
      <c r="B4042" s="3" t="s">
        <v>17</v>
      </c>
      <c r="C4042" s="3" t="s">
        <v>54</v>
      </c>
      <c r="D4042" s="3">
        <v>94507.56101858</v>
      </c>
      <c r="E4042" s="3">
        <v>33695.4714259534</v>
      </c>
      <c r="F4042" s="3">
        <v>32964.8709337238</v>
      </c>
      <c r="G4042" s="3">
        <v>21417.3203266881</v>
      </c>
      <c r="H4042" s="3">
        <v>-120521.911697082</v>
      </c>
      <c r="I4042" s="3">
        <v>76016.368530564</v>
      </c>
      <c r="J4042" s="4">
        <v>45778.0</v>
      </c>
      <c r="K4042" s="3">
        <v>19.0</v>
      </c>
      <c r="L4042" s="3" t="s">
        <v>42</v>
      </c>
    </row>
    <row r="4043" ht="15.75" customHeight="1">
      <c r="A4043" s="3" t="s">
        <v>4134</v>
      </c>
      <c r="B4043" s="3" t="s">
        <v>36</v>
      </c>
      <c r="C4043" s="3" t="s">
        <v>18</v>
      </c>
      <c r="D4043" s="3">
        <v>94518.4439884862</v>
      </c>
      <c r="E4043" s="3">
        <v>33700.0861442808</v>
      </c>
      <c r="F4043" s="3">
        <v>32972.5509371533</v>
      </c>
      <c r="G4043" s="3">
        <v>21420.7178773753</v>
      </c>
      <c r="H4043" s="3">
        <v>-120571.415414831</v>
      </c>
      <c r="I4043" s="3">
        <v>76019.7500049838</v>
      </c>
      <c r="J4043" s="4">
        <v>45839.0</v>
      </c>
      <c r="K4043" s="3">
        <v>25.0</v>
      </c>
      <c r="L4043" s="3" t="s">
        <v>15</v>
      </c>
    </row>
    <row r="4044" ht="15.75" customHeight="1">
      <c r="A4044" s="3" t="s">
        <v>4135</v>
      </c>
      <c r="B4044" s="3" t="s">
        <v>29</v>
      </c>
      <c r="C4044" s="3" t="s">
        <v>18</v>
      </c>
      <c r="D4044" s="3">
        <v>94529.3269583924</v>
      </c>
      <c r="E4044" s="3">
        <v>33704.7008626083</v>
      </c>
      <c r="F4044" s="3">
        <v>32980.2309405828</v>
      </c>
      <c r="G4044" s="3">
        <v>21424.1154280626</v>
      </c>
      <c r="H4044" s="3">
        <v>-120620.91913258</v>
      </c>
      <c r="I4044" s="3">
        <v>76023.1314794037</v>
      </c>
      <c r="J4044" s="4">
        <v>45901.0</v>
      </c>
      <c r="K4044" s="3">
        <v>10.0</v>
      </c>
      <c r="L4044" s="3" t="s">
        <v>19</v>
      </c>
    </row>
    <row r="4045" ht="15.75" customHeight="1">
      <c r="A4045" s="3" t="s">
        <v>4136</v>
      </c>
      <c r="B4045" s="3" t="s">
        <v>51</v>
      </c>
      <c r="C4045" s="3" t="s">
        <v>26</v>
      </c>
      <c r="D4045" s="3">
        <v>94540.2099282986</v>
      </c>
      <c r="E4045" s="3">
        <v>33709.3155809357</v>
      </c>
      <c r="F4045" s="3">
        <v>32987.9109440123</v>
      </c>
      <c r="G4045" s="3">
        <v>21427.5129787499</v>
      </c>
      <c r="H4045" s="3">
        <v>-120670.42285033</v>
      </c>
      <c r="I4045" s="3">
        <v>76026.5129538235</v>
      </c>
      <c r="J4045" s="4">
        <v>45901.0</v>
      </c>
      <c r="K4045" s="3">
        <v>18.0</v>
      </c>
      <c r="L4045" s="3" t="s">
        <v>21</v>
      </c>
    </row>
    <row r="4046" ht="15.75" customHeight="1">
      <c r="A4046" s="3" t="s">
        <v>4137</v>
      </c>
      <c r="B4046" s="3" t="s">
        <v>13</v>
      </c>
      <c r="C4046" s="3" t="s">
        <v>14</v>
      </c>
      <c r="D4046" s="3">
        <v>94551.0928982048</v>
      </c>
      <c r="E4046" s="3">
        <v>33713.9302992631</v>
      </c>
      <c r="F4046" s="3">
        <v>32995.5909474418</v>
      </c>
      <c r="G4046" s="3">
        <v>21430.9105294372</v>
      </c>
      <c r="H4046" s="3">
        <v>-120719.926568079</v>
      </c>
      <c r="I4046" s="3">
        <v>76029.8944282433</v>
      </c>
      <c r="J4046" s="4">
        <v>45658.0</v>
      </c>
      <c r="K4046" s="3">
        <v>14.0</v>
      </c>
      <c r="L4046" s="3" t="s">
        <v>23</v>
      </c>
    </row>
    <row r="4047" ht="15.75" customHeight="1">
      <c r="A4047" s="3" t="s">
        <v>4138</v>
      </c>
      <c r="B4047" s="3" t="s">
        <v>13</v>
      </c>
      <c r="C4047" s="3" t="s">
        <v>54</v>
      </c>
      <c r="D4047" s="3">
        <v>94561.975868111</v>
      </c>
      <c r="E4047" s="3">
        <v>33718.5450175905</v>
      </c>
      <c r="F4047" s="3">
        <v>33003.2709508713</v>
      </c>
      <c r="G4047" s="3">
        <v>21434.3080801245</v>
      </c>
      <c r="H4047" s="3">
        <v>-120769.430285828</v>
      </c>
      <c r="I4047" s="3">
        <v>76033.2759026631</v>
      </c>
      <c r="J4047" s="4">
        <v>45778.0</v>
      </c>
      <c r="K4047" s="3">
        <v>7.0</v>
      </c>
      <c r="L4047" s="3" t="s">
        <v>27</v>
      </c>
    </row>
    <row r="4048" ht="15.75" customHeight="1">
      <c r="A4048" s="3" t="s">
        <v>4139</v>
      </c>
      <c r="B4048" s="3" t="s">
        <v>25</v>
      </c>
      <c r="C4048" s="3" t="s">
        <v>54</v>
      </c>
      <c r="D4048" s="3">
        <v>94572.8588380172</v>
      </c>
      <c r="E4048" s="3">
        <v>33723.159735918</v>
      </c>
      <c r="F4048" s="3">
        <v>33010.9509543008</v>
      </c>
      <c r="G4048" s="3">
        <v>21437.7056308118</v>
      </c>
      <c r="H4048" s="3">
        <v>-120818.934003577</v>
      </c>
      <c r="I4048" s="3">
        <v>76036.6573770829</v>
      </c>
      <c r="J4048" s="4">
        <v>45962.0</v>
      </c>
      <c r="K4048" s="3">
        <v>13.0</v>
      </c>
      <c r="L4048" s="3" t="s">
        <v>31</v>
      </c>
    </row>
    <row r="4049" ht="15.75" customHeight="1">
      <c r="A4049" s="3" t="s">
        <v>4140</v>
      </c>
      <c r="B4049" s="3" t="s">
        <v>53</v>
      </c>
      <c r="C4049" s="3" t="s">
        <v>54</v>
      </c>
      <c r="D4049" s="3">
        <v>94583.7418079234</v>
      </c>
      <c r="E4049" s="3">
        <v>33727.7744542454</v>
      </c>
      <c r="F4049" s="3">
        <v>33018.6309577303</v>
      </c>
      <c r="G4049" s="3">
        <v>21441.1031814991</v>
      </c>
      <c r="H4049" s="3">
        <v>-120868.437721326</v>
      </c>
      <c r="I4049" s="3">
        <v>76040.0388515027</v>
      </c>
      <c r="J4049" s="4">
        <v>45870.0</v>
      </c>
      <c r="K4049" s="3">
        <v>13.0</v>
      </c>
      <c r="L4049" s="3" t="s">
        <v>34</v>
      </c>
    </row>
    <row r="4050" ht="15.75" customHeight="1">
      <c r="A4050" s="3" t="s">
        <v>4141</v>
      </c>
      <c r="B4050" s="3" t="s">
        <v>51</v>
      </c>
      <c r="C4050" s="3" t="s">
        <v>37</v>
      </c>
      <c r="D4050" s="3">
        <v>94594.6247778296</v>
      </c>
      <c r="E4050" s="3">
        <v>33732.3891725728</v>
      </c>
      <c r="F4050" s="3">
        <v>33026.3109611598</v>
      </c>
      <c r="G4050" s="3">
        <v>21444.5007321863</v>
      </c>
      <c r="H4050" s="3">
        <v>73150.1240456433</v>
      </c>
      <c r="I4050" s="3">
        <v>78150.1240456433</v>
      </c>
      <c r="J4050" s="4">
        <v>45992.0</v>
      </c>
      <c r="K4050" s="3">
        <v>19.0</v>
      </c>
      <c r="L4050" s="3" t="s">
        <v>38</v>
      </c>
    </row>
    <row r="4051" ht="15.75" customHeight="1">
      <c r="A4051" s="3" t="s">
        <v>4142</v>
      </c>
      <c r="B4051" s="3" t="s">
        <v>29</v>
      </c>
      <c r="C4051" s="3" t="s">
        <v>37</v>
      </c>
      <c r="D4051" s="3">
        <v>94605.5077477357</v>
      </c>
      <c r="E4051" s="3">
        <v>33737.0038909002</v>
      </c>
      <c r="F4051" s="3">
        <v>33033.9909645893</v>
      </c>
      <c r="G4051" s="3">
        <v>21447.8982828736</v>
      </c>
      <c r="H4051" s="3">
        <v>-120967.445156824</v>
      </c>
      <c r="I4051" s="3">
        <v>76046.8018003424</v>
      </c>
      <c r="J4051" s="4">
        <v>45931.0</v>
      </c>
      <c r="K4051" s="3">
        <v>9.0</v>
      </c>
      <c r="L4051" s="3" t="s">
        <v>40</v>
      </c>
    </row>
    <row r="4052" ht="15.75" customHeight="1">
      <c r="A4052" s="3" t="s">
        <v>4143</v>
      </c>
      <c r="B4052" s="3" t="s">
        <v>53</v>
      </c>
      <c r="C4052" s="3" t="s">
        <v>30</v>
      </c>
      <c r="D4052" s="3">
        <v>94627.2736875481</v>
      </c>
      <c r="E4052" s="3">
        <v>33746.2333275551</v>
      </c>
      <c r="F4052" s="3">
        <v>33049.3509714483</v>
      </c>
      <c r="G4052" s="3">
        <v>21454.6933842482</v>
      </c>
      <c r="H4052" s="3">
        <v>-121066.452592323</v>
      </c>
      <c r="I4052" s="3">
        <v>76053.564749182</v>
      </c>
      <c r="J4052" s="4">
        <v>45962.0</v>
      </c>
      <c r="K4052" s="3">
        <v>19.0</v>
      </c>
      <c r="L4052" s="3" t="s">
        <v>15</v>
      </c>
    </row>
    <row r="4053" ht="15.75" customHeight="1">
      <c r="A4053" s="3" t="s">
        <v>4144</v>
      </c>
      <c r="B4053" s="3" t="s">
        <v>25</v>
      </c>
      <c r="C4053" s="3" t="s">
        <v>18</v>
      </c>
      <c r="D4053" s="3">
        <v>94638.1566574543</v>
      </c>
      <c r="E4053" s="3">
        <v>33750.8480458825</v>
      </c>
      <c r="F4053" s="3">
        <v>33057.0309748777</v>
      </c>
      <c r="G4053" s="3">
        <v>21458.0909349355</v>
      </c>
      <c r="H4053" s="3">
        <v>-121115.956310072</v>
      </c>
      <c r="I4053" s="3">
        <v>76056.9462236018</v>
      </c>
      <c r="J4053" s="4">
        <v>45658.0</v>
      </c>
      <c r="K4053" s="3">
        <v>23.0</v>
      </c>
      <c r="L4053" s="3" t="s">
        <v>19</v>
      </c>
    </row>
    <row r="4054" ht="15.75" customHeight="1">
      <c r="A4054" s="3" t="s">
        <v>4145</v>
      </c>
      <c r="B4054" s="3" t="s">
        <v>25</v>
      </c>
      <c r="C4054" s="3" t="s">
        <v>54</v>
      </c>
      <c r="D4054" s="3">
        <v>94649.0396273605</v>
      </c>
      <c r="E4054" s="3">
        <v>33755.4627642099</v>
      </c>
      <c r="F4054" s="3">
        <v>33064.7109783072</v>
      </c>
      <c r="G4054" s="3">
        <v>21461.4884856228</v>
      </c>
      <c r="H4054" s="3">
        <v>-121165.460027821</v>
      </c>
      <c r="I4054" s="3">
        <v>76060.3276980216</v>
      </c>
      <c r="J4054" s="4">
        <v>45992.0</v>
      </c>
      <c r="K4054" s="3">
        <v>18.0</v>
      </c>
      <c r="L4054" s="3" t="s">
        <v>21</v>
      </c>
    </row>
    <row r="4055" ht="15.75" customHeight="1">
      <c r="A4055" s="3" t="s">
        <v>4146</v>
      </c>
      <c r="B4055" s="3" t="s">
        <v>13</v>
      </c>
      <c r="C4055" s="3" t="s">
        <v>14</v>
      </c>
      <c r="D4055" s="3">
        <v>94659.9225972667</v>
      </c>
      <c r="E4055" s="3">
        <v>33760.0774825373</v>
      </c>
      <c r="F4055" s="3">
        <v>33072.3909817367</v>
      </c>
      <c r="G4055" s="3">
        <v>21464.8860363101</v>
      </c>
      <c r="H4055" s="3">
        <v>-121214.96374557</v>
      </c>
      <c r="I4055" s="3">
        <v>76063.7091724414</v>
      </c>
      <c r="J4055" s="4">
        <v>45778.0</v>
      </c>
      <c r="K4055" s="3">
        <v>24.0</v>
      </c>
      <c r="L4055" s="3" t="s">
        <v>23</v>
      </c>
    </row>
    <row r="4056" ht="15.75" customHeight="1">
      <c r="A4056" s="3" t="s">
        <v>4147</v>
      </c>
      <c r="B4056" s="3" t="s">
        <v>17</v>
      </c>
      <c r="C4056" s="3" t="s">
        <v>14</v>
      </c>
      <c r="D4056" s="3">
        <v>94670.8055671729</v>
      </c>
      <c r="E4056" s="3">
        <v>33764.6922008648</v>
      </c>
      <c r="F4056" s="3">
        <v>33080.0709851662</v>
      </c>
      <c r="G4056" s="3">
        <v>21468.2835869974</v>
      </c>
      <c r="H4056" s="3">
        <v>-121264.467463319</v>
      </c>
      <c r="I4056" s="3">
        <v>76067.0906468612</v>
      </c>
      <c r="J4056" s="4">
        <v>45931.0</v>
      </c>
      <c r="K4056" s="3">
        <v>16.0</v>
      </c>
      <c r="L4056" s="3" t="s">
        <v>27</v>
      </c>
    </row>
    <row r="4057" ht="15.75" customHeight="1">
      <c r="A4057" s="3" t="s">
        <v>4148</v>
      </c>
      <c r="B4057" s="3" t="s">
        <v>51</v>
      </c>
      <c r="C4057" s="3" t="s">
        <v>26</v>
      </c>
      <c r="D4057" s="3">
        <v>94681.6885370791</v>
      </c>
      <c r="E4057" s="3">
        <v>33769.3069191922</v>
      </c>
      <c r="F4057" s="3">
        <v>33087.7509885957</v>
      </c>
      <c r="G4057" s="3">
        <v>21471.6811376846</v>
      </c>
      <c r="H4057" s="3">
        <v>-121313.971181068</v>
      </c>
      <c r="I4057" s="3">
        <v>76070.4721212811</v>
      </c>
      <c r="J4057" s="4">
        <v>45809.0</v>
      </c>
      <c r="K4057" s="3">
        <v>14.0</v>
      </c>
      <c r="L4057" s="3" t="s">
        <v>31</v>
      </c>
    </row>
    <row r="4058" ht="15.75" customHeight="1">
      <c r="A4058" s="3" t="s">
        <v>4149</v>
      </c>
      <c r="B4058" s="3" t="s">
        <v>13</v>
      </c>
      <c r="C4058" s="3" t="s">
        <v>26</v>
      </c>
      <c r="D4058" s="3">
        <v>94692.5715069853</v>
      </c>
      <c r="E4058" s="3">
        <v>33773.9216375196</v>
      </c>
      <c r="F4058" s="3">
        <v>33095.4309920252</v>
      </c>
      <c r="G4058" s="5"/>
      <c r="H4058" s="3">
        <v>-121363.474898817</v>
      </c>
      <c r="I4058" s="3">
        <v>76073.8535957009</v>
      </c>
      <c r="J4058" s="4">
        <v>45870.0</v>
      </c>
      <c r="K4058" s="3">
        <v>14.0</v>
      </c>
      <c r="L4058" s="3" t="s">
        <v>34</v>
      </c>
    </row>
    <row r="4059" ht="15.75" customHeight="1">
      <c r="A4059" s="3" t="s">
        <v>4150</v>
      </c>
      <c r="B4059" s="3" t="s">
        <v>51</v>
      </c>
      <c r="C4059" s="3" t="s">
        <v>26</v>
      </c>
      <c r="D4059" s="3">
        <v>94703.4544768915</v>
      </c>
      <c r="E4059" s="3">
        <v>33778.536355847</v>
      </c>
      <c r="F4059" s="3">
        <v>33103.1109954547</v>
      </c>
      <c r="G4059" s="3">
        <v>21478.4762390592</v>
      </c>
      <c r="H4059" s="3">
        <v>-121412.978616566</v>
      </c>
      <c r="I4059" s="3">
        <v>76077.2350701207</v>
      </c>
      <c r="J4059" s="4">
        <v>45778.0</v>
      </c>
      <c r="K4059" s="3">
        <v>15.0</v>
      </c>
      <c r="L4059" s="3" t="s">
        <v>38</v>
      </c>
    </row>
    <row r="4060" ht="15.75" customHeight="1">
      <c r="A4060" s="3" t="s">
        <v>4151</v>
      </c>
      <c r="B4060" s="3" t="s">
        <v>17</v>
      </c>
      <c r="C4060" s="3" t="s">
        <v>18</v>
      </c>
      <c r="D4060" s="3">
        <v>94714.3374467977</v>
      </c>
      <c r="E4060" s="3">
        <v>33783.1510741744</v>
      </c>
      <c r="F4060" s="3">
        <v>33110.7909988842</v>
      </c>
      <c r="G4060" s="3">
        <v>21481.8737897465</v>
      </c>
      <c r="H4060" s="3">
        <v>-121462.482334316</v>
      </c>
      <c r="I4060" s="3">
        <v>76080.6165445405</v>
      </c>
      <c r="J4060" s="4">
        <v>45901.0</v>
      </c>
      <c r="K4060" s="3">
        <v>8.0</v>
      </c>
      <c r="L4060" s="3" t="s">
        <v>40</v>
      </c>
    </row>
    <row r="4061" ht="15.75" customHeight="1">
      <c r="A4061" s="3" t="s">
        <v>4152</v>
      </c>
      <c r="B4061" s="3" t="s">
        <v>53</v>
      </c>
      <c r="C4061" s="3" t="s">
        <v>54</v>
      </c>
      <c r="D4061" s="3">
        <v>94725.2204167039</v>
      </c>
      <c r="E4061" s="3">
        <v>33787.7657925019</v>
      </c>
      <c r="F4061" s="3">
        <v>33118.4710023137</v>
      </c>
      <c r="G4061" s="3">
        <v>21485.2713404338</v>
      </c>
      <c r="H4061" s="3">
        <v>-121511.986052065</v>
      </c>
      <c r="I4061" s="3">
        <v>76083.9980189603</v>
      </c>
      <c r="J4061" s="4">
        <v>45931.0</v>
      </c>
      <c r="K4061" s="3">
        <v>19.0</v>
      </c>
      <c r="L4061" s="3" t="s">
        <v>42</v>
      </c>
    </row>
    <row r="4062" ht="15.75" customHeight="1">
      <c r="A4062" s="3" t="s">
        <v>4153</v>
      </c>
      <c r="B4062" s="3" t="s">
        <v>17</v>
      </c>
      <c r="C4062" s="3" t="s">
        <v>30</v>
      </c>
      <c r="D4062" s="3">
        <v>94736.1033866101</v>
      </c>
      <c r="E4062" s="3">
        <v>33792.3805108293</v>
      </c>
      <c r="F4062" s="3">
        <v>33126.1510057432</v>
      </c>
      <c r="G4062" s="3">
        <v>21488.6688911211</v>
      </c>
      <c r="H4062" s="3">
        <v>-121561.489769814</v>
      </c>
      <c r="I4062" s="3">
        <v>76087.3794933801</v>
      </c>
      <c r="J4062" s="4">
        <v>45870.0</v>
      </c>
      <c r="K4062" s="3">
        <v>25.0</v>
      </c>
      <c r="L4062" s="3" t="s">
        <v>15</v>
      </c>
    </row>
    <row r="4063" ht="15.75" customHeight="1">
      <c r="A4063" s="3" t="s">
        <v>4154</v>
      </c>
      <c r="B4063" s="3" t="s">
        <v>13</v>
      </c>
      <c r="C4063" s="3" t="s">
        <v>54</v>
      </c>
      <c r="D4063" s="3">
        <v>94746.9863565163</v>
      </c>
      <c r="E4063" s="3">
        <v>33796.9952291567</v>
      </c>
      <c r="F4063" s="3">
        <v>33133.8310091727</v>
      </c>
      <c r="G4063" s="3">
        <v>21492.0664418084</v>
      </c>
      <c r="H4063" s="3">
        <v>-121610.993487563</v>
      </c>
      <c r="I4063" s="3">
        <v>76090.7609677999</v>
      </c>
      <c r="J4063" s="4">
        <v>45931.0</v>
      </c>
      <c r="K4063" s="3">
        <v>15.0</v>
      </c>
      <c r="L4063" s="3" t="s">
        <v>19</v>
      </c>
    </row>
    <row r="4064" ht="15.75" customHeight="1">
      <c r="A4064" s="3" t="s">
        <v>4155</v>
      </c>
      <c r="B4064" s="3" t="s">
        <v>25</v>
      </c>
      <c r="C4064" s="3" t="s">
        <v>26</v>
      </c>
      <c r="D4064" s="3">
        <v>94757.8693264225</v>
      </c>
      <c r="E4064" s="3">
        <v>33801.6099474841</v>
      </c>
      <c r="F4064" s="3">
        <v>33141.5110126022</v>
      </c>
      <c r="G4064" s="3">
        <v>21495.4639924957</v>
      </c>
      <c r="H4064" s="3">
        <v>-121660.497205312</v>
      </c>
      <c r="I4064" s="3">
        <v>76094.1424422198</v>
      </c>
      <c r="J4064" s="4">
        <v>45962.0</v>
      </c>
      <c r="K4064" s="3">
        <v>18.0</v>
      </c>
      <c r="L4064" s="3" t="s">
        <v>21</v>
      </c>
    </row>
    <row r="4065" ht="15.75" customHeight="1">
      <c r="A4065" s="3" t="s">
        <v>4156</v>
      </c>
      <c r="B4065" s="3" t="s">
        <v>36</v>
      </c>
      <c r="C4065" s="3" t="s">
        <v>33</v>
      </c>
      <c r="D4065" s="3">
        <v>94768.7522963286</v>
      </c>
      <c r="E4065" s="3">
        <v>33806.2246658116</v>
      </c>
      <c r="F4065" s="3">
        <v>33149.1910160317</v>
      </c>
      <c r="G4065" s="3">
        <v>21498.8615431829</v>
      </c>
      <c r="H4065" s="3">
        <v>-121710.000923061</v>
      </c>
      <c r="I4065" s="3">
        <v>76097.5239166396</v>
      </c>
      <c r="J4065" s="4">
        <v>45901.0</v>
      </c>
      <c r="K4065" s="3">
        <v>25.0</v>
      </c>
      <c r="L4065" s="3" t="s">
        <v>23</v>
      </c>
    </row>
    <row r="4066" ht="15.75" customHeight="1">
      <c r="A4066" s="3" t="s">
        <v>4157</v>
      </c>
      <c r="B4066" s="3" t="s">
        <v>29</v>
      </c>
      <c r="C4066" s="3" t="s">
        <v>26</v>
      </c>
      <c r="D4066" s="3">
        <v>94779.6352662348</v>
      </c>
      <c r="E4066" s="3">
        <v>33810.839384139</v>
      </c>
      <c r="F4066" s="3">
        <v>33156.8710194612</v>
      </c>
      <c r="G4066" s="3">
        <v>21502.2590938702</v>
      </c>
      <c r="H4066" s="3">
        <v>-121759.50464081</v>
      </c>
      <c r="I4066" s="3">
        <v>76100.9053910594</v>
      </c>
      <c r="J4066" s="4">
        <v>45778.0</v>
      </c>
      <c r="K4066" s="3">
        <v>2.0</v>
      </c>
      <c r="L4066" s="3" t="s">
        <v>27</v>
      </c>
    </row>
    <row r="4067" ht="15.75" customHeight="1">
      <c r="A4067" s="3" t="s">
        <v>4158</v>
      </c>
      <c r="B4067" s="3" t="s">
        <v>13</v>
      </c>
      <c r="C4067" s="3" t="s">
        <v>18</v>
      </c>
      <c r="D4067" s="3">
        <v>94790.518236141</v>
      </c>
      <c r="E4067" s="3">
        <v>33815.4541024664</v>
      </c>
      <c r="F4067" s="3">
        <v>33164.5510228907</v>
      </c>
      <c r="G4067" s="3">
        <v>21505.6566445575</v>
      </c>
      <c r="H4067" s="3">
        <v>-121809.008358559</v>
      </c>
      <c r="I4067" s="3">
        <v>76104.2868654792</v>
      </c>
      <c r="J4067" s="4">
        <v>45717.0</v>
      </c>
      <c r="K4067" s="3">
        <v>16.0</v>
      </c>
      <c r="L4067" s="3" t="s">
        <v>31</v>
      </c>
    </row>
    <row r="4068" ht="15.75" customHeight="1">
      <c r="A4068" s="3" t="s">
        <v>4159</v>
      </c>
      <c r="B4068" s="3" t="s">
        <v>53</v>
      </c>
      <c r="C4068" s="3" t="s">
        <v>30</v>
      </c>
      <c r="D4068" s="3">
        <v>94801.4012060472</v>
      </c>
      <c r="E4068" s="3">
        <v>33820.0688207938</v>
      </c>
      <c r="F4068" s="3">
        <v>33172.2310263202</v>
      </c>
      <c r="G4068" s="3">
        <v>21509.0541952448</v>
      </c>
      <c r="H4068" s="3">
        <v>-121858.512076309</v>
      </c>
      <c r="I4068" s="3">
        <v>76107.668339899</v>
      </c>
      <c r="J4068" s="4">
        <v>45778.0</v>
      </c>
      <c r="K4068" s="3">
        <v>11.0</v>
      </c>
      <c r="L4068" s="3" t="s">
        <v>34</v>
      </c>
    </row>
    <row r="4069" ht="15.75" customHeight="1">
      <c r="A4069" s="3" t="s">
        <v>4160</v>
      </c>
      <c r="B4069" s="3" t="s">
        <v>29</v>
      </c>
      <c r="C4069" s="3" t="s">
        <v>14</v>
      </c>
      <c r="D4069" s="3">
        <v>94812.2841759534</v>
      </c>
      <c r="E4069" s="3">
        <v>33824.6835391212</v>
      </c>
      <c r="F4069" s="3">
        <v>33179.9110297497</v>
      </c>
      <c r="G4069" s="3">
        <v>21512.4517459321</v>
      </c>
      <c r="H4069" s="3">
        <v>-121908.015794058</v>
      </c>
      <c r="I4069" s="3">
        <v>76111.0498143188</v>
      </c>
      <c r="J4069" s="4">
        <v>45870.0</v>
      </c>
      <c r="K4069" s="3">
        <v>15.0</v>
      </c>
      <c r="L4069" s="3" t="s">
        <v>38</v>
      </c>
    </row>
    <row r="4070" ht="15.75" customHeight="1">
      <c r="A4070" s="3" t="s">
        <v>4161</v>
      </c>
      <c r="B4070" s="3" t="s">
        <v>17</v>
      </c>
      <c r="C4070" s="3" t="s">
        <v>37</v>
      </c>
      <c r="D4070" s="3">
        <v>94823.1671458596</v>
      </c>
      <c r="E4070" s="3">
        <v>33829.2982574487</v>
      </c>
      <c r="F4070" s="3">
        <v>33187.5910331792</v>
      </c>
      <c r="G4070" s="3">
        <v>21515.8492966194</v>
      </c>
      <c r="H4070" s="3">
        <v>-121957.519511807</v>
      </c>
      <c r="I4070" s="3">
        <v>76114.4312887386</v>
      </c>
      <c r="J4070" s="4">
        <v>45931.0</v>
      </c>
      <c r="K4070" s="3">
        <v>16.0</v>
      </c>
      <c r="L4070" s="3" t="s">
        <v>40</v>
      </c>
    </row>
    <row r="4071" ht="15.75" customHeight="1">
      <c r="A4071" s="3" t="s">
        <v>4162</v>
      </c>
      <c r="B4071" s="3" t="s">
        <v>13</v>
      </c>
      <c r="C4071" s="3" t="s">
        <v>14</v>
      </c>
      <c r="D4071" s="3">
        <v>94834.0501157658</v>
      </c>
      <c r="E4071" s="3">
        <v>33833.9129757761</v>
      </c>
      <c r="F4071" s="3">
        <v>33195.2710366087</v>
      </c>
      <c r="G4071" s="3">
        <v>21519.2468473067</v>
      </c>
      <c r="H4071" s="3">
        <v>-122007.023229556</v>
      </c>
      <c r="I4071" s="3">
        <v>76117.8127631585</v>
      </c>
      <c r="J4071" s="4">
        <v>45839.0</v>
      </c>
      <c r="K4071" s="3">
        <v>12.0</v>
      </c>
      <c r="L4071" s="3" t="s">
        <v>42</v>
      </c>
    </row>
    <row r="4072" ht="15.75" customHeight="1">
      <c r="A4072" s="3" t="s">
        <v>4163</v>
      </c>
      <c r="B4072" s="3" t="s">
        <v>36</v>
      </c>
      <c r="C4072" s="3" t="s">
        <v>18</v>
      </c>
      <c r="D4072" s="3">
        <v>94844.933085672</v>
      </c>
      <c r="E4072" s="3">
        <v>33838.5276941035</v>
      </c>
      <c r="F4072" s="3">
        <v>33202.9510400382</v>
      </c>
      <c r="G4072" s="3">
        <v>21522.6443979939</v>
      </c>
      <c r="H4072" s="3">
        <v>-122056.526947305</v>
      </c>
      <c r="I4072" s="3">
        <v>76121.1942375783</v>
      </c>
      <c r="J4072" s="4">
        <v>45748.0</v>
      </c>
      <c r="K4072" s="3">
        <v>11.0</v>
      </c>
      <c r="L4072" s="3" t="s">
        <v>15</v>
      </c>
    </row>
    <row r="4073" ht="15.75" customHeight="1">
      <c r="A4073" s="3" t="s">
        <v>4164</v>
      </c>
      <c r="B4073" s="3" t="s">
        <v>25</v>
      </c>
      <c r="C4073" s="3" t="s">
        <v>18</v>
      </c>
      <c r="D4073" s="3">
        <v>94855.8160555782</v>
      </c>
      <c r="E4073" s="3">
        <v>33843.1424124309</v>
      </c>
      <c r="F4073" s="3">
        <v>33210.6310434677</v>
      </c>
      <c r="G4073" s="3">
        <v>21526.0419486812</v>
      </c>
      <c r="H4073" s="3">
        <v>-122106.030665054</v>
      </c>
      <c r="I4073" s="3">
        <v>76124.5757119981</v>
      </c>
      <c r="J4073" s="3" t="s">
        <v>3057</v>
      </c>
      <c r="K4073" s="3">
        <v>11.0</v>
      </c>
      <c r="L4073" s="3" t="s">
        <v>19</v>
      </c>
    </row>
    <row r="4074" ht="15.75" customHeight="1">
      <c r="A4074" s="3" t="s">
        <v>4165</v>
      </c>
      <c r="B4074" s="3" t="s">
        <v>17</v>
      </c>
      <c r="C4074" s="3" t="s">
        <v>37</v>
      </c>
      <c r="D4074" s="3">
        <v>94866.6990254844</v>
      </c>
      <c r="E4074" s="3">
        <v>33847.7571307584</v>
      </c>
      <c r="F4074" s="3">
        <v>33218.3110468972</v>
      </c>
      <c r="G4074" s="3">
        <v>21529.4394993685</v>
      </c>
      <c r="H4074" s="3">
        <v>-122155.534382803</v>
      </c>
      <c r="I4074" s="3">
        <v>76127.9571864179</v>
      </c>
      <c r="J4074" s="4">
        <v>45962.0</v>
      </c>
      <c r="K4074" s="3">
        <v>18.0</v>
      </c>
      <c r="L4074" s="3" t="s">
        <v>21</v>
      </c>
    </row>
    <row r="4075" ht="15.75" customHeight="1">
      <c r="A4075" s="3" t="s">
        <v>4166</v>
      </c>
      <c r="B4075" s="3" t="s">
        <v>53</v>
      </c>
      <c r="C4075" s="3" t="s">
        <v>37</v>
      </c>
      <c r="D4075" s="3">
        <v>94877.5819953906</v>
      </c>
      <c r="E4075" s="3">
        <v>33852.3718490858</v>
      </c>
      <c r="F4075" s="3">
        <v>33225.9910503267</v>
      </c>
      <c r="G4075" s="3">
        <v>21532.8370500558</v>
      </c>
      <c r="H4075" s="3">
        <v>-122205.038100552</v>
      </c>
      <c r="I4075" s="3">
        <v>76131.3386608377</v>
      </c>
      <c r="J4075" s="4">
        <v>45717.0</v>
      </c>
      <c r="K4075" s="3">
        <v>2.0</v>
      </c>
      <c r="L4075" s="3" t="s">
        <v>23</v>
      </c>
    </row>
    <row r="4076" ht="15.75" customHeight="1">
      <c r="A4076" s="3" t="s">
        <v>4167</v>
      </c>
      <c r="B4076" s="3" t="s">
        <v>29</v>
      </c>
      <c r="C4076" s="3" t="s">
        <v>54</v>
      </c>
      <c r="D4076" s="3">
        <v>94888.4649652968</v>
      </c>
      <c r="E4076" s="3">
        <v>33856.9865674132</v>
      </c>
      <c r="F4076" s="3">
        <v>33233.6710537562</v>
      </c>
      <c r="G4076" s="3">
        <v>21536.2346007431</v>
      </c>
      <c r="H4076" s="3">
        <v>-122254.541818302</v>
      </c>
      <c r="I4076" s="3">
        <v>76134.7201352575</v>
      </c>
      <c r="J4076" s="4">
        <v>45717.0</v>
      </c>
      <c r="K4076" s="3">
        <v>5.0</v>
      </c>
      <c r="L4076" s="3" t="s">
        <v>27</v>
      </c>
    </row>
    <row r="4077" ht="15.75" customHeight="1">
      <c r="A4077" s="3" t="s">
        <v>4168</v>
      </c>
      <c r="B4077" s="3" t="s">
        <v>29</v>
      </c>
      <c r="C4077" s="3" t="s">
        <v>54</v>
      </c>
      <c r="D4077" s="3">
        <v>94899.347935203</v>
      </c>
      <c r="E4077" s="3">
        <v>33861.6012857406</v>
      </c>
      <c r="F4077" s="3">
        <v>33241.3510571857</v>
      </c>
      <c r="G4077" s="3">
        <v>21539.6321514304</v>
      </c>
      <c r="H4077" s="3">
        <v>-122304.045536051</v>
      </c>
      <c r="I4077" s="3">
        <v>76138.1016096773</v>
      </c>
      <c r="J4077" s="4">
        <v>45839.0</v>
      </c>
      <c r="K4077" s="3">
        <v>9.0</v>
      </c>
      <c r="L4077" s="3" t="s">
        <v>31</v>
      </c>
    </row>
    <row r="4078" ht="15.75" customHeight="1">
      <c r="A4078" s="3" t="s">
        <v>4169</v>
      </c>
      <c r="B4078" s="3" t="s">
        <v>51</v>
      </c>
      <c r="C4078" s="3" t="s">
        <v>37</v>
      </c>
      <c r="D4078" s="3">
        <v>94910.2309051092</v>
      </c>
      <c r="E4078" s="3">
        <v>33866.216004068</v>
      </c>
      <c r="F4078" s="3">
        <v>33249.0310606152</v>
      </c>
      <c r="G4078" s="3">
        <v>21543.0297021177</v>
      </c>
      <c r="H4078" s="3">
        <v>-122353.5492538</v>
      </c>
      <c r="I4078" s="3">
        <v>76141.4830840972</v>
      </c>
      <c r="J4078" s="4">
        <v>45809.0</v>
      </c>
      <c r="K4078" s="3">
        <v>5.0</v>
      </c>
      <c r="L4078" s="3" t="s">
        <v>34</v>
      </c>
    </row>
    <row r="4079" ht="15.75" customHeight="1">
      <c r="A4079" s="3" t="s">
        <v>4170</v>
      </c>
      <c r="B4079" s="3" t="s">
        <v>53</v>
      </c>
      <c r="C4079" s="3" t="s">
        <v>33</v>
      </c>
      <c r="D4079" s="5"/>
      <c r="E4079" s="3">
        <v>33870.8307223955</v>
      </c>
      <c r="F4079" s="3">
        <v>33256.7110640447</v>
      </c>
      <c r="G4079" s="3">
        <v>21546.427252805</v>
      </c>
      <c r="H4079" s="3">
        <v>-122403.052971549</v>
      </c>
      <c r="I4079" s="3">
        <v>76144.864558517</v>
      </c>
      <c r="J4079" s="4">
        <v>45992.0</v>
      </c>
      <c r="K4079" s="3">
        <v>15.0</v>
      </c>
      <c r="L4079" s="3" t="s">
        <v>38</v>
      </c>
    </row>
    <row r="4080" ht="15.75" customHeight="1">
      <c r="A4080" s="3" t="s">
        <v>4171</v>
      </c>
      <c r="B4080" s="3" t="s">
        <v>53</v>
      </c>
      <c r="C4080" s="3" t="s">
        <v>26</v>
      </c>
      <c r="D4080" s="3">
        <v>94931.9968449215</v>
      </c>
      <c r="E4080" s="3">
        <v>33875.4454407229</v>
      </c>
      <c r="F4080" s="3">
        <v>33264.3910674742</v>
      </c>
      <c r="G4080" s="3">
        <v>21549.8248034922</v>
      </c>
      <c r="H4080" s="3">
        <v>-122452.556689298</v>
      </c>
      <c r="I4080" s="3">
        <v>76148.2460329368</v>
      </c>
      <c r="J4080" s="4">
        <v>45839.0</v>
      </c>
      <c r="K4080" s="3">
        <v>17.0</v>
      </c>
      <c r="L4080" s="3" t="s">
        <v>40</v>
      </c>
    </row>
    <row r="4081" ht="15.75" customHeight="1">
      <c r="A4081" s="3" t="s">
        <v>4172</v>
      </c>
      <c r="B4081" s="3" t="s">
        <v>17</v>
      </c>
      <c r="C4081" s="3" t="s">
        <v>26</v>
      </c>
      <c r="D4081" s="3">
        <v>94942.8798148277</v>
      </c>
      <c r="E4081" s="3">
        <v>33880.0601590503</v>
      </c>
      <c r="F4081" s="3">
        <v>33272.0710709037</v>
      </c>
      <c r="G4081" s="3">
        <v>21553.2223541795</v>
      </c>
      <c r="H4081" s="3">
        <v>-122502.060407047</v>
      </c>
      <c r="I4081" s="3">
        <v>76151.6275073566</v>
      </c>
      <c r="J4081" s="4">
        <v>45778.0</v>
      </c>
      <c r="K4081" s="3">
        <v>4.0</v>
      </c>
      <c r="L4081" s="3" t="s">
        <v>42</v>
      </c>
    </row>
    <row r="4082" ht="15.75" customHeight="1">
      <c r="A4082" s="3" t="s">
        <v>4173</v>
      </c>
      <c r="B4082" s="3" t="s">
        <v>25</v>
      </c>
      <c r="C4082" s="3" t="s">
        <v>33</v>
      </c>
      <c r="D4082" s="3">
        <v>94953.7627847339</v>
      </c>
      <c r="E4082" s="3">
        <v>33884.6748773777</v>
      </c>
      <c r="F4082" s="3">
        <v>33279.7510743332</v>
      </c>
      <c r="G4082" s="3">
        <v>21556.6199048668</v>
      </c>
      <c r="H4082" s="3">
        <v>-122551.564124796</v>
      </c>
      <c r="I4082" s="3">
        <v>76155.0089817764</v>
      </c>
      <c r="J4082" s="4">
        <v>45962.0</v>
      </c>
      <c r="K4082" s="3">
        <v>4.0</v>
      </c>
      <c r="L4082" s="3" t="s">
        <v>15</v>
      </c>
    </row>
    <row r="4083" ht="15.75" customHeight="1">
      <c r="A4083" s="3" t="s">
        <v>4174</v>
      </c>
      <c r="B4083" s="3" t="s">
        <v>51</v>
      </c>
      <c r="C4083" s="3" t="s">
        <v>30</v>
      </c>
      <c r="D4083" s="3">
        <v>94964.6457546401</v>
      </c>
      <c r="E4083" s="3">
        <v>33889.2895957052</v>
      </c>
      <c r="F4083" s="3">
        <v>33287.4310777627</v>
      </c>
      <c r="G4083" s="3">
        <v>21560.0174555541</v>
      </c>
      <c r="H4083" s="3">
        <v>-122601.067842545</v>
      </c>
      <c r="I4083" s="3">
        <v>76158.3904561962</v>
      </c>
      <c r="J4083" s="4">
        <v>45717.0</v>
      </c>
      <c r="K4083" s="3">
        <v>16.0</v>
      </c>
      <c r="L4083" s="3" t="s">
        <v>19</v>
      </c>
    </row>
    <row r="4084" ht="15.75" customHeight="1">
      <c r="A4084" s="3" t="s">
        <v>4175</v>
      </c>
      <c r="B4084" s="3" t="s">
        <v>53</v>
      </c>
      <c r="C4084" s="3" t="s">
        <v>54</v>
      </c>
      <c r="D4084" s="3">
        <v>94975.5287245463</v>
      </c>
      <c r="E4084" s="3">
        <v>33893.9043140326</v>
      </c>
      <c r="F4084" s="3">
        <v>33295.1110811922</v>
      </c>
      <c r="G4084" s="3">
        <v>21563.4150062414</v>
      </c>
      <c r="H4084" s="3">
        <v>-122650.571560295</v>
      </c>
      <c r="I4084" s="3">
        <v>76161.771930616</v>
      </c>
      <c r="J4084" s="4">
        <v>45748.0</v>
      </c>
      <c r="K4084" s="3">
        <v>5.0</v>
      </c>
      <c r="L4084" s="3" t="s">
        <v>21</v>
      </c>
    </row>
    <row r="4085" ht="15.75" customHeight="1">
      <c r="A4085" s="3" t="s">
        <v>4176</v>
      </c>
      <c r="B4085" s="3" t="s">
        <v>36</v>
      </c>
      <c r="C4085" s="3" t="s">
        <v>30</v>
      </c>
      <c r="D4085" s="3">
        <v>94986.4116944525</v>
      </c>
      <c r="E4085" s="3">
        <v>33898.51903236</v>
      </c>
      <c r="F4085" s="3">
        <v>33302.7910846217</v>
      </c>
      <c r="G4085" s="3">
        <v>21566.8125569287</v>
      </c>
      <c r="H4085" s="3">
        <v>-122700.075278044</v>
      </c>
      <c r="I4085" s="3">
        <v>76165.1534050359</v>
      </c>
      <c r="J4085" s="4">
        <v>45962.0</v>
      </c>
      <c r="K4085" s="3">
        <v>23.0</v>
      </c>
      <c r="L4085" s="3" t="s">
        <v>23</v>
      </c>
    </row>
    <row r="4086" ht="15.75" customHeight="1">
      <c r="A4086" s="3" t="s">
        <v>4177</v>
      </c>
      <c r="B4086" s="3" t="s">
        <v>51</v>
      </c>
      <c r="C4086" s="3" t="s">
        <v>37</v>
      </c>
      <c r="D4086" s="3">
        <v>94997.2946643587</v>
      </c>
      <c r="E4086" s="3">
        <v>33903.1337506874</v>
      </c>
      <c r="F4086" s="3">
        <v>33310.4710880512</v>
      </c>
      <c r="G4086" s="3">
        <v>21570.210107616</v>
      </c>
      <c r="H4086" s="3">
        <v>-122749.578995793</v>
      </c>
      <c r="I4086" s="3">
        <v>76168.5348794557</v>
      </c>
      <c r="J4086" s="4">
        <v>45931.0</v>
      </c>
      <c r="K4086" s="3">
        <v>24.0</v>
      </c>
      <c r="L4086" s="3" t="s">
        <v>27</v>
      </c>
    </row>
    <row r="4087" ht="15.75" customHeight="1">
      <c r="A4087" s="3" t="s">
        <v>4178</v>
      </c>
      <c r="B4087" s="3" t="s">
        <v>25</v>
      </c>
      <c r="C4087" s="3" t="s">
        <v>18</v>
      </c>
      <c r="D4087" s="3">
        <v>95008.1776342649</v>
      </c>
      <c r="E4087" s="3">
        <v>33907.7484690148</v>
      </c>
      <c r="F4087" s="3">
        <v>33318.1510914807</v>
      </c>
      <c r="G4087" s="3">
        <v>21573.6076583033</v>
      </c>
      <c r="H4087" s="3">
        <v>-122799.082713542</v>
      </c>
      <c r="I4087" s="3">
        <v>76171.9163538755</v>
      </c>
      <c r="J4087" s="4">
        <v>45658.0</v>
      </c>
      <c r="K4087" s="3">
        <v>11.0</v>
      </c>
      <c r="L4087" s="3" t="s">
        <v>31</v>
      </c>
    </row>
    <row r="4088" ht="15.75" customHeight="1">
      <c r="A4088" s="3" t="s">
        <v>4179</v>
      </c>
      <c r="B4088" s="3" t="s">
        <v>13</v>
      </c>
      <c r="C4088" s="3" t="s">
        <v>33</v>
      </c>
      <c r="D4088" s="3">
        <v>95019.0606041711</v>
      </c>
      <c r="E4088" s="3">
        <v>33912.3631873423</v>
      </c>
      <c r="F4088" s="3">
        <v>33325.8310949102</v>
      </c>
      <c r="G4088" s="3">
        <v>21577.0052089905</v>
      </c>
      <c r="H4088" s="3">
        <v>-122848.586431291</v>
      </c>
      <c r="I4088" s="3">
        <v>76175.2978282953</v>
      </c>
      <c r="J4088" s="4">
        <v>45778.0</v>
      </c>
      <c r="K4088" s="3">
        <v>15.0</v>
      </c>
      <c r="L4088" s="3" t="s">
        <v>34</v>
      </c>
    </row>
    <row r="4089" ht="15.75" customHeight="1">
      <c r="A4089" s="3" t="s">
        <v>4180</v>
      </c>
      <c r="B4089" s="3" t="s">
        <v>25</v>
      </c>
      <c r="C4089" s="3" t="s">
        <v>30</v>
      </c>
      <c r="D4089" s="3">
        <v>95029.9435740773</v>
      </c>
      <c r="E4089" s="3">
        <v>33916.9779056697</v>
      </c>
      <c r="F4089" s="3">
        <v>33333.5110983397</v>
      </c>
      <c r="G4089" s="3">
        <v>21580.4027596778</v>
      </c>
      <c r="H4089" s="3">
        <v>-122898.09014904</v>
      </c>
      <c r="I4089" s="3">
        <v>76178.6793027151</v>
      </c>
      <c r="J4089" s="4">
        <v>45778.0</v>
      </c>
      <c r="K4089" s="3">
        <v>2.0</v>
      </c>
      <c r="L4089" s="3" t="s">
        <v>38</v>
      </c>
    </row>
    <row r="4090" ht="15.75" customHeight="1">
      <c r="A4090" s="3" t="s">
        <v>4181</v>
      </c>
      <c r="B4090" s="3" t="s">
        <v>17</v>
      </c>
      <c r="C4090" s="3" t="s">
        <v>33</v>
      </c>
      <c r="D4090" s="3">
        <v>95040.8265439835</v>
      </c>
      <c r="E4090" s="3">
        <v>33921.5926239971</v>
      </c>
      <c r="F4090" s="3">
        <v>33341.1911017691</v>
      </c>
      <c r="G4090" s="3">
        <v>21583.8003103651</v>
      </c>
      <c r="H4090" s="3">
        <v>-122947.593866789</v>
      </c>
      <c r="I4090" s="3">
        <v>76182.0607771349</v>
      </c>
      <c r="J4090" s="4">
        <v>45992.0</v>
      </c>
      <c r="K4090" s="3">
        <v>12.0</v>
      </c>
      <c r="L4090" s="3" t="s">
        <v>40</v>
      </c>
    </row>
    <row r="4091" ht="15.75" customHeight="1">
      <c r="A4091" s="3" t="s">
        <v>4182</v>
      </c>
      <c r="B4091" s="3" t="s">
        <v>17</v>
      </c>
      <c r="C4091" s="3" t="s">
        <v>33</v>
      </c>
      <c r="D4091" s="3">
        <v>95051.7095138897</v>
      </c>
      <c r="E4091" s="3">
        <v>33926.2073423245</v>
      </c>
      <c r="F4091" s="3">
        <v>33348.8711051986</v>
      </c>
      <c r="G4091" s="5"/>
      <c r="H4091" s="3">
        <v>-122997.097584538</v>
      </c>
      <c r="I4091" s="3">
        <v>76185.4422515547</v>
      </c>
      <c r="J4091" s="4">
        <v>45689.0</v>
      </c>
      <c r="K4091" s="3">
        <v>10.0</v>
      </c>
      <c r="L4091" s="3" t="s">
        <v>42</v>
      </c>
    </row>
    <row r="4092" ht="15.75" customHeight="1">
      <c r="A4092" s="3" t="s">
        <v>4183</v>
      </c>
      <c r="B4092" s="3" t="s">
        <v>36</v>
      </c>
      <c r="C4092" s="3" t="s">
        <v>33</v>
      </c>
      <c r="D4092" s="3">
        <v>95062.5924837959</v>
      </c>
      <c r="E4092" s="3">
        <v>33930.822060652</v>
      </c>
      <c r="F4092" s="3">
        <v>33356.5511086281</v>
      </c>
      <c r="G4092" s="3">
        <v>21590.5954117397</v>
      </c>
      <c r="H4092" s="3">
        <v>-123046.601302288</v>
      </c>
      <c r="I4092" s="3">
        <v>76188.8237259746</v>
      </c>
      <c r="J4092" s="4">
        <v>45778.0</v>
      </c>
      <c r="K4092" s="3">
        <v>9.0</v>
      </c>
      <c r="L4092" s="3" t="s">
        <v>15</v>
      </c>
    </row>
    <row r="4093" ht="15.75" customHeight="1">
      <c r="A4093" s="3" t="s">
        <v>4184</v>
      </c>
      <c r="B4093" s="3" t="s">
        <v>36</v>
      </c>
      <c r="C4093" s="3" t="s">
        <v>26</v>
      </c>
      <c r="D4093" s="3">
        <v>95073.4754537021</v>
      </c>
      <c r="E4093" s="3">
        <v>33935.4367789794</v>
      </c>
      <c r="F4093" s="3">
        <v>33364.2311120576</v>
      </c>
      <c r="G4093" s="3">
        <v>21593.992962427</v>
      </c>
      <c r="H4093" s="3">
        <v>-123096.105020037</v>
      </c>
      <c r="I4093" s="3">
        <v>76192.2052003944</v>
      </c>
      <c r="J4093" s="4">
        <v>45717.0</v>
      </c>
      <c r="K4093" s="3">
        <v>5.0</v>
      </c>
      <c r="L4093" s="3" t="s">
        <v>19</v>
      </c>
    </row>
    <row r="4094" ht="15.75" customHeight="1">
      <c r="A4094" s="3" t="s">
        <v>4185</v>
      </c>
      <c r="B4094" s="3" t="s">
        <v>51</v>
      </c>
      <c r="C4094" s="3" t="s">
        <v>14</v>
      </c>
      <c r="D4094" s="3">
        <v>95084.3584236083</v>
      </c>
      <c r="E4094" s="3">
        <v>33940.0514973068</v>
      </c>
      <c r="F4094" s="3">
        <v>33371.9111154871</v>
      </c>
      <c r="G4094" s="3">
        <v>21597.3905131143</v>
      </c>
      <c r="H4094" s="3">
        <v>-123145.608737786</v>
      </c>
      <c r="I4094" s="3">
        <v>76195.5866748142</v>
      </c>
      <c r="J4094" s="4">
        <v>45809.0</v>
      </c>
      <c r="K4094" s="3">
        <v>16.0</v>
      </c>
      <c r="L4094" s="3" t="s">
        <v>21</v>
      </c>
    </row>
    <row r="4095" ht="15.75" customHeight="1">
      <c r="A4095" s="3" t="s">
        <v>4186</v>
      </c>
      <c r="B4095" s="3" t="s">
        <v>29</v>
      </c>
      <c r="C4095" s="3" t="s">
        <v>54</v>
      </c>
      <c r="D4095" s="3">
        <v>95095.2413935144</v>
      </c>
      <c r="E4095" s="3">
        <v>33944.6662156342</v>
      </c>
      <c r="F4095" s="3">
        <v>33379.5911189166</v>
      </c>
      <c r="G4095" s="3">
        <v>21600.7880638015</v>
      </c>
      <c r="H4095" s="3">
        <v>-123195.112455535</v>
      </c>
      <c r="I4095" s="3">
        <v>76198.968149234</v>
      </c>
      <c r="J4095" s="4">
        <v>45931.0</v>
      </c>
      <c r="K4095" s="3">
        <v>5.0</v>
      </c>
      <c r="L4095" s="3" t="s">
        <v>23</v>
      </c>
    </row>
    <row r="4096" ht="15.75" customHeight="1">
      <c r="A4096" s="3" t="s">
        <v>4187</v>
      </c>
      <c r="B4096" s="3" t="s">
        <v>25</v>
      </c>
      <c r="C4096" s="3" t="s">
        <v>37</v>
      </c>
      <c r="D4096" s="3">
        <v>95106.1243634206</v>
      </c>
      <c r="E4096" s="3">
        <v>33949.2809339616</v>
      </c>
      <c r="F4096" s="3">
        <v>33387.2711223461</v>
      </c>
      <c r="G4096" s="3">
        <v>21604.1856144888</v>
      </c>
      <c r="H4096" s="3">
        <v>-123244.616173284</v>
      </c>
      <c r="I4096" s="3">
        <v>76202.3496236538</v>
      </c>
      <c r="J4096" s="4">
        <v>45992.0</v>
      </c>
      <c r="K4096" s="3">
        <v>6.0</v>
      </c>
      <c r="L4096" s="3" t="s">
        <v>27</v>
      </c>
    </row>
    <row r="4097" ht="15.75" customHeight="1">
      <c r="A4097" s="3" t="s">
        <v>4188</v>
      </c>
      <c r="B4097" s="3" t="s">
        <v>17</v>
      </c>
      <c r="C4097" s="3" t="s">
        <v>54</v>
      </c>
      <c r="D4097" s="3">
        <v>95117.0073333268</v>
      </c>
      <c r="E4097" s="3">
        <v>33953.8956522891</v>
      </c>
      <c r="F4097" s="3">
        <v>33394.9511257756</v>
      </c>
      <c r="G4097" s="3">
        <v>21607.5831651761</v>
      </c>
      <c r="H4097" s="3">
        <v>-123294.119891033</v>
      </c>
      <c r="I4097" s="3">
        <v>76205.7310980736</v>
      </c>
      <c r="J4097" s="4">
        <v>45778.0</v>
      </c>
      <c r="K4097" s="3">
        <v>14.0</v>
      </c>
      <c r="L4097" s="3" t="s">
        <v>31</v>
      </c>
    </row>
    <row r="4098" ht="15.75" customHeight="1">
      <c r="A4098" s="3" t="s">
        <v>4189</v>
      </c>
      <c r="B4098" s="3" t="s">
        <v>51</v>
      </c>
      <c r="C4098" s="3" t="s">
        <v>54</v>
      </c>
      <c r="D4098" s="3">
        <v>95127.890303233</v>
      </c>
      <c r="E4098" s="3">
        <v>33958.5103706165</v>
      </c>
      <c r="F4098" s="3">
        <v>33402.6311292051</v>
      </c>
      <c r="G4098" s="3">
        <v>21610.9807158634</v>
      </c>
      <c r="H4098" s="3">
        <v>-123343.623608782</v>
      </c>
      <c r="I4098" s="3">
        <v>76209.1125724934</v>
      </c>
      <c r="J4098" s="4">
        <v>45778.0</v>
      </c>
      <c r="K4098" s="3">
        <v>2.0</v>
      </c>
      <c r="L4098" s="3" t="s">
        <v>34</v>
      </c>
    </row>
    <row r="4099" ht="15.75" customHeight="1">
      <c r="A4099" s="3" t="s">
        <v>4190</v>
      </c>
      <c r="B4099" s="3" t="s">
        <v>13</v>
      </c>
      <c r="C4099" s="3" t="s">
        <v>37</v>
      </c>
      <c r="D4099" s="3">
        <v>95138.7732731392</v>
      </c>
      <c r="E4099" s="3">
        <v>33963.1250889439</v>
      </c>
      <c r="F4099" s="3">
        <v>33410.3111326346</v>
      </c>
      <c r="G4099" s="3">
        <v>21614.3782665507</v>
      </c>
      <c r="H4099" s="3">
        <v>-123393.127326531</v>
      </c>
      <c r="I4099" s="3">
        <v>76212.4940469133</v>
      </c>
      <c r="J4099" s="4">
        <v>45658.0</v>
      </c>
      <c r="K4099" s="3">
        <v>13.0</v>
      </c>
      <c r="L4099" s="3" t="s">
        <v>38</v>
      </c>
    </row>
    <row r="4100" ht="15.75" customHeight="1">
      <c r="A4100" s="3" t="s">
        <v>4191</v>
      </c>
      <c r="B4100" s="3" t="s">
        <v>13</v>
      </c>
      <c r="C4100" s="3" t="s">
        <v>30</v>
      </c>
      <c r="D4100" s="3">
        <v>95149.6562430454</v>
      </c>
      <c r="E4100" s="3">
        <v>33967.7398072713</v>
      </c>
      <c r="F4100" s="3">
        <v>33417.9911360641</v>
      </c>
      <c r="G4100" s="3">
        <v>21617.775817238</v>
      </c>
      <c r="H4100" s="3">
        <v>-123442.631044281</v>
      </c>
      <c r="I4100" s="3">
        <v>76215.8755213331</v>
      </c>
      <c r="J4100" s="3" t="s">
        <v>4192</v>
      </c>
      <c r="K4100" s="3">
        <v>6.0</v>
      </c>
      <c r="L4100" s="3" t="s">
        <v>40</v>
      </c>
    </row>
    <row r="4101" ht="15.75" customHeight="1">
      <c r="A4101" s="3" t="s">
        <v>4193</v>
      </c>
      <c r="B4101" s="3" t="s">
        <v>29</v>
      </c>
      <c r="C4101" s="3" t="s">
        <v>30</v>
      </c>
      <c r="D4101" s="3">
        <v>95160.5392129516</v>
      </c>
      <c r="E4101" s="3">
        <v>33972.3545255988</v>
      </c>
      <c r="F4101" s="3">
        <v>33425.6711394936</v>
      </c>
      <c r="G4101" s="3">
        <v>21621.1733679253</v>
      </c>
      <c r="H4101" s="3">
        <v>-123492.13476203</v>
      </c>
      <c r="I4101" s="3">
        <v>76219.2569957529</v>
      </c>
      <c r="J4101" s="4">
        <v>45717.0</v>
      </c>
      <c r="K4101" s="3">
        <v>4.0</v>
      </c>
      <c r="L4101" s="3" t="s">
        <v>42</v>
      </c>
    </row>
    <row r="4102" ht="15.75" customHeight="1">
      <c r="A4102" s="3" t="s">
        <v>4194</v>
      </c>
      <c r="B4102" s="3" t="s">
        <v>29</v>
      </c>
      <c r="C4102" s="3" t="s">
        <v>30</v>
      </c>
      <c r="D4102" s="3">
        <v>95171.4221828578</v>
      </c>
      <c r="E4102" s="3">
        <v>33976.9692439262</v>
      </c>
      <c r="F4102" s="3">
        <v>33433.3511429231</v>
      </c>
      <c r="G4102" s="3">
        <v>21624.5709186126</v>
      </c>
      <c r="H4102" s="3">
        <v>-123541.638479779</v>
      </c>
      <c r="I4102" s="3">
        <v>76222.6384701727</v>
      </c>
      <c r="J4102" s="4">
        <v>45992.0</v>
      </c>
      <c r="K4102" s="3">
        <v>1.0</v>
      </c>
      <c r="L4102" s="3" t="s">
        <v>15</v>
      </c>
    </row>
    <row r="4103" ht="15.75" customHeight="1">
      <c r="A4103" s="3" t="s">
        <v>4195</v>
      </c>
      <c r="B4103" s="3" t="s">
        <v>17</v>
      </c>
      <c r="C4103" s="3" t="s">
        <v>30</v>
      </c>
      <c r="D4103" s="3">
        <v>95182.305152764</v>
      </c>
      <c r="E4103" s="3">
        <v>33981.5839622536</v>
      </c>
      <c r="F4103" s="3">
        <v>33441.0311463526</v>
      </c>
      <c r="G4103" s="3">
        <v>21627.9684692998</v>
      </c>
      <c r="H4103" s="3">
        <v>-123591.142197528</v>
      </c>
      <c r="I4103" s="3">
        <v>76226.0199445925</v>
      </c>
      <c r="J4103" s="4">
        <v>45689.0</v>
      </c>
      <c r="K4103" s="3">
        <v>9.0</v>
      </c>
      <c r="L4103" s="3" t="s">
        <v>19</v>
      </c>
    </row>
    <row r="4104" ht="15.75" customHeight="1">
      <c r="A4104" s="3" t="s">
        <v>4196</v>
      </c>
      <c r="B4104" s="3" t="s">
        <v>53</v>
      </c>
      <c r="C4104" s="3" t="s">
        <v>30</v>
      </c>
      <c r="D4104" s="3">
        <v>95193.1881226702</v>
      </c>
      <c r="E4104" s="3">
        <v>33986.198680581</v>
      </c>
      <c r="F4104" s="3">
        <v>33448.7111497821</v>
      </c>
      <c r="G4104" s="3">
        <v>21631.3660199871</v>
      </c>
      <c r="H4104" s="3">
        <v>-123640.645915277</v>
      </c>
      <c r="I4104" s="3">
        <v>76229.4014190123</v>
      </c>
      <c r="J4104" s="4">
        <v>45689.0</v>
      </c>
      <c r="K4104" s="3">
        <v>20.0</v>
      </c>
      <c r="L4104" s="3" t="s">
        <v>21</v>
      </c>
    </row>
    <row r="4105" ht="15.75" customHeight="1">
      <c r="A4105" s="3" t="s">
        <v>4197</v>
      </c>
      <c r="B4105" s="3" t="s">
        <v>17</v>
      </c>
      <c r="C4105" s="3" t="s">
        <v>30</v>
      </c>
      <c r="D4105" s="3">
        <v>95204.0710925764</v>
      </c>
      <c r="E4105" s="3">
        <v>33990.8133989084</v>
      </c>
      <c r="F4105" s="3">
        <v>33456.3911532116</v>
      </c>
      <c r="G4105" s="3">
        <v>21634.7635706744</v>
      </c>
      <c r="H4105" s="3">
        <v>-123690.149633026</v>
      </c>
      <c r="I4105" s="3">
        <v>76232.7828934322</v>
      </c>
      <c r="J4105" s="4">
        <v>45931.0</v>
      </c>
      <c r="K4105" s="3">
        <v>15.0</v>
      </c>
      <c r="L4105" s="3" t="s">
        <v>23</v>
      </c>
    </row>
    <row r="4106" ht="15.75" customHeight="1">
      <c r="A4106" s="3" t="s">
        <v>4198</v>
      </c>
      <c r="B4106" s="3" t="s">
        <v>25</v>
      </c>
      <c r="C4106" s="3" t="s">
        <v>37</v>
      </c>
      <c r="D4106" s="3">
        <v>95214.9540624826</v>
      </c>
      <c r="E4106" s="3">
        <v>33995.4281172359</v>
      </c>
      <c r="F4106" s="3">
        <v>33464.0711566411</v>
      </c>
      <c r="G4106" s="3">
        <v>21638.1611213617</v>
      </c>
      <c r="H4106" s="3">
        <v>-123739.653350775</v>
      </c>
      <c r="I4106" s="3">
        <v>76236.164367852</v>
      </c>
      <c r="J4106" s="4">
        <v>45992.0</v>
      </c>
      <c r="K4106" s="3">
        <v>2.0</v>
      </c>
      <c r="L4106" s="3" t="s">
        <v>27</v>
      </c>
    </row>
    <row r="4107" ht="15.75" customHeight="1">
      <c r="A4107" s="3" t="s">
        <v>4199</v>
      </c>
      <c r="B4107" s="3" t="s">
        <v>51</v>
      </c>
      <c r="C4107" s="3" t="s">
        <v>54</v>
      </c>
      <c r="D4107" s="3">
        <v>95225.8370323888</v>
      </c>
      <c r="E4107" s="3">
        <v>34000.0428355633</v>
      </c>
      <c r="F4107" s="3">
        <v>33471.7511600706</v>
      </c>
      <c r="G4107" s="3">
        <v>21641.558672049</v>
      </c>
      <c r="H4107" s="3">
        <v>-123789.157068524</v>
      </c>
      <c r="I4107" s="3">
        <v>76239.5458422718</v>
      </c>
      <c r="J4107" s="4">
        <v>45658.0</v>
      </c>
      <c r="K4107" s="3">
        <v>13.0</v>
      </c>
      <c r="L4107" s="3" t="s">
        <v>31</v>
      </c>
    </row>
    <row r="4108" ht="15.75" customHeight="1">
      <c r="A4108" s="3" t="s">
        <v>4200</v>
      </c>
      <c r="B4108" s="3" t="s">
        <v>36</v>
      </c>
      <c r="C4108" s="3" t="s">
        <v>14</v>
      </c>
      <c r="D4108" s="3">
        <v>95236.720002295</v>
      </c>
      <c r="E4108" s="3">
        <v>34004.6575538907</v>
      </c>
      <c r="F4108" s="3">
        <v>33479.4311635001</v>
      </c>
      <c r="G4108" s="3">
        <v>21644.9562227363</v>
      </c>
      <c r="H4108" s="3">
        <v>-123838.660786274</v>
      </c>
      <c r="I4108" s="3">
        <v>76242.9273166916</v>
      </c>
      <c r="J4108" s="4">
        <v>45901.0</v>
      </c>
      <c r="K4108" s="3">
        <v>11.0</v>
      </c>
      <c r="L4108" s="3" t="s">
        <v>34</v>
      </c>
    </row>
    <row r="4109" ht="15.75" customHeight="1">
      <c r="A4109" s="3" t="s">
        <v>4201</v>
      </c>
      <c r="B4109" s="3" t="s">
        <v>36</v>
      </c>
      <c r="C4109" s="3" t="s">
        <v>30</v>
      </c>
      <c r="D4109" s="3">
        <v>95247.6029722012</v>
      </c>
      <c r="E4109" s="3">
        <v>34009.2722722181</v>
      </c>
      <c r="F4109" s="3">
        <v>33487.1111669296</v>
      </c>
      <c r="G4109" s="3">
        <v>21648.3537734236</v>
      </c>
      <c r="H4109" s="3">
        <v>-123888.164504023</v>
      </c>
      <c r="I4109" s="3">
        <v>76246.3087911114</v>
      </c>
      <c r="J4109" s="4">
        <v>45962.0</v>
      </c>
      <c r="K4109" s="3">
        <v>18.0</v>
      </c>
      <c r="L4109" s="3" t="s">
        <v>38</v>
      </c>
    </row>
    <row r="4110" ht="15.75" customHeight="1">
      <c r="A4110" s="3" t="s">
        <v>4202</v>
      </c>
      <c r="B4110" s="3" t="s">
        <v>51</v>
      </c>
      <c r="C4110" s="3" t="s">
        <v>18</v>
      </c>
      <c r="D4110" s="3">
        <v>95258.4859421074</v>
      </c>
      <c r="E4110" s="3">
        <v>34013.8869905455</v>
      </c>
      <c r="F4110" s="3">
        <v>33494.7911703591</v>
      </c>
      <c r="G4110" s="3">
        <v>21651.7513241109</v>
      </c>
      <c r="H4110" s="3">
        <v>-123937.668221772</v>
      </c>
      <c r="I4110" s="3">
        <v>76249.6902655312</v>
      </c>
      <c r="J4110" s="4">
        <v>45839.0</v>
      </c>
      <c r="K4110" s="3">
        <v>15.0</v>
      </c>
      <c r="L4110" s="3" t="s">
        <v>40</v>
      </c>
    </row>
    <row r="4111" ht="15.75" customHeight="1">
      <c r="A4111" s="3" t="s">
        <v>4203</v>
      </c>
      <c r="B4111" s="3" t="s">
        <v>17</v>
      </c>
      <c r="C4111" s="3" t="s">
        <v>37</v>
      </c>
      <c r="D4111" s="3">
        <v>95269.3689120135</v>
      </c>
      <c r="E4111" s="3">
        <v>34018.501708873</v>
      </c>
      <c r="F4111" s="3">
        <v>33502.4711737886</v>
      </c>
      <c r="G4111" s="3">
        <v>21655.1488747981</v>
      </c>
      <c r="H4111" s="3">
        <v>-123987.171939521</v>
      </c>
      <c r="I4111" s="3">
        <v>76253.071739951</v>
      </c>
      <c r="J4111" s="4">
        <v>45839.0</v>
      </c>
      <c r="K4111" s="3">
        <v>10.0</v>
      </c>
      <c r="L4111" s="3" t="s">
        <v>42</v>
      </c>
    </row>
    <row r="4112" ht="15.75" customHeight="1">
      <c r="A4112" s="3" t="s">
        <v>4204</v>
      </c>
      <c r="B4112" s="3" t="s">
        <v>25</v>
      </c>
      <c r="C4112" s="3" t="s">
        <v>18</v>
      </c>
      <c r="D4112" s="3">
        <v>95280.2518819197</v>
      </c>
      <c r="E4112" s="3">
        <v>34023.1164272004</v>
      </c>
      <c r="F4112" s="3">
        <v>33510.1511772181</v>
      </c>
      <c r="G4112" s="3">
        <v>21658.5464254854</v>
      </c>
      <c r="H4112" s="3">
        <v>-124036.67565727</v>
      </c>
      <c r="I4112" s="3">
        <v>76256.4532143709</v>
      </c>
      <c r="J4112" s="4">
        <v>45658.0</v>
      </c>
      <c r="K4112" s="3">
        <v>2.0</v>
      </c>
      <c r="L4112" s="3" t="s">
        <v>15</v>
      </c>
    </row>
    <row r="4113" ht="15.75" customHeight="1">
      <c r="A4113" s="3" t="s">
        <v>4205</v>
      </c>
      <c r="B4113" s="3" t="s">
        <v>25</v>
      </c>
      <c r="C4113" s="3" t="s">
        <v>33</v>
      </c>
      <c r="D4113" s="3">
        <v>95291.1348518259</v>
      </c>
      <c r="E4113" s="3">
        <v>34027.7311455278</v>
      </c>
      <c r="F4113" s="3">
        <v>33517.8311806476</v>
      </c>
      <c r="G4113" s="3">
        <v>21661.9439761727</v>
      </c>
      <c r="H4113" s="3">
        <v>-124086.179375019</v>
      </c>
      <c r="I4113" s="3">
        <v>76259.8346887907</v>
      </c>
      <c r="J4113" s="4">
        <v>45717.0</v>
      </c>
      <c r="K4113" s="3">
        <v>2.0</v>
      </c>
      <c r="L4113" s="3" t="s">
        <v>19</v>
      </c>
    </row>
    <row r="4114" ht="15.75" customHeight="1">
      <c r="A4114" s="3" t="s">
        <v>4206</v>
      </c>
      <c r="B4114" s="3" t="s">
        <v>13</v>
      </c>
      <c r="C4114" s="3" t="s">
        <v>33</v>
      </c>
      <c r="D4114" s="3">
        <v>95302.0178217321</v>
      </c>
      <c r="E4114" s="3">
        <v>34032.3458638552</v>
      </c>
      <c r="F4114" s="3">
        <v>33525.5111840771</v>
      </c>
      <c r="G4114" s="3">
        <v>21665.34152686</v>
      </c>
      <c r="H4114" s="3">
        <v>-124135.683092768</v>
      </c>
      <c r="I4114" s="3">
        <v>76263.2161632105</v>
      </c>
      <c r="J4114" s="4">
        <v>45658.0</v>
      </c>
      <c r="K4114" s="3">
        <v>19.0</v>
      </c>
      <c r="L4114" s="3" t="s">
        <v>21</v>
      </c>
    </row>
    <row r="4115" ht="15.75" customHeight="1">
      <c r="A4115" s="3" t="s">
        <v>4207</v>
      </c>
      <c r="B4115" s="3" t="s">
        <v>51</v>
      </c>
      <c r="C4115" s="3" t="s">
        <v>14</v>
      </c>
      <c r="D4115" s="3">
        <v>95312.9007916383</v>
      </c>
      <c r="E4115" s="3">
        <v>34036.9605821827</v>
      </c>
      <c r="F4115" s="3">
        <v>33533.1911875066</v>
      </c>
      <c r="G4115" s="3">
        <v>21668.7390775473</v>
      </c>
      <c r="H4115" s="3">
        <v>-124185.186810517</v>
      </c>
      <c r="I4115" s="3">
        <v>76266.5976376303</v>
      </c>
      <c r="J4115" s="4">
        <v>45689.0</v>
      </c>
      <c r="K4115" s="3">
        <v>23.0</v>
      </c>
      <c r="L4115" s="3" t="s">
        <v>23</v>
      </c>
    </row>
    <row r="4116" ht="15.75" customHeight="1">
      <c r="A4116" s="3" t="s">
        <v>4208</v>
      </c>
      <c r="B4116" s="3" t="s">
        <v>13</v>
      </c>
      <c r="C4116" s="3" t="s">
        <v>37</v>
      </c>
      <c r="D4116" s="3">
        <v>95323.7837615445</v>
      </c>
      <c r="E4116" s="3">
        <v>34041.5753005101</v>
      </c>
      <c r="F4116" s="3">
        <v>33540.8711909361</v>
      </c>
      <c r="G4116" s="3">
        <v>21672.1366282346</v>
      </c>
      <c r="H4116" s="3">
        <v>-124234.690528267</v>
      </c>
      <c r="I4116" s="3">
        <v>76269.9791120501</v>
      </c>
      <c r="J4116" s="4">
        <v>45870.0</v>
      </c>
      <c r="K4116" s="3">
        <v>3.0</v>
      </c>
      <c r="L4116" s="3" t="s">
        <v>27</v>
      </c>
    </row>
    <row r="4117" ht="15.75" customHeight="1">
      <c r="A4117" s="3" t="s">
        <v>4209</v>
      </c>
      <c r="B4117" s="3" t="s">
        <v>53</v>
      </c>
      <c r="C4117" s="3" t="s">
        <v>26</v>
      </c>
      <c r="D4117" s="3">
        <v>95345.5497013569</v>
      </c>
      <c r="E4117" s="3">
        <v>34050.8047371649</v>
      </c>
      <c r="F4117" s="3">
        <v>33556.2311977951</v>
      </c>
      <c r="G4117" s="3">
        <v>21678.9317296091</v>
      </c>
      <c r="H4117" s="3">
        <v>-124333.697963765</v>
      </c>
      <c r="I4117" s="3">
        <v>76276.7420608897</v>
      </c>
      <c r="J4117" s="4">
        <v>45931.0</v>
      </c>
      <c r="K4117" s="3">
        <v>6.0</v>
      </c>
      <c r="L4117" s="3" t="s">
        <v>34</v>
      </c>
    </row>
    <row r="4118" ht="15.75" customHeight="1">
      <c r="A4118" s="3" t="s">
        <v>4210</v>
      </c>
      <c r="B4118" s="3" t="s">
        <v>36</v>
      </c>
      <c r="C4118" s="3" t="s">
        <v>18</v>
      </c>
      <c r="D4118" s="3">
        <v>95356.4326712631</v>
      </c>
      <c r="E4118" s="3">
        <v>34055.4194554923</v>
      </c>
      <c r="F4118" s="3">
        <v>33563.9112012246</v>
      </c>
      <c r="G4118" s="3">
        <v>21682.3292802964</v>
      </c>
      <c r="H4118" s="3">
        <v>-124383.201681514</v>
      </c>
      <c r="I4118" s="3">
        <v>76280.1235353096</v>
      </c>
      <c r="J4118" s="4">
        <v>45962.0</v>
      </c>
      <c r="K4118" s="3">
        <v>25.0</v>
      </c>
      <c r="L4118" s="3" t="s">
        <v>38</v>
      </c>
    </row>
    <row r="4119" ht="15.75" customHeight="1">
      <c r="A4119" s="3" t="s">
        <v>4211</v>
      </c>
      <c r="B4119" s="3" t="s">
        <v>29</v>
      </c>
      <c r="C4119" s="3" t="s">
        <v>30</v>
      </c>
      <c r="D4119" s="3">
        <v>95367.3156411693</v>
      </c>
      <c r="E4119" s="3">
        <v>34060.0341738198</v>
      </c>
      <c r="F4119" s="3">
        <v>33571.5912046541</v>
      </c>
      <c r="G4119" s="3">
        <v>21685.7268309837</v>
      </c>
      <c r="H4119" s="3">
        <v>-124432.705399263</v>
      </c>
      <c r="I4119" s="3">
        <v>76283.5050097294</v>
      </c>
      <c r="J4119" s="4">
        <v>45870.0</v>
      </c>
      <c r="K4119" s="3">
        <v>12.0</v>
      </c>
      <c r="L4119" s="3" t="s">
        <v>40</v>
      </c>
    </row>
    <row r="4120" ht="15.75" customHeight="1">
      <c r="A4120" s="3" t="s">
        <v>4212</v>
      </c>
      <c r="B4120" s="3" t="s">
        <v>36</v>
      </c>
      <c r="C4120" s="3" t="s">
        <v>14</v>
      </c>
      <c r="D4120" s="3">
        <v>95378.1986110755</v>
      </c>
      <c r="E4120" s="3">
        <v>34064.6488921472</v>
      </c>
      <c r="F4120" s="3">
        <v>33579.2712080836</v>
      </c>
      <c r="G4120" s="3">
        <v>21689.124381671</v>
      </c>
      <c r="H4120" s="3">
        <v>-124482.209117012</v>
      </c>
      <c r="I4120" s="3">
        <v>76286.8864841492</v>
      </c>
      <c r="J4120" s="4">
        <v>45809.0</v>
      </c>
      <c r="K4120" s="3">
        <v>17.0</v>
      </c>
      <c r="L4120" s="3" t="s">
        <v>42</v>
      </c>
    </row>
    <row r="4121" ht="15.75" customHeight="1">
      <c r="A4121" s="3" t="s">
        <v>4213</v>
      </c>
      <c r="B4121" s="3" t="s">
        <v>53</v>
      </c>
      <c r="C4121" s="3" t="s">
        <v>33</v>
      </c>
      <c r="D4121" s="3">
        <v>95389.0815809817</v>
      </c>
      <c r="E4121" s="3">
        <v>34069.2636104746</v>
      </c>
      <c r="F4121" s="3">
        <v>33586.9512115131</v>
      </c>
      <c r="G4121" s="3">
        <v>21692.5219323583</v>
      </c>
      <c r="H4121" s="3">
        <v>-124531.712834761</v>
      </c>
      <c r="I4121" s="3">
        <v>76290.267958569</v>
      </c>
      <c r="J4121" s="4">
        <v>45809.0</v>
      </c>
      <c r="K4121" s="3">
        <v>13.0</v>
      </c>
      <c r="L4121" s="3" t="s">
        <v>15</v>
      </c>
    </row>
    <row r="4122" ht="15.75" customHeight="1">
      <c r="A4122" s="3" t="s">
        <v>4214</v>
      </c>
      <c r="B4122" s="3" t="s">
        <v>36</v>
      </c>
      <c r="C4122" s="3" t="s">
        <v>54</v>
      </c>
      <c r="D4122" s="3">
        <v>95399.9645508879</v>
      </c>
      <c r="E4122" s="3">
        <v>34073.878328802</v>
      </c>
      <c r="F4122" s="3">
        <v>33594.6312149426</v>
      </c>
      <c r="G4122" s="3">
        <v>21695.9194830456</v>
      </c>
      <c r="H4122" s="3">
        <v>-124581.216552511</v>
      </c>
      <c r="I4122" s="3">
        <v>76293.6494329888</v>
      </c>
      <c r="J4122" s="4">
        <v>45809.0</v>
      </c>
      <c r="K4122" s="3">
        <v>11.0</v>
      </c>
      <c r="L4122" s="3" t="s">
        <v>19</v>
      </c>
    </row>
    <row r="4123" ht="15.75" customHeight="1">
      <c r="A4123" s="3" t="s">
        <v>4215</v>
      </c>
      <c r="B4123" s="3" t="s">
        <v>29</v>
      </c>
      <c r="C4123" s="3" t="s">
        <v>30</v>
      </c>
      <c r="D4123" s="3">
        <v>95410.8475207941</v>
      </c>
      <c r="E4123" s="3">
        <v>34078.4930471295</v>
      </c>
      <c r="F4123" s="3">
        <v>33602.3112183721</v>
      </c>
      <c r="G4123" s="3">
        <v>21699.3170337329</v>
      </c>
      <c r="H4123" s="3">
        <v>-124630.72027026</v>
      </c>
      <c r="I4123" s="3">
        <v>76297.0309074086</v>
      </c>
      <c r="J4123" s="4">
        <v>45992.0</v>
      </c>
      <c r="K4123" s="3">
        <v>21.0</v>
      </c>
      <c r="L4123" s="3" t="s">
        <v>21</v>
      </c>
    </row>
    <row r="4124" ht="15.75" customHeight="1">
      <c r="A4124" s="3" t="s">
        <v>4216</v>
      </c>
      <c r="B4124" s="3" t="s">
        <v>13</v>
      </c>
      <c r="C4124" s="3" t="s">
        <v>26</v>
      </c>
      <c r="D4124" s="3">
        <v>95421.7304907002</v>
      </c>
      <c r="E4124" s="3">
        <v>34083.1077654569</v>
      </c>
      <c r="F4124" s="3">
        <v>33609.9912218016</v>
      </c>
      <c r="G4124" s="3">
        <v>21702.7145844202</v>
      </c>
      <c r="H4124" s="3">
        <v>-124680.223988009</v>
      </c>
      <c r="I4124" s="3">
        <v>76300.4123818284</v>
      </c>
      <c r="J4124" s="4">
        <v>45689.0</v>
      </c>
      <c r="K4124" s="3">
        <v>25.0</v>
      </c>
      <c r="L4124" s="3" t="s">
        <v>23</v>
      </c>
    </row>
    <row r="4125" ht="15.75" customHeight="1">
      <c r="A4125" s="3" t="s">
        <v>4217</v>
      </c>
      <c r="B4125" s="3" t="s">
        <v>29</v>
      </c>
      <c r="C4125" s="3" t="s">
        <v>37</v>
      </c>
      <c r="D4125" s="3">
        <v>95432.6134606064</v>
      </c>
      <c r="E4125" s="3">
        <v>34087.7224837843</v>
      </c>
      <c r="F4125" s="3">
        <v>33617.6712252311</v>
      </c>
      <c r="G4125" s="3">
        <v>21706.1121351074</v>
      </c>
      <c r="H4125" s="3">
        <v>-124729.727705758</v>
      </c>
      <c r="I4125" s="3">
        <v>76303.7938562483</v>
      </c>
      <c r="J4125" s="4">
        <v>45809.0</v>
      </c>
      <c r="K4125" s="3">
        <v>2.0</v>
      </c>
      <c r="L4125" s="3" t="s">
        <v>27</v>
      </c>
    </row>
    <row r="4126" ht="15.75" customHeight="1">
      <c r="A4126" s="3" t="s">
        <v>4218</v>
      </c>
      <c r="B4126" s="3" t="s">
        <v>13</v>
      </c>
      <c r="C4126" s="3" t="s">
        <v>54</v>
      </c>
      <c r="D4126" s="3">
        <v>95443.4964305126</v>
      </c>
      <c r="E4126" s="3">
        <v>34092.3372021117</v>
      </c>
      <c r="F4126" s="3">
        <v>33625.3512286605</v>
      </c>
      <c r="G4126" s="3">
        <v>21709.5096857947</v>
      </c>
      <c r="H4126" s="3">
        <v>-124779.231423507</v>
      </c>
      <c r="I4126" s="3">
        <v>76307.1753306681</v>
      </c>
      <c r="J4126" s="4">
        <v>45931.0</v>
      </c>
      <c r="K4126" s="3">
        <v>14.0</v>
      </c>
      <c r="L4126" s="3" t="s">
        <v>31</v>
      </c>
    </row>
    <row r="4127" ht="15.75" customHeight="1">
      <c r="A4127" s="3" t="s">
        <v>4219</v>
      </c>
      <c r="B4127" s="3" t="s">
        <v>25</v>
      </c>
      <c r="C4127" s="3" t="s">
        <v>26</v>
      </c>
      <c r="D4127" s="3">
        <v>95465.262370325</v>
      </c>
      <c r="E4127" s="3">
        <v>34101.5666387666</v>
      </c>
      <c r="F4127" s="3">
        <v>33640.7112355195</v>
      </c>
      <c r="G4127" s="3">
        <v>21716.3047871693</v>
      </c>
      <c r="H4127" s="3">
        <v>-124878.238859005</v>
      </c>
      <c r="I4127" s="3">
        <v>76313.9382795077</v>
      </c>
      <c r="J4127" s="4">
        <v>45839.0</v>
      </c>
      <c r="K4127" s="3">
        <v>23.0</v>
      </c>
      <c r="L4127" s="3" t="s">
        <v>38</v>
      </c>
    </row>
    <row r="4128" ht="15.75" customHeight="1">
      <c r="A4128" s="3" t="s">
        <v>4220</v>
      </c>
      <c r="B4128" s="3" t="s">
        <v>17</v>
      </c>
      <c r="C4128" s="3" t="s">
        <v>18</v>
      </c>
      <c r="D4128" s="3">
        <v>95476.1453402312</v>
      </c>
      <c r="E4128" s="3">
        <v>34106.181357094</v>
      </c>
      <c r="F4128" s="3">
        <v>33648.391238949</v>
      </c>
      <c r="G4128" s="3">
        <v>21719.7023378566</v>
      </c>
      <c r="H4128" s="3">
        <v>-124927.742576754</v>
      </c>
      <c r="I4128" s="3">
        <v>76317.3197539275</v>
      </c>
      <c r="J4128" s="4">
        <v>45717.0</v>
      </c>
      <c r="K4128" s="3">
        <v>15.0</v>
      </c>
      <c r="L4128" s="3" t="s">
        <v>40</v>
      </c>
    </row>
    <row r="4129" ht="15.75" customHeight="1">
      <c r="A4129" s="3" t="s">
        <v>4221</v>
      </c>
      <c r="B4129" s="3" t="s">
        <v>17</v>
      </c>
      <c r="C4129" s="3" t="s">
        <v>37</v>
      </c>
      <c r="D4129" s="3">
        <v>95487.0283101374</v>
      </c>
      <c r="E4129" s="3">
        <v>34110.7960754214</v>
      </c>
      <c r="F4129" s="3">
        <v>33656.0712423785</v>
      </c>
      <c r="G4129" s="3">
        <v>21723.0998885439</v>
      </c>
      <c r="H4129" s="3">
        <v>-124977.246294504</v>
      </c>
      <c r="I4129" s="3">
        <v>76320.7012283473</v>
      </c>
      <c r="J4129" s="4">
        <v>45962.0</v>
      </c>
      <c r="K4129" s="3">
        <v>3.0</v>
      </c>
      <c r="L4129" s="3" t="s">
        <v>42</v>
      </c>
    </row>
    <row r="4130" ht="15.75" customHeight="1">
      <c r="A4130" s="3" t="s">
        <v>4222</v>
      </c>
      <c r="B4130" s="3" t="s">
        <v>51</v>
      </c>
      <c r="C4130" s="3" t="s">
        <v>37</v>
      </c>
      <c r="D4130" s="3">
        <v>95497.9112800436</v>
      </c>
      <c r="E4130" s="3">
        <v>34115.4107937488</v>
      </c>
      <c r="F4130" s="3">
        <v>33663.751245808</v>
      </c>
      <c r="G4130" s="3">
        <v>21726.4974392312</v>
      </c>
      <c r="H4130" s="3">
        <v>-125026.750012253</v>
      </c>
      <c r="I4130" s="3">
        <v>76324.0827027671</v>
      </c>
      <c r="J4130" s="4">
        <v>45931.0</v>
      </c>
      <c r="K4130" s="3">
        <v>13.0</v>
      </c>
      <c r="L4130" s="3" t="s">
        <v>15</v>
      </c>
    </row>
    <row r="4131" ht="15.75" customHeight="1">
      <c r="A4131" s="3" t="s">
        <v>4223</v>
      </c>
      <c r="B4131" s="3" t="s">
        <v>25</v>
      </c>
      <c r="C4131" s="3" t="s">
        <v>14</v>
      </c>
      <c r="D4131" s="3">
        <v>95508.7942499498</v>
      </c>
      <c r="E4131" s="3">
        <v>34120.0255120763</v>
      </c>
      <c r="F4131" s="3">
        <v>33671.4312492375</v>
      </c>
      <c r="G4131" s="3">
        <v>21729.8949899185</v>
      </c>
      <c r="H4131" s="3">
        <v>-125076.253730002</v>
      </c>
      <c r="I4131" s="3">
        <v>76327.464177187</v>
      </c>
      <c r="J4131" s="4">
        <v>45778.0</v>
      </c>
      <c r="K4131" s="3">
        <v>11.0</v>
      </c>
      <c r="L4131" s="3" t="s">
        <v>19</v>
      </c>
    </row>
    <row r="4132" ht="15.75" customHeight="1">
      <c r="A4132" s="3" t="s">
        <v>4224</v>
      </c>
      <c r="B4132" s="3" t="s">
        <v>13</v>
      </c>
      <c r="C4132" s="3" t="s">
        <v>18</v>
      </c>
      <c r="D4132" s="3">
        <v>95519.677219856</v>
      </c>
      <c r="E4132" s="3">
        <v>34124.6402304037</v>
      </c>
      <c r="F4132" s="3">
        <v>33679.111252667</v>
      </c>
      <c r="G4132" s="3">
        <v>21733.2925406057</v>
      </c>
      <c r="H4132" s="3">
        <v>-125125.757447751</v>
      </c>
      <c r="I4132" s="3">
        <v>76330.8456516068</v>
      </c>
      <c r="J4132" s="4">
        <v>45992.0</v>
      </c>
      <c r="K4132" s="3">
        <v>2.0</v>
      </c>
      <c r="L4132" s="3" t="s">
        <v>21</v>
      </c>
    </row>
    <row r="4133" ht="15.75" customHeight="1">
      <c r="A4133" s="3" t="s">
        <v>4225</v>
      </c>
      <c r="B4133" s="3" t="s">
        <v>53</v>
      </c>
      <c r="C4133" s="3" t="s">
        <v>33</v>
      </c>
      <c r="D4133" s="3">
        <v>95530.5601897622</v>
      </c>
      <c r="E4133" s="3">
        <v>34129.2549487311</v>
      </c>
      <c r="F4133" s="3">
        <v>33686.7912560965</v>
      </c>
      <c r="G4133" s="3">
        <v>21736.690091293</v>
      </c>
      <c r="H4133" s="3">
        <v>-125175.2611655</v>
      </c>
      <c r="I4133" s="3">
        <v>76334.2271260266</v>
      </c>
      <c r="J4133" s="4">
        <v>45992.0</v>
      </c>
      <c r="K4133" s="3">
        <v>2.0</v>
      </c>
      <c r="L4133" s="3" t="s">
        <v>23</v>
      </c>
    </row>
    <row r="4134" ht="15.75" customHeight="1">
      <c r="A4134" s="3" t="s">
        <v>4226</v>
      </c>
      <c r="B4134" s="3" t="s">
        <v>13</v>
      </c>
      <c r="C4134" s="3" t="s">
        <v>37</v>
      </c>
      <c r="D4134" s="3">
        <v>95541.4431596684</v>
      </c>
      <c r="E4134" s="3">
        <v>34133.8696670585</v>
      </c>
      <c r="F4134" s="3">
        <v>33694.471259526</v>
      </c>
      <c r="G4134" s="3">
        <v>21740.0876419803</v>
      </c>
      <c r="H4134" s="3">
        <v>-125224.764883249</v>
      </c>
      <c r="I4134" s="3">
        <v>76337.6086004464</v>
      </c>
      <c r="J4134" s="4">
        <v>45962.0</v>
      </c>
      <c r="K4134" s="3">
        <v>13.0</v>
      </c>
      <c r="L4134" s="3" t="s">
        <v>27</v>
      </c>
    </row>
    <row r="4135" ht="15.75" customHeight="1">
      <c r="A4135" s="3" t="s">
        <v>4227</v>
      </c>
      <c r="B4135" s="3" t="s">
        <v>36</v>
      </c>
      <c r="C4135" s="3" t="s">
        <v>14</v>
      </c>
      <c r="D4135" s="3">
        <v>95552.3261295746</v>
      </c>
      <c r="E4135" s="3">
        <v>34138.4843853859</v>
      </c>
      <c r="F4135" s="3">
        <v>33702.1512629555</v>
      </c>
      <c r="G4135" s="3">
        <v>21743.4851926676</v>
      </c>
      <c r="H4135" s="3">
        <v>-125274.268600998</v>
      </c>
      <c r="I4135" s="3">
        <v>76340.9900748662</v>
      </c>
      <c r="J4135" s="4">
        <v>45717.0</v>
      </c>
      <c r="K4135" s="3">
        <v>7.0</v>
      </c>
      <c r="L4135" s="3" t="s">
        <v>31</v>
      </c>
    </row>
    <row r="4136" ht="15.75" customHeight="1">
      <c r="A4136" s="3" t="s">
        <v>4228</v>
      </c>
      <c r="B4136" s="3" t="s">
        <v>53</v>
      </c>
      <c r="C4136" s="3" t="s">
        <v>30</v>
      </c>
      <c r="D4136" s="3">
        <v>95563.2090994808</v>
      </c>
      <c r="E4136" s="3">
        <v>34143.0991037134</v>
      </c>
      <c r="F4136" s="3">
        <v>33709.831266385</v>
      </c>
      <c r="G4136" s="3">
        <v>21746.8827433549</v>
      </c>
      <c r="H4136" s="3">
        <v>-125323.772318747</v>
      </c>
      <c r="I4136" s="3">
        <v>76344.371549286</v>
      </c>
      <c r="J4136" s="4">
        <v>45809.0</v>
      </c>
      <c r="K4136" s="3">
        <v>17.0</v>
      </c>
      <c r="L4136" s="3" t="s">
        <v>34</v>
      </c>
    </row>
    <row r="4137" ht="15.75" customHeight="1">
      <c r="A4137" s="3" t="s">
        <v>4229</v>
      </c>
      <c r="B4137" s="3" t="s">
        <v>53</v>
      </c>
      <c r="C4137" s="3" t="s">
        <v>33</v>
      </c>
      <c r="D4137" s="3">
        <v>95574.092069387</v>
      </c>
      <c r="E4137" s="3">
        <v>34147.7138220408</v>
      </c>
      <c r="F4137" s="3">
        <v>33717.5112698145</v>
      </c>
      <c r="G4137" s="3">
        <v>21750.2802940422</v>
      </c>
      <c r="H4137" s="3">
        <v>-125373.276036497</v>
      </c>
      <c r="I4137" s="3">
        <v>76347.7530237058</v>
      </c>
      <c r="J4137" s="4">
        <v>45962.0</v>
      </c>
      <c r="K4137" s="3">
        <v>15.0</v>
      </c>
      <c r="L4137" s="3" t="s">
        <v>38</v>
      </c>
    </row>
    <row r="4138" ht="15.75" customHeight="1">
      <c r="A4138" s="3" t="s">
        <v>4230</v>
      </c>
      <c r="B4138" s="3" t="s">
        <v>29</v>
      </c>
      <c r="C4138" s="3" t="s">
        <v>26</v>
      </c>
      <c r="D4138" s="5"/>
      <c r="E4138" s="3">
        <v>34152.3285403682</v>
      </c>
      <c r="F4138" s="3">
        <v>33725.191273244</v>
      </c>
      <c r="G4138" s="3">
        <v>21753.6778447295</v>
      </c>
      <c r="H4138" s="3">
        <v>-125422.779754246</v>
      </c>
      <c r="I4138" s="3">
        <v>76351.1344981257</v>
      </c>
      <c r="J4138" s="4">
        <v>45658.0</v>
      </c>
      <c r="K4138" s="3">
        <v>20.0</v>
      </c>
      <c r="L4138" s="3" t="s">
        <v>40</v>
      </c>
    </row>
    <row r="4139" ht="15.75" customHeight="1">
      <c r="A4139" s="3" t="s">
        <v>4231</v>
      </c>
      <c r="B4139" s="3" t="s">
        <v>53</v>
      </c>
      <c r="C4139" s="3" t="s">
        <v>18</v>
      </c>
      <c r="D4139" s="3">
        <v>95595.8580091993</v>
      </c>
      <c r="E4139" s="3">
        <v>34156.9432586956</v>
      </c>
      <c r="F4139" s="3">
        <v>33732.8712766735</v>
      </c>
      <c r="G4139" s="3">
        <v>21757.0753954167</v>
      </c>
      <c r="H4139" s="3">
        <v>-125472.283471995</v>
      </c>
      <c r="I4139" s="3">
        <v>76354.5159725455</v>
      </c>
      <c r="J4139" s="4">
        <v>45748.0</v>
      </c>
      <c r="K4139" s="3">
        <v>2.0</v>
      </c>
      <c r="L4139" s="3" t="s">
        <v>42</v>
      </c>
    </row>
    <row r="4140" ht="15.75" customHeight="1">
      <c r="A4140" s="3" t="s">
        <v>4232</v>
      </c>
      <c r="B4140" s="3" t="s">
        <v>53</v>
      </c>
      <c r="C4140" s="3" t="s">
        <v>33</v>
      </c>
      <c r="D4140" s="3">
        <v>95606.7409791055</v>
      </c>
      <c r="E4140" s="3">
        <v>34161.5579770231</v>
      </c>
      <c r="F4140" s="3">
        <v>33740.551280103</v>
      </c>
      <c r="G4140" s="3">
        <v>21760.472946104</v>
      </c>
      <c r="H4140" s="3">
        <v>-125521.787189744</v>
      </c>
      <c r="I4140" s="3">
        <v>76357.8974469653</v>
      </c>
      <c r="J4140" s="4">
        <v>45717.0</v>
      </c>
      <c r="K4140" s="3">
        <v>24.0</v>
      </c>
      <c r="L4140" s="3" t="s">
        <v>15</v>
      </c>
    </row>
    <row r="4141" ht="15.75" customHeight="1">
      <c r="A4141" s="3" t="s">
        <v>4233</v>
      </c>
      <c r="B4141" s="3" t="s">
        <v>13</v>
      </c>
      <c r="C4141" s="3" t="s">
        <v>18</v>
      </c>
      <c r="D4141" s="3">
        <v>95617.6239490117</v>
      </c>
      <c r="E4141" s="3">
        <v>34166.1726953505</v>
      </c>
      <c r="F4141" s="3">
        <v>33748.2312835325</v>
      </c>
      <c r="G4141" s="3">
        <v>21763.8704967913</v>
      </c>
      <c r="H4141" s="3">
        <v>-125571.290907493</v>
      </c>
      <c r="I4141" s="3">
        <v>76361.2789213851</v>
      </c>
      <c r="J4141" s="4">
        <v>45658.0</v>
      </c>
      <c r="K4141" s="3">
        <v>7.0</v>
      </c>
      <c r="L4141" s="3" t="s">
        <v>19</v>
      </c>
    </row>
    <row r="4142" ht="15.75" customHeight="1">
      <c r="A4142" s="3" t="s">
        <v>4234</v>
      </c>
      <c r="B4142" s="3" t="s">
        <v>53</v>
      </c>
      <c r="C4142" s="3" t="s">
        <v>18</v>
      </c>
      <c r="D4142" s="3">
        <v>95628.5069189179</v>
      </c>
      <c r="E4142" s="3">
        <v>34170.7874136779</v>
      </c>
      <c r="F4142" s="3">
        <v>33755.911286962</v>
      </c>
      <c r="G4142" s="3">
        <v>21767.2680474786</v>
      </c>
      <c r="H4142" s="3">
        <v>-125620.794625242</v>
      </c>
      <c r="I4142" s="3">
        <v>76364.6603958049</v>
      </c>
      <c r="J4142" s="4">
        <v>45901.0</v>
      </c>
      <c r="K4142" s="3">
        <v>2.0</v>
      </c>
      <c r="L4142" s="3" t="s">
        <v>21</v>
      </c>
    </row>
    <row r="4143" ht="15.75" customHeight="1">
      <c r="A4143" s="3" t="s">
        <v>4235</v>
      </c>
      <c r="B4143" s="3" t="s">
        <v>29</v>
      </c>
      <c r="C4143" s="3" t="s">
        <v>54</v>
      </c>
      <c r="D4143" s="3">
        <v>95639.3898888241</v>
      </c>
      <c r="E4143" s="3">
        <v>34175.4021320053</v>
      </c>
      <c r="F4143" s="3">
        <v>33763.5912903915</v>
      </c>
      <c r="G4143" s="3">
        <v>21770.6655981659</v>
      </c>
      <c r="H4143" s="3">
        <v>-125670.298342991</v>
      </c>
      <c r="I4143" s="3">
        <v>76368.0418702247</v>
      </c>
      <c r="J4143" s="4">
        <v>45992.0</v>
      </c>
      <c r="K4143" s="3">
        <v>22.0</v>
      </c>
      <c r="L4143" s="3" t="s">
        <v>23</v>
      </c>
    </row>
    <row r="4144" ht="15.75" customHeight="1">
      <c r="A4144" s="3" t="s">
        <v>4236</v>
      </c>
      <c r="B4144" s="3" t="s">
        <v>25</v>
      </c>
      <c r="C4144" s="3" t="s">
        <v>33</v>
      </c>
      <c r="D4144" s="3">
        <v>95650.2728587303</v>
      </c>
      <c r="E4144" s="3">
        <v>34180.0168503327</v>
      </c>
      <c r="F4144" s="3">
        <v>33771.271293821</v>
      </c>
      <c r="G4144" s="3">
        <v>21774.0631488532</v>
      </c>
      <c r="H4144" s="3">
        <v>-125719.80206074</v>
      </c>
      <c r="I4144" s="3">
        <v>76371.4233446445</v>
      </c>
      <c r="J4144" s="4">
        <v>45962.0</v>
      </c>
      <c r="K4144" s="3">
        <v>25.0</v>
      </c>
      <c r="L4144" s="3" t="s">
        <v>27</v>
      </c>
    </row>
    <row r="4145" ht="15.75" customHeight="1">
      <c r="A4145" s="3" t="s">
        <v>4237</v>
      </c>
      <c r="B4145" s="3" t="s">
        <v>29</v>
      </c>
      <c r="C4145" s="3" t="s">
        <v>33</v>
      </c>
      <c r="D4145" s="3">
        <v>95661.1558286365</v>
      </c>
      <c r="E4145" s="3">
        <v>34184.6315686602</v>
      </c>
      <c r="F4145" s="3">
        <v>33778.9512972505</v>
      </c>
      <c r="G4145" s="3">
        <v>21777.4606995405</v>
      </c>
      <c r="H4145" s="3">
        <v>-125769.30577849</v>
      </c>
      <c r="I4145" s="3">
        <v>76374.8048190644</v>
      </c>
      <c r="J4145" s="4">
        <v>45870.0</v>
      </c>
      <c r="K4145" s="3">
        <v>14.0</v>
      </c>
      <c r="L4145" s="3" t="s">
        <v>31</v>
      </c>
    </row>
    <row r="4146" ht="15.75" customHeight="1">
      <c r="A4146" s="3" t="s">
        <v>4238</v>
      </c>
      <c r="B4146" s="3" t="s">
        <v>25</v>
      </c>
      <c r="C4146" s="3" t="s">
        <v>18</v>
      </c>
      <c r="D4146" s="3">
        <v>95672.0387985427</v>
      </c>
      <c r="E4146" s="3">
        <v>34189.2462869876</v>
      </c>
      <c r="F4146" s="3">
        <v>33786.63130068</v>
      </c>
      <c r="G4146" s="3">
        <v>21780.8582502278</v>
      </c>
      <c r="H4146" s="3">
        <v>-125818.809496239</v>
      </c>
      <c r="I4146" s="3">
        <v>76378.1862934842</v>
      </c>
      <c r="J4146" s="4">
        <v>45931.0</v>
      </c>
      <c r="K4146" s="3">
        <v>16.0</v>
      </c>
      <c r="L4146" s="3" t="s">
        <v>34</v>
      </c>
    </row>
    <row r="4147" ht="15.75" customHeight="1">
      <c r="A4147" s="3" t="s">
        <v>4239</v>
      </c>
      <c r="B4147" s="3" t="s">
        <v>29</v>
      </c>
      <c r="C4147" s="3" t="s">
        <v>26</v>
      </c>
      <c r="D4147" s="3">
        <v>95682.9217684489</v>
      </c>
      <c r="E4147" s="3">
        <v>34193.861005315</v>
      </c>
      <c r="F4147" s="3">
        <v>33794.3113041095</v>
      </c>
      <c r="G4147" s="3">
        <v>21784.255800915</v>
      </c>
      <c r="H4147" s="3">
        <v>-125868.313213988</v>
      </c>
      <c r="I4147" s="3">
        <v>76381.567767904</v>
      </c>
      <c r="J4147" s="4">
        <v>45778.0</v>
      </c>
      <c r="K4147" s="3">
        <v>18.0</v>
      </c>
      <c r="L4147" s="3" t="s">
        <v>38</v>
      </c>
    </row>
    <row r="4148" ht="15.75" customHeight="1">
      <c r="A4148" s="3" t="s">
        <v>4240</v>
      </c>
      <c r="B4148" s="3" t="s">
        <v>29</v>
      </c>
      <c r="C4148" s="3" t="s">
        <v>18</v>
      </c>
      <c r="D4148" s="3">
        <v>95693.8047383551</v>
      </c>
      <c r="E4148" s="3">
        <v>34198.4757236424</v>
      </c>
      <c r="F4148" s="3">
        <v>33801.991307539</v>
      </c>
      <c r="G4148" s="3">
        <v>21787.6533516023</v>
      </c>
      <c r="H4148" s="3">
        <v>-125917.816931737</v>
      </c>
      <c r="I4148" s="3">
        <v>76384.9492423238</v>
      </c>
      <c r="J4148" s="4">
        <v>45992.0</v>
      </c>
      <c r="K4148" s="3">
        <v>11.0</v>
      </c>
      <c r="L4148" s="3" t="s">
        <v>40</v>
      </c>
    </row>
    <row r="4149" ht="15.75" customHeight="1">
      <c r="A4149" s="3" t="s">
        <v>4241</v>
      </c>
      <c r="B4149" s="3" t="s">
        <v>25</v>
      </c>
      <c r="C4149" s="3" t="s">
        <v>18</v>
      </c>
      <c r="D4149" s="3">
        <v>95704.6877082613</v>
      </c>
      <c r="E4149" s="3">
        <v>34203.0904419699</v>
      </c>
      <c r="F4149" s="3">
        <v>33809.6713109685</v>
      </c>
      <c r="G4149" s="3">
        <v>21791.0509022896</v>
      </c>
      <c r="H4149" s="3">
        <v>-125967.320649486</v>
      </c>
      <c r="I4149" s="3">
        <v>76388.3307167436</v>
      </c>
      <c r="J4149" s="4">
        <v>45717.0</v>
      </c>
      <c r="K4149" s="3">
        <v>8.0</v>
      </c>
      <c r="L4149" s="3" t="s">
        <v>42</v>
      </c>
    </row>
    <row r="4150" ht="15.75" customHeight="1">
      <c r="A4150" s="3" t="s">
        <v>4242</v>
      </c>
      <c r="B4150" s="3" t="s">
        <v>53</v>
      </c>
      <c r="C4150" s="3" t="s">
        <v>30</v>
      </c>
      <c r="D4150" s="3">
        <v>95715.5706781675</v>
      </c>
      <c r="E4150" s="3">
        <v>34207.7051602973</v>
      </c>
      <c r="F4150" s="3">
        <v>33817.351314398</v>
      </c>
      <c r="G4150" s="3">
        <v>21794.4484529769</v>
      </c>
      <c r="H4150" s="3">
        <v>-126016.824367235</v>
      </c>
      <c r="I4150" s="3">
        <v>76391.7121911634</v>
      </c>
      <c r="J4150" s="4">
        <v>45717.0</v>
      </c>
      <c r="K4150" s="3">
        <v>24.0</v>
      </c>
      <c r="L4150" s="3" t="s">
        <v>15</v>
      </c>
    </row>
    <row r="4151" ht="15.75" customHeight="1">
      <c r="A4151" s="3" t="s">
        <v>4243</v>
      </c>
      <c r="B4151" s="3" t="s">
        <v>36</v>
      </c>
      <c r="C4151" s="3" t="s">
        <v>30</v>
      </c>
      <c r="D4151" s="3">
        <v>95726.4536480737</v>
      </c>
      <c r="E4151" s="3">
        <v>34212.3198786247</v>
      </c>
      <c r="F4151" s="3">
        <v>33825.0313178275</v>
      </c>
      <c r="G4151" s="3">
        <v>21797.8460036642</v>
      </c>
      <c r="H4151" s="3">
        <v>-126066.328084984</v>
      </c>
      <c r="I4151" s="3">
        <v>76395.0936655832</v>
      </c>
      <c r="J4151" s="4">
        <v>45962.0</v>
      </c>
      <c r="K4151" s="3">
        <v>5.0</v>
      </c>
      <c r="L4151" s="3" t="s">
        <v>19</v>
      </c>
    </row>
    <row r="4152" ht="15.75" customHeight="1">
      <c r="A4152" s="3" t="s">
        <v>4244</v>
      </c>
      <c r="B4152" s="3" t="s">
        <v>53</v>
      </c>
      <c r="C4152" s="3" t="s">
        <v>26</v>
      </c>
      <c r="D4152" s="3">
        <v>95737.3366179799</v>
      </c>
      <c r="E4152" s="3">
        <v>34216.9345969521</v>
      </c>
      <c r="F4152" s="3">
        <v>33832.711321257</v>
      </c>
      <c r="G4152" s="3">
        <v>21801.2435543515</v>
      </c>
      <c r="H4152" s="3">
        <v>-126115.831802733</v>
      </c>
      <c r="I4152" s="3">
        <v>76398.4751400031</v>
      </c>
      <c r="J4152" s="4">
        <v>45809.0</v>
      </c>
      <c r="K4152" s="3">
        <v>25.0</v>
      </c>
      <c r="L4152" s="3" t="s">
        <v>21</v>
      </c>
    </row>
    <row r="4153" ht="15.75" customHeight="1">
      <c r="A4153" s="3" t="s">
        <v>4245</v>
      </c>
      <c r="B4153" s="3" t="s">
        <v>51</v>
      </c>
      <c r="C4153" s="3" t="s">
        <v>26</v>
      </c>
      <c r="D4153" s="3">
        <v>95748.219587886</v>
      </c>
      <c r="E4153" s="3">
        <v>34221.5493152795</v>
      </c>
      <c r="F4153" s="3">
        <v>33840.3913246865</v>
      </c>
      <c r="G4153" s="3">
        <v>21804.6411050388</v>
      </c>
      <c r="H4153" s="3">
        <v>-126165.335520483</v>
      </c>
      <c r="I4153" s="3">
        <v>76401.8566144229</v>
      </c>
      <c r="J4153" s="4">
        <v>45901.0</v>
      </c>
      <c r="K4153" s="3">
        <v>10.0</v>
      </c>
      <c r="L4153" s="3" t="s">
        <v>23</v>
      </c>
    </row>
    <row r="4154" ht="15.75" customHeight="1">
      <c r="A4154" s="3" t="s">
        <v>4246</v>
      </c>
      <c r="B4154" s="3" t="s">
        <v>17</v>
      </c>
      <c r="C4154" s="3" t="s">
        <v>30</v>
      </c>
      <c r="D4154" s="3">
        <v>95759.1025577922</v>
      </c>
      <c r="E4154" s="3">
        <v>34226.164033607</v>
      </c>
      <c r="F4154" s="3">
        <v>33848.071328116</v>
      </c>
      <c r="G4154" s="3">
        <v>21808.0386557261</v>
      </c>
      <c r="H4154" s="3">
        <v>-126214.839238232</v>
      </c>
      <c r="I4154" s="3">
        <v>76405.2380888427</v>
      </c>
      <c r="J4154" s="4">
        <v>45689.0</v>
      </c>
      <c r="K4154" s="3">
        <v>13.0</v>
      </c>
      <c r="L4154" s="3" t="s">
        <v>27</v>
      </c>
    </row>
    <row r="4155" ht="15.75" customHeight="1">
      <c r="A4155" s="3" t="s">
        <v>4247</v>
      </c>
      <c r="B4155" s="3" t="s">
        <v>53</v>
      </c>
      <c r="C4155" s="3" t="s">
        <v>14</v>
      </c>
      <c r="D4155" s="3">
        <v>95769.9855276984</v>
      </c>
      <c r="E4155" s="3">
        <v>34230.7787519344</v>
      </c>
      <c r="F4155" s="3">
        <v>33855.7513315455</v>
      </c>
      <c r="G4155" s="3">
        <v>21811.4362064133</v>
      </c>
      <c r="H4155" s="3">
        <v>-126264.342955981</v>
      </c>
      <c r="I4155" s="3">
        <v>76408.6195632625</v>
      </c>
      <c r="J4155" s="4">
        <v>45778.0</v>
      </c>
      <c r="K4155" s="3">
        <v>22.0</v>
      </c>
      <c r="L4155" s="3" t="s">
        <v>31</v>
      </c>
    </row>
    <row r="4156" ht="15.75" customHeight="1">
      <c r="A4156" s="3" t="s">
        <v>4248</v>
      </c>
      <c r="B4156" s="3" t="s">
        <v>17</v>
      </c>
      <c r="C4156" s="3" t="s">
        <v>18</v>
      </c>
      <c r="D4156" s="3">
        <v>95780.8684976046</v>
      </c>
      <c r="E4156" s="3">
        <v>34235.3934702618</v>
      </c>
      <c r="F4156" s="3">
        <v>33863.431334975</v>
      </c>
      <c r="G4156" s="3">
        <v>21814.8337571006</v>
      </c>
      <c r="H4156" s="3">
        <v>-126313.84667373</v>
      </c>
      <c r="I4156" s="3">
        <v>76412.0010376823</v>
      </c>
      <c r="J4156" s="4">
        <v>45962.0</v>
      </c>
      <c r="K4156" s="3">
        <v>11.0</v>
      </c>
      <c r="L4156" s="3" t="s">
        <v>34</v>
      </c>
    </row>
    <row r="4157" ht="15.75" customHeight="1">
      <c r="A4157" s="3" t="s">
        <v>4249</v>
      </c>
      <c r="B4157" s="3" t="s">
        <v>17</v>
      </c>
      <c r="C4157" s="3" t="s">
        <v>14</v>
      </c>
      <c r="D4157" s="5"/>
      <c r="E4157" s="3">
        <v>34240.0081885892</v>
      </c>
      <c r="F4157" s="3">
        <v>33871.1113384045</v>
      </c>
      <c r="G4157" s="3">
        <v>21818.2313077879</v>
      </c>
      <c r="H4157" s="3">
        <v>-126363.350391479</v>
      </c>
      <c r="I4157" s="3">
        <v>76415.3825121021</v>
      </c>
      <c r="J4157" s="4">
        <v>45931.0</v>
      </c>
      <c r="K4157" s="3">
        <v>11.0</v>
      </c>
      <c r="L4157" s="3" t="s">
        <v>38</v>
      </c>
    </row>
    <row r="4158" ht="15.75" customHeight="1">
      <c r="A4158" s="3" t="s">
        <v>4250</v>
      </c>
      <c r="B4158" s="3" t="s">
        <v>29</v>
      </c>
      <c r="C4158" s="3" t="s">
        <v>37</v>
      </c>
      <c r="D4158" s="3">
        <v>95802.634437417</v>
      </c>
      <c r="E4158" s="3">
        <v>34244.6229069167</v>
      </c>
      <c r="F4158" s="3">
        <v>33878.791341834</v>
      </c>
      <c r="G4158" s="3">
        <v>21821.6288584752</v>
      </c>
      <c r="H4158" s="3">
        <v>-126412.854109228</v>
      </c>
      <c r="I4158" s="3">
        <v>76418.7639865219</v>
      </c>
      <c r="J4158" s="4">
        <v>45689.0</v>
      </c>
      <c r="K4158" s="3">
        <v>9.0</v>
      </c>
      <c r="L4158" s="3" t="s">
        <v>40</v>
      </c>
    </row>
    <row r="4159" ht="15.75" customHeight="1">
      <c r="A4159" s="3" t="s">
        <v>4251</v>
      </c>
      <c r="B4159" s="3" t="s">
        <v>51</v>
      </c>
      <c r="C4159" s="3" t="s">
        <v>18</v>
      </c>
      <c r="D4159" s="3">
        <v>95813.5174073232</v>
      </c>
      <c r="E4159" s="3">
        <v>34249.2376252441</v>
      </c>
      <c r="F4159" s="3">
        <v>33886.4713452635</v>
      </c>
      <c r="G4159" s="3">
        <v>21825.0264091625</v>
      </c>
      <c r="H4159" s="3">
        <v>-126462.357826977</v>
      </c>
      <c r="I4159" s="3">
        <v>76422.1454609418</v>
      </c>
      <c r="J4159" s="4">
        <v>45809.0</v>
      </c>
      <c r="K4159" s="3">
        <v>1.0</v>
      </c>
      <c r="L4159" s="3" t="s">
        <v>42</v>
      </c>
    </row>
    <row r="4160" ht="15.75" customHeight="1">
      <c r="A4160" s="3" t="s">
        <v>4252</v>
      </c>
      <c r="B4160" s="3" t="s">
        <v>17</v>
      </c>
      <c r="C4160" s="3" t="s">
        <v>14</v>
      </c>
      <c r="D4160" s="3">
        <v>95824.4003772294</v>
      </c>
      <c r="E4160" s="3">
        <v>34253.8523435715</v>
      </c>
      <c r="F4160" s="3">
        <v>33894.151348693</v>
      </c>
      <c r="G4160" s="3">
        <v>21828.4239598498</v>
      </c>
      <c r="H4160" s="3">
        <v>-126511.861544726</v>
      </c>
      <c r="I4160" s="3">
        <v>76425.5269353616</v>
      </c>
      <c r="J4160" s="4">
        <v>45962.0</v>
      </c>
      <c r="K4160" s="3">
        <v>19.0</v>
      </c>
      <c r="L4160" s="3" t="s">
        <v>15</v>
      </c>
    </row>
    <row r="4161" ht="15.75" customHeight="1">
      <c r="A4161" s="3" t="s">
        <v>4253</v>
      </c>
      <c r="B4161" s="3" t="s">
        <v>53</v>
      </c>
      <c r="C4161" s="3" t="s">
        <v>18</v>
      </c>
      <c r="D4161" s="3">
        <v>95835.2833471356</v>
      </c>
      <c r="E4161" s="3">
        <v>34258.4670618989</v>
      </c>
      <c r="F4161" s="3">
        <v>33901.8313521224</v>
      </c>
      <c r="G4161" s="3">
        <v>21831.8215105371</v>
      </c>
      <c r="H4161" s="3">
        <v>-126561.365262476</v>
      </c>
      <c r="I4161" s="3">
        <v>76428.9084097814</v>
      </c>
      <c r="J4161" s="4">
        <v>45901.0</v>
      </c>
      <c r="K4161" s="3">
        <v>11.0</v>
      </c>
      <c r="L4161" s="3" t="s">
        <v>19</v>
      </c>
    </row>
    <row r="4162" ht="15.75" customHeight="1">
      <c r="A4162" s="3" t="s">
        <v>4254</v>
      </c>
      <c r="B4162" s="3" t="s">
        <v>36</v>
      </c>
      <c r="C4162" s="3" t="s">
        <v>18</v>
      </c>
      <c r="D4162" s="3">
        <v>95846.1663170418</v>
      </c>
      <c r="E4162" s="3">
        <v>34263.0817802263</v>
      </c>
      <c r="F4162" s="3">
        <v>33909.5113555519</v>
      </c>
      <c r="G4162" s="3">
        <v>21835.2190612243</v>
      </c>
      <c r="H4162" s="3">
        <v>-126610.868980225</v>
      </c>
      <c r="I4162" s="3">
        <v>76432.2898842012</v>
      </c>
      <c r="J4162" s="4">
        <v>45748.0</v>
      </c>
      <c r="K4162" s="3">
        <v>12.0</v>
      </c>
      <c r="L4162" s="3" t="s">
        <v>21</v>
      </c>
    </row>
    <row r="4163" ht="15.75" customHeight="1">
      <c r="A4163" s="3" t="s">
        <v>4255</v>
      </c>
      <c r="B4163" s="3" t="s">
        <v>53</v>
      </c>
      <c r="C4163" s="3" t="s">
        <v>54</v>
      </c>
      <c r="D4163" s="3">
        <v>95857.049286948</v>
      </c>
      <c r="E4163" s="3">
        <v>34267.6964985538</v>
      </c>
      <c r="F4163" s="3">
        <v>33917.1913589814</v>
      </c>
      <c r="G4163" s="3">
        <v>21838.6166119116</v>
      </c>
      <c r="H4163" s="3">
        <v>-126660.372697974</v>
      </c>
      <c r="I4163" s="3">
        <v>76435.671358621</v>
      </c>
      <c r="J4163" s="4">
        <v>45992.0</v>
      </c>
      <c r="K4163" s="3">
        <v>5.0</v>
      </c>
      <c r="L4163" s="3" t="s">
        <v>23</v>
      </c>
    </row>
    <row r="4164" ht="15.75" customHeight="1">
      <c r="A4164" s="3" t="s">
        <v>4256</v>
      </c>
      <c r="B4164" s="3" t="s">
        <v>51</v>
      </c>
      <c r="C4164" s="3" t="s">
        <v>54</v>
      </c>
      <c r="D4164" s="3">
        <v>95867.9322568542</v>
      </c>
      <c r="E4164" s="3">
        <v>34272.3112168812</v>
      </c>
      <c r="F4164" s="3">
        <v>33924.8713624109</v>
      </c>
      <c r="G4164" s="3">
        <v>21842.0141625989</v>
      </c>
      <c r="H4164" s="3">
        <v>-126709.876415723</v>
      </c>
      <c r="I4164" s="3">
        <v>76439.0528330408</v>
      </c>
      <c r="J4164" s="4">
        <v>45962.0</v>
      </c>
      <c r="K4164" s="3">
        <v>7.0</v>
      </c>
      <c r="L4164" s="3" t="s">
        <v>27</v>
      </c>
    </row>
    <row r="4165" ht="15.75" customHeight="1">
      <c r="A4165" s="3" t="s">
        <v>4257</v>
      </c>
      <c r="B4165" s="3" t="s">
        <v>53</v>
      </c>
      <c r="C4165" s="3" t="s">
        <v>37</v>
      </c>
      <c r="D4165" s="3">
        <v>95878.8152267604</v>
      </c>
      <c r="E4165" s="3">
        <v>34276.9259352086</v>
      </c>
      <c r="F4165" s="3">
        <v>33932.5513658404</v>
      </c>
      <c r="G4165" s="3">
        <v>21845.4117132862</v>
      </c>
      <c r="H4165" s="3">
        <v>-126759.380133472</v>
      </c>
      <c r="I4165" s="3">
        <v>76442.4343074606</v>
      </c>
      <c r="J4165" s="4">
        <v>45658.0</v>
      </c>
      <c r="K4165" s="3">
        <v>15.0</v>
      </c>
      <c r="L4165" s="3" t="s">
        <v>31</v>
      </c>
    </row>
    <row r="4166" ht="15.75" customHeight="1">
      <c r="A4166" s="3" t="s">
        <v>4258</v>
      </c>
      <c r="B4166" s="3" t="s">
        <v>25</v>
      </c>
      <c r="C4166" s="3" t="s">
        <v>14</v>
      </c>
      <c r="D4166" s="3">
        <v>95889.6981966666</v>
      </c>
      <c r="E4166" s="3">
        <v>34281.540653536</v>
      </c>
      <c r="F4166" s="3">
        <v>33940.2313692699</v>
      </c>
      <c r="G4166" s="3">
        <v>21848.8092639735</v>
      </c>
      <c r="H4166" s="3">
        <v>-126808.883851221</v>
      </c>
      <c r="I4166" s="3">
        <v>76445.8157818805</v>
      </c>
      <c r="J4166" s="4">
        <v>45778.0</v>
      </c>
      <c r="K4166" s="3">
        <v>11.0</v>
      </c>
      <c r="L4166" s="3" t="s">
        <v>34</v>
      </c>
    </row>
    <row r="4167" ht="15.75" customHeight="1">
      <c r="A4167" s="3" t="s">
        <v>4259</v>
      </c>
      <c r="B4167" s="3" t="s">
        <v>13</v>
      </c>
      <c r="C4167" s="3" t="s">
        <v>18</v>
      </c>
      <c r="D4167" s="5"/>
      <c r="E4167" s="3">
        <v>34286.1553718635</v>
      </c>
      <c r="F4167" s="3">
        <v>33947.9113726994</v>
      </c>
      <c r="G4167" s="3">
        <v>21852.2068146608</v>
      </c>
      <c r="H4167" s="3">
        <v>-126858.38756897</v>
      </c>
      <c r="I4167" s="3">
        <v>76449.1972563003</v>
      </c>
      <c r="J4167" s="4">
        <v>45839.0</v>
      </c>
      <c r="K4167" s="3">
        <v>14.0</v>
      </c>
      <c r="L4167" s="3" t="s">
        <v>38</v>
      </c>
    </row>
    <row r="4168" ht="15.75" customHeight="1">
      <c r="A4168" s="3" t="s">
        <v>4260</v>
      </c>
      <c r="B4168" s="3" t="s">
        <v>51</v>
      </c>
      <c r="C4168" s="3" t="s">
        <v>26</v>
      </c>
      <c r="D4168" s="3">
        <v>95911.464136479</v>
      </c>
      <c r="E4168" s="3">
        <v>34290.7700901909</v>
      </c>
      <c r="F4168" s="3">
        <v>33955.5913761289</v>
      </c>
      <c r="G4168" s="3">
        <v>21855.6043653481</v>
      </c>
      <c r="H4168" s="3">
        <v>-126907.891286719</v>
      </c>
      <c r="I4168" s="3">
        <v>76452.5787307201</v>
      </c>
      <c r="J4168" s="3" t="s">
        <v>1640</v>
      </c>
      <c r="K4168" s="3">
        <v>5.0</v>
      </c>
      <c r="L4168" s="3" t="s">
        <v>40</v>
      </c>
    </row>
    <row r="4169" ht="15.75" customHeight="1">
      <c r="A4169" s="3" t="s">
        <v>4261</v>
      </c>
      <c r="B4169" s="3" t="s">
        <v>51</v>
      </c>
      <c r="C4169" s="3" t="s">
        <v>30</v>
      </c>
      <c r="D4169" s="3">
        <v>95922.3471063851</v>
      </c>
      <c r="E4169" s="3">
        <v>34295.3848085183</v>
      </c>
      <c r="F4169" s="3">
        <v>33963.2713795584</v>
      </c>
      <c r="G4169" s="3">
        <v>21859.0019160354</v>
      </c>
      <c r="H4169" s="3">
        <v>-126957.395004469</v>
      </c>
      <c r="I4169" s="3">
        <v>76455.9602051399</v>
      </c>
      <c r="J4169" s="4">
        <v>45689.0</v>
      </c>
      <c r="K4169" s="3">
        <v>22.0</v>
      </c>
      <c r="L4169" s="3" t="s">
        <v>42</v>
      </c>
    </row>
    <row r="4170" ht="15.75" customHeight="1">
      <c r="A4170" s="3" t="s">
        <v>4262</v>
      </c>
      <c r="B4170" s="3" t="s">
        <v>36</v>
      </c>
      <c r="C4170" s="3" t="s">
        <v>33</v>
      </c>
      <c r="D4170" s="3">
        <v>95933.2300762913</v>
      </c>
      <c r="E4170" s="3">
        <v>34299.9995268457</v>
      </c>
      <c r="F4170" s="3">
        <v>33970.9513829879</v>
      </c>
      <c r="G4170" s="3">
        <v>21862.3994667226</v>
      </c>
      <c r="H4170" s="3">
        <v>-127006.898722218</v>
      </c>
      <c r="I4170" s="3">
        <v>76459.3416795597</v>
      </c>
      <c r="J4170" s="4">
        <v>45870.0</v>
      </c>
      <c r="K4170" s="3">
        <v>10.0</v>
      </c>
      <c r="L4170" s="3" t="s">
        <v>15</v>
      </c>
    </row>
    <row r="4171" ht="15.75" customHeight="1">
      <c r="A4171" s="3" t="s">
        <v>4263</v>
      </c>
      <c r="B4171" s="3" t="s">
        <v>13</v>
      </c>
      <c r="C4171" s="3" t="s">
        <v>30</v>
      </c>
      <c r="D4171" s="3">
        <v>95944.1130461975</v>
      </c>
      <c r="E4171" s="3">
        <v>34304.6142451731</v>
      </c>
      <c r="F4171" s="3">
        <v>33978.6313864174</v>
      </c>
      <c r="G4171" s="3">
        <v>21865.7970174099</v>
      </c>
      <c r="H4171" s="3">
        <v>-127056.402439967</v>
      </c>
      <c r="I4171" s="3">
        <v>76462.7231539795</v>
      </c>
      <c r="J4171" s="4">
        <v>45748.0</v>
      </c>
      <c r="K4171" s="3">
        <v>3.0</v>
      </c>
      <c r="L4171" s="3" t="s">
        <v>19</v>
      </c>
    </row>
    <row r="4172" ht="15.75" customHeight="1">
      <c r="A4172" s="3" t="s">
        <v>4264</v>
      </c>
      <c r="B4172" s="3" t="s">
        <v>53</v>
      </c>
      <c r="C4172" s="3" t="s">
        <v>26</v>
      </c>
      <c r="D4172" s="3">
        <v>95954.9960161037</v>
      </c>
      <c r="E4172" s="3">
        <v>34309.2289635006</v>
      </c>
      <c r="F4172" s="3">
        <v>33986.3113898469</v>
      </c>
      <c r="G4172" s="3">
        <v>21869.1945680972</v>
      </c>
      <c r="H4172" s="3">
        <v>-127105.906157716</v>
      </c>
      <c r="I4172" s="3">
        <v>76466.1046283993</v>
      </c>
      <c r="J4172" s="4">
        <v>45962.0</v>
      </c>
      <c r="K4172" s="3">
        <v>2.0</v>
      </c>
      <c r="L4172" s="3" t="s">
        <v>21</v>
      </c>
    </row>
    <row r="4173" ht="15.75" customHeight="1">
      <c r="A4173" s="3" t="s">
        <v>4265</v>
      </c>
      <c r="B4173" s="3" t="s">
        <v>29</v>
      </c>
      <c r="C4173" s="3" t="s">
        <v>18</v>
      </c>
      <c r="D4173" s="3">
        <v>95965.8789860099</v>
      </c>
      <c r="E4173" s="3">
        <v>34313.843681828</v>
      </c>
      <c r="F4173" s="3">
        <v>33993.9913932764</v>
      </c>
      <c r="G4173" s="3">
        <v>21872.5921187845</v>
      </c>
      <c r="H4173" s="3">
        <v>-127155.409875465</v>
      </c>
      <c r="I4173" s="3">
        <v>76469.4861028192</v>
      </c>
      <c r="J4173" s="4">
        <v>45992.0</v>
      </c>
      <c r="K4173" s="3">
        <v>20.0</v>
      </c>
      <c r="L4173" s="3" t="s">
        <v>23</v>
      </c>
    </row>
    <row r="4174" ht="15.75" customHeight="1">
      <c r="A4174" s="3" t="s">
        <v>4266</v>
      </c>
      <c r="B4174" s="3" t="s">
        <v>36</v>
      </c>
      <c r="C4174" s="3" t="s">
        <v>33</v>
      </c>
      <c r="D4174" s="3">
        <v>95976.7619559161</v>
      </c>
      <c r="E4174" s="3">
        <v>34318.4584001554</v>
      </c>
      <c r="F4174" s="3">
        <v>34001.6713967059</v>
      </c>
      <c r="G4174" s="3">
        <v>21875.9896694718</v>
      </c>
      <c r="H4174" s="3">
        <v>-127204.913593214</v>
      </c>
      <c r="I4174" s="3">
        <v>76472.867577239</v>
      </c>
      <c r="J4174" s="4">
        <v>45717.0</v>
      </c>
      <c r="K4174" s="3">
        <v>3.0</v>
      </c>
      <c r="L4174" s="3" t="s">
        <v>27</v>
      </c>
    </row>
    <row r="4175" ht="15.75" customHeight="1">
      <c r="A4175" s="3" t="s">
        <v>4267</v>
      </c>
      <c r="B4175" s="3" t="s">
        <v>51</v>
      </c>
      <c r="C4175" s="3" t="s">
        <v>18</v>
      </c>
      <c r="D4175" s="3">
        <v>95987.6449258223</v>
      </c>
      <c r="E4175" s="3">
        <v>34323.0731184828</v>
      </c>
      <c r="F4175" s="3">
        <v>34009.3514001354</v>
      </c>
      <c r="G4175" s="3">
        <v>21879.3872201591</v>
      </c>
      <c r="H4175" s="3">
        <v>-127254.417310963</v>
      </c>
      <c r="I4175" s="3">
        <v>76476.2490516588</v>
      </c>
      <c r="J4175" s="4">
        <v>45689.0</v>
      </c>
      <c r="K4175" s="3">
        <v>25.0</v>
      </c>
      <c r="L4175" s="3" t="s">
        <v>31</v>
      </c>
    </row>
    <row r="4176" ht="15.75" customHeight="1">
      <c r="A4176" s="3" t="s">
        <v>4268</v>
      </c>
      <c r="B4176" s="3" t="s">
        <v>51</v>
      </c>
      <c r="C4176" s="3" t="s">
        <v>14</v>
      </c>
      <c r="D4176" s="5"/>
      <c r="E4176" s="3">
        <v>34327.6878368103</v>
      </c>
      <c r="F4176" s="3">
        <v>34017.0314035649</v>
      </c>
      <c r="G4176" s="3">
        <v>21882.7847708464</v>
      </c>
      <c r="H4176" s="3">
        <v>-127303.921028712</v>
      </c>
      <c r="I4176" s="3">
        <v>76479.6305260786</v>
      </c>
      <c r="J4176" s="4">
        <v>45839.0</v>
      </c>
      <c r="K4176" s="3">
        <v>5.0</v>
      </c>
      <c r="L4176" s="3" t="s">
        <v>34</v>
      </c>
    </row>
    <row r="4177" ht="15.75" customHeight="1">
      <c r="A4177" s="3" t="s">
        <v>4269</v>
      </c>
      <c r="B4177" s="3" t="s">
        <v>13</v>
      </c>
      <c r="C4177" s="3" t="s">
        <v>54</v>
      </c>
      <c r="D4177" s="3">
        <v>96009.4108656347</v>
      </c>
      <c r="E4177" s="3">
        <v>34332.3025551377</v>
      </c>
      <c r="F4177" s="3">
        <v>34024.7114069944</v>
      </c>
      <c r="G4177" s="3">
        <v>21886.1823215337</v>
      </c>
      <c r="H4177" s="3">
        <v>-127353.424746462</v>
      </c>
      <c r="I4177" s="3">
        <v>76483.0120004984</v>
      </c>
      <c r="J4177" s="4">
        <v>45778.0</v>
      </c>
      <c r="K4177" s="3">
        <v>3.0</v>
      </c>
      <c r="L4177" s="3" t="s">
        <v>38</v>
      </c>
    </row>
    <row r="4178" ht="15.75" customHeight="1">
      <c r="A4178" s="3" t="s">
        <v>4270</v>
      </c>
      <c r="B4178" s="3" t="s">
        <v>17</v>
      </c>
      <c r="C4178" s="3" t="s">
        <v>30</v>
      </c>
      <c r="D4178" s="3">
        <v>96020.2938355409</v>
      </c>
      <c r="E4178" s="3">
        <v>34336.9172734651</v>
      </c>
      <c r="F4178" s="3">
        <v>34032.3914104239</v>
      </c>
      <c r="G4178" s="3">
        <v>21889.5798722209</v>
      </c>
      <c r="H4178" s="3">
        <v>-127402.928464211</v>
      </c>
      <c r="I4178" s="3">
        <v>76486.3934749182</v>
      </c>
      <c r="J4178" s="4">
        <v>45901.0</v>
      </c>
      <c r="K4178" s="3">
        <v>18.0</v>
      </c>
      <c r="L4178" s="3" t="s">
        <v>40</v>
      </c>
    </row>
    <row r="4179" ht="15.75" customHeight="1">
      <c r="A4179" s="3" t="s">
        <v>4271</v>
      </c>
      <c r="B4179" s="3" t="s">
        <v>29</v>
      </c>
      <c r="C4179" s="3" t="s">
        <v>33</v>
      </c>
      <c r="D4179" s="3">
        <v>96031.1768054471</v>
      </c>
      <c r="E4179" s="3">
        <v>34341.5319917925</v>
      </c>
      <c r="F4179" s="3">
        <v>34040.0714138534</v>
      </c>
      <c r="G4179" s="3">
        <v>21892.9774229082</v>
      </c>
      <c r="H4179" s="3">
        <v>-127452.43218196</v>
      </c>
      <c r="I4179" s="3">
        <v>76489.774949338</v>
      </c>
      <c r="J4179" s="4">
        <v>45689.0</v>
      </c>
      <c r="K4179" s="3">
        <v>14.0</v>
      </c>
      <c r="L4179" s="3" t="s">
        <v>42</v>
      </c>
    </row>
    <row r="4180" ht="15.75" customHeight="1">
      <c r="A4180" s="3" t="s">
        <v>4272</v>
      </c>
      <c r="B4180" s="3" t="s">
        <v>13</v>
      </c>
      <c r="C4180" s="3" t="s">
        <v>54</v>
      </c>
      <c r="D4180" s="3">
        <v>96042.0597753533</v>
      </c>
      <c r="E4180" s="3">
        <v>34346.1467101199</v>
      </c>
      <c r="F4180" s="3">
        <v>34047.7514172829</v>
      </c>
      <c r="G4180" s="3">
        <v>21896.3749735955</v>
      </c>
      <c r="H4180" s="3">
        <v>-127501.935899709</v>
      </c>
      <c r="I4180" s="3">
        <v>76493.1564237579</v>
      </c>
      <c r="J4180" s="4">
        <v>45962.0</v>
      </c>
      <c r="K4180" s="3">
        <v>15.0</v>
      </c>
      <c r="L4180" s="3" t="s">
        <v>15</v>
      </c>
    </row>
    <row r="4181" ht="15.75" customHeight="1">
      <c r="A4181" s="3" t="s">
        <v>4273</v>
      </c>
      <c r="B4181" s="3" t="s">
        <v>51</v>
      </c>
      <c r="C4181" s="3" t="s">
        <v>37</v>
      </c>
      <c r="D4181" s="3">
        <v>96052.9427452595</v>
      </c>
      <c r="E4181" s="3">
        <v>34350.7614284474</v>
      </c>
      <c r="F4181" s="3">
        <v>34055.4314207124</v>
      </c>
      <c r="G4181" s="3">
        <v>21899.7725242828</v>
      </c>
      <c r="H4181" s="3">
        <v>-127551.439617458</v>
      </c>
      <c r="I4181" s="3">
        <v>76496.5378981777</v>
      </c>
      <c r="J4181" s="4">
        <v>45809.0</v>
      </c>
      <c r="K4181" s="3">
        <v>11.0</v>
      </c>
      <c r="L4181" s="3" t="s">
        <v>19</v>
      </c>
    </row>
    <row r="4182" ht="15.75" customHeight="1">
      <c r="A4182" s="3" t="s">
        <v>4274</v>
      </c>
      <c r="B4182" s="3" t="s">
        <v>36</v>
      </c>
      <c r="C4182" s="3" t="s">
        <v>33</v>
      </c>
      <c r="D4182" s="3">
        <v>96063.8257151657</v>
      </c>
      <c r="E4182" s="3">
        <v>34355.3761467748</v>
      </c>
      <c r="F4182" s="3">
        <v>34063.1114241419</v>
      </c>
      <c r="G4182" s="3">
        <v>21903.1700749701</v>
      </c>
      <c r="H4182" s="3">
        <v>-127600.943335207</v>
      </c>
      <c r="I4182" s="3">
        <v>76499.9193725975</v>
      </c>
      <c r="J4182" s="4">
        <v>45717.0</v>
      </c>
      <c r="K4182" s="3">
        <v>18.0</v>
      </c>
      <c r="L4182" s="3" t="s">
        <v>21</v>
      </c>
    </row>
    <row r="4183" ht="15.75" customHeight="1">
      <c r="A4183" s="3" t="s">
        <v>4275</v>
      </c>
      <c r="B4183" s="3" t="s">
        <v>51</v>
      </c>
      <c r="C4183" s="3" t="s">
        <v>33</v>
      </c>
      <c r="D4183" s="3">
        <v>96074.7086850718</v>
      </c>
      <c r="E4183" s="3">
        <v>34359.9908651022</v>
      </c>
      <c r="F4183" s="3">
        <v>34070.7914275714</v>
      </c>
      <c r="G4183" s="3">
        <v>21906.5676256574</v>
      </c>
      <c r="H4183" s="3">
        <v>-127650.447052956</v>
      </c>
      <c r="I4183" s="3">
        <v>76503.3008470173</v>
      </c>
      <c r="J4183" s="4">
        <v>45658.0</v>
      </c>
      <c r="K4183" s="3">
        <v>16.0</v>
      </c>
      <c r="L4183" s="3" t="s">
        <v>23</v>
      </c>
    </row>
    <row r="4184" ht="15.75" customHeight="1">
      <c r="A4184" s="3" t="s">
        <v>4276</v>
      </c>
      <c r="B4184" s="3" t="s">
        <v>13</v>
      </c>
      <c r="C4184" s="3" t="s">
        <v>14</v>
      </c>
      <c r="D4184" s="3">
        <v>96085.591654978</v>
      </c>
      <c r="E4184" s="3">
        <v>34364.6055834296</v>
      </c>
      <c r="F4184" s="3">
        <v>34078.4714310009</v>
      </c>
      <c r="G4184" s="3">
        <v>21909.9651763447</v>
      </c>
      <c r="H4184" s="3">
        <v>-127699.950770706</v>
      </c>
      <c r="I4184" s="3">
        <v>76506.6823214371</v>
      </c>
      <c r="J4184" s="4">
        <v>45778.0</v>
      </c>
      <c r="K4184" s="3">
        <v>25.0</v>
      </c>
      <c r="L4184" s="3" t="s">
        <v>27</v>
      </c>
    </row>
    <row r="4185" ht="15.75" customHeight="1">
      <c r="A4185" s="3" t="s">
        <v>4277</v>
      </c>
      <c r="B4185" s="3" t="s">
        <v>36</v>
      </c>
      <c r="C4185" s="3" t="s">
        <v>26</v>
      </c>
      <c r="D4185" s="3">
        <v>96096.4746248842</v>
      </c>
      <c r="E4185" s="3">
        <v>34369.2203017571</v>
      </c>
      <c r="F4185" s="3">
        <v>34086.1514344304</v>
      </c>
      <c r="G4185" s="3">
        <v>21913.3627270319</v>
      </c>
      <c r="H4185" s="3">
        <v>-127749.454488455</v>
      </c>
      <c r="I4185" s="3">
        <v>76510.0637958569</v>
      </c>
      <c r="J4185" s="4">
        <v>45870.0</v>
      </c>
      <c r="K4185" s="3">
        <v>6.0</v>
      </c>
      <c r="L4185" s="3" t="s">
        <v>31</v>
      </c>
    </row>
    <row r="4186" ht="15.75" customHeight="1">
      <c r="A4186" s="3" t="s">
        <v>4278</v>
      </c>
      <c r="B4186" s="3" t="s">
        <v>53</v>
      </c>
      <c r="C4186" s="3" t="s">
        <v>18</v>
      </c>
      <c r="D4186" s="3">
        <v>96107.3575947904</v>
      </c>
      <c r="E4186" s="3">
        <v>34373.8350200845</v>
      </c>
      <c r="F4186" s="3">
        <v>34093.8314378599</v>
      </c>
      <c r="G4186" s="3">
        <v>21916.7602777192</v>
      </c>
      <c r="H4186" s="3">
        <v>-127798.958206204</v>
      </c>
      <c r="I4186" s="3">
        <v>76513.4452702767</v>
      </c>
      <c r="J4186" s="4">
        <v>45962.0</v>
      </c>
      <c r="K4186" s="3">
        <v>25.0</v>
      </c>
      <c r="L4186" s="3" t="s">
        <v>34</v>
      </c>
    </row>
    <row r="4187" ht="15.75" customHeight="1">
      <c r="A4187" s="3" t="s">
        <v>4279</v>
      </c>
      <c r="B4187" s="3" t="s">
        <v>29</v>
      </c>
      <c r="C4187" s="3" t="s">
        <v>18</v>
      </c>
      <c r="D4187" s="3">
        <v>96118.2405646966</v>
      </c>
      <c r="E4187" s="3">
        <v>34378.4497384119</v>
      </c>
      <c r="F4187" s="3">
        <v>34101.5114412894</v>
      </c>
      <c r="G4187" s="3">
        <v>21920.1578284065</v>
      </c>
      <c r="H4187" s="3">
        <v>-127848.461923953</v>
      </c>
      <c r="I4187" s="3">
        <v>76516.8267446966</v>
      </c>
      <c r="J4187" s="4">
        <v>45901.0</v>
      </c>
      <c r="K4187" s="3">
        <v>5.0</v>
      </c>
      <c r="L4187" s="3" t="s">
        <v>38</v>
      </c>
    </row>
    <row r="4188" ht="15.75" customHeight="1">
      <c r="A4188" s="3" t="s">
        <v>4280</v>
      </c>
      <c r="B4188" s="3" t="s">
        <v>36</v>
      </c>
      <c r="C4188" s="3" t="s">
        <v>26</v>
      </c>
      <c r="D4188" s="3">
        <v>96140.006504509</v>
      </c>
      <c r="E4188" s="3">
        <v>34387.6791750667</v>
      </c>
      <c r="F4188" s="3">
        <v>34116.8714481484</v>
      </c>
      <c r="G4188" s="3">
        <v>21926.9529297811</v>
      </c>
      <c r="H4188" s="3">
        <v>-127947.469359451</v>
      </c>
      <c r="I4188" s="3">
        <v>76523.5896935362</v>
      </c>
      <c r="J4188" s="4">
        <v>45931.0</v>
      </c>
      <c r="K4188" s="3">
        <v>5.0</v>
      </c>
      <c r="L4188" s="3" t="s">
        <v>42</v>
      </c>
    </row>
    <row r="4189" ht="15.75" customHeight="1">
      <c r="A4189" s="3" t="s">
        <v>4281</v>
      </c>
      <c r="B4189" s="3" t="s">
        <v>53</v>
      </c>
      <c r="C4189" s="3" t="s">
        <v>54</v>
      </c>
      <c r="D4189" s="3">
        <v>96150.8894744152</v>
      </c>
      <c r="E4189" s="3">
        <v>34392.2938933942</v>
      </c>
      <c r="F4189" s="3">
        <v>34124.5514515779</v>
      </c>
      <c r="G4189" s="3">
        <v>21930.3504804684</v>
      </c>
      <c r="H4189" s="3">
        <v>-127996.9730772</v>
      </c>
      <c r="I4189" s="3">
        <v>76526.971167956</v>
      </c>
      <c r="J4189" s="4">
        <v>45870.0</v>
      </c>
      <c r="K4189" s="3">
        <v>14.0</v>
      </c>
      <c r="L4189" s="3" t="s">
        <v>15</v>
      </c>
    </row>
    <row r="4190" ht="15.75" customHeight="1">
      <c r="A4190" s="3" t="s">
        <v>4282</v>
      </c>
      <c r="B4190" s="3" t="s">
        <v>51</v>
      </c>
      <c r="C4190" s="3" t="s">
        <v>18</v>
      </c>
      <c r="D4190" s="3">
        <v>96161.7724443214</v>
      </c>
      <c r="E4190" s="3">
        <v>34396.9086117216</v>
      </c>
      <c r="F4190" s="3">
        <v>34132.2314550074</v>
      </c>
      <c r="G4190" s="3">
        <v>21933.7480311557</v>
      </c>
      <c r="H4190" s="3">
        <v>-128046.476794949</v>
      </c>
      <c r="I4190" s="3">
        <v>76530.3526423758</v>
      </c>
      <c r="J4190" s="3" t="s">
        <v>432</v>
      </c>
      <c r="K4190" s="3">
        <v>25.0</v>
      </c>
      <c r="L4190" s="3" t="s">
        <v>19</v>
      </c>
    </row>
    <row r="4191" ht="15.75" customHeight="1">
      <c r="A4191" s="3" t="s">
        <v>4283</v>
      </c>
      <c r="B4191" s="3" t="s">
        <v>25</v>
      </c>
      <c r="C4191" s="3" t="s">
        <v>14</v>
      </c>
      <c r="D4191" s="3">
        <v>96172.6554142276</v>
      </c>
      <c r="E4191" s="3">
        <v>34401.523330049</v>
      </c>
      <c r="F4191" s="3">
        <v>34139.9114584369</v>
      </c>
      <c r="G4191" s="3">
        <v>21937.145581843</v>
      </c>
      <c r="H4191" s="3">
        <v>-128095.980512699</v>
      </c>
      <c r="I4191" s="3">
        <v>76533.7341167956</v>
      </c>
      <c r="J4191" s="3" t="s">
        <v>1325</v>
      </c>
      <c r="K4191" s="3">
        <v>13.0</v>
      </c>
      <c r="L4191" s="3" t="s">
        <v>21</v>
      </c>
    </row>
    <row r="4192" ht="15.75" customHeight="1">
      <c r="A4192" s="3" t="s">
        <v>4284</v>
      </c>
      <c r="B4192" s="3" t="s">
        <v>51</v>
      </c>
      <c r="C4192" s="3" t="s">
        <v>14</v>
      </c>
      <c r="D4192" s="3">
        <v>96183.5383841338</v>
      </c>
      <c r="E4192" s="3">
        <v>34406.1380483764</v>
      </c>
      <c r="F4192" s="3">
        <v>34147.5914618664</v>
      </c>
      <c r="G4192" s="3">
        <v>21940.5431325302</v>
      </c>
      <c r="H4192" s="3">
        <v>-128145.484230448</v>
      </c>
      <c r="I4192" s="3">
        <v>76537.1155912154</v>
      </c>
      <c r="J4192" s="4">
        <v>45931.0</v>
      </c>
      <c r="K4192" s="3">
        <v>2.0</v>
      </c>
      <c r="L4192" s="3" t="s">
        <v>23</v>
      </c>
    </row>
    <row r="4193" ht="15.75" customHeight="1">
      <c r="A4193" s="3" t="s">
        <v>4285</v>
      </c>
      <c r="B4193" s="3" t="s">
        <v>13</v>
      </c>
      <c r="C4193" s="3" t="s">
        <v>18</v>
      </c>
      <c r="D4193" s="3">
        <v>96194.42135404</v>
      </c>
      <c r="E4193" s="3">
        <v>34410.7527667039</v>
      </c>
      <c r="F4193" s="3">
        <v>34155.2714652959</v>
      </c>
      <c r="G4193" s="3">
        <v>21943.9406832175</v>
      </c>
      <c r="H4193" s="3">
        <v>-128194.987948197</v>
      </c>
      <c r="I4193" s="3">
        <v>76540.4970656353</v>
      </c>
      <c r="J4193" s="4">
        <v>45931.0</v>
      </c>
      <c r="K4193" s="3">
        <v>9.0</v>
      </c>
      <c r="L4193" s="3" t="s">
        <v>27</v>
      </c>
    </row>
    <row r="4194" ht="15.75" customHeight="1">
      <c r="A4194" s="3" t="s">
        <v>4286</v>
      </c>
      <c r="B4194" s="3" t="s">
        <v>13</v>
      </c>
      <c r="C4194" s="3" t="s">
        <v>54</v>
      </c>
      <c r="D4194" s="3">
        <v>96205.3043239462</v>
      </c>
      <c r="E4194" s="3">
        <v>34415.3674850313</v>
      </c>
      <c r="F4194" s="3">
        <v>34162.9514687254</v>
      </c>
      <c r="G4194" s="3">
        <v>21947.3382339048</v>
      </c>
      <c r="H4194" s="3">
        <v>-128244.491665946</v>
      </c>
      <c r="I4194" s="3">
        <v>76543.8785400551</v>
      </c>
      <c r="J4194" s="4">
        <v>45809.0</v>
      </c>
      <c r="K4194" s="3">
        <v>5.0</v>
      </c>
      <c r="L4194" s="3" t="s">
        <v>31</v>
      </c>
    </row>
    <row r="4195" ht="15.75" customHeight="1">
      <c r="A4195" s="3" t="s">
        <v>4287</v>
      </c>
      <c r="B4195" s="3" t="s">
        <v>29</v>
      </c>
      <c r="C4195" s="3" t="s">
        <v>37</v>
      </c>
      <c r="D4195" s="3">
        <v>96216.1872938524</v>
      </c>
      <c r="E4195" s="3">
        <v>34419.9822033587</v>
      </c>
      <c r="F4195" s="3">
        <v>34170.6314721549</v>
      </c>
      <c r="G4195" s="3">
        <v>21950.7357845921</v>
      </c>
      <c r="H4195" s="3">
        <v>-128293.995383695</v>
      </c>
      <c r="I4195" s="3">
        <v>76547.2600144749</v>
      </c>
      <c r="J4195" s="4">
        <v>45748.0</v>
      </c>
      <c r="K4195" s="3">
        <v>19.0</v>
      </c>
      <c r="L4195" s="3" t="s">
        <v>34</v>
      </c>
    </row>
    <row r="4196" ht="15.75" customHeight="1">
      <c r="A4196" s="3" t="s">
        <v>4288</v>
      </c>
      <c r="B4196" s="3" t="s">
        <v>13</v>
      </c>
      <c r="C4196" s="3" t="s">
        <v>18</v>
      </c>
      <c r="D4196" s="3">
        <v>96227.0702637586</v>
      </c>
      <c r="E4196" s="3">
        <v>34424.5969216861</v>
      </c>
      <c r="F4196" s="3">
        <v>34178.3114755843</v>
      </c>
      <c r="G4196" s="3">
        <v>21954.1333352794</v>
      </c>
      <c r="H4196" s="3">
        <v>-128343.499101444</v>
      </c>
      <c r="I4196" s="3">
        <v>76550.6414888947</v>
      </c>
      <c r="J4196" s="4">
        <v>45870.0</v>
      </c>
      <c r="K4196" s="3">
        <v>12.0</v>
      </c>
      <c r="L4196" s="3" t="s">
        <v>38</v>
      </c>
    </row>
    <row r="4197" ht="15.75" customHeight="1">
      <c r="A4197" s="3" t="s">
        <v>4289</v>
      </c>
      <c r="B4197" s="3" t="s">
        <v>53</v>
      </c>
      <c r="C4197" s="3" t="s">
        <v>54</v>
      </c>
      <c r="D4197" s="3">
        <v>96237.9532336647</v>
      </c>
      <c r="E4197" s="3">
        <v>34429.2116400135</v>
      </c>
      <c r="F4197" s="3">
        <v>34185.9914790138</v>
      </c>
      <c r="G4197" s="3">
        <v>21957.5308859667</v>
      </c>
      <c r="H4197" s="3">
        <v>-128393.002819193</v>
      </c>
      <c r="I4197" s="3">
        <v>76554.0229633145</v>
      </c>
      <c r="J4197" s="4">
        <v>45901.0</v>
      </c>
      <c r="K4197" s="3">
        <v>20.0</v>
      </c>
      <c r="L4197" s="3" t="s">
        <v>40</v>
      </c>
    </row>
    <row r="4198" ht="15.75" customHeight="1">
      <c r="A4198" s="3" t="s">
        <v>4290</v>
      </c>
      <c r="B4198" s="3" t="s">
        <v>17</v>
      </c>
      <c r="C4198" s="3" t="s">
        <v>33</v>
      </c>
      <c r="D4198" s="3">
        <v>96248.8362035709</v>
      </c>
      <c r="E4198" s="3">
        <v>34433.826358341</v>
      </c>
      <c r="F4198" s="3">
        <v>34193.6714824433</v>
      </c>
      <c r="G4198" s="3">
        <v>21960.928436654</v>
      </c>
      <c r="H4198" s="3">
        <v>-128442.506536942</v>
      </c>
      <c r="I4198" s="3">
        <v>76557.4044377343</v>
      </c>
      <c r="J4198" s="4">
        <v>45931.0</v>
      </c>
      <c r="K4198" s="3">
        <v>4.0</v>
      </c>
      <c r="L4198" s="3" t="s">
        <v>42</v>
      </c>
    </row>
    <row r="4199" ht="15.75" customHeight="1">
      <c r="A4199" s="3" t="s">
        <v>4291</v>
      </c>
      <c r="B4199" s="3" t="s">
        <v>17</v>
      </c>
      <c r="C4199" s="3" t="s">
        <v>30</v>
      </c>
      <c r="D4199" s="3">
        <v>96259.7191734771</v>
      </c>
      <c r="E4199" s="3">
        <v>34438.4410766684</v>
      </c>
      <c r="F4199" s="3">
        <v>34201.3514858728</v>
      </c>
      <c r="G4199" s="3">
        <v>21964.3259873413</v>
      </c>
      <c r="H4199" s="3">
        <v>-128492.010254692</v>
      </c>
      <c r="I4199" s="3">
        <v>76560.7859121541</v>
      </c>
      <c r="J4199" s="4">
        <v>45689.0</v>
      </c>
      <c r="K4199" s="3">
        <v>18.0</v>
      </c>
      <c r="L4199" s="3" t="s">
        <v>15</v>
      </c>
    </row>
    <row r="4200" ht="15.75" customHeight="1">
      <c r="A4200" s="3" t="s">
        <v>4292</v>
      </c>
      <c r="B4200" s="3" t="s">
        <v>36</v>
      </c>
      <c r="C4200" s="3" t="s">
        <v>26</v>
      </c>
      <c r="D4200" s="3">
        <v>96270.6021433833</v>
      </c>
      <c r="E4200" s="3">
        <v>34443.0557949958</v>
      </c>
      <c r="F4200" s="3">
        <v>34209.0314893023</v>
      </c>
      <c r="G4200" s="3">
        <v>21967.7235380285</v>
      </c>
      <c r="H4200" s="3">
        <v>-128541.513972441</v>
      </c>
      <c r="I4200" s="3">
        <v>76564.167386574</v>
      </c>
      <c r="J4200" s="4">
        <v>45809.0</v>
      </c>
      <c r="K4200" s="3">
        <v>4.0</v>
      </c>
      <c r="L4200" s="3" t="s">
        <v>19</v>
      </c>
    </row>
    <row r="4201" ht="15.75" customHeight="1">
      <c r="A4201" s="3" t="s">
        <v>4293</v>
      </c>
      <c r="B4201" s="3" t="s">
        <v>53</v>
      </c>
      <c r="C4201" s="3" t="s">
        <v>54</v>
      </c>
      <c r="D4201" s="5"/>
      <c r="E4201" s="3">
        <v>34456.8999499781</v>
      </c>
      <c r="F4201" s="3">
        <v>34232.0714995908</v>
      </c>
      <c r="G4201" s="3">
        <v>21977.9161900904</v>
      </c>
      <c r="H4201" s="3">
        <v>-128690.025125688</v>
      </c>
      <c r="I4201" s="3">
        <v>76574.3118098334</v>
      </c>
      <c r="J4201" s="4">
        <v>45689.0</v>
      </c>
      <c r="K4201" s="3">
        <v>2.0</v>
      </c>
      <c r="L4201" s="3" t="s">
        <v>27</v>
      </c>
    </row>
    <row r="4202" ht="15.75" customHeight="1">
      <c r="A4202" s="3" t="s">
        <v>4294</v>
      </c>
      <c r="B4202" s="3" t="s">
        <v>25</v>
      </c>
      <c r="C4202" s="3" t="s">
        <v>37</v>
      </c>
      <c r="D4202" s="3">
        <v>96314.1340230081</v>
      </c>
      <c r="E4202" s="3">
        <v>34461.5146683055</v>
      </c>
      <c r="F4202" s="3">
        <v>34239.7515030203</v>
      </c>
      <c r="G4202" s="3">
        <v>21981.3137407777</v>
      </c>
      <c r="H4202" s="3">
        <v>-128739.528843437</v>
      </c>
      <c r="I4202" s="3">
        <v>76577.6932842532</v>
      </c>
      <c r="J4202" s="4">
        <v>45962.0</v>
      </c>
      <c r="K4202" s="3">
        <v>22.0</v>
      </c>
      <c r="L4202" s="3" t="s">
        <v>31</v>
      </c>
    </row>
    <row r="4203" ht="15.75" customHeight="1">
      <c r="A4203" s="3" t="s">
        <v>4295</v>
      </c>
      <c r="B4203" s="3" t="s">
        <v>53</v>
      </c>
      <c r="C4203" s="3" t="s">
        <v>33</v>
      </c>
      <c r="D4203" s="3">
        <v>96325.0169929143</v>
      </c>
      <c r="E4203" s="3">
        <v>34466.1293866329</v>
      </c>
      <c r="F4203" s="3">
        <v>34247.4315064498</v>
      </c>
      <c r="G4203" s="3">
        <v>21984.711291465</v>
      </c>
      <c r="H4203" s="3">
        <v>-128789.032561186</v>
      </c>
      <c r="I4203" s="3">
        <v>76581.074758673</v>
      </c>
      <c r="J4203" s="4">
        <v>45658.0</v>
      </c>
      <c r="K4203" s="3">
        <v>13.0</v>
      </c>
      <c r="L4203" s="3" t="s">
        <v>34</v>
      </c>
    </row>
    <row r="4204" ht="15.75" customHeight="1">
      <c r="A4204" s="3" t="s">
        <v>4296</v>
      </c>
      <c r="B4204" s="3" t="s">
        <v>51</v>
      </c>
      <c r="C4204" s="3" t="s">
        <v>14</v>
      </c>
      <c r="D4204" s="3">
        <v>96335.8999628205</v>
      </c>
      <c r="E4204" s="3">
        <v>34470.7441049603</v>
      </c>
      <c r="F4204" s="3">
        <v>34255.1115098793</v>
      </c>
      <c r="G4204" s="3">
        <v>21988.1088421523</v>
      </c>
      <c r="H4204" s="3">
        <v>-128838.536278935</v>
      </c>
      <c r="I4204" s="3">
        <v>76584.4562330928</v>
      </c>
      <c r="J4204" s="4">
        <v>45901.0</v>
      </c>
      <c r="K4204" s="3">
        <v>24.0</v>
      </c>
      <c r="L4204" s="3" t="s">
        <v>38</v>
      </c>
    </row>
    <row r="4205" ht="15.75" customHeight="1">
      <c r="A4205" s="3" t="s">
        <v>4297</v>
      </c>
      <c r="B4205" s="3" t="s">
        <v>13</v>
      </c>
      <c r="C4205" s="3" t="s">
        <v>14</v>
      </c>
      <c r="D4205" s="3">
        <v>96346.7829327267</v>
      </c>
      <c r="E4205" s="3">
        <v>34475.3588232878</v>
      </c>
      <c r="F4205" s="3">
        <v>34262.7915133088</v>
      </c>
      <c r="G4205" s="3">
        <v>21991.5063928395</v>
      </c>
      <c r="H4205" s="3">
        <v>-128888.039996685</v>
      </c>
      <c r="I4205" s="3">
        <v>76587.8377075127</v>
      </c>
      <c r="J4205" s="4">
        <v>45901.0</v>
      </c>
      <c r="K4205" s="3">
        <v>16.0</v>
      </c>
      <c r="L4205" s="3" t="s">
        <v>40</v>
      </c>
    </row>
    <row r="4206" ht="15.75" customHeight="1">
      <c r="A4206" s="3" t="s">
        <v>4298</v>
      </c>
      <c r="B4206" s="3" t="s">
        <v>36</v>
      </c>
      <c r="C4206" s="3" t="s">
        <v>30</v>
      </c>
      <c r="D4206" s="3">
        <v>96357.6659026329</v>
      </c>
      <c r="E4206" s="3">
        <v>34479.9735416152</v>
      </c>
      <c r="F4206" s="3">
        <v>34270.4715167383</v>
      </c>
      <c r="G4206" s="3">
        <v>21994.9039435268</v>
      </c>
      <c r="H4206" s="3">
        <v>-128937.543714434</v>
      </c>
      <c r="I4206" s="3">
        <v>76591.2191819325</v>
      </c>
      <c r="J4206" s="4">
        <v>45992.0</v>
      </c>
      <c r="K4206" s="3">
        <v>14.0</v>
      </c>
      <c r="L4206" s="3" t="s">
        <v>42</v>
      </c>
    </row>
    <row r="4207" ht="15.75" customHeight="1">
      <c r="A4207" s="3" t="s">
        <v>4299</v>
      </c>
      <c r="B4207" s="3" t="s">
        <v>51</v>
      </c>
      <c r="C4207" s="3" t="s">
        <v>33</v>
      </c>
      <c r="D4207" s="3">
        <v>96368.5488725391</v>
      </c>
      <c r="E4207" s="3">
        <v>34484.5882599426</v>
      </c>
      <c r="F4207" s="3">
        <v>34278.1515201678</v>
      </c>
      <c r="G4207" s="3">
        <v>21998.3014942141</v>
      </c>
      <c r="H4207" s="3">
        <v>-128987.047432183</v>
      </c>
      <c r="I4207" s="3">
        <v>76594.6006563523</v>
      </c>
      <c r="J4207" s="3" t="s">
        <v>2321</v>
      </c>
      <c r="K4207" s="3">
        <v>8.0</v>
      </c>
      <c r="L4207" s="3" t="s">
        <v>15</v>
      </c>
    </row>
    <row r="4208" ht="15.75" customHeight="1">
      <c r="A4208" s="3" t="s">
        <v>4300</v>
      </c>
      <c r="B4208" s="3" t="s">
        <v>17</v>
      </c>
      <c r="C4208" s="3" t="s">
        <v>14</v>
      </c>
      <c r="D4208" s="3">
        <v>96379.4318424453</v>
      </c>
      <c r="E4208" s="3">
        <v>34489.20297827</v>
      </c>
      <c r="F4208" s="3">
        <v>34285.8315235973</v>
      </c>
      <c r="G4208" s="3">
        <v>22001.6990449014</v>
      </c>
      <c r="H4208" s="3">
        <v>-129036.551149932</v>
      </c>
      <c r="I4208" s="3">
        <v>76597.9821307721</v>
      </c>
      <c r="J4208" s="4">
        <v>45931.0</v>
      </c>
      <c r="K4208" s="3">
        <v>12.0</v>
      </c>
      <c r="L4208" s="3" t="s">
        <v>19</v>
      </c>
    </row>
    <row r="4209" ht="15.75" customHeight="1">
      <c r="A4209" s="3" t="s">
        <v>4301</v>
      </c>
      <c r="B4209" s="3" t="s">
        <v>36</v>
      </c>
      <c r="C4209" s="3" t="s">
        <v>30</v>
      </c>
      <c r="D4209" s="3">
        <v>96390.3148123515</v>
      </c>
      <c r="E4209" s="3">
        <v>34493.8176965974</v>
      </c>
      <c r="F4209" s="3">
        <v>34293.5115270268</v>
      </c>
      <c r="G4209" s="3">
        <v>22005.0965955887</v>
      </c>
      <c r="H4209" s="3">
        <v>-129086.054867681</v>
      </c>
      <c r="I4209" s="3">
        <v>76601.3636051919</v>
      </c>
      <c r="J4209" s="4">
        <v>45992.0</v>
      </c>
      <c r="K4209" s="3">
        <v>20.0</v>
      </c>
      <c r="L4209" s="3" t="s">
        <v>21</v>
      </c>
    </row>
    <row r="4210" ht="15.75" customHeight="1">
      <c r="A4210" s="3" t="s">
        <v>4302</v>
      </c>
      <c r="B4210" s="3" t="s">
        <v>13</v>
      </c>
      <c r="C4210" s="3" t="s">
        <v>37</v>
      </c>
      <c r="D4210" s="3">
        <v>96401.1977822577</v>
      </c>
      <c r="E4210" s="3">
        <v>34498.4324149249</v>
      </c>
      <c r="F4210" s="3">
        <v>34301.1915304563</v>
      </c>
      <c r="G4210" s="3">
        <v>22008.494146276</v>
      </c>
      <c r="H4210" s="3">
        <v>-129135.55858543</v>
      </c>
      <c r="I4210" s="3">
        <v>76604.7450796117</v>
      </c>
      <c r="J4210" s="4">
        <v>45839.0</v>
      </c>
      <c r="K4210" s="3">
        <v>11.0</v>
      </c>
      <c r="L4210" s="3" t="s">
        <v>23</v>
      </c>
    </row>
    <row r="4211" ht="15.75" customHeight="1">
      <c r="A4211" s="3" t="s">
        <v>4303</v>
      </c>
      <c r="B4211" s="3" t="s">
        <v>25</v>
      </c>
      <c r="C4211" s="3" t="s">
        <v>33</v>
      </c>
      <c r="D4211" s="3">
        <v>96412.0807521638</v>
      </c>
      <c r="E4211" s="3">
        <v>34503.0471332523</v>
      </c>
      <c r="F4211" s="3">
        <v>34308.8715338858</v>
      </c>
      <c r="G4211" s="3">
        <v>22011.8916969633</v>
      </c>
      <c r="H4211" s="3">
        <v>-129185.062303179</v>
      </c>
      <c r="I4211" s="3">
        <v>76608.1265540316</v>
      </c>
      <c r="J4211" s="4">
        <v>45901.0</v>
      </c>
      <c r="K4211" s="3">
        <v>6.0</v>
      </c>
      <c r="L4211" s="3" t="s">
        <v>27</v>
      </c>
    </row>
    <row r="4212" ht="15.75" customHeight="1">
      <c r="A4212" s="3" t="s">
        <v>4304</v>
      </c>
      <c r="B4212" s="3" t="s">
        <v>25</v>
      </c>
      <c r="C4212" s="3" t="s">
        <v>54</v>
      </c>
      <c r="D4212" s="3">
        <v>96422.96372207</v>
      </c>
      <c r="E4212" s="3">
        <v>34507.6618515797</v>
      </c>
      <c r="F4212" s="3">
        <v>34316.5515373153</v>
      </c>
      <c r="G4212" s="3">
        <v>22015.2892476506</v>
      </c>
      <c r="H4212" s="3">
        <v>-129234.566020928</v>
      </c>
      <c r="I4212" s="3">
        <v>76611.5080284514</v>
      </c>
      <c r="J4212" s="4">
        <v>45931.0</v>
      </c>
      <c r="K4212" s="3">
        <v>16.0</v>
      </c>
      <c r="L4212" s="3" t="s">
        <v>31</v>
      </c>
    </row>
    <row r="4213" ht="15.75" customHeight="1">
      <c r="A4213" s="3" t="s">
        <v>4305</v>
      </c>
      <c r="B4213" s="3" t="s">
        <v>13</v>
      </c>
      <c r="C4213" s="3" t="s">
        <v>14</v>
      </c>
      <c r="D4213" s="3">
        <v>96433.8466919762</v>
      </c>
      <c r="E4213" s="3">
        <v>34512.2765699071</v>
      </c>
      <c r="F4213" s="3">
        <v>34324.2315407448</v>
      </c>
      <c r="G4213" s="3">
        <v>22018.6867983378</v>
      </c>
      <c r="H4213" s="3">
        <v>-129284.069738678</v>
      </c>
      <c r="I4213" s="3">
        <v>76614.8895028712</v>
      </c>
      <c r="J4213" s="4">
        <v>45689.0</v>
      </c>
      <c r="K4213" s="3">
        <v>20.0</v>
      </c>
      <c r="L4213" s="3" t="s">
        <v>34</v>
      </c>
    </row>
    <row r="4214" ht="15.75" customHeight="1">
      <c r="A4214" s="3" t="s">
        <v>4306</v>
      </c>
      <c r="B4214" s="3" t="s">
        <v>36</v>
      </c>
      <c r="C4214" s="3" t="s">
        <v>18</v>
      </c>
      <c r="D4214" s="3">
        <v>96444.7296618824</v>
      </c>
      <c r="E4214" s="3">
        <v>34516.8912882346</v>
      </c>
      <c r="F4214" s="3">
        <v>34331.9115441743</v>
      </c>
      <c r="G4214" s="3">
        <v>22022.0843490251</v>
      </c>
      <c r="H4214" s="3">
        <v>-129333.573456427</v>
      </c>
      <c r="I4214" s="3">
        <v>76618.270977291</v>
      </c>
      <c r="J4214" s="4">
        <v>45962.0</v>
      </c>
      <c r="K4214" s="3">
        <v>22.0</v>
      </c>
      <c r="L4214" s="3" t="s">
        <v>38</v>
      </c>
    </row>
    <row r="4215" ht="15.75" customHeight="1">
      <c r="A4215" s="3" t="s">
        <v>4307</v>
      </c>
      <c r="B4215" s="3" t="s">
        <v>13</v>
      </c>
      <c r="C4215" s="3" t="s">
        <v>54</v>
      </c>
      <c r="D4215" s="3">
        <v>96455.6126317886</v>
      </c>
      <c r="E4215" s="3">
        <v>34521.506006562</v>
      </c>
      <c r="F4215" s="3">
        <v>34339.5915476038</v>
      </c>
      <c r="G4215" s="3">
        <v>22025.4818997124</v>
      </c>
      <c r="H4215" s="3">
        <v>-129383.077174176</v>
      </c>
      <c r="I4215" s="3">
        <v>76621.6524517108</v>
      </c>
      <c r="J4215" s="3" t="s">
        <v>1575</v>
      </c>
      <c r="K4215" s="3">
        <v>24.0</v>
      </c>
      <c r="L4215" s="3" t="s">
        <v>40</v>
      </c>
    </row>
    <row r="4216" ht="15.75" customHeight="1">
      <c r="A4216" s="3" t="s">
        <v>4308</v>
      </c>
      <c r="B4216" s="3" t="s">
        <v>53</v>
      </c>
      <c r="C4216" s="3" t="s">
        <v>26</v>
      </c>
      <c r="D4216" s="3">
        <v>96466.4956016948</v>
      </c>
      <c r="E4216" s="3">
        <v>34526.1207248894</v>
      </c>
      <c r="F4216" s="3">
        <v>34347.2715510333</v>
      </c>
      <c r="G4216" s="3">
        <v>22028.8794503997</v>
      </c>
      <c r="H4216" s="3">
        <v>-129432.580891925</v>
      </c>
      <c r="I4216" s="3">
        <v>76625.0339261306</v>
      </c>
      <c r="J4216" s="4">
        <v>45809.0</v>
      </c>
      <c r="K4216" s="3">
        <v>9.0</v>
      </c>
      <c r="L4216" s="3" t="s">
        <v>42</v>
      </c>
    </row>
    <row r="4217" ht="15.75" customHeight="1">
      <c r="A4217" s="3" t="s">
        <v>4309</v>
      </c>
      <c r="B4217" s="3" t="s">
        <v>36</v>
      </c>
      <c r="C4217" s="3" t="s">
        <v>14</v>
      </c>
      <c r="D4217" s="3">
        <v>96477.378571601</v>
      </c>
      <c r="E4217" s="3">
        <v>34530.7354432168</v>
      </c>
      <c r="F4217" s="3">
        <v>34354.9515544628</v>
      </c>
      <c r="G4217" s="3">
        <v>22032.277001087</v>
      </c>
      <c r="H4217" s="3">
        <v>-129482.084609674</v>
      </c>
      <c r="I4217" s="3">
        <v>76628.4154005504</v>
      </c>
      <c r="J4217" s="4">
        <v>45689.0</v>
      </c>
      <c r="K4217" s="3">
        <v>19.0</v>
      </c>
      <c r="L4217" s="3" t="s">
        <v>15</v>
      </c>
    </row>
    <row r="4218" ht="15.75" customHeight="1">
      <c r="A4218" s="3" t="s">
        <v>4310</v>
      </c>
      <c r="B4218" s="3" t="s">
        <v>13</v>
      </c>
      <c r="C4218" s="3" t="s">
        <v>37</v>
      </c>
      <c r="D4218" s="3">
        <v>96488.2615415072</v>
      </c>
      <c r="E4218" s="3">
        <v>34535.3501615442</v>
      </c>
      <c r="F4218" s="3">
        <v>34362.6315578923</v>
      </c>
      <c r="G4218" s="3">
        <v>22035.6745517743</v>
      </c>
      <c r="H4218" s="3">
        <v>-129531.588327423</v>
      </c>
      <c r="I4218" s="3">
        <v>76631.7968749703</v>
      </c>
      <c r="J4218" s="4">
        <v>45689.0</v>
      </c>
      <c r="K4218" s="3">
        <v>20.0</v>
      </c>
      <c r="L4218" s="3" t="s">
        <v>19</v>
      </c>
    </row>
    <row r="4219" ht="15.75" customHeight="1">
      <c r="A4219" s="3" t="s">
        <v>4311</v>
      </c>
      <c r="B4219" s="3" t="s">
        <v>36</v>
      </c>
      <c r="C4219" s="3" t="s">
        <v>37</v>
      </c>
      <c r="D4219" s="3">
        <v>96499.1445114134</v>
      </c>
      <c r="E4219" s="3">
        <v>34539.9648798717</v>
      </c>
      <c r="F4219" s="3">
        <v>34370.3115613218</v>
      </c>
      <c r="G4219" s="3">
        <v>22039.0721024616</v>
      </c>
      <c r="H4219" s="3">
        <v>-129581.092045172</v>
      </c>
      <c r="I4219" s="3">
        <v>76635.1783493901</v>
      </c>
      <c r="J4219" s="4">
        <v>45992.0</v>
      </c>
      <c r="K4219" s="3">
        <v>6.0</v>
      </c>
      <c r="L4219" s="3" t="s">
        <v>21</v>
      </c>
    </row>
    <row r="4220" ht="15.75" customHeight="1">
      <c r="A4220" s="3" t="s">
        <v>4312</v>
      </c>
      <c r="B4220" s="3" t="s">
        <v>53</v>
      </c>
      <c r="C4220" s="3" t="s">
        <v>26</v>
      </c>
      <c r="D4220" s="3">
        <v>96510.0274813196</v>
      </c>
      <c r="E4220" s="3">
        <v>34544.5795981991</v>
      </c>
      <c r="F4220" s="3">
        <v>34377.9915647513</v>
      </c>
      <c r="G4220" s="3">
        <v>22042.4696531489</v>
      </c>
      <c r="H4220" s="3">
        <v>-129630.595762921</v>
      </c>
      <c r="I4220" s="3">
        <v>76638.5598238099</v>
      </c>
      <c r="J4220" s="4">
        <v>45839.0</v>
      </c>
      <c r="K4220" s="3">
        <v>13.0</v>
      </c>
      <c r="L4220" s="3" t="s">
        <v>23</v>
      </c>
    </row>
    <row r="4221" ht="15.75" customHeight="1">
      <c r="A4221" s="3" t="s">
        <v>4313</v>
      </c>
      <c r="B4221" s="3" t="s">
        <v>36</v>
      </c>
      <c r="C4221" s="3" t="s">
        <v>14</v>
      </c>
      <c r="D4221" s="3">
        <v>96520.9104512258</v>
      </c>
      <c r="E4221" s="3">
        <v>34549.1943165265</v>
      </c>
      <c r="F4221" s="3">
        <v>34385.6715681808</v>
      </c>
      <c r="G4221" s="3">
        <v>22045.8672038361</v>
      </c>
      <c r="H4221" s="3">
        <v>-129680.099480671</v>
      </c>
      <c r="I4221" s="3">
        <v>76641.9412982297</v>
      </c>
      <c r="J4221" s="4">
        <v>45717.0</v>
      </c>
      <c r="K4221" s="3">
        <v>23.0</v>
      </c>
      <c r="L4221" s="3" t="s">
        <v>27</v>
      </c>
    </row>
    <row r="4222" ht="15.75" customHeight="1">
      <c r="A4222" s="3" t="s">
        <v>4314</v>
      </c>
      <c r="B4222" s="3" t="s">
        <v>29</v>
      </c>
      <c r="C4222" s="3" t="s">
        <v>26</v>
      </c>
      <c r="D4222" s="3">
        <v>96531.793421132</v>
      </c>
      <c r="E4222" s="3">
        <v>34553.8090348539</v>
      </c>
      <c r="F4222" s="3">
        <v>34393.3515716103</v>
      </c>
      <c r="G4222" s="3">
        <v>22049.2647545234</v>
      </c>
      <c r="H4222" s="3">
        <v>-129729.60319842</v>
      </c>
      <c r="I4222" s="3">
        <v>76645.3227726495</v>
      </c>
      <c r="J4222" s="4">
        <v>45931.0</v>
      </c>
      <c r="K4222" s="3">
        <v>16.0</v>
      </c>
      <c r="L4222" s="3" t="s">
        <v>31</v>
      </c>
    </row>
    <row r="4223" ht="15.75" customHeight="1">
      <c r="A4223" s="3" t="s">
        <v>4315</v>
      </c>
      <c r="B4223" s="3" t="s">
        <v>13</v>
      </c>
      <c r="C4223" s="3" t="s">
        <v>37</v>
      </c>
      <c r="D4223" s="3">
        <v>96542.6763910382</v>
      </c>
      <c r="E4223" s="3">
        <v>34558.4237531814</v>
      </c>
      <c r="F4223" s="3">
        <v>34401.0315750398</v>
      </c>
      <c r="G4223" s="3">
        <v>22052.6623052107</v>
      </c>
      <c r="H4223" s="3">
        <v>-129779.106916169</v>
      </c>
      <c r="I4223" s="3">
        <v>76648.7042470693</v>
      </c>
      <c r="J4223" s="4">
        <v>45839.0</v>
      </c>
      <c r="K4223" s="3">
        <v>15.0</v>
      </c>
      <c r="L4223" s="3" t="s">
        <v>34</v>
      </c>
    </row>
    <row r="4224" ht="15.75" customHeight="1">
      <c r="A4224" s="3" t="s">
        <v>4316</v>
      </c>
      <c r="B4224" s="3" t="s">
        <v>13</v>
      </c>
      <c r="C4224" s="3" t="s">
        <v>18</v>
      </c>
      <c r="D4224" s="3">
        <v>96553.5593609444</v>
      </c>
      <c r="E4224" s="3">
        <v>34563.0384715088</v>
      </c>
      <c r="F4224" s="3">
        <v>34408.7115784693</v>
      </c>
      <c r="G4224" s="3">
        <v>22056.059855898</v>
      </c>
      <c r="H4224" s="3">
        <v>-129828.610633918</v>
      </c>
      <c r="I4224" s="3">
        <v>76652.0857214891</v>
      </c>
      <c r="J4224" s="4">
        <v>45870.0</v>
      </c>
      <c r="K4224" s="3">
        <v>15.0</v>
      </c>
      <c r="L4224" s="3" t="s">
        <v>38</v>
      </c>
    </row>
    <row r="4225" ht="15.75" customHeight="1">
      <c r="A4225" s="3" t="s">
        <v>4317</v>
      </c>
      <c r="B4225" s="3" t="s">
        <v>36</v>
      </c>
      <c r="C4225" s="3" t="s">
        <v>54</v>
      </c>
      <c r="D4225" s="5"/>
      <c r="E4225" s="3">
        <v>34567.6531898362</v>
      </c>
      <c r="F4225" s="3">
        <v>34416.3915818988</v>
      </c>
      <c r="G4225" s="3">
        <v>22059.4574065853</v>
      </c>
      <c r="H4225" s="3">
        <v>-129878.114351667</v>
      </c>
      <c r="I4225" s="3">
        <v>76655.467195909</v>
      </c>
      <c r="J4225" s="4">
        <v>45717.0</v>
      </c>
      <c r="K4225" s="3">
        <v>19.0</v>
      </c>
      <c r="L4225" s="3" t="s">
        <v>40</v>
      </c>
    </row>
    <row r="4226" ht="15.75" customHeight="1">
      <c r="A4226" s="3" t="s">
        <v>4318</v>
      </c>
      <c r="B4226" s="3" t="s">
        <v>29</v>
      </c>
      <c r="C4226" s="3" t="s">
        <v>18</v>
      </c>
      <c r="D4226" s="3">
        <v>96575.3253007567</v>
      </c>
      <c r="E4226" s="3">
        <v>34572.2679081636</v>
      </c>
      <c r="F4226" s="3">
        <v>34424.0715853283</v>
      </c>
      <c r="G4226" s="3">
        <v>22062.8549572726</v>
      </c>
      <c r="H4226" s="3">
        <v>-129927.618069416</v>
      </c>
      <c r="I4226" s="3">
        <v>76658.8486703288</v>
      </c>
      <c r="J4226" s="4">
        <v>45992.0</v>
      </c>
      <c r="K4226" s="3">
        <v>7.0</v>
      </c>
      <c r="L4226" s="3" t="s">
        <v>42</v>
      </c>
    </row>
    <row r="4227" ht="15.75" customHeight="1">
      <c r="A4227" s="3" t="s">
        <v>4319</v>
      </c>
      <c r="B4227" s="3" t="s">
        <v>53</v>
      </c>
      <c r="C4227" s="3" t="s">
        <v>37</v>
      </c>
      <c r="D4227" s="3">
        <v>96586.2082706629</v>
      </c>
      <c r="E4227" s="3">
        <v>34576.882626491</v>
      </c>
      <c r="F4227" s="3">
        <v>34431.7515887578</v>
      </c>
      <c r="G4227" s="3">
        <v>22066.2525079599</v>
      </c>
      <c r="H4227" s="3">
        <v>-129977.121787165</v>
      </c>
      <c r="I4227" s="3">
        <v>76662.2301447486</v>
      </c>
      <c r="J4227" s="4">
        <v>45901.0</v>
      </c>
      <c r="K4227" s="3">
        <v>4.0</v>
      </c>
      <c r="L4227" s="3" t="s">
        <v>15</v>
      </c>
    </row>
    <row r="4228" ht="15.75" customHeight="1">
      <c r="A4228" s="3" t="s">
        <v>4320</v>
      </c>
      <c r="B4228" s="3" t="s">
        <v>29</v>
      </c>
      <c r="C4228" s="3" t="s">
        <v>26</v>
      </c>
      <c r="D4228" s="3">
        <v>96597.0912405691</v>
      </c>
      <c r="E4228" s="3">
        <v>34581.4973448185</v>
      </c>
      <c r="F4228" s="3">
        <v>34439.4315921873</v>
      </c>
      <c r="G4228" s="3">
        <v>22069.6500586471</v>
      </c>
      <c r="H4228" s="3">
        <v>-130026.625504914</v>
      </c>
      <c r="I4228" s="3">
        <v>76665.6116191684</v>
      </c>
      <c r="J4228" s="4">
        <v>45962.0</v>
      </c>
      <c r="K4228" s="3">
        <v>4.0</v>
      </c>
      <c r="L4228" s="3" t="s">
        <v>19</v>
      </c>
    </row>
    <row r="4229" ht="15.75" customHeight="1">
      <c r="A4229" s="3" t="s">
        <v>4321</v>
      </c>
      <c r="B4229" s="3" t="s">
        <v>25</v>
      </c>
      <c r="C4229" s="3" t="s">
        <v>26</v>
      </c>
      <c r="D4229" s="3">
        <v>96607.9742104753</v>
      </c>
      <c r="E4229" s="3">
        <v>34586.1120631459</v>
      </c>
      <c r="F4229" s="3">
        <v>34447.1115956168</v>
      </c>
      <c r="G4229" s="3">
        <v>22073.0476093344</v>
      </c>
      <c r="H4229" s="3">
        <v>74534.9266011409</v>
      </c>
      <c r="I4229" s="3">
        <v>79534.9266011409</v>
      </c>
      <c r="J4229" s="4">
        <v>45839.0</v>
      </c>
      <c r="K4229" s="3">
        <v>10.0</v>
      </c>
      <c r="L4229" s="3" t="s">
        <v>21</v>
      </c>
    </row>
    <row r="4230" ht="15.75" customHeight="1">
      <c r="A4230" s="3" t="s">
        <v>4322</v>
      </c>
      <c r="B4230" s="3" t="s">
        <v>51</v>
      </c>
      <c r="C4230" s="3" t="s">
        <v>14</v>
      </c>
      <c r="D4230" s="3">
        <v>96618.8571803815</v>
      </c>
      <c r="E4230" s="3">
        <v>34590.7267814733</v>
      </c>
      <c r="F4230" s="3">
        <v>34454.7915990463</v>
      </c>
      <c r="G4230" s="3">
        <v>22076.4451600217</v>
      </c>
      <c r="H4230" s="3">
        <v>-130125.632940413</v>
      </c>
      <c r="I4230" s="3">
        <v>76672.374568008</v>
      </c>
      <c r="J4230" s="4">
        <v>45992.0</v>
      </c>
      <c r="K4230" s="3">
        <v>13.0</v>
      </c>
      <c r="L4230" s="3" t="s">
        <v>23</v>
      </c>
    </row>
    <row r="4231" ht="15.75" customHeight="1">
      <c r="A4231" s="3" t="s">
        <v>4323</v>
      </c>
      <c r="B4231" s="3" t="s">
        <v>53</v>
      </c>
      <c r="C4231" s="3" t="s">
        <v>30</v>
      </c>
      <c r="D4231" s="3">
        <v>96629.7401502877</v>
      </c>
      <c r="E4231" s="3">
        <v>34595.3414998007</v>
      </c>
      <c r="F4231" s="3">
        <v>34462.4716024757</v>
      </c>
      <c r="G4231" s="3">
        <v>22079.842710709</v>
      </c>
      <c r="H4231" s="3">
        <v>-130175.136658162</v>
      </c>
      <c r="I4231" s="3">
        <v>76675.7560424278</v>
      </c>
      <c r="J4231" s="4">
        <v>45931.0</v>
      </c>
      <c r="K4231" s="3">
        <v>4.0</v>
      </c>
      <c r="L4231" s="3" t="s">
        <v>27</v>
      </c>
    </row>
    <row r="4232" ht="15.75" customHeight="1">
      <c r="A4232" s="3" t="s">
        <v>4324</v>
      </c>
      <c r="B4232" s="3" t="s">
        <v>17</v>
      </c>
      <c r="C4232" s="3" t="s">
        <v>54</v>
      </c>
      <c r="D4232" s="3">
        <v>96640.6231201939</v>
      </c>
      <c r="E4232" s="3">
        <v>34599.9562181282</v>
      </c>
      <c r="F4232" s="3">
        <v>34470.1516059052</v>
      </c>
      <c r="G4232" s="3">
        <v>22083.2402613963</v>
      </c>
      <c r="H4232" s="3">
        <v>-130224.640375911</v>
      </c>
      <c r="I4232" s="3">
        <v>76679.1375168477</v>
      </c>
      <c r="J4232" s="4">
        <v>45748.0</v>
      </c>
      <c r="K4232" s="3">
        <v>22.0</v>
      </c>
      <c r="L4232" s="3" t="s">
        <v>31</v>
      </c>
    </row>
    <row r="4233" ht="15.75" customHeight="1">
      <c r="A4233" s="3" t="s">
        <v>4325</v>
      </c>
      <c r="B4233" s="3" t="s">
        <v>17</v>
      </c>
      <c r="C4233" s="3" t="s">
        <v>33</v>
      </c>
      <c r="D4233" s="3">
        <v>96651.5060901001</v>
      </c>
      <c r="E4233" s="3">
        <v>34604.5709364556</v>
      </c>
      <c r="F4233" s="3">
        <v>34477.8316093347</v>
      </c>
      <c r="G4233" s="3">
        <v>22086.6378120836</v>
      </c>
      <c r="H4233" s="3">
        <v>-130274.14409366</v>
      </c>
      <c r="I4233" s="3">
        <v>76682.5189912675</v>
      </c>
      <c r="J4233" s="4">
        <v>45931.0</v>
      </c>
      <c r="K4233" s="3">
        <v>11.0</v>
      </c>
      <c r="L4233" s="3" t="s">
        <v>34</v>
      </c>
    </row>
    <row r="4234" ht="15.75" customHeight="1">
      <c r="A4234" s="3" t="s">
        <v>4326</v>
      </c>
      <c r="B4234" s="3" t="s">
        <v>36</v>
      </c>
      <c r="C4234" s="3" t="s">
        <v>26</v>
      </c>
      <c r="D4234" s="3">
        <v>96662.3890600063</v>
      </c>
      <c r="E4234" s="3">
        <v>34609.185654783</v>
      </c>
      <c r="F4234" s="3">
        <v>34485.5116127642</v>
      </c>
      <c r="G4234" s="3">
        <v>22090.0353627709</v>
      </c>
      <c r="H4234" s="3">
        <v>-130323.647811409</v>
      </c>
      <c r="I4234" s="3">
        <v>76685.9004656873</v>
      </c>
      <c r="J4234" s="4">
        <v>45809.0</v>
      </c>
      <c r="K4234" s="3">
        <v>24.0</v>
      </c>
      <c r="L4234" s="3" t="s">
        <v>38</v>
      </c>
    </row>
    <row r="4235" ht="15.75" customHeight="1">
      <c r="A4235" s="3" t="s">
        <v>4327</v>
      </c>
      <c r="B4235" s="3" t="s">
        <v>17</v>
      </c>
      <c r="C4235" s="3" t="s">
        <v>54</v>
      </c>
      <c r="D4235" s="3">
        <v>96673.2720299125</v>
      </c>
      <c r="E4235" s="3">
        <v>34613.8003731104</v>
      </c>
      <c r="F4235" s="3">
        <v>34493.1916161937</v>
      </c>
      <c r="G4235" s="3">
        <v>22093.4329134582</v>
      </c>
      <c r="H4235" s="3">
        <v>-130373.151529158</v>
      </c>
      <c r="I4235" s="3">
        <v>76689.2819401071</v>
      </c>
      <c r="J4235" s="4">
        <v>45839.0</v>
      </c>
      <c r="K4235" s="3">
        <v>13.0</v>
      </c>
      <c r="L4235" s="3" t="s">
        <v>40</v>
      </c>
    </row>
    <row r="4236" ht="15.75" customHeight="1">
      <c r="A4236" s="3" t="s">
        <v>4328</v>
      </c>
      <c r="B4236" s="3" t="s">
        <v>25</v>
      </c>
      <c r="C4236" s="3" t="s">
        <v>30</v>
      </c>
      <c r="D4236" s="3">
        <v>96684.1549998187</v>
      </c>
      <c r="E4236" s="3">
        <v>34618.4150914378</v>
      </c>
      <c r="F4236" s="3">
        <v>34500.8716196232</v>
      </c>
      <c r="G4236" s="3">
        <v>22096.8304641454</v>
      </c>
      <c r="H4236" s="3">
        <v>-130422.655246907</v>
      </c>
      <c r="I4236" s="3">
        <v>76692.6634145269</v>
      </c>
      <c r="J4236" s="4">
        <v>45992.0</v>
      </c>
      <c r="K4236" s="3">
        <v>14.0</v>
      </c>
      <c r="L4236" s="3" t="s">
        <v>42</v>
      </c>
    </row>
    <row r="4237" ht="15.75" customHeight="1">
      <c r="A4237" s="3" t="s">
        <v>4329</v>
      </c>
      <c r="B4237" s="3" t="s">
        <v>53</v>
      </c>
      <c r="C4237" s="3" t="s">
        <v>18</v>
      </c>
      <c r="D4237" s="3">
        <v>96695.0379697249</v>
      </c>
      <c r="E4237" s="3">
        <v>34623.0298097653</v>
      </c>
      <c r="F4237" s="3">
        <v>34508.5516230527</v>
      </c>
      <c r="G4237" s="3">
        <v>22100.2280148327</v>
      </c>
      <c r="H4237" s="3">
        <v>-130472.158964657</v>
      </c>
      <c r="I4237" s="3">
        <v>76696.0448889467</v>
      </c>
      <c r="J4237" s="4">
        <v>45901.0</v>
      </c>
      <c r="K4237" s="3">
        <v>7.0</v>
      </c>
      <c r="L4237" s="3" t="s">
        <v>15</v>
      </c>
    </row>
    <row r="4238" ht="15.75" customHeight="1">
      <c r="A4238" s="3" t="s">
        <v>4330</v>
      </c>
      <c r="B4238" s="3" t="s">
        <v>51</v>
      </c>
      <c r="C4238" s="3" t="s">
        <v>37</v>
      </c>
      <c r="D4238" s="3">
        <v>96705.9209396311</v>
      </c>
      <c r="E4238" s="3">
        <v>34627.6445280927</v>
      </c>
      <c r="F4238" s="3">
        <v>34516.2316264822</v>
      </c>
      <c r="G4238" s="3">
        <v>22103.62556552</v>
      </c>
      <c r="H4238" s="3">
        <v>-130521.662682406</v>
      </c>
      <c r="I4238" s="3">
        <v>76699.4263633665</v>
      </c>
      <c r="J4238" s="4">
        <v>45748.0</v>
      </c>
      <c r="K4238" s="3">
        <v>1.0</v>
      </c>
      <c r="L4238" s="3" t="s">
        <v>19</v>
      </c>
    </row>
    <row r="4239" ht="15.75" customHeight="1">
      <c r="A4239" s="3" t="s">
        <v>4331</v>
      </c>
      <c r="B4239" s="3" t="s">
        <v>29</v>
      </c>
      <c r="C4239" s="3" t="s">
        <v>37</v>
      </c>
      <c r="D4239" s="3">
        <v>96716.8039095373</v>
      </c>
      <c r="E4239" s="3">
        <v>34632.2592464201</v>
      </c>
      <c r="F4239" s="3">
        <v>34523.9116299117</v>
      </c>
      <c r="G4239" s="3">
        <v>22107.0231162073</v>
      </c>
      <c r="H4239" s="3">
        <v>-130571.166400155</v>
      </c>
      <c r="I4239" s="3">
        <v>76702.8078377864</v>
      </c>
      <c r="J4239" s="4">
        <v>45689.0</v>
      </c>
      <c r="K4239" s="3">
        <v>5.0</v>
      </c>
      <c r="L4239" s="3" t="s">
        <v>21</v>
      </c>
    </row>
    <row r="4240" ht="15.75" customHeight="1">
      <c r="A4240" s="3" t="s">
        <v>4332</v>
      </c>
      <c r="B4240" s="3" t="s">
        <v>13</v>
      </c>
      <c r="C4240" s="3" t="s">
        <v>54</v>
      </c>
      <c r="D4240" s="3">
        <v>96727.6868794435</v>
      </c>
      <c r="E4240" s="3">
        <v>34636.8739647475</v>
      </c>
      <c r="F4240" s="3">
        <v>34531.5916333412</v>
      </c>
      <c r="G4240" s="3">
        <v>22110.4206668946</v>
      </c>
      <c r="H4240" s="3">
        <v>-130620.670117904</v>
      </c>
      <c r="I4240" s="3">
        <v>76706.1893122062</v>
      </c>
      <c r="J4240" s="4">
        <v>45901.0</v>
      </c>
      <c r="K4240" s="3">
        <v>6.0</v>
      </c>
      <c r="L4240" s="3" t="s">
        <v>23</v>
      </c>
    </row>
    <row r="4241" ht="15.75" customHeight="1">
      <c r="A4241" s="3" t="s">
        <v>4333</v>
      </c>
      <c r="B4241" s="3" t="s">
        <v>53</v>
      </c>
      <c r="C4241" s="3" t="s">
        <v>33</v>
      </c>
      <c r="D4241" s="3">
        <v>96738.5698493496</v>
      </c>
      <c r="E4241" s="3">
        <v>34641.488683075</v>
      </c>
      <c r="F4241" s="3">
        <v>34539.2716367707</v>
      </c>
      <c r="G4241" s="3">
        <v>22113.8182175819</v>
      </c>
      <c r="H4241" s="3">
        <v>-130670.173835653</v>
      </c>
      <c r="I4241" s="3">
        <v>76709.570786626</v>
      </c>
      <c r="J4241" s="4">
        <v>45839.0</v>
      </c>
      <c r="K4241" s="3">
        <v>12.0</v>
      </c>
      <c r="L4241" s="3" t="s">
        <v>27</v>
      </c>
    </row>
    <row r="4242" ht="15.75" customHeight="1">
      <c r="A4242" s="3" t="s">
        <v>4334</v>
      </c>
      <c r="B4242" s="3" t="s">
        <v>36</v>
      </c>
      <c r="C4242" s="3" t="s">
        <v>14</v>
      </c>
      <c r="D4242" s="3">
        <v>96749.4528192558</v>
      </c>
      <c r="E4242" s="3">
        <v>34646.1034014024</v>
      </c>
      <c r="F4242" s="3">
        <v>34546.9516402002</v>
      </c>
      <c r="G4242" s="3">
        <v>22117.2157682692</v>
      </c>
      <c r="H4242" s="3">
        <v>-130719.677553402</v>
      </c>
      <c r="I4242" s="3">
        <v>76712.9522610458</v>
      </c>
      <c r="J4242" s="4">
        <v>45870.0</v>
      </c>
      <c r="K4242" s="3">
        <v>9.0</v>
      </c>
      <c r="L4242" s="3" t="s">
        <v>31</v>
      </c>
    </row>
    <row r="4243" ht="15.75" customHeight="1">
      <c r="A4243" s="3" t="s">
        <v>4335</v>
      </c>
      <c r="B4243" s="3" t="s">
        <v>53</v>
      </c>
      <c r="C4243" s="3" t="s">
        <v>33</v>
      </c>
      <c r="D4243" s="3">
        <v>96760.335789162</v>
      </c>
      <c r="E4243" s="3">
        <v>34650.7181197298</v>
      </c>
      <c r="F4243" s="3">
        <v>34554.6316436297</v>
      </c>
      <c r="G4243" s="3">
        <v>22120.6133189565</v>
      </c>
      <c r="H4243" s="3">
        <v>-130769.181271151</v>
      </c>
      <c r="I4243" s="3">
        <v>76716.3337354656</v>
      </c>
      <c r="J4243" s="4">
        <v>45778.0</v>
      </c>
      <c r="K4243" s="3">
        <v>2.0</v>
      </c>
      <c r="L4243" s="3" t="s">
        <v>34</v>
      </c>
    </row>
    <row r="4244" ht="15.75" customHeight="1">
      <c r="A4244" s="3" t="s">
        <v>4336</v>
      </c>
      <c r="B4244" s="3" t="s">
        <v>29</v>
      </c>
      <c r="C4244" s="3" t="s">
        <v>54</v>
      </c>
      <c r="D4244" s="3">
        <v>96771.2187590682</v>
      </c>
      <c r="E4244" s="3">
        <v>34655.3328380572</v>
      </c>
      <c r="F4244" s="3">
        <v>34562.3116470592</v>
      </c>
      <c r="G4244" s="3">
        <v>22124.0108696437</v>
      </c>
      <c r="H4244" s="3">
        <v>-130818.6849889</v>
      </c>
      <c r="I4244" s="3">
        <v>76719.7152098854</v>
      </c>
      <c r="J4244" s="4">
        <v>45748.0</v>
      </c>
      <c r="K4244" s="3">
        <v>11.0</v>
      </c>
      <c r="L4244" s="3" t="s">
        <v>38</v>
      </c>
    </row>
    <row r="4245" ht="15.75" customHeight="1">
      <c r="A4245" s="3" t="s">
        <v>4337</v>
      </c>
      <c r="B4245" s="3" t="s">
        <v>53</v>
      </c>
      <c r="C4245" s="3" t="s">
        <v>30</v>
      </c>
      <c r="D4245" s="3">
        <v>96782.1017289744</v>
      </c>
      <c r="E4245" s="3">
        <v>34659.9475563846</v>
      </c>
      <c r="F4245" s="3">
        <v>34569.9916504887</v>
      </c>
      <c r="G4245" s="3">
        <v>22127.408420331</v>
      </c>
      <c r="H4245" s="3">
        <v>-130868.18870665</v>
      </c>
      <c r="I4245" s="3">
        <v>76723.0966843052</v>
      </c>
      <c r="J4245" s="4">
        <v>45992.0</v>
      </c>
      <c r="K4245" s="3">
        <v>17.0</v>
      </c>
      <c r="L4245" s="3" t="s">
        <v>40</v>
      </c>
    </row>
    <row r="4246" ht="15.75" customHeight="1">
      <c r="A4246" s="3" t="s">
        <v>4338</v>
      </c>
      <c r="B4246" s="3" t="s">
        <v>13</v>
      </c>
      <c r="C4246" s="3" t="s">
        <v>33</v>
      </c>
      <c r="D4246" s="3">
        <v>96792.9846988806</v>
      </c>
      <c r="E4246" s="3">
        <v>34664.5622747121</v>
      </c>
      <c r="F4246" s="3">
        <v>34577.6716539182</v>
      </c>
      <c r="G4246" s="3">
        <v>22130.8059710183</v>
      </c>
      <c r="H4246" s="3">
        <v>-130917.692424399</v>
      </c>
      <c r="I4246" s="3">
        <v>76726.4781587251</v>
      </c>
      <c r="J4246" s="4">
        <v>45809.0</v>
      </c>
      <c r="K4246" s="3">
        <v>13.0</v>
      </c>
      <c r="L4246" s="3" t="s">
        <v>42</v>
      </c>
    </row>
    <row r="4247" ht="15.75" customHeight="1">
      <c r="A4247" s="3" t="s">
        <v>4339</v>
      </c>
      <c r="B4247" s="3" t="s">
        <v>25</v>
      </c>
      <c r="C4247" s="3" t="s">
        <v>14</v>
      </c>
      <c r="D4247" s="3">
        <v>96814.750638693</v>
      </c>
      <c r="E4247" s="3">
        <v>34673.7917113669</v>
      </c>
      <c r="F4247" s="3">
        <v>34593.0316607772</v>
      </c>
      <c r="G4247" s="3">
        <v>22137.6010723929</v>
      </c>
      <c r="H4247" s="3">
        <v>-131016.699859897</v>
      </c>
      <c r="I4247" s="3">
        <v>76733.2411075647</v>
      </c>
      <c r="J4247" s="4">
        <v>45870.0</v>
      </c>
      <c r="K4247" s="3">
        <v>8.0</v>
      </c>
      <c r="L4247" s="3" t="s">
        <v>19</v>
      </c>
    </row>
    <row r="4248" ht="15.75" customHeight="1">
      <c r="A4248" s="3" t="s">
        <v>4340</v>
      </c>
      <c r="B4248" s="3" t="s">
        <v>25</v>
      </c>
      <c r="C4248" s="3" t="s">
        <v>14</v>
      </c>
      <c r="D4248" s="3">
        <v>96825.6336085992</v>
      </c>
      <c r="E4248" s="3">
        <v>34678.4064296943</v>
      </c>
      <c r="F4248" s="3">
        <v>34600.7116642067</v>
      </c>
      <c r="G4248" s="3">
        <v>22140.9986230802</v>
      </c>
      <c r="H4248" s="3">
        <v>-131066.203577646</v>
      </c>
      <c r="I4248" s="3">
        <v>76736.6225819845</v>
      </c>
      <c r="J4248" s="4">
        <v>45748.0</v>
      </c>
      <c r="K4248" s="3">
        <v>9.0</v>
      </c>
      <c r="L4248" s="3" t="s">
        <v>21</v>
      </c>
    </row>
    <row r="4249" ht="15.75" customHeight="1">
      <c r="A4249" s="3" t="s">
        <v>4341</v>
      </c>
      <c r="B4249" s="3" t="s">
        <v>17</v>
      </c>
      <c r="C4249" s="3" t="s">
        <v>14</v>
      </c>
      <c r="D4249" s="3">
        <v>96836.5165785054</v>
      </c>
      <c r="E4249" s="3">
        <v>34683.0211480218</v>
      </c>
      <c r="F4249" s="3">
        <v>34608.3916676362</v>
      </c>
      <c r="G4249" s="3">
        <v>22144.3961737675</v>
      </c>
      <c r="H4249" s="3">
        <v>-131115.707295395</v>
      </c>
      <c r="I4249" s="3">
        <v>76740.0040564043</v>
      </c>
      <c r="J4249" s="4">
        <v>45689.0</v>
      </c>
      <c r="K4249" s="3">
        <v>9.0</v>
      </c>
      <c r="L4249" s="3" t="s">
        <v>23</v>
      </c>
    </row>
    <row r="4250" ht="15.75" customHeight="1">
      <c r="A4250" s="3" t="s">
        <v>4342</v>
      </c>
      <c r="B4250" s="3" t="s">
        <v>29</v>
      </c>
      <c r="C4250" s="3" t="s">
        <v>26</v>
      </c>
      <c r="D4250" s="3">
        <v>96847.3995484116</v>
      </c>
      <c r="E4250" s="3">
        <v>34687.6358663492</v>
      </c>
      <c r="F4250" s="3">
        <v>34616.0716710657</v>
      </c>
      <c r="G4250" s="3">
        <v>22147.7937244547</v>
      </c>
      <c r="H4250" s="3">
        <v>-131165.211013144</v>
      </c>
      <c r="I4250" s="3">
        <v>76743.3855308241</v>
      </c>
      <c r="J4250" s="4">
        <v>45901.0</v>
      </c>
      <c r="K4250" s="3">
        <v>19.0</v>
      </c>
      <c r="L4250" s="3" t="s">
        <v>27</v>
      </c>
    </row>
    <row r="4251" ht="15.75" customHeight="1">
      <c r="A4251" s="3" t="s">
        <v>4343</v>
      </c>
      <c r="B4251" s="3" t="s">
        <v>13</v>
      </c>
      <c r="C4251" s="3" t="s">
        <v>18</v>
      </c>
      <c r="D4251" s="3">
        <v>96858.2825183178</v>
      </c>
      <c r="E4251" s="3">
        <v>34692.2505846766</v>
      </c>
      <c r="F4251" s="3">
        <v>34623.7516744952</v>
      </c>
      <c r="G4251" s="3">
        <v>22151.191275142</v>
      </c>
      <c r="H4251" s="3">
        <v>-131214.714730894</v>
      </c>
      <c r="I4251" s="3">
        <v>76746.7670052439</v>
      </c>
      <c r="J4251" s="4">
        <v>45931.0</v>
      </c>
      <c r="K4251" s="3">
        <v>3.0</v>
      </c>
      <c r="L4251" s="3" t="s">
        <v>31</v>
      </c>
    </row>
    <row r="4252" ht="15.75" customHeight="1">
      <c r="A4252" s="3" t="s">
        <v>4344</v>
      </c>
      <c r="B4252" s="3" t="s">
        <v>51</v>
      </c>
      <c r="C4252" s="3" t="s">
        <v>14</v>
      </c>
      <c r="D4252" s="3">
        <v>96869.165488224</v>
      </c>
      <c r="E4252" s="3">
        <v>34696.865303004</v>
      </c>
      <c r="F4252" s="3">
        <v>34631.4316779247</v>
      </c>
      <c r="G4252" s="3">
        <v>22154.5888258293</v>
      </c>
      <c r="H4252" s="3">
        <v>-131264.218448643</v>
      </c>
      <c r="I4252" s="3">
        <v>76750.1484796638</v>
      </c>
      <c r="J4252" s="4">
        <v>45778.0</v>
      </c>
      <c r="K4252" s="3">
        <v>8.0</v>
      </c>
      <c r="L4252" s="3" t="s">
        <v>34</v>
      </c>
    </row>
    <row r="4253" ht="15.75" customHeight="1">
      <c r="A4253" s="3" t="s">
        <v>4345</v>
      </c>
      <c r="B4253" s="3" t="s">
        <v>17</v>
      </c>
      <c r="C4253" s="3" t="s">
        <v>26</v>
      </c>
      <c r="D4253" s="3">
        <v>96880.0484581302</v>
      </c>
      <c r="E4253" s="3">
        <v>34701.4800213314</v>
      </c>
      <c r="F4253" s="3">
        <v>34639.1116813542</v>
      </c>
      <c r="G4253" s="3">
        <v>22157.9863765166</v>
      </c>
      <c r="H4253" s="3">
        <v>-131313.722166392</v>
      </c>
      <c r="I4253" s="3">
        <v>76753.5299540836</v>
      </c>
      <c r="J4253" s="4">
        <v>45839.0</v>
      </c>
      <c r="K4253" s="3">
        <v>12.0</v>
      </c>
      <c r="L4253" s="3" t="s">
        <v>38</v>
      </c>
    </row>
    <row r="4254" ht="15.75" customHeight="1">
      <c r="A4254" s="3" t="s">
        <v>4346</v>
      </c>
      <c r="B4254" s="3" t="s">
        <v>17</v>
      </c>
      <c r="C4254" s="3" t="s">
        <v>26</v>
      </c>
      <c r="D4254" s="3">
        <v>96890.9314280364</v>
      </c>
      <c r="E4254" s="3">
        <v>34706.0947396589</v>
      </c>
      <c r="F4254" s="3">
        <v>34646.7916847837</v>
      </c>
      <c r="G4254" s="3">
        <v>22161.3839272039</v>
      </c>
      <c r="H4254" s="3">
        <v>-131363.225884141</v>
      </c>
      <c r="I4254" s="3">
        <v>76756.9114285034</v>
      </c>
      <c r="J4254" s="4">
        <v>45717.0</v>
      </c>
      <c r="K4254" s="3">
        <v>21.0</v>
      </c>
      <c r="L4254" s="3" t="s">
        <v>40</v>
      </c>
    </row>
    <row r="4255" ht="15.75" customHeight="1">
      <c r="A4255" s="3" t="s">
        <v>4347</v>
      </c>
      <c r="B4255" s="3" t="s">
        <v>25</v>
      </c>
      <c r="C4255" s="3" t="s">
        <v>26</v>
      </c>
      <c r="D4255" s="3">
        <v>96901.8143979425</v>
      </c>
      <c r="E4255" s="3">
        <v>34710.7094579863</v>
      </c>
      <c r="F4255" s="3">
        <v>34654.4716882132</v>
      </c>
      <c r="G4255" s="3">
        <v>22164.7814778912</v>
      </c>
      <c r="H4255" s="3">
        <v>-131412.72960189</v>
      </c>
      <c r="I4255" s="3">
        <v>76760.2929029232</v>
      </c>
      <c r="J4255" s="4">
        <v>45658.0</v>
      </c>
      <c r="K4255" s="3">
        <v>23.0</v>
      </c>
      <c r="L4255" s="3" t="s">
        <v>42</v>
      </c>
    </row>
    <row r="4256" ht="15.75" customHeight="1">
      <c r="A4256" s="3" t="s">
        <v>4348</v>
      </c>
      <c r="B4256" s="3" t="s">
        <v>36</v>
      </c>
      <c r="C4256" s="3" t="s">
        <v>30</v>
      </c>
      <c r="D4256" s="3">
        <v>96912.6973678487</v>
      </c>
      <c r="E4256" s="3">
        <v>34715.3241763137</v>
      </c>
      <c r="F4256" s="3">
        <v>34662.1516916427</v>
      </c>
      <c r="G4256" s="3">
        <v>22168.1790285785</v>
      </c>
      <c r="H4256" s="3">
        <v>-131462.233319639</v>
      </c>
      <c r="I4256" s="3">
        <v>76763.674377343</v>
      </c>
      <c r="J4256" s="4">
        <v>45778.0</v>
      </c>
      <c r="K4256" s="3">
        <v>13.0</v>
      </c>
      <c r="L4256" s="3" t="s">
        <v>15</v>
      </c>
    </row>
    <row r="4257" ht="15.75" customHeight="1">
      <c r="A4257" s="3" t="s">
        <v>4349</v>
      </c>
      <c r="B4257" s="3" t="s">
        <v>36</v>
      </c>
      <c r="C4257" s="3" t="s">
        <v>54</v>
      </c>
      <c r="D4257" s="3">
        <v>96923.5803377549</v>
      </c>
      <c r="E4257" s="3">
        <v>34719.9388946411</v>
      </c>
      <c r="F4257" s="3">
        <v>34669.8316950722</v>
      </c>
      <c r="G4257" s="3">
        <v>22171.5765792658</v>
      </c>
      <c r="H4257" s="3">
        <v>-131511.737037388</v>
      </c>
      <c r="I4257" s="3">
        <v>76767.0558517628</v>
      </c>
      <c r="J4257" s="4">
        <v>45809.0</v>
      </c>
      <c r="K4257" s="3">
        <v>25.0</v>
      </c>
      <c r="L4257" s="3" t="s">
        <v>19</v>
      </c>
    </row>
    <row r="4258" ht="15.75" customHeight="1">
      <c r="A4258" s="3" t="s">
        <v>4350</v>
      </c>
      <c r="B4258" s="3" t="s">
        <v>36</v>
      </c>
      <c r="C4258" s="3" t="s">
        <v>33</v>
      </c>
      <c r="D4258" s="3">
        <v>96934.4633076611</v>
      </c>
      <c r="E4258" s="3">
        <v>34724.5536129686</v>
      </c>
      <c r="F4258" s="3">
        <v>34677.5116985017</v>
      </c>
      <c r="G4258" s="3">
        <v>22174.974129953</v>
      </c>
      <c r="H4258" s="3">
        <v>-131561.240755137</v>
      </c>
      <c r="I4258" s="3">
        <v>76770.4373261826</v>
      </c>
      <c r="J4258" s="4">
        <v>45809.0</v>
      </c>
      <c r="K4258" s="3">
        <v>19.0</v>
      </c>
      <c r="L4258" s="3" t="s">
        <v>21</v>
      </c>
    </row>
    <row r="4259" ht="15.75" customHeight="1">
      <c r="A4259" s="3" t="s">
        <v>4351</v>
      </c>
      <c r="B4259" s="3" t="s">
        <v>51</v>
      </c>
      <c r="C4259" s="3" t="s">
        <v>33</v>
      </c>
      <c r="D4259" s="3">
        <v>96956.2292474735</v>
      </c>
      <c r="E4259" s="3">
        <v>34733.7830496234</v>
      </c>
      <c r="F4259" s="3">
        <v>34692.8717053607</v>
      </c>
      <c r="G4259" s="3">
        <v>22181.7692313276</v>
      </c>
      <c r="H4259" s="3">
        <v>-131660.248190636</v>
      </c>
      <c r="I4259" s="3">
        <v>76777.2002750223</v>
      </c>
      <c r="J4259" s="4">
        <v>45901.0</v>
      </c>
      <c r="K4259" s="3">
        <v>10.0</v>
      </c>
      <c r="L4259" s="3" t="s">
        <v>27</v>
      </c>
    </row>
    <row r="4260" ht="15.75" customHeight="1">
      <c r="A4260" s="3" t="s">
        <v>4352</v>
      </c>
      <c r="B4260" s="3" t="s">
        <v>29</v>
      </c>
      <c r="C4260" s="3" t="s">
        <v>26</v>
      </c>
      <c r="D4260" s="3">
        <v>96967.1122173797</v>
      </c>
      <c r="E4260" s="3">
        <v>34738.3977679508</v>
      </c>
      <c r="F4260" s="3">
        <v>34700.5517087902</v>
      </c>
      <c r="G4260" s="3">
        <v>22185.1667820149</v>
      </c>
      <c r="H4260" s="3">
        <v>-131709.751908385</v>
      </c>
      <c r="I4260" s="3">
        <v>76780.5817494421</v>
      </c>
      <c r="J4260" s="4">
        <v>45717.0</v>
      </c>
      <c r="K4260" s="3">
        <v>20.0</v>
      </c>
      <c r="L4260" s="3" t="s">
        <v>31</v>
      </c>
    </row>
    <row r="4261" ht="15.75" customHeight="1">
      <c r="A4261" s="3" t="s">
        <v>4353</v>
      </c>
      <c r="B4261" s="3" t="s">
        <v>29</v>
      </c>
      <c r="C4261" s="3" t="s">
        <v>33</v>
      </c>
      <c r="D4261" s="3">
        <v>96977.9951872859</v>
      </c>
      <c r="E4261" s="3">
        <v>34743.0124862782</v>
      </c>
      <c r="F4261" s="3">
        <v>34708.2317122197</v>
      </c>
      <c r="G4261" s="3">
        <v>22188.5643327022</v>
      </c>
      <c r="H4261" s="3">
        <v>-131759.255626134</v>
      </c>
      <c r="I4261" s="3">
        <v>76783.9632238619</v>
      </c>
      <c r="J4261" s="4">
        <v>45962.0</v>
      </c>
      <c r="K4261" s="3">
        <v>22.0</v>
      </c>
      <c r="L4261" s="3" t="s">
        <v>34</v>
      </c>
    </row>
    <row r="4262" ht="15.75" customHeight="1">
      <c r="A4262" s="3" t="s">
        <v>4354</v>
      </c>
      <c r="B4262" s="3" t="s">
        <v>13</v>
      </c>
      <c r="C4262" s="3" t="s">
        <v>37</v>
      </c>
      <c r="D4262" s="3">
        <v>96988.8781571921</v>
      </c>
      <c r="E4262" s="3">
        <v>34747.6272046057</v>
      </c>
      <c r="F4262" s="3">
        <v>34715.9117156492</v>
      </c>
      <c r="G4262" s="3">
        <v>22191.9618833895</v>
      </c>
      <c r="H4262" s="3">
        <v>-131808.759343883</v>
      </c>
      <c r="I4262" s="3">
        <v>76787.3446982817</v>
      </c>
      <c r="J4262" s="4">
        <v>45901.0</v>
      </c>
      <c r="K4262" s="3">
        <v>23.0</v>
      </c>
      <c r="L4262" s="3" t="s">
        <v>38</v>
      </c>
    </row>
    <row r="4263" ht="15.75" customHeight="1">
      <c r="A4263" s="3" t="s">
        <v>4355</v>
      </c>
      <c r="B4263" s="3" t="s">
        <v>36</v>
      </c>
      <c r="C4263" s="3" t="s">
        <v>18</v>
      </c>
      <c r="D4263" s="3">
        <v>96999.7611270983</v>
      </c>
      <c r="E4263" s="3">
        <v>34752.2419229331</v>
      </c>
      <c r="F4263" s="3">
        <v>34723.5917190787</v>
      </c>
      <c r="G4263" s="3">
        <v>22195.3594340768</v>
      </c>
      <c r="H4263" s="3">
        <v>-131858.263061632</v>
      </c>
      <c r="I4263" s="3">
        <v>76790.7261727015</v>
      </c>
      <c r="J4263" s="4">
        <v>45748.0</v>
      </c>
      <c r="K4263" s="3">
        <v>19.0</v>
      </c>
      <c r="L4263" s="3" t="s">
        <v>40</v>
      </c>
    </row>
    <row r="4264" ht="15.75" customHeight="1">
      <c r="A4264" s="3" t="s">
        <v>4356</v>
      </c>
      <c r="B4264" s="3" t="s">
        <v>36</v>
      </c>
      <c r="C4264" s="3" t="s">
        <v>26</v>
      </c>
      <c r="D4264" s="3">
        <v>97010.6440970045</v>
      </c>
      <c r="E4264" s="3">
        <v>34756.8566412605</v>
      </c>
      <c r="F4264" s="3">
        <v>34731.2717225082</v>
      </c>
      <c r="G4264" s="5"/>
      <c r="H4264" s="3">
        <v>-131907.766779381</v>
      </c>
      <c r="I4264" s="3">
        <v>76794.1076471213</v>
      </c>
      <c r="J4264" s="3" t="s">
        <v>3565</v>
      </c>
      <c r="K4264" s="3">
        <v>17.0</v>
      </c>
      <c r="L4264" s="3" t="s">
        <v>42</v>
      </c>
    </row>
    <row r="4265" ht="15.75" customHeight="1">
      <c r="A4265" s="3" t="s">
        <v>4357</v>
      </c>
      <c r="B4265" s="3" t="s">
        <v>53</v>
      </c>
      <c r="C4265" s="3" t="s">
        <v>26</v>
      </c>
      <c r="D4265" s="3">
        <v>97021.5270669107</v>
      </c>
      <c r="E4265" s="3">
        <v>34761.4713595879</v>
      </c>
      <c r="F4265" s="3">
        <v>34738.9517259377</v>
      </c>
      <c r="G4265" s="3">
        <v>22202.1545354513</v>
      </c>
      <c r="H4265" s="3">
        <v>-131957.27049713</v>
      </c>
      <c r="I4265" s="3">
        <v>76797.4891215412</v>
      </c>
      <c r="J4265" s="4">
        <v>45809.0</v>
      </c>
      <c r="K4265" s="3">
        <v>13.0</v>
      </c>
      <c r="L4265" s="3" t="s">
        <v>15</v>
      </c>
    </row>
    <row r="4266" ht="15.75" customHeight="1">
      <c r="A4266" s="3" t="s">
        <v>4358</v>
      </c>
      <c r="B4266" s="3" t="s">
        <v>25</v>
      </c>
      <c r="C4266" s="3" t="s">
        <v>26</v>
      </c>
      <c r="D4266" s="3">
        <v>97032.4100368169</v>
      </c>
      <c r="E4266" s="3">
        <v>34766.0860779154</v>
      </c>
      <c r="F4266" s="3">
        <v>34746.6317293671</v>
      </c>
      <c r="G4266" s="3">
        <v>22205.5520861386</v>
      </c>
      <c r="H4266" s="3">
        <v>-132006.77421488</v>
      </c>
      <c r="I4266" s="3">
        <v>76800.870595961</v>
      </c>
      <c r="J4266" s="4">
        <v>45748.0</v>
      </c>
      <c r="K4266" s="3">
        <v>19.0</v>
      </c>
      <c r="L4266" s="3" t="s">
        <v>19</v>
      </c>
    </row>
    <row r="4267" ht="15.75" customHeight="1">
      <c r="A4267" s="3" t="s">
        <v>4359</v>
      </c>
      <c r="B4267" s="3" t="s">
        <v>25</v>
      </c>
      <c r="C4267" s="3" t="s">
        <v>33</v>
      </c>
      <c r="D4267" s="3">
        <v>97043.2930067231</v>
      </c>
      <c r="E4267" s="3">
        <v>34770.7007962428</v>
      </c>
      <c r="F4267" s="3">
        <v>34754.3117327966</v>
      </c>
      <c r="G4267" s="3">
        <v>22208.9496368259</v>
      </c>
      <c r="H4267" s="3">
        <v>-132056.277932629</v>
      </c>
      <c r="I4267" s="3">
        <v>76804.2520703808</v>
      </c>
      <c r="J4267" s="4">
        <v>45778.0</v>
      </c>
      <c r="K4267" s="3">
        <v>18.0</v>
      </c>
      <c r="L4267" s="3" t="s">
        <v>21</v>
      </c>
    </row>
    <row r="4268" ht="15.75" customHeight="1">
      <c r="A4268" s="3" t="s">
        <v>4360</v>
      </c>
      <c r="B4268" s="3" t="s">
        <v>29</v>
      </c>
      <c r="C4268" s="3" t="s">
        <v>33</v>
      </c>
      <c r="D4268" s="5"/>
      <c r="E4268" s="3">
        <v>34775.3155145702</v>
      </c>
      <c r="F4268" s="3">
        <v>34761.9917362261</v>
      </c>
      <c r="G4268" s="3">
        <v>22212.3471875132</v>
      </c>
      <c r="H4268" s="3">
        <v>-132105.781650378</v>
      </c>
      <c r="I4268" s="3">
        <v>76807.6335448006</v>
      </c>
      <c r="J4268" s="4">
        <v>45689.0</v>
      </c>
      <c r="K4268" s="3">
        <v>15.0</v>
      </c>
      <c r="L4268" s="3" t="s">
        <v>23</v>
      </c>
    </row>
    <row r="4269" ht="15.75" customHeight="1">
      <c r="A4269" s="3" t="s">
        <v>4361</v>
      </c>
      <c r="B4269" s="3" t="s">
        <v>17</v>
      </c>
      <c r="C4269" s="3" t="s">
        <v>54</v>
      </c>
      <c r="D4269" s="3">
        <v>97065.0589465354</v>
      </c>
      <c r="E4269" s="3">
        <v>34779.9302328976</v>
      </c>
      <c r="F4269" s="3">
        <v>34769.6717396556</v>
      </c>
      <c r="G4269" s="3">
        <v>22215.7447382005</v>
      </c>
      <c r="H4269" s="3">
        <v>-132155.285368127</v>
      </c>
      <c r="I4269" s="3">
        <v>76811.0150192204</v>
      </c>
      <c r="J4269" s="4">
        <v>45717.0</v>
      </c>
      <c r="K4269" s="3">
        <v>14.0</v>
      </c>
      <c r="L4269" s="3" t="s">
        <v>27</v>
      </c>
    </row>
    <row r="4270" ht="15.75" customHeight="1">
      <c r="A4270" s="3" t="s">
        <v>4362</v>
      </c>
      <c r="B4270" s="3" t="s">
        <v>53</v>
      </c>
      <c r="C4270" s="3" t="s">
        <v>30</v>
      </c>
      <c r="D4270" s="3">
        <v>97075.9419164416</v>
      </c>
      <c r="E4270" s="3">
        <v>34784.544951225</v>
      </c>
      <c r="F4270" s="3">
        <v>34777.3517430851</v>
      </c>
      <c r="G4270" s="3">
        <v>22219.1422888878</v>
      </c>
      <c r="H4270" s="3">
        <v>-132204.789085876</v>
      </c>
      <c r="I4270" s="3">
        <v>76814.3964936402</v>
      </c>
      <c r="J4270" s="4">
        <v>45839.0</v>
      </c>
      <c r="K4270" s="3">
        <v>15.0</v>
      </c>
      <c r="L4270" s="3" t="s">
        <v>31</v>
      </c>
    </row>
    <row r="4271" ht="15.75" customHeight="1">
      <c r="A4271" s="3" t="s">
        <v>4363</v>
      </c>
      <c r="B4271" s="3" t="s">
        <v>17</v>
      </c>
      <c r="C4271" s="3" t="s">
        <v>26</v>
      </c>
      <c r="D4271" s="3">
        <v>54326.71</v>
      </c>
      <c r="E4271" s="3">
        <v>24591.85</v>
      </c>
      <c r="F4271" s="3">
        <v>34785.0317465146</v>
      </c>
      <c r="G4271" s="5"/>
      <c r="H4271" s="3">
        <v>-132254.292803625</v>
      </c>
      <c r="I4271" s="3">
        <v>67031.7909971171</v>
      </c>
      <c r="J4271" s="4">
        <v>45992.0</v>
      </c>
      <c r="K4271" s="3">
        <v>17.0</v>
      </c>
      <c r="L4271" s="3" t="s">
        <v>34</v>
      </c>
    </row>
    <row r="4272" ht="15.75" customHeight="1">
      <c r="A4272" s="3" t="s">
        <v>4364</v>
      </c>
      <c r="B4272" s="3" t="s">
        <v>51</v>
      </c>
      <c r="C4272" s="3" t="s">
        <v>37</v>
      </c>
      <c r="D4272" s="3">
        <v>114825.0</v>
      </c>
      <c r="E4272" s="3">
        <v>32995.56</v>
      </c>
      <c r="F4272" s="3">
        <v>34792.7117499441</v>
      </c>
      <c r="G4272" s="3">
        <v>2460.8</v>
      </c>
      <c r="H4272" s="3">
        <v>-132303.796521375</v>
      </c>
      <c r="I4272" s="3">
        <v>67035.1724715369</v>
      </c>
      <c r="J4272" s="4">
        <v>45658.0</v>
      </c>
      <c r="K4272" s="3">
        <v>6.0</v>
      </c>
      <c r="L4272" s="3" t="s">
        <v>38</v>
      </c>
    </row>
    <row r="4273" ht="15.75" customHeight="1">
      <c r="A4273" s="3" t="s">
        <v>4365</v>
      </c>
      <c r="B4273" s="3" t="s">
        <v>13</v>
      </c>
      <c r="C4273" s="3" t="s">
        <v>26</v>
      </c>
      <c r="D4273" s="3">
        <v>91859.36</v>
      </c>
      <c r="E4273" s="3">
        <v>31365.79</v>
      </c>
      <c r="F4273" s="3">
        <v>34800.3917533736</v>
      </c>
      <c r="G4273" s="3">
        <v>6437.08</v>
      </c>
      <c r="H4273" s="3">
        <v>-132353.300239124</v>
      </c>
      <c r="I4273" s="3">
        <v>67038.5539459568</v>
      </c>
      <c r="J4273" s="4">
        <v>45748.0</v>
      </c>
      <c r="K4273" s="3">
        <v>25.0</v>
      </c>
      <c r="L4273" s="3" t="s">
        <v>40</v>
      </c>
    </row>
    <row r="4274" ht="15.75" customHeight="1">
      <c r="A4274" s="3" t="s">
        <v>4366</v>
      </c>
      <c r="B4274" s="3" t="s">
        <v>25</v>
      </c>
      <c r="C4274" s="3" t="s">
        <v>54</v>
      </c>
      <c r="D4274" s="3">
        <v>77859.14</v>
      </c>
      <c r="E4274" s="3">
        <v>9540.4</v>
      </c>
      <c r="F4274" s="3">
        <v>34808.0717568031</v>
      </c>
      <c r="G4274" s="3">
        <v>19455.14</v>
      </c>
      <c r="H4274" s="3">
        <v>-132402.803956873</v>
      </c>
      <c r="I4274" s="3">
        <v>67041.9354203766</v>
      </c>
      <c r="J4274" s="4">
        <v>45778.0</v>
      </c>
      <c r="K4274" s="3">
        <v>1.0</v>
      </c>
      <c r="L4274" s="3" t="s">
        <v>42</v>
      </c>
    </row>
    <row r="4275" ht="15.75" customHeight="1">
      <c r="A4275" s="3" t="s">
        <v>4367</v>
      </c>
      <c r="B4275" s="3" t="s">
        <v>51</v>
      </c>
      <c r="C4275" s="3" t="s">
        <v>37</v>
      </c>
      <c r="D4275" s="3">
        <v>31381.96</v>
      </c>
      <c r="E4275" s="3">
        <v>9372.98</v>
      </c>
      <c r="F4275" s="3">
        <v>34815.7517602326</v>
      </c>
      <c r="G4275" s="3">
        <v>13452.8</v>
      </c>
      <c r="H4275" s="3">
        <v>-132452.307674622</v>
      </c>
      <c r="I4275" s="3">
        <v>67045.3168947964</v>
      </c>
      <c r="J4275" s="4">
        <v>45809.0</v>
      </c>
      <c r="K4275" s="3">
        <v>24.0</v>
      </c>
      <c r="L4275" s="3" t="s">
        <v>15</v>
      </c>
    </row>
    <row r="4276" ht="15.75" customHeight="1">
      <c r="A4276" s="3" t="s">
        <v>4368</v>
      </c>
      <c r="B4276" s="3" t="s">
        <v>17</v>
      </c>
      <c r="C4276" s="3" t="s">
        <v>18</v>
      </c>
      <c r="D4276" s="3">
        <v>31379.42</v>
      </c>
      <c r="E4276" s="3">
        <v>13654.28</v>
      </c>
      <c r="F4276" s="3">
        <v>34823.4317636621</v>
      </c>
      <c r="G4276" s="3">
        <v>23235.24</v>
      </c>
      <c r="H4276" s="3">
        <v>-132501.811392371</v>
      </c>
      <c r="I4276" s="3">
        <v>67048.6983692162</v>
      </c>
      <c r="J4276" s="4">
        <v>45839.0</v>
      </c>
      <c r="K4276" s="3">
        <v>24.0</v>
      </c>
      <c r="L4276" s="3" t="s">
        <v>19</v>
      </c>
    </row>
    <row r="4277" ht="15.75" customHeight="1">
      <c r="A4277" s="3" t="s">
        <v>4369</v>
      </c>
      <c r="B4277" s="3" t="s">
        <v>36</v>
      </c>
      <c r="C4277" s="3" t="s">
        <v>54</v>
      </c>
      <c r="D4277" s="3">
        <v>21098.78</v>
      </c>
      <c r="E4277" s="3">
        <v>16998.69</v>
      </c>
      <c r="F4277" s="3">
        <v>34831.1117670916</v>
      </c>
      <c r="G4277" s="3">
        <v>11004.41</v>
      </c>
      <c r="H4277" s="3">
        <v>-132551.31511012</v>
      </c>
      <c r="I4277" s="3">
        <v>67052.079843636</v>
      </c>
      <c r="J4277" s="4">
        <v>45992.0</v>
      </c>
      <c r="K4277" s="3">
        <v>22.0</v>
      </c>
      <c r="L4277" s="3" t="s">
        <v>21</v>
      </c>
    </row>
    <row r="4278" ht="15.75" customHeight="1">
      <c r="A4278" s="3" t="s">
        <v>4370</v>
      </c>
      <c r="B4278" s="3" t="s">
        <v>51</v>
      </c>
      <c r="C4278" s="3" t="s">
        <v>30</v>
      </c>
      <c r="D4278" s="3">
        <v>105948.5</v>
      </c>
      <c r="E4278" s="3">
        <v>18704.4</v>
      </c>
      <c r="F4278" s="3">
        <v>34838.7917705211</v>
      </c>
      <c r="G4278" s="3">
        <v>21810.4</v>
      </c>
      <c r="H4278" s="3">
        <v>84138.1</v>
      </c>
      <c r="I4278" s="3">
        <v>89138.1</v>
      </c>
      <c r="J4278" s="4">
        <v>45778.0</v>
      </c>
      <c r="K4278" s="3">
        <v>19.0</v>
      </c>
      <c r="L4278" s="3" t="s">
        <v>23</v>
      </c>
    </row>
    <row r="4279" ht="15.75" customHeight="1">
      <c r="A4279" s="3" t="s">
        <v>4371</v>
      </c>
      <c r="B4279" s="3" t="s">
        <v>51</v>
      </c>
      <c r="C4279" s="3" t="s">
        <v>18</v>
      </c>
      <c r="D4279" s="3">
        <v>78117.08</v>
      </c>
      <c r="E4279" s="3">
        <v>28469.1</v>
      </c>
      <c r="F4279" s="3">
        <v>34846.4717739506</v>
      </c>
      <c r="G4279" s="3">
        <v>11499.41</v>
      </c>
      <c r="H4279" s="3">
        <v>-132650.322545618</v>
      </c>
      <c r="I4279" s="3">
        <v>67058.8427924756</v>
      </c>
      <c r="J4279" s="4">
        <v>45992.0</v>
      </c>
      <c r="K4279" s="3">
        <v>23.0</v>
      </c>
      <c r="L4279" s="3" t="s">
        <v>27</v>
      </c>
    </row>
    <row r="4280" ht="15.75" customHeight="1">
      <c r="A4280" s="3" t="s">
        <v>4372</v>
      </c>
      <c r="B4280" s="3" t="s">
        <v>36</v>
      </c>
      <c r="C4280" s="3" t="s">
        <v>33</v>
      </c>
      <c r="D4280" s="3">
        <v>89347.62</v>
      </c>
      <c r="E4280" s="3">
        <v>6040.5</v>
      </c>
      <c r="F4280" s="3">
        <v>34854.1517773801</v>
      </c>
      <c r="G4280" s="3">
        <v>24491.58</v>
      </c>
      <c r="H4280" s="3">
        <v>-132699.826263368</v>
      </c>
      <c r="I4280" s="3">
        <v>67062.2242668955</v>
      </c>
      <c r="J4280" s="4">
        <v>45748.0</v>
      </c>
      <c r="K4280" s="3">
        <v>21.0</v>
      </c>
      <c r="L4280" s="3" t="s">
        <v>31</v>
      </c>
    </row>
    <row r="4281" ht="15.75" customHeight="1">
      <c r="A4281" s="3" t="s">
        <v>4373</v>
      </c>
      <c r="B4281" s="3" t="s">
        <v>13</v>
      </c>
      <c r="C4281" s="3" t="s">
        <v>14</v>
      </c>
      <c r="D4281" s="3">
        <v>17161.37</v>
      </c>
      <c r="E4281" s="3">
        <v>5248.22</v>
      </c>
      <c r="F4281" s="3">
        <v>34861.8317808096</v>
      </c>
      <c r="G4281" s="3">
        <v>24015.94</v>
      </c>
      <c r="H4281" s="3">
        <v>-132749.329981117</v>
      </c>
      <c r="I4281" s="3">
        <v>67065.6057413153</v>
      </c>
      <c r="J4281" s="4">
        <v>45717.0</v>
      </c>
      <c r="K4281" s="3">
        <v>14.0</v>
      </c>
      <c r="L4281" s="3" t="s">
        <v>34</v>
      </c>
    </row>
    <row r="4282" ht="15.75" customHeight="1">
      <c r="A4282" s="3" t="s">
        <v>4374</v>
      </c>
      <c r="B4282" s="3" t="s">
        <v>29</v>
      </c>
      <c r="C4282" s="3" t="s">
        <v>26</v>
      </c>
      <c r="D4282" s="3">
        <v>116840.53</v>
      </c>
      <c r="E4282" s="3">
        <v>18108.78</v>
      </c>
      <c r="F4282" s="3">
        <v>34869.5117842391</v>
      </c>
      <c r="G4282" s="3">
        <v>8563.85</v>
      </c>
      <c r="H4282" s="3">
        <v>-132798.833698866</v>
      </c>
      <c r="I4282" s="3">
        <v>67068.9872157351</v>
      </c>
      <c r="J4282" s="4">
        <v>45962.0</v>
      </c>
      <c r="K4282" s="3">
        <v>24.0</v>
      </c>
      <c r="L4282" s="3" t="s">
        <v>38</v>
      </c>
    </row>
    <row r="4283" ht="15.75" customHeight="1">
      <c r="A4283" s="3" t="s">
        <v>4375</v>
      </c>
      <c r="B4283" s="3" t="s">
        <v>17</v>
      </c>
      <c r="C4283" s="3" t="s">
        <v>14</v>
      </c>
      <c r="D4283" s="3">
        <v>102406.48</v>
      </c>
      <c r="E4283" s="3">
        <v>29097.89</v>
      </c>
      <c r="F4283" s="3">
        <v>34877.1917876686</v>
      </c>
      <c r="G4283" s="3">
        <v>22205.13</v>
      </c>
      <c r="H4283" s="3">
        <v>-132848.337416615</v>
      </c>
      <c r="I4283" s="3">
        <v>67072.3686901549</v>
      </c>
      <c r="J4283" s="4">
        <v>45870.0</v>
      </c>
      <c r="K4283" s="3">
        <v>1.0</v>
      </c>
      <c r="L4283" s="3" t="s">
        <v>40</v>
      </c>
    </row>
    <row r="4284" ht="15.75" customHeight="1">
      <c r="A4284" s="3" t="s">
        <v>4376</v>
      </c>
      <c r="B4284" s="3" t="s">
        <v>17</v>
      </c>
      <c r="C4284" s="3" t="s">
        <v>33</v>
      </c>
      <c r="D4284" s="3">
        <v>37295.61</v>
      </c>
      <c r="E4284" s="3">
        <v>10963.67</v>
      </c>
      <c r="F4284" s="3">
        <v>34884.8717910981</v>
      </c>
      <c r="G4284" s="3">
        <v>21266.48</v>
      </c>
      <c r="H4284" s="3">
        <v>-132897.841134364</v>
      </c>
      <c r="I4284" s="3">
        <v>67075.7501645747</v>
      </c>
      <c r="J4284" s="4">
        <v>45962.0</v>
      </c>
      <c r="K4284" s="3">
        <v>15.0</v>
      </c>
      <c r="L4284" s="3" t="s">
        <v>42</v>
      </c>
    </row>
    <row r="4285" ht="15.75" customHeight="1">
      <c r="A4285" s="3" t="s">
        <v>4377</v>
      </c>
      <c r="B4285" s="3" t="s">
        <v>53</v>
      </c>
      <c r="C4285" s="3" t="s">
        <v>37</v>
      </c>
      <c r="D4285" s="3">
        <v>34091.62</v>
      </c>
      <c r="E4285" s="3">
        <v>27094.16</v>
      </c>
      <c r="F4285" s="3">
        <v>34892.5517945276</v>
      </c>
      <c r="G4285" s="3">
        <v>5661.67</v>
      </c>
      <c r="H4285" s="3">
        <v>-132947.344852113</v>
      </c>
      <c r="I4285" s="3">
        <v>67079.1316389945</v>
      </c>
      <c r="J4285" s="4">
        <v>45809.0</v>
      </c>
      <c r="K4285" s="3">
        <v>18.0</v>
      </c>
      <c r="L4285" s="3" t="s">
        <v>15</v>
      </c>
    </row>
    <row r="4286" ht="15.75" customHeight="1">
      <c r="A4286" s="3" t="s">
        <v>4378</v>
      </c>
      <c r="B4286" s="3" t="s">
        <v>29</v>
      </c>
      <c r="C4286" s="3" t="s">
        <v>37</v>
      </c>
      <c r="D4286" s="3">
        <v>34257.47</v>
      </c>
      <c r="E4286" s="3">
        <v>13353.81</v>
      </c>
      <c r="F4286" s="3">
        <v>34900.2317979571</v>
      </c>
      <c r="G4286" s="3">
        <v>15795.11</v>
      </c>
      <c r="H4286" s="3">
        <v>-132996.848569862</v>
      </c>
      <c r="I4286" s="3">
        <v>67082.5131134143</v>
      </c>
      <c r="J4286" s="4">
        <v>45992.0</v>
      </c>
      <c r="K4286" s="3">
        <v>15.0</v>
      </c>
      <c r="L4286" s="3" t="s">
        <v>19</v>
      </c>
    </row>
    <row r="4287" ht="15.75" customHeight="1">
      <c r="A4287" s="3" t="s">
        <v>4379</v>
      </c>
      <c r="B4287" s="3" t="s">
        <v>29</v>
      </c>
      <c r="C4287" s="3" t="s">
        <v>30</v>
      </c>
      <c r="D4287" s="3">
        <v>46945.44</v>
      </c>
      <c r="E4287" s="3">
        <v>35899.1</v>
      </c>
      <c r="F4287" s="3">
        <v>34907.9118013866</v>
      </c>
      <c r="G4287" s="3">
        <v>2280.72</v>
      </c>
      <c r="H4287" s="3">
        <v>-133046.352287611</v>
      </c>
      <c r="I4287" s="3">
        <v>67085.8945878342</v>
      </c>
      <c r="J4287" s="4">
        <v>45870.0</v>
      </c>
      <c r="K4287" s="3">
        <v>11.0</v>
      </c>
      <c r="L4287" s="3" t="s">
        <v>21</v>
      </c>
    </row>
    <row r="4288" ht="15.75" customHeight="1">
      <c r="A4288" s="3" t="s">
        <v>4380</v>
      </c>
      <c r="B4288" s="3" t="s">
        <v>29</v>
      </c>
      <c r="C4288" s="3" t="s">
        <v>26</v>
      </c>
      <c r="D4288" s="3">
        <v>70099.43</v>
      </c>
      <c r="E4288" s="3">
        <v>36244.84</v>
      </c>
      <c r="F4288" s="3">
        <v>34915.5918048161</v>
      </c>
      <c r="G4288" s="3">
        <v>20999.41</v>
      </c>
      <c r="H4288" s="3">
        <v>-133095.856005361</v>
      </c>
      <c r="I4288" s="3">
        <v>67089.276062254</v>
      </c>
      <c r="J4288" s="4">
        <v>45992.0</v>
      </c>
      <c r="K4288" s="3">
        <v>23.0</v>
      </c>
      <c r="L4288" s="3" t="s">
        <v>23</v>
      </c>
    </row>
    <row r="4289" ht="15.75" customHeight="1">
      <c r="A4289" s="3" t="s">
        <v>4381</v>
      </c>
      <c r="B4289" s="3" t="s">
        <v>29</v>
      </c>
      <c r="C4289" s="3" t="s">
        <v>30</v>
      </c>
      <c r="D4289" s="3">
        <v>60354.23</v>
      </c>
      <c r="E4289" s="3">
        <v>14702.34</v>
      </c>
      <c r="F4289" s="3">
        <v>34923.2718082456</v>
      </c>
      <c r="G4289" s="3">
        <v>4776.37</v>
      </c>
      <c r="H4289" s="3">
        <v>-133145.35972311</v>
      </c>
      <c r="I4289" s="3">
        <v>67092.6575366738</v>
      </c>
      <c r="J4289" s="4">
        <v>45717.0</v>
      </c>
      <c r="K4289" s="3">
        <v>24.0</v>
      </c>
      <c r="L4289" s="3" t="s">
        <v>27</v>
      </c>
    </row>
    <row r="4290" ht="15.75" customHeight="1">
      <c r="A4290" s="3" t="s">
        <v>4382</v>
      </c>
      <c r="B4290" s="3" t="s">
        <v>17</v>
      </c>
      <c r="C4290" s="3" t="s">
        <v>18</v>
      </c>
      <c r="D4290" s="3">
        <v>45579.06</v>
      </c>
      <c r="E4290" s="3">
        <v>12279.78</v>
      </c>
      <c r="F4290" s="3">
        <v>34930.9518116751</v>
      </c>
      <c r="G4290" s="3">
        <v>2234.96</v>
      </c>
      <c r="H4290" s="3">
        <v>-133194.863440859</v>
      </c>
      <c r="I4290" s="3">
        <v>67096.0390110936</v>
      </c>
      <c r="J4290" s="4">
        <v>45962.0</v>
      </c>
      <c r="K4290" s="3">
        <v>23.0</v>
      </c>
      <c r="L4290" s="3" t="s">
        <v>31</v>
      </c>
    </row>
    <row r="4291" ht="15.75" customHeight="1">
      <c r="A4291" s="3" t="s">
        <v>4383</v>
      </c>
      <c r="B4291" s="3" t="s">
        <v>25</v>
      </c>
      <c r="C4291" s="3" t="s">
        <v>14</v>
      </c>
      <c r="D4291" s="3">
        <v>79244.55</v>
      </c>
      <c r="E4291" s="3">
        <v>18806.94</v>
      </c>
      <c r="F4291" s="3">
        <v>34938.6318151046</v>
      </c>
      <c r="G4291" s="3">
        <v>10305.37</v>
      </c>
      <c r="H4291" s="3">
        <v>-133244.367158608</v>
      </c>
      <c r="I4291" s="3">
        <v>67099.4204855134</v>
      </c>
      <c r="J4291" s="4">
        <v>45931.0</v>
      </c>
      <c r="K4291" s="3">
        <v>24.0</v>
      </c>
      <c r="L4291" s="3" t="s">
        <v>34</v>
      </c>
    </row>
    <row r="4292" ht="15.75" customHeight="1">
      <c r="A4292" s="3" t="s">
        <v>4384</v>
      </c>
      <c r="B4292" s="3" t="s">
        <v>51</v>
      </c>
      <c r="C4292" s="3" t="s">
        <v>30</v>
      </c>
      <c r="D4292" s="3">
        <v>29646.86</v>
      </c>
      <c r="E4292" s="3">
        <v>12659.14</v>
      </c>
      <c r="F4292" s="3">
        <v>34946.3118185341</v>
      </c>
      <c r="G4292" s="3">
        <v>14634.59</v>
      </c>
      <c r="H4292" s="3">
        <v>-133293.870876357</v>
      </c>
      <c r="I4292" s="3">
        <v>67102.8019599332</v>
      </c>
      <c r="J4292" s="4">
        <v>45962.0</v>
      </c>
      <c r="K4292" s="3">
        <v>25.0</v>
      </c>
      <c r="L4292" s="3" t="s">
        <v>38</v>
      </c>
    </row>
    <row r="4293" ht="15.75" customHeight="1">
      <c r="A4293" s="3" t="s">
        <v>4385</v>
      </c>
      <c r="B4293" s="3" t="s">
        <v>51</v>
      </c>
      <c r="C4293" s="3" t="s">
        <v>30</v>
      </c>
      <c r="D4293" s="3">
        <v>45675.19</v>
      </c>
      <c r="E4293" s="3">
        <v>28205.82</v>
      </c>
      <c r="F4293" s="3">
        <v>34953.9918219636</v>
      </c>
      <c r="G4293" s="3">
        <v>21445.47</v>
      </c>
      <c r="H4293" s="3">
        <v>-133343.374594106</v>
      </c>
      <c r="I4293" s="3">
        <v>67106.183434353</v>
      </c>
      <c r="J4293" s="4">
        <v>45962.0</v>
      </c>
      <c r="K4293" s="3">
        <v>18.0</v>
      </c>
      <c r="L4293" s="3" t="s">
        <v>40</v>
      </c>
    </row>
    <row r="4294" ht="15.75" customHeight="1">
      <c r="A4294" s="3" t="s">
        <v>4386</v>
      </c>
      <c r="B4294" s="3" t="s">
        <v>36</v>
      </c>
      <c r="C4294" s="3" t="s">
        <v>37</v>
      </c>
      <c r="D4294" s="3">
        <v>53467.99</v>
      </c>
      <c r="E4294" s="3">
        <v>33738.33</v>
      </c>
      <c r="F4294" s="3">
        <v>34961.6718253931</v>
      </c>
      <c r="G4294" s="3">
        <v>24368.94</v>
      </c>
      <c r="H4294" s="3">
        <v>-133392.878311855</v>
      </c>
      <c r="I4294" s="3">
        <v>67109.5649087729</v>
      </c>
      <c r="J4294" s="4">
        <v>45992.0</v>
      </c>
      <c r="K4294" s="3">
        <v>1.0</v>
      </c>
      <c r="L4294" s="3" t="s">
        <v>42</v>
      </c>
    </row>
    <row r="4295" ht="15.75" customHeight="1">
      <c r="A4295" s="3" t="s">
        <v>4387</v>
      </c>
      <c r="B4295" s="3" t="s">
        <v>51</v>
      </c>
      <c r="C4295" s="3" t="s">
        <v>18</v>
      </c>
      <c r="D4295" s="3">
        <v>62887.35</v>
      </c>
      <c r="E4295" s="3">
        <v>28231.32</v>
      </c>
      <c r="F4295" s="3">
        <v>34969.3518288226</v>
      </c>
      <c r="G4295" s="3">
        <v>11267.57</v>
      </c>
      <c r="H4295" s="3">
        <v>-133442.382029605</v>
      </c>
      <c r="I4295" s="3">
        <v>67112.9463831927</v>
      </c>
      <c r="J4295" s="4">
        <v>45689.0</v>
      </c>
      <c r="K4295" s="3">
        <v>22.0</v>
      </c>
      <c r="L4295" s="3" t="s">
        <v>15</v>
      </c>
    </row>
    <row r="4296" ht="15.75" customHeight="1">
      <c r="A4296" s="3" t="s">
        <v>4388</v>
      </c>
      <c r="B4296" s="3" t="s">
        <v>25</v>
      </c>
      <c r="C4296" s="3" t="s">
        <v>33</v>
      </c>
      <c r="D4296" s="3">
        <v>97443.48</v>
      </c>
      <c r="E4296" s="3">
        <v>33676.62</v>
      </c>
      <c r="F4296" s="3">
        <v>34977.0318322521</v>
      </c>
      <c r="G4296" s="3">
        <v>1980.95</v>
      </c>
      <c r="H4296" s="3">
        <v>-133491.885747354</v>
      </c>
      <c r="I4296" s="3">
        <v>67116.3278576125</v>
      </c>
      <c r="J4296" s="4">
        <v>45717.0</v>
      </c>
      <c r="K4296" s="3">
        <v>20.0</v>
      </c>
      <c r="L4296" s="3" t="s">
        <v>19</v>
      </c>
    </row>
    <row r="4297" ht="15.75" customHeight="1">
      <c r="A4297" s="3" t="s">
        <v>4389</v>
      </c>
      <c r="B4297" s="3" t="s">
        <v>25</v>
      </c>
      <c r="C4297" s="3" t="s">
        <v>18</v>
      </c>
      <c r="D4297" s="3">
        <v>35965.75</v>
      </c>
      <c r="E4297" s="3">
        <v>18291.72</v>
      </c>
      <c r="F4297" s="3">
        <v>34984.7118356816</v>
      </c>
      <c r="G4297" s="3">
        <v>18853.33</v>
      </c>
      <c r="H4297" s="3">
        <v>-133541.389465103</v>
      </c>
      <c r="I4297" s="3">
        <v>67119.7093320323</v>
      </c>
      <c r="J4297" s="4">
        <v>45658.0</v>
      </c>
      <c r="K4297" s="3">
        <v>20.0</v>
      </c>
      <c r="L4297" s="3" t="s">
        <v>21</v>
      </c>
    </row>
    <row r="4298" ht="15.75" customHeight="1">
      <c r="A4298" s="3" t="s">
        <v>4390</v>
      </c>
      <c r="B4298" s="3" t="s">
        <v>53</v>
      </c>
      <c r="C4298" s="3" t="s">
        <v>30</v>
      </c>
      <c r="D4298" s="3">
        <v>68994.62</v>
      </c>
      <c r="E4298" s="3">
        <v>9627.41</v>
      </c>
      <c r="F4298" s="3">
        <v>34992.3918391111</v>
      </c>
      <c r="G4298" s="3">
        <v>14346.74</v>
      </c>
      <c r="H4298" s="3">
        <v>-133590.893182852</v>
      </c>
      <c r="I4298" s="3">
        <v>67123.0908064521</v>
      </c>
      <c r="J4298" s="4">
        <v>45778.0</v>
      </c>
      <c r="K4298" s="3">
        <v>8.0</v>
      </c>
      <c r="L4298" s="3" t="s">
        <v>23</v>
      </c>
    </row>
    <row r="4299" ht="15.75" customHeight="1">
      <c r="A4299" s="3" t="s">
        <v>4391</v>
      </c>
      <c r="B4299" s="3" t="s">
        <v>13</v>
      </c>
      <c r="C4299" s="3" t="s">
        <v>30</v>
      </c>
      <c r="D4299" s="3">
        <v>77203.53</v>
      </c>
      <c r="E4299" s="3">
        <v>30566.23</v>
      </c>
      <c r="F4299" s="3">
        <v>35000.0718425406</v>
      </c>
      <c r="G4299" s="3">
        <v>11473.34</v>
      </c>
      <c r="H4299" s="3">
        <v>-133640.396900601</v>
      </c>
      <c r="I4299" s="3">
        <v>67126.4722808719</v>
      </c>
      <c r="J4299" s="4">
        <v>45992.0</v>
      </c>
      <c r="K4299" s="3">
        <v>7.0</v>
      </c>
      <c r="L4299" s="3" t="s">
        <v>27</v>
      </c>
    </row>
    <row r="4300" ht="15.75" customHeight="1">
      <c r="A4300" s="3" t="s">
        <v>4392</v>
      </c>
      <c r="B4300" s="3" t="s">
        <v>13</v>
      </c>
      <c r="C4300" s="3" t="s">
        <v>33</v>
      </c>
      <c r="D4300" s="3">
        <v>19877.29</v>
      </c>
      <c r="E4300" s="3">
        <v>16977.08</v>
      </c>
      <c r="F4300" s="3">
        <v>35007.7518459701</v>
      </c>
      <c r="G4300" s="3">
        <v>8077.09</v>
      </c>
      <c r="H4300" s="3">
        <v>-133689.90061835</v>
      </c>
      <c r="I4300" s="3">
        <v>67129.8537552918</v>
      </c>
      <c r="J4300" s="4">
        <v>45717.0</v>
      </c>
      <c r="K4300" s="3">
        <v>9.0</v>
      </c>
      <c r="L4300" s="3" t="s">
        <v>31</v>
      </c>
    </row>
    <row r="4301" ht="15.75" customHeight="1">
      <c r="A4301" s="3" t="s">
        <v>4393</v>
      </c>
      <c r="B4301" s="3" t="s">
        <v>29</v>
      </c>
      <c r="C4301" s="3" t="s">
        <v>14</v>
      </c>
      <c r="D4301" s="3">
        <v>32905.03</v>
      </c>
      <c r="E4301" s="3">
        <v>13743.18</v>
      </c>
      <c r="F4301" s="3">
        <v>35023.1118528291</v>
      </c>
      <c r="G4301" s="3">
        <v>8797.65</v>
      </c>
      <c r="H4301" s="3">
        <v>-133788.908053848</v>
      </c>
      <c r="I4301" s="3">
        <v>67136.6167041314</v>
      </c>
      <c r="J4301" s="4">
        <v>45992.0</v>
      </c>
      <c r="K4301" s="3">
        <v>18.0</v>
      </c>
      <c r="L4301" s="3" t="s">
        <v>38</v>
      </c>
    </row>
    <row r="4302" ht="15.75" customHeight="1">
      <c r="A4302" s="3" t="s">
        <v>4394</v>
      </c>
      <c r="B4302" s="3" t="s">
        <v>36</v>
      </c>
      <c r="C4302" s="3" t="s">
        <v>26</v>
      </c>
      <c r="D4302" s="3">
        <v>21830.42</v>
      </c>
      <c r="E4302" s="3">
        <v>6924.27</v>
      </c>
      <c r="F4302" s="3">
        <v>35030.7918562585</v>
      </c>
      <c r="G4302" s="3">
        <v>19046.79</v>
      </c>
      <c r="H4302" s="3">
        <v>-133838.411771598</v>
      </c>
      <c r="I4302" s="3">
        <v>67139.9981785512</v>
      </c>
      <c r="J4302" s="4">
        <v>45901.0</v>
      </c>
      <c r="K4302" s="3">
        <v>5.0</v>
      </c>
      <c r="L4302" s="3" t="s">
        <v>40</v>
      </c>
    </row>
    <row r="4303" ht="15.75" customHeight="1">
      <c r="A4303" s="3" t="s">
        <v>4395</v>
      </c>
      <c r="B4303" s="3" t="s">
        <v>17</v>
      </c>
      <c r="C4303" s="3" t="s">
        <v>37</v>
      </c>
      <c r="D4303" s="3">
        <v>114632.98</v>
      </c>
      <c r="E4303" s="3">
        <v>39732.94</v>
      </c>
      <c r="F4303" s="3">
        <v>35038.471859688</v>
      </c>
      <c r="G4303" s="3">
        <v>13825.4</v>
      </c>
      <c r="H4303" s="3">
        <v>-133887.915489347</v>
      </c>
      <c r="I4303" s="3">
        <v>67143.379652971</v>
      </c>
      <c r="J4303" s="4">
        <v>45901.0</v>
      </c>
      <c r="K4303" s="3">
        <v>16.0</v>
      </c>
      <c r="L4303" s="3" t="s">
        <v>42</v>
      </c>
    </row>
    <row r="4304" ht="15.75" customHeight="1">
      <c r="A4304" s="3" t="s">
        <v>4396</v>
      </c>
      <c r="B4304" s="3" t="s">
        <v>53</v>
      </c>
      <c r="C4304" s="3" t="s">
        <v>18</v>
      </c>
      <c r="D4304" s="3">
        <v>116391.36</v>
      </c>
      <c r="E4304" s="3">
        <v>9623.25</v>
      </c>
      <c r="F4304" s="3">
        <v>35046.1518631175</v>
      </c>
      <c r="G4304" s="3">
        <v>21982.77</v>
      </c>
      <c r="H4304" s="3">
        <v>-133937.419207096</v>
      </c>
      <c r="I4304" s="3">
        <v>67146.7611273908</v>
      </c>
      <c r="J4304" s="4">
        <v>45748.0</v>
      </c>
      <c r="K4304" s="3">
        <v>21.0</v>
      </c>
      <c r="L4304" s="3" t="s">
        <v>15</v>
      </c>
    </row>
    <row r="4305" ht="15.75" customHeight="1">
      <c r="A4305" s="3" t="s">
        <v>4397</v>
      </c>
      <c r="B4305" s="3" t="s">
        <v>51</v>
      </c>
      <c r="C4305" s="3" t="s">
        <v>14</v>
      </c>
      <c r="D4305" s="3">
        <v>99881.72</v>
      </c>
      <c r="E4305" s="3">
        <v>39583.16</v>
      </c>
      <c r="F4305" s="3">
        <v>35053.831866547</v>
      </c>
      <c r="G4305" s="3">
        <v>13816.83</v>
      </c>
      <c r="H4305" s="3">
        <v>-133986.922924845</v>
      </c>
      <c r="I4305" s="3">
        <v>67150.1426018106</v>
      </c>
      <c r="J4305" s="4">
        <v>45962.0</v>
      </c>
      <c r="K4305" s="3">
        <v>16.0</v>
      </c>
      <c r="L4305" s="3" t="s">
        <v>19</v>
      </c>
    </row>
    <row r="4306" ht="15.75" customHeight="1">
      <c r="A4306" s="3" t="s">
        <v>4398</v>
      </c>
      <c r="B4306" s="3" t="s">
        <v>51</v>
      </c>
      <c r="C4306" s="3" t="s">
        <v>54</v>
      </c>
      <c r="D4306" s="3">
        <v>46984.45</v>
      </c>
      <c r="E4306" s="3">
        <v>39182.08</v>
      </c>
      <c r="F4306" s="3">
        <v>35061.5118699765</v>
      </c>
      <c r="G4306" s="3">
        <v>6337.43</v>
      </c>
      <c r="H4306" s="3">
        <v>-134036.426642594</v>
      </c>
      <c r="I4306" s="3">
        <v>67153.5240762305</v>
      </c>
      <c r="J4306" s="4">
        <v>45931.0</v>
      </c>
      <c r="K4306" s="3">
        <v>4.0</v>
      </c>
      <c r="L4306" s="3" t="s">
        <v>21</v>
      </c>
    </row>
    <row r="4307" ht="15.75" customHeight="1">
      <c r="A4307" s="3" t="s">
        <v>4399</v>
      </c>
      <c r="B4307" s="3" t="s">
        <v>17</v>
      </c>
      <c r="C4307" s="3" t="s">
        <v>30</v>
      </c>
      <c r="D4307" s="3">
        <v>25255.57</v>
      </c>
      <c r="E4307" s="3">
        <v>32577.45</v>
      </c>
      <c r="F4307" s="3">
        <v>35069.191873406</v>
      </c>
      <c r="G4307" s="3">
        <v>21351.75</v>
      </c>
      <c r="H4307" s="3">
        <v>-134085.930360343</v>
      </c>
      <c r="I4307" s="3">
        <v>67156.9055506503</v>
      </c>
      <c r="J4307" s="4">
        <v>45689.0</v>
      </c>
      <c r="K4307" s="3">
        <v>9.0</v>
      </c>
      <c r="L4307" s="3" t="s">
        <v>23</v>
      </c>
    </row>
    <row r="4308" ht="15.75" customHeight="1">
      <c r="A4308" s="3" t="s">
        <v>4400</v>
      </c>
      <c r="B4308" s="3" t="s">
        <v>13</v>
      </c>
      <c r="C4308" s="3" t="s">
        <v>37</v>
      </c>
      <c r="D4308" s="3">
        <v>86844.47</v>
      </c>
      <c r="E4308" s="3">
        <v>27739.23</v>
      </c>
      <c r="F4308" s="3">
        <v>35076.8718768355</v>
      </c>
      <c r="G4308" s="3">
        <v>14151.87</v>
      </c>
      <c r="H4308" s="3">
        <v>-134135.434078092</v>
      </c>
      <c r="I4308" s="3">
        <v>67160.2870250701</v>
      </c>
      <c r="J4308" s="4">
        <v>45658.0</v>
      </c>
      <c r="K4308" s="3">
        <v>16.0</v>
      </c>
      <c r="L4308" s="3" t="s">
        <v>27</v>
      </c>
    </row>
    <row r="4309" ht="15.75" customHeight="1">
      <c r="A4309" s="3" t="s">
        <v>4401</v>
      </c>
      <c r="B4309" s="3" t="s">
        <v>53</v>
      </c>
      <c r="C4309" s="3" t="s">
        <v>54</v>
      </c>
      <c r="D4309" s="3">
        <v>61216.01</v>
      </c>
      <c r="E4309" s="3">
        <v>24801.05</v>
      </c>
      <c r="F4309" s="3">
        <v>35084.551880265</v>
      </c>
      <c r="G4309" s="3">
        <v>5567.61</v>
      </c>
      <c r="H4309" s="3">
        <v>-134184.937795841</v>
      </c>
      <c r="I4309" s="3">
        <v>67163.6684994899</v>
      </c>
      <c r="J4309" s="4">
        <v>45809.0</v>
      </c>
      <c r="K4309" s="3">
        <v>4.0</v>
      </c>
      <c r="L4309" s="3" t="s">
        <v>31</v>
      </c>
    </row>
    <row r="4310" ht="15.75" customHeight="1">
      <c r="A4310" s="3" t="s">
        <v>4402</v>
      </c>
      <c r="B4310" s="3" t="s">
        <v>29</v>
      </c>
      <c r="C4310" s="3" t="s">
        <v>18</v>
      </c>
      <c r="D4310" s="3">
        <v>27814.01</v>
      </c>
      <c r="E4310" s="3">
        <v>35179.66</v>
      </c>
      <c r="F4310" s="3">
        <v>35092.2318836945</v>
      </c>
      <c r="G4310" s="3">
        <v>15775.94</v>
      </c>
      <c r="H4310" s="3">
        <v>-134234.441513591</v>
      </c>
      <c r="I4310" s="3">
        <v>67167.0499739097</v>
      </c>
      <c r="J4310" s="4">
        <v>45717.0</v>
      </c>
      <c r="K4310" s="3">
        <v>13.0</v>
      </c>
      <c r="L4310" s="3" t="s">
        <v>34</v>
      </c>
    </row>
    <row r="4311" ht="15.75" customHeight="1">
      <c r="A4311" s="3" t="s">
        <v>4403</v>
      </c>
      <c r="B4311" s="3" t="s">
        <v>36</v>
      </c>
      <c r="C4311" s="3" t="s">
        <v>54</v>
      </c>
      <c r="D4311" s="3">
        <v>66993.58</v>
      </c>
      <c r="E4311" s="3">
        <v>14419.82</v>
      </c>
      <c r="F4311" s="3">
        <v>35099.911887124</v>
      </c>
      <c r="G4311" s="3">
        <v>9264.06</v>
      </c>
      <c r="H4311" s="3">
        <v>-134283.94523134</v>
      </c>
      <c r="I4311" s="3">
        <v>67170.4314483295</v>
      </c>
      <c r="J4311" s="4">
        <v>45870.0</v>
      </c>
      <c r="K4311" s="3">
        <v>25.0</v>
      </c>
      <c r="L4311" s="3" t="s">
        <v>38</v>
      </c>
    </row>
    <row r="4312" ht="15.75" customHeight="1">
      <c r="A4312" s="3" t="s">
        <v>4404</v>
      </c>
      <c r="B4312" s="3" t="s">
        <v>25</v>
      </c>
      <c r="C4312" s="3" t="s">
        <v>18</v>
      </c>
      <c r="D4312" s="3">
        <v>18610.79</v>
      </c>
      <c r="E4312" s="3">
        <v>20836.52</v>
      </c>
      <c r="F4312" s="3">
        <v>35107.5918905535</v>
      </c>
      <c r="G4312" s="3">
        <v>21187.94</v>
      </c>
      <c r="H4312" s="3">
        <v>-134333.448949089</v>
      </c>
      <c r="I4312" s="3">
        <v>67173.8129227493</v>
      </c>
      <c r="J4312" s="4">
        <v>45901.0</v>
      </c>
      <c r="K4312" s="3">
        <v>16.0</v>
      </c>
      <c r="L4312" s="3" t="s">
        <v>40</v>
      </c>
    </row>
    <row r="4313" ht="15.75" customHeight="1">
      <c r="A4313" s="3" t="s">
        <v>4405</v>
      </c>
      <c r="B4313" s="3" t="s">
        <v>13</v>
      </c>
      <c r="C4313" s="3" t="s">
        <v>26</v>
      </c>
      <c r="D4313" s="3">
        <v>110478.64</v>
      </c>
      <c r="E4313" s="3">
        <v>26298.04</v>
      </c>
      <c r="F4313" s="3">
        <v>35115.271893983</v>
      </c>
      <c r="G4313" s="3">
        <v>11605.84</v>
      </c>
      <c r="H4313" s="3">
        <v>-134382.952666838</v>
      </c>
      <c r="I4313" s="3">
        <v>67177.1943971692</v>
      </c>
      <c r="J4313" s="4">
        <v>45717.0</v>
      </c>
      <c r="K4313" s="3">
        <v>24.0</v>
      </c>
      <c r="L4313" s="3" t="s">
        <v>42</v>
      </c>
    </row>
    <row r="4314" ht="15.75" customHeight="1">
      <c r="A4314" s="3" t="s">
        <v>4406</v>
      </c>
      <c r="B4314" s="3" t="s">
        <v>36</v>
      </c>
      <c r="C4314" s="3" t="s">
        <v>37</v>
      </c>
      <c r="D4314" s="3">
        <v>42171.9</v>
      </c>
      <c r="E4314" s="3">
        <v>18802.86</v>
      </c>
      <c r="F4314" s="3">
        <v>35122.9518974125</v>
      </c>
      <c r="G4314" s="3">
        <v>18297.81</v>
      </c>
      <c r="H4314" s="3">
        <v>-134432.456384587</v>
      </c>
      <c r="I4314" s="3">
        <v>67180.575871589</v>
      </c>
      <c r="J4314" s="4">
        <v>45717.0</v>
      </c>
      <c r="K4314" s="3">
        <v>1.0</v>
      </c>
      <c r="L4314" s="3" t="s">
        <v>15</v>
      </c>
    </row>
    <row r="4315" ht="15.75" customHeight="1">
      <c r="A4315" s="3" t="s">
        <v>4407</v>
      </c>
      <c r="B4315" s="3" t="s">
        <v>29</v>
      </c>
      <c r="C4315" s="3" t="s">
        <v>30</v>
      </c>
      <c r="D4315" s="3">
        <v>84564.84</v>
      </c>
      <c r="E4315" s="3">
        <v>19389.51</v>
      </c>
      <c r="F4315" s="3">
        <v>35130.631900842</v>
      </c>
      <c r="G4315" s="3">
        <v>2840.64</v>
      </c>
      <c r="H4315" s="3">
        <v>-134481.960102336</v>
      </c>
      <c r="I4315" s="3">
        <v>67183.9573460088</v>
      </c>
      <c r="J4315" s="4">
        <v>45870.0</v>
      </c>
      <c r="K4315" s="3">
        <v>3.0</v>
      </c>
      <c r="L4315" s="3" t="s">
        <v>19</v>
      </c>
    </row>
    <row r="4316" ht="15.75" customHeight="1">
      <c r="A4316" s="3" t="s">
        <v>4408</v>
      </c>
      <c r="B4316" s="3" t="s">
        <v>51</v>
      </c>
      <c r="C4316" s="3" t="s">
        <v>30</v>
      </c>
      <c r="D4316" s="3">
        <v>47729.66</v>
      </c>
      <c r="E4316" s="3">
        <v>15890.25</v>
      </c>
      <c r="F4316" s="3">
        <v>35138.3119042715</v>
      </c>
      <c r="G4316" s="3">
        <v>10202.6</v>
      </c>
      <c r="H4316" s="3">
        <v>-134531.463820085</v>
      </c>
      <c r="I4316" s="3">
        <v>67187.3388204286</v>
      </c>
      <c r="J4316" s="4">
        <v>45962.0</v>
      </c>
      <c r="K4316" s="3">
        <v>3.0</v>
      </c>
      <c r="L4316" s="3" t="s">
        <v>21</v>
      </c>
    </row>
    <row r="4317" ht="15.75" customHeight="1">
      <c r="A4317" s="3" t="s">
        <v>4409</v>
      </c>
      <c r="B4317" s="3" t="s">
        <v>53</v>
      </c>
      <c r="C4317" s="3" t="s">
        <v>18</v>
      </c>
      <c r="D4317" s="3">
        <v>69607.14</v>
      </c>
      <c r="E4317" s="3">
        <v>24312.35</v>
      </c>
      <c r="F4317" s="3">
        <v>35145.991907701</v>
      </c>
      <c r="G4317" s="3">
        <v>24589.42</v>
      </c>
      <c r="H4317" s="3">
        <v>-134580.967537834</v>
      </c>
      <c r="I4317" s="3">
        <v>67190.7202948484</v>
      </c>
      <c r="J4317" s="4">
        <v>45931.0</v>
      </c>
      <c r="K4317" s="3">
        <v>24.0</v>
      </c>
      <c r="L4317" s="3" t="s">
        <v>23</v>
      </c>
    </row>
    <row r="4318" ht="15.75" customHeight="1">
      <c r="A4318" s="3" t="s">
        <v>4410</v>
      </c>
      <c r="B4318" s="3" t="s">
        <v>29</v>
      </c>
      <c r="C4318" s="3" t="s">
        <v>30</v>
      </c>
      <c r="D4318" s="3">
        <v>72404.58</v>
      </c>
      <c r="E4318" s="3">
        <v>34620.68</v>
      </c>
      <c r="F4318" s="3">
        <v>35153.6719111305</v>
      </c>
      <c r="G4318" s="3">
        <v>20307.28</v>
      </c>
      <c r="H4318" s="3">
        <v>-134630.471255584</v>
      </c>
      <c r="I4318" s="3">
        <v>67194.1017692682</v>
      </c>
      <c r="J4318" s="4">
        <v>45870.0</v>
      </c>
      <c r="K4318" s="3">
        <v>8.0</v>
      </c>
      <c r="L4318" s="3" t="s">
        <v>27</v>
      </c>
    </row>
    <row r="4319" ht="15.75" customHeight="1">
      <c r="A4319" s="3" t="s">
        <v>4411</v>
      </c>
      <c r="B4319" s="3" t="s">
        <v>13</v>
      </c>
      <c r="C4319" s="3" t="s">
        <v>26</v>
      </c>
      <c r="D4319" s="3">
        <v>34409.72</v>
      </c>
      <c r="E4319" s="3">
        <v>11255.02</v>
      </c>
      <c r="F4319" s="3">
        <v>35161.35191456</v>
      </c>
      <c r="G4319" s="3">
        <v>4418.55</v>
      </c>
      <c r="H4319" s="3">
        <v>-134679.974973333</v>
      </c>
      <c r="I4319" s="3">
        <v>67197.483243688</v>
      </c>
      <c r="J4319" s="4">
        <v>45717.0</v>
      </c>
      <c r="K4319" s="3">
        <v>11.0</v>
      </c>
      <c r="L4319" s="3" t="s">
        <v>31</v>
      </c>
    </row>
    <row r="4320" ht="15.75" customHeight="1">
      <c r="A4320" s="3" t="s">
        <v>4412</v>
      </c>
      <c r="B4320" s="3" t="s">
        <v>51</v>
      </c>
      <c r="C4320" s="3" t="s">
        <v>14</v>
      </c>
      <c r="D4320" s="3">
        <v>116806.39</v>
      </c>
      <c r="E4320" s="3">
        <v>37639.59</v>
      </c>
      <c r="F4320" s="3">
        <v>35169.0319179895</v>
      </c>
      <c r="G4320" s="3">
        <v>7305.22</v>
      </c>
      <c r="H4320" s="3">
        <v>-134729.478691082</v>
      </c>
      <c r="I4320" s="3">
        <v>67200.8647181079</v>
      </c>
      <c r="J4320" s="4">
        <v>45931.0</v>
      </c>
      <c r="K4320" s="3">
        <v>25.0</v>
      </c>
      <c r="L4320" s="3" t="s">
        <v>34</v>
      </c>
    </row>
    <row r="4321" ht="15.75" customHeight="1">
      <c r="A4321" s="3" t="s">
        <v>4413</v>
      </c>
      <c r="B4321" s="3" t="s">
        <v>25</v>
      </c>
      <c r="C4321" s="3" t="s">
        <v>37</v>
      </c>
      <c r="D4321" s="3">
        <v>96388.95</v>
      </c>
      <c r="E4321" s="3">
        <v>28807.16</v>
      </c>
      <c r="F4321" s="3">
        <v>35176.711921419</v>
      </c>
      <c r="G4321" s="5"/>
      <c r="H4321" s="3">
        <v>-134778.982408831</v>
      </c>
      <c r="I4321" s="3">
        <v>67204.2461925277</v>
      </c>
      <c r="J4321" s="4">
        <v>45931.0</v>
      </c>
      <c r="K4321" s="3">
        <v>4.0</v>
      </c>
      <c r="L4321" s="3" t="s">
        <v>38</v>
      </c>
    </row>
    <row r="4322" ht="15.75" customHeight="1">
      <c r="A4322" s="3" t="s">
        <v>4414</v>
      </c>
      <c r="B4322" s="3" t="s">
        <v>25</v>
      </c>
      <c r="C4322" s="3" t="s">
        <v>54</v>
      </c>
      <c r="D4322" s="3">
        <v>113647.39</v>
      </c>
      <c r="E4322" s="3">
        <v>33637.84</v>
      </c>
      <c r="F4322" s="3">
        <v>35184.3919248485</v>
      </c>
      <c r="G4322" s="3">
        <v>16433.96</v>
      </c>
      <c r="H4322" s="3">
        <v>-134828.48612658</v>
      </c>
      <c r="I4322" s="3">
        <v>67207.6276669475</v>
      </c>
      <c r="J4322" s="4">
        <v>45809.0</v>
      </c>
      <c r="K4322" s="3">
        <v>22.0</v>
      </c>
      <c r="L4322" s="3" t="s">
        <v>40</v>
      </c>
    </row>
    <row r="4323" ht="15.75" customHeight="1">
      <c r="A4323" s="3" t="s">
        <v>4415</v>
      </c>
      <c r="B4323" s="3" t="s">
        <v>29</v>
      </c>
      <c r="C4323" s="3" t="s">
        <v>30</v>
      </c>
      <c r="D4323" s="3">
        <v>108956.87</v>
      </c>
      <c r="E4323" s="3">
        <v>24022.86</v>
      </c>
      <c r="F4323" s="3">
        <v>35192.071928278</v>
      </c>
      <c r="G4323" s="3">
        <v>19046.37</v>
      </c>
      <c r="H4323" s="3">
        <v>-134877.989844329</v>
      </c>
      <c r="I4323" s="3">
        <v>67211.0091413673</v>
      </c>
      <c r="J4323" s="4">
        <v>45809.0</v>
      </c>
      <c r="K4323" s="3">
        <v>5.0</v>
      </c>
      <c r="L4323" s="3" t="s">
        <v>42</v>
      </c>
    </row>
    <row r="4324" ht="15.75" customHeight="1">
      <c r="A4324" s="3" t="s">
        <v>4416</v>
      </c>
      <c r="B4324" s="3" t="s">
        <v>51</v>
      </c>
      <c r="C4324" s="3" t="s">
        <v>54</v>
      </c>
      <c r="D4324" s="3">
        <v>77779.5</v>
      </c>
      <c r="E4324" s="3">
        <v>32062.6</v>
      </c>
      <c r="F4324" s="3">
        <v>35199.7519317075</v>
      </c>
      <c r="G4324" s="3">
        <v>18863.4</v>
      </c>
      <c r="H4324" s="3">
        <v>-134927.493562078</v>
      </c>
      <c r="I4324" s="3">
        <v>67214.3906157871</v>
      </c>
      <c r="J4324" s="4">
        <v>45689.0</v>
      </c>
      <c r="K4324" s="3">
        <v>12.0</v>
      </c>
      <c r="L4324" s="3" t="s">
        <v>15</v>
      </c>
    </row>
    <row r="4325" ht="15.75" customHeight="1">
      <c r="A4325" s="3" t="s">
        <v>4417</v>
      </c>
      <c r="B4325" s="3" t="s">
        <v>25</v>
      </c>
      <c r="C4325" s="3" t="s">
        <v>14</v>
      </c>
      <c r="D4325" s="3">
        <v>111796.79</v>
      </c>
      <c r="E4325" s="3">
        <v>4583.21</v>
      </c>
      <c r="F4325" s="3">
        <v>35207.431935137</v>
      </c>
      <c r="G4325" s="3">
        <v>12991.91</v>
      </c>
      <c r="H4325" s="3">
        <v>-134976.997279827</v>
      </c>
      <c r="I4325" s="3">
        <v>67217.7720902069</v>
      </c>
      <c r="J4325" s="4">
        <v>45689.0</v>
      </c>
      <c r="K4325" s="3">
        <v>16.0</v>
      </c>
      <c r="L4325" s="3" t="s">
        <v>19</v>
      </c>
    </row>
    <row r="4326" ht="15.75" customHeight="1">
      <c r="A4326" s="3" t="s">
        <v>4418</v>
      </c>
      <c r="B4326" s="3" t="s">
        <v>51</v>
      </c>
      <c r="C4326" s="3" t="s">
        <v>26</v>
      </c>
      <c r="D4326" s="3">
        <v>24291.71</v>
      </c>
      <c r="E4326" s="3">
        <v>33461.7</v>
      </c>
      <c r="F4326" s="3">
        <v>35215.1119385665</v>
      </c>
      <c r="G4326" s="3">
        <v>20365.1</v>
      </c>
      <c r="H4326" s="3">
        <v>-135026.500997577</v>
      </c>
      <c r="I4326" s="3">
        <v>67221.1535646267</v>
      </c>
      <c r="J4326" s="4">
        <v>45778.0</v>
      </c>
      <c r="K4326" s="3">
        <v>10.0</v>
      </c>
      <c r="L4326" s="3" t="s">
        <v>21</v>
      </c>
    </row>
    <row r="4327" ht="15.75" customHeight="1">
      <c r="A4327" s="3" t="s">
        <v>4419</v>
      </c>
      <c r="B4327" s="3" t="s">
        <v>36</v>
      </c>
      <c r="C4327" s="3" t="s">
        <v>37</v>
      </c>
      <c r="D4327" s="3">
        <v>35578.2</v>
      </c>
      <c r="E4327" s="3">
        <v>5445.0</v>
      </c>
      <c r="F4327" s="3">
        <v>35222.791941996</v>
      </c>
      <c r="G4327" s="3">
        <v>11208.41</v>
      </c>
      <c r="H4327" s="3">
        <v>-135076.004715326</v>
      </c>
      <c r="I4327" s="3">
        <v>67224.5350390466</v>
      </c>
      <c r="J4327" s="4">
        <v>45778.0</v>
      </c>
      <c r="K4327" s="3">
        <v>2.0</v>
      </c>
      <c r="L4327" s="3" t="s">
        <v>23</v>
      </c>
    </row>
    <row r="4328" ht="15.75" customHeight="1">
      <c r="A4328" s="3" t="s">
        <v>4420</v>
      </c>
      <c r="B4328" s="3" t="s">
        <v>36</v>
      </c>
      <c r="C4328" s="3" t="s">
        <v>33</v>
      </c>
      <c r="D4328" s="3">
        <v>19748.87</v>
      </c>
      <c r="E4328" s="3">
        <v>36036.88</v>
      </c>
      <c r="F4328" s="3">
        <v>35230.4719454255</v>
      </c>
      <c r="G4328" s="3">
        <v>3535.07</v>
      </c>
      <c r="H4328" s="3">
        <v>-135125.508433075</v>
      </c>
      <c r="I4328" s="3">
        <v>67227.9165134664</v>
      </c>
      <c r="J4328" s="4">
        <v>45689.0</v>
      </c>
      <c r="K4328" s="3">
        <v>3.0</v>
      </c>
      <c r="L4328" s="3" t="s">
        <v>27</v>
      </c>
    </row>
    <row r="4329" ht="15.75" customHeight="1">
      <c r="A4329" s="3" t="s">
        <v>4421</v>
      </c>
      <c r="B4329" s="3" t="s">
        <v>13</v>
      </c>
      <c r="C4329" s="3" t="s">
        <v>54</v>
      </c>
      <c r="D4329" s="3">
        <v>49159.68</v>
      </c>
      <c r="E4329" s="3">
        <v>39710.66</v>
      </c>
      <c r="F4329" s="3">
        <v>35238.151948855</v>
      </c>
      <c r="G4329" s="3">
        <v>14328.83</v>
      </c>
      <c r="H4329" s="3">
        <v>-135175.012150824</v>
      </c>
      <c r="I4329" s="3">
        <v>67231.2979878862</v>
      </c>
      <c r="J4329" s="4">
        <v>45809.0</v>
      </c>
      <c r="K4329" s="3">
        <v>23.0</v>
      </c>
      <c r="L4329" s="3" t="s">
        <v>31</v>
      </c>
    </row>
    <row r="4330" ht="15.75" customHeight="1">
      <c r="A4330" s="3" t="s">
        <v>4422</v>
      </c>
      <c r="B4330" s="3" t="s">
        <v>29</v>
      </c>
      <c r="C4330" s="3" t="s">
        <v>14</v>
      </c>
      <c r="D4330" s="3">
        <v>55811.12</v>
      </c>
      <c r="E4330" s="3">
        <v>14586.43</v>
      </c>
      <c r="F4330" s="3">
        <v>35245.8319522845</v>
      </c>
      <c r="G4330" s="3">
        <v>23831.38</v>
      </c>
      <c r="H4330" s="3">
        <v>-135224.515868573</v>
      </c>
      <c r="I4330" s="3">
        <v>67234.679462306</v>
      </c>
      <c r="J4330" s="4">
        <v>45658.0</v>
      </c>
      <c r="K4330" s="3">
        <v>15.0</v>
      </c>
      <c r="L4330" s="3" t="s">
        <v>34</v>
      </c>
    </row>
    <row r="4331" ht="15.75" customHeight="1">
      <c r="A4331" s="3" t="s">
        <v>4423</v>
      </c>
      <c r="B4331" s="3" t="s">
        <v>53</v>
      </c>
      <c r="C4331" s="3" t="s">
        <v>33</v>
      </c>
      <c r="D4331" s="3">
        <v>43491.65</v>
      </c>
      <c r="E4331" s="3">
        <v>11571.47</v>
      </c>
      <c r="F4331" s="3">
        <v>35253.511955714</v>
      </c>
      <c r="G4331" s="3">
        <v>19928.34</v>
      </c>
      <c r="H4331" s="3">
        <v>-135274.019586322</v>
      </c>
      <c r="I4331" s="3">
        <v>67238.0609367258</v>
      </c>
      <c r="J4331" s="4">
        <v>45717.0</v>
      </c>
      <c r="K4331" s="3">
        <v>22.0</v>
      </c>
      <c r="L4331" s="3" t="s">
        <v>38</v>
      </c>
    </row>
    <row r="4332" ht="15.75" customHeight="1">
      <c r="A4332" s="3" t="s">
        <v>4424</v>
      </c>
      <c r="B4332" s="3" t="s">
        <v>17</v>
      </c>
      <c r="C4332" s="3" t="s">
        <v>37</v>
      </c>
      <c r="D4332" s="3">
        <v>102017.44</v>
      </c>
      <c r="E4332" s="3">
        <v>31553.08</v>
      </c>
      <c r="F4332" s="3">
        <v>35261.1919591435</v>
      </c>
      <c r="G4332" s="3">
        <v>14678.17</v>
      </c>
      <c r="H4332" s="3">
        <v>-135323.523304071</v>
      </c>
      <c r="I4332" s="3">
        <v>67241.4424111456</v>
      </c>
      <c r="J4332" s="4">
        <v>45901.0</v>
      </c>
      <c r="K4332" s="3">
        <v>2.0</v>
      </c>
      <c r="L4332" s="3" t="s">
        <v>40</v>
      </c>
    </row>
    <row r="4333" ht="15.75" customHeight="1">
      <c r="A4333" s="3" t="s">
        <v>4425</v>
      </c>
      <c r="B4333" s="3" t="s">
        <v>29</v>
      </c>
      <c r="C4333" s="3" t="s">
        <v>18</v>
      </c>
      <c r="D4333" s="3">
        <v>52459.1</v>
      </c>
      <c r="E4333" s="3">
        <v>13108.95</v>
      </c>
      <c r="F4333" s="3">
        <v>35268.871962573</v>
      </c>
      <c r="G4333" s="3">
        <v>16346.74</v>
      </c>
      <c r="H4333" s="3">
        <v>36112.36</v>
      </c>
      <c r="I4333" s="3">
        <v>41112.36</v>
      </c>
      <c r="J4333" s="4">
        <v>45901.0</v>
      </c>
      <c r="K4333" s="3">
        <v>8.0</v>
      </c>
      <c r="L4333" s="3" t="s">
        <v>42</v>
      </c>
    </row>
    <row r="4334" ht="15.75" customHeight="1">
      <c r="A4334" s="3" t="s">
        <v>4426</v>
      </c>
      <c r="B4334" s="3" t="s">
        <v>51</v>
      </c>
      <c r="C4334" s="3" t="s">
        <v>30</v>
      </c>
      <c r="D4334" s="3">
        <v>44498.12</v>
      </c>
      <c r="E4334" s="3">
        <v>35160.25</v>
      </c>
      <c r="F4334" s="3">
        <v>35276.5519660025</v>
      </c>
      <c r="G4334" s="3">
        <v>23298.77</v>
      </c>
      <c r="H4334" s="3">
        <v>-135422.53073957</v>
      </c>
      <c r="I4334" s="3">
        <v>67248.2053599853</v>
      </c>
      <c r="J4334" s="4">
        <v>45658.0</v>
      </c>
      <c r="K4334" s="3">
        <v>25.0</v>
      </c>
      <c r="L4334" s="3" t="s">
        <v>15</v>
      </c>
    </row>
    <row r="4335" ht="15.75" customHeight="1">
      <c r="A4335" s="3" t="s">
        <v>4427</v>
      </c>
      <c r="B4335" s="3" t="s">
        <v>13</v>
      </c>
      <c r="C4335" s="3" t="s">
        <v>33</v>
      </c>
      <c r="D4335" s="3">
        <v>71983.09</v>
      </c>
      <c r="E4335" s="3">
        <v>7702.33</v>
      </c>
      <c r="F4335" s="3">
        <v>35284.231969432</v>
      </c>
      <c r="G4335" s="3">
        <v>10994.4</v>
      </c>
      <c r="H4335" s="3">
        <v>-135472.034457319</v>
      </c>
      <c r="I4335" s="3">
        <v>67251.5868344051</v>
      </c>
      <c r="J4335" s="4">
        <v>45809.0</v>
      </c>
      <c r="K4335" s="3">
        <v>5.0</v>
      </c>
      <c r="L4335" s="3" t="s">
        <v>19</v>
      </c>
    </row>
    <row r="4336" ht="15.75" customHeight="1">
      <c r="A4336" s="3" t="s">
        <v>4428</v>
      </c>
      <c r="B4336" s="3" t="s">
        <v>13</v>
      </c>
      <c r="C4336" s="3" t="s">
        <v>37</v>
      </c>
      <c r="D4336" s="3">
        <v>29797.04</v>
      </c>
      <c r="E4336" s="3">
        <v>8534.39</v>
      </c>
      <c r="F4336" s="3">
        <v>35291.9119728615</v>
      </c>
      <c r="G4336" s="3">
        <v>8619.16</v>
      </c>
      <c r="H4336" s="3">
        <v>-135521.538175068</v>
      </c>
      <c r="I4336" s="3">
        <v>67254.9683088249</v>
      </c>
      <c r="J4336" s="4">
        <v>45839.0</v>
      </c>
      <c r="K4336" s="3">
        <v>6.0</v>
      </c>
      <c r="L4336" s="3" t="s">
        <v>21</v>
      </c>
    </row>
    <row r="4337" ht="15.75" customHeight="1">
      <c r="A4337" s="3" t="s">
        <v>4429</v>
      </c>
      <c r="B4337" s="3" t="s">
        <v>17</v>
      </c>
      <c r="C4337" s="3" t="s">
        <v>33</v>
      </c>
      <c r="D4337" s="3">
        <v>99230.68</v>
      </c>
      <c r="E4337" s="3">
        <v>39249.46</v>
      </c>
      <c r="F4337" s="3">
        <v>35299.591976291</v>
      </c>
      <c r="G4337" s="3">
        <v>24442.42</v>
      </c>
      <c r="H4337" s="3">
        <v>-135571.041892817</v>
      </c>
      <c r="I4337" s="3">
        <v>67258.3497832447</v>
      </c>
      <c r="J4337" s="4">
        <v>45717.0</v>
      </c>
      <c r="K4337" s="3">
        <v>5.0</v>
      </c>
      <c r="L4337" s="3" t="s">
        <v>23</v>
      </c>
    </row>
    <row r="4338" ht="15.75" customHeight="1">
      <c r="A4338" s="3" t="s">
        <v>4430</v>
      </c>
      <c r="B4338" s="3" t="s">
        <v>25</v>
      </c>
      <c r="C4338" s="3" t="s">
        <v>14</v>
      </c>
      <c r="D4338" s="3">
        <v>22827.82</v>
      </c>
      <c r="E4338" s="3">
        <v>28258.2</v>
      </c>
      <c r="F4338" s="3">
        <v>35307.2719797204</v>
      </c>
      <c r="G4338" s="5"/>
      <c r="H4338" s="3">
        <v>-135620.545610566</v>
      </c>
      <c r="I4338" s="3">
        <v>67261.7312576645</v>
      </c>
      <c r="J4338" s="4">
        <v>45839.0</v>
      </c>
      <c r="K4338" s="3">
        <v>17.0</v>
      </c>
      <c r="L4338" s="3" t="s">
        <v>27</v>
      </c>
    </row>
    <row r="4339" ht="15.75" customHeight="1">
      <c r="A4339" s="3" t="s">
        <v>4431</v>
      </c>
      <c r="B4339" s="3" t="s">
        <v>51</v>
      </c>
      <c r="C4339" s="3" t="s">
        <v>37</v>
      </c>
      <c r="D4339" s="3">
        <v>118623.13</v>
      </c>
      <c r="E4339" s="3">
        <v>34487.94</v>
      </c>
      <c r="F4339" s="3">
        <v>35314.9519831499</v>
      </c>
      <c r="G4339" s="3">
        <v>8414.57</v>
      </c>
      <c r="H4339" s="3">
        <v>-135670.049328315</v>
      </c>
      <c r="I4339" s="3">
        <v>67265.1127320843</v>
      </c>
      <c r="J4339" s="4">
        <v>45992.0</v>
      </c>
      <c r="K4339" s="3">
        <v>3.0</v>
      </c>
      <c r="L4339" s="3" t="s">
        <v>31</v>
      </c>
    </row>
    <row r="4340" ht="15.75" customHeight="1">
      <c r="A4340" s="3" t="s">
        <v>4432</v>
      </c>
      <c r="B4340" s="3" t="s">
        <v>51</v>
      </c>
      <c r="C4340" s="3" t="s">
        <v>37</v>
      </c>
      <c r="D4340" s="3">
        <v>96085.7</v>
      </c>
      <c r="E4340" s="3">
        <v>15675.86</v>
      </c>
      <c r="F4340" s="3">
        <v>35322.6319865794</v>
      </c>
      <c r="G4340" s="3">
        <v>11862.62</v>
      </c>
      <c r="H4340" s="3">
        <v>-135719.553046064</v>
      </c>
      <c r="I4340" s="3">
        <v>67268.4942065041</v>
      </c>
      <c r="J4340" s="4">
        <v>45870.0</v>
      </c>
      <c r="K4340" s="3">
        <v>1.0</v>
      </c>
      <c r="L4340" s="3" t="s">
        <v>34</v>
      </c>
    </row>
    <row r="4341" ht="15.75" customHeight="1">
      <c r="A4341" s="3" t="s">
        <v>4433</v>
      </c>
      <c r="B4341" s="3" t="s">
        <v>13</v>
      </c>
      <c r="C4341" s="3" t="s">
        <v>18</v>
      </c>
      <c r="D4341" s="3">
        <v>35865.15</v>
      </c>
      <c r="E4341" s="3">
        <v>28353.41</v>
      </c>
      <c r="F4341" s="3">
        <v>35330.3119900089</v>
      </c>
      <c r="G4341" s="3">
        <v>10669.41</v>
      </c>
      <c r="H4341" s="3">
        <v>-135769.056763813</v>
      </c>
      <c r="I4341" s="3">
        <v>67271.875680924</v>
      </c>
      <c r="J4341" s="4">
        <v>45962.0</v>
      </c>
      <c r="K4341" s="3">
        <v>5.0</v>
      </c>
      <c r="L4341" s="3" t="s">
        <v>38</v>
      </c>
    </row>
    <row r="4342" ht="15.75" customHeight="1">
      <c r="A4342" s="3" t="s">
        <v>4434</v>
      </c>
      <c r="B4342" s="3" t="s">
        <v>53</v>
      </c>
      <c r="C4342" s="3" t="s">
        <v>30</v>
      </c>
      <c r="D4342" s="3">
        <v>15579.82</v>
      </c>
      <c r="E4342" s="3">
        <v>25392.71</v>
      </c>
      <c r="F4342" s="3">
        <v>35337.9919934384</v>
      </c>
      <c r="G4342" s="3">
        <v>4152.84</v>
      </c>
      <c r="H4342" s="3">
        <v>-135818.560481563</v>
      </c>
      <c r="I4342" s="3">
        <v>67275.2571553438</v>
      </c>
      <c r="J4342" s="4">
        <v>45778.0</v>
      </c>
      <c r="K4342" s="3">
        <v>3.0</v>
      </c>
      <c r="L4342" s="3" t="s">
        <v>40</v>
      </c>
    </row>
    <row r="4343" ht="15.75" customHeight="1">
      <c r="A4343" s="3" t="s">
        <v>4435</v>
      </c>
      <c r="B4343" s="3" t="s">
        <v>13</v>
      </c>
      <c r="C4343" s="3" t="s">
        <v>37</v>
      </c>
      <c r="D4343" s="3">
        <v>100623.45</v>
      </c>
      <c r="E4343" s="3">
        <v>25713.4</v>
      </c>
      <c r="F4343" s="3">
        <v>35345.6719968679</v>
      </c>
      <c r="G4343" s="3">
        <v>23966.57</v>
      </c>
      <c r="H4343" s="3">
        <v>-135868.064199312</v>
      </c>
      <c r="I4343" s="3">
        <v>67278.6386297636</v>
      </c>
      <c r="J4343" s="4">
        <v>45809.0</v>
      </c>
      <c r="K4343" s="3">
        <v>12.0</v>
      </c>
      <c r="L4343" s="3" t="s">
        <v>42</v>
      </c>
    </row>
    <row r="4344" ht="15.75" customHeight="1">
      <c r="A4344" s="3" t="s">
        <v>4436</v>
      </c>
      <c r="B4344" s="3" t="s">
        <v>17</v>
      </c>
      <c r="C4344" s="3" t="s">
        <v>14</v>
      </c>
      <c r="D4344" s="3">
        <v>89220.02</v>
      </c>
      <c r="E4344" s="3">
        <v>28571.17</v>
      </c>
      <c r="F4344" s="3">
        <v>35353.3520002974</v>
      </c>
      <c r="G4344" s="3">
        <v>10405.65</v>
      </c>
      <c r="H4344" s="3">
        <v>-135917.567917061</v>
      </c>
      <c r="I4344" s="3">
        <v>67282.0201041834</v>
      </c>
      <c r="J4344" s="4">
        <v>45778.0</v>
      </c>
      <c r="K4344" s="3">
        <v>15.0</v>
      </c>
      <c r="L4344" s="3" t="s">
        <v>15</v>
      </c>
    </row>
    <row r="4345" ht="15.75" customHeight="1">
      <c r="A4345" s="3" t="s">
        <v>4437</v>
      </c>
      <c r="B4345" s="3" t="s">
        <v>53</v>
      </c>
      <c r="C4345" s="3" t="s">
        <v>37</v>
      </c>
      <c r="D4345" s="3">
        <v>91545.75</v>
      </c>
      <c r="E4345" s="3">
        <v>24712.93</v>
      </c>
      <c r="F4345" s="3">
        <v>35361.0320037269</v>
      </c>
      <c r="G4345" s="3">
        <v>21945.56</v>
      </c>
      <c r="H4345" s="3">
        <v>-135967.07163481</v>
      </c>
      <c r="I4345" s="3">
        <v>67285.4015786032</v>
      </c>
      <c r="J4345" s="4">
        <v>45839.0</v>
      </c>
      <c r="K4345" s="3">
        <v>18.0</v>
      </c>
      <c r="L4345" s="3" t="s">
        <v>19</v>
      </c>
    </row>
    <row r="4346" ht="15.75" customHeight="1">
      <c r="A4346" s="3" t="s">
        <v>4438</v>
      </c>
      <c r="B4346" s="3" t="s">
        <v>53</v>
      </c>
      <c r="C4346" s="3" t="s">
        <v>37</v>
      </c>
      <c r="D4346" s="3">
        <v>95983.39</v>
      </c>
      <c r="E4346" s="3">
        <v>19446.25</v>
      </c>
      <c r="F4346" s="3">
        <v>35368.7120071564</v>
      </c>
      <c r="G4346" s="3">
        <v>5139.23</v>
      </c>
      <c r="H4346" s="3">
        <v>-136016.575352559</v>
      </c>
      <c r="I4346" s="3">
        <v>67288.783053023</v>
      </c>
      <c r="J4346" s="4">
        <v>45658.0</v>
      </c>
      <c r="K4346" s="3">
        <v>8.0</v>
      </c>
      <c r="L4346" s="3" t="s">
        <v>21</v>
      </c>
    </row>
    <row r="4347" ht="15.75" customHeight="1">
      <c r="A4347" s="3" t="s">
        <v>4439</v>
      </c>
      <c r="B4347" s="3" t="s">
        <v>25</v>
      </c>
      <c r="C4347" s="3" t="s">
        <v>54</v>
      </c>
      <c r="D4347" s="3">
        <v>22774.69</v>
      </c>
      <c r="E4347" s="3">
        <v>13933.22</v>
      </c>
      <c r="F4347" s="3">
        <v>35376.3920105859</v>
      </c>
      <c r="G4347" s="3">
        <v>13922.83</v>
      </c>
      <c r="H4347" s="3">
        <v>-136066.079070308</v>
      </c>
      <c r="I4347" s="3">
        <v>67292.1645274428</v>
      </c>
      <c r="J4347" s="4">
        <v>45992.0</v>
      </c>
      <c r="K4347" s="3">
        <v>11.0</v>
      </c>
      <c r="L4347" s="3" t="s">
        <v>23</v>
      </c>
    </row>
    <row r="4348" ht="15.75" customHeight="1">
      <c r="A4348" s="3" t="s">
        <v>4440</v>
      </c>
      <c r="B4348" s="3" t="s">
        <v>17</v>
      </c>
      <c r="C4348" s="3" t="s">
        <v>30</v>
      </c>
      <c r="D4348" s="3">
        <v>52638.9</v>
      </c>
      <c r="E4348" s="3">
        <v>31668.93</v>
      </c>
      <c r="F4348" s="3">
        <v>35384.0720140154</v>
      </c>
      <c r="G4348" s="3">
        <v>1087.05</v>
      </c>
      <c r="H4348" s="3">
        <v>-136115.582788057</v>
      </c>
      <c r="I4348" s="3">
        <v>67295.5460018626</v>
      </c>
      <c r="J4348" s="4">
        <v>45962.0</v>
      </c>
      <c r="K4348" s="3">
        <v>17.0</v>
      </c>
      <c r="L4348" s="3" t="s">
        <v>27</v>
      </c>
    </row>
    <row r="4349" ht="15.75" customHeight="1">
      <c r="A4349" s="3" t="s">
        <v>4441</v>
      </c>
      <c r="B4349" s="3" t="s">
        <v>25</v>
      </c>
      <c r="C4349" s="3" t="s">
        <v>14</v>
      </c>
      <c r="D4349" s="3">
        <v>27166.25</v>
      </c>
      <c r="E4349" s="3">
        <v>12145.81</v>
      </c>
      <c r="F4349" s="3">
        <v>35391.7520174449</v>
      </c>
      <c r="G4349" s="3">
        <v>19223.4</v>
      </c>
      <c r="H4349" s="3">
        <v>-136165.086505806</v>
      </c>
      <c r="I4349" s="3">
        <v>67298.9274762825</v>
      </c>
      <c r="J4349" s="4">
        <v>45778.0</v>
      </c>
      <c r="K4349" s="3">
        <v>22.0</v>
      </c>
      <c r="L4349" s="3" t="s">
        <v>31</v>
      </c>
    </row>
    <row r="4350" ht="15.75" customHeight="1">
      <c r="A4350" s="3" t="s">
        <v>4442</v>
      </c>
      <c r="B4350" s="3" t="s">
        <v>53</v>
      </c>
      <c r="C4350" s="3" t="s">
        <v>54</v>
      </c>
      <c r="D4350" s="3">
        <v>105625.86</v>
      </c>
      <c r="E4350" s="3">
        <v>28924.76</v>
      </c>
      <c r="F4350" s="3">
        <v>35399.4320208744</v>
      </c>
      <c r="G4350" s="3">
        <v>14732.39</v>
      </c>
      <c r="H4350" s="3">
        <v>-136214.590223556</v>
      </c>
      <c r="I4350" s="3">
        <v>67302.3089507023</v>
      </c>
      <c r="J4350" s="4">
        <v>45901.0</v>
      </c>
      <c r="K4350" s="3">
        <v>25.0</v>
      </c>
      <c r="L4350" s="3" t="s">
        <v>34</v>
      </c>
    </row>
    <row r="4351" ht="15.75" customHeight="1">
      <c r="A4351" s="3" t="s">
        <v>4443</v>
      </c>
      <c r="B4351" s="3" t="s">
        <v>36</v>
      </c>
      <c r="C4351" s="3" t="s">
        <v>33</v>
      </c>
      <c r="D4351" s="3">
        <v>80446.3</v>
      </c>
      <c r="E4351" s="3">
        <v>12399.98</v>
      </c>
      <c r="F4351" s="3">
        <v>35407.1120243039</v>
      </c>
      <c r="G4351" s="3">
        <v>15826.94</v>
      </c>
      <c r="H4351" s="3">
        <v>-136264.093941305</v>
      </c>
      <c r="I4351" s="3">
        <v>67305.6904251221</v>
      </c>
      <c r="J4351" s="4">
        <v>45717.0</v>
      </c>
      <c r="K4351" s="3">
        <v>17.0</v>
      </c>
      <c r="L4351" s="3" t="s">
        <v>38</v>
      </c>
    </row>
    <row r="4352" ht="15.75" customHeight="1">
      <c r="A4352" s="3" t="s">
        <v>4444</v>
      </c>
      <c r="B4352" s="3" t="s">
        <v>25</v>
      </c>
      <c r="C4352" s="3" t="s">
        <v>26</v>
      </c>
      <c r="D4352" s="3">
        <v>49744.29</v>
      </c>
      <c r="E4352" s="3">
        <v>26511.89</v>
      </c>
      <c r="F4352" s="3">
        <v>35414.7920277334</v>
      </c>
      <c r="G4352" s="3">
        <v>1767.16</v>
      </c>
      <c r="H4352" s="3">
        <v>-136313.597659054</v>
      </c>
      <c r="I4352" s="3">
        <v>67309.0718995419</v>
      </c>
      <c r="J4352" s="4">
        <v>45778.0</v>
      </c>
      <c r="K4352" s="3">
        <v>22.0</v>
      </c>
      <c r="L4352" s="3" t="s">
        <v>40</v>
      </c>
    </row>
    <row r="4353" ht="15.75" customHeight="1">
      <c r="A4353" s="3" t="s">
        <v>4445</v>
      </c>
      <c r="B4353" s="3" t="s">
        <v>13</v>
      </c>
      <c r="C4353" s="3" t="s">
        <v>30</v>
      </c>
      <c r="D4353" s="3">
        <v>21673.63</v>
      </c>
      <c r="E4353" s="3">
        <v>30894.82</v>
      </c>
      <c r="F4353" s="3">
        <v>35422.4720311629</v>
      </c>
      <c r="G4353" s="3">
        <v>5670.44</v>
      </c>
      <c r="H4353" s="3">
        <v>-136363.101376803</v>
      </c>
      <c r="I4353" s="3">
        <v>67312.4533739617</v>
      </c>
      <c r="J4353" s="4">
        <v>45870.0</v>
      </c>
      <c r="K4353" s="3">
        <v>4.0</v>
      </c>
      <c r="L4353" s="3" t="s">
        <v>42</v>
      </c>
    </row>
    <row r="4354" ht="15.75" customHeight="1">
      <c r="A4354" s="3" t="s">
        <v>4446</v>
      </c>
      <c r="B4354" s="3" t="s">
        <v>17</v>
      </c>
      <c r="C4354" s="3" t="s">
        <v>33</v>
      </c>
      <c r="D4354" s="3">
        <v>47653.14</v>
      </c>
      <c r="E4354" s="3">
        <v>11873.7</v>
      </c>
      <c r="F4354" s="3">
        <v>35430.1520345924</v>
      </c>
      <c r="G4354" s="3">
        <v>2321.11</v>
      </c>
      <c r="H4354" s="3">
        <v>-136412.605094552</v>
      </c>
      <c r="I4354" s="3">
        <v>67315.8348483815</v>
      </c>
      <c r="J4354" s="4">
        <v>45992.0</v>
      </c>
      <c r="K4354" s="3">
        <v>24.0</v>
      </c>
      <c r="L4354" s="3" t="s">
        <v>15</v>
      </c>
    </row>
    <row r="4355" ht="15.75" customHeight="1">
      <c r="A4355" s="3" t="s">
        <v>4447</v>
      </c>
      <c r="B4355" s="3" t="s">
        <v>51</v>
      </c>
      <c r="C4355" s="3" t="s">
        <v>26</v>
      </c>
      <c r="D4355" s="3">
        <v>49144.25</v>
      </c>
      <c r="E4355" s="3">
        <v>6157.96</v>
      </c>
      <c r="F4355" s="3">
        <v>35437.8320380219</v>
      </c>
      <c r="G4355" s="3">
        <v>7578.4</v>
      </c>
      <c r="H4355" s="3">
        <v>-136462.108812301</v>
      </c>
      <c r="I4355" s="3">
        <v>67319.2163228014</v>
      </c>
      <c r="J4355" s="4">
        <v>45809.0</v>
      </c>
      <c r="K4355" s="3">
        <v>9.0</v>
      </c>
      <c r="L4355" s="3" t="s">
        <v>19</v>
      </c>
    </row>
    <row r="4356" ht="15.75" customHeight="1">
      <c r="A4356" s="3" t="s">
        <v>4448</v>
      </c>
      <c r="B4356" s="3" t="s">
        <v>25</v>
      </c>
      <c r="C4356" s="3" t="s">
        <v>14</v>
      </c>
      <c r="D4356" s="3">
        <v>91608.65</v>
      </c>
      <c r="E4356" s="3">
        <v>8715.05</v>
      </c>
      <c r="F4356" s="3">
        <v>35445.5120414514</v>
      </c>
      <c r="G4356" s="3">
        <v>15872.26</v>
      </c>
      <c r="H4356" s="3">
        <v>-136511.61253005</v>
      </c>
      <c r="I4356" s="3">
        <v>67322.5977972212</v>
      </c>
      <c r="J4356" s="4">
        <v>45748.0</v>
      </c>
      <c r="K4356" s="3">
        <v>4.0</v>
      </c>
      <c r="L4356" s="3" t="s">
        <v>21</v>
      </c>
    </row>
    <row r="4357" ht="15.75" customHeight="1">
      <c r="A4357" s="3" t="s">
        <v>4449</v>
      </c>
      <c r="B4357" s="3" t="s">
        <v>53</v>
      </c>
      <c r="C4357" s="3" t="s">
        <v>54</v>
      </c>
      <c r="D4357" s="3">
        <v>81943.53</v>
      </c>
      <c r="E4357" s="3">
        <v>25815.89</v>
      </c>
      <c r="F4357" s="3">
        <v>35453.1920448809</v>
      </c>
      <c r="G4357" s="3">
        <v>14371.56</v>
      </c>
      <c r="H4357" s="3">
        <v>-136561.116247799</v>
      </c>
      <c r="I4357" s="3">
        <v>67325.979271641</v>
      </c>
      <c r="J4357" s="4">
        <v>45689.0</v>
      </c>
      <c r="K4357" s="3">
        <v>18.0</v>
      </c>
      <c r="L4357" s="3" t="s">
        <v>23</v>
      </c>
    </row>
    <row r="4358" ht="15.75" customHeight="1">
      <c r="A4358" s="3" t="s">
        <v>4450</v>
      </c>
      <c r="B4358" s="3" t="s">
        <v>53</v>
      </c>
      <c r="C4358" s="3" t="s">
        <v>26</v>
      </c>
      <c r="D4358" s="3">
        <v>108157.34</v>
      </c>
      <c r="E4358" s="3">
        <v>34580.07</v>
      </c>
      <c r="F4358" s="3">
        <v>35460.8720483104</v>
      </c>
      <c r="G4358" s="3">
        <v>15497.67</v>
      </c>
      <c r="H4358" s="3">
        <v>-136610.619965549</v>
      </c>
      <c r="I4358" s="3">
        <v>67329.3607460608</v>
      </c>
      <c r="J4358" s="4">
        <v>45839.0</v>
      </c>
      <c r="K4358" s="3">
        <v>7.0</v>
      </c>
      <c r="L4358" s="3" t="s">
        <v>27</v>
      </c>
    </row>
    <row r="4359" ht="15.75" customHeight="1">
      <c r="A4359" s="3" t="s">
        <v>4451</v>
      </c>
      <c r="B4359" s="3" t="s">
        <v>25</v>
      </c>
      <c r="C4359" s="3" t="s">
        <v>33</v>
      </c>
      <c r="D4359" s="3">
        <v>64582.57</v>
      </c>
      <c r="E4359" s="3">
        <v>5619.89</v>
      </c>
      <c r="F4359" s="3">
        <v>35468.5520517399</v>
      </c>
      <c r="G4359" s="3">
        <v>13956.66</v>
      </c>
      <c r="H4359" s="3">
        <v>-136660.123683298</v>
      </c>
      <c r="I4359" s="3">
        <v>67332.7422204806</v>
      </c>
      <c r="J4359" s="4">
        <v>45689.0</v>
      </c>
      <c r="K4359" s="3">
        <v>19.0</v>
      </c>
      <c r="L4359" s="3" t="s">
        <v>31</v>
      </c>
    </row>
    <row r="4360" ht="15.75" customHeight="1">
      <c r="A4360" s="3" t="s">
        <v>4452</v>
      </c>
      <c r="B4360" s="3" t="s">
        <v>36</v>
      </c>
      <c r="C4360" s="3" t="s">
        <v>54</v>
      </c>
      <c r="D4360" s="3">
        <v>27557.4</v>
      </c>
      <c r="E4360" s="3">
        <v>30429.45</v>
      </c>
      <c r="F4360" s="3">
        <v>35476.2320551694</v>
      </c>
      <c r="G4360" s="3">
        <v>7189.21</v>
      </c>
      <c r="H4360" s="3">
        <v>-136709.627401047</v>
      </c>
      <c r="I4360" s="3">
        <v>67336.1236949004</v>
      </c>
      <c r="J4360" s="4">
        <v>45870.0</v>
      </c>
      <c r="K4360" s="3">
        <v>1.0</v>
      </c>
      <c r="L4360" s="3" t="s">
        <v>34</v>
      </c>
    </row>
    <row r="4361" ht="15.75" customHeight="1">
      <c r="A4361" s="3" t="s">
        <v>4453</v>
      </c>
      <c r="B4361" s="3" t="s">
        <v>53</v>
      </c>
      <c r="C4361" s="3" t="s">
        <v>37</v>
      </c>
      <c r="D4361" s="3">
        <v>89890.7</v>
      </c>
      <c r="E4361" s="3">
        <v>16287.47</v>
      </c>
      <c r="F4361" s="3">
        <v>35483.9120585989</v>
      </c>
      <c r="G4361" s="3">
        <v>6490.43</v>
      </c>
      <c r="H4361" s="3">
        <v>-136759.131118796</v>
      </c>
      <c r="I4361" s="3">
        <v>67339.5051693202</v>
      </c>
      <c r="J4361" s="4">
        <v>45870.0</v>
      </c>
      <c r="K4361" s="3">
        <v>15.0</v>
      </c>
      <c r="L4361" s="3" t="s">
        <v>38</v>
      </c>
    </row>
    <row r="4362" ht="15.75" customHeight="1">
      <c r="A4362" s="3" t="s">
        <v>4454</v>
      </c>
      <c r="B4362" s="3" t="s">
        <v>25</v>
      </c>
      <c r="C4362" s="3" t="s">
        <v>26</v>
      </c>
      <c r="D4362" s="3">
        <v>94882.43</v>
      </c>
      <c r="E4362" s="3">
        <v>21227.02</v>
      </c>
      <c r="F4362" s="3">
        <v>35491.5920620284</v>
      </c>
      <c r="G4362" s="3">
        <v>3857.96</v>
      </c>
      <c r="H4362" s="3">
        <v>-136808.634836545</v>
      </c>
      <c r="I4362" s="3">
        <v>67342.8866437401</v>
      </c>
      <c r="J4362" s="4">
        <v>45870.0</v>
      </c>
      <c r="K4362" s="3">
        <v>5.0</v>
      </c>
      <c r="L4362" s="3" t="s">
        <v>40</v>
      </c>
    </row>
    <row r="4363" ht="15.75" customHeight="1">
      <c r="A4363" s="3" t="s">
        <v>4455</v>
      </c>
      <c r="B4363" s="3" t="s">
        <v>13</v>
      </c>
      <c r="C4363" s="3" t="s">
        <v>37</v>
      </c>
      <c r="D4363" s="3">
        <v>73934.11</v>
      </c>
      <c r="E4363" s="3">
        <v>37438.94</v>
      </c>
      <c r="F4363" s="3">
        <v>35499.2720654579</v>
      </c>
      <c r="G4363" s="3">
        <v>21302.24</v>
      </c>
      <c r="H4363" s="3">
        <v>-136858.138554294</v>
      </c>
      <c r="I4363" s="3">
        <v>67346.2681181599</v>
      </c>
      <c r="J4363" s="4">
        <v>45901.0</v>
      </c>
      <c r="K4363" s="3">
        <v>20.0</v>
      </c>
      <c r="L4363" s="3" t="s">
        <v>42</v>
      </c>
    </row>
    <row r="4364" ht="15.75" customHeight="1">
      <c r="A4364" s="3" t="s">
        <v>4456</v>
      </c>
      <c r="B4364" s="3" t="s">
        <v>53</v>
      </c>
      <c r="C4364" s="3" t="s">
        <v>26</v>
      </c>
      <c r="D4364" s="3">
        <v>95951.55</v>
      </c>
      <c r="E4364" s="3">
        <v>15950.97</v>
      </c>
      <c r="F4364" s="3">
        <v>35506.9520688874</v>
      </c>
      <c r="G4364" s="3">
        <v>15603.74</v>
      </c>
      <c r="H4364" s="3">
        <v>-136907.642272043</v>
      </c>
      <c r="I4364" s="3">
        <v>67349.6495925797</v>
      </c>
      <c r="J4364" s="4">
        <v>45748.0</v>
      </c>
      <c r="K4364" s="3">
        <v>11.0</v>
      </c>
      <c r="L4364" s="3" t="s">
        <v>15</v>
      </c>
    </row>
    <row r="4365" ht="15.75" customHeight="1">
      <c r="A4365" s="3" t="s">
        <v>4457</v>
      </c>
      <c r="B4365" s="3" t="s">
        <v>53</v>
      </c>
      <c r="C4365" s="3" t="s">
        <v>26</v>
      </c>
      <c r="D4365" s="3">
        <v>66848.54</v>
      </c>
      <c r="E4365" s="3">
        <v>20752.13</v>
      </c>
      <c r="F4365" s="3">
        <v>35514.6320723169</v>
      </c>
      <c r="G4365" s="3">
        <v>5069.52</v>
      </c>
      <c r="H4365" s="3">
        <v>-136957.145989792</v>
      </c>
      <c r="I4365" s="3">
        <v>67353.0310669995</v>
      </c>
      <c r="J4365" s="4">
        <v>45748.0</v>
      </c>
      <c r="K4365" s="3">
        <v>16.0</v>
      </c>
      <c r="L4365" s="3" t="s">
        <v>19</v>
      </c>
    </row>
    <row r="4366" ht="15.75" customHeight="1">
      <c r="A4366" s="3" t="s">
        <v>4458</v>
      </c>
      <c r="B4366" s="3" t="s">
        <v>17</v>
      </c>
      <c r="C4366" s="3" t="s">
        <v>30</v>
      </c>
      <c r="D4366" s="3">
        <v>69886.95</v>
      </c>
      <c r="E4366" s="3">
        <v>4492.57</v>
      </c>
      <c r="F4366" s="3">
        <v>35522.3120757464</v>
      </c>
      <c r="G4366" s="3">
        <v>4841.63</v>
      </c>
      <c r="H4366" s="3">
        <v>-137006.649707542</v>
      </c>
      <c r="I4366" s="3">
        <v>67356.4125414193</v>
      </c>
      <c r="J4366" s="4">
        <v>45809.0</v>
      </c>
      <c r="K4366" s="3">
        <v>3.0</v>
      </c>
      <c r="L4366" s="3" t="s">
        <v>21</v>
      </c>
    </row>
    <row r="4367" ht="15.75" customHeight="1">
      <c r="A4367" s="3" t="s">
        <v>4459</v>
      </c>
      <c r="B4367" s="3" t="s">
        <v>13</v>
      </c>
      <c r="C4367" s="3" t="s">
        <v>26</v>
      </c>
      <c r="D4367" s="3">
        <v>59891.81</v>
      </c>
      <c r="E4367" s="3">
        <v>6937.55</v>
      </c>
      <c r="F4367" s="3">
        <v>35529.9920791759</v>
      </c>
      <c r="G4367" s="3">
        <v>21889.37</v>
      </c>
      <c r="H4367" s="3">
        <v>-137056.153425291</v>
      </c>
      <c r="I4367" s="3">
        <v>67359.7940158391</v>
      </c>
      <c r="J4367" s="4">
        <v>45992.0</v>
      </c>
      <c r="K4367" s="3">
        <v>13.0</v>
      </c>
      <c r="L4367" s="3" t="s">
        <v>23</v>
      </c>
    </row>
    <row r="4368" ht="15.75" customHeight="1">
      <c r="A4368" s="3" t="s">
        <v>4460</v>
      </c>
      <c r="B4368" s="3" t="s">
        <v>36</v>
      </c>
      <c r="C4368" s="3" t="s">
        <v>37</v>
      </c>
      <c r="D4368" s="3">
        <v>17669.01</v>
      </c>
      <c r="E4368" s="3">
        <v>13309.3</v>
      </c>
      <c r="F4368" s="3">
        <v>35537.6720826054</v>
      </c>
      <c r="G4368" s="3">
        <v>18696.91</v>
      </c>
      <c r="H4368" s="3">
        <v>-137105.65714304</v>
      </c>
      <c r="I4368" s="3">
        <v>67363.1754902589</v>
      </c>
      <c r="J4368" s="4">
        <v>45658.0</v>
      </c>
      <c r="K4368" s="3">
        <v>18.0</v>
      </c>
      <c r="L4368" s="3" t="s">
        <v>27</v>
      </c>
    </row>
    <row r="4369" ht="15.75" customHeight="1">
      <c r="A4369" s="3" t="s">
        <v>4461</v>
      </c>
      <c r="B4369" s="3" t="s">
        <v>53</v>
      </c>
      <c r="C4369" s="3" t="s">
        <v>37</v>
      </c>
      <c r="D4369" s="3">
        <v>26328.6</v>
      </c>
      <c r="E4369" s="3">
        <v>5002.68</v>
      </c>
      <c r="F4369" s="3">
        <v>35545.3520860349</v>
      </c>
      <c r="G4369" s="3">
        <v>16655.28</v>
      </c>
      <c r="H4369" s="3">
        <v>-137155.160860789</v>
      </c>
      <c r="I4369" s="3">
        <v>67366.5569646788</v>
      </c>
      <c r="J4369" s="4">
        <v>45992.0</v>
      </c>
      <c r="K4369" s="3">
        <v>13.0</v>
      </c>
      <c r="L4369" s="3" t="s">
        <v>31</v>
      </c>
    </row>
    <row r="4370" ht="15.75" customHeight="1">
      <c r="A4370" s="3" t="s">
        <v>4462</v>
      </c>
      <c r="B4370" s="3" t="s">
        <v>29</v>
      </c>
      <c r="C4370" s="3" t="s">
        <v>30</v>
      </c>
      <c r="D4370" s="3">
        <v>18300.06</v>
      </c>
      <c r="E4370" s="3">
        <v>26729.51</v>
      </c>
      <c r="F4370" s="3">
        <v>35553.0320894644</v>
      </c>
      <c r="G4370" s="3">
        <v>10468.17</v>
      </c>
      <c r="H4370" s="3">
        <v>-137204.664578538</v>
      </c>
      <c r="I4370" s="3">
        <v>67369.9384390986</v>
      </c>
      <c r="J4370" s="4">
        <v>45809.0</v>
      </c>
      <c r="K4370" s="3">
        <v>8.0</v>
      </c>
      <c r="L4370" s="3" t="s">
        <v>34</v>
      </c>
    </row>
    <row r="4371" ht="15.75" customHeight="1">
      <c r="A4371" s="3" t="s">
        <v>4463</v>
      </c>
      <c r="B4371" s="3" t="s">
        <v>13</v>
      </c>
      <c r="C4371" s="3" t="s">
        <v>30</v>
      </c>
      <c r="D4371" s="3">
        <v>81823.09</v>
      </c>
      <c r="E4371" s="3">
        <v>19350.34</v>
      </c>
      <c r="F4371" s="3">
        <v>35560.7120928939</v>
      </c>
      <c r="G4371" s="3">
        <v>6918.4</v>
      </c>
      <c r="H4371" s="3">
        <v>-137254.168296287</v>
      </c>
      <c r="I4371" s="3">
        <v>67373.3199135184</v>
      </c>
      <c r="J4371" s="4">
        <v>45901.0</v>
      </c>
      <c r="K4371" s="3">
        <v>1.0</v>
      </c>
      <c r="L4371" s="3" t="s">
        <v>38</v>
      </c>
    </row>
    <row r="4372" ht="15.75" customHeight="1">
      <c r="A4372" s="3" t="s">
        <v>4464</v>
      </c>
      <c r="B4372" s="3" t="s">
        <v>13</v>
      </c>
      <c r="C4372" s="3" t="s">
        <v>30</v>
      </c>
      <c r="D4372" s="3">
        <v>48007.38</v>
      </c>
      <c r="E4372" s="3">
        <v>23733.23</v>
      </c>
      <c r="F4372" s="3">
        <v>35568.3920963234</v>
      </c>
      <c r="G4372" s="3">
        <v>24496.54</v>
      </c>
      <c r="H4372" s="3">
        <v>-137303.672014036</v>
      </c>
      <c r="I4372" s="3">
        <v>67376.7013879382</v>
      </c>
      <c r="J4372" s="4">
        <v>45748.0</v>
      </c>
      <c r="K4372" s="3">
        <v>21.0</v>
      </c>
      <c r="L4372" s="3" t="s">
        <v>40</v>
      </c>
    </row>
    <row r="4373" ht="15.75" customHeight="1">
      <c r="A4373" s="3" t="s">
        <v>4465</v>
      </c>
      <c r="B4373" s="3" t="s">
        <v>13</v>
      </c>
      <c r="C4373" s="3" t="s">
        <v>37</v>
      </c>
      <c r="D4373" s="3">
        <v>68399.92</v>
      </c>
      <c r="E4373" s="3">
        <v>10287.3</v>
      </c>
      <c r="F4373" s="3">
        <v>35576.0720997529</v>
      </c>
      <c r="G4373" s="3">
        <v>20032.37</v>
      </c>
      <c r="H4373" s="3">
        <v>-137353.175731786</v>
      </c>
      <c r="I4373" s="3">
        <v>67380.082862358</v>
      </c>
      <c r="J4373" s="4">
        <v>45839.0</v>
      </c>
      <c r="K4373" s="3">
        <v>15.0</v>
      </c>
      <c r="L4373" s="3" t="s">
        <v>42</v>
      </c>
    </row>
    <row r="4374" ht="15.75" customHeight="1">
      <c r="A4374" s="3" t="s">
        <v>4466</v>
      </c>
      <c r="B4374" s="3" t="s">
        <v>13</v>
      </c>
      <c r="C4374" s="3" t="s">
        <v>14</v>
      </c>
      <c r="D4374" s="3">
        <v>110294.48</v>
      </c>
      <c r="E4374" s="3">
        <v>14653.55</v>
      </c>
      <c r="F4374" s="3">
        <v>35583.7521031823</v>
      </c>
      <c r="G4374" s="3">
        <v>7893.59</v>
      </c>
      <c r="H4374" s="3">
        <v>-137402.679449535</v>
      </c>
      <c r="I4374" s="3">
        <v>67383.4643367778</v>
      </c>
      <c r="J4374" s="4">
        <v>45901.0</v>
      </c>
      <c r="K4374" s="3">
        <v>17.0</v>
      </c>
      <c r="L4374" s="3" t="s">
        <v>15</v>
      </c>
    </row>
    <row r="4375" ht="15.75" customHeight="1">
      <c r="A4375" s="3" t="s">
        <v>4467</v>
      </c>
      <c r="B4375" s="3" t="s">
        <v>17</v>
      </c>
      <c r="C4375" s="3" t="s">
        <v>54</v>
      </c>
      <c r="D4375" s="3">
        <v>41175.68</v>
      </c>
      <c r="E4375" s="3">
        <v>27897.68</v>
      </c>
      <c r="F4375" s="3">
        <v>35591.4321066118</v>
      </c>
      <c r="G4375" s="3">
        <v>21265.34</v>
      </c>
      <c r="H4375" s="3">
        <v>-137452.183167284</v>
      </c>
      <c r="I4375" s="3">
        <v>67386.8458111977</v>
      </c>
      <c r="J4375" s="4">
        <v>45839.0</v>
      </c>
      <c r="K4375" s="3">
        <v>11.0</v>
      </c>
      <c r="L4375" s="3" t="s">
        <v>19</v>
      </c>
    </row>
    <row r="4376" ht="15.75" customHeight="1">
      <c r="A4376" s="3" t="s">
        <v>4468</v>
      </c>
      <c r="B4376" s="3" t="s">
        <v>25</v>
      </c>
      <c r="C4376" s="3" t="s">
        <v>54</v>
      </c>
      <c r="D4376" s="3">
        <v>58090.21</v>
      </c>
      <c r="E4376" s="3">
        <v>38750.9</v>
      </c>
      <c r="F4376" s="3">
        <v>35599.1121100413</v>
      </c>
      <c r="G4376" s="3">
        <v>19093.83</v>
      </c>
      <c r="H4376" s="3">
        <v>-137501.686885033</v>
      </c>
      <c r="I4376" s="3">
        <v>67390.2272856175</v>
      </c>
      <c r="J4376" s="4">
        <v>45748.0</v>
      </c>
      <c r="K4376" s="3">
        <v>22.0</v>
      </c>
      <c r="L4376" s="3" t="s">
        <v>21</v>
      </c>
    </row>
    <row r="4377" ht="15.75" customHeight="1">
      <c r="A4377" s="3" t="s">
        <v>4469</v>
      </c>
      <c r="B4377" s="3" t="s">
        <v>29</v>
      </c>
      <c r="C4377" s="3" t="s">
        <v>37</v>
      </c>
      <c r="D4377" s="3">
        <v>94332.87</v>
      </c>
      <c r="E4377" s="3">
        <v>5815.0</v>
      </c>
      <c r="F4377" s="3">
        <v>35606.7921134708</v>
      </c>
      <c r="G4377" s="3">
        <v>7778.47</v>
      </c>
      <c r="H4377" s="3">
        <v>-137551.190602782</v>
      </c>
      <c r="I4377" s="3">
        <v>67393.6087600373</v>
      </c>
      <c r="J4377" s="4">
        <v>45839.0</v>
      </c>
      <c r="K4377" s="3">
        <v>5.0</v>
      </c>
      <c r="L4377" s="3" t="s">
        <v>23</v>
      </c>
    </row>
    <row r="4378" ht="15.75" customHeight="1">
      <c r="A4378" s="3" t="s">
        <v>4470</v>
      </c>
      <c r="B4378" s="3" t="s">
        <v>51</v>
      </c>
      <c r="C4378" s="3" t="s">
        <v>26</v>
      </c>
      <c r="D4378" s="3">
        <v>39023.81</v>
      </c>
      <c r="E4378" s="3">
        <v>36053.84</v>
      </c>
      <c r="F4378" s="3">
        <v>35614.4721169003</v>
      </c>
      <c r="G4378" s="3">
        <v>10950.54</v>
      </c>
      <c r="H4378" s="3">
        <v>-137600.694320531</v>
      </c>
      <c r="I4378" s="3">
        <v>67396.9902344571</v>
      </c>
      <c r="J4378" s="4">
        <v>45809.0</v>
      </c>
      <c r="K4378" s="3">
        <v>18.0</v>
      </c>
      <c r="L4378" s="3" t="s">
        <v>27</v>
      </c>
    </row>
    <row r="4379" ht="15.75" customHeight="1">
      <c r="A4379" s="3" t="s">
        <v>4471</v>
      </c>
      <c r="B4379" s="3" t="s">
        <v>13</v>
      </c>
      <c r="C4379" s="3" t="s">
        <v>33</v>
      </c>
      <c r="D4379" s="3">
        <v>23082.89</v>
      </c>
      <c r="E4379" s="3">
        <v>24767.72</v>
      </c>
      <c r="F4379" s="3">
        <v>35622.1521203298</v>
      </c>
      <c r="G4379" s="3">
        <v>5055.86</v>
      </c>
      <c r="H4379" s="3">
        <v>-137650.19803828</v>
      </c>
      <c r="I4379" s="3">
        <v>67400.3717088769</v>
      </c>
      <c r="J4379" s="4">
        <v>45658.0</v>
      </c>
      <c r="K4379" s="3">
        <v>8.0</v>
      </c>
      <c r="L4379" s="3" t="s">
        <v>31</v>
      </c>
    </row>
    <row r="4380" ht="15.75" customHeight="1">
      <c r="A4380" s="3" t="s">
        <v>4472</v>
      </c>
      <c r="B4380" s="3" t="s">
        <v>51</v>
      </c>
      <c r="C4380" s="3" t="s">
        <v>14</v>
      </c>
      <c r="D4380" s="3">
        <v>45423.9</v>
      </c>
      <c r="E4380" s="3">
        <v>24301.1</v>
      </c>
      <c r="F4380" s="3">
        <v>35629.8321237593</v>
      </c>
      <c r="G4380" s="3">
        <v>3220.78</v>
      </c>
      <c r="H4380" s="3">
        <v>-137699.701756029</v>
      </c>
      <c r="I4380" s="3">
        <v>67403.7531832967</v>
      </c>
      <c r="J4380" s="4">
        <v>45870.0</v>
      </c>
      <c r="K4380" s="3">
        <v>12.0</v>
      </c>
      <c r="L4380" s="3" t="s">
        <v>34</v>
      </c>
    </row>
    <row r="4381" ht="15.75" customHeight="1">
      <c r="A4381" s="3" t="s">
        <v>4473</v>
      </c>
      <c r="B4381" s="3" t="s">
        <v>25</v>
      </c>
      <c r="C4381" s="3" t="s">
        <v>33</v>
      </c>
      <c r="D4381" s="3">
        <v>31928.24</v>
      </c>
      <c r="E4381" s="3">
        <v>22010.03</v>
      </c>
      <c r="F4381" s="3">
        <v>35637.5121271888</v>
      </c>
      <c r="G4381" s="3">
        <v>18207.67</v>
      </c>
      <c r="H4381" s="3">
        <v>-137749.205473779</v>
      </c>
      <c r="I4381" s="3">
        <v>67407.1346577165</v>
      </c>
      <c r="J4381" s="4">
        <v>45809.0</v>
      </c>
      <c r="K4381" s="3">
        <v>6.0</v>
      </c>
      <c r="L4381" s="3" t="s">
        <v>38</v>
      </c>
    </row>
    <row r="4382" ht="15.75" customHeight="1">
      <c r="A4382" s="3" t="s">
        <v>4474</v>
      </c>
      <c r="B4382" s="3" t="s">
        <v>17</v>
      </c>
      <c r="C4382" s="3" t="s">
        <v>54</v>
      </c>
      <c r="D4382" s="3">
        <v>112618.25</v>
      </c>
      <c r="E4382" s="3">
        <v>6498.19</v>
      </c>
      <c r="F4382" s="3">
        <v>35645.1921306183</v>
      </c>
      <c r="G4382" s="3">
        <v>7054.04</v>
      </c>
      <c r="H4382" s="3">
        <v>-137798.709191528</v>
      </c>
      <c r="I4382" s="3">
        <v>67410.5161321363</v>
      </c>
      <c r="J4382" s="4">
        <v>45717.0</v>
      </c>
      <c r="K4382" s="3">
        <v>9.0</v>
      </c>
      <c r="L4382" s="3" t="s">
        <v>40</v>
      </c>
    </row>
    <row r="4383" ht="15.75" customHeight="1">
      <c r="A4383" s="3" t="s">
        <v>4475</v>
      </c>
      <c r="B4383" s="3" t="s">
        <v>36</v>
      </c>
      <c r="C4383" s="3" t="s">
        <v>37</v>
      </c>
      <c r="D4383" s="3">
        <v>81507.39</v>
      </c>
      <c r="E4383" s="3">
        <v>25632.83</v>
      </c>
      <c r="F4383" s="3">
        <v>35660.5521374773</v>
      </c>
      <c r="G4383" s="3">
        <v>24892.41</v>
      </c>
      <c r="H4383" s="3">
        <v>-137897.716627026</v>
      </c>
      <c r="I4383" s="3">
        <v>67417.279080976</v>
      </c>
      <c r="J4383" s="4">
        <v>45748.0</v>
      </c>
      <c r="K4383" s="3">
        <v>20.0</v>
      </c>
      <c r="L4383" s="3" t="s">
        <v>15</v>
      </c>
    </row>
    <row r="4384" ht="15.75" customHeight="1">
      <c r="A4384" s="3" t="s">
        <v>4476</v>
      </c>
      <c r="B4384" s="3" t="s">
        <v>36</v>
      </c>
      <c r="C4384" s="3" t="s">
        <v>26</v>
      </c>
      <c r="D4384" s="3">
        <v>106503.36</v>
      </c>
      <c r="E4384" s="3">
        <v>16274.51</v>
      </c>
      <c r="F4384" s="3">
        <v>35668.2321409068</v>
      </c>
      <c r="G4384" s="3">
        <v>2377.19</v>
      </c>
      <c r="H4384" s="3">
        <v>-137947.220344775</v>
      </c>
      <c r="I4384" s="3">
        <v>67420.6605553958</v>
      </c>
      <c r="J4384" s="4">
        <v>45689.0</v>
      </c>
      <c r="K4384" s="3">
        <v>8.0</v>
      </c>
      <c r="L4384" s="3" t="s">
        <v>19</v>
      </c>
    </row>
    <row r="4385" ht="15.75" customHeight="1">
      <c r="A4385" s="3" t="s">
        <v>4477</v>
      </c>
      <c r="B4385" s="3" t="s">
        <v>36</v>
      </c>
      <c r="C4385" s="3" t="s">
        <v>18</v>
      </c>
      <c r="D4385" s="3">
        <v>99385.57</v>
      </c>
      <c r="E4385" s="3">
        <v>37021.65</v>
      </c>
      <c r="F4385" s="3">
        <v>35675.9121443363</v>
      </c>
      <c r="G4385" s="3">
        <v>12089.36</v>
      </c>
      <c r="H4385" s="3">
        <v>-137996.724062524</v>
      </c>
      <c r="I4385" s="3">
        <v>67424.0420298156</v>
      </c>
      <c r="J4385" s="4">
        <v>45809.0</v>
      </c>
      <c r="K4385" s="3">
        <v>2.0</v>
      </c>
      <c r="L4385" s="3" t="s">
        <v>21</v>
      </c>
    </row>
    <row r="4386" ht="15.75" customHeight="1">
      <c r="A4386" s="3" t="s">
        <v>4478</v>
      </c>
      <c r="B4386" s="3" t="s">
        <v>53</v>
      </c>
      <c r="C4386" s="3" t="s">
        <v>18</v>
      </c>
      <c r="D4386" s="3">
        <v>34589.86</v>
      </c>
      <c r="E4386" s="3">
        <v>18637.26</v>
      </c>
      <c r="F4386" s="3">
        <v>35683.5921477658</v>
      </c>
      <c r="G4386" s="3">
        <v>20150.53</v>
      </c>
      <c r="H4386" s="3">
        <v>-138046.227780273</v>
      </c>
      <c r="I4386" s="3">
        <v>67427.4235042354</v>
      </c>
      <c r="J4386" s="4">
        <v>45870.0</v>
      </c>
      <c r="K4386" s="3">
        <v>25.0</v>
      </c>
      <c r="L4386" s="3" t="s">
        <v>23</v>
      </c>
    </row>
    <row r="4387" ht="15.75" customHeight="1">
      <c r="A4387" s="3" t="s">
        <v>4479</v>
      </c>
      <c r="B4387" s="3" t="s">
        <v>36</v>
      </c>
      <c r="C4387" s="3" t="s">
        <v>37</v>
      </c>
      <c r="D4387" s="3">
        <v>108718.69</v>
      </c>
      <c r="E4387" s="3">
        <v>9158.13</v>
      </c>
      <c r="F4387" s="3">
        <v>35691.2721511953</v>
      </c>
      <c r="G4387" s="3">
        <v>19829.3</v>
      </c>
      <c r="H4387" s="3">
        <v>-138095.731498022</v>
      </c>
      <c r="I4387" s="3">
        <v>67430.8049786552</v>
      </c>
      <c r="J4387" s="4">
        <v>45992.0</v>
      </c>
      <c r="K4387" s="3">
        <v>15.0</v>
      </c>
      <c r="L4387" s="3" t="s">
        <v>27</v>
      </c>
    </row>
    <row r="4388" ht="15.75" customHeight="1">
      <c r="A4388" s="3" t="s">
        <v>4480</v>
      </c>
      <c r="B4388" s="3" t="s">
        <v>36</v>
      </c>
      <c r="C4388" s="3" t="s">
        <v>33</v>
      </c>
      <c r="D4388" s="3">
        <v>71630.94</v>
      </c>
      <c r="E4388" s="3">
        <v>29729.88</v>
      </c>
      <c r="F4388" s="3">
        <v>35698.9521546248</v>
      </c>
      <c r="G4388" s="3">
        <v>19119.93</v>
      </c>
      <c r="H4388" s="3">
        <v>-138145.235215772</v>
      </c>
      <c r="I4388" s="3">
        <v>67434.186453075</v>
      </c>
      <c r="J4388" s="4">
        <v>45931.0</v>
      </c>
      <c r="K4388" s="3">
        <v>25.0</v>
      </c>
      <c r="L4388" s="3" t="s">
        <v>31</v>
      </c>
    </row>
    <row r="4389" ht="15.75" customHeight="1">
      <c r="A4389" s="3" t="s">
        <v>4481</v>
      </c>
      <c r="B4389" s="3" t="s">
        <v>29</v>
      </c>
      <c r="C4389" s="3" t="s">
        <v>14</v>
      </c>
      <c r="D4389" s="3">
        <v>99781.22</v>
      </c>
      <c r="E4389" s="3">
        <v>14560.72</v>
      </c>
      <c r="F4389" s="3">
        <v>35706.6321580543</v>
      </c>
      <c r="G4389" s="3">
        <v>9050.38</v>
      </c>
      <c r="H4389" s="3">
        <v>-138194.738933521</v>
      </c>
      <c r="I4389" s="3">
        <v>67437.5679274949</v>
      </c>
      <c r="J4389" s="4">
        <v>45931.0</v>
      </c>
      <c r="K4389" s="3">
        <v>18.0</v>
      </c>
      <c r="L4389" s="3" t="s">
        <v>34</v>
      </c>
    </row>
    <row r="4390" ht="15.75" customHeight="1">
      <c r="A4390" s="3" t="s">
        <v>4482</v>
      </c>
      <c r="B4390" s="3" t="s">
        <v>13</v>
      </c>
      <c r="C4390" s="3" t="s">
        <v>33</v>
      </c>
      <c r="D4390" s="3">
        <v>109089.59</v>
      </c>
      <c r="E4390" s="3">
        <v>22916.93</v>
      </c>
      <c r="F4390" s="3">
        <v>35714.3121614838</v>
      </c>
      <c r="G4390" s="3">
        <v>11619.4</v>
      </c>
      <c r="H4390" s="3">
        <v>-138244.24265127</v>
      </c>
      <c r="I4390" s="3">
        <v>67440.9494019147</v>
      </c>
      <c r="J4390" s="4">
        <v>45870.0</v>
      </c>
      <c r="K4390" s="3">
        <v>3.0</v>
      </c>
      <c r="L4390" s="3" t="s">
        <v>38</v>
      </c>
    </row>
    <row r="4391" ht="15.75" customHeight="1">
      <c r="A4391" s="3" t="s">
        <v>4483</v>
      </c>
      <c r="B4391" s="3" t="s">
        <v>36</v>
      </c>
      <c r="C4391" s="3" t="s">
        <v>33</v>
      </c>
      <c r="D4391" s="3">
        <v>48390.36</v>
      </c>
      <c r="E4391" s="3">
        <v>29121.98</v>
      </c>
      <c r="F4391" s="3">
        <v>35721.9921649133</v>
      </c>
      <c r="G4391" s="3">
        <v>15076.72</v>
      </c>
      <c r="H4391" s="3">
        <v>-138293.746369019</v>
      </c>
      <c r="I4391" s="3">
        <v>67444.3308763345</v>
      </c>
      <c r="J4391" s="4">
        <v>45658.0</v>
      </c>
      <c r="K4391" s="3">
        <v>23.0</v>
      </c>
      <c r="L4391" s="3" t="s">
        <v>40</v>
      </c>
    </row>
    <row r="4392" ht="15.75" customHeight="1">
      <c r="A4392" s="3" t="s">
        <v>4484</v>
      </c>
      <c r="B4392" s="3" t="s">
        <v>53</v>
      </c>
      <c r="C4392" s="3" t="s">
        <v>54</v>
      </c>
      <c r="D4392" s="3">
        <v>26555.45</v>
      </c>
      <c r="E4392" s="3">
        <v>36409.51</v>
      </c>
      <c r="F4392" s="3">
        <v>35729.6721683428</v>
      </c>
      <c r="G4392" s="3">
        <v>24361.54</v>
      </c>
      <c r="H4392" s="3">
        <v>-138343.250086768</v>
      </c>
      <c r="I4392" s="3">
        <v>67447.7123507543</v>
      </c>
      <c r="J4392" s="4">
        <v>45778.0</v>
      </c>
      <c r="K4392" s="3">
        <v>4.0</v>
      </c>
      <c r="L4392" s="3" t="s">
        <v>42</v>
      </c>
    </row>
    <row r="4393" ht="15.75" customHeight="1">
      <c r="A4393" s="3" t="s">
        <v>4485</v>
      </c>
      <c r="B4393" s="3" t="s">
        <v>13</v>
      </c>
      <c r="C4393" s="3" t="s">
        <v>33</v>
      </c>
      <c r="D4393" s="3">
        <v>38933.19</v>
      </c>
      <c r="E4393" s="3">
        <v>32518.88</v>
      </c>
      <c r="F4393" s="3">
        <v>35737.3521717723</v>
      </c>
      <c r="G4393" s="3">
        <v>8524.91</v>
      </c>
      <c r="H4393" s="3">
        <v>-138392.753804517</v>
      </c>
      <c r="I4393" s="3">
        <v>67451.0938251741</v>
      </c>
      <c r="J4393" s="4">
        <v>45658.0</v>
      </c>
      <c r="K4393" s="3">
        <v>14.0</v>
      </c>
      <c r="L4393" s="3" t="s">
        <v>15</v>
      </c>
    </row>
    <row r="4394" ht="15.75" customHeight="1">
      <c r="A4394" s="3" t="s">
        <v>4486</v>
      </c>
      <c r="B4394" s="3" t="s">
        <v>51</v>
      </c>
      <c r="C4394" s="3" t="s">
        <v>26</v>
      </c>
      <c r="D4394" s="3">
        <v>59846.32</v>
      </c>
      <c r="E4394" s="3">
        <v>28349.0</v>
      </c>
      <c r="F4394" s="3">
        <v>35745.0321752018</v>
      </c>
      <c r="G4394" s="3">
        <v>23117.03</v>
      </c>
      <c r="H4394" s="3">
        <v>-138442.257522266</v>
      </c>
      <c r="I4394" s="3">
        <v>67454.4752995939</v>
      </c>
      <c r="J4394" s="4">
        <v>45748.0</v>
      </c>
      <c r="K4394" s="3">
        <v>14.0</v>
      </c>
      <c r="L4394" s="3" t="s">
        <v>19</v>
      </c>
    </row>
    <row r="4395" ht="15.75" customHeight="1">
      <c r="A4395" s="3" t="s">
        <v>4487</v>
      </c>
      <c r="B4395" s="3" t="s">
        <v>13</v>
      </c>
      <c r="C4395" s="3" t="s">
        <v>33</v>
      </c>
      <c r="D4395" s="3">
        <v>100891.55</v>
      </c>
      <c r="E4395" s="3">
        <v>28466.79</v>
      </c>
      <c r="F4395" s="3">
        <v>35752.7121786313</v>
      </c>
      <c r="G4395" s="3">
        <v>7099.24</v>
      </c>
      <c r="H4395" s="3">
        <v>-138491.761240015</v>
      </c>
      <c r="I4395" s="3">
        <v>67457.8567740138</v>
      </c>
      <c r="J4395" s="4">
        <v>45689.0</v>
      </c>
      <c r="K4395" s="3">
        <v>2.0</v>
      </c>
      <c r="L4395" s="3" t="s">
        <v>21</v>
      </c>
    </row>
    <row r="4396" ht="15.75" customHeight="1">
      <c r="A4396" s="3" t="s">
        <v>4488</v>
      </c>
      <c r="B4396" s="3" t="s">
        <v>53</v>
      </c>
      <c r="C4396" s="3" t="s">
        <v>26</v>
      </c>
      <c r="D4396" s="3">
        <v>105376.71</v>
      </c>
      <c r="E4396" s="3">
        <v>38053.29</v>
      </c>
      <c r="F4396" s="3">
        <v>35760.3921820608</v>
      </c>
      <c r="G4396" s="3">
        <v>24732.32</v>
      </c>
      <c r="H4396" s="3">
        <v>80644.39</v>
      </c>
      <c r="I4396" s="3">
        <v>85644.39</v>
      </c>
      <c r="J4396" s="4">
        <v>45809.0</v>
      </c>
      <c r="K4396" s="3">
        <v>22.0</v>
      </c>
      <c r="L4396" s="3" t="s">
        <v>23</v>
      </c>
    </row>
    <row r="4397" ht="15.75" customHeight="1">
      <c r="A4397" s="3" t="s">
        <v>4489</v>
      </c>
      <c r="B4397" s="3" t="s">
        <v>53</v>
      </c>
      <c r="C4397" s="3" t="s">
        <v>54</v>
      </c>
      <c r="D4397" s="3">
        <v>15729.97</v>
      </c>
      <c r="E4397" s="3">
        <v>14649.67</v>
      </c>
      <c r="F4397" s="3">
        <v>35768.0721854903</v>
      </c>
      <c r="G4397" s="3">
        <v>16921.46</v>
      </c>
      <c r="H4397" s="3">
        <v>-138590.768675514</v>
      </c>
      <c r="I4397" s="3">
        <v>67464.6197228534</v>
      </c>
      <c r="J4397" s="3" t="s">
        <v>591</v>
      </c>
      <c r="K4397" s="3">
        <v>9.0</v>
      </c>
      <c r="L4397" s="3" t="s">
        <v>27</v>
      </c>
    </row>
    <row r="4398" ht="15.75" customHeight="1">
      <c r="A4398" s="3" t="s">
        <v>4490</v>
      </c>
      <c r="B4398" s="3" t="s">
        <v>51</v>
      </c>
      <c r="C4398" s="3" t="s">
        <v>54</v>
      </c>
      <c r="D4398" s="3">
        <v>68628.47</v>
      </c>
      <c r="E4398" s="3">
        <v>4040.04</v>
      </c>
      <c r="F4398" s="3">
        <v>35775.7521889198</v>
      </c>
      <c r="G4398" s="3">
        <v>11856.03</v>
      </c>
      <c r="H4398" s="3">
        <v>-138640.272393263</v>
      </c>
      <c r="I4398" s="3">
        <v>67468.0011972732</v>
      </c>
      <c r="J4398" s="4">
        <v>45992.0</v>
      </c>
      <c r="K4398" s="3">
        <v>10.0</v>
      </c>
      <c r="L4398" s="3" t="s">
        <v>31</v>
      </c>
    </row>
    <row r="4399" ht="15.75" customHeight="1">
      <c r="A4399" s="3" t="s">
        <v>4491</v>
      </c>
      <c r="B4399" s="3" t="s">
        <v>13</v>
      </c>
      <c r="C4399" s="3" t="s">
        <v>30</v>
      </c>
      <c r="D4399" s="3">
        <v>58828.16</v>
      </c>
      <c r="E4399" s="3">
        <v>13790.36</v>
      </c>
      <c r="F4399" s="3">
        <v>35783.4321923493</v>
      </c>
      <c r="G4399" s="3">
        <v>15528.07</v>
      </c>
      <c r="H4399" s="3">
        <v>-138689.776111012</v>
      </c>
      <c r="I4399" s="3">
        <v>67471.382671693</v>
      </c>
      <c r="J4399" s="4">
        <v>45717.0</v>
      </c>
      <c r="K4399" s="3">
        <v>5.0</v>
      </c>
      <c r="L4399" s="3" t="s">
        <v>34</v>
      </c>
    </row>
    <row r="4400" ht="15.75" customHeight="1">
      <c r="A4400" s="3" t="s">
        <v>4492</v>
      </c>
      <c r="B4400" s="3" t="s">
        <v>25</v>
      </c>
      <c r="C4400" s="3" t="s">
        <v>26</v>
      </c>
      <c r="D4400" s="3">
        <v>38321.32</v>
      </c>
      <c r="E4400" s="3">
        <v>11844.09</v>
      </c>
      <c r="F4400" s="3">
        <v>35791.1121957788</v>
      </c>
      <c r="G4400" s="3">
        <v>7177.01</v>
      </c>
      <c r="H4400" s="3">
        <v>-138739.279828761</v>
      </c>
      <c r="I4400" s="3">
        <v>67474.7641461128</v>
      </c>
      <c r="J4400" s="4">
        <v>45901.0</v>
      </c>
      <c r="K4400" s="3">
        <v>4.0</v>
      </c>
      <c r="L4400" s="3" t="s">
        <v>38</v>
      </c>
    </row>
    <row r="4401" ht="15.75" customHeight="1">
      <c r="A4401" s="3" t="s">
        <v>4493</v>
      </c>
      <c r="B4401" s="3" t="s">
        <v>53</v>
      </c>
      <c r="C4401" s="3" t="s">
        <v>54</v>
      </c>
      <c r="D4401" s="3">
        <v>27585.86</v>
      </c>
      <c r="E4401" s="3">
        <v>27826.05</v>
      </c>
      <c r="F4401" s="3">
        <v>35798.7921992083</v>
      </c>
      <c r="G4401" s="3">
        <v>7217.26</v>
      </c>
      <c r="H4401" s="3">
        <v>-138788.78354651</v>
      </c>
      <c r="I4401" s="3">
        <v>67478.1456205326</v>
      </c>
      <c r="J4401" s="4">
        <v>45809.0</v>
      </c>
      <c r="K4401" s="3">
        <v>14.0</v>
      </c>
      <c r="L4401" s="3" t="s">
        <v>40</v>
      </c>
    </row>
    <row r="4402" ht="15.75" customHeight="1">
      <c r="A4402" s="3" t="s">
        <v>4494</v>
      </c>
      <c r="B4402" s="3" t="s">
        <v>51</v>
      </c>
      <c r="C4402" s="3" t="s">
        <v>26</v>
      </c>
      <c r="D4402" s="3">
        <v>50449.59</v>
      </c>
      <c r="E4402" s="3">
        <v>26813.62</v>
      </c>
      <c r="F4402" s="3">
        <v>35806.4722026378</v>
      </c>
      <c r="G4402" s="3">
        <v>3282.09</v>
      </c>
      <c r="H4402" s="3">
        <v>-138838.287264259</v>
      </c>
      <c r="I4402" s="3">
        <v>67481.5270949525</v>
      </c>
      <c r="J4402" s="4">
        <v>45658.0</v>
      </c>
      <c r="K4402" s="3">
        <v>20.0</v>
      </c>
      <c r="L4402" s="3" t="s">
        <v>42</v>
      </c>
    </row>
    <row r="4403" ht="15.75" customHeight="1">
      <c r="A4403" s="3" t="s">
        <v>4495</v>
      </c>
      <c r="B4403" s="3" t="s">
        <v>53</v>
      </c>
      <c r="C4403" s="3" t="s">
        <v>30</v>
      </c>
      <c r="D4403" s="3">
        <v>48936.31</v>
      </c>
      <c r="E4403" s="3">
        <v>4584.76</v>
      </c>
      <c r="F4403" s="3">
        <v>35821.8322094968</v>
      </c>
      <c r="G4403" s="3">
        <v>9017.96</v>
      </c>
      <c r="H4403" s="3">
        <v>-138937.294699758</v>
      </c>
      <c r="I4403" s="3">
        <v>67488.2900437921</v>
      </c>
      <c r="J4403" s="4">
        <v>45809.0</v>
      </c>
      <c r="K4403" s="3">
        <v>23.0</v>
      </c>
      <c r="L4403" s="3" t="s">
        <v>19</v>
      </c>
    </row>
    <row r="4404" ht="15.75" customHeight="1">
      <c r="A4404" s="3" t="s">
        <v>4496</v>
      </c>
      <c r="B4404" s="3" t="s">
        <v>25</v>
      </c>
      <c r="C4404" s="3" t="s">
        <v>54</v>
      </c>
      <c r="D4404" s="3">
        <v>69473.02</v>
      </c>
      <c r="E4404" s="3">
        <v>30236.01</v>
      </c>
      <c r="F4404" s="3">
        <v>35829.5122129263</v>
      </c>
      <c r="G4404" s="3">
        <v>19189.96</v>
      </c>
      <c r="H4404" s="3">
        <v>-138986.798417507</v>
      </c>
      <c r="I4404" s="3">
        <v>67491.6715182119</v>
      </c>
      <c r="J4404" s="4">
        <v>45689.0</v>
      </c>
      <c r="K4404" s="3">
        <v>20.0</v>
      </c>
      <c r="L4404" s="3" t="s">
        <v>21</v>
      </c>
    </row>
    <row r="4405" ht="15.75" customHeight="1">
      <c r="A4405" s="3" t="s">
        <v>4497</v>
      </c>
      <c r="B4405" s="3" t="s">
        <v>13</v>
      </c>
      <c r="C4405" s="3" t="s">
        <v>30</v>
      </c>
      <c r="D4405" s="3">
        <v>88816.99</v>
      </c>
      <c r="E4405" s="3">
        <v>15647.09</v>
      </c>
      <c r="F4405" s="3">
        <v>35837.1922163558</v>
      </c>
      <c r="G4405" s="3">
        <v>15395.29</v>
      </c>
      <c r="H4405" s="3">
        <v>-139036.302135256</v>
      </c>
      <c r="I4405" s="3">
        <v>67495.0529926317</v>
      </c>
      <c r="J4405" s="4">
        <v>45717.0</v>
      </c>
      <c r="K4405" s="3">
        <v>6.0</v>
      </c>
      <c r="L4405" s="3" t="s">
        <v>23</v>
      </c>
    </row>
    <row r="4406" ht="15.75" customHeight="1">
      <c r="A4406" s="3" t="s">
        <v>4498</v>
      </c>
      <c r="B4406" s="3" t="s">
        <v>29</v>
      </c>
      <c r="C4406" s="3" t="s">
        <v>26</v>
      </c>
      <c r="D4406" s="3">
        <v>53181.11</v>
      </c>
      <c r="E4406" s="3">
        <v>27942.02</v>
      </c>
      <c r="F4406" s="3">
        <v>35844.8722197853</v>
      </c>
      <c r="G4406" s="3">
        <v>3013.32</v>
      </c>
      <c r="H4406" s="3">
        <v>-139085.805853005</v>
      </c>
      <c r="I4406" s="3">
        <v>67498.4344670515</v>
      </c>
      <c r="J4406" s="4">
        <v>45901.0</v>
      </c>
      <c r="K4406" s="3">
        <v>1.0</v>
      </c>
      <c r="L4406" s="3" t="s">
        <v>27</v>
      </c>
    </row>
    <row r="4407" ht="15.75" customHeight="1">
      <c r="A4407" s="3" t="s">
        <v>4499</v>
      </c>
      <c r="B4407" s="3" t="s">
        <v>51</v>
      </c>
      <c r="C4407" s="3" t="s">
        <v>26</v>
      </c>
      <c r="D4407" s="3">
        <v>117037.12</v>
      </c>
      <c r="E4407" s="3">
        <v>24036.82</v>
      </c>
      <c r="F4407" s="3">
        <v>35852.5522232148</v>
      </c>
      <c r="G4407" s="3">
        <v>21379.79</v>
      </c>
      <c r="H4407" s="3">
        <v>-139135.309570754</v>
      </c>
      <c r="I4407" s="3">
        <v>67501.8159414713</v>
      </c>
      <c r="J4407" s="4">
        <v>45901.0</v>
      </c>
      <c r="K4407" s="3">
        <v>12.0</v>
      </c>
      <c r="L4407" s="3" t="s">
        <v>31</v>
      </c>
    </row>
    <row r="4408" ht="15.75" customHeight="1">
      <c r="A4408" s="3" t="s">
        <v>4500</v>
      </c>
      <c r="B4408" s="3" t="s">
        <v>13</v>
      </c>
      <c r="C4408" s="3" t="s">
        <v>14</v>
      </c>
      <c r="D4408" s="3">
        <v>116056.97</v>
      </c>
      <c r="E4408" s="3">
        <v>16338.31</v>
      </c>
      <c r="F4408" s="3">
        <v>35860.2322266443</v>
      </c>
      <c r="G4408" s="3">
        <v>15233.51</v>
      </c>
      <c r="H4408" s="3">
        <v>-139184.813288503</v>
      </c>
      <c r="I4408" s="3">
        <v>67505.1974158911</v>
      </c>
      <c r="J4408" s="4">
        <v>45839.0</v>
      </c>
      <c r="K4408" s="3">
        <v>1.0</v>
      </c>
      <c r="L4408" s="3" t="s">
        <v>34</v>
      </c>
    </row>
    <row r="4409" ht="15.75" customHeight="1">
      <c r="A4409" s="3" t="s">
        <v>4501</v>
      </c>
      <c r="B4409" s="3" t="s">
        <v>29</v>
      </c>
      <c r="C4409" s="3" t="s">
        <v>18</v>
      </c>
      <c r="D4409" s="3">
        <v>41437.14</v>
      </c>
      <c r="E4409" s="3">
        <v>8844.75</v>
      </c>
      <c r="F4409" s="3">
        <v>35867.9122300737</v>
      </c>
      <c r="G4409" s="3">
        <v>24040.96</v>
      </c>
      <c r="H4409" s="3">
        <v>-139234.317006252</v>
      </c>
      <c r="I4409" s="3">
        <v>67508.578890311</v>
      </c>
      <c r="J4409" s="3" t="s">
        <v>142</v>
      </c>
      <c r="K4409" s="3">
        <v>13.0</v>
      </c>
      <c r="L4409" s="3" t="s">
        <v>38</v>
      </c>
    </row>
    <row r="4410" ht="15.75" customHeight="1">
      <c r="A4410" s="3" t="s">
        <v>4502</v>
      </c>
      <c r="B4410" s="3" t="s">
        <v>25</v>
      </c>
      <c r="C4410" s="3" t="s">
        <v>18</v>
      </c>
      <c r="D4410" s="3">
        <v>67211.09</v>
      </c>
      <c r="E4410" s="3">
        <v>7399.08</v>
      </c>
      <c r="F4410" s="3">
        <v>35875.5922335032</v>
      </c>
      <c r="G4410" s="3">
        <v>16919.54</v>
      </c>
      <c r="H4410" s="3">
        <v>-139283.820724001</v>
      </c>
      <c r="I4410" s="3">
        <v>67511.9603647308</v>
      </c>
      <c r="J4410" s="4">
        <v>45901.0</v>
      </c>
      <c r="K4410" s="3">
        <v>23.0</v>
      </c>
      <c r="L4410" s="3" t="s">
        <v>40</v>
      </c>
    </row>
    <row r="4411" ht="15.75" customHeight="1">
      <c r="A4411" s="3" t="s">
        <v>4503</v>
      </c>
      <c r="B4411" s="3" t="s">
        <v>29</v>
      </c>
      <c r="C4411" s="3" t="s">
        <v>14</v>
      </c>
      <c r="D4411" s="3">
        <v>44908.25</v>
      </c>
      <c r="E4411" s="3">
        <v>37062.31</v>
      </c>
      <c r="F4411" s="3">
        <v>35890.9522403622</v>
      </c>
      <c r="G4411" s="3">
        <v>12107.69</v>
      </c>
      <c r="H4411" s="3">
        <v>-139382.8281595</v>
      </c>
      <c r="I4411" s="3">
        <v>67518.7233135704</v>
      </c>
      <c r="J4411" s="4">
        <v>45689.0</v>
      </c>
      <c r="K4411" s="3">
        <v>3.0</v>
      </c>
      <c r="L4411" s="3" t="s">
        <v>15</v>
      </c>
    </row>
    <row r="4412" ht="15.75" customHeight="1">
      <c r="A4412" s="3" t="s">
        <v>4504</v>
      </c>
      <c r="B4412" s="3" t="s">
        <v>13</v>
      </c>
      <c r="C4412" s="3" t="s">
        <v>33</v>
      </c>
      <c r="D4412" s="3">
        <v>79004.26</v>
      </c>
      <c r="E4412" s="3">
        <v>7723.63</v>
      </c>
      <c r="F4412" s="3">
        <v>35906.3122472212</v>
      </c>
      <c r="G4412" s="3">
        <v>1192.49</v>
      </c>
      <c r="H4412" s="3">
        <v>-139481.835594998</v>
      </c>
      <c r="I4412" s="3">
        <v>67525.48626241</v>
      </c>
      <c r="J4412" s="4">
        <v>45778.0</v>
      </c>
      <c r="K4412" s="3">
        <v>12.0</v>
      </c>
      <c r="L4412" s="3" t="s">
        <v>21</v>
      </c>
    </row>
    <row r="4413" ht="15.75" customHeight="1">
      <c r="A4413" s="3" t="s">
        <v>4505</v>
      </c>
      <c r="B4413" s="3" t="s">
        <v>29</v>
      </c>
      <c r="C4413" s="3" t="s">
        <v>14</v>
      </c>
      <c r="D4413" s="3">
        <v>67781.3</v>
      </c>
      <c r="E4413" s="3">
        <v>18472.98</v>
      </c>
      <c r="F4413" s="3">
        <v>35913.9922506507</v>
      </c>
      <c r="G4413" s="3">
        <v>865.3</v>
      </c>
      <c r="H4413" s="3">
        <v>-139531.339312747</v>
      </c>
      <c r="I4413" s="3">
        <v>67528.8677368299</v>
      </c>
      <c r="J4413" s="4">
        <v>45992.0</v>
      </c>
      <c r="K4413" s="3">
        <v>8.0</v>
      </c>
      <c r="L4413" s="3" t="s">
        <v>23</v>
      </c>
    </row>
    <row r="4414" ht="15.75" customHeight="1">
      <c r="A4414" s="3" t="s">
        <v>4506</v>
      </c>
      <c r="B4414" s="3" t="s">
        <v>25</v>
      </c>
      <c r="C4414" s="3" t="s">
        <v>18</v>
      </c>
      <c r="D4414" s="3">
        <v>20405.27</v>
      </c>
      <c r="E4414" s="3">
        <v>30241.81</v>
      </c>
      <c r="F4414" s="3">
        <v>35921.6722540802</v>
      </c>
      <c r="G4414" s="3">
        <v>3670.37</v>
      </c>
      <c r="H4414" s="3">
        <v>-139580.843030496</v>
      </c>
      <c r="I4414" s="3">
        <v>67532.2492112497</v>
      </c>
      <c r="J4414" s="4">
        <v>45778.0</v>
      </c>
      <c r="K4414" s="3">
        <v>7.0</v>
      </c>
      <c r="L4414" s="3" t="s">
        <v>27</v>
      </c>
    </row>
    <row r="4415" ht="15.75" customHeight="1">
      <c r="A4415" s="3" t="s">
        <v>4507</v>
      </c>
      <c r="B4415" s="3" t="s">
        <v>36</v>
      </c>
      <c r="C4415" s="3" t="s">
        <v>37</v>
      </c>
      <c r="D4415" s="3">
        <v>44257.88</v>
      </c>
      <c r="E4415" s="3">
        <v>32073.55</v>
      </c>
      <c r="F4415" s="3">
        <v>35929.3522575097</v>
      </c>
      <c r="G4415" s="3">
        <v>6665.78</v>
      </c>
      <c r="H4415" s="3">
        <v>-139630.346748245</v>
      </c>
      <c r="I4415" s="3">
        <v>67535.6306856695</v>
      </c>
      <c r="J4415" s="4">
        <v>45689.0</v>
      </c>
      <c r="K4415" s="3">
        <v>9.0</v>
      </c>
      <c r="L4415" s="3" t="s">
        <v>31</v>
      </c>
    </row>
    <row r="4416" ht="15.75" customHeight="1">
      <c r="A4416" s="3" t="s">
        <v>4508</v>
      </c>
      <c r="B4416" s="3" t="s">
        <v>36</v>
      </c>
      <c r="C4416" s="3" t="s">
        <v>37</v>
      </c>
      <c r="D4416" s="3">
        <v>110367.92</v>
      </c>
      <c r="E4416" s="3">
        <v>8255.87</v>
      </c>
      <c r="F4416" s="3">
        <v>35937.0322609392</v>
      </c>
      <c r="G4416" s="3">
        <v>11023.95</v>
      </c>
      <c r="H4416" s="3">
        <v>-139679.850465994</v>
      </c>
      <c r="I4416" s="3">
        <v>67539.0121600893</v>
      </c>
      <c r="J4416" s="4">
        <v>45658.0</v>
      </c>
      <c r="K4416" s="3">
        <v>15.0</v>
      </c>
      <c r="L4416" s="3" t="s">
        <v>34</v>
      </c>
    </row>
    <row r="4417" ht="15.75" customHeight="1">
      <c r="A4417" s="3" t="s">
        <v>4509</v>
      </c>
      <c r="B4417" s="3" t="s">
        <v>36</v>
      </c>
      <c r="C4417" s="3" t="s">
        <v>30</v>
      </c>
      <c r="D4417" s="3">
        <v>40154.0</v>
      </c>
      <c r="E4417" s="3">
        <v>4001.11</v>
      </c>
      <c r="F4417" s="3">
        <v>35944.7122643687</v>
      </c>
      <c r="G4417" s="3">
        <v>12442.29</v>
      </c>
      <c r="H4417" s="3">
        <v>-139729.354183744</v>
      </c>
      <c r="I4417" s="3">
        <v>67542.3936345091</v>
      </c>
      <c r="J4417" s="4">
        <v>45658.0</v>
      </c>
      <c r="K4417" s="3">
        <v>24.0</v>
      </c>
      <c r="L4417" s="3" t="s">
        <v>38</v>
      </c>
    </row>
    <row r="4418" ht="15.75" customHeight="1">
      <c r="A4418" s="3" t="s">
        <v>4510</v>
      </c>
      <c r="B4418" s="3" t="s">
        <v>25</v>
      </c>
      <c r="C4418" s="3" t="s">
        <v>37</v>
      </c>
      <c r="D4418" s="3">
        <v>30213.96</v>
      </c>
      <c r="E4418" s="3">
        <v>29636.93</v>
      </c>
      <c r="F4418" s="3">
        <v>35952.3922677982</v>
      </c>
      <c r="G4418" s="3">
        <v>3881.68</v>
      </c>
      <c r="H4418" s="3">
        <v>-139778.857901493</v>
      </c>
      <c r="I4418" s="3">
        <v>67545.7751089289</v>
      </c>
      <c r="J4418" s="4">
        <v>45717.0</v>
      </c>
      <c r="K4418" s="3">
        <v>12.0</v>
      </c>
      <c r="L4418" s="3" t="s">
        <v>40</v>
      </c>
    </row>
    <row r="4419" ht="15.75" customHeight="1">
      <c r="A4419" s="3" t="s">
        <v>4511</v>
      </c>
      <c r="B4419" s="3" t="s">
        <v>53</v>
      </c>
      <c r="C4419" s="3" t="s">
        <v>33</v>
      </c>
      <c r="D4419" s="3">
        <v>66392.54</v>
      </c>
      <c r="E4419" s="3">
        <v>16837.46</v>
      </c>
      <c r="F4419" s="3">
        <v>35960.0722712277</v>
      </c>
      <c r="G4419" s="3">
        <v>16998.09</v>
      </c>
      <c r="H4419" s="3">
        <v>-139828.361619242</v>
      </c>
      <c r="I4419" s="3">
        <v>67549.1565833487</v>
      </c>
      <c r="J4419" s="4">
        <v>45931.0</v>
      </c>
      <c r="K4419" s="3">
        <v>6.0</v>
      </c>
      <c r="L4419" s="3" t="s">
        <v>42</v>
      </c>
    </row>
    <row r="4420" ht="15.75" customHeight="1">
      <c r="A4420" s="3" t="s">
        <v>4512</v>
      </c>
      <c r="B4420" s="3" t="s">
        <v>13</v>
      </c>
      <c r="C4420" s="3" t="s">
        <v>26</v>
      </c>
      <c r="D4420" s="3">
        <v>118493.3</v>
      </c>
      <c r="E4420" s="3">
        <v>13161.33</v>
      </c>
      <c r="F4420" s="3">
        <v>35967.7522746572</v>
      </c>
      <c r="G4420" s="3">
        <v>15105.38</v>
      </c>
      <c r="H4420" s="3">
        <v>-139877.865336991</v>
      </c>
      <c r="I4420" s="3">
        <v>67552.5380577686</v>
      </c>
      <c r="J4420" s="3" t="s">
        <v>653</v>
      </c>
      <c r="K4420" s="3">
        <v>16.0</v>
      </c>
      <c r="L4420" s="3" t="s">
        <v>15</v>
      </c>
    </row>
    <row r="4421" ht="15.75" customHeight="1">
      <c r="A4421" s="3" t="s">
        <v>4513</v>
      </c>
      <c r="B4421" s="3" t="s">
        <v>36</v>
      </c>
      <c r="C4421" s="3" t="s">
        <v>18</v>
      </c>
      <c r="D4421" s="3">
        <v>40415.8</v>
      </c>
      <c r="E4421" s="3">
        <v>4464.31</v>
      </c>
      <c r="F4421" s="3">
        <v>35975.4322780867</v>
      </c>
      <c r="G4421" s="3">
        <v>7714.37</v>
      </c>
      <c r="H4421" s="3">
        <v>32701.43</v>
      </c>
      <c r="I4421" s="3">
        <v>37701.43</v>
      </c>
      <c r="J4421" s="4">
        <v>45992.0</v>
      </c>
      <c r="K4421" s="3">
        <v>8.0</v>
      </c>
      <c r="L4421" s="3" t="s">
        <v>19</v>
      </c>
    </row>
    <row r="4422" ht="15.75" customHeight="1">
      <c r="A4422" s="3" t="s">
        <v>4514</v>
      </c>
      <c r="B4422" s="3" t="s">
        <v>17</v>
      </c>
      <c r="C4422" s="3" t="s">
        <v>54</v>
      </c>
      <c r="D4422" s="3">
        <v>85574.23</v>
      </c>
      <c r="E4422" s="3">
        <v>23450.78</v>
      </c>
      <c r="F4422" s="3">
        <v>35983.1122815162</v>
      </c>
      <c r="G4422" s="3">
        <v>834.67</v>
      </c>
      <c r="H4422" s="3">
        <v>-139976.872772489</v>
      </c>
      <c r="I4422" s="3">
        <v>67559.3010066082</v>
      </c>
      <c r="J4422" s="4">
        <v>45658.0</v>
      </c>
      <c r="K4422" s="3">
        <v>5.0</v>
      </c>
      <c r="L4422" s="3" t="s">
        <v>21</v>
      </c>
    </row>
    <row r="4423" ht="15.75" customHeight="1">
      <c r="A4423" s="3" t="s">
        <v>4515</v>
      </c>
      <c r="B4423" s="3" t="s">
        <v>51</v>
      </c>
      <c r="C4423" s="3" t="s">
        <v>54</v>
      </c>
      <c r="D4423" s="3">
        <v>94970.06</v>
      </c>
      <c r="E4423" s="3">
        <v>34641.43</v>
      </c>
      <c r="F4423" s="3">
        <v>35990.7922849457</v>
      </c>
      <c r="G4423" s="3">
        <v>2402.37</v>
      </c>
      <c r="H4423" s="3">
        <v>-140026.376490238</v>
      </c>
      <c r="I4423" s="3">
        <v>67562.682481028</v>
      </c>
      <c r="J4423" s="4">
        <v>45839.0</v>
      </c>
      <c r="K4423" s="3">
        <v>18.0</v>
      </c>
      <c r="L4423" s="3" t="s">
        <v>23</v>
      </c>
    </row>
    <row r="4424" ht="15.75" customHeight="1">
      <c r="A4424" s="3" t="s">
        <v>4516</v>
      </c>
      <c r="B4424" s="3" t="s">
        <v>17</v>
      </c>
      <c r="C4424" s="3" t="s">
        <v>26</v>
      </c>
      <c r="D4424" s="3">
        <v>39951.94</v>
      </c>
      <c r="E4424" s="3">
        <v>38474.74</v>
      </c>
      <c r="F4424" s="3">
        <v>35998.4722883752</v>
      </c>
      <c r="G4424" s="3">
        <v>10096.52</v>
      </c>
      <c r="H4424" s="3">
        <v>-140075.880207987</v>
      </c>
      <c r="I4424" s="3">
        <v>67566.0639554478</v>
      </c>
      <c r="J4424" s="4">
        <v>45870.0</v>
      </c>
      <c r="K4424" s="3">
        <v>3.0</v>
      </c>
      <c r="L4424" s="3" t="s">
        <v>27</v>
      </c>
    </row>
    <row r="4425" ht="15.75" customHeight="1">
      <c r="A4425" s="3" t="s">
        <v>4517</v>
      </c>
      <c r="B4425" s="3" t="s">
        <v>17</v>
      </c>
      <c r="C4425" s="3" t="s">
        <v>37</v>
      </c>
      <c r="D4425" s="3">
        <v>91462.72</v>
      </c>
      <c r="E4425" s="3">
        <v>24366.82</v>
      </c>
      <c r="F4425" s="3">
        <v>36006.1522918047</v>
      </c>
      <c r="G4425" s="3">
        <v>4272.37</v>
      </c>
      <c r="H4425" s="3">
        <v>-140125.383925737</v>
      </c>
      <c r="I4425" s="3">
        <v>67569.4454298676</v>
      </c>
      <c r="J4425" s="4">
        <v>45962.0</v>
      </c>
      <c r="K4425" s="3">
        <v>19.0</v>
      </c>
      <c r="L4425" s="3" t="s">
        <v>31</v>
      </c>
    </row>
    <row r="4426" ht="15.75" customHeight="1">
      <c r="A4426" s="3" t="s">
        <v>4518</v>
      </c>
      <c r="B4426" s="3" t="s">
        <v>53</v>
      </c>
      <c r="C4426" s="3" t="s">
        <v>33</v>
      </c>
      <c r="D4426" s="3">
        <v>53617.23</v>
      </c>
      <c r="E4426" s="3">
        <v>22520.61</v>
      </c>
      <c r="F4426" s="3">
        <v>36013.8322952342</v>
      </c>
      <c r="G4426" s="3">
        <v>9732.08</v>
      </c>
      <c r="H4426" s="3">
        <v>-140174.887643486</v>
      </c>
      <c r="I4426" s="3">
        <v>67572.8269042874</v>
      </c>
      <c r="J4426" s="4">
        <v>45778.0</v>
      </c>
      <c r="K4426" s="3">
        <v>21.0</v>
      </c>
      <c r="L4426" s="3" t="s">
        <v>34</v>
      </c>
    </row>
    <row r="4427" ht="15.75" customHeight="1">
      <c r="A4427" s="3" t="s">
        <v>4519</v>
      </c>
      <c r="B4427" s="3" t="s">
        <v>36</v>
      </c>
      <c r="C4427" s="3" t="s">
        <v>30</v>
      </c>
      <c r="D4427" s="3">
        <v>81392.11</v>
      </c>
      <c r="E4427" s="3">
        <v>7062.03</v>
      </c>
      <c r="F4427" s="3">
        <v>36021.5122986637</v>
      </c>
      <c r="G4427" s="3">
        <v>15890.47</v>
      </c>
      <c r="H4427" s="3">
        <v>-140224.391361235</v>
      </c>
      <c r="I4427" s="3">
        <v>67576.2083787072</v>
      </c>
      <c r="J4427" s="4">
        <v>45748.0</v>
      </c>
      <c r="K4427" s="3">
        <v>3.0</v>
      </c>
      <c r="L4427" s="3" t="s">
        <v>38</v>
      </c>
    </row>
    <row r="4428" ht="15.75" customHeight="1">
      <c r="A4428" s="3" t="s">
        <v>4520</v>
      </c>
      <c r="B4428" s="3" t="s">
        <v>25</v>
      </c>
      <c r="C4428" s="3" t="s">
        <v>37</v>
      </c>
      <c r="D4428" s="3">
        <v>81520.62</v>
      </c>
      <c r="E4428" s="3">
        <v>23759.42</v>
      </c>
      <c r="F4428" s="3">
        <v>36029.1923020932</v>
      </c>
      <c r="G4428" s="3">
        <v>13907.32</v>
      </c>
      <c r="H4428" s="3">
        <v>-140273.895078984</v>
      </c>
      <c r="I4428" s="3">
        <v>67579.5898531271</v>
      </c>
      <c r="J4428" s="4">
        <v>45748.0</v>
      </c>
      <c r="K4428" s="3">
        <v>11.0</v>
      </c>
      <c r="L4428" s="3" t="s">
        <v>40</v>
      </c>
    </row>
    <row r="4429" ht="15.75" customHeight="1">
      <c r="A4429" s="3" t="s">
        <v>4521</v>
      </c>
      <c r="B4429" s="3" t="s">
        <v>25</v>
      </c>
      <c r="C4429" s="3" t="s">
        <v>14</v>
      </c>
      <c r="D4429" s="3">
        <v>71256.34</v>
      </c>
      <c r="E4429" s="3">
        <v>17679.25</v>
      </c>
      <c r="F4429" s="3">
        <v>36036.8723055227</v>
      </c>
      <c r="G4429" s="3">
        <v>6163.81</v>
      </c>
      <c r="H4429" s="3">
        <v>-140323.398796733</v>
      </c>
      <c r="I4429" s="3">
        <v>67582.9713275469</v>
      </c>
      <c r="J4429" s="4">
        <v>45870.0</v>
      </c>
      <c r="K4429" s="3">
        <v>2.0</v>
      </c>
      <c r="L4429" s="3" t="s">
        <v>42</v>
      </c>
    </row>
    <row r="4430" ht="15.75" customHeight="1">
      <c r="A4430" s="3" t="s">
        <v>4522</v>
      </c>
      <c r="B4430" s="3" t="s">
        <v>25</v>
      </c>
      <c r="C4430" s="3" t="s">
        <v>30</v>
      </c>
      <c r="D4430" s="3">
        <v>24480.43</v>
      </c>
      <c r="E4430" s="3">
        <v>25856.87</v>
      </c>
      <c r="F4430" s="3">
        <v>36044.5523089522</v>
      </c>
      <c r="G4430" s="3">
        <v>8923.65</v>
      </c>
      <c r="H4430" s="3">
        <v>-140372.902514482</v>
      </c>
      <c r="I4430" s="3">
        <v>67586.3528019667</v>
      </c>
      <c r="J4430" s="4">
        <v>45870.0</v>
      </c>
      <c r="K4430" s="3">
        <v>13.0</v>
      </c>
      <c r="L4430" s="3" t="s">
        <v>15</v>
      </c>
    </row>
    <row r="4431" ht="15.75" customHeight="1">
      <c r="A4431" s="3" t="s">
        <v>4523</v>
      </c>
      <c r="B4431" s="3" t="s">
        <v>51</v>
      </c>
      <c r="C4431" s="3" t="s">
        <v>26</v>
      </c>
      <c r="D4431" s="3">
        <v>102706.76</v>
      </c>
      <c r="E4431" s="3">
        <v>17994.15</v>
      </c>
      <c r="F4431" s="3">
        <v>36052.2323123817</v>
      </c>
      <c r="G4431" s="3">
        <v>15543.76</v>
      </c>
      <c r="H4431" s="3">
        <v>-140422.406232231</v>
      </c>
      <c r="I4431" s="3">
        <v>67589.7342763865</v>
      </c>
      <c r="J4431" s="4">
        <v>45901.0</v>
      </c>
      <c r="K4431" s="3">
        <v>14.0</v>
      </c>
      <c r="L4431" s="3" t="s">
        <v>19</v>
      </c>
    </row>
    <row r="4432" ht="15.75" customHeight="1">
      <c r="A4432" s="3" t="s">
        <v>4524</v>
      </c>
      <c r="B4432" s="3" t="s">
        <v>29</v>
      </c>
      <c r="C4432" s="3" t="s">
        <v>14</v>
      </c>
      <c r="D4432" s="3">
        <v>48681.91</v>
      </c>
      <c r="E4432" s="3">
        <v>12650.77</v>
      </c>
      <c r="F4432" s="3">
        <v>36059.9123158112</v>
      </c>
      <c r="G4432" s="3">
        <v>21590.95</v>
      </c>
      <c r="H4432" s="3">
        <v>-140471.909949981</v>
      </c>
      <c r="I4432" s="3">
        <v>67593.1157508063</v>
      </c>
      <c r="J4432" s="4">
        <v>45839.0</v>
      </c>
      <c r="K4432" s="3">
        <v>19.0</v>
      </c>
      <c r="L4432" s="3" t="s">
        <v>21</v>
      </c>
    </row>
    <row r="4433" ht="15.75" customHeight="1">
      <c r="A4433" s="3" t="s">
        <v>4525</v>
      </c>
      <c r="B4433" s="3" t="s">
        <v>53</v>
      </c>
      <c r="C4433" s="3" t="s">
        <v>33</v>
      </c>
      <c r="D4433" s="3">
        <v>34584.44</v>
      </c>
      <c r="E4433" s="3">
        <v>7418.75</v>
      </c>
      <c r="F4433" s="3">
        <v>36067.5923192407</v>
      </c>
      <c r="G4433" s="3">
        <v>18953.73</v>
      </c>
      <c r="H4433" s="3">
        <v>-140521.41366773</v>
      </c>
      <c r="I4433" s="3">
        <v>67596.4972252262</v>
      </c>
      <c r="J4433" s="4">
        <v>45778.0</v>
      </c>
      <c r="K4433" s="3">
        <v>17.0</v>
      </c>
      <c r="L4433" s="3" t="s">
        <v>23</v>
      </c>
    </row>
    <row r="4434" ht="15.75" customHeight="1">
      <c r="A4434" s="3" t="s">
        <v>4526</v>
      </c>
      <c r="B4434" s="3" t="s">
        <v>17</v>
      </c>
      <c r="C4434" s="3" t="s">
        <v>33</v>
      </c>
      <c r="D4434" s="3">
        <v>19281.39</v>
      </c>
      <c r="E4434" s="3">
        <v>15337.06</v>
      </c>
      <c r="F4434" s="3">
        <v>36075.2723226702</v>
      </c>
      <c r="G4434" s="3">
        <v>14058.3</v>
      </c>
      <c r="H4434" s="3">
        <v>-140570.917385479</v>
      </c>
      <c r="I4434" s="3">
        <v>67599.878699646</v>
      </c>
      <c r="J4434" s="4">
        <v>45870.0</v>
      </c>
      <c r="K4434" s="3">
        <v>7.0</v>
      </c>
      <c r="L4434" s="3" t="s">
        <v>27</v>
      </c>
    </row>
    <row r="4435" ht="15.75" customHeight="1">
      <c r="A4435" s="3" t="s">
        <v>4527</v>
      </c>
      <c r="B4435" s="3" t="s">
        <v>29</v>
      </c>
      <c r="C4435" s="3" t="s">
        <v>26</v>
      </c>
      <c r="D4435" s="3">
        <v>77043.76</v>
      </c>
      <c r="E4435" s="3">
        <v>7479.21</v>
      </c>
      <c r="F4435" s="3">
        <v>36082.9523260997</v>
      </c>
      <c r="G4435" s="3">
        <v>9376.18</v>
      </c>
      <c r="H4435" s="3">
        <v>-140620.421103228</v>
      </c>
      <c r="I4435" s="3">
        <v>67603.2601740658</v>
      </c>
      <c r="J4435" s="4">
        <v>45870.0</v>
      </c>
      <c r="K4435" s="3">
        <v>5.0</v>
      </c>
      <c r="L4435" s="3" t="s">
        <v>31</v>
      </c>
    </row>
    <row r="4436" ht="15.75" customHeight="1">
      <c r="A4436" s="3" t="s">
        <v>4528</v>
      </c>
      <c r="B4436" s="3" t="s">
        <v>53</v>
      </c>
      <c r="C4436" s="3" t="s">
        <v>30</v>
      </c>
      <c r="D4436" s="3">
        <v>86144.26</v>
      </c>
      <c r="E4436" s="3">
        <v>10368.29</v>
      </c>
      <c r="F4436" s="3">
        <v>36090.6323295292</v>
      </c>
      <c r="G4436" s="3">
        <v>9443.76</v>
      </c>
      <c r="H4436" s="3">
        <v>-140669.924820977</v>
      </c>
      <c r="I4436" s="3">
        <v>67606.6416484856</v>
      </c>
      <c r="J4436" s="4">
        <v>45748.0</v>
      </c>
      <c r="K4436" s="3">
        <v>13.0</v>
      </c>
      <c r="L4436" s="3" t="s">
        <v>34</v>
      </c>
    </row>
    <row r="4437" ht="15.75" customHeight="1">
      <c r="A4437" s="3" t="s">
        <v>4529</v>
      </c>
      <c r="B4437" s="3" t="s">
        <v>25</v>
      </c>
      <c r="C4437" s="3" t="s">
        <v>33</v>
      </c>
      <c r="D4437" s="3">
        <v>16741.72</v>
      </c>
      <c r="E4437" s="3">
        <v>39544.1</v>
      </c>
      <c r="F4437" s="3">
        <v>36098.3123329587</v>
      </c>
      <c r="G4437" s="3">
        <v>22045.72</v>
      </c>
      <c r="H4437" s="3">
        <v>-140719.428538726</v>
      </c>
      <c r="I4437" s="3">
        <v>67610.0231229054</v>
      </c>
      <c r="J4437" s="4">
        <v>45839.0</v>
      </c>
      <c r="K4437" s="3">
        <v>14.0</v>
      </c>
      <c r="L4437" s="3" t="s">
        <v>38</v>
      </c>
    </row>
    <row r="4438" ht="15.75" customHeight="1">
      <c r="A4438" s="3" t="s">
        <v>4530</v>
      </c>
      <c r="B4438" s="3" t="s">
        <v>25</v>
      </c>
      <c r="C4438" s="3" t="s">
        <v>30</v>
      </c>
      <c r="D4438" s="3">
        <v>68769.77</v>
      </c>
      <c r="E4438" s="3">
        <v>19987.73</v>
      </c>
      <c r="F4438" s="3">
        <v>36105.9923363882</v>
      </c>
      <c r="G4438" s="3">
        <v>1461.47</v>
      </c>
      <c r="H4438" s="3">
        <v>-140768.932256475</v>
      </c>
      <c r="I4438" s="3">
        <v>67613.4045973252</v>
      </c>
      <c r="J4438" s="4">
        <v>45658.0</v>
      </c>
      <c r="K4438" s="3">
        <v>11.0</v>
      </c>
      <c r="L4438" s="3" t="s">
        <v>40</v>
      </c>
    </row>
    <row r="4439" ht="15.75" customHeight="1">
      <c r="A4439" s="3" t="s">
        <v>4531</v>
      </c>
      <c r="B4439" s="3" t="s">
        <v>53</v>
      </c>
      <c r="C4439" s="3" t="s">
        <v>33</v>
      </c>
      <c r="D4439" s="3">
        <v>38782.06</v>
      </c>
      <c r="E4439" s="3">
        <v>23147.38</v>
      </c>
      <c r="F4439" s="3">
        <v>36113.6723398177</v>
      </c>
      <c r="G4439" s="3">
        <v>24705.57</v>
      </c>
      <c r="H4439" s="3">
        <v>-140818.435974224</v>
      </c>
      <c r="I4439" s="3">
        <v>67616.786071745</v>
      </c>
      <c r="J4439" s="4">
        <v>45870.0</v>
      </c>
      <c r="K4439" s="3">
        <v>10.0</v>
      </c>
      <c r="L4439" s="3" t="s">
        <v>42</v>
      </c>
    </row>
    <row r="4440" ht="15.75" customHeight="1">
      <c r="A4440" s="3" t="s">
        <v>4532</v>
      </c>
      <c r="B4440" s="3" t="s">
        <v>53</v>
      </c>
      <c r="C4440" s="3" t="s">
        <v>37</v>
      </c>
      <c r="D4440" s="3">
        <v>82743.14</v>
      </c>
      <c r="E4440" s="3">
        <v>35450.27</v>
      </c>
      <c r="F4440" s="3">
        <v>36121.3523432472</v>
      </c>
      <c r="G4440" s="5"/>
      <c r="H4440" s="3">
        <v>-140867.939691974</v>
      </c>
      <c r="I4440" s="3">
        <v>67620.1675461648</v>
      </c>
      <c r="J4440" s="4">
        <v>45962.0</v>
      </c>
      <c r="K4440" s="3">
        <v>1.0</v>
      </c>
      <c r="L4440" s="3" t="s">
        <v>15</v>
      </c>
    </row>
    <row r="4441" ht="15.75" customHeight="1">
      <c r="A4441" s="3" t="s">
        <v>4533</v>
      </c>
      <c r="B4441" s="3" t="s">
        <v>29</v>
      </c>
      <c r="C4441" s="3" t="s">
        <v>33</v>
      </c>
      <c r="D4441" s="3">
        <v>33308.48</v>
      </c>
      <c r="E4441" s="3">
        <v>39840.48</v>
      </c>
      <c r="F4441" s="3">
        <v>36129.0323466767</v>
      </c>
      <c r="G4441" s="3">
        <v>17187.87</v>
      </c>
      <c r="H4441" s="3">
        <v>-140917.443409723</v>
      </c>
      <c r="I4441" s="3">
        <v>67623.5490205847</v>
      </c>
      <c r="J4441" s="4">
        <v>45992.0</v>
      </c>
      <c r="K4441" s="3">
        <v>25.0</v>
      </c>
      <c r="L4441" s="3" t="s">
        <v>19</v>
      </c>
    </row>
    <row r="4442" ht="15.75" customHeight="1">
      <c r="A4442" s="3" t="s">
        <v>4534</v>
      </c>
      <c r="B4442" s="3" t="s">
        <v>13</v>
      </c>
      <c r="C4442" s="3" t="s">
        <v>33</v>
      </c>
      <c r="D4442" s="3">
        <v>87548.46</v>
      </c>
      <c r="E4442" s="3">
        <v>24977.72</v>
      </c>
      <c r="F4442" s="3">
        <v>36136.7123501062</v>
      </c>
      <c r="G4442" s="3">
        <v>1430.95</v>
      </c>
      <c r="H4442" s="3">
        <v>-140966.947127472</v>
      </c>
      <c r="I4442" s="3">
        <v>67626.9304950045</v>
      </c>
      <c r="J4442" s="4">
        <v>45901.0</v>
      </c>
      <c r="K4442" s="3">
        <v>12.0</v>
      </c>
      <c r="L4442" s="3" t="s">
        <v>21</v>
      </c>
    </row>
    <row r="4443" ht="15.75" customHeight="1">
      <c r="A4443" s="3" t="s">
        <v>4535</v>
      </c>
      <c r="B4443" s="3" t="s">
        <v>51</v>
      </c>
      <c r="C4443" s="3" t="s">
        <v>33</v>
      </c>
      <c r="D4443" s="3">
        <v>55607.21</v>
      </c>
      <c r="E4443" s="3">
        <v>33249.06</v>
      </c>
      <c r="F4443" s="3">
        <v>36144.3923535356</v>
      </c>
      <c r="G4443" s="3">
        <v>15335.47</v>
      </c>
      <c r="H4443" s="3">
        <v>-141016.450845221</v>
      </c>
      <c r="I4443" s="3">
        <v>67630.3119694243</v>
      </c>
      <c r="J4443" s="4">
        <v>45901.0</v>
      </c>
      <c r="K4443" s="3">
        <v>17.0</v>
      </c>
      <c r="L4443" s="3" t="s">
        <v>23</v>
      </c>
    </row>
    <row r="4444" ht="15.75" customHeight="1">
      <c r="A4444" s="3" t="s">
        <v>4536</v>
      </c>
      <c r="B4444" s="3" t="s">
        <v>25</v>
      </c>
      <c r="C4444" s="3" t="s">
        <v>14</v>
      </c>
      <c r="D4444" s="3">
        <v>113356.65</v>
      </c>
      <c r="E4444" s="3">
        <v>15769.88</v>
      </c>
      <c r="F4444" s="3">
        <v>36152.0723569651</v>
      </c>
      <c r="G4444" s="3">
        <v>12377.06</v>
      </c>
      <c r="H4444" s="3">
        <v>-141065.95456297</v>
      </c>
      <c r="I4444" s="3">
        <v>67633.6934438441</v>
      </c>
      <c r="J4444" s="4">
        <v>45748.0</v>
      </c>
      <c r="K4444" s="3">
        <v>2.0</v>
      </c>
      <c r="L4444" s="3" t="s">
        <v>27</v>
      </c>
    </row>
    <row r="4445" ht="15.75" customHeight="1">
      <c r="A4445" s="3" t="s">
        <v>4537</v>
      </c>
      <c r="B4445" s="3" t="s">
        <v>51</v>
      </c>
      <c r="C4445" s="3" t="s">
        <v>18</v>
      </c>
      <c r="D4445" s="3">
        <v>29439.7</v>
      </c>
      <c r="E4445" s="3">
        <v>15006.78</v>
      </c>
      <c r="F4445" s="3">
        <v>36159.7523603946</v>
      </c>
      <c r="G4445" s="3">
        <v>3091.58</v>
      </c>
      <c r="H4445" s="3">
        <v>-141115.458280719</v>
      </c>
      <c r="I4445" s="3">
        <v>67637.0749182639</v>
      </c>
      <c r="J4445" s="4">
        <v>45689.0</v>
      </c>
      <c r="K4445" s="3">
        <v>17.0</v>
      </c>
      <c r="L4445" s="3" t="s">
        <v>31</v>
      </c>
    </row>
    <row r="4446" ht="15.75" customHeight="1">
      <c r="A4446" s="3" t="s">
        <v>4538</v>
      </c>
      <c r="B4446" s="3" t="s">
        <v>17</v>
      </c>
      <c r="C4446" s="3" t="s">
        <v>30</v>
      </c>
      <c r="D4446" s="3">
        <v>50811.97</v>
      </c>
      <c r="E4446" s="3">
        <v>18497.33</v>
      </c>
      <c r="F4446" s="3">
        <v>36167.4323638241</v>
      </c>
      <c r="G4446" s="3">
        <v>7309.09</v>
      </c>
      <c r="H4446" s="3">
        <v>-141164.961998468</v>
      </c>
      <c r="I4446" s="3">
        <v>67640.4563926837</v>
      </c>
      <c r="J4446" s="4">
        <v>45658.0</v>
      </c>
      <c r="K4446" s="3">
        <v>2.0</v>
      </c>
      <c r="L4446" s="3" t="s">
        <v>34</v>
      </c>
    </row>
    <row r="4447" ht="15.75" customHeight="1">
      <c r="A4447" s="3" t="s">
        <v>4539</v>
      </c>
      <c r="B4447" s="3" t="s">
        <v>13</v>
      </c>
      <c r="C4447" s="3" t="s">
        <v>26</v>
      </c>
      <c r="D4447" s="3">
        <v>26914.72</v>
      </c>
      <c r="E4447" s="3">
        <v>28210.26</v>
      </c>
      <c r="F4447" s="3">
        <v>36175.1123672536</v>
      </c>
      <c r="G4447" s="3">
        <v>22312.7</v>
      </c>
      <c r="H4447" s="3">
        <v>-141214.465716217</v>
      </c>
      <c r="I4447" s="3">
        <v>67643.8378671035</v>
      </c>
      <c r="J4447" s="4">
        <v>45931.0</v>
      </c>
      <c r="K4447" s="3">
        <v>12.0</v>
      </c>
      <c r="L4447" s="3" t="s">
        <v>38</v>
      </c>
    </row>
    <row r="4448" ht="15.75" customHeight="1">
      <c r="A4448" s="3" t="s">
        <v>4540</v>
      </c>
      <c r="B4448" s="3" t="s">
        <v>13</v>
      </c>
      <c r="C4448" s="3" t="s">
        <v>26</v>
      </c>
      <c r="D4448" s="3">
        <v>112092.83</v>
      </c>
      <c r="E4448" s="3">
        <v>28558.9</v>
      </c>
      <c r="F4448" s="3">
        <v>36182.7923706831</v>
      </c>
      <c r="G4448" s="3">
        <v>13974.72</v>
      </c>
      <c r="H4448" s="3">
        <v>-141263.969433967</v>
      </c>
      <c r="I4448" s="3">
        <v>67647.2193415233</v>
      </c>
      <c r="J4448" s="4">
        <v>45839.0</v>
      </c>
      <c r="K4448" s="3">
        <v>3.0</v>
      </c>
      <c r="L4448" s="3" t="s">
        <v>40</v>
      </c>
    </row>
    <row r="4449" ht="15.75" customHeight="1">
      <c r="A4449" s="3" t="s">
        <v>4541</v>
      </c>
      <c r="B4449" s="3" t="s">
        <v>13</v>
      </c>
      <c r="C4449" s="3" t="s">
        <v>14</v>
      </c>
      <c r="D4449" s="5"/>
      <c r="E4449" s="3">
        <v>15348.62</v>
      </c>
      <c r="F4449" s="3">
        <v>36190.4723741126</v>
      </c>
      <c r="G4449" s="3">
        <v>10628.71</v>
      </c>
      <c r="H4449" s="3">
        <v>-141313.473151716</v>
      </c>
      <c r="I4449" s="3">
        <v>67650.6008159432</v>
      </c>
      <c r="J4449" s="4">
        <v>45870.0</v>
      </c>
      <c r="K4449" s="3">
        <v>24.0</v>
      </c>
      <c r="L4449" s="3" t="s">
        <v>42</v>
      </c>
    </row>
    <row r="4450" ht="15.75" customHeight="1">
      <c r="A4450" s="3" t="s">
        <v>4542</v>
      </c>
      <c r="B4450" s="3" t="s">
        <v>51</v>
      </c>
      <c r="C4450" s="3" t="s">
        <v>14</v>
      </c>
      <c r="D4450" s="3">
        <v>42083.87</v>
      </c>
      <c r="E4450" s="3">
        <v>8795.56</v>
      </c>
      <c r="F4450" s="3">
        <v>36198.1523775421</v>
      </c>
      <c r="G4450" s="3">
        <v>2280.71</v>
      </c>
      <c r="H4450" s="3">
        <v>-141362.976869465</v>
      </c>
      <c r="I4450" s="3">
        <v>67653.982290363</v>
      </c>
      <c r="J4450" s="4">
        <v>45870.0</v>
      </c>
      <c r="K4450" s="3">
        <v>2.0</v>
      </c>
      <c r="L4450" s="3" t="s">
        <v>15</v>
      </c>
    </row>
    <row r="4451" ht="15.75" customHeight="1">
      <c r="A4451" s="3" t="s">
        <v>4543</v>
      </c>
      <c r="B4451" s="3" t="s">
        <v>51</v>
      </c>
      <c r="C4451" s="3" t="s">
        <v>14</v>
      </c>
      <c r="D4451" s="3">
        <v>84298.32</v>
      </c>
      <c r="E4451" s="3">
        <v>26766.27</v>
      </c>
      <c r="F4451" s="3">
        <v>36205.8323809716</v>
      </c>
      <c r="G4451" s="3">
        <v>17995.98</v>
      </c>
      <c r="H4451" s="3">
        <v>-141412.480587214</v>
      </c>
      <c r="I4451" s="3">
        <v>67657.3637647828</v>
      </c>
      <c r="J4451" s="4">
        <v>45931.0</v>
      </c>
      <c r="K4451" s="3">
        <v>2.0</v>
      </c>
      <c r="L4451" s="3" t="s">
        <v>19</v>
      </c>
    </row>
    <row r="4452" ht="15.75" customHeight="1">
      <c r="A4452" s="3" t="s">
        <v>4544</v>
      </c>
      <c r="B4452" s="3" t="s">
        <v>36</v>
      </c>
      <c r="C4452" s="3" t="s">
        <v>26</v>
      </c>
      <c r="D4452" s="3">
        <v>100808.33</v>
      </c>
      <c r="E4452" s="3">
        <v>8619.73</v>
      </c>
      <c r="F4452" s="3">
        <v>36213.5123844011</v>
      </c>
      <c r="G4452" s="3">
        <v>17719.85</v>
      </c>
      <c r="H4452" s="3">
        <v>-141461.984304963</v>
      </c>
      <c r="I4452" s="3">
        <v>67660.7452392026</v>
      </c>
      <c r="J4452" s="4">
        <v>45778.0</v>
      </c>
      <c r="K4452" s="3">
        <v>12.0</v>
      </c>
      <c r="L4452" s="3" t="s">
        <v>21</v>
      </c>
    </row>
    <row r="4453" ht="15.75" customHeight="1">
      <c r="A4453" s="3" t="s">
        <v>4545</v>
      </c>
      <c r="B4453" s="3" t="s">
        <v>51</v>
      </c>
      <c r="C4453" s="3" t="s">
        <v>18</v>
      </c>
      <c r="D4453" s="3">
        <v>73296.09</v>
      </c>
      <c r="E4453" s="3">
        <v>24825.73</v>
      </c>
      <c r="F4453" s="3">
        <v>36221.1923878306</v>
      </c>
      <c r="G4453" s="3">
        <v>15544.07</v>
      </c>
      <c r="H4453" s="3">
        <v>-141511.488022712</v>
      </c>
      <c r="I4453" s="3">
        <v>67664.1267136224</v>
      </c>
      <c r="J4453" s="4">
        <v>45809.0</v>
      </c>
      <c r="K4453" s="3">
        <v>12.0</v>
      </c>
      <c r="L4453" s="3" t="s">
        <v>23</v>
      </c>
    </row>
    <row r="4454" ht="15.75" customHeight="1">
      <c r="A4454" s="3" t="s">
        <v>4546</v>
      </c>
      <c r="B4454" s="3" t="s">
        <v>51</v>
      </c>
      <c r="C4454" s="3" t="s">
        <v>26</v>
      </c>
      <c r="D4454" s="3">
        <v>70613.31</v>
      </c>
      <c r="E4454" s="3">
        <v>28963.2</v>
      </c>
      <c r="F4454" s="3">
        <v>36228.8723912601</v>
      </c>
      <c r="G4454" s="3">
        <v>13001.43</v>
      </c>
      <c r="H4454" s="3">
        <v>-141560.991740461</v>
      </c>
      <c r="I4454" s="3">
        <v>67667.5081880422</v>
      </c>
      <c r="J4454" s="4">
        <v>45962.0</v>
      </c>
      <c r="K4454" s="3">
        <v>4.0</v>
      </c>
      <c r="L4454" s="3" t="s">
        <v>27</v>
      </c>
    </row>
    <row r="4455" ht="15.75" customHeight="1">
      <c r="A4455" s="3" t="s">
        <v>4547</v>
      </c>
      <c r="B4455" s="3" t="s">
        <v>13</v>
      </c>
      <c r="C4455" s="3" t="s">
        <v>18</v>
      </c>
      <c r="D4455" s="3">
        <v>40394.49</v>
      </c>
      <c r="E4455" s="3">
        <v>29222.01</v>
      </c>
      <c r="F4455" s="3">
        <v>36236.5523946896</v>
      </c>
      <c r="G4455" s="3">
        <v>11127.72</v>
      </c>
      <c r="H4455" s="3">
        <v>-141610.49545821</v>
      </c>
      <c r="I4455" s="3">
        <v>67670.8896624621</v>
      </c>
      <c r="J4455" s="4">
        <v>45658.0</v>
      </c>
      <c r="K4455" s="3">
        <v>2.0</v>
      </c>
      <c r="L4455" s="3" t="s">
        <v>31</v>
      </c>
    </row>
    <row r="4456" ht="15.75" customHeight="1">
      <c r="A4456" s="3" t="s">
        <v>4548</v>
      </c>
      <c r="B4456" s="3" t="s">
        <v>29</v>
      </c>
      <c r="C4456" s="3" t="s">
        <v>14</v>
      </c>
      <c r="D4456" s="3">
        <v>24775.79</v>
      </c>
      <c r="E4456" s="3">
        <v>31125.0</v>
      </c>
      <c r="F4456" s="3">
        <v>36244.2323981191</v>
      </c>
      <c r="G4456" s="3">
        <v>15035.14</v>
      </c>
      <c r="H4456" s="3">
        <v>-141659.99917596</v>
      </c>
      <c r="I4456" s="3">
        <v>67674.2711368819</v>
      </c>
      <c r="J4456" s="4">
        <v>45748.0</v>
      </c>
      <c r="K4456" s="3">
        <v>16.0</v>
      </c>
      <c r="L4456" s="3" t="s">
        <v>34</v>
      </c>
    </row>
    <row r="4457" ht="15.75" customHeight="1">
      <c r="A4457" s="3" t="s">
        <v>4549</v>
      </c>
      <c r="B4457" s="3" t="s">
        <v>17</v>
      </c>
      <c r="C4457" s="3" t="s">
        <v>33</v>
      </c>
      <c r="D4457" s="3">
        <v>109207.65</v>
      </c>
      <c r="E4457" s="3">
        <v>35422.94</v>
      </c>
      <c r="F4457" s="3">
        <v>36251.9124015486</v>
      </c>
      <c r="G4457" s="3">
        <v>6218.19</v>
      </c>
      <c r="H4457" s="3">
        <v>-141709.502893709</v>
      </c>
      <c r="I4457" s="3">
        <v>67677.6526113017</v>
      </c>
      <c r="J4457" s="4">
        <v>45962.0</v>
      </c>
      <c r="K4457" s="3">
        <v>10.0</v>
      </c>
      <c r="L4457" s="3" t="s">
        <v>38</v>
      </c>
    </row>
    <row r="4458" ht="15.75" customHeight="1">
      <c r="A4458" s="3" t="s">
        <v>4550</v>
      </c>
      <c r="B4458" s="3" t="s">
        <v>53</v>
      </c>
      <c r="C4458" s="3" t="s">
        <v>14</v>
      </c>
      <c r="D4458" s="3">
        <v>109543.9</v>
      </c>
      <c r="E4458" s="3">
        <v>21998.52</v>
      </c>
      <c r="F4458" s="3">
        <v>36259.5924049781</v>
      </c>
      <c r="G4458" s="3">
        <v>23560.85</v>
      </c>
      <c r="H4458" s="3">
        <v>-141759.006611458</v>
      </c>
      <c r="I4458" s="3">
        <v>67681.0340857215</v>
      </c>
      <c r="J4458" s="4">
        <v>45689.0</v>
      </c>
      <c r="K4458" s="3">
        <v>6.0</v>
      </c>
      <c r="L4458" s="3" t="s">
        <v>40</v>
      </c>
    </row>
    <row r="4459" ht="15.75" customHeight="1">
      <c r="A4459" s="3" t="s">
        <v>4551</v>
      </c>
      <c r="B4459" s="3" t="s">
        <v>53</v>
      </c>
      <c r="C4459" s="3" t="s">
        <v>14</v>
      </c>
      <c r="D4459" s="3">
        <v>81475.65</v>
      </c>
      <c r="E4459" s="3">
        <v>30288.97</v>
      </c>
      <c r="F4459" s="3">
        <v>36267.2724084076</v>
      </c>
      <c r="G4459" s="3">
        <v>14925.47</v>
      </c>
      <c r="H4459" s="3">
        <v>-141808.510329207</v>
      </c>
      <c r="I4459" s="3">
        <v>67684.4155601413</v>
      </c>
      <c r="J4459" s="4">
        <v>45809.0</v>
      </c>
      <c r="K4459" s="3">
        <v>2.0</v>
      </c>
      <c r="L4459" s="3" t="s">
        <v>42</v>
      </c>
    </row>
    <row r="4460" ht="15.75" customHeight="1">
      <c r="A4460" s="3" t="s">
        <v>4552</v>
      </c>
      <c r="B4460" s="3" t="s">
        <v>53</v>
      </c>
      <c r="C4460" s="3" t="s">
        <v>26</v>
      </c>
      <c r="D4460" s="3">
        <v>50598.13</v>
      </c>
      <c r="E4460" s="3">
        <v>26290.22</v>
      </c>
      <c r="F4460" s="3">
        <v>36274.9524118371</v>
      </c>
      <c r="G4460" s="3">
        <v>8124.21</v>
      </c>
      <c r="H4460" s="3">
        <v>-141858.014046956</v>
      </c>
      <c r="I4460" s="3">
        <v>67687.7970345611</v>
      </c>
      <c r="J4460" s="4">
        <v>45717.0</v>
      </c>
      <c r="K4460" s="3">
        <v>3.0</v>
      </c>
      <c r="L4460" s="3" t="s">
        <v>15</v>
      </c>
    </row>
    <row r="4461" ht="15.75" customHeight="1">
      <c r="A4461" s="3" t="s">
        <v>4553</v>
      </c>
      <c r="B4461" s="3" t="s">
        <v>29</v>
      </c>
      <c r="C4461" s="3" t="s">
        <v>30</v>
      </c>
      <c r="D4461" s="3">
        <v>51667.01</v>
      </c>
      <c r="E4461" s="3">
        <v>10719.04</v>
      </c>
      <c r="F4461" s="3">
        <v>36282.6324152666</v>
      </c>
      <c r="G4461" s="3">
        <v>11517.16</v>
      </c>
      <c r="H4461" s="3">
        <v>-141907.517764705</v>
      </c>
      <c r="I4461" s="3">
        <v>67691.1785089809</v>
      </c>
      <c r="J4461" s="4">
        <v>45901.0</v>
      </c>
      <c r="K4461" s="3">
        <v>4.0</v>
      </c>
      <c r="L4461" s="3" t="s">
        <v>19</v>
      </c>
    </row>
    <row r="4462" ht="15.75" customHeight="1">
      <c r="A4462" s="3" t="s">
        <v>4554</v>
      </c>
      <c r="B4462" s="3" t="s">
        <v>17</v>
      </c>
      <c r="C4462" s="3" t="s">
        <v>54</v>
      </c>
      <c r="D4462" s="3">
        <v>91225.35</v>
      </c>
      <c r="E4462" s="3">
        <v>4924.83</v>
      </c>
      <c r="F4462" s="3">
        <v>36290.3124186961</v>
      </c>
      <c r="G4462" s="3">
        <v>20239.28</v>
      </c>
      <c r="H4462" s="3">
        <v>-141957.021482454</v>
      </c>
      <c r="I4462" s="3">
        <v>67694.5599834008</v>
      </c>
      <c r="J4462" s="4">
        <v>45778.0</v>
      </c>
      <c r="K4462" s="3">
        <v>18.0</v>
      </c>
      <c r="L4462" s="3" t="s">
        <v>21</v>
      </c>
    </row>
    <row r="4463" ht="15.75" customHeight="1">
      <c r="A4463" s="3" t="s">
        <v>4555</v>
      </c>
      <c r="B4463" s="3" t="s">
        <v>36</v>
      </c>
      <c r="C4463" s="3" t="s">
        <v>54</v>
      </c>
      <c r="D4463" s="3">
        <v>109196.58</v>
      </c>
      <c r="E4463" s="3">
        <v>14243.49</v>
      </c>
      <c r="F4463" s="3">
        <v>36297.9924221256</v>
      </c>
      <c r="G4463" s="3">
        <v>4459.59</v>
      </c>
      <c r="H4463" s="3">
        <v>-142006.525200203</v>
      </c>
      <c r="I4463" s="3">
        <v>67697.9414578206</v>
      </c>
      <c r="J4463" s="4">
        <v>45717.0</v>
      </c>
      <c r="K4463" s="3">
        <v>22.0</v>
      </c>
      <c r="L4463" s="3" t="s">
        <v>23</v>
      </c>
    </row>
    <row r="4464" ht="15.75" customHeight="1">
      <c r="A4464" s="3" t="s">
        <v>4556</v>
      </c>
      <c r="B4464" s="3" t="s">
        <v>53</v>
      </c>
      <c r="C4464" s="3" t="s">
        <v>14</v>
      </c>
      <c r="D4464" s="3">
        <v>108144.07</v>
      </c>
      <c r="E4464" s="3">
        <v>19949.21</v>
      </c>
      <c r="F4464" s="3">
        <v>36305.6724255551</v>
      </c>
      <c r="G4464" s="3">
        <v>7674.47</v>
      </c>
      <c r="H4464" s="3">
        <v>-142056.028917953</v>
      </c>
      <c r="I4464" s="3">
        <v>67701.3229322404</v>
      </c>
      <c r="J4464" s="4">
        <v>45901.0</v>
      </c>
      <c r="K4464" s="3">
        <v>11.0</v>
      </c>
      <c r="L4464" s="3" t="s">
        <v>27</v>
      </c>
    </row>
    <row r="4465" ht="15.75" customHeight="1">
      <c r="A4465" s="3" t="s">
        <v>4557</v>
      </c>
      <c r="B4465" s="3" t="s">
        <v>25</v>
      </c>
      <c r="C4465" s="3" t="s">
        <v>18</v>
      </c>
      <c r="D4465" s="3">
        <v>96886.93</v>
      </c>
      <c r="E4465" s="3">
        <v>26215.81</v>
      </c>
      <c r="F4465" s="3">
        <v>36313.3524289846</v>
      </c>
      <c r="G4465" s="3">
        <v>17147.95</v>
      </c>
      <c r="H4465" s="3">
        <v>-142105.532635702</v>
      </c>
      <c r="I4465" s="3">
        <v>67704.7044066602</v>
      </c>
      <c r="J4465" s="4">
        <v>45870.0</v>
      </c>
      <c r="K4465" s="3">
        <v>2.0</v>
      </c>
      <c r="L4465" s="3" t="s">
        <v>31</v>
      </c>
    </row>
    <row r="4466" ht="15.75" customHeight="1">
      <c r="A4466" s="3" t="s">
        <v>4558</v>
      </c>
      <c r="B4466" s="3" t="s">
        <v>51</v>
      </c>
      <c r="C4466" s="3" t="s">
        <v>14</v>
      </c>
      <c r="D4466" s="3">
        <v>82413.32</v>
      </c>
      <c r="E4466" s="3">
        <v>34598.54</v>
      </c>
      <c r="F4466" s="3">
        <v>36321.0324324141</v>
      </c>
      <c r="G4466" s="3">
        <v>8229.49</v>
      </c>
      <c r="H4466" s="3">
        <v>-142155.036353451</v>
      </c>
      <c r="I4466" s="3">
        <v>67708.08588108</v>
      </c>
      <c r="J4466" s="4">
        <v>45962.0</v>
      </c>
      <c r="K4466" s="3">
        <v>17.0</v>
      </c>
      <c r="L4466" s="3" t="s">
        <v>34</v>
      </c>
    </row>
    <row r="4467" ht="15.75" customHeight="1">
      <c r="A4467" s="3" t="s">
        <v>4559</v>
      </c>
      <c r="B4467" s="3" t="s">
        <v>17</v>
      </c>
      <c r="C4467" s="3" t="s">
        <v>37</v>
      </c>
      <c r="D4467" s="3">
        <v>23834.7</v>
      </c>
      <c r="E4467" s="3">
        <v>11064.85</v>
      </c>
      <c r="F4467" s="3">
        <v>36328.7124358436</v>
      </c>
      <c r="G4467" s="3">
        <v>19916.29</v>
      </c>
      <c r="H4467" s="3">
        <v>-142204.5400712</v>
      </c>
      <c r="I4467" s="3">
        <v>67711.4673554998</v>
      </c>
      <c r="J4467" s="4">
        <v>45901.0</v>
      </c>
      <c r="K4467" s="3">
        <v>3.0</v>
      </c>
      <c r="L4467" s="3" t="s">
        <v>38</v>
      </c>
    </row>
    <row r="4468" ht="15.75" customHeight="1">
      <c r="A4468" s="3" t="s">
        <v>4560</v>
      </c>
      <c r="B4468" s="3" t="s">
        <v>17</v>
      </c>
      <c r="C4468" s="3" t="s">
        <v>14</v>
      </c>
      <c r="D4468" s="3">
        <v>31971.01</v>
      </c>
      <c r="E4468" s="3">
        <v>8519.79</v>
      </c>
      <c r="F4468" s="3">
        <v>36336.3924392731</v>
      </c>
      <c r="G4468" s="3">
        <v>3696.11</v>
      </c>
      <c r="H4468" s="3">
        <v>-142254.043788949</v>
      </c>
      <c r="I4468" s="3">
        <v>67714.8488299196</v>
      </c>
      <c r="J4468" s="4">
        <v>45992.0</v>
      </c>
      <c r="K4468" s="3">
        <v>15.0</v>
      </c>
      <c r="L4468" s="3" t="s">
        <v>40</v>
      </c>
    </row>
    <row r="4469" ht="15.75" customHeight="1">
      <c r="A4469" s="3" t="s">
        <v>4561</v>
      </c>
      <c r="B4469" s="3" t="s">
        <v>17</v>
      </c>
      <c r="C4469" s="3" t="s">
        <v>14</v>
      </c>
      <c r="D4469" s="3">
        <v>109348.19</v>
      </c>
      <c r="E4469" s="3">
        <v>38685.28</v>
      </c>
      <c r="F4469" s="3">
        <v>36344.0724427026</v>
      </c>
      <c r="G4469" s="3">
        <v>19185.81</v>
      </c>
      <c r="H4469" s="3">
        <v>-142303.547506698</v>
      </c>
      <c r="I4469" s="3">
        <v>67718.2303043395</v>
      </c>
      <c r="J4469" s="4">
        <v>45778.0</v>
      </c>
      <c r="K4469" s="3">
        <v>15.0</v>
      </c>
      <c r="L4469" s="3" t="s">
        <v>42</v>
      </c>
    </row>
    <row r="4470" ht="15.75" customHeight="1">
      <c r="A4470" s="3" t="s">
        <v>4562</v>
      </c>
      <c r="B4470" s="3" t="s">
        <v>17</v>
      </c>
      <c r="C4470" s="3" t="s">
        <v>37</v>
      </c>
      <c r="D4470" s="3">
        <v>78675.05</v>
      </c>
      <c r="E4470" s="3">
        <v>7889.6</v>
      </c>
      <c r="F4470" s="3">
        <v>36351.7524461321</v>
      </c>
      <c r="G4470" s="3">
        <v>2174.62</v>
      </c>
      <c r="H4470" s="3">
        <v>-142353.051224447</v>
      </c>
      <c r="I4470" s="3">
        <v>67721.6117787593</v>
      </c>
      <c r="J4470" s="4">
        <v>45870.0</v>
      </c>
      <c r="K4470" s="3">
        <v>20.0</v>
      </c>
      <c r="L4470" s="3" t="s">
        <v>15</v>
      </c>
    </row>
    <row r="4471" ht="15.75" customHeight="1">
      <c r="A4471" s="3" t="s">
        <v>4563</v>
      </c>
      <c r="B4471" s="3" t="s">
        <v>51</v>
      </c>
      <c r="C4471" s="3" t="s">
        <v>30</v>
      </c>
      <c r="D4471" s="3">
        <v>15965.69</v>
      </c>
      <c r="E4471" s="3">
        <v>21225.68</v>
      </c>
      <c r="F4471" s="3">
        <v>36359.4324495616</v>
      </c>
      <c r="G4471" s="3">
        <v>808.52</v>
      </c>
      <c r="H4471" s="3">
        <v>-142402.554942196</v>
      </c>
      <c r="I4471" s="3">
        <v>67724.9932531791</v>
      </c>
      <c r="J4471" s="4">
        <v>45931.0</v>
      </c>
      <c r="K4471" s="3">
        <v>1.0</v>
      </c>
      <c r="L4471" s="3" t="s">
        <v>19</v>
      </c>
    </row>
    <row r="4472" ht="15.75" customHeight="1">
      <c r="A4472" s="3" t="s">
        <v>4564</v>
      </c>
      <c r="B4472" s="3" t="s">
        <v>25</v>
      </c>
      <c r="C4472" s="3" t="s">
        <v>14</v>
      </c>
      <c r="D4472" s="3">
        <v>25654.51</v>
      </c>
      <c r="E4472" s="3">
        <v>25080.29</v>
      </c>
      <c r="F4472" s="3">
        <v>36367.1124529911</v>
      </c>
      <c r="G4472" s="3">
        <v>22506.48</v>
      </c>
      <c r="H4472" s="3">
        <v>-142452.058659946</v>
      </c>
      <c r="I4472" s="3">
        <v>67728.3747275989</v>
      </c>
      <c r="J4472" s="4">
        <v>45870.0</v>
      </c>
      <c r="K4472" s="3">
        <v>24.0</v>
      </c>
      <c r="L4472" s="3" t="s">
        <v>21</v>
      </c>
    </row>
    <row r="4473" ht="15.75" customHeight="1">
      <c r="A4473" s="3" t="s">
        <v>4565</v>
      </c>
      <c r="B4473" s="3" t="s">
        <v>29</v>
      </c>
      <c r="C4473" s="3" t="s">
        <v>26</v>
      </c>
      <c r="D4473" s="3">
        <v>84667.69</v>
      </c>
      <c r="E4473" s="3">
        <v>23489.48</v>
      </c>
      <c r="F4473" s="3">
        <v>36374.7924564206</v>
      </c>
      <c r="G4473" s="3">
        <v>14742.81</v>
      </c>
      <c r="H4473" s="3">
        <v>-142501.562377695</v>
      </c>
      <c r="I4473" s="3">
        <v>67731.7562020187</v>
      </c>
      <c r="J4473" s="4">
        <v>45748.0</v>
      </c>
      <c r="K4473" s="3">
        <v>19.0</v>
      </c>
      <c r="L4473" s="3" t="s">
        <v>23</v>
      </c>
    </row>
    <row r="4474" ht="15.75" customHeight="1">
      <c r="A4474" s="3" t="s">
        <v>4566</v>
      </c>
      <c r="B4474" s="3" t="s">
        <v>17</v>
      </c>
      <c r="C4474" s="3" t="s">
        <v>14</v>
      </c>
      <c r="D4474" s="3">
        <v>15531.47</v>
      </c>
      <c r="E4474" s="3">
        <v>7097.16</v>
      </c>
      <c r="F4474" s="3">
        <v>36382.4724598501</v>
      </c>
      <c r="G4474" s="3">
        <v>9119.76</v>
      </c>
      <c r="H4474" s="3">
        <v>-142551.066095444</v>
      </c>
      <c r="I4474" s="3">
        <v>67735.1376764385</v>
      </c>
      <c r="J4474" s="4">
        <v>45962.0</v>
      </c>
      <c r="K4474" s="3">
        <v>15.0</v>
      </c>
      <c r="L4474" s="3" t="s">
        <v>27</v>
      </c>
    </row>
    <row r="4475" ht="15.75" customHeight="1">
      <c r="A4475" s="3" t="s">
        <v>4567</v>
      </c>
      <c r="B4475" s="3" t="s">
        <v>13</v>
      </c>
      <c r="C4475" s="3" t="s">
        <v>26</v>
      </c>
      <c r="D4475" s="3">
        <v>31884.85</v>
      </c>
      <c r="E4475" s="3">
        <v>6052.97</v>
      </c>
      <c r="F4475" s="3">
        <v>36390.1524632796</v>
      </c>
      <c r="G4475" s="3">
        <v>6198.57</v>
      </c>
      <c r="H4475" s="3">
        <v>-142600.569813193</v>
      </c>
      <c r="I4475" s="3">
        <v>67738.5191508583</v>
      </c>
      <c r="J4475" s="4">
        <v>45778.0</v>
      </c>
      <c r="K4475" s="3">
        <v>7.0</v>
      </c>
      <c r="L4475" s="3" t="s">
        <v>31</v>
      </c>
    </row>
    <row r="4476" ht="15.75" customHeight="1">
      <c r="A4476" s="3" t="s">
        <v>4568</v>
      </c>
      <c r="B4476" s="3" t="s">
        <v>17</v>
      </c>
      <c r="C4476" s="3" t="s">
        <v>14</v>
      </c>
      <c r="D4476" s="3">
        <v>72617.05</v>
      </c>
      <c r="E4476" s="3">
        <v>7797.4</v>
      </c>
      <c r="F4476" s="3">
        <v>36397.8324667091</v>
      </c>
      <c r="G4476" s="3">
        <v>15613.7</v>
      </c>
      <c r="H4476" s="3">
        <v>-142650.073530942</v>
      </c>
      <c r="I4476" s="3">
        <v>67741.9006252782</v>
      </c>
      <c r="J4476" s="4">
        <v>45748.0</v>
      </c>
      <c r="K4476" s="3">
        <v>24.0</v>
      </c>
      <c r="L4476" s="3" t="s">
        <v>34</v>
      </c>
    </row>
    <row r="4477" ht="15.75" customHeight="1">
      <c r="A4477" s="3" t="s">
        <v>4569</v>
      </c>
      <c r="B4477" s="3" t="s">
        <v>53</v>
      </c>
      <c r="C4477" s="3" t="s">
        <v>54</v>
      </c>
      <c r="D4477" s="3">
        <v>87649.0</v>
      </c>
      <c r="E4477" s="3">
        <v>25081.16</v>
      </c>
      <c r="F4477" s="3">
        <v>36405.5124701386</v>
      </c>
      <c r="G4477" s="3">
        <v>12970.55</v>
      </c>
      <c r="H4477" s="3">
        <v>-142699.577248691</v>
      </c>
      <c r="I4477" s="3">
        <v>67745.282099698</v>
      </c>
      <c r="J4477" s="4">
        <v>45748.0</v>
      </c>
      <c r="K4477" s="3">
        <v>16.0</v>
      </c>
      <c r="L4477" s="3" t="s">
        <v>38</v>
      </c>
    </row>
    <row r="4478" ht="15.75" customHeight="1">
      <c r="A4478" s="3" t="s">
        <v>4570</v>
      </c>
      <c r="B4478" s="3" t="s">
        <v>25</v>
      </c>
      <c r="C4478" s="3" t="s">
        <v>33</v>
      </c>
      <c r="D4478" s="3">
        <v>83455.93</v>
      </c>
      <c r="E4478" s="3">
        <v>23596.42</v>
      </c>
      <c r="F4478" s="3">
        <v>36413.1924735681</v>
      </c>
      <c r="G4478" s="3">
        <v>24794.15</v>
      </c>
      <c r="H4478" s="3">
        <v>-142749.08096644</v>
      </c>
      <c r="I4478" s="3">
        <v>67748.6635741178</v>
      </c>
      <c r="J4478" s="4">
        <v>45748.0</v>
      </c>
      <c r="K4478" s="3">
        <v>3.0</v>
      </c>
      <c r="L4478" s="3" t="s">
        <v>40</v>
      </c>
    </row>
    <row r="4479" ht="15.75" customHeight="1">
      <c r="A4479" s="3" t="s">
        <v>4571</v>
      </c>
      <c r="B4479" s="3" t="s">
        <v>51</v>
      </c>
      <c r="C4479" s="3" t="s">
        <v>54</v>
      </c>
      <c r="D4479" s="3">
        <v>38548.28</v>
      </c>
      <c r="E4479" s="3">
        <v>12414.67</v>
      </c>
      <c r="F4479" s="3">
        <v>36420.8724769976</v>
      </c>
      <c r="G4479" s="3">
        <v>24588.79</v>
      </c>
      <c r="H4479" s="3">
        <v>-142798.584684189</v>
      </c>
      <c r="I4479" s="3">
        <v>67752.0450485376</v>
      </c>
      <c r="J4479" s="4">
        <v>45931.0</v>
      </c>
      <c r="K4479" s="3">
        <v>2.0</v>
      </c>
      <c r="L4479" s="3" t="s">
        <v>42</v>
      </c>
    </row>
    <row r="4480" ht="15.75" customHeight="1">
      <c r="A4480" s="3" t="s">
        <v>4572</v>
      </c>
      <c r="B4480" s="3" t="s">
        <v>25</v>
      </c>
      <c r="C4480" s="3" t="s">
        <v>33</v>
      </c>
      <c r="D4480" s="3">
        <v>89778.82</v>
      </c>
      <c r="E4480" s="3">
        <v>26959.87</v>
      </c>
      <c r="F4480" s="3">
        <v>36428.5524804271</v>
      </c>
      <c r="G4480" s="3">
        <v>16058.1</v>
      </c>
      <c r="H4480" s="3">
        <v>-142848.088401939</v>
      </c>
      <c r="I4480" s="3">
        <v>67755.4265229574</v>
      </c>
      <c r="J4480" s="3" t="s">
        <v>917</v>
      </c>
      <c r="K4480" s="3">
        <v>22.0</v>
      </c>
      <c r="L4480" s="3" t="s">
        <v>15</v>
      </c>
    </row>
    <row r="4481" ht="15.75" customHeight="1">
      <c r="A4481" s="3" t="s">
        <v>4573</v>
      </c>
      <c r="B4481" s="3" t="s">
        <v>13</v>
      </c>
      <c r="C4481" s="3" t="s">
        <v>33</v>
      </c>
      <c r="D4481" s="3">
        <v>39911.15</v>
      </c>
      <c r="E4481" s="3">
        <v>33522.43</v>
      </c>
      <c r="F4481" s="3">
        <v>36436.2324838565</v>
      </c>
      <c r="G4481" s="3">
        <v>11350.33</v>
      </c>
      <c r="H4481" s="3">
        <v>-142897.592119688</v>
      </c>
      <c r="I4481" s="3">
        <v>67758.8079973772</v>
      </c>
      <c r="J4481" s="4">
        <v>45809.0</v>
      </c>
      <c r="K4481" s="3">
        <v>25.0</v>
      </c>
      <c r="L4481" s="3" t="s">
        <v>19</v>
      </c>
    </row>
    <row r="4482" ht="15.75" customHeight="1">
      <c r="A4482" s="3" t="s">
        <v>4574</v>
      </c>
      <c r="B4482" s="3" t="s">
        <v>25</v>
      </c>
      <c r="C4482" s="3" t="s">
        <v>30</v>
      </c>
      <c r="D4482" s="3">
        <v>49166.97</v>
      </c>
      <c r="E4482" s="3">
        <v>5496.84</v>
      </c>
      <c r="F4482" s="3">
        <v>36443.912487286</v>
      </c>
      <c r="G4482" s="3">
        <v>12532.95</v>
      </c>
      <c r="H4482" s="3">
        <v>-142947.095837437</v>
      </c>
      <c r="I4482" s="3">
        <v>67762.189471797</v>
      </c>
      <c r="J4482" s="3" t="s">
        <v>970</v>
      </c>
      <c r="K4482" s="3">
        <v>15.0</v>
      </c>
      <c r="L4482" s="3" t="s">
        <v>21</v>
      </c>
    </row>
    <row r="4483" ht="15.75" customHeight="1">
      <c r="A4483" s="3" t="s">
        <v>4575</v>
      </c>
      <c r="B4483" s="3" t="s">
        <v>25</v>
      </c>
      <c r="C4483" s="3" t="s">
        <v>37</v>
      </c>
      <c r="D4483" s="3">
        <v>93381.6</v>
      </c>
      <c r="E4483" s="3">
        <v>21932.68</v>
      </c>
      <c r="F4483" s="3">
        <v>36451.5924907155</v>
      </c>
      <c r="G4483" s="3">
        <v>17220.74</v>
      </c>
      <c r="H4483" s="3">
        <v>-142996.599555186</v>
      </c>
      <c r="I4483" s="3">
        <v>67765.5709462169</v>
      </c>
      <c r="J4483" s="4">
        <v>45870.0</v>
      </c>
      <c r="K4483" s="3">
        <v>25.0</v>
      </c>
      <c r="L4483" s="3" t="s">
        <v>23</v>
      </c>
    </row>
    <row r="4484" ht="15.75" customHeight="1">
      <c r="A4484" s="3" t="s">
        <v>4576</v>
      </c>
      <c r="B4484" s="3" t="s">
        <v>51</v>
      </c>
      <c r="C4484" s="3" t="s">
        <v>14</v>
      </c>
      <c r="D4484" s="3">
        <v>83211.45</v>
      </c>
      <c r="E4484" s="3">
        <v>28815.17</v>
      </c>
      <c r="F4484" s="3">
        <v>36459.272494145</v>
      </c>
      <c r="G4484" s="3">
        <v>2988.58</v>
      </c>
      <c r="H4484" s="3">
        <v>-143046.103272935</v>
      </c>
      <c r="I4484" s="3">
        <v>67768.9524206367</v>
      </c>
      <c r="J4484" s="4">
        <v>45931.0</v>
      </c>
      <c r="K4484" s="3">
        <v>25.0</v>
      </c>
      <c r="L4484" s="3" t="s">
        <v>27</v>
      </c>
    </row>
    <row r="4485" ht="15.75" customHeight="1">
      <c r="A4485" s="3" t="s">
        <v>4577</v>
      </c>
      <c r="B4485" s="3" t="s">
        <v>36</v>
      </c>
      <c r="C4485" s="3" t="s">
        <v>14</v>
      </c>
      <c r="D4485" s="3">
        <v>104168.46</v>
      </c>
      <c r="E4485" s="3">
        <v>13083.23</v>
      </c>
      <c r="F4485" s="3">
        <v>36466.9524975745</v>
      </c>
      <c r="G4485" s="3">
        <v>8544.63</v>
      </c>
      <c r="H4485" s="3">
        <v>-143095.606990684</v>
      </c>
      <c r="I4485" s="3">
        <v>67772.3338950565</v>
      </c>
      <c r="J4485" s="4">
        <v>45870.0</v>
      </c>
      <c r="K4485" s="3">
        <v>7.0</v>
      </c>
      <c r="L4485" s="3" t="s">
        <v>31</v>
      </c>
    </row>
    <row r="4486" ht="15.75" customHeight="1">
      <c r="A4486" s="3" t="s">
        <v>4578</v>
      </c>
      <c r="B4486" s="3" t="s">
        <v>53</v>
      </c>
      <c r="C4486" s="3" t="s">
        <v>33</v>
      </c>
      <c r="D4486" s="3">
        <v>84049.35</v>
      </c>
      <c r="E4486" s="3">
        <v>15079.75</v>
      </c>
      <c r="F4486" s="3">
        <v>36474.632501004</v>
      </c>
      <c r="G4486" s="3">
        <v>2344.17</v>
      </c>
      <c r="H4486" s="3">
        <v>81705.18</v>
      </c>
      <c r="I4486" s="3">
        <v>86705.18</v>
      </c>
      <c r="J4486" s="4">
        <v>45962.0</v>
      </c>
      <c r="K4486" s="3">
        <v>19.0</v>
      </c>
      <c r="L4486" s="3" t="s">
        <v>34</v>
      </c>
    </row>
    <row r="4487" ht="15.75" customHeight="1">
      <c r="A4487" s="3" t="s">
        <v>4579</v>
      </c>
      <c r="B4487" s="3" t="s">
        <v>51</v>
      </c>
      <c r="C4487" s="3" t="s">
        <v>26</v>
      </c>
      <c r="D4487" s="3">
        <v>74672.4</v>
      </c>
      <c r="E4487" s="3">
        <v>26090.96</v>
      </c>
      <c r="F4487" s="3">
        <v>36482.3125044335</v>
      </c>
      <c r="G4487" s="3">
        <v>2297.34</v>
      </c>
      <c r="H4487" s="3">
        <v>-143194.614426182</v>
      </c>
      <c r="I4487" s="3">
        <v>67779.0968438961</v>
      </c>
      <c r="J4487" s="4">
        <v>45809.0</v>
      </c>
      <c r="K4487" s="3">
        <v>15.0</v>
      </c>
      <c r="L4487" s="3" t="s">
        <v>38</v>
      </c>
    </row>
    <row r="4488" ht="15.75" customHeight="1">
      <c r="A4488" s="3" t="s">
        <v>4580</v>
      </c>
      <c r="B4488" s="3" t="s">
        <v>13</v>
      </c>
      <c r="C4488" s="3" t="s">
        <v>30</v>
      </c>
      <c r="D4488" s="3">
        <v>24835.85</v>
      </c>
      <c r="E4488" s="3">
        <v>36325.67</v>
      </c>
      <c r="F4488" s="3">
        <v>36489.992507863</v>
      </c>
      <c r="G4488" s="3">
        <v>5298.06</v>
      </c>
      <c r="H4488" s="3">
        <v>-143244.118143932</v>
      </c>
      <c r="I4488" s="3">
        <v>67782.4783183159</v>
      </c>
      <c r="J4488" s="4">
        <v>45901.0</v>
      </c>
      <c r="K4488" s="3">
        <v>25.0</v>
      </c>
      <c r="L4488" s="3" t="s">
        <v>40</v>
      </c>
    </row>
    <row r="4489" ht="15.75" customHeight="1">
      <c r="A4489" s="3" t="s">
        <v>4581</v>
      </c>
      <c r="B4489" s="3" t="s">
        <v>29</v>
      </c>
      <c r="C4489" s="3" t="s">
        <v>37</v>
      </c>
      <c r="D4489" s="3">
        <v>53610.16</v>
      </c>
      <c r="E4489" s="3">
        <v>33157.28</v>
      </c>
      <c r="F4489" s="3">
        <v>36497.6725112925</v>
      </c>
      <c r="G4489" s="3">
        <v>12388.7</v>
      </c>
      <c r="H4489" s="3">
        <v>41221.46</v>
      </c>
      <c r="I4489" s="3">
        <v>46221.46</v>
      </c>
      <c r="J4489" s="4">
        <v>45901.0</v>
      </c>
      <c r="K4489" s="3">
        <v>15.0</v>
      </c>
      <c r="L4489" s="3" t="s">
        <v>42</v>
      </c>
    </row>
    <row r="4490" ht="15.75" customHeight="1">
      <c r="A4490" s="3" t="s">
        <v>4582</v>
      </c>
      <c r="B4490" s="3" t="s">
        <v>53</v>
      </c>
      <c r="C4490" s="3" t="s">
        <v>54</v>
      </c>
      <c r="D4490" s="3">
        <v>42846.25</v>
      </c>
      <c r="E4490" s="3">
        <v>24992.69</v>
      </c>
      <c r="F4490" s="3">
        <v>36505.352514722</v>
      </c>
      <c r="G4490" s="3">
        <v>19726.97</v>
      </c>
      <c r="H4490" s="3">
        <v>-143343.12557943</v>
      </c>
      <c r="I4490" s="3">
        <v>67789.2412671556</v>
      </c>
      <c r="J4490" s="4">
        <v>45962.0</v>
      </c>
      <c r="K4490" s="3">
        <v>15.0</v>
      </c>
      <c r="L4490" s="3" t="s">
        <v>15</v>
      </c>
    </row>
    <row r="4491" ht="15.75" customHeight="1">
      <c r="A4491" s="3" t="s">
        <v>4583</v>
      </c>
      <c r="B4491" s="3" t="s">
        <v>13</v>
      </c>
      <c r="C4491" s="3" t="s">
        <v>37</v>
      </c>
      <c r="D4491" s="3">
        <v>40618.91</v>
      </c>
      <c r="E4491" s="3">
        <v>30287.98</v>
      </c>
      <c r="F4491" s="3">
        <v>36513.0325181515</v>
      </c>
      <c r="G4491" s="3">
        <v>12394.65</v>
      </c>
      <c r="H4491" s="3">
        <v>-143392.629297179</v>
      </c>
      <c r="I4491" s="3">
        <v>67792.6227415754</v>
      </c>
      <c r="J4491" s="4">
        <v>45748.0</v>
      </c>
      <c r="K4491" s="3">
        <v>21.0</v>
      </c>
      <c r="L4491" s="3" t="s">
        <v>19</v>
      </c>
    </row>
    <row r="4492" ht="15.75" customHeight="1">
      <c r="A4492" s="3" t="s">
        <v>4584</v>
      </c>
      <c r="B4492" s="3" t="s">
        <v>29</v>
      </c>
      <c r="C4492" s="3" t="s">
        <v>37</v>
      </c>
      <c r="D4492" s="3">
        <v>117166.11</v>
      </c>
      <c r="E4492" s="3">
        <v>17133.61</v>
      </c>
      <c r="F4492" s="3">
        <v>36520.712521581</v>
      </c>
      <c r="G4492" s="3">
        <v>8719.18</v>
      </c>
      <c r="H4492" s="3">
        <v>-143442.133014928</v>
      </c>
      <c r="I4492" s="3">
        <v>67796.0042159952</v>
      </c>
      <c r="J4492" s="4">
        <v>45809.0</v>
      </c>
      <c r="K4492" s="3">
        <v>19.0</v>
      </c>
      <c r="L4492" s="3" t="s">
        <v>21</v>
      </c>
    </row>
    <row r="4493" ht="15.75" customHeight="1">
      <c r="A4493" s="3" t="s">
        <v>4585</v>
      </c>
      <c r="B4493" s="3" t="s">
        <v>13</v>
      </c>
      <c r="C4493" s="3" t="s">
        <v>33</v>
      </c>
      <c r="D4493" s="3">
        <v>56275.26</v>
      </c>
      <c r="E4493" s="3">
        <v>27074.76</v>
      </c>
      <c r="F4493" s="3">
        <v>36528.3925250105</v>
      </c>
      <c r="G4493" s="3">
        <v>2517.65</v>
      </c>
      <c r="H4493" s="3">
        <v>-143491.636732677</v>
      </c>
      <c r="I4493" s="3">
        <v>67799.385690415</v>
      </c>
      <c r="J4493" s="4">
        <v>45870.0</v>
      </c>
      <c r="K4493" s="3">
        <v>2.0</v>
      </c>
      <c r="L4493" s="3" t="s">
        <v>23</v>
      </c>
    </row>
    <row r="4494" ht="15.75" customHeight="1">
      <c r="A4494" s="3" t="s">
        <v>4586</v>
      </c>
      <c r="B4494" s="3" t="s">
        <v>17</v>
      </c>
      <c r="C4494" s="3" t="s">
        <v>26</v>
      </c>
      <c r="D4494" s="3">
        <v>108664.89</v>
      </c>
      <c r="E4494" s="3">
        <v>20782.54</v>
      </c>
      <c r="F4494" s="3">
        <v>36536.07252844</v>
      </c>
      <c r="G4494" s="3">
        <v>13982.24</v>
      </c>
      <c r="H4494" s="3">
        <v>-143541.140450426</v>
      </c>
      <c r="I4494" s="3">
        <v>67802.7671648348</v>
      </c>
      <c r="J4494" s="3" t="s">
        <v>1640</v>
      </c>
      <c r="K4494" s="3">
        <v>21.0</v>
      </c>
      <c r="L4494" s="3" t="s">
        <v>27</v>
      </c>
    </row>
    <row r="4495" ht="15.75" customHeight="1">
      <c r="A4495" s="3" t="s">
        <v>4587</v>
      </c>
      <c r="B4495" s="3" t="s">
        <v>53</v>
      </c>
      <c r="C4495" s="3" t="s">
        <v>54</v>
      </c>
      <c r="D4495" s="3">
        <v>81269.56</v>
      </c>
      <c r="E4495" s="3">
        <v>10837.7</v>
      </c>
      <c r="F4495" s="3">
        <v>36543.7525318695</v>
      </c>
      <c r="G4495" s="3">
        <v>7146.08</v>
      </c>
      <c r="H4495" s="3">
        <v>-143590.644168176</v>
      </c>
      <c r="I4495" s="3">
        <v>67806.1486392546</v>
      </c>
      <c r="J4495" s="4">
        <v>45901.0</v>
      </c>
      <c r="K4495" s="3">
        <v>25.0</v>
      </c>
      <c r="L4495" s="3" t="s">
        <v>31</v>
      </c>
    </row>
    <row r="4496" ht="15.75" customHeight="1">
      <c r="A4496" s="3" t="s">
        <v>4588</v>
      </c>
      <c r="B4496" s="3" t="s">
        <v>51</v>
      </c>
      <c r="C4496" s="3" t="s">
        <v>26</v>
      </c>
      <c r="D4496" s="3">
        <v>98455.19</v>
      </c>
      <c r="E4496" s="3">
        <v>29262.58</v>
      </c>
      <c r="F4496" s="3">
        <v>36551.432535299</v>
      </c>
      <c r="G4496" s="3">
        <v>15565.89</v>
      </c>
      <c r="H4496" s="3">
        <v>-143640.147885925</v>
      </c>
      <c r="I4496" s="3">
        <v>67809.5301136744</v>
      </c>
      <c r="J4496" s="4">
        <v>45839.0</v>
      </c>
      <c r="K4496" s="3">
        <v>17.0</v>
      </c>
      <c r="L4496" s="3" t="s">
        <v>34</v>
      </c>
    </row>
    <row r="4497" ht="15.75" customHeight="1">
      <c r="A4497" s="3" t="s">
        <v>4589</v>
      </c>
      <c r="B4497" s="3" t="s">
        <v>36</v>
      </c>
      <c r="C4497" s="3" t="s">
        <v>30</v>
      </c>
      <c r="D4497" s="3">
        <v>67776.89</v>
      </c>
      <c r="E4497" s="3">
        <v>24032.73</v>
      </c>
      <c r="F4497" s="3">
        <v>36559.1125387285</v>
      </c>
      <c r="G4497" s="3">
        <v>24441.1</v>
      </c>
      <c r="H4497" s="3">
        <v>-143689.651603674</v>
      </c>
      <c r="I4497" s="3">
        <v>67812.9115880943</v>
      </c>
      <c r="J4497" s="4">
        <v>45689.0</v>
      </c>
      <c r="K4497" s="3">
        <v>9.0</v>
      </c>
      <c r="L4497" s="3" t="s">
        <v>38</v>
      </c>
    </row>
    <row r="4498" ht="15.75" customHeight="1">
      <c r="A4498" s="3" t="s">
        <v>4590</v>
      </c>
      <c r="B4498" s="3" t="s">
        <v>29</v>
      </c>
      <c r="C4498" s="3" t="s">
        <v>54</v>
      </c>
      <c r="D4498" s="3">
        <v>75574.91</v>
      </c>
      <c r="E4498" s="3">
        <v>16910.38</v>
      </c>
      <c r="F4498" s="3">
        <v>36566.792542158</v>
      </c>
      <c r="G4498" s="3">
        <v>3227.2</v>
      </c>
      <c r="H4498" s="3">
        <v>-143739.155321423</v>
      </c>
      <c r="I4498" s="3">
        <v>67816.2930625141</v>
      </c>
      <c r="J4498" s="4">
        <v>45689.0</v>
      </c>
      <c r="K4498" s="3">
        <v>22.0</v>
      </c>
      <c r="L4498" s="3" t="s">
        <v>40</v>
      </c>
    </row>
    <row r="4499" ht="15.75" customHeight="1">
      <c r="A4499" s="3" t="s">
        <v>4591</v>
      </c>
      <c r="B4499" s="3" t="s">
        <v>17</v>
      </c>
      <c r="C4499" s="3" t="s">
        <v>54</v>
      </c>
      <c r="D4499" s="3">
        <v>35500.51</v>
      </c>
      <c r="E4499" s="3">
        <v>4753.63</v>
      </c>
      <c r="F4499" s="3">
        <v>36582.152549017</v>
      </c>
      <c r="G4499" s="3">
        <v>12090.82</v>
      </c>
      <c r="H4499" s="3">
        <v>-143838.162756921</v>
      </c>
      <c r="I4499" s="3">
        <v>67823.0560113537</v>
      </c>
      <c r="J4499" s="4">
        <v>45931.0</v>
      </c>
      <c r="K4499" s="3">
        <v>13.0</v>
      </c>
      <c r="L4499" s="3" t="s">
        <v>15</v>
      </c>
    </row>
    <row r="4500" ht="15.75" customHeight="1">
      <c r="A4500" s="3" t="s">
        <v>4592</v>
      </c>
      <c r="B4500" s="3" t="s">
        <v>53</v>
      </c>
      <c r="C4500" s="3" t="s">
        <v>54</v>
      </c>
      <c r="D4500" s="3">
        <v>90857.47</v>
      </c>
      <c r="E4500" s="3">
        <v>15367.83</v>
      </c>
      <c r="F4500" s="3">
        <v>36589.8325524465</v>
      </c>
      <c r="G4500" s="3">
        <v>24231.04</v>
      </c>
      <c r="H4500" s="3">
        <v>-143887.66647467</v>
      </c>
      <c r="I4500" s="3">
        <v>67826.4374857735</v>
      </c>
      <c r="J4500" s="4">
        <v>45992.0</v>
      </c>
      <c r="K4500" s="3">
        <v>14.0</v>
      </c>
      <c r="L4500" s="3" t="s">
        <v>19</v>
      </c>
    </row>
    <row r="4501" ht="15.75" customHeight="1">
      <c r="A4501" s="3" t="s">
        <v>4593</v>
      </c>
      <c r="B4501" s="3" t="s">
        <v>53</v>
      </c>
      <c r="C4501" s="3" t="s">
        <v>14</v>
      </c>
      <c r="D4501" s="3">
        <v>44481.1</v>
      </c>
      <c r="E4501" s="3">
        <v>6047.73</v>
      </c>
      <c r="F4501" s="3">
        <v>36597.512555876</v>
      </c>
      <c r="G4501" s="3">
        <v>19409.34</v>
      </c>
      <c r="H4501" s="3">
        <v>-143937.170192419</v>
      </c>
      <c r="I4501" s="3">
        <v>67829.8189601933</v>
      </c>
      <c r="J4501" s="4">
        <v>45809.0</v>
      </c>
      <c r="K4501" s="3">
        <v>20.0</v>
      </c>
      <c r="L4501" s="3" t="s">
        <v>21</v>
      </c>
    </row>
    <row r="4502" ht="15.75" customHeight="1">
      <c r="A4502" s="3" t="s">
        <v>4594</v>
      </c>
      <c r="B4502" s="3" t="s">
        <v>17</v>
      </c>
      <c r="C4502" s="3" t="s">
        <v>14</v>
      </c>
      <c r="D4502" s="3">
        <v>17553.18</v>
      </c>
      <c r="E4502" s="3">
        <v>31594.98</v>
      </c>
      <c r="F4502" s="3">
        <v>36605.1925593055</v>
      </c>
      <c r="G4502" s="3">
        <v>22506.62</v>
      </c>
      <c r="H4502" s="3">
        <v>-143986.673910169</v>
      </c>
      <c r="I4502" s="3">
        <v>67833.2004346131</v>
      </c>
      <c r="J4502" s="4">
        <v>45689.0</v>
      </c>
      <c r="K4502" s="3">
        <v>6.0</v>
      </c>
      <c r="L4502" s="3" t="s">
        <v>23</v>
      </c>
    </row>
    <row r="4503" ht="15.75" customHeight="1">
      <c r="A4503" s="3" t="s">
        <v>4595</v>
      </c>
      <c r="B4503" s="3" t="s">
        <v>13</v>
      </c>
      <c r="C4503" s="3" t="s">
        <v>26</v>
      </c>
      <c r="D4503" s="3">
        <v>82774.59</v>
      </c>
      <c r="E4503" s="3">
        <v>29275.87</v>
      </c>
      <c r="F4503" s="3">
        <v>36612.872562735</v>
      </c>
      <c r="G4503" s="3">
        <v>8676.01</v>
      </c>
      <c r="H4503" s="3">
        <v>-144036.177627918</v>
      </c>
      <c r="I4503" s="3">
        <v>67836.581909033</v>
      </c>
      <c r="J4503" s="4">
        <v>45748.0</v>
      </c>
      <c r="K4503" s="3">
        <v>14.0</v>
      </c>
      <c r="L4503" s="3" t="s">
        <v>27</v>
      </c>
    </row>
    <row r="4504" ht="15.75" customHeight="1">
      <c r="A4504" s="3" t="s">
        <v>4596</v>
      </c>
      <c r="B4504" s="3" t="s">
        <v>29</v>
      </c>
      <c r="C4504" s="3" t="s">
        <v>54</v>
      </c>
      <c r="D4504" s="3">
        <v>33596.62</v>
      </c>
      <c r="E4504" s="3">
        <v>15928.68</v>
      </c>
      <c r="F4504" s="3">
        <v>36620.5525661645</v>
      </c>
      <c r="G4504" s="3">
        <v>24804.94</v>
      </c>
      <c r="H4504" s="3">
        <v>-144085.681345667</v>
      </c>
      <c r="I4504" s="3">
        <v>67839.9633834528</v>
      </c>
      <c r="J4504" s="4">
        <v>45809.0</v>
      </c>
      <c r="K4504" s="3">
        <v>25.0</v>
      </c>
      <c r="L4504" s="3" t="s">
        <v>31</v>
      </c>
    </row>
    <row r="4505" ht="15.75" customHeight="1">
      <c r="A4505" s="3" t="s">
        <v>4597</v>
      </c>
      <c r="B4505" s="3" t="s">
        <v>51</v>
      </c>
      <c r="C4505" s="3" t="s">
        <v>26</v>
      </c>
      <c r="D4505" s="3">
        <v>113748.15</v>
      </c>
      <c r="E4505" s="3">
        <v>28323.86</v>
      </c>
      <c r="F4505" s="3">
        <v>36628.232569594</v>
      </c>
      <c r="G4505" s="3">
        <v>3019.4</v>
      </c>
      <c r="H4505" s="3">
        <v>-144135.185063416</v>
      </c>
      <c r="I4505" s="3">
        <v>67843.3448578726</v>
      </c>
      <c r="J4505" s="4">
        <v>45931.0</v>
      </c>
      <c r="K4505" s="3">
        <v>11.0</v>
      </c>
      <c r="L4505" s="3" t="s">
        <v>34</v>
      </c>
    </row>
    <row r="4506" ht="15.75" customHeight="1">
      <c r="A4506" s="3" t="s">
        <v>4598</v>
      </c>
      <c r="B4506" s="3" t="s">
        <v>13</v>
      </c>
      <c r="C4506" s="3" t="s">
        <v>14</v>
      </c>
      <c r="D4506" s="3">
        <v>115162.5</v>
      </c>
      <c r="E4506" s="3">
        <v>18253.74</v>
      </c>
      <c r="F4506" s="3">
        <v>36635.9125730235</v>
      </c>
      <c r="G4506" s="3">
        <v>1797.84</v>
      </c>
      <c r="H4506" s="3">
        <v>-144184.688781165</v>
      </c>
      <c r="I4506" s="3">
        <v>67846.7263322924</v>
      </c>
      <c r="J4506" s="4">
        <v>45931.0</v>
      </c>
      <c r="K4506" s="3">
        <v>2.0</v>
      </c>
      <c r="L4506" s="3" t="s">
        <v>38</v>
      </c>
    </row>
    <row r="4507" ht="15.75" customHeight="1">
      <c r="A4507" s="3" t="s">
        <v>4599</v>
      </c>
      <c r="B4507" s="3" t="s">
        <v>17</v>
      </c>
      <c r="C4507" s="3" t="s">
        <v>54</v>
      </c>
      <c r="D4507" s="3">
        <v>111060.76</v>
      </c>
      <c r="E4507" s="3">
        <v>31225.14</v>
      </c>
      <c r="F4507" s="3">
        <v>36643.592576453</v>
      </c>
      <c r="G4507" s="3">
        <v>21462.26</v>
      </c>
      <c r="H4507" s="3">
        <v>-144234.192498914</v>
      </c>
      <c r="I4507" s="3">
        <v>67850.1078067122</v>
      </c>
      <c r="J4507" s="4">
        <v>45839.0</v>
      </c>
      <c r="K4507" s="3">
        <v>4.0</v>
      </c>
      <c r="L4507" s="3" t="s">
        <v>40</v>
      </c>
    </row>
    <row r="4508" ht="15.75" customHeight="1">
      <c r="A4508" s="3" t="s">
        <v>4600</v>
      </c>
      <c r="B4508" s="3" t="s">
        <v>29</v>
      </c>
      <c r="C4508" s="3" t="s">
        <v>33</v>
      </c>
      <c r="D4508" s="3">
        <v>53866.66</v>
      </c>
      <c r="E4508" s="3">
        <v>20350.61</v>
      </c>
      <c r="F4508" s="3">
        <v>36651.2725798825</v>
      </c>
      <c r="G4508" s="3">
        <v>23217.99</v>
      </c>
      <c r="H4508" s="3">
        <v>-144283.696216663</v>
      </c>
      <c r="I4508" s="3">
        <v>67853.489281132</v>
      </c>
      <c r="J4508" s="4">
        <v>45778.0</v>
      </c>
      <c r="K4508" s="3">
        <v>25.0</v>
      </c>
      <c r="L4508" s="3" t="s">
        <v>42</v>
      </c>
    </row>
    <row r="4509" ht="15.75" customHeight="1">
      <c r="A4509" s="3" t="s">
        <v>4601</v>
      </c>
      <c r="B4509" s="3" t="s">
        <v>36</v>
      </c>
      <c r="C4509" s="3" t="s">
        <v>30</v>
      </c>
      <c r="D4509" s="3">
        <v>16622.94</v>
      </c>
      <c r="E4509" s="3">
        <v>18842.07</v>
      </c>
      <c r="F4509" s="3">
        <v>36658.952583312</v>
      </c>
      <c r="G4509" s="3">
        <v>2719.34</v>
      </c>
      <c r="H4509" s="3">
        <v>-144333.199934412</v>
      </c>
      <c r="I4509" s="3">
        <v>67856.8707555518</v>
      </c>
      <c r="J4509" s="4">
        <v>45778.0</v>
      </c>
      <c r="K4509" s="3">
        <v>5.0</v>
      </c>
      <c r="L4509" s="3" t="s">
        <v>15</v>
      </c>
    </row>
    <row r="4510" ht="15.75" customHeight="1">
      <c r="A4510" s="3" t="s">
        <v>4602</v>
      </c>
      <c r="B4510" s="3" t="s">
        <v>36</v>
      </c>
      <c r="C4510" s="3" t="s">
        <v>33</v>
      </c>
      <c r="D4510" s="3">
        <v>112473.45</v>
      </c>
      <c r="E4510" s="3">
        <v>37650.28</v>
      </c>
      <c r="F4510" s="3">
        <v>36666.6325867415</v>
      </c>
      <c r="G4510" s="3">
        <v>3278.97</v>
      </c>
      <c r="H4510" s="3">
        <v>-144382.703652162</v>
      </c>
      <c r="I4510" s="3">
        <v>67860.2522299717</v>
      </c>
      <c r="J4510" s="4">
        <v>45658.0</v>
      </c>
      <c r="K4510" s="3">
        <v>24.0</v>
      </c>
      <c r="L4510" s="3" t="s">
        <v>19</v>
      </c>
    </row>
    <row r="4511" ht="15.75" customHeight="1">
      <c r="A4511" s="3" t="s">
        <v>4603</v>
      </c>
      <c r="B4511" s="3" t="s">
        <v>29</v>
      </c>
      <c r="C4511" s="3" t="s">
        <v>37</v>
      </c>
      <c r="D4511" s="3">
        <v>59959.34</v>
      </c>
      <c r="E4511" s="3">
        <v>13031.65</v>
      </c>
      <c r="F4511" s="3">
        <v>36674.312590171</v>
      </c>
      <c r="G4511" s="3">
        <v>1312.77</v>
      </c>
      <c r="H4511" s="3">
        <v>-144432.207369911</v>
      </c>
      <c r="I4511" s="3">
        <v>67863.6337043915</v>
      </c>
      <c r="J4511" s="4">
        <v>45748.0</v>
      </c>
      <c r="K4511" s="3">
        <v>1.0</v>
      </c>
      <c r="L4511" s="3" t="s">
        <v>21</v>
      </c>
    </row>
    <row r="4512" ht="15.75" customHeight="1">
      <c r="A4512" s="3" t="s">
        <v>4604</v>
      </c>
      <c r="B4512" s="3" t="s">
        <v>51</v>
      </c>
      <c r="C4512" s="3" t="s">
        <v>33</v>
      </c>
      <c r="D4512" s="3">
        <v>116498.76</v>
      </c>
      <c r="E4512" s="3">
        <v>8336.1</v>
      </c>
      <c r="F4512" s="3">
        <v>36681.9925936005</v>
      </c>
      <c r="G4512" s="3">
        <v>3060.44</v>
      </c>
      <c r="H4512" s="3">
        <v>-144481.71108766</v>
      </c>
      <c r="I4512" s="3">
        <v>67867.0151788113</v>
      </c>
      <c r="J4512" s="4">
        <v>45992.0</v>
      </c>
      <c r="K4512" s="3">
        <v>12.0</v>
      </c>
      <c r="L4512" s="3" t="s">
        <v>23</v>
      </c>
    </row>
    <row r="4513" ht="15.75" customHeight="1">
      <c r="A4513" s="3" t="s">
        <v>4605</v>
      </c>
      <c r="B4513" s="3" t="s">
        <v>53</v>
      </c>
      <c r="C4513" s="3" t="s">
        <v>26</v>
      </c>
      <c r="D4513" s="3">
        <v>116180.1</v>
      </c>
      <c r="E4513" s="3">
        <v>25043.55</v>
      </c>
      <c r="F4513" s="3">
        <v>36689.67259703</v>
      </c>
      <c r="G4513" s="3">
        <v>5630.79</v>
      </c>
      <c r="H4513" s="3">
        <v>-144531.214805409</v>
      </c>
      <c r="I4513" s="3">
        <v>67870.3966532311</v>
      </c>
      <c r="J4513" s="4">
        <v>45931.0</v>
      </c>
      <c r="K4513" s="3">
        <v>17.0</v>
      </c>
      <c r="L4513" s="3" t="s">
        <v>27</v>
      </c>
    </row>
    <row r="4514" ht="15.75" customHeight="1">
      <c r="A4514" s="3" t="s">
        <v>4606</v>
      </c>
      <c r="B4514" s="3" t="s">
        <v>53</v>
      </c>
      <c r="C4514" s="3" t="s">
        <v>14</v>
      </c>
      <c r="D4514" s="3">
        <v>45917.13</v>
      </c>
      <c r="E4514" s="3">
        <v>17602.21</v>
      </c>
      <c r="F4514" s="3">
        <v>36705.032603889</v>
      </c>
      <c r="G4514" s="3">
        <v>16862.58</v>
      </c>
      <c r="H4514" s="3">
        <v>-144630.222240907</v>
      </c>
      <c r="I4514" s="3">
        <v>67877.1596020707</v>
      </c>
      <c r="J4514" s="4">
        <v>45992.0</v>
      </c>
      <c r="K4514" s="3">
        <v>12.0</v>
      </c>
      <c r="L4514" s="3" t="s">
        <v>34</v>
      </c>
    </row>
    <row r="4515" ht="15.75" customHeight="1">
      <c r="A4515" s="3" t="s">
        <v>4607</v>
      </c>
      <c r="B4515" s="3" t="s">
        <v>51</v>
      </c>
      <c r="C4515" s="3" t="s">
        <v>30</v>
      </c>
      <c r="D4515" s="3">
        <v>55435.26</v>
      </c>
      <c r="E4515" s="3">
        <v>6233.32</v>
      </c>
      <c r="F4515" s="3">
        <v>36712.7126073184</v>
      </c>
      <c r="G4515" s="3">
        <v>19574.55</v>
      </c>
      <c r="H4515" s="3">
        <v>-144679.725958656</v>
      </c>
      <c r="I4515" s="3">
        <v>67880.5410764906</v>
      </c>
      <c r="J4515" s="4">
        <v>45839.0</v>
      </c>
      <c r="K4515" s="3">
        <v>2.0</v>
      </c>
      <c r="L4515" s="3" t="s">
        <v>38</v>
      </c>
    </row>
    <row r="4516" ht="15.75" customHeight="1">
      <c r="A4516" s="3" t="s">
        <v>4608</v>
      </c>
      <c r="B4516" s="3" t="s">
        <v>17</v>
      </c>
      <c r="C4516" s="3" t="s">
        <v>14</v>
      </c>
      <c r="D4516" s="3">
        <v>104369.35</v>
      </c>
      <c r="E4516" s="3">
        <v>16214.99</v>
      </c>
      <c r="F4516" s="3">
        <v>36720.3926107479</v>
      </c>
      <c r="G4516" s="3">
        <v>19515.42</v>
      </c>
      <c r="H4516" s="3">
        <v>-144729.229676405</v>
      </c>
      <c r="I4516" s="3">
        <v>67883.9225509104</v>
      </c>
      <c r="J4516" s="4">
        <v>45809.0</v>
      </c>
      <c r="K4516" s="3">
        <v>11.0</v>
      </c>
      <c r="L4516" s="3" t="s">
        <v>40</v>
      </c>
    </row>
    <row r="4517" ht="15.75" customHeight="1">
      <c r="A4517" s="3" t="s">
        <v>4609</v>
      </c>
      <c r="B4517" s="3" t="s">
        <v>51</v>
      </c>
      <c r="C4517" s="3" t="s">
        <v>33</v>
      </c>
      <c r="D4517" s="3">
        <v>48276.81</v>
      </c>
      <c r="E4517" s="3">
        <v>22213.54</v>
      </c>
      <c r="F4517" s="3">
        <v>36728.0726141774</v>
      </c>
      <c r="G4517" s="3">
        <v>13609.31</v>
      </c>
      <c r="H4517" s="3">
        <v>-144778.733394155</v>
      </c>
      <c r="I4517" s="3">
        <v>67887.3040253302</v>
      </c>
      <c r="J4517" s="4">
        <v>45748.0</v>
      </c>
      <c r="K4517" s="3">
        <v>23.0</v>
      </c>
      <c r="L4517" s="3" t="s">
        <v>42</v>
      </c>
    </row>
    <row r="4518" ht="15.75" customHeight="1">
      <c r="A4518" s="3" t="s">
        <v>4610</v>
      </c>
      <c r="B4518" s="3" t="s">
        <v>51</v>
      </c>
      <c r="C4518" s="3" t="s">
        <v>54</v>
      </c>
      <c r="D4518" s="3">
        <v>32796.74</v>
      </c>
      <c r="E4518" s="3">
        <v>9829.23</v>
      </c>
      <c r="F4518" s="3">
        <v>36735.7526176069</v>
      </c>
      <c r="G4518" s="3">
        <v>20038.48</v>
      </c>
      <c r="H4518" s="3">
        <v>-144828.237111904</v>
      </c>
      <c r="I4518" s="3">
        <v>67890.68549975</v>
      </c>
      <c r="J4518" s="4">
        <v>45717.0</v>
      </c>
      <c r="K4518" s="3">
        <v>21.0</v>
      </c>
      <c r="L4518" s="3" t="s">
        <v>15</v>
      </c>
    </row>
    <row r="4519" ht="15.75" customHeight="1">
      <c r="A4519" s="3" t="s">
        <v>4611</v>
      </c>
      <c r="B4519" s="3" t="s">
        <v>29</v>
      </c>
      <c r="C4519" s="3" t="s">
        <v>26</v>
      </c>
      <c r="D4519" s="3">
        <v>73464.13</v>
      </c>
      <c r="E4519" s="3">
        <v>27691.68</v>
      </c>
      <c r="F4519" s="3">
        <v>36743.4326210364</v>
      </c>
      <c r="G4519" s="3">
        <v>15097.28</v>
      </c>
      <c r="H4519" s="3">
        <v>-144877.740829653</v>
      </c>
      <c r="I4519" s="3">
        <v>67894.0669741698</v>
      </c>
      <c r="J4519" s="4">
        <v>45962.0</v>
      </c>
      <c r="K4519" s="3">
        <v>25.0</v>
      </c>
      <c r="L4519" s="3" t="s">
        <v>19</v>
      </c>
    </row>
    <row r="4520" ht="15.75" customHeight="1">
      <c r="A4520" s="3" t="s">
        <v>4612</v>
      </c>
      <c r="B4520" s="3" t="s">
        <v>25</v>
      </c>
      <c r="C4520" s="3" t="s">
        <v>30</v>
      </c>
      <c r="D4520" s="3">
        <v>113296.25</v>
      </c>
      <c r="E4520" s="3">
        <v>39918.98</v>
      </c>
      <c r="F4520" s="3">
        <v>36751.1126244659</v>
      </c>
      <c r="G4520" s="3">
        <v>8206.38</v>
      </c>
      <c r="H4520" s="3">
        <v>-144927.244547402</v>
      </c>
      <c r="I4520" s="3">
        <v>67897.4484485896</v>
      </c>
      <c r="J4520" s="4">
        <v>45931.0</v>
      </c>
      <c r="K4520" s="3">
        <v>8.0</v>
      </c>
      <c r="L4520" s="3" t="s">
        <v>21</v>
      </c>
    </row>
    <row r="4521" ht="15.75" customHeight="1">
      <c r="A4521" s="3" t="s">
        <v>4613</v>
      </c>
      <c r="B4521" s="3" t="s">
        <v>29</v>
      </c>
      <c r="C4521" s="3" t="s">
        <v>18</v>
      </c>
      <c r="D4521" s="3">
        <v>88083.13</v>
      </c>
      <c r="E4521" s="3">
        <v>20262.62</v>
      </c>
      <c r="F4521" s="3">
        <v>36758.7926278954</v>
      </c>
      <c r="G4521" s="3">
        <v>14247.2</v>
      </c>
      <c r="H4521" s="3">
        <v>-144976.748265151</v>
      </c>
      <c r="I4521" s="3">
        <v>67900.8299230094</v>
      </c>
      <c r="J4521" s="4">
        <v>45962.0</v>
      </c>
      <c r="K4521" s="3">
        <v>3.0</v>
      </c>
      <c r="L4521" s="3" t="s">
        <v>23</v>
      </c>
    </row>
    <row r="4522" ht="15.75" customHeight="1">
      <c r="A4522" s="3" t="s">
        <v>4614</v>
      </c>
      <c r="B4522" s="3" t="s">
        <v>36</v>
      </c>
      <c r="C4522" s="3" t="s">
        <v>37</v>
      </c>
      <c r="D4522" s="3">
        <v>74856.42</v>
      </c>
      <c r="E4522" s="3">
        <v>16770.23</v>
      </c>
      <c r="F4522" s="3">
        <v>36766.4726313249</v>
      </c>
      <c r="G4522" s="3">
        <v>13570.96</v>
      </c>
      <c r="H4522" s="3">
        <v>-145026.2519829</v>
      </c>
      <c r="I4522" s="3">
        <v>67904.2113974293</v>
      </c>
      <c r="J4522" s="4">
        <v>45689.0</v>
      </c>
      <c r="K4522" s="3">
        <v>4.0</v>
      </c>
      <c r="L4522" s="3" t="s">
        <v>27</v>
      </c>
    </row>
    <row r="4523" ht="15.75" customHeight="1">
      <c r="A4523" s="3" t="s">
        <v>4615</v>
      </c>
      <c r="B4523" s="3" t="s">
        <v>17</v>
      </c>
      <c r="C4523" s="3" t="s">
        <v>30</v>
      </c>
      <c r="D4523" s="3">
        <v>25203.53</v>
      </c>
      <c r="E4523" s="3">
        <v>18425.35</v>
      </c>
      <c r="F4523" s="3">
        <v>36774.1526347544</v>
      </c>
      <c r="G4523" s="3">
        <v>20674.6</v>
      </c>
      <c r="H4523" s="3">
        <v>-145075.755700649</v>
      </c>
      <c r="I4523" s="3">
        <v>67907.5928718491</v>
      </c>
      <c r="J4523" s="4">
        <v>45809.0</v>
      </c>
      <c r="K4523" s="3">
        <v>16.0</v>
      </c>
      <c r="L4523" s="3" t="s">
        <v>31</v>
      </c>
    </row>
    <row r="4524" ht="15.75" customHeight="1">
      <c r="A4524" s="3" t="s">
        <v>4616</v>
      </c>
      <c r="B4524" s="3" t="s">
        <v>13</v>
      </c>
      <c r="C4524" s="3" t="s">
        <v>54</v>
      </c>
      <c r="D4524" s="3">
        <v>79575.76</v>
      </c>
      <c r="E4524" s="3">
        <v>8145.26</v>
      </c>
      <c r="F4524" s="3">
        <v>36781.8326381839</v>
      </c>
      <c r="G4524" s="3">
        <v>24552.32</v>
      </c>
      <c r="H4524" s="3">
        <v>-145125.259418398</v>
      </c>
      <c r="I4524" s="3">
        <v>67910.9743462689</v>
      </c>
      <c r="J4524" s="4">
        <v>45778.0</v>
      </c>
      <c r="K4524" s="3">
        <v>10.0</v>
      </c>
      <c r="L4524" s="3" t="s">
        <v>34</v>
      </c>
    </row>
    <row r="4525" ht="15.75" customHeight="1">
      <c r="A4525" s="3" t="s">
        <v>4617</v>
      </c>
      <c r="B4525" s="3" t="s">
        <v>29</v>
      </c>
      <c r="C4525" s="3" t="s">
        <v>33</v>
      </c>
      <c r="D4525" s="3">
        <v>118955.65</v>
      </c>
      <c r="E4525" s="3">
        <v>35797.85</v>
      </c>
      <c r="F4525" s="3">
        <v>36789.5126416134</v>
      </c>
      <c r="G4525" s="3">
        <v>10570.54</v>
      </c>
      <c r="H4525" s="3">
        <v>-145174.763136148</v>
      </c>
      <c r="I4525" s="3">
        <v>67914.3558206887</v>
      </c>
      <c r="J4525" s="3" t="s">
        <v>1542</v>
      </c>
      <c r="K4525" s="3">
        <v>5.0</v>
      </c>
      <c r="L4525" s="3" t="s">
        <v>38</v>
      </c>
    </row>
    <row r="4526" ht="15.75" customHeight="1">
      <c r="A4526" s="3" t="s">
        <v>4618</v>
      </c>
      <c r="B4526" s="3" t="s">
        <v>17</v>
      </c>
      <c r="C4526" s="3" t="s">
        <v>18</v>
      </c>
      <c r="D4526" s="3">
        <v>29708.82</v>
      </c>
      <c r="E4526" s="3">
        <v>18933.72</v>
      </c>
      <c r="F4526" s="3">
        <v>36797.1926450429</v>
      </c>
      <c r="G4526" s="3">
        <v>19203.07</v>
      </c>
      <c r="H4526" s="3">
        <v>-145224.266853897</v>
      </c>
      <c r="I4526" s="3">
        <v>67917.7372951085</v>
      </c>
      <c r="J4526" s="4">
        <v>45658.0</v>
      </c>
      <c r="K4526" s="3">
        <v>14.0</v>
      </c>
      <c r="L4526" s="3" t="s">
        <v>40</v>
      </c>
    </row>
    <row r="4527" ht="15.75" customHeight="1">
      <c r="A4527" s="3" t="s">
        <v>4619</v>
      </c>
      <c r="B4527" s="3" t="s">
        <v>25</v>
      </c>
      <c r="C4527" s="3" t="s">
        <v>30</v>
      </c>
      <c r="D4527" s="3">
        <v>69424.61</v>
      </c>
      <c r="E4527" s="3">
        <v>17941.88</v>
      </c>
      <c r="F4527" s="3">
        <v>36804.8726484724</v>
      </c>
      <c r="G4527" s="3">
        <v>2944.19</v>
      </c>
      <c r="H4527" s="3">
        <v>-145273.770571646</v>
      </c>
      <c r="I4527" s="3">
        <v>67921.1187695283</v>
      </c>
      <c r="J4527" s="4">
        <v>45901.0</v>
      </c>
      <c r="K4527" s="3">
        <v>1.0</v>
      </c>
      <c r="L4527" s="3" t="s">
        <v>42</v>
      </c>
    </row>
    <row r="4528" ht="15.75" customHeight="1">
      <c r="A4528" s="3" t="s">
        <v>4620</v>
      </c>
      <c r="B4528" s="3" t="s">
        <v>17</v>
      </c>
      <c r="C4528" s="3" t="s">
        <v>14</v>
      </c>
      <c r="D4528" s="3">
        <v>107124.17</v>
      </c>
      <c r="E4528" s="3">
        <v>27748.85</v>
      </c>
      <c r="F4528" s="3">
        <v>36812.5526519019</v>
      </c>
      <c r="G4528" s="3">
        <v>19532.37</v>
      </c>
      <c r="H4528" s="3">
        <v>-145323.274289395</v>
      </c>
      <c r="I4528" s="3">
        <v>67924.5002439481</v>
      </c>
      <c r="J4528" s="4">
        <v>45992.0</v>
      </c>
      <c r="K4528" s="3">
        <v>9.0</v>
      </c>
      <c r="L4528" s="3" t="s">
        <v>15</v>
      </c>
    </row>
    <row r="4529" ht="15.75" customHeight="1">
      <c r="A4529" s="3" t="s">
        <v>4621</v>
      </c>
      <c r="B4529" s="3" t="s">
        <v>53</v>
      </c>
      <c r="C4529" s="3" t="s">
        <v>33</v>
      </c>
      <c r="D4529" s="3">
        <v>92780.7</v>
      </c>
      <c r="E4529" s="3">
        <v>19913.2</v>
      </c>
      <c r="F4529" s="3">
        <v>36820.2326553314</v>
      </c>
      <c r="G4529" s="3">
        <v>9599.71</v>
      </c>
      <c r="H4529" s="3">
        <v>-145372.778007144</v>
      </c>
      <c r="I4529" s="3">
        <v>67927.8817183679</v>
      </c>
      <c r="J4529" s="4">
        <v>45870.0</v>
      </c>
      <c r="K4529" s="3">
        <v>23.0</v>
      </c>
      <c r="L4529" s="3" t="s">
        <v>19</v>
      </c>
    </row>
    <row r="4530" ht="15.75" customHeight="1">
      <c r="A4530" s="3" t="s">
        <v>4622</v>
      </c>
      <c r="B4530" s="3" t="s">
        <v>53</v>
      </c>
      <c r="C4530" s="3" t="s">
        <v>26</v>
      </c>
      <c r="D4530" s="3">
        <v>88186.65</v>
      </c>
      <c r="E4530" s="3">
        <v>27336.4</v>
      </c>
      <c r="F4530" s="3">
        <v>36827.9126587609</v>
      </c>
      <c r="G4530" s="3">
        <v>1465.06</v>
      </c>
      <c r="H4530" s="3">
        <v>-145422.281724893</v>
      </c>
      <c r="I4530" s="3">
        <v>67931.2631927878</v>
      </c>
      <c r="J4530" s="4">
        <v>45839.0</v>
      </c>
      <c r="K4530" s="3">
        <v>23.0</v>
      </c>
      <c r="L4530" s="3" t="s">
        <v>21</v>
      </c>
    </row>
    <row r="4531" ht="15.75" customHeight="1">
      <c r="A4531" s="3" t="s">
        <v>4623</v>
      </c>
      <c r="B4531" s="3" t="s">
        <v>53</v>
      </c>
      <c r="C4531" s="3" t="s">
        <v>37</v>
      </c>
      <c r="D4531" s="3">
        <v>88760.83</v>
      </c>
      <c r="E4531" s="3">
        <v>6212.07</v>
      </c>
      <c r="F4531" s="3">
        <v>36835.5926621904</v>
      </c>
      <c r="G4531" s="3">
        <v>9399.53</v>
      </c>
      <c r="H4531" s="3">
        <v>-145471.785442642</v>
      </c>
      <c r="I4531" s="3">
        <v>67934.6446672076</v>
      </c>
      <c r="J4531" s="4">
        <v>45962.0</v>
      </c>
      <c r="K4531" s="3">
        <v>19.0</v>
      </c>
      <c r="L4531" s="3" t="s">
        <v>23</v>
      </c>
    </row>
    <row r="4532" ht="15.75" customHeight="1">
      <c r="A4532" s="3" t="s">
        <v>4624</v>
      </c>
      <c r="B4532" s="3" t="s">
        <v>36</v>
      </c>
      <c r="C4532" s="3" t="s">
        <v>18</v>
      </c>
      <c r="D4532" s="3">
        <v>52746.57</v>
      </c>
      <c r="E4532" s="3">
        <v>33294.04</v>
      </c>
      <c r="F4532" s="3">
        <v>36843.2726656199</v>
      </c>
      <c r="G4532" s="3">
        <v>15460.75</v>
      </c>
      <c r="H4532" s="3">
        <v>-145521.289160391</v>
      </c>
      <c r="I4532" s="3">
        <v>67938.0261416274</v>
      </c>
      <c r="J4532" s="4">
        <v>45778.0</v>
      </c>
      <c r="K4532" s="3">
        <v>19.0</v>
      </c>
      <c r="L4532" s="3" t="s">
        <v>27</v>
      </c>
    </row>
    <row r="4533" ht="15.75" customHeight="1">
      <c r="A4533" s="3" t="s">
        <v>4625</v>
      </c>
      <c r="B4533" s="3" t="s">
        <v>29</v>
      </c>
      <c r="C4533" s="3" t="s">
        <v>18</v>
      </c>
      <c r="D4533" s="3">
        <v>45827.14</v>
      </c>
      <c r="E4533" s="3">
        <v>37858.14</v>
      </c>
      <c r="F4533" s="3">
        <v>36850.9526690494</v>
      </c>
      <c r="G4533" s="3">
        <v>3421.63</v>
      </c>
      <c r="H4533" s="3">
        <v>-145570.792878141</v>
      </c>
      <c r="I4533" s="3">
        <v>67941.4076160472</v>
      </c>
      <c r="J4533" s="4">
        <v>45809.0</v>
      </c>
      <c r="K4533" s="3">
        <v>9.0</v>
      </c>
      <c r="L4533" s="3" t="s">
        <v>31</v>
      </c>
    </row>
    <row r="4534" ht="15.75" customHeight="1">
      <c r="A4534" s="3" t="s">
        <v>4626</v>
      </c>
      <c r="B4534" s="3" t="s">
        <v>25</v>
      </c>
      <c r="C4534" s="3" t="s">
        <v>33</v>
      </c>
      <c r="D4534" s="5"/>
      <c r="E4534" s="3">
        <v>27355.55</v>
      </c>
      <c r="F4534" s="3">
        <v>36858.6326724789</v>
      </c>
      <c r="G4534" s="3">
        <v>23138.85</v>
      </c>
      <c r="H4534" s="3">
        <v>-145620.29659589</v>
      </c>
      <c r="I4534" s="3">
        <v>67944.789090467</v>
      </c>
      <c r="J4534" s="4">
        <v>45962.0</v>
      </c>
      <c r="K4534" s="3">
        <v>12.0</v>
      </c>
      <c r="L4534" s="3" t="s">
        <v>34</v>
      </c>
    </row>
    <row r="4535" ht="15.75" customHeight="1">
      <c r="A4535" s="3" t="s">
        <v>4627</v>
      </c>
      <c r="B4535" s="3" t="s">
        <v>29</v>
      </c>
      <c r="C4535" s="3" t="s">
        <v>54</v>
      </c>
      <c r="D4535" s="3">
        <v>100061.91</v>
      </c>
      <c r="E4535" s="3">
        <v>38364.37</v>
      </c>
      <c r="F4535" s="3">
        <v>36866.3126759084</v>
      </c>
      <c r="G4535" s="3">
        <v>2402.97</v>
      </c>
      <c r="H4535" s="3">
        <v>-145669.800313639</v>
      </c>
      <c r="I4535" s="3">
        <v>67948.1705648868</v>
      </c>
      <c r="J4535" s="4">
        <v>45778.0</v>
      </c>
      <c r="K4535" s="3">
        <v>23.0</v>
      </c>
      <c r="L4535" s="3" t="s">
        <v>38</v>
      </c>
    </row>
    <row r="4536" ht="15.75" customHeight="1">
      <c r="A4536" s="3" t="s">
        <v>4628</v>
      </c>
      <c r="B4536" s="3" t="s">
        <v>17</v>
      </c>
      <c r="C4536" s="3" t="s">
        <v>33</v>
      </c>
      <c r="D4536" s="3">
        <v>106042.59</v>
      </c>
      <c r="E4536" s="3">
        <v>9451.56</v>
      </c>
      <c r="F4536" s="3">
        <v>36873.9926793379</v>
      </c>
      <c r="G4536" s="3">
        <v>23285.16</v>
      </c>
      <c r="H4536" s="3">
        <v>-145719.304031388</v>
      </c>
      <c r="I4536" s="3">
        <v>67951.5520393067</v>
      </c>
      <c r="J4536" s="4">
        <v>45992.0</v>
      </c>
      <c r="K4536" s="3">
        <v>22.0</v>
      </c>
      <c r="L4536" s="3" t="s">
        <v>40</v>
      </c>
    </row>
    <row r="4537" ht="15.75" customHeight="1">
      <c r="A4537" s="3" t="s">
        <v>4629</v>
      </c>
      <c r="B4537" s="3" t="s">
        <v>53</v>
      </c>
      <c r="C4537" s="3" t="s">
        <v>18</v>
      </c>
      <c r="D4537" s="3">
        <v>110890.26</v>
      </c>
      <c r="E4537" s="3">
        <v>21186.98</v>
      </c>
      <c r="F4537" s="3">
        <v>36881.6726827675</v>
      </c>
      <c r="G4537" s="5"/>
      <c r="H4537" s="3">
        <v>-145768.807749137</v>
      </c>
      <c r="I4537" s="3">
        <v>67954.9335137265</v>
      </c>
      <c r="J4537" s="4">
        <v>45962.0</v>
      </c>
      <c r="K4537" s="3">
        <v>21.0</v>
      </c>
      <c r="L4537" s="3" t="s">
        <v>42</v>
      </c>
    </row>
    <row r="4538" ht="15.75" customHeight="1">
      <c r="A4538" s="3" t="s">
        <v>4630</v>
      </c>
      <c r="B4538" s="3" t="s">
        <v>53</v>
      </c>
      <c r="C4538" s="3" t="s">
        <v>14</v>
      </c>
      <c r="D4538" s="3">
        <v>68690.95</v>
      </c>
      <c r="E4538" s="3">
        <v>25665.04</v>
      </c>
      <c r="F4538" s="3">
        <v>36889.3526861969</v>
      </c>
      <c r="G4538" s="3">
        <v>8577.95</v>
      </c>
      <c r="H4538" s="3">
        <v>-145818.311466886</v>
      </c>
      <c r="I4538" s="3">
        <v>67958.3149881463</v>
      </c>
      <c r="J4538" s="4">
        <v>45748.0</v>
      </c>
      <c r="K4538" s="3">
        <v>17.0</v>
      </c>
      <c r="L4538" s="3" t="s">
        <v>15</v>
      </c>
    </row>
    <row r="4539" ht="15.75" customHeight="1">
      <c r="A4539" s="3" t="s">
        <v>4631</v>
      </c>
      <c r="B4539" s="3" t="s">
        <v>29</v>
      </c>
      <c r="C4539" s="3" t="s">
        <v>26</v>
      </c>
      <c r="D4539" s="3">
        <v>67659.21</v>
      </c>
      <c r="E4539" s="3">
        <v>24942.52</v>
      </c>
      <c r="F4539" s="3">
        <v>36897.0326896264</v>
      </c>
      <c r="G4539" s="3">
        <v>10073.38</v>
      </c>
      <c r="H4539" s="3">
        <v>-145867.815184635</v>
      </c>
      <c r="I4539" s="3">
        <v>67961.6964625661</v>
      </c>
      <c r="J4539" s="4">
        <v>45689.0</v>
      </c>
      <c r="K4539" s="3">
        <v>13.0</v>
      </c>
      <c r="L4539" s="3" t="s">
        <v>19</v>
      </c>
    </row>
    <row r="4540" ht="15.75" customHeight="1">
      <c r="A4540" s="3" t="s">
        <v>4632</v>
      </c>
      <c r="B4540" s="3" t="s">
        <v>36</v>
      </c>
      <c r="C4540" s="3" t="s">
        <v>37</v>
      </c>
      <c r="D4540" s="3">
        <v>98820.99</v>
      </c>
      <c r="E4540" s="3">
        <v>18452.62</v>
      </c>
      <c r="F4540" s="3">
        <v>36904.7126930559</v>
      </c>
      <c r="G4540" s="3">
        <v>18649.83</v>
      </c>
      <c r="H4540" s="3">
        <v>-145917.318902384</v>
      </c>
      <c r="I4540" s="3">
        <v>67965.0779369859</v>
      </c>
      <c r="J4540" s="4">
        <v>45992.0</v>
      </c>
      <c r="K4540" s="3">
        <v>4.0</v>
      </c>
      <c r="L4540" s="3" t="s">
        <v>21</v>
      </c>
    </row>
    <row r="4541" ht="15.75" customHeight="1">
      <c r="A4541" s="3" t="s">
        <v>4633</v>
      </c>
      <c r="B4541" s="3" t="s">
        <v>36</v>
      </c>
      <c r="C4541" s="3" t="s">
        <v>14</v>
      </c>
      <c r="D4541" s="3">
        <v>83246.21</v>
      </c>
      <c r="E4541" s="3">
        <v>16171.04</v>
      </c>
      <c r="F4541" s="3">
        <v>36912.3926964854</v>
      </c>
      <c r="G4541" s="3">
        <v>15236.04</v>
      </c>
      <c r="H4541" s="3">
        <v>-145966.822620134</v>
      </c>
      <c r="I4541" s="3">
        <v>67968.4594114057</v>
      </c>
      <c r="J4541" s="4">
        <v>45931.0</v>
      </c>
      <c r="K4541" s="3">
        <v>12.0</v>
      </c>
      <c r="L4541" s="3" t="s">
        <v>23</v>
      </c>
    </row>
    <row r="4542" ht="15.75" customHeight="1">
      <c r="A4542" s="3" t="s">
        <v>4634</v>
      </c>
      <c r="B4542" s="3" t="s">
        <v>36</v>
      </c>
      <c r="C4542" s="3" t="s">
        <v>18</v>
      </c>
      <c r="D4542" s="3">
        <v>88706.52</v>
      </c>
      <c r="E4542" s="3">
        <v>8565.66</v>
      </c>
      <c r="F4542" s="3">
        <v>36920.0726999149</v>
      </c>
      <c r="G4542" s="3">
        <v>16955.25</v>
      </c>
      <c r="H4542" s="3">
        <v>-146016.326337883</v>
      </c>
      <c r="I4542" s="3">
        <v>67971.8408858255</v>
      </c>
      <c r="J4542" s="4">
        <v>45717.0</v>
      </c>
      <c r="K4542" s="3">
        <v>9.0</v>
      </c>
      <c r="L4542" s="3" t="s">
        <v>27</v>
      </c>
    </row>
    <row r="4543" ht="15.75" customHeight="1">
      <c r="A4543" s="3" t="s">
        <v>4635</v>
      </c>
      <c r="B4543" s="3" t="s">
        <v>29</v>
      </c>
      <c r="C4543" s="3" t="s">
        <v>14</v>
      </c>
      <c r="D4543" s="3">
        <v>98558.23</v>
      </c>
      <c r="E4543" s="3">
        <v>18102.73</v>
      </c>
      <c r="F4543" s="3">
        <v>36927.7527033444</v>
      </c>
      <c r="G4543" s="3">
        <v>10034.53</v>
      </c>
      <c r="H4543" s="3">
        <v>-146065.830055632</v>
      </c>
      <c r="I4543" s="3">
        <v>67975.2223602454</v>
      </c>
      <c r="J4543" s="4">
        <v>45870.0</v>
      </c>
      <c r="K4543" s="3">
        <v>4.0</v>
      </c>
      <c r="L4543" s="3" t="s">
        <v>31</v>
      </c>
    </row>
    <row r="4544" ht="15.75" customHeight="1">
      <c r="A4544" s="3" t="s">
        <v>4636</v>
      </c>
      <c r="B4544" s="3" t="s">
        <v>25</v>
      </c>
      <c r="C4544" s="3" t="s">
        <v>54</v>
      </c>
      <c r="D4544" s="3">
        <v>108450.56</v>
      </c>
      <c r="E4544" s="3">
        <v>9855.79</v>
      </c>
      <c r="F4544" s="3">
        <v>36935.4327067739</v>
      </c>
      <c r="G4544" s="3">
        <v>12451.43</v>
      </c>
      <c r="H4544" s="3">
        <v>-146115.333773381</v>
      </c>
      <c r="I4544" s="3">
        <v>67978.6038346652</v>
      </c>
      <c r="J4544" s="4">
        <v>45748.0</v>
      </c>
      <c r="K4544" s="3">
        <v>10.0</v>
      </c>
      <c r="L4544" s="3" t="s">
        <v>34</v>
      </c>
    </row>
    <row r="4545" ht="15.75" customHeight="1">
      <c r="A4545" s="3" t="s">
        <v>4637</v>
      </c>
      <c r="B4545" s="3" t="s">
        <v>29</v>
      </c>
      <c r="C4545" s="3" t="s">
        <v>33</v>
      </c>
      <c r="D4545" s="3">
        <v>50489.49</v>
      </c>
      <c r="E4545" s="3">
        <v>30437.16</v>
      </c>
      <c r="F4545" s="3">
        <v>36943.1127102034</v>
      </c>
      <c r="G4545" s="3">
        <v>24751.75</v>
      </c>
      <c r="H4545" s="3">
        <v>-146164.83749113</v>
      </c>
      <c r="I4545" s="3">
        <v>67981.985309085</v>
      </c>
      <c r="J4545" s="4">
        <v>45962.0</v>
      </c>
      <c r="K4545" s="3">
        <v>21.0</v>
      </c>
      <c r="L4545" s="3" t="s">
        <v>38</v>
      </c>
    </row>
    <row r="4546" ht="15.75" customHeight="1">
      <c r="A4546" s="3" t="s">
        <v>4638</v>
      </c>
      <c r="B4546" s="3" t="s">
        <v>36</v>
      </c>
      <c r="C4546" s="3" t="s">
        <v>18</v>
      </c>
      <c r="D4546" s="3">
        <v>54436.21</v>
      </c>
      <c r="E4546" s="3">
        <v>11517.91</v>
      </c>
      <c r="F4546" s="3">
        <v>36950.7927136329</v>
      </c>
      <c r="G4546" s="3">
        <v>5741.11</v>
      </c>
      <c r="H4546" s="3">
        <v>-146214.341208879</v>
      </c>
      <c r="I4546" s="3">
        <v>67985.3667835048</v>
      </c>
      <c r="J4546" s="4">
        <v>45901.0</v>
      </c>
      <c r="K4546" s="3">
        <v>11.0</v>
      </c>
      <c r="L4546" s="3" t="s">
        <v>40</v>
      </c>
    </row>
    <row r="4547" ht="15.75" customHeight="1">
      <c r="A4547" s="3" t="s">
        <v>4639</v>
      </c>
      <c r="B4547" s="3" t="s">
        <v>51</v>
      </c>
      <c r="C4547" s="3" t="s">
        <v>26</v>
      </c>
      <c r="D4547" s="3">
        <v>24868.1</v>
      </c>
      <c r="E4547" s="3">
        <v>6108.35</v>
      </c>
      <c r="F4547" s="3">
        <v>36958.4727170624</v>
      </c>
      <c r="G4547" s="3">
        <v>10737.48</v>
      </c>
      <c r="H4547" s="3">
        <v>-146263.844926628</v>
      </c>
      <c r="I4547" s="3">
        <v>67988.7482579246</v>
      </c>
      <c r="J4547" s="4">
        <v>45778.0</v>
      </c>
      <c r="K4547" s="3">
        <v>23.0</v>
      </c>
      <c r="L4547" s="3" t="s">
        <v>42</v>
      </c>
    </row>
    <row r="4548" ht="15.75" customHeight="1">
      <c r="A4548" s="3" t="s">
        <v>4640</v>
      </c>
      <c r="B4548" s="3" t="s">
        <v>13</v>
      </c>
      <c r="C4548" s="3" t="s">
        <v>37</v>
      </c>
      <c r="D4548" s="3">
        <v>75719.41</v>
      </c>
      <c r="E4548" s="3">
        <v>23885.18</v>
      </c>
      <c r="F4548" s="3">
        <v>36966.1527204919</v>
      </c>
      <c r="G4548" s="3">
        <v>7649.67</v>
      </c>
      <c r="H4548" s="3">
        <v>-146313.348644377</v>
      </c>
      <c r="I4548" s="3">
        <v>67992.1297323444</v>
      </c>
      <c r="J4548" s="4">
        <v>45992.0</v>
      </c>
      <c r="K4548" s="3">
        <v>2.0</v>
      </c>
      <c r="L4548" s="3" t="s">
        <v>15</v>
      </c>
    </row>
    <row r="4549" ht="15.75" customHeight="1">
      <c r="A4549" s="3" t="s">
        <v>4641</v>
      </c>
      <c r="B4549" s="3" t="s">
        <v>17</v>
      </c>
      <c r="C4549" s="3" t="s">
        <v>30</v>
      </c>
      <c r="D4549" s="3">
        <v>18773.94</v>
      </c>
      <c r="E4549" s="3">
        <v>25428.27</v>
      </c>
      <c r="F4549" s="3">
        <v>36973.8327239214</v>
      </c>
      <c r="G4549" s="3">
        <v>19245.23</v>
      </c>
      <c r="H4549" s="3">
        <v>-146362.852362127</v>
      </c>
      <c r="I4549" s="3">
        <v>67995.5112067642</v>
      </c>
      <c r="J4549" s="4">
        <v>45778.0</v>
      </c>
      <c r="K4549" s="3">
        <v>18.0</v>
      </c>
      <c r="L4549" s="3" t="s">
        <v>19</v>
      </c>
    </row>
    <row r="4550" ht="15.75" customHeight="1">
      <c r="A4550" s="3" t="s">
        <v>4642</v>
      </c>
      <c r="B4550" s="3" t="s">
        <v>53</v>
      </c>
      <c r="C4550" s="3" t="s">
        <v>37</v>
      </c>
      <c r="D4550" s="3">
        <v>63887.79</v>
      </c>
      <c r="E4550" s="3">
        <v>35388.87</v>
      </c>
      <c r="F4550" s="3">
        <v>36981.5127273509</v>
      </c>
      <c r="G4550" s="3">
        <v>19218.31</v>
      </c>
      <c r="H4550" s="3">
        <v>-146412.356079876</v>
      </c>
      <c r="I4550" s="3">
        <v>67998.8926811841</v>
      </c>
      <c r="J4550" s="4">
        <v>45748.0</v>
      </c>
      <c r="K4550" s="3">
        <v>1.0</v>
      </c>
      <c r="L4550" s="3" t="s">
        <v>21</v>
      </c>
    </row>
    <row r="4551" ht="15.75" customHeight="1">
      <c r="A4551" s="3" t="s">
        <v>4643</v>
      </c>
      <c r="B4551" s="3" t="s">
        <v>51</v>
      </c>
      <c r="C4551" s="3" t="s">
        <v>54</v>
      </c>
      <c r="D4551" s="3">
        <v>71977.69</v>
      </c>
      <c r="E4551" s="3">
        <v>24771.34</v>
      </c>
      <c r="F4551" s="3">
        <v>36989.1927307803</v>
      </c>
      <c r="G4551" s="3">
        <v>7664.91</v>
      </c>
      <c r="H4551" s="3">
        <v>-146461.859797625</v>
      </c>
      <c r="I4551" s="3">
        <v>68002.2741556039</v>
      </c>
      <c r="J4551" s="4">
        <v>45839.0</v>
      </c>
      <c r="K4551" s="3">
        <v>21.0</v>
      </c>
      <c r="L4551" s="3" t="s">
        <v>23</v>
      </c>
    </row>
    <row r="4552" ht="15.75" customHeight="1">
      <c r="A4552" s="3" t="s">
        <v>4644</v>
      </c>
      <c r="B4552" s="3" t="s">
        <v>13</v>
      </c>
      <c r="C4552" s="3" t="s">
        <v>30</v>
      </c>
      <c r="D4552" s="3">
        <v>45086.83</v>
      </c>
      <c r="E4552" s="3">
        <v>16437.31</v>
      </c>
      <c r="F4552" s="3">
        <v>36996.8727342099</v>
      </c>
      <c r="G4552" s="3">
        <v>2494.06</v>
      </c>
      <c r="H4552" s="3">
        <v>-146511.363515374</v>
      </c>
      <c r="I4552" s="3">
        <v>68005.6556300237</v>
      </c>
      <c r="J4552" s="4">
        <v>45658.0</v>
      </c>
      <c r="K4552" s="3">
        <v>10.0</v>
      </c>
      <c r="L4552" s="3" t="s">
        <v>27</v>
      </c>
    </row>
    <row r="4553" ht="15.75" customHeight="1">
      <c r="A4553" s="3" t="s">
        <v>4645</v>
      </c>
      <c r="B4553" s="3" t="s">
        <v>25</v>
      </c>
      <c r="C4553" s="3" t="s">
        <v>14</v>
      </c>
      <c r="D4553" s="3">
        <v>77037.49</v>
      </c>
      <c r="E4553" s="3">
        <v>32908.43</v>
      </c>
      <c r="F4553" s="3">
        <v>37004.5527376393</v>
      </c>
      <c r="G4553" s="3">
        <v>780.1</v>
      </c>
      <c r="H4553" s="3">
        <v>-146560.867233123</v>
      </c>
      <c r="I4553" s="3">
        <v>68009.0371044435</v>
      </c>
      <c r="J4553" s="4">
        <v>45717.0</v>
      </c>
      <c r="K4553" s="3">
        <v>5.0</v>
      </c>
      <c r="L4553" s="3" t="s">
        <v>31</v>
      </c>
    </row>
    <row r="4554" ht="15.75" customHeight="1">
      <c r="A4554" s="3" t="s">
        <v>4646</v>
      </c>
      <c r="B4554" s="3" t="s">
        <v>29</v>
      </c>
      <c r="C4554" s="3" t="s">
        <v>14</v>
      </c>
      <c r="D4554" s="3">
        <v>18202.53</v>
      </c>
      <c r="E4554" s="3">
        <v>23450.04</v>
      </c>
      <c r="F4554" s="3">
        <v>37012.2327410688</v>
      </c>
      <c r="G4554" s="3">
        <v>10972.54</v>
      </c>
      <c r="H4554" s="3">
        <v>-146610.370950872</v>
      </c>
      <c r="I4554" s="3">
        <v>68012.4185788633</v>
      </c>
      <c r="J4554" s="4">
        <v>45992.0</v>
      </c>
      <c r="K4554" s="3">
        <v>1.0</v>
      </c>
      <c r="L4554" s="3" t="s">
        <v>34</v>
      </c>
    </row>
    <row r="4555" ht="15.75" customHeight="1">
      <c r="A4555" s="3" t="s">
        <v>4647</v>
      </c>
      <c r="B4555" s="3" t="s">
        <v>25</v>
      </c>
      <c r="C4555" s="3" t="s">
        <v>37</v>
      </c>
      <c r="D4555" s="3">
        <v>18921.56</v>
      </c>
      <c r="E4555" s="3">
        <v>6854.09</v>
      </c>
      <c r="F4555" s="3">
        <v>37019.9127444983</v>
      </c>
      <c r="G4555" s="3">
        <v>10553.27</v>
      </c>
      <c r="H4555" s="3">
        <v>-146659.874668621</v>
      </c>
      <c r="I4555" s="3">
        <v>68015.8000532831</v>
      </c>
      <c r="J4555" s="4">
        <v>45748.0</v>
      </c>
      <c r="K4555" s="3">
        <v>25.0</v>
      </c>
      <c r="L4555" s="3" t="s">
        <v>38</v>
      </c>
    </row>
    <row r="4556" ht="15.75" customHeight="1">
      <c r="A4556" s="3" t="s">
        <v>4648</v>
      </c>
      <c r="B4556" s="3" t="s">
        <v>25</v>
      </c>
      <c r="C4556" s="3" t="s">
        <v>18</v>
      </c>
      <c r="D4556" s="3">
        <v>101373.06</v>
      </c>
      <c r="E4556" s="3">
        <v>24370.62</v>
      </c>
      <c r="F4556" s="3">
        <v>37027.5927479278</v>
      </c>
      <c r="G4556" s="3">
        <v>24715.55</v>
      </c>
      <c r="H4556" s="3">
        <v>-146709.37838637</v>
      </c>
      <c r="I4556" s="3">
        <v>68019.1815277029</v>
      </c>
      <c r="J4556" s="4">
        <v>45689.0</v>
      </c>
      <c r="K4556" s="3">
        <v>13.0</v>
      </c>
      <c r="L4556" s="3" t="s">
        <v>40</v>
      </c>
    </row>
    <row r="4557" ht="15.75" customHeight="1">
      <c r="A4557" s="3" t="s">
        <v>4649</v>
      </c>
      <c r="B4557" s="3" t="s">
        <v>17</v>
      </c>
      <c r="C4557" s="3" t="s">
        <v>37</v>
      </c>
      <c r="D4557" s="3">
        <v>69835.54</v>
      </c>
      <c r="E4557" s="3">
        <v>14667.73</v>
      </c>
      <c r="F4557" s="3">
        <v>37050.6327582163</v>
      </c>
      <c r="G4557" s="3">
        <v>22335.12</v>
      </c>
      <c r="H4557" s="3">
        <v>-146857.889539618</v>
      </c>
      <c r="I4557" s="3">
        <v>68029.3259509624</v>
      </c>
      <c r="J4557" s="4">
        <v>45778.0</v>
      </c>
      <c r="K4557" s="3">
        <v>21.0</v>
      </c>
      <c r="L4557" s="3" t="s">
        <v>19</v>
      </c>
    </row>
    <row r="4558" ht="15.75" customHeight="1">
      <c r="A4558" s="3" t="s">
        <v>4650</v>
      </c>
      <c r="B4558" s="3" t="s">
        <v>29</v>
      </c>
      <c r="C4558" s="3" t="s">
        <v>18</v>
      </c>
      <c r="D4558" s="3">
        <v>95849.32</v>
      </c>
      <c r="E4558" s="3">
        <v>9164.9</v>
      </c>
      <c r="F4558" s="3">
        <v>37058.3127616458</v>
      </c>
      <c r="G4558" s="3">
        <v>12531.16</v>
      </c>
      <c r="H4558" s="3">
        <v>-146907.393257367</v>
      </c>
      <c r="I4558" s="3">
        <v>68032.7074253822</v>
      </c>
      <c r="J4558" s="4">
        <v>45962.0</v>
      </c>
      <c r="K4558" s="3">
        <v>9.0</v>
      </c>
      <c r="L4558" s="3" t="s">
        <v>21</v>
      </c>
    </row>
    <row r="4559" ht="15.75" customHeight="1">
      <c r="A4559" s="3" t="s">
        <v>4651</v>
      </c>
      <c r="B4559" s="3" t="s">
        <v>53</v>
      </c>
      <c r="C4559" s="3" t="s">
        <v>54</v>
      </c>
      <c r="D4559" s="3">
        <v>37661.21</v>
      </c>
      <c r="E4559" s="3">
        <v>9452.04</v>
      </c>
      <c r="F4559" s="3">
        <v>37065.9927650753</v>
      </c>
      <c r="G4559" s="3">
        <v>15179.8</v>
      </c>
      <c r="H4559" s="3">
        <v>-146956.896975116</v>
      </c>
      <c r="I4559" s="3">
        <v>68036.088899802</v>
      </c>
      <c r="J4559" s="4">
        <v>45901.0</v>
      </c>
      <c r="K4559" s="3">
        <v>3.0</v>
      </c>
      <c r="L4559" s="3" t="s">
        <v>23</v>
      </c>
    </row>
    <row r="4560" ht="15.75" customHeight="1">
      <c r="A4560" s="3" t="s">
        <v>4652</v>
      </c>
      <c r="B4560" s="3" t="s">
        <v>53</v>
      </c>
      <c r="C4560" s="3" t="s">
        <v>30</v>
      </c>
      <c r="D4560" s="3">
        <v>80403.5</v>
      </c>
      <c r="E4560" s="3">
        <v>19579.77</v>
      </c>
      <c r="F4560" s="3">
        <v>37073.6727685048</v>
      </c>
      <c r="G4560" s="3">
        <v>2843.88</v>
      </c>
      <c r="H4560" s="3">
        <v>-147006.400692865</v>
      </c>
      <c r="I4560" s="3">
        <v>68039.4703742218</v>
      </c>
      <c r="J4560" s="4">
        <v>45870.0</v>
      </c>
      <c r="K4560" s="3">
        <v>15.0</v>
      </c>
      <c r="L4560" s="3" t="s">
        <v>27</v>
      </c>
    </row>
    <row r="4561" ht="15.75" customHeight="1">
      <c r="A4561" s="3" t="s">
        <v>4653</v>
      </c>
      <c r="B4561" s="3" t="s">
        <v>13</v>
      </c>
      <c r="C4561" s="3" t="s">
        <v>37</v>
      </c>
      <c r="D4561" s="3">
        <v>23961.48</v>
      </c>
      <c r="E4561" s="3">
        <v>25444.47</v>
      </c>
      <c r="F4561" s="3">
        <v>37081.3527719343</v>
      </c>
      <c r="G4561" s="3">
        <v>9881.45</v>
      </c>
      <c r="H4561" s="3">
        <v>-147055.904410614</v>
      </c>
      <c r="I4561" s="3">
        <v>68042.8518486416</v>
      </c>
      <c r="J4561" s="4">
        <v>45809.0</v>
      </c>
      <c r="K4561" s="3">
        <v>23.0</v>
      </c>
      <c r="L4561" s="3" t="s">
        <v>31</v>
      </c>
    </row>
    <row r="4562" ht="15.75" customHeight="1">
      <c r="A4562" s="3" t="s">
        <v>4654</v>
      </c>
      <c r="B4562" s="3" t="s">
        <v>53</v>
      </c>
      <c r="C4562" s="3" t="s">
        <v>30</v>
      </c>
      <c r="D4562" s="3">
        <v>20426.58</v>
      </c>
      <c r="E4562" s="3">
        <v>6902.15</v>
      </c>
      <c r="F4562" s="3">
        <v>37089.0327753638</v>
      </c>
      <c r="G4562" s="3">
        <v>23633.48</v>
      </c>
      <c r="H4562" s="3">
        <v>-147105.408128364</v>
      </c>
      <c r="I4562" s="3">
        <v>68046.2333230615</v>
      </c>
      <c r="J4562" s="4">
        <v>45931.0</v>
      </c>
      <c r="K4562" s="3">
        <v>3.0</v>
      </c>
      <c r="L4562" s="3" t="s">
        <v>34</v>
      </c>
    </row>
    <row r="4563" ht="15.75" customHeight="1">
      <c r="A4563" s="3" t="s">
        <v>4655</v>
      </c>
      <c r="B4563" s="3" t="s">
        <v>13</v>
      </c>
      <c r="C4563" s="3" t="s">
        <v>26</v>
      </c>
      <c r="D4563" s="3">
        <v>70792.24</v>
      </c>
      <c r="E4563" s="3">
        <v>37824.47</v>
      </c>
      <c r="F4563" s="3">
        <v>37096.7127787933</v>
      </c>
      <c r="G4563" s="3">
        <v>14942.88</v>
      </c>
      <c r="H4563" s="3">
        <v>-147154.911846113</v>
      </c>
      <c r="I4563" s="3">
        <v>68049.6147974813</v>
      </c>
      <c r="J4563" s="4">
        <v>45962.0</v>
      </c>
      <c r="K4563" s="3">
        <v>18.0</v>
      </c>
      <c r="L4563" s="3" t="s">
        <v>38</v>
      </c>
    </row>
    <row r="4564" ht="15.75" customHeight="1">
      <c r="A4564" s="3" t="s">
        <v>4656</v>
      </c>
      <c r="B4564" s="3" t="s">
        <v>13</v>
      </c>
      <c r="C4564" s="3" t="s">
        <v>18</v>
      </c>
      <c r="D4564" s="3">
        <v>71766.69</v>
      </c>
      <c r="E4564" s="3">
        <v>31184.81</v>
      </c>
      <c r="F4564" s="3">
        <v>37104.3927822228</v>
      </c>
      <c r="G4564" s="3">
        <v>8940.3</v>
      </c>
      <c r="H4564" s="3">
        <v>-147204.415563862</v>
      </c>
      <c r="I4564" s="3">
        <v>68052.9962719011</v>
      </c>
      <c r="J4564" s="4">
        <v>45962.0</v>
      </c>
      <c r="K4564" s="3">
        <v>8.0</v>
      </c>
      <c r="L4564" s="3" t="s">
        <v>40</v>
      </c>
    </row>
    <row r="4565" ht="15.75" customHeight="1">
      <c r="A4565" s="3" t="s">
        <v>4657</v>
      </c>
      <c r="B4565" s="3" t="s">
        <v>25</v>
      </c>
      <c r="C4565" s="3" t="s">
        <v>33</v>
      </c>
      <c r="D4565" s="3">
        <v>81930.14</v>
      </c>
      <c r="E4565" s="3">
        <v>25118.46</v>
      </c>
      <c r="F4565" s="3">
        <v>37112.0727856523</v>
      </c>
      <c r="G4565" s="3">
        <v>15828.85</v>
      </c>
      <c r="H4565" s="3">
        <v>-147253.919281611</v>
      </c>
      <c r="I4565" s="3">
        <v>68056.3777463209</v>
      </c>
      <c r="J4565" s="3" t="s">
        <v>970</v>
      </c>
      <c r="K4565" s="3">
        <v>12.0</v>
      </c>
      <c r="L4565" s="3" t="s">
        <v>42</v>
      </c>
    </row>
    <row r="4566" ht="15.75" customHeight="1">
      <c r="A4566" s="3" t="s">
        <v>4658</v>
      </c>
      <c r="B4566" s="3" t="s">
        <v>51</v>
      </c>
      <c r="C4566" s="3" t="s">
        <v>54</v>
      </c>
      <c r="D4566" s="3">
        <v>91239.59</v>
      </c>
      <c r="E4566" s="3">
        <v>33823.79</v>
      </c>
      <c r="F4566" s="3">
        <v>37119.7527890818</v>
      </c>
      <c r="G4566" s="3">
        <v>22805.07</v>
      </c>
      <c r="H4566" s="3">
        <v>-147303.42299936</v>
      </c>
      <c r="I4566" s="3">
        <v>68059.7592207407</v>
      </c>
      <c r="J4566" s="4">
        <v>45778.0</v>
      </c>
      <c r="K4566" s="3">
        <v>1.0</v>
      </c>
      <c r="L4566" s="3" t="s">
        <v>15</v>
      </c>
    </row>
    <row r="4567" ht="15.75" customHeight="1">
      <c r="A4567" s="3" t="s">
        <v>4659</v>
      </c>
      <c r="B4567" s="3" t="s">
        <v>53</v>
      </c>
      <c r="C4567" s="3" t="s">
        <v>18</v>
      </c>
      <c r="D4567" s="3">
        <v>117464.47</v>
      </c>
      <c r="E4567" s="3">
        <v>6886.72</v>
      </c>
      <c r="F4567" s="3">
        <v>37127.4327925113</v>
      </c>
      <c r="G4567" s="3">
        <v>7212.77</v>
      </c>
      <c r="H4567" s="3">
        <v>-147352.926717109</v>
      </c>
      <c r="I4567" s="3">
        <v>68063.1406951605</v>
      </c>
      <c r="J4567" s="4">
        <v>45962.0</v>
      </c>
      <c r="K4567" s="3">
        <v>14.0</v>
      </c>
      <c r="L4567" s="3" t="s">
        <v>19</v>
      </c>
    </row>
    <row r="4568" ht="15.75" customHeight="1">
      <c r="A4568" s="3" t="s">
        <v>4660</v>
      </c>
      <c r="B4568" s="3" t="s">
        <v>13</v>
      </c>
      <c r="C4568" s="3" t="s">
        <v>37</v>
      </c>
      <c r="D4568" s="3">
        <v>69211.54</v>
      </c>
      <c r="E4568" s="3">
        <v>21166.2</v>
      </c>
      <c r="F4568" s="3">
        <v>37135.1127959408</v>
      </c>
      <c r="G4568" s="3">
        <v>12875.36</v>
      </c>
      <c r="H4568" s="3">
        <v>-147402.430434858</v>
      </c>
      <c r="I4568" s="3">
        <v>68066.5221695803</v>
      </c>
      <c r="J4568" s="4">
        <v>45809.0</v>
      </c>
      <c r="K4568" s="3">
        <v>10.0</v>
      </c>
      <c r="L4568" s="3" t="s">
        <v>21</v>
      </c>
    </row>
    <row r="4569" ht="15.75" customHeight="1">
      <c r="A4569" s="3" t="s">
        <v>4661</v>
      </c>
      <c r="B4569" s="3" t="s">
        <v>25</v>
      </c>
      <c r="C4569" s="3" t="s">
        <v>26</v>
      </c>
      <c r="D4569" s="3">
        <v>48910.43</v>
      </c>
      <c r="E4569" s="3">
        <v>26683.35</v>
      </c>
      <c r="F4569" s="3">
        <v>37142.7927993703</v>
      </c>
      <c r="G4569" s="3">
        <v>23987.92</v>
      </c>
      <c r="H4569" s="3">
        <v>-147451.934152607</v>
      </c>
      <c r="I4569" s="3">
        <v>68069.9036440002</v>
      </c>
      <c r="J4569" s="4">
        <v>45870.0</v>
      </c>
      <c r="K4569" s="3">
        <v>11.0</v>
      </c>
      <c r="L4569" s="3" t="s">
        <v>23</v>
      </c>
    </row>
    <row r="4570" ht="15.75" customHeight="1">
      <c r="A4570" s="3" t="s">
        <v>4662</v>
      </c>
      <c r="B4570" s="3" t="s">
        <v>51</v>
      </c>
      <c r="C4570" s="3" t="s">
        <v>18</v>
      </c>
      <c r="D4570" s="3">
        <v>98494.55</v>
      </c>
      <c r="E4570" s="3">
        <v>33831.5</v>
      </c>
      <c r="F4570" s="3">
        <v>37150.4728027998</v>
      </c>
      <c r="G4570" s="3">
        <v>4723.71</v>
      </c>
      <c r="H4570" s="3">
        <v>-147501.437870357</v>
      </c>
      <c r="I4570" s="3">
        <v>68073.28511842</v>
      </c>
      <c r="J4570" s="4">
        <v>45901.0</v>
      </c>
      <c r="K4570" s="3">
        <v>12.0</v>
      </c>
      <c r="L4570" s="3" t="s">
        <v>27</v>
      </c>
    </row>
    <row r="4571" ht="15.75" customHeight="1">
      <c r="A4571" s="3" t="s">
        <v>4663</v>
      </c>
      <c r="B4571" s="3" t="s">
        <v>51</v>
      </c>
      <c r="C4571" s="3" t="s">
        <v>33</v>
      </c>
      <c r="D4571" s="3">
        <v>43437.39</v>
      </c>
      <c r="E4571" s="3">
        <v>32204.9</v>
      </c>
      <c r="F4571" s="3">
        <v>37158.1528062293</v>
      </c>
      <c r="G4571" s="3">
        <v>18131.77</v>
      </c>
      <c r="H4571" s="3">
        <v>-147550.941588106</v>
      </c>
      <c r="I4571" s="3">
        <v>68076.6665928398</v>
      </c>
      <c r="J4571" s="4">
        <v>45717.0</v>
      </c>
      <c r="K4571" s="3">
        <v>10.0</v>
      </c>
      <c r="L4571" s="3" t="s">
        <v>31</v>
      </c>
    </row>
    <row r="4572" ht="15.75" customHeight="1">
      <c r="A4572" s="3" t="s">
        <v>4664</v>
      </c>
      <c r="B4572" s="3" t="s">
        <v>36</v>
      </c>
      <c r="C4572" s="3" t="s">
        <v>26</v>
      </c>
      <c r="D4572" s="3">
        <v>61092.0</v>
      </c>
      <c r="E4572" s="3">
        <v>13974.49</v>
      </c>
      <c r="F4572" s="3">
        <v>37165.8328096588</v>
      </c>
      <c r="G4572" s="3">
        <v>15554.78</v>
      </c>
      <c r="H4572" s="3">
        <v>-147600.445305855</v>
      </c>
      <c r="I4572" s="3">
        <v>68080.0480672596</v>
      </c>
      <c r="J4572" s="4">
        <v>45778.0</v>
      </c>
      <c r="K4572" s="3">
        <v>7.0</v>
      </c>
      <c r="L4572" s="3" t="s">
        <v>34</v>
      </c>
    </row>
    <row r="4573" ht="15.75" customHeight="1">
      <c r="A4573" s="3" t="s">
        <v>4665</v>
      </c>
      <c r="B4573" s="3" t="s">
        <v>25</v>
      </c>
      <c r="C4573" s="3" t="s">
        <v>14</v>
      </c>
      <c r="D4573" s="3">
        <v>23237.92</v>
      </c>
      <c r="E4573" s="3">
        <v>37871.69</v>
      </c>
      <c r="F4573" s="3">
        <v>37173.5128130883</v>
      </c>
      <c r="G4573" s="3">
        <v>17152.04</v>
      </c>
      <c r="H4573" s="3">
        <v>-147649.949023604</v>
      </c>
      <c r="I4573" s="3">
        <v>68083.4295416794</v>
      </c>
      <c r="J4573" s="4">
        <v>45870.0</v>
      </c>
      <c r="K4573" s="3">
        <v>17.0</v>
      </c>
      <c r="L4573" s="3" t="s">
        <v>38</v>
      </c>
    </row>
    <row r="4574" ht="15.75" customHeight="1">
      <c r="A4574" s="3" t="s">
        <v>4666</v>
      </c>
      <c r="B4574" s="3" t="s">
        <v>51</v>
      </c>
      <c r="C4574" s="3" t="s">
        <v>26</v>
      </c>
      <c r="D4574" s="3">
        <v>17661.83</v>
      </c>
      <c r="E4574" s="3">
        <v>8476.45</v>
      </c>
      <c r="F4574" s="3">
        <v>37181.1928165178</v>
      </c>
      <c r="G4574" s="3">
        <v>9104.88</v>
      </c>
      <c r="H4574" s="3">
        <v>-147699.452741353</v>
      </c>
      <c r="I4574" s="3">
        <v>68086.8110160992</v>
      </c>
      <c r="J4574" s="4">
        <v>45778.0</v>
      </c>
      <c r="K4574" s="3">
        <v>25.0</v>
      </c>
      <c r="L4574" s="3" t="s">
        <v>40</v>
      </c>
    </row>
    <row r="4575" ht="15.75" customHeight="1">
      <c r="A4575" s="3" t="s">
        <v>4667</v>
      </c>
      <c r="B4575" s="3" t="s">
        <v>17</v>
      </c>
      <c r="C4575" s="3" t="s">
        <v>26</v>
      </c>
      <c r="D4575" s="3">
        <v>116078.08</v>
      </c>
      <c r="E4575" s="3">
        <v>35504.81</v>
      </c>
      <c r="F4575" s="3">
        <v>37188.8728199473</v>
      </c>
      <c r="G4575" s="3">
        <v>8190.04</v>
      </c>
      <c r="H4575" s="3">
        <v>-147748.956459102</v>
      </c>
      <c r="I4575" s="3">
        <v>68090.192490519</v>
      </c>
      <c r="J4575" s="4">
        <v>45809.0</v>
      </c>
      <c r="K4575" s="3">
        <v>1.0</v>
      </c>
      <c r="L4575" s="3" t="s">
        <v>42</v>
      </c>
    </row>
    <row r="4576" ht="15.75" customHeight="1">
      <c r="A4576" s="3" t="s">
        <v>4668</v>
      </c>
      <c r="B4576" s="3" t="s">
        <v>13</v>
      </c>
      <c r="C4576" s="3" t="s">
        <v>18</v>
      </c>
      <c r="D4576" s="5"/>
      <c r="E4576" s="3">
        <v>38953.85</v>
      </c>
      <c r="F4576" s="3">
        <v>37196.5528233768</v>
      </c>
      <c r="G4576" s="3">
        <v>17263.14</v>
      </c>
      <c r="H4576" s="3">
        <v>-147798.460176851</v>
      </c>
      <c r="I4576" s="3">
        <v>68093.5739649389</v>
      </c>
      <c r="J4576" s="4">
        <v>45931.0</v>
      </c>
      <c r="K4576" s="3">
        <v>8.0</v>
      </c>
      <c r="L4576" s="3" t="s">
        <v>15</v>
      </c>
    </row>
    <row r="4577" ht="15.75" customHeight="1">
      <c r="A4577" s="3" t="s">
        <v>4669</v>
      </c>
      <c r="B4577" s="3" t="s">
        <v>51</v>
      </c>
      <c r="C4577" s="3" t="s">
        <v>30</v>
      </c>
      <c r="D4577" s="3">
        <v>88077.29</v>
      </c>
      <c r="E4577" s="3">
        <v>10377.53</v>
      </c>
      <c r="F4577" s="3">
        <v>37204.2328268064</v>
      </c>
      <c r="G4577" s="3">
        <v>5780.81</v>
      </c>
      <c r="H4577" s="3">
        <v>-147847.9638946</v>
      </c>
      <c r="I4577" s="3">
        <v>68096.9554393587</v>
      </c>
      <c r="J4577" s="4">
        <v>45962.0</v>
      </c>
      <c r="K4577" s="3">
        <v>12.0</v>
      </c>
      <c r="L4577" s="3" t="s">
        <v>19</v>
      </c>
    </row>
    <row r="4578" ht="15.75" customHeight="1">
      <c r="A4578" s="3" t="s">
        <v>4670</v>
      </c>
      <c r="B4578" s="3" t="s">
        <v>29</v>
      </c>
      <c r="C4578" s="3" t="s">
        <v>37</v>
      </c>
      <c r="D4578" s="3">
        <v>57940.06</v>
      </c>
      <c r="E4578" s="3">
        <v>29994.38</v>
      </c>
      <c r="F4578" s="3">
        <v>37211.9128302358</v>
      </c>
      <c r="G4578" s="3">
        <v>10781.54</v>
      </c>
      <c r="H4578" s="3">
        <v>-147897.46761235</v>
      </c>
      <c r="I4578" s="3">
        <v>68100.3369137785</v>
      </c>
      <c r="J4578" s="4">
        <v>45962.0</v>
      </c>
      <c r="K4578" s="3">
        <v>7.0</v>
      </c>
      <c r="L4578" s="3" t="s">
        <v>21</v>
      </c>
    </row>
    <row r="4579" ht="15.75" customHeight="1">
      <c r="A4579" s="3" t="s">
        <v>4671</v>
      </c>
      <c r="B4579" s="3" t="s">
        <v>51</v>
      </c>
      <c r="C4579" s="3" t="s">
        <v>33</v>
      </c>
      <c r="D4579" s="3">
        <v>33195.9</v>
      </c>
      <c r="E4579" s="3">
        <v>5450.28</v>
      </c>
      <c r="F4579" s="3">
        <v>37219.5928336653</v>
      </c>
      <c r="G4579" s="3">
        <v>5110.28</v>
      </c>
      <c r="H4579" s="3">
        <v>-147946.971330099</v>
      </c>
      <c r="I4579" s="3">
        <v>68103.7183881983</v>
      </c>
      <c r="J4579" s="4">
        <v>45901.0</v>
      </c>
      <c r="K4579" s="3">
        <v>23.0</v>
      </c>
      <c r="L4579" s="3" t="s">
        <v>23</v>
      </c>
    </row>
    <row r="4580" ht="15.75" customHeight="1">
      <c r="A4580" s="3" t="s">
        <v>4672</v>
      </c>
      <c r="B4580" s="3" t="s">
        <v>51</v>
      </c>
      <c r="C4580" s="3" t="s">
        <v>14</v>
      </c>
      <c r="D4580" s="3">
        <v>31425.89</v>
      </c>
      <c r="E4580" s="3">
        <v>18595.22</v>
      </c>
      <c r="F4580" s="3">
        <v>37227.2728370948</v>
      </c>
      <c r="G4580" s="3">
        <v>703.47</v>
      </c>
      <c r="H4580" s="3">
        <v>-147996.475047848</v>
      </c>
      <c r="I4580" s="3">
        <v>68107.0998626181</v>
      </c>
      <c r="J4580" s="4">
        <v>45658.0</v>
      </c>
      <c r="K4580" s="3">
        <v>6.0</v>
      </c>
      <c r="L4580" s="3" t="s">
        <v>27</v>
      </c>
    </row>
    <row r="4581" ht="15.75" customHeight="1">
      <c r="A4581" s="3" t="s">
        <v>4673</v>
      </c>
      <c r="B4581" s="3" t="s">
        <v>36</v>
      </c>
      <c r="C4581" s="3" t="s">
        <v>30</v>
      </c>
      <c r="D4581" s="3">
        <v>41275.5</v>
      </c>
      <c r="E4581" s="3">
        <v>22586.2</v>
      </c>
      <c r="F4581" s="3">
        <v>37234.9528405243</v>
      </c>
      <c r="G4581" s="3">
        <v>24266.41</v>
      </c>
      <c r="H4581" s="3">
        <v>-148045.978765597</v>
      </c>
      <c r="I4581" s="3">
        <v>68110.4813370379</v>
      </c>
      <c r="J4581" s="4">
        <v>45778.0</v>
      </c>
      <c r="K4581" s="3">
        <v>20.0</v>
      </c>
      <c r="L4581" s="3" t="s">
        <v>31</v>
      </c>
    </row>
    <row r="4582" ht="15.75" customHeight="1">
      <c r="A4582" s="3" t="s">
        <v>4674</v>
      </c>
      <c r="B4582" s="3" t="s">
        <v>53</v>
      </c>
      <c r="C4582" s="3" t="s">
        <v>18</v>
      </c>
      <c r="D4582" s="3">
        <v>72668.8</v>
      </c>
      <c r="E4582" s="3">
        <v>24903.23</v>
      </c>
      <c r="F4582" s="3">
        <v>37242.6328439538</v>
      </c>
      <c r="G4582" s="3">
        <v>11076.72</v>
      </c>
      <c r="H4582" s="3">
        <v>-148095.482483346</v>
      </c>
      <c r="I4582" s="3">
        <v>68113.8628114577</v>
      </c>
      <c r="J4582" s="4">
        <v>45992.0</v>
      </c>
      <c r="K4582" s="3">
        <v>20.0</v>
      </c>
      <c r="L4582" s="3" t="s">
        <v>34</v>
      </c>
    </row>
    <row r="4583" ht="15.75" customHeight="1">
      <c r="A4583" s="3" t="s">
        <v>4675</v>
      </c>
      <c r="B4583" s="3" t="s">
        <v>25</v>
      </c>
      <c r="C4583" s="3" t="s">
        <v>30</v>
      </c>
      <c r="D4583" s="3">
        <v>90032.57</v>
      </c>
      <c r="E4583" s="3">
        <v>37693.74</v>
      </c>
      <c r="F4583" s="3">
        <v>37250.3128473833</v>
      </c>
      <c r="G4583" s="3">
        <v>24249.07</v>
      </c>
      <c r="H4583" s="3">
        <v>-148144.986201095</v>
      </c>
      <c r="I4583" s="3">
        <v>68117.2442858776</v>
      </c>
      <c r="J4583" s="4">
        <v>45992.0</v>
      </c>
      <c r="K4583" s="3">
        <v>16.0</v>
      </c>
      <c r="L4583" s="3" t="s">
        <v>38</v>
      </c>
    </row>
    <row r="4584" ht="15.75" customHeight="1">
      <c r="A4584" s="3" t="s">
        <v>4676</v>
      </c>
      <c r="B4584" s="3" t="s">
        <v>17</v>
      </c>
      <c r="C4584" s="3" t="s">
        <v>14</v>
      </c>
      <c r="D4584" s="3">
        <v>84320.72</v>
      </c>
      <c r="E4584" s="3">
        <v>28201.02</v>
      </c>
      <c r="F4584" s="3">
        <v>37257.9928508128</v>
      </c>
      <c r="G4584" s="3">
        <v>3937.93</v>
      </c>
      <c r="H4584" s="3">
        <v>-148194.489918844</v>
      </c>
      <c r="I4584" s="3">
        <v>68120.6257602974</v>
      </c>
      <c r="J4584" s="4">
        <v>45962.0</v>
      </c>
      <c r="K4584" s="3">
        <v>24.0</v>
      </c>
      <c r="L4584" s="3" t="s">
        <v>40</v>
      </c>
    </row>
    <row r="4585" ht="15.75" customHeight="1">
      <c r="A4585" s="3" t="s">
        <v>4677</v>
      </c>
      <c r="B4585" s="3" t="s">
        <v>29</v>
      </c>
      <c r="C4585" s="3" t="s">
        <v>18</v>
      </c>
      <c r="D4585" s="3">
        <v>44393.06</v>
      </c>
      <c r="E4585" s="3">
        <v>21326.01</v>
      </c>
      <c r="F4585" s="3">
        <v>37265.6728542423</v>
      </c>
      <c r="G4585" s="3">
        <v>14890.49</v>
      </c>
      <c r="H4585" s="3">
        <v>-148243.993636593</v>
      </c>
      <c r="I4585" s="3">
        <v>68124.0072347172</v>
      </c>
      <c r="J4585" s="4">
        <v>45717.0</v>
      </c>
      <c r="K4585" s="3">
        <v>11.0</v>
      </c>
      <c r="L4585" s="3" t="s">
        <v>42</v>
      </c>
    </row>
    <row r="4586" ht="15.75" customHeight="1">
      <c r="A4586" s="3" t="s">
        <v>4678</v>
      </c>
      <c r="B4586" s="3" t="s">
        <v>36</v>
      </c>
      <c r="C4586" s="3" t="s">
        <v>18</v>
      </c>
      <c r="D4586" s="3">
        <v>115260.85</v>
      </c>
      <c r="E4586" s="3">
        <v>33148.3</v>
      </c>
      <c r="F4586" s="3">
        <v>37273.3528576717</v>
      </c>
      <c r="G4586" s="3">
        <v>5423.86</v>
      </c>
      <c r="H4586" s="3">
        <v>-148293.497354343</v>
      </c>
      <c r="I4586" s="3">
        <v>68127.388709137</v>
      </c>
      <c r="J4586" s="4">
        <v>45901.0</v>
      </c>
      <c r="K4586" s="3">
        <v>23.0</v>
      </c>
      <c r="L4586" s="3" t="s">
        <v>15</v>
      </c>
    </row>
    <row r="4587" ht="15.75" customHeight="1">
      <c r="A4587" s="3" t="s">
        <v>4679</v>
      </c>
      <c r="B4587" s="3" t="s">
        <v>17</v>
      </c>
      <c r="C4587" s="3" t="s">
        <v>54</v>
      </c>
      <c r="D4587" s="3">
        <v>92479.18</v>
      </c>
      <c r="E4587" s="3">
        <v>38219.18</v>
      </c>
      <c r="F4587" s="3">
        <v>37281.0328611012</v>
      </c>
      <c r="G4587" s="3">
        <v>19856.82</v>
      </c>
      <c r="H4587" s="3">
        <v>-148343.001072092</v>
      </c>
      <c r="I4587" s="3">
        <v>68130.7701835568</v>
      </c>
      <c r="J4587" s="4">
        <v>45870.0</v>
      </c>
      <c r="K4587" s="3">
        <v>3.0</v>
      </c>
      <c r="L4587" s="3" t="s">
        <v>19</v>
      </c>
    </row>
    <row r="4588" ht="15.75" customHeight="1">
      <c r="A4588" s="3" t="s">
        <v>4680</v>
      </c>
      <c r="B4588" s="3" t="s">
        <v>25</v>
      </c>
      <c r="C4588" s="3" t="s">
        <v>30</v>
      </c>
      <c r="D4588" s="3">
        <v>73207.18</v>
      </c>
      <c r="E4588" s="3">
        <v>4794.38</v>
      </c>
      <c r="F4588" s="3">
        <v>37288.7128645307</v>
      </c>
      <c r="G4588" s="3">
        <v>19700.72</v>
      </c>
      <c r="H4588" s="3">
        <v>-148392.504789841</v>
      </c>
      <c r="I4588" s="3">
        <v>68134.1516579766</v>
      </c>
      <c r="J4588" s="4">
        <v>45901.0</v>
      </c>
      <c r="K4588" s="3">
        <v>12.0</v>
      </c>
      <c r="L4588" s="3" t="s">
        <v>21</v>
      </c>
    </row>
    <row r="4589" ht="15.75" customHeight="1">
      <c r="A4589" s="3" t="s">
        <v>4681</v>
      </c>
      <c r="B4589" s="3" t="s">
        <v>51</v>
      </c>
      <c r="C4589" s="3" t="s">
        <v>30</v>
      </c>
      <c r="D4589" s="5"/>
      <c r="E4589" s="3">
        <v>39370.77</v>
      </c>
      <c r="F4589" s="3">
        <v>37296.3928679602</v>
      </c>
      <c r="G4589" s="3">
        <v>3258.88</v>
      </c>
      <c r="H4589" s="3">
        <v>-148442.00850759</v>
      </c>
      <c r="I4589" s="3">
        <v>68137.5331323964</v>
      </c>
      <c r="J4589" s="4">
        <v>45992.0</v>
      </c>
      <c r="K4589" s="3">
        <v>8.0</v>
      </c>
      <c r="L4589" s="3" t="s">
        <v>23</v>
      </c>
    </row>
    <row r="4590" ht="15.75" customHeight="1">
      <c r="A4590" s="3" t="s">
        <v>4682</v>
      </c>
      <c r="B4590" s="3" t="s">
        <v>53</v>
      </c>
      <c r="C4590" s="3" t="s">
        <v>14</v>
      </c>
      <c r="D4590" s="3">
        <v>59058.01</v>
      </c>
      <c r="E4590" s="3">
        <v>7100.76</v>
      </c>
      <c r="F4590" s="3">
        <v>37304.0728713897</v>
      </c>
      <c r="G4590" s="3">
        <v>22845.58</v>
      </c>
      <c r="H4590" s="3">
        <v>-148491.512225339</v>
      </c>
      <c r="I4590" s="3">
        <v>68140.9146068163</v>
      </c>
      <c r="J4590" s="4">
        <v>45689.0</v>
      </c>
      <c r="K4590" s="3">
        <v>10.0</v>
      </c>
      <c r="L4590" s="3" t="s">
        <v>27</v>
      </c>
    </row>
    <row r="4591" ht="15.75" customHeight="1">
      <c r="A4591" s="3" t="s">
        <v>4683</v>
      </c>
      <c r="B4591" s="3" t="s">
        <v>25</v>
      </c>
      <c r="C4591" s="3" t="s">
        <v>14</v>
      </c>
      <c r="D4591" s="3">
        <v>41011.75</v>
      </c>
      <c r="E4591" s="3">
        <v>33317.92</v>
      </c>
      <c r="F4591" s="3">
        <v>37311.7528748192</v>
      </c>
      <c r="G4591" s="3">
        <v>5268.43</v>
      </c>
      <c r="H4591" s="3">
        <v>-148541.015943088</v>
      </c>
      <c r="I4591" s="3">
        <v>68144.2960812361</v>
      </c>
      <c r="J4591" s="4">
        <v>45809.0</v>
      </c>
      <c r="K4591" s="3">
        <v>23.0</v>
      </c>
      <c r="L4591" s="3" t="s">
        <v>31</v>
      </c>
    </row>
    <row r="4592" ht="15.75" customHeight="1">
      <c r="A4592" s="3" t="s">
        <v>4684</v>
      </c>
      <c r="B4592" s="3" t="s">
        <v>29</v>
      </c>
      <c r="C4592" s="3" t="s">
        <v>33</v>
      </c>
      <c r="D4592" s="3">
        <v>52377.13</v>
      </c>
      <c r="E4592" s="3">
        <v>14092.05</v>
      </c>
      <c r="F4592" s="3">
        <v>37319.4328782488</v>
      </c>
      <c r="G4592" s="3">
        <v>15517.94</v>
      </c>
      <c r="H4592" s="3">
        <v>-148590.519660837</v>
      </c>
      <c r="I4592" s="3">
        <v>68147.6775556559</v>
      </c>
      <c r="J4592" s="4">
        <v>45717.0</v>
      </c>
      <c r="K4592" s="3">
        <v>9.0</v>
      </c>
      <c r="L4592" s="3" t="s">
        <v>34</v>
      </c>
    </row>
    <row r="4593" ht="15.75" customHeight="1">
      <c r="A4593" s="3" t="s">
        <v>4685</v>
      </c>
      <c r="B4593" s="3" t="s">
        <v>17</v>
      </c>
      <c r="C4593" s="3" t="s">
        <v>18</v>
      </c>
      <c r="D4593" s="3">
        <v>94573.84</v>
      </c>
      <c r="E4593" s="3">
        <v>8758.47</v>
      </c>
      <c r="F4593" s="3">
        <v>37327.1128816782</v>
      </c>
      <c r="G4593" s="3">
        <v>24648.02</v>
      </c>
      <c r="H4593" s="3">
        <v>-148640.023378586</v>
      </c>
      <c r="I4593" s="3">
        <v>68151.0590300757</v>
      </c>
      <c r="J4593" s="4">
        <v>45717.0</v>
      </c>
      <c r="K4593" s="3">
        <v>9.0</v>
      </c>
      <c r="L4593" s="3" t="s">
        <v>38</v>
      </c>
    </row>
    <row r="4594" ht="15.75" customHeight="1">
      <c r="A4594" s="3" t="s">
        <v>4686</v>
      </c>
      <c r="B4594" s="3" t="s">
        <v>36</v>
      </c>
      <c r="C4594" s="3" t="s">
        <v>18</v>
      </c>
      <c r="D4594" s="3">
        <v>16511.32</v>
      </c>
      <c r="E4594" s="3">
        <v>19834.8</v>
      </c>
      <c r="F4594" s="3">
        <v>37334.7928851077</v>
      </c>
      <c r="G4594" s="3">
        <v>22118.72</v>
      </c>
      <c r="H4594" s="3">
        <v>-148689.527096336</v>
      </c>
      <c r="I4594" s="3">
        <v>68154.4405044955</v>
      </c>
      <c r="J4594" s="4">
        <v>45901.0</v>
      </c>
      <c r="K4594" s="3">
        <v>24.0</v>
      </c>
      <c r="L4594" s="3" t="s">
        <v>40</v>
      </c>
    </row>
    <row r="4595" ht="15.75" customHeight="1">
      <c r="A4595" s="3" t="s">
        <v>4687</v>
      </c>
      <c r="B4595" s="3" t="s">
        <v>51</v>
      </c>
      <c r="C4595" s="3" t="s">
        <v>30</v>
      </c>
      <c r="D4595" s="3">
        <v>27187.63</v>
      </c>
      <c r="E4595" s="3">
        <v>27182.44</v>
      </c>
      <c r="F4595" s="3">
        <v>37342.4728885372</v>
      </c>
      <c r="G4595" s="3">
        <v>23935.82</v>
      </c>
      <c r="H4595" s="3">
        <v>-148739.030814085</v>
      </c>
      <c r="I4595" s="3">
        <v>68157.8219789153</v>
      </c>
      <c r="J4595" s="4">
        <v>45778.0</v>
      </c>
      <c r="K4595" s="3">
        <v>21.0</v>
      </c>
      <c r="L4595" s="3" t="s">
        <v>42</v>
      </c>
    </row>
    <row r="4596" ht="15.75" customHeight="1">
      <c r="A4596" s="3" t="s">
        <v>4688</v>
      </c>
      <c r="B4596" s="3" t="s">
        <v>51</v>
      </c>
      <c r="C4596" s="3" t="s">
        <v>54</v>
      </c>
      <c r="D4596" s="3">
        <v>19830.28</v>
      </c>
      <c r="E4596" s="3">
        <v>17714.27</v>
      </c>
      <c r="F4596" s="3">
        <v>37350.1528919667</v>
      </c>
      <c r="G4596" s="3">
        <v>8893.67</v>
      </c>
      <c r="H4596" s="3">
        <v>-148788.534531834</v>
      </c>
      <c r="I4596" s="3">
        <v>68161.2034533351</v>
      </c>
      <c r="J4596" s="4">
        <v>45717.0</v>
      </c>
      <c r="K4596" s="3">
        <v>1.0</v>
      </c>
      <c r="L4596" s="3" t="s">
        <v>15</v>
      </c>
    </row>
    <row r="4597" ht="15.75" customHeight="1">
      <c r="A4597" s="3" t="s">
        <v>4689</v>
      </c>
      <c r="B4597" s="3" t="s">
        <v>13</v>
      </c>
      <c r="C4597" s="3" t="s">
        <v>14</v>
      </c>
      <c r="D4597" s="3">
        <v>19276.52</v>
      </c>
      <c r="E4597" s="3">
        <v>5964.35</v>
      </c>
      <c r="F4597" s="3">
        <v>37357.8328953962</v>
      </c>
      <c r="G4597" s="3">
        <v>3086.6</v>
      </c>
      <c r="H4597" s="3">
        <v>-148838.038249583</v>
      </c>
      <c r="I4597" s="3">
        <v>68164.584927755</v>
      </c>
      <c r="J4597" s="4">
        <v>45931.0</v>
      </c>
      <c r="K4597" s="3">
        <v>8.0</v>
      </c>
      <c r="L4597" s="3" t="s">
        <v>19</v>
      </c>
    </row>
    <row r="4598" ht="15.75" customHeight="1">
      <c r="A4598" s="3" t="s">
        <v>4690</v>
      </c>
      <c r="B4598" s="3" t="s">
        <v>36</v>
      </c>
      <c r="C4598" s="3" t="s">
        <v>30</v>
      </c>
      <c r="D4598" s="3">
        <v>104823.36</v>
      </c>
      <c r="E4598" s="3">
        <v>25580.6</v>
      </c>
      <c r="F4598" s="3">
        <v>37365.5128988257</v>
      </c>
      <c r="G4598" s="3">
        <v>5114.5</v>
      </c>
      <c r="H4598" s="3">
        <v>-148887.541967332</v>
      </c>
      <c r="I4598" s="3">
        <v>68167.9664021748</v>
      </c>
      <c r="J4598" s="4">
        <v>45689.0</v>
      </c>
      <c r="K4598" s="3">
        <v>1.0</v>
      </c>
      <c r="L4598" s="3" t="s">
        <v>21</v>
      </c>
    </row>
    <row r="4599" ht="15.75" customHeight="1">
      <c r="A4599" s="3" t="s">
        <v>4691</v>
      </c>
      <c r="B4599" s="3" t="s">
        <v>29</v>
      </c>
      <c r="C4599" s="3" t="s">
        <v>33</v>
      </c>
      <c r="D4599" s="3">
        <v>88884.08</v>
      </c>
      <c r="E4599" s="3">
        <v>36486.52</v>
      </c>
      <c r="F4599" s="3">
        <v>37373.1929022552</v>
      </c>
      <c r="G4599" s="5"/>
      <c r="H4599" s="3">
        <v>-148937.045685081</v>
      </c>
      <c r="I4599" s="3">
        <v>68171.3478765946</v>
      </c>
      <c r="J4599" s="4">
        <v>45931.0</v>
      </c>
      <c r="K4599" s="3">
        <v>3.0</v>
      </c>
      <c r="L4599" s="3" t="s">
        <v>23</v>
      </c>
    </row>
    <row r="4600" ht="15.75" customHeight="1">
      <c r="A4600" s="3" t="s">
        <v>4692</v>
      </c>
      <c r="B4600" s="3" t="s">
        <v>51</v>
      </c>
      <c r="C4600" s="3" t="s">
        <v>14</v>
      </c>
      <c r="D4600" s="3">
        <v>64788.25</v>
      </c>
      <c r="E4600" s="3">
        <v>17795.75</v>
      </c>
      <c r="F4600" s="3">
        <v>37380.8729056847</v>
      </c>
      <c r="G4600" s="3">
        <v>19934.13</v>
      </c>
      <c r="H4600" s="3">
        <v>-148986.54940283</v>
      </c>
      <c r="I4600" s="3">
        <v>68174.7293510144</v>
      </c>
      <c r="J4600" s="4">
        <v>45778.0</v>
      </c>
      <c r="K4600" s="3">
        <v>25.0</v>
      </c>
      <c r="L4600" s="3" t="s">
        <v>27</v>
      </c>
    </row>
    <row r="4601" ht="15.75" customHeight="1">
      <c r="A4601" s="3" t="s">
        <v>4693</v>
      </c>
      <c r="B4601" s="3" t="s">
        <v>13</v>
      </c>
      <c r="C4601" s="3" t="s">
        <v>37</v>
      </c>
      <c r="D4601" s="3">
        <v>25272.59</v>
      </c>
      <c r="E4601" s="3">
        <v>11787.98</v>
      </c>
      <c r="F4601" s="3">
        <v>37388.5529091142</v>
      </c>
      <c r="G4601" s="3">
        <v>4178.76</v>
      </c>
      <c r="H4601" s="3">
        <v>-149036.053120579</v>
      </c>
      <c r="I4601" s="3">
        <v>68178.1108254342</v>
      </c>
      <c r="J4601" s="4">
        <v>45778.0</v>
      </c>
      <c r="K4601" s="3">
        <v>8.0</v>
      </c>
      <c r="L4601" s="3" t="s">
        <v>31</v>
      </c>
    </row>
    <row r="4602" ht="15.75" customHeight="1">
      <c r="A4602" s="3" t="s">
        <v>4694</v>
      </c>
      <c r="B4602" s="3" t="s">
        <v>53</v>
      </c>
      <c r="C4602" s="3" t="s">
        <v>33</v>
      </c>
      <c r="D4602" s="3">
        <v>66619.67</v>
      </c>
      <c r="E4602" s="3">
        <v>19932.78</v>
      </c>
      <c r="F4602" s="3">
        <v>37396.2329125437</v>
      </c>
      <c r="G4602" s="3">
        <v>16663.42</v>
      </c>
      <c r="H4602" s="3">
        <v>-149085.556838329</v>
      </c>
      <c r="I4602" s="3">
        <v>68181.492299854</v>
      </c>
      <c r="J4602" s="4">
        <v>45870.0</v>
      </c>
      <c r="K4602" s="3">
        <v>21.0</v>
      </c>
      <c r="L4602" s="3" t="s">
        <v>34</v>
      </c>
    </row>
    <row r="4603" ht="15.75" customHeight="1">
      <c r="A4603" s="3" t="s">
        <v>4695</v>
      </c>
      <c r="B4603" s="3" t="s">
        <v>17</v>
      </c>
      <c r="C4603" s="3" t="s">
        <v>37</v>
      </c>
      <c r="D4603" s="3">
        <v>64714.54</v>
      </c>
      <c r="E4603" s="3">
        <v>5741.06</v>
      </c>
      <c r="F4603" s="3">
        <v>37403.9129159732</v>
      </c>
      <c r="G4603" s="3">
        <v>8427.65</v>
      </c>
      <c r="H4603" s="3">
        <v>-149135.060556078</v>
      </c>
      <c r="I4603" s="3">
        <v>68184.8737742738</v>
      </c>
      <c r="J4603" s="4">
        <v>45992.0</v>
      </c>
      <c r="K4603" s="3">
        <v>23.0</v>
      </c>
      <c r="L4603" s="3" t="s">
        <v>38</v>
      </c>
    </row>
    <row r="4604" ht="15.75" customHeight="1">
      <c r="A4604" s="3" t="s">
        <v>4696</v>
      </c>
      <c r="B4604" s="3" t="s">
        <v>25</v>
      </c>
      <c r="C4604" s="3" t="s">
        <v>33</v>
      </c>
      <c r="D4604" s="3">
        <v>33186.2</v>
      </c>
      <c r="E4604" s="3">
        <v>33537.55</v>
      </c>
      <c r="F4604" s="3">
        <v>37411.5929194027</v>
      </c>
      <c r="G4604" s="3">
        <v>8859.45</v>
      </c>
      <c r="H4604" s="3">
        <v>-149184.564273827</v>
      </c>
      <c r="I4604" s="3">
        <v>68188.2552486937</v>
      </c>
      <c r="J4604" s="4">
        <v>45901.0</v>
      </c>
      <c r="K4604" s="3">
        <v>16.0</v>
      </c>
      <c r="L4604" s="3" t="s">
        <v>40</v>
      </c>
    </row>
    <row r="4605" ht="15.75" customHeight="1">
      <c r="A4605" s="3" t="s">
        <v>4697</v>
      </c>
      <c r="B4605" s="3" t="s">
        <v>25</v>
      </c>
      <c r="C4605" s="3" t="s">
        <v>54</v>
      </c>
      <c r="D4605" s="3">
        <v>60554.42</v>
      </c>
      <c r="E4605" s="3">
        <v>33748.27</v>
      </c>
      <c r="F4605" s="3">
        <v>37419.2729228322</v>
      </c>
      <c r="G4605" s="3">
        <v>16716.98</v>
      </c>
      <c r="H4605" s="3">
        <v>-149234.067991576</v>
      </c>
      <c r="I4605" s="3">
        <v>68191.6367231135</v>
      </c>
      <c r="J4605" s="4">
        <v>45717.0</v>
      </c>
      <c r="K4605" s="3">
        <v>23.0</v>
      </c>
      <c r="L4605" s="3" t="s">
        <v>42</v>
      </c>
    </row>
    <row r="4606" ht="15.75" customHeight="1">
      <c r="A4606" s="3" t="s">
        <v>4698</v>
      </c>
      <c r="B4606" s="3" t="s">
        <v>51</v>
      </c>
      <c r="C4606" s="3" t="s">
        <v>26</v>
      </c>
      <c r="D4606" s="3">
        <v>56843.0</v>
      </c>
      <c r="E4606" s="3">
        <v>25168.02</v>
      </c>
      <c r="F4606" s="3">
        <v>37426.9529262617</v>
      </c>
      <c r="G4606" s="3">
        <v>11941.49</v>
      </c>
      <c r="H4606" s="3">
        <v>-149283.571709325</v>
      </c>
      <c r="I4606" s="3">
        <v>68195.0181975333</v>
      </c>
      <c r="J4606" s="3" t="s">
        <v>2763</v>
      </c>
      <c r="K4606" s="3">
        <v>8.0</v>
      </c>
      <c r="L4606" s="3" t="s">
        <v>15</v>
      </c>
    </row>
    <row r="4607" ht="15.75" customHeight="1">
      <c r="A4607" s="3" t="s">
        <v>4699</v>
      </c>
      <c r="B4607" s="3" t="s">
        <v>53</v>
      </c>
      <c r="C4607" s="3" t="s">
        <v>18</v>
      </c>
      <c r="D4607" s="3">
        <v>79664.26</v>
      </c>
      <c r="E4607" s="3">
        <v>16711.7</v>
      </c>
      <c r="F4607" s="3">
        <v>37434.6329296912</v>
      </c>
      <c r="G4607" s="3">
        <v>20394.82</v>
      </c>
      <c r="H4607" s="3">
        <v>-149333.075427074</v>
      </c>
      <c r="I4607" s="3">
        <v>68198.3996719531</v>
      </c>
      <c r="J4607" s="4">
        <v>45748.0</v>
      </c>
      <c r="K4607" s="3">
        <v>3.0</v>
      </c>
      <c r="L4607" s="3" t="s">
        <v>19</v>
      </c>
    </row>
    <row r="4608" ht="15.75" customHeight="1">
      <c r="A4608" s="3" t="s">
        <v>4700</v>
      </c>
      <c r="B4608" s="3" t="s">
        <v>17</v>
      </c>
      <c r="C4608" s="3" t="s">
        <v>14</v>
      </c>
      <c r="D4608" s="3">
        <v>81684.83</v>
      </c>
      <c r="E4608" s="3">
        <v>32792.2</v>
      </c>
      <c r="F4608" s="3">
        <v>37442.3129331207</v>
      </c>
      <c r="G4608" s="3">
        <v>4320.0</v>
      </c>
      <c r="H4608" s="3">
        <v>-149382.579144823</v>
      </c>
      <c r="I4608" s="3">
        <v>68201.7811463729</v>
      </c>
      <c r="J4608" s="4">
        <v>45778.0</v>
      </c>
      <c r="K4608" s="3">
        <v>20.0</v>
      </c>
      <c r="L4608" s="3" t="s">
        <v>21</v>
      </c>
    </row>
    <row r="4609" ht="15.75" customHeight="1">
      <c r="A4609" s="3" t="s">
        <v>4701</v>
      </c>
      <c r="B4609" s="3" t="s">
        <v>51</v>
      </c>
      <c r="C4609" s="3" t="s">
        <v>26</v>
      </c>
      <c r="D4609" s="3">
        <v>54334.32</v>
      </c>
      <c r="E4609" s="3">
        <v>33733.56</v>
      </c>
      <c r="F4609" s="3">
        <v>37457.6729399797</v>
      </c>
      <c r="G4609" s="3">
        <v>2073.76</v>
      </c>
      <c r="H4609" s="3">
        <v>-149481.586580322</v>
      </c>
      <c r="I4609" s="3">
        <v>68208.5440952126</v>
      </c>
      <c r="J4609" s="4">
        <v>45962.0</v>
      </c>
      <c r="K4609" s="3">
        <v>6.0</v>
      </c>
      <c r="L4609" s="3" t="s">
        <v>27</v>
      </c>
    </row>
    <row r="4610" ht="15.75" customHeight="1">
      <c r="A4610" s="3" t="s">
        <v>4702</v>
      </c>
      <c r="B4610" s="3" t="s">
        <v>17</v>
      </c>
      <c r="C4610" s="3" t="s">
        <v>18</v>
      </c>
      <c r="D4610" s="3">
        <v>80715.29</v>
      </c>
      <c r="E4610" s="3">
        <v>26732.52</v>
      </c>
      <c r="F4610" s="3">
        <v>37465.3529434092</v>
      </c>
      <c r="G4610" s="3">
        <v>5254.32</v>
      </c>
      <c r="H4610" s="3">
        <v>-149531.090298071</v>
      </c>
      <c r="I4610" s="3">
        <v>68211.9255696324</v>
      </c>
      <c r="J4610" s="4">
        <v>45717.0</v>
      </c>
      <c r="K4610" s="3">
        <v>11.0</v>
      </c>
      <c r="L4610" s="3" t="s">
        <v>31</v>
      </c>
    </row>
    <row r="4611" ht="15.75" customHeight="1">
      <c r="A4611" s="3" t="s">
        <v>4703</v>
      </c>
      <c r="B4611" s="3" t="s">
        <v>36</v>
      </c>
      <c r="C4611" s="3" t="s">
        <v>30</v>
      </c>
      <c r="D4611" s="3">
        <v>67829.31</v>
      </c>
      <c r="E4611" s="3">
        <v>32238.6</v>
      </c>
      <c r="F4611" s="3">
        <v>37473.0329468387</v>
      </c>
      <c r="G4611" s="3">
        <v>16575.67</v>
      </c>
      <c r="H4611" s="3">
        <v>-149580.59401582</v>
      </c>
      <c r="I4611" s="3">
        <v>68215.3070440522</v>
      </c>
      <c r="J4611" s="4">
        <v>45658.0</v>
      </c>
      <c r="K4611" s="3">
        <v>7.0</v>
      </c>
      <c r="L4611" s="3" t="s">
        <v>34</v>
      </c>
    </row>
    <row r="4612" ht="15.75" customHeight="1">
      <c r="A4612" s="3" t="s">
        <v>4704</v>
      </c>
      <c r="B4612" s="3" t="s">
        <v>17</v>
      </c>
      <c r="C4612" s="3" t="s">
        <v>37</v>
      </c>
      <c r="D4612" s="3">
        <v>84162.83</v>
      </c>
      <c r="E4612" s="3">
        <v>18909.08</v>
      </c>
      <c r="F4612" s="3">
        <v>37488.3929536977</v>
      </c>
      <c r="G4612" s="3">
        <v>6690.65</v>
      </c>
      <c r="H4612" s="3">
        <v>-149679.601451318</v>
      </c>
      <c r="I4612" s="3">
        <v>68222.0699928918</v>
      </c>
      <c r="J4612" s="4">
        <v>45931.0</v>
      </c>
      <c r="K4612" s="3">
        <v>9.0</v>
      </c>
      <c r="L4612" s="3" t="s">
        <v>40</v>
      </c>
    </row>
    <row r="4613" ht="15.75" customHeight="1">
      <c r="A4613" s="3" t="s">
        <v>4705</v>
      </c>
      <c r="B4613" s="3" t="s">
        <v>51</v>
      </c>
      <c r="C4613" s="3" t="s">
        <v>26</v>
      </c>
      <c r="D4613" s="3">
        <v>32108.11</v>
      </c>
      <c r="E4613" s="3">
        <v>38486.05</v>
      </c>
      <c r="F4613" s="3">
        <v>37496.0729571272</v>
      </c>
      <c r="G4613" s="3">
        <v>8516.19</v>
      </c>
      <c r="H4613" s="3">
        <v>-149729.105169067</v>
      </c>
      <c r="I4613" s="3">
        <v>68225.4514673116</v>
      </c>
      <c r="J4613" s="4">
        <v>45809.0</v>
      </c>
      <c r="K4613" s="3">
        <v>3.0</v>
      </c>
      <c r="L4613" s="3" t="s">
        <v>42</v>
      </c>
    </row>
    <row r="4614" ht="15.75" customHeight="1">
      <c r="A4614" s="3" t="s">
        <v>4706</v>
      </c>
      <c r="B4614" s="3" t="s">
        <v>51</v>
      </c>
      <c r="C4614" s="3" t="s">
        <v>30</v>
      </c>
      <c r="D4614" s="3">
        <v>22409.72</v>
      </c>
      <c r="E4614" s="3">
        <v>23480.1</v>
      </c>
      <c r="F4614" s="3">
        <v>37503.7529605567</v>
      </c>
      <c r="G4614" s="3">
        <v>13659.46</v>
      </c>
      <c r="H4614" s="3">
        <v>-149778.608886816</v>
      </c>
      <c r="I4614" s="3">
        <v>68228.8329417314</v>
      </c>
      <c r="J4614" s="4">
        <v>45901.0</v>
      </c>
      <c r="K4614" s="3">
        <v>5.0</v>
      </c>
      <c r="L4614" s="3" t="s">
        <v>15</v>
      </c>
    </row>
    <row r="4615" ht="15.75" customHeight="1">
      <c r="A4615" s="3" t="s">
        <v>4707</v>
      </c>
      <c r="B4615" s="3" t="s">
        <v>53</v>
      </c>
      <c r="C4615" s="3" t="s">
        <v>26</v>
      </c>
      <c r="D4615" s="3">
        <v>82454.02</v>
      </c>
      <c r="E4615" s="3">
        <v>25783.22</v>
      </c>
      <c r="F4615" s="3">
        <v>37511.4329639862</v>
      </c>
      <c r="G4615" s="3">
        <v>5683.53</v>
      </c>
      <c r="H4615" s="3">
        <v>-149828.112604565</v>
      </c>
      <c r="I4615" s="3">
        <v>68232.2144161513</v>
      </c>
      <c r="J4615" s="4">
        <v>45901.0</v>
      </c>
      <c r="K4615" s="3">
        <v>4.0</v>
      </c>
      <c r="L4615" s="3" t="s">
        <v>19</v>
      </c>
    </row>
    <row r="4616" ht="15.75" customHeight="1">
      <c r="A4616" s="3" t="s">
        <v>4708</v>
      </c>
      <c r="B4616" s="3" t="s">
        <v>25</v>
      </c>
      <c r="C4616" s="3" t="s">
        <v>54</v>
      </c>
      <c r="D4616" s="3">
        <v>17783.69</v>
      </c>
      <c r="E4616" s="3">
        <v>11937.56</v>
      </c>
      <c r="F4616" s="3">
        <v>37519.1129674157</v>
      </c>
      <c r="G4616" s="3">
        <v>20373.33</v>
      </c>
      <c r="H4616" s="3">
        <v>-149877.616322315</v>
      </c>
      <c r="I4616" s="3">
        <v>68235.5958905711</v>
      </c>
      <c r="J4616" s="4">
        <v>45931.0</v>
      </c>
      <c r="K4616" s="3">
        <v>3.0</v>
      </c>
      <c r="L4616" s="3" t="s">
        <v>21</v>
      </c>
    </row>
    <row r="4617" ht="15.75" customHeight="1">
      <c r="A4617" s="3" t="s">
        <v>4709</v>
      </c>
      <c r="B4617" s="3" t="s">
        <v>17</v>
      </c>
      <c r="C4617" s="3" t="s">
        <v>54</v>
      </c>
      <c r="D4617" s="3">
        <v>76506.44</v>
      </c>
      <c r="E4617" s="3">
        <v>26523.43</v>
      </c>
      <c r="F4617" s="3">
        <v>37526.7929708452</v>
      </c>
      <c r="G4617" s="3">
        <v>19454.1</v>
      </c>
      <c r="H4617" s="3">
        <v>-149927.120040064</v>
      </c>
      <c r="I4617" s="3">
        <v>68238.9773649909</v>
      </c>
      <c r="J4617" s="4">
        <v>45931.0</v>
      </c>
      <c r="K4617" s="3">
        <v>21.0</v>
      </c>
      <c r="L4617" s="3" t="s">
        <v>23</v>
      </c>
    </row>
    <row r="4618" ht="15.75" customHeight="1">
      <c r="A4618" s="3" t="s">
        <v>4710</v>
      </c>
      <c r="B4618" s="3" t="s">
        <v>53</v>
      </c>
      <c r="C4618" s="3" t="s">
        <v>37</v>
      </c>
      <c r="D4618" s="3">
        <v>113724.18</v>
      </c>
      <c r="E4618" s="3">
        <v>24577.88</v>
      </c>
      <c r="F4618" s="3">
        <v>37534.4729742747</v>
      </c>
      <c r="G4618" s="3">
        <v>4059.65</v>
      </c>
      <c r="H4618" s="3">
        <v>-149976.623757813</v>
      </c>
      <c r="I4618" s="3">
        <v>68242.3588394107</v>
      </c>
      <c r="J4618" s="4">
        <v>45778.0</v>
      </c>
      <c r="K4618" s="3">
        <v>3.0</v>
      </c>
      <c r="L4618" s="3" t="s">
        <v>27</v>
      </c>
    </row>
    <row r="4619" ht="15.75" customHeight="1">
      <c r="A4619" s="3" t="s">
        <v>4711</v>
      </c>
      <c r="B4619" s="3" t="s">
        <v>53</v>
      </c>
      <c r="C4619" s="3" t="s">
        <v>26</v>
      </c>
      <c r="D4619" s="3">
        <v>75424.79</v>
      </c>
      <c r="E4619" s="3">
        <v>10654.18</v>
      </c>
      <c r="F4619" s="3">
        <v>37542.1529777042</v>
      </c>
      <c r="G4619" s="3">
        <v>11863.83</v>
      </c>
      <c r="H4619" s="3">
        <v>-150026.127475562</v>
      </c>
      <c r="I4619" s="3">
        <v>68245.7403138305</v>
      </c>
      <c r="J4619" s="4">
        <v>45839.0</v>
      </c>
      <c r="K4619" s="3">
        <v>11.0</v>
      </c>
      <c r="L4619" s="3" t="s">
        <v>31</v>
      </c>
    </row>
    <row r="4620" ht="15.75" customHeight="1">
      <c r="A4620" s="3" t="s">
        <v>4712</v>
      </c>
      <c r="B4620" s="3" t="s">
        <v>36</v>
      </c>
      <c r="C4620" s="3" t="s">
        <v>26</v>
      </c>
      <c r="D4620" s="3">
        <v>55757.84</v>
      </c>
      <c r="E4620" s="3">
        <v>6145.14</v>
      </c>
      <c r="F4620" s="3">
        <v>37549.8329811336</v>
      </c>
      <c r="G4620" s="3">
        <v>19483.28</v>
      </c>
      <c r="H4620" s="3">
        <v>-150075.631193311</v>
      </c>
      <c r="I4620" s="3">
        <v>68249.1217882503</v>
      </c>
      <c r="J4620" s="4">
        <v>45658.0</v>
      </c>
      <c r="K4620" s="3">
        <v>6.0</v>
      </c>
      <c r="L4620" s="3" t="s">
        <v>34</v>
      </c>
    </row>
    <row r="4621" ht="15.75" customHeight="1">
      <c r="A4621" s="3" t="s">
        <v>4713</v>
      </c>
      <c r="B4621" s="3" t="s">
        <v>29</v>
      </c>
      <c r="C4621" s="3" t="s">
        <v>26</v>
      </c>
      <c r="D4621" s="3">
        <v>82545.26</v>
      </c>
      <c r="E4621" s="3">
        <v>25756.94</v>
      </c>
      <c r="F4621" s="3">
        <v>37557.5129845631</v>
      </c>
      <c r="G4621" s="3">
        <v>8764.57</v>
      </c>
      <c r="H4621" s="3">
        <v>-150125.13491106</v>
      </c>
      <c r="I4621" s="3">
        <v>68252.5032626701</v>
      </c>
      <c r="J4621" s="4">
        <v>45931.0</v>
      </c>
      <c r="K4621" s="3">
        <v>8.0</v>
      </c>
      <c r="L4621" s="3" t="s">
        <v>38</v>
      </c>
    </row>
    <row r="4622" ht="15.75" customHeight="1">
      <c r="A4622" s="3" t="s">
        <v>4714</v>
      </c>
      <c r="B4622" s="3" t="s">
        <v>13</v>
      </c>
      <c r="C4622" s="3" t="s">
        <v>30</v>
      </c>
      <c r="D4622" s="3">
        <v>63116.55</v>
      </c>
      <c r="E4622" s="3">
        <v>31492.92</v>
      </c>
      <c r="F4622" s="3">
        <v>37565.1929879926</v>
      </c>
      <c r="G4622" s="3">
        <v>16011.12</v>
      </c>
      <c r="H4622" s="3">
        <v>-150174.638628809</v>
      </c>
      <c r="I4622" s="3">
        <v>68255.88473709</v>
      </c>
      <c r="J4622" s="4">
        <v>45962.0</v>
      </c>
      <c r="K4622" s="3">
        <v>4.0</v>
      </c>
      <c r="L4622" s="3" t="s">
        <v>40</v>
      </c>
    </row>
    <row r="4623" ht="15.75" customHeight="1">
      <c r="A4623" s="3" t="s">
        <v>4715</v>
      </c>
      <c r="B4623" s="3" t="s">
        <v>17</v>
      </c>
      <c r="C4623" s="3" t="s">
        <v>18</v>
      </c>
      <c r="D4623" s="3">
        <v>72289.76</v>
      </c>
      <c r="E4623" s="3">
        <v>22842.45</v>
      </c>
      <c r="F4623" s="3">
        <v>37572.8729914221</v>
      </c>
      <c r="G4623" s="3">
        <v>1730.22</v>
      </c>
      <c r="H4623" s="3">
        <v>-150224.142346558</v>
      </c>
      <c r="I4623" s="3">
        <v>68259.2662115098</v>
      </c>
      <c r="J4623" s="4">
        <v>45748.0</v>
      </c>
      <c r="K4623" s="3">
        <v>10.0</v>
      </c>
      <c r="L4623" s="3" t="s">
        <v>42</v>
      </c>
    </row>
    <row r="4624" ht="15.75" customHeight="1">
      <c r="A4624" s="3" t="s">
        <v>4716</v>
      </c>
      <c r="B4624" s="3" t="s">
        <v>25</v>
      </c>
      <c r="C4624" s="3" t="s">
        <v>37</v>
      </c>
      <c r="D4624" s="3">
        <v>113853.8</v>
      </c>
      <c r="E4624" s="3">
        <v>12163.81</v>
      </c>
      <c r="F4624" s="3">
        <v>37580.5529948516</v>
      </c>
      <c r="G4624" s="3">
        <v>15412.87</v>
      </c>
      <c r="H4624" s="3">
        <v>-150273.646064308</v>
      </c>
      <c r="I4624" s="3">
        <v>68262.6476859296</v>
      </c>
      <c r="J4624" s="4">
        <v>45809.0</v>
      </c>
      <c r="K4624" s="3">
        <v>19.0</v>
      </c>
      <c r="L4624" s="3" t="s">
        <v>15</v>
      </c>
    </row>
    <row r="4625" ht="15.75" customHeight="1">
      <c r="A4625" s="3" t="s">
        <v>4717</v>
      </c>
      <c r="B4625" s="3" t="s">
        <v>17</v>
      </c>
      <c r="C4625" s="3" t="s">
        <v>30</v>
      </c>
      <c r="D4625" s="3">
        <v>115925.01</v>
      </c>
      <c r="E4625" s="3">
        <v>6883.81</v>
      </c>
      <c r="F4625" s="3">
        <v>37595.9130017106</v>
      </c>
      <c r="G4625" s="3">
        <v>20849.29</v>
      </c>
      <c r="H4625" s="3">
        <v>-150372.653499806</v>
      </c>
      <c r="I4625" s="3">
        <v>68269.4106347692</v>
      </c>
      <c r="J4625" s="4">
        <v>45901.0</v>
      </c>
      <c r="K4625" s="3">
        <v>19.0</v>
      </c>
      <c r="L4625" s="3" t="s">
        <v>21</v>
      </c>
    </row>
    <row r="4626" ht="15.75" customHeight="1">
      <c r="A4626" s="3" t="s">
        <v>4718</v>
      </c>
      <c r="B4626" s="3" t="s">
        <v>13</v>
      </c>
      <c r="C4626" s="3" t="s">
        <v>54</v>
      </c>
      <c r="D4626" s="3">
        <v>110061.82</v>
      </c>
      <c r="E4626" s="3">
        <v>19906.01</v>
      </c>
      <c r="F4626" s="3">
        <v>37603.5930051401</v>
      </c>
      <c r="G4626" s="3">
        <v>9208.51</v>
      </c>
      <c r="H4626" s="3">
        <v>-150422.157217555</v>
      </c>
      <c r="I4626" s="3">
        <v>68272.792109189</v>
      </c>
      <c r="J4626" s="4">
        <v>45809.0</v>
      </c>
      <c r="K4626" s="3">
        <v>4.0</v>
      </c>
      <c r="L4626" s="3" t="s">
        <v>23</v>
      </c>
    </row>
    <row r="4627" ht="15.75" customHeight="1">
      <c r="A4627" s="3" t="s">
        <v>4719</v>
      </c>
      <c r="B4627" s="3" t="s">
        <v>29</v>
      </c>
      <c r="C4627" s="3" t="s">
        <v>18</v>
      </c>
      <c r="D4627" s="3">
        <v>35558.07</v>
      </c>
      <c r="E4627" s="3">
        <v>9881.2</v>
      </c>
      <c r="F4627" s="3">
        <v>37611.2730085696</v>
      </c>
      <c r="G4627" s="3">
        <v>7398.07</v>
      </c>
      <c r="H4627" s="3">
        <v>-150471.660935304</v>
      </c>
      <c r="I4627" s="3">
        <v>68276.1735836088</v>
      </c>
      <c r="J4627" s="4">
        <v>45992.0</v>
      </c>
      <c r="K4627" s="3">
        <v>16.0</v>
      </c>
      <c r="L4627" s="3" t="s">
        <v>27</v>
      </c>
    </row>
    <row r="4628" ht="15.75" customHeight="1">
      <c r="A4628" s="3" t="s">
        <v>4720</v>
      </c>
      <c r="B4628" s="3" t="s">
        <v>29</v>
      </c>
      <c r="C4628" s="3" t="s">
        <v>18</v>
      </c>
      <c r="D4628" s="3">
        <v>22282.94</v>
      </c>
      <c r="E4628" s="3">
        <v>10640.53</v>
      </c>
      <c r="F4628" s="3">
        <v>37618.9530119991</v>
      </c>
      <c r="G4628" s="3">
        <v>21101.78</v>
      </c>
      <c r="H4628" s="3">
        <v>-150521.164653053</v>
      </c>
      <c r="I4628" s="3">
        <v>68279.5550580287</v>
      </c>
      <c r="J4628" s="4">
        <v>45748.0</v>
      </c>
      <c r="K4628" s="3">
        <v>5.0</v>
      </c>
      <c r="L4628" s="3" t="s">
        <v>31</v>
      </c>
    </row>
    <row r="4629" ht="15.75" customHeight="1">
      <c r="A4629" s="3" t="s">
        <v>4721</v>
      </c>
      <c r="B4629" s="3" t="s">
        <v>17</v>
      </c>
      <c r="C4629" s="3" t="s">
        <v>54</v>
      </c>
      <c r="D4629" s="3">
        <v>25581.69</v>
      </c>
      <c r="E4629" s="3">
        <v>11282.58</v>
      </c>
      <c r="F4629" s="3">
        <v>37626.6330154286</v>
      </c>
      <c r="G4629" s="3">
        <v>1728.53</v>
      </c>
      <c r="H4629" s="3">
        <v>-150570.668370802</v>
      </c>
      <c r="I4629" s="3">
        <v>68282.9365324485</v>
      </c>
      <c r="J4629" s="4">
        <v>45778.0</v>
      </c>
      <c r="K4629" s="3">
        <v>5.0</v>
      </c>
      <c r="L4629" s="3" t="s">
        <v>34</v>
      </c>
    </row>
    <row r="4630" ht="15.75" customHeight="1">
      <c r="A4630" s="3" t="s">
        <v>4722</v>
      </c>
      <c r="B4630" s="3" t="s">
        <v>13</v>
      </c>
      <c r="C4630" s="3" t="s">
        <v>37</v>
      </c>
      <c r="D4630" s="3">
        <v>16913.29</v>
      </c>
      <c r="E4630" s="3">
        <v>17921.45</v>
      </c>
      <c r="F4630" s="3">
        <v>37634.3130188581</v>
      </c>
      <c r="G4630" s="3">
        <v>10216.92</v>
      </c>
      <c r="H4630" s="3">
        <v>-150620.172088551</v>
      </c>
      <c r="I4630" s="3">
        <v>68286.3180068683</v>
      </c>
      <c r="J4630" s="4">
        <v>45901.0</v>
      </c>
      <c r="K4630" s="3">
        <v>22.0</v>
      </c>
      <c r="L4630" s="3" t="s">
        <v>38</v>
      </c>
    </row>
    <row r="4631" ht="15.75" customHeight="1">
      <c r="A4631" s="3" t="s">
        <v>4723</v>
      </c>
      <c r="B4631" s="3" t="s">
        <v>53</v>
      </c>
      <c r="C4631" s="3" t="s">
        <v>33</v>
      </c>
      <c r="D4631" s="3">
        <v>24916.51</v>
      </c>
      <c r="E4631" s="3">
        <v>5841.41</v>
      </c>
      <c r="F4631" s="3">
        <v>37641.9930222877</v>
      </c>
      <c r="G4631" s="3">
        <v>9565.09</v>
      </c>
      <c r="H4631" s="3">
        <v>-150669.675806301</v>
      </c>
      <c r="I4631" s="3">
        <v>68289.6994812881</v>
      </c>
      <c r="J4631" s="4">
        <v>45839.0</v>
      </c>
      <c r="K4631" s="3">
        <v>23.0</v>
      </c>
      <c r="L4631" s="3" t="s">
        <v>40</v>
      </c>
    </row>
    <row r="4632" ht="15.75" customHeight="1">
      <c r="A4632" s="3" t="s">
        <v>4724</v>
      </c>
      <c r="B4632" s="3" t="s">
        <v>17</v>
      </c>
      <c r="C4632" s="3" t="s">
        <v>26</v>
      </c>
      <c r="D4632" s="3">
        <v>86715.71</v>
      </c>
      <c r="E4632" s="3">
        <v>18320.56</v>
      </c>
      <c r="F4632" s="3">
        <v>37649.6730257171</v>
      </c>
      <c r="G4632" s="3">
        <v>7477.61</v>
      </c>
      <c r="H4632" s="3">
        <v>-150719.17952405</v>
      </c>
      <c r="I4632" s="3">
        <v>68293.0809557079</v>
      </c>
      <c r="J4632" s="4">
        <v>45658.0</v>
      </c>
      <c r="K4632" s="3">
        <v>24.0</v>
      </c>
      <c r="L4632" s="3" t="s">
        <v>42</v>
      </c>
    </row>
    <row r="4633" ht="15.75" customHeight="1">
      <c r="A4633" s="3" t="s">
        <v>4725</v>
      </c>
      <c r="B4633" s="3" t="s">
        <v>51</v>
      </c>
      <c r="C4633" s="3" t="s">
        <v>18</v>
      </c>
      <c r="D4633" s="3">
        <v>22474.81</v>
      </c>
      <c r="E4633" s="3">
        <v>22421.47</v>
      </c>
      <c r="F4633" s="3">
        <v>37657.3530291466</v>
      </c>
      <c r="G4633" s="3">
        <v>22837.98</v>
      </c>
      <c r="H4633" s="3">
        <v>-150768.683241799</v>
      </c>
      <c r="I4633" s="3">
        <v>68296.4624301277</v>
      </c>
      <c r="J4633" s="4">
        <v>45992.0</v>
      </c>
      <c r="K4633" s="3">
        <v>9.0</v>
      </c>
      <c r="L4633" s="3" t="s">
        <v>15</v>
      </c>
    </row>
    <row r="4634" ht="15.75" customHeight="1">
      <c r="A4634" s="3" t="s">
        <v>4726</v>
      </c>
      <c r="B4634" s="3" t="s">
        <v>25</v>
      </c>
      <c r="C4634" s="3" t="s">
        <v>14</v>
      </c>
      <c r="D4634" s="3">
        <v>48492.44</v>
      </c>
      <c r="E4634" s="3">
        <v>21398.59</v>
      </c>
      <c r="F4634" s="3">
        <v>37665.0330325761</v>
      </c>
      <c r="G4634" s="3">
        <v>18897.75</v>
      </c>
      <c r="H4634" s="3">
        <v>-150818.186959548</v>
      </c>
      <c r="I4634" s="3">
        <v>68299.8439045475</v>
      </c>
      <c r="J4634" s="4">
        <v>45992.0</v>
      </c>
      <c r="K4634" s="3">
        <v>23.0</v>
      </c>
      <c r="L4634" s="3" t="s">
        <v>19</v>
      </c>
    </row>
    <row r="4635" ht="15.75" customHeight="1">
      <c r="A4635" s="3" t="s">
        <v>4727</v>
      </c>
      <c r="B4635" s="3" t="s">
        <v>29</v>
      </c>
      <c r="C4635" s="3" t="s">
        <v>14</v>
      </c>
      <c r="D4635" s="3">
        <v>103711.91</v>
      </c>
      <c r="E4635" s="3">
        <v>17780.23</v>
      </c>
      <c r="F4635" s="3">
        <v>37672.7130360056</v>
      </c>
      <c r="G4635" s="3">
        <v>2066.12</v>
      </c>
      <c r="H4635" s="3">
        <v>-150867.690677297</v>
      </c>
      <c r="I4635" s="3">
        <v>68303.2253789674</v>
      </c>
      <c r="J4635" s="4">
        <v>45658.0</v>
      </c>
      <c r="K4635" s="3">
        <v>23.0</v>
      </c>
      <c r="L4635" s="3" t="s">
        <v>21</v>
      </c>
    </row>
    <row r="4636" ht="15.75" customHeight="1">
      <c r="A4636" s="3" t="s">
        <v>4728</v>
      </c>
      <c r="B4636" s="3" t="s">
        <v>36</v>
      </c>
      <c r="C4636" s="3" t="s">
        <v>37</v>
      </c>
      <c r="D4636" s="3">
        <v>17443.55</v>
      </c>
      <c r="E4636" s="3">
        <v>34209.28</v>
      </c>
      <c r="F4636" s="3">
        <v>37680.3930394351</v>
      </c>
      <c r="G4636" s="3">
        <v>18009.84</v>
      </c>
      <c r="H4636" s="3">
        <v>-150917.194395046</v>
      </c>
      <c r="I4636" s="3">
        <v>68306.6068533872</v>
      </c>
      <c r="J4636" s="4">
        <v>45809.0</v>
      </c>
      <c r="K4636" s="3">
        <v>7.0</v>
      </c>
      <c r="L4636" s="3" t="s">
        <v>23</v>
      </c>
    </row>
    <row r="4637" ht="15.75" customHeight="1">
      <c r="A4637" s="3" t="s">
        <v>4729</v>
      </c>
      <c r="B4637" s="3" t="s">
        <v>36</v>
      </c>
      <c r="C4637" s="3" t="s">
        <v>18</v>
      </c>
      <c r="D4637" s="3">
        <v>100519.19</v>
      </c>
      <c r="E4637" s="3">
        <v>9231.76</v>
      </c>
      <c r="F4637" s="3">
        <v>37688.0730428646</v>
      </c>
      <c r="G4637" s="3">
        <v>13418.83</v>
      </c>
      <c r="H4637" s="3">
        <v>-150966.698112795</v>
      </c>
      <c r="I4637" s="3">
        <v>68309.988327807</v>
      </c>
      <c r="J4637" s="4">
        <v>45901.0</v>
      </c>
      <c r="K4637" s="3">
        <v>22.0</v>
      </c>
      <c r="L4637" s="3" t="s">
        <v>27</v>
      </c>
    </row>
    <row r="4638" ht="15.75" customHeight="1">
      <c r="A4638" s="3" t="s">
        <v>4730</v>
      </c>
      <c r="B4638" s="3" t="s">
        <v>13</v>
      </c>
      <c r="C4638" s="3" t="s">
        <v>33</v>
      </c>
      <c r="D4638" s="3">
        <v>27407.31</v>
      </c>
      <c r="E4638" s="3">
        <v>6233.49</v>
      </c>
      <c r="F4638" s="3">
        <v>37703.4330497236</v>
      </c>
      <c r="G4638" s="3">
        <v>8167.17</v>
      </c>
      <c r="H4638" s="3">
        <v>-151065.705548294</v>
      </c>
      <c r="I4638" s="3">
        <v>68316.7512766466</v>
      </c>
      <c r="J4638" s="4">
        <v>45689.0</v>
      </c>
      <c r="K4638" s="3">
        <v>15.0</v>
      </c>
      <c r="L4638" s="3" t="s">
        <v>34</v>
      </c>
    </row>
    <row r="4639" ht="15.75" customHeight="1">
      <c r="A4639" s="3" t="s">
        <v>4731</v>
      </c>
      <c r="B4639" s="3" t="s">
        <v>13</v>
      </c>
      <c r="C4639" s="3" t="s">
        <v>30</v>
      </c>
      <c r="D4639" s="3">
        <v>88157.4</v>
      </c>
      <c r="E4639" s="3">
        <v>6561.6</v>
      </c>
      <c r="F4639" s="3">
        <v>37711.1130531531</v>
      </c>
      <c r="G4639" s="3">
        <v>14566.9</v>
      </c>
      <c r="H4639" s="3">
        <v>-151115.209266043</v>
      </c>
      <c r="I4639" s="3">
        <v>68320.1327510664</v>
      </c>
      <c r="J4639" s="4">
        <v>45658.0</v>
      </c>
      <c r="K4639" s="3">
        <v>22.0</v>
      </c>
      <c r="L4639" s="3" t="s">
        <v>38</v>
      </c>
    </row>
    <row r="4640" ht="15.75" customHeight="1">
      <c r="A4640" s="3" t="s">
        <v>4732</v>
      </c>
      <c r="B4640" s="3" t="s">
        <v>25</v>
      </c>
      <c r="C4640" s="3" t="s">
        <v>26</v>
      </c>
      <c r="D4640" s="3">
        <v>61325.3857745964</v>
      </c>
      <c r="E4640" s="3">
        <v>32404.3867839273</v>
      </c>
      <c r="F4640" s="3">
        <v>37718.7930565826</v>
      </c>
      <c r="G4640" s="3">
        <v>20556.1820872398</v>
      </c>
      <c r="H4640" s="3">
        <v>-151164.712983792</v>
      </c>
      <c r="I4640" s="3">
        <v>68323.5142254862</v>
      </c>
      <c r="J4640" s="4">
        <v>45839.0</v>
      </c>
      <c r="K4640" s="3">
        <v>25.0</v>
      </c>
      <c r="L4640" s="3" t="s">
        <v>40</v>
      </c>
    </row>
    <row r="4641" ht="15.75" customHeight="1">
      <c r="A4641" s="3" t="s">
        <v>4733</v>
      </c>
      <c r="B4641" s="3" t="s">
        <v>36</v>
      </c>
      <c r="C4641" s="3" t="s">
        <v>37</v>
      </c>
      <c r="D4641" s="3">
        <v>61336.2687445026</v>
      </c>
      <c r="E4641" s="3">
        <v>32407.7544005603</v>
      </c>
      <c r="F4641" s="3">
        <v>37726.4730600121</v>
      </c>
      <c r="G4641" s="3">
        <v>20558.6882314832</v>
      </c>
      <c r="H4641" s="3">
        <v>-151214.216701541</v>
      </c>
      <c r="I4641" s="3">
        <v>68326.895699906</v>
      </c>
      <c r="J4641" s="4">
        <v>45778.0</v>
      </c>
      <c r="K4641" s="3">
        <v>24.0</v>
      </c>
      <c r="L4641" s="3" t="s">
        <v>42</v>
      </c>
    </row>
    <row r="4642" ht="15.75" customHeight="1">
      <c r="A4642" s="3" t="s">
        <v>4734</v>
      </c>
      <c r="B4642" s="3" t="s">
        <v>36</v>
      </c>
      <c r="C4642" s="3" t="s">
        <v>26</v>
      </c>
      <c r="D4642" s="3">
        <v>61347.1517144088</v>
      </c>
      <c r="E4642" s="3">
        <v>32411.1220171932</v>
      </c>
      <c r="F4642" s="3">
        <v>37734.1530634416</v>
      </c>
      <c r="G4642" s="3">
        <v>20561.1943757267</v>
      </c>
      <c r="H4642" s="3">
        <v>-151263.72041929</v>
      </c>
      <c r="I4642" s="3">
        <v>68330.2771743259</v>
      </c>
      <c r="J4642" s="4">
        <v>45809.0</v>
      </c>
      <c r="K4642" s="3">
        <v>14.0</v>
      </c>
      <c r="L4642" s="3" t="s">
        <v>15</v>
      </c>
    </row>
    <row r="4643" ht="15.75" customHeight="1">
      <c r="A4643" s="3" t="s">
        <v>4735</v>
      </c>
      <c r="B4643" s="3" t="s">
        <v>36</v>
      </c>
      <c r="C4643" s="3" t="s">
        <v>54</v>
      </c>
      <c r="D4643" s="3">
        <v>61358.034684315</v>
      </c>
      <c r="E4643" s="3">
        <v>32414.4896338262</v>
      </c>
      <c r="F4643" s="3">
        <v>37741.8330668711</v>
      </c>
      <c r="G4643" s="5"/>
      <c r="H4643" s="3">
        <v>-151313.224137039</v>
      </c>
      <c r="I4643" s="3">
        <v>68333.6586487457</v>
      </c>
      <c r="J4643" s="4">
        <v>45717.0</v>
      </c>
      <c r="K4643" s="3">
        <v>12.0</v>
      </c>
      <c r="L4643" s="3" t="s">
        <v>19</v>
      </c>
    </row>
    <row r="4644" ht="15.75" customHeight="1">
      <c r="A4644" s="3" t="s">
        <v>4736</v>
      </c>
      <c r="B4644" s="3" t="s">
        <v>53</v>
      </c>
      <c r="C4644" s="3" t="s">
        <v>18</v>
      </c>
      <c r="D4644" s="3">
        <v>61379.8006241274</v>
      </c>
      <c r="E4644" s="3">
        <v>32421.2248670921</v>
      </c>
      <c r="F4644" s="3">
        <v>37757.1930737301</v>
      </c>
      <c r="G4644" s="3">
        <v>20568.7128084571</v>
      </c>
      <c r="H4644" s="3">
        <v>-151412.231572538</v>
      </c>
      <c r="I4644" s="3">
        <v>68340.4215975853</v>
      </c>
      <c r="J4644" s="4">
        <v>45809.0</v>
      </c>
      <c r="K4644" s="3">
        <v>15.0</v>
      </c>
      <c r="L4644" s="3" t="s">
        <v>23</v>
      </c>
    </row>
    <row r="4645" ht="15.75" customHeight="1">
      <c r="A4645" s="3" t="s">
        <v>4737</v>
      </c>
      <c r="B4645" s="3" t="s">
        <v>13</v>
      </c>
      <c r="C4645" s="3" t="s">
        <v>54</v>
      </c>
      <c r="D4645" s="3">
        <v>61390.6835940336</v>
      </c>
      <c r="E4645" s="3">
        <v>32424.5924837251</v>
      </c>
      <c r="F4645" s="3">
        <v>37764.8730771596</v>
      </c>
      <c r="G4645" s="3">
        <v>20571.2189527006</v>
      </c>
      <c r="H4645" s="3">
        <v>-151461.735290287</v>
      </c>
      <c r="I4645" s="3">
        <v>68343.8030720051</v>
      </c>
      <c r="J4645" s="4">
        <v>45962.0</v>
      </c>
      <c r="K4645" s="3">
        <v>3.0</v>
      </c>
      <c r="L4645" s="3" t="s">
        <v>27</v>
      </c>
    </row>
    <row r="4646" ht="15.75" customHeight="1">
      <c r="A4646" s="3" t="s">
        <v>4738</v>
      </c>
      <c r="B4646" s="3" t="s">
        <v>36</v>
      </c>
      <c r="C4646" s="3" t="s">
        <v>30</v>
      </c>
      <c r="D4646" s="3">
        <v>61401.5665639398</v>
      </c>
      <c r="E4646" s="3">
        <v>32427.960100358</v>
      </c>
      <c r="F4646" s="3">
        <v>37772.5530805891</v>
      </c>
      <c r="G4646" s="3">
        <v>20573.7250969441</v>
      </c>
      <c r="H4646" s="3">
        <v>-151511.239008036</v>
      </c>
      <c r="I4646" s="3">
        <v>68347.1845464249</v>
      </c>
      <c r="J4646" s="4">
        <v>45689.0</v>
      </c>
      <c r="K4646" s="3">
        <v>2.0</v>
      </c>
      <c r="L4646" s="3" t="s">
        <v>31</v>
      </c>
    </row>
    <row r="4647" ht="15.75" customHeight="1">
      <c r="A4647" s="3" t="s">
        <v>4739</v>
      </c>
      <c r="B4647" s="3" t="s">
        <v>17</v>
      </c>
      <c r="C4647" s="3" t="s">
        <v>18</v>
      </c>
      <c r="D4647" s="3">
        <v>61412.449533846</v>
      </c>
      <c r="E4647" s="3">
        <v>32431.327716991</v>
      </c>
      <c r="F4647" s="3">
        <v>37780.2330840186</v>
      </c>
      <c r="G4647" s="3">
        <v>20576.2312411875</v>
      </c>
      <c r="H4647" s="3">
        <v>-151560.742725785</v>
      </c>
      <c r="I4647" s="3">
        <v>68350.5660208448</v>
      </c>
      <c r="J4647" s="4">
        <v>45839.0</v>
      </c>
      <c r="K4647" s="3">
        <v>2.0</v>
      </c>
      <c r="L4647" s="3" t="s">
        <v>34</v>
      </c>
    </row>
    <row r="4648" ht="15.75" customHeight="1">
      <c r="A4648" s="3" t="s">
        <v>4740</v>
      </c>
      <c r="B4648" s="3" t="s">
        <v>51</v>
      </c>
      <c r="C4648" s="3" t="s">
        <v>33</v>
      </c>
      <c r="D4648" s="3">
        <v>61423.3325037522</v>
      </c>
      <c r="E4648" s="3">
        <v>32434.695333624</v>
      </c>
      <c r="F4648" s="3">
        <v>37787.9130874481</v>
      </c>
      <c r="G4648" s="3">
        <v>20578.737385431</v>
      </c>
      <c r="H4648" s="3">
        <v>-151610.246443534</v>
      </c>
      <c r="I4648" s="3">
        <v>68353.9474952646</v>
      </c>
      <c r="J4648" s="4">
        <v>45992.0</v>
      </c>
      <c r="K4648" s="3">
        <v>14.0</v>
      </c>
      <c r="L4648" s="3" t="s">
        <v>38</v>
      </c>
    </row>
    <row r="4649" ht="15.75" customHeight="1">
      <c r="A4649" s="3" t="s">
        <v>4741</v>
      </c>
      <c r="B4649" s="3" t="s">
        <v>17</v>
      </c>
      <c r="C4649" s="3" t="s">
        <v>14</v>
      </c>
      <c r="D4649" s="3">
        <v>61434.2154736583</v>
      </c>
      <c r="E4649" s="3">
        <v>32438.0629502569</v>
      </c>
      <c r="F4649" s="3">
        <v>37795.5930908776</v>
      </c>
      <c r="G4649" s="3">
        <v>20581.2435296745</v>
      </c>
      <c r="H4649" s="3">
        <v>-151659.750161283</v>
      </c>
      <c r="I4649" s="3">
        <v>68357.3289696844</v>
      </c>
      <c r="J4649" s="4">
        <v>45962.0</v>
      </c>
      <c r="K4649" s="3">
        <v>17.0</v>
      </c>
      <c r="L4649" s="3" t="s">
        <v>40</v>
      </c>
    </row>
    <row r="4650" ht="15.75" customHeight="1">
      <c r="A4650" s="3" t="s">
        <v>4742</v>
      </c>
      <c r="B4650" s="3" t="s">
        <v>17</v>
      </c>
      <c r="C4650" s="3" t="s">
        <v>26</v>
      </c>
      <c r="D4650" s="3">
        <v>61445.0984435645</v>
      </c>
      <c r="E4650" s="3">
        <v>32441.4305668899</v>
      </c>
      <c r="F4650" s="3">
        <v>37803.2730943071</v>
      </c>
      <c r="G4650" s="3">
        <v>20583.7496739179</v>
      </c>
      <c r="H4650" s="3">
        <v>-151709.253879032</v>
      </c>
      <c r="I4650" s="3">
        <v>68360.7104441042</v>
      </c>
      <c r="J4650" s="4">
        <v>45992.0</v>
      </c>
      <c r="K4650" s="3">
        <v>4.0</v>
      </c>
      <c r="L4650" s="3" t="s">
        <v>42</v>
      </c>
    </row>
    <row r="4651" ht="15.75" customHeight="1">
      <c r="A4651" s="3" t="s">
        <v>4743</v>
      </c>
      <c r="B4651" s="3" t="s">
        <v>53</v>
      </c>
      <c r="C4651" s="3" t="s">
        <v>14</v>
      </c>
      <c r="D4651" s="3">
        <v>61455.9814134707</v>
      </c>
      <c r="E4651" s="3">
        <v>32444.7981835229</v>
      </c>
      <c r="F4651" s="3">
        <v>37810.9530977366</v>
      </c>
      <c r="G4651" s="3">
        <v>20586.2558181614</v>
      </c>
      <c r="H4651" s="3">
        <v>-151758.757596781</v>
      </c>
      <c r="I4651" s="3">
        <v>68364.091918524</v>
      </c>
      <c r="J4651" s="4">
        <v>45809.0</v>
      </c>
      <c r="K4651" s="3">
        <v>17.0</v>
      </c>
      <c r="L4651" s="3" t="s">
        <v>15</v>
      </c>
    </row>
    <row r="4652" ht="15.75" customHeight="1">
      <c r="A4652" s="3" t="s">
        <v>4744</v>
      </c>
      <c r="B4652" s="3" t="s">
        <v>36</v>
      </c>
      <c r="C4652" s="3" t="s">
        <v>33</v>
      </c>
      <c r="D4652" s="3">
        <v>61466.8643833769</v>
      </c>
      <c r="E4652" s="3">
        <v>32448.1658001558</v>
      </c>
      <c r="F4652" s="3">
        <v>37818.6331011661</v>
      </c>
      <c r="G4652" s="3">
        <v>20588.7619624049</v>
      </c>
      <c r="H4652" s="3">
        <v>-151808.261314531</v>
      </c>
      <c r="I4652" s="3">
        <v>68367.4733929438</v>
      </c>
      <c r="J4652" s="4">
        <v>45992.0</v>
      </c>
      <c r="K4652" s="3">
        <v>5.0</v>
      </c>
      <c r="L4652" s="3" t="s">
        <v>19</v>
      </c>
    </row>
    <row r="4653" ht="15.75" customHeight="1">
      <c r="A4653" s="3" t="s">
        <v>4745</v>
      </c>
      <c r="B4653" s="3" t="s">
        <v>25</v>
      </c>
      <c r="C4653" s="3" t="s">
        <v>37</v>
      </c>
      <c r="D4653" s="3">
        <v>61477.7473532831</v>
      </c>
      <c r="E4653" s="3">
        <v>32451.5334167888</v>
      </c>
      <c r="F4653" s="3">
        <v>37826.3131045955</v>
      </c>
      <c r="G4653" s="3">
        <v>20591.2681066483</v>
      </c>
      <c r="H4653" s="3">
        <v>-151857.76503228</v>
      </c>
      <c r="I4653" s="3">
        <v>68370.8548673636</v>
      </c>
      <c r="J4653" s="4">
        <v>45901.0</v>
      </c>
      <c r="K4653" s="3">
        <v>15.0</v>
      </c>
      <c r="L4653" s="3" t="s">
        <v>21</v>
      </c>
    </row>
    <row r="4654" ht="15.75" customHeight="1">
      <c r="A4654" s="3" t="s">
        <v>4746</v>
      </c>
      <c r="B4654" s="3" t="s">
        <v>25</v>
      </c>
      <c r="C4654" s="3" t="s">
        <v>37</v>
      </c>
      <c r="D4654" s="3">
        <v>61488.6303231893</v>
      </c>
      <c r="E4654" s="3">
        <v>32454.9010334217</v>
      </c>
      <c r="F4654" s="3">
        <v>37833.9931080251</v>
      </c>
      <c r="G4654" s="3">
        <v>20593.7742508918</v>
      </c>
      <c r="H4654" s="3">
        <v>-151907.268750029</v>
      </c>
      <c r="I4654" s="3">
        <v>68374.2363417835</v>
      </c>
      <c r="J4654" s="4">
        <v>45931.0</v>
      </c>
      <c r="K4654" s="3">
        <v>2.0</v>
      </c>
      <c r="L4654" s="3" t="s">
        <v>23</v>
      </c>
    </row>
    <row r="4655" ht="15.75" customHeight="1">
      <c r="A4655" s="3" t="s">
        <v>4747</v>
      </c>
      <c r="B4655" s="3" t="s">
        <v>25</v>
      </c>
      <c r="C4655" s="3" t="s">
        <v>30</v>
      </c>
      <c r="D4655" s="3">
        <v>61499.5132930955</v>
      </c>
      <c r="E4655" s="3">
        <v>32458.2686500547</v>
      </c>
      <c r="F4655" s="3">
        <v>37841.6731114545</v>
      </c>
      <c r="G4655" s="3">
        <v>20596.2803951353</v>
      </c>
      <c r="H4655" s="3">
        <v>-151956.772467778</v>
      </c>
      <c r="I4655" s="3">
        <v>68377.6178162033</v>
      </c>
      <c r="J4655" s="4">
        <v>45689.0</v>
      </c>
      <c r="K4655" s="3">
        <v>17.0</v>
      </c>
      <c r="L4655" s="3" t="s">
        <v>27</v>
      </c>
    </row>
    <row r="4656" ht="15.75" customHeight="1">
      <c r="A4656" s="3" t="s">
        <v>4748</v>
      </c>
      <c r="B4656" s="3" t="s">
        <v>51</v>
      </c>
      <c r="C4656" s="3" t="s">
        <v>26</v>
      </c>
      <c r="D4656" s="3">
        <v>61510.3962630017</v>
      </c>
      <c r="E4656" s="3">
        <v>32461.6362666877</v>
      </c>
      <c r="F4656" s="3">
        <v>37849.353114884</v>
      </c>
      <c r="G4656" s="3">
        <v>20598.7865393788</v>
      </c>
      <c r="H4656" s="3">
        <v>-152006.276185527</v>
      </c>
      <c r="I4656" s="3">
        <v>68380.9992906231</v>
      </c>
      <c r="J4656" s="4">
        <v>45931.0</v>
      </c>
      <c r="K4656" s="3">
        <v>2.0</v>
      </c>
      <c r="L4656" s="3" t="s">
        <v>31</v>
      </c>
    </row>
    <row r="4657" ht="15.75" customHeight="1">
      <c r="A4657" s="3" t="s">
        <v>4749</v>
      </c>
      <c r="B4657" s="3" t="s">
        <v>29</v>
      </c>
      <c r="C4657" s="3" t="s">
        <v>30</v>
      </c>
      <c r="D4657" s="3">
        <v>61521.2792329079</v>
      </c>
      <c r="E4657" s="3">
        <v>32465.0038833206</v>
      </c>
      <c r="F4657" s="3">
        <v>37857.0331183135</v>
      </c>
      <c r="G4657" s="3">
        <v>20601.2926836222</v>
      </c>
      <c r="H4657" s="3">
        <v>-152055.779903276</v>
      </c>
      <c r="I4657" s="3">
        <v>68384.3807650429</v>
      </c>
      <c r="J4657" s="4">
        <v>45962.0</v>
      </c>
      <c r="K4657" s="3">
        <v>10.0</v>
      </c>
      <c r="L4657" s="3" t="s">
        <v>34</v>
      </c>
    </row>
    <row r="4658" ht="15.75" customHeight="1">
      <c r="A4658" s="3" t="s">
        <v>4750</v>
      </c>
      <c r="B4658" s="3" t="s">
        <v>53</v>
      </c>
      <c r="C4658" s="3" t="s">
        <v>18</v>
      </c>
      <c r="D4658" s="3">
        <v>61532.1622028141</v>
      </c>
      <c r="E4658" s="3">
        <v>32468.3714999536</v>
      </c>
      <c r="F4658" s="3">
        <v>37864.713121743</v>
      </c>
      <c r="G4658" s="3">
        <v>20603.7988278657</v>
      </c>
      <c r="H4658" s="3">
        <v>-152105.283621025</v>
      </c>
      <c r="I4658" s="3">
        <v>68387.7622394627</v>
      </c>
      <c r="J4658" s="4">
        <v>45658.0</v>
      </c>
      <c r="K4658" s="3">
        <v>21.0</v>
      </c>
      <c r="L4658" s="3" t="s">
        <v>38</v>
      </c>
    </row>
    <row r="4659" ht="15.75" customHeight="1">
      <c r="A4659" s="3" t="s">
        <v>4751</v>
      </c>
      <c r="B4659" s="3" t="s">
        <v>17</v>
      </c>
      <c r="C4659" s="3" t="s">
        <v>14</v>
      </c>
      <c r="D4659" s="3">
        <v>61543.0451727203</v>
      </c>
      <c r="E4659" s="3">
        <v>32471.7391165866</v>
      </c>
      <c r="F4659" s="3">
        <v>37872.3931251725</v>
      </c>
      <c r="G4659" s="3">
        <v>20606.3049721092</v>
      </c>
      <c r="H4659" s="3">
        <v>-152154.787338774</v>
      </c>
      <c r="I4659" s="3">
        <v>68391.1437138825</v>
      </c>
      <c r="J4659" s="4">
        <v>45870.0</v>
      </c>
      <c r="K4659" s="3">
        <v>5.0</v>
      </c>
      <c r="L4659" s="3" t="s">
        <v>40</v>
      </c>
    </row>
    <row r="4660" ht="15.75" customHeight="1">
      <c r="A4660" s="3" t="s">
        <v>4752</v>
      </c>
      <c r="B4660" s="5"/>
      <c r="C4660" s="3" t="s">
        <v>30</v>
      </c>
      <c r="D4660" s="3">
        <v>61553.9281426265</v>
      </c>
      <c r="E4660" s="3">
        <v>32475.1067332195</v>
      </c>
      <c r="F4660" s="3">
        <v>37880.073128602</v>
      </c>
      <c r="G4660" s="3">
        <v>20608.8111163526</v>
      </c>
      <c r="H4660" s="3">
        <v>-152204.291056524</v>
      </c>
      <c r="I4660" s="3">
        <v>68394.5251883023</v>
      </c>
      <c r="J4660" s="4">
        <v>45658.0</v>
      </c>
      <c r="K4660" s="3">
        <v>13.0</v>
      </c>
      <c r="L4660" s="3" t="s">
        <v>42</v>
      </c>
    </row>
    <row r="4661" ht="15.75" customHeight="1">
      <c r="A4661" s="3" t="s">
        <v>4753</v>
      </c>
      <c r="B4661" s="3" t="s">
        <v>53</v>
      </c>
      <c r="C4661" s="3" t="s">
        <v>30</v>
      </c>
      <c r="D4661" s="3">
        <v>61564.8111125327</v>
      </c>
      <c r="E4661" s="3">
        <v>32478.4743498525</v>
      </c>
      <c r="F4661" s="3">
        <v>37887.7531320315</v>
      </c>
      <c r="G4661" s="3">
        <v>20611.3172605961</v>
      </c>
      <c r="H4661" s="3">
        <v>-152253.794774273</v>
      </c>
      <c r="I4661" s="3">
        <v>68397.9066627221</v>
      </c>
      <c r="J4661" s="4">
        <v>45689.0</v>
      </c>
      <c r="K4661" s="3">
        <v>16.0</v>
      </c>
      <c r="L4661" s="3" t="s">
        <v>15</v>
      </c>
    </row>
    <row r="4662" ht="15.75" customHeight="1">
      <c r="A4662" s="3" t="s">
        <v>4754</v>
      </c>
      <c r="B4662" s="3" t="s">
        <v>25</v>
      </c>
      <c r="C4662" s="3" t="s">
        <v>37</v>
      </c>
      <c r="D4662" s="3">
        <v>61575.6940824389</v>
      </c>
      <c r="E4662" s="3">
        <v>32481.8419664854</v>
      </c>
      <c r="F4662" s="3">
        <v>37895.433135461</v>
      </c>
      <c r="G4662" s="3">
        <v>20613.8234048396</v>
      </c>
      <c r="H4662" s="3">
        <v>-152303.298492022</v>
      </c>
      <c r="I4662" s="3">
        <v>68401.288137142</v>
      </c>
      <c r="J4662" s="4">
        <v>45658.0</v>
      </c>
      <c r="K4662" s="3">
        <v>18.0</v>
      </c>
      <c r="L4662" s="3" t="s">
        <v>19</v>
      </c>
    </row>
    <row r="4663" ht="15.75" customHeight="1">
      <c r="A4663" s="3" t="s">
        <v>4755</v>
      </c>
      <c r="B4663" s="3" t="s">
        <v>25</v>
      </c>
      <c r="C4663" s="3" t="s">
        <v>18</v>
      </c>
      <c r="D4663" s="3">
        <v>61586.5770523451</v>
      </c>
      <c r="E4663" s="3">
        <v>32485.2095831184</v>
      </c>
      <c r="F4663" s="3">
        <v>37903.1131388905</v>
      </c>
      <c r="G4663" s="3">
        <v>20616.329549083</v>
      </c>
      <c r="H4663" s="3">
        <v>40970.2475032621</v>
      </c>
      <c r="I4663" s="3">
        <v>45970.2475032621</v>
      </c>
      <c r="J4663" s="4">
        <v>45992.0</v>
      </c>
      <c r="K4663" s="3">
        <v>12.0</v>
      </c>
      <c r="L4663" s="3" t="s">
        <v>21</v>
      </c>
    </row>
    <row r="4664" ht="15.75" customHeight="1">
      <c r="A4664" s="3" t="s">
        <v>4756</v>
      </c>
      <c r="B4664" s="3" t="s">
        <v>53</v>
      </c>
      <c r="C4664" s="3" t="s">
        <v>33</v>
      </c>
      <c r="D4664" s="3">
        <v>61597.4600222512</v>
      </c>
      <c r="E4664" s="3">
        <v>32488.5771997514</v>
      </c>
      <c r="F4664" s="3">
        <v>37910.79314232</v>
      </c>
      <c r="G4664" s="3">
        <v>20618.8356933265</v>
      </c>
      <c r="H4664" s="3">
        <v>-152402.30592752</v>
      </c>
      <c r="I4664" s="3">
        <v>68408.0510859816</v>
      </c>
      <c r="J4664" s="4">
        <v>45839.0</v>
      </c>
      <c r="K4664" s="3">
        <v>22.0</v>
      </c>
      <c r="L4664" s="3" t="s">
        <v>23</v>
      </c>
    </row>
    <row r="4665" ht="15.75" customHeight="1">
      <c r="A4665" s="3" t="s">
        <v>4757</v>
      </c>
      <c r="B4665" s="3" t="s">
        <v>53</v>
      </c>
      <c r="C4665" s="3" t="s">
        <v>18</v>
      </c>
      <c r="D4665" s="3">
        <v>61608.3429921574</v>
      </c>
      <c r="E4665" s="3">
        <v>32491.9448163843</v>
      </c>
      <c r="F4665" s="3">
        <v>37918.4731457495</v>
      </c>
      <c r="G4665" s="3">
        <v>20621.34183757</v>
      </c>
      <c r="H4665" s="3">
        <v>-152451.809645269</v>
      </c>
      <c r="I4665" s="3">
        <v>68411.4325604014</v>
      </c>
      <c r="J4665" s="4">
        <v>45962.0</v>
      </c>
      <c r="K4665" s="3">
        <v>1.0</v>
      </c>
      <c r="L4665" s="3" t="s">
        <v>27</v>
      </c>
    </row>
    <row r="4666" ht="15.75" customHeight="1">
      <c r="A4666" s="3" t="s">
        <v>4758</v>
      </c>
      <c r="B4666" s="3" t="s">
        <v>29</v>
      </c>
      <c r="C4666" s="3" t="s">
        <v>30</v>
      </c>
      <c r="D4666" s="3">
        <v>61619.2259620636</v>
      </c>
      <c r="E4666" s="3">
        <v>32495.3124330173</v>
      </c>
      <c r="F4666" s="3">
        <v>37926.153149179</v>
      </c>
      <c r="G4666" s="3">
        <v>20623.8479818134</v>
      </c>
      <c r="H4666" s="3">
        <v>-152501.313363018</v>
      </c>
      <c r="I4666" s="3">
        <v>68414.8140348212</v>
      </c>
      <c r="J4666" s="4">
        <v>45717.0</v>
      </c>
      <c r="K4666" s="3">
        <v>5.0</v>
      </c>
      <c r="L4666" s="3" t="s">
        <v>31</v>
      </c>
    </row>
    <row r="4667" ht="15.75" customHeight="1">
      <c r="A4667" s="3" t="s">
        <v>4759</v>
      </c>
      <c r="B4667" s="3" t="s">
        <v>13</v>
      </c>
      <c r="C4667" s="3" t="s">
        <v>30</v>
      </c>
      <c r="D4667" s="3">
        <v>61630.1089319698</v>
      </c>
      <c r="E4667" s="3">
        <v>32498.6800496503</v>
      </c>
      <c r="F4667" s="3">
        <v>37933.8331526085</v>
      </c>
      <c r="G4667" s="3">
        <v>20626.3541260569</v>
      </c>
      <c r="H4667" s="3">
        <v>-152550.817080767</v>
      </c>
      <c r="I4667" s="3">
        <v>68418.195509241</v>
      </c>
      <c r="J4667" s="4">
        <v>45870.0</v>
      </c>
      <c r="K4667" s="3">
        <v>12.0</v>
      </c>
      <c r="L4667" s="3" t="s">
        <v>34</v>
      </c>
    </row>
    <row r="4668" ht="15.75" customHeight="1">
      <c r="A4668" s="3" t="s">
        <v>4760</v>
      </c>
      <c r="B4668" s="3" t="s">
        <v>51</v>
      </c>
      <c r="C4668" s="3" t="s">
        <v>33</v>
      </c>
      <c r="D4668" s="3">
        <v>61640.991901876</v>
      </c>
      <c r="E4668" s="3">
        <v>32502.0476662832</v>
      </c>
      <c r="F4668" s="3">
        <v>37941.513156038</v>
      </c>
      <c r="G4668" s="3">
        <v>20628.8602703004</v>
      </c>
      <c r="H4668" s="3">
        <v>-152600.320798517</v>
      </c>
      <c r="I4668" s="3">
        <v>68421.5769836609</v>
      </c>
      <c r="J4668" s="4">
        <v>45748.0</v>
      </c>
      <c r="K4668" s="3">
        <v>8.0</v>
      </c>
      <c r="L4668" s="3" t="s">
        <v>38</v>
      </c>
    </row>
    <row r="4669" ht="15.75" customHeight="1">
      <c r="A4669" s="3" t="s">
        <v>4761</v>
      </c>
      <c r="B4669" s="3" t="s">
        <v>25</v>
      </c>
      <c r="C4669" s="3" t="s">
        <v>14</v>
      </c>
      <c r="D4669" s="3">
        <v>61651.8748717822</v>
      </c>
      <c r="E4669" s="3">
        <v>32505.4152829162</v>
      </c>
      <c r="F4669" s="3">
        <v>37949.1931594675</v>
      </c>
      <c r="G4669" s="3">
        <v>20631.3664145439</v>
      </c>
      <c r="H4669" s="3">
        <v>-152649.824516266</v>
      </c>
      <c r="I4669" s="3">
        <v>68424.9584580807</v>
      </c>
      <c r="J4669" s="4">
        <v>45689.0</v>
      </c>
      <c r="K4669" s="3">
        <v>15.0</v>
      </c>
      <c r="L4669" s="3" t="s">
        <v>40</v>
      </c>
    </row>
    <row r="4670" ht="15.75" customHeight="1">
      <c r="A4670" s="3" t="s">
        <v>4762</v>
      </c>
      <c r="B4670" s="3" t="s">
        <v>51</v>
      </c>
      <c r="C4670" s="3" t="s">
        <v>14</v>
      </c>
      <c r="D4670" s="3">
        <v>61662.7578416884</v>
      </c>
      <c r="E4670" s="3">
        <v>32508.7828995491</v>
      </c>
      <c r="F4670" s="3">
        <v>37956.873162897</v>
      </c>
      <c r="G4670" s="3">
        <v>20633.8725587873</v>
      </c>
      <c r="H4670" s="3">
        <v>-152699.328234015</v>
      </c>
      <c r="I4670" s="3">
        <v>68428.3399325005</v>
      </c>
      <c r="J4670" s="4">
        <v>45658.0</v>
      </c>
      <c r="K4670" s="3">
        <v>23.0</v>
      </c>
      <c r="L4670" s="3" t="s">
        <v>42</v>
      </c>
    </row>
    <row r="4671" ht="15.75" customHeight="1">
      <c r="A4671" s="3" t="s">
        <v>4763</v>
      </c>
      <c r="B4671" s="3" t="s">
        <v>17</v>
      </c>
      <c r="C4671" s="3" t="s">
        <v>26</v>
      </c>
      <c r="D4671" s="3">
        <v>61673.6408115946</v>
      </c>
      <c r="E4671" s="3">
        <v>32512.1505161821</v>
      </c>
      <c r="F4671" s="3">
        <v>37964.5531663266</v>
      </c>
      <c r="G4671" s="3">
        <v>20636.3787030308</v>
      </c>
      <c r="H4671" s="3">
        <v>-152748.831951764</v>
      </c>
      <c r="I4671" s="3">
        <v>68431.7214069203</v>
      </c>
      <c r="J4671" s="4">
        <v>45962.0</v>
      </c>
      <c r="K4671" s="3">
        <v>13.0</v>
      </c>
      <c r="L4671" s="3" t="s">
        <v>15</v>
      </c>
    </row>
    <row r="4672" ht="15.75" customHeight="1">
      <c r="A4672" s="3" t="s">
        <v>4764</v>
      </c>
      <c r="B4672" s="3" t="s">
        <v>13</v>
      </c>
      <c r="C4672" s="3" t="s">
        <v>37</v>
      </c>
      <c r="D4672" s="3">
        <v>61684.5237815008</v>
      </c>
      <c r="E4672" s="3">
        <v>32515.5181328151</v>
      </c>
      <c r="F4672" s="3">
        <v>37972.233169756</v>
      </c>
      <c r="G4672" s="3">
        <v>20638.8848472743</v>
      </c>
      <c r="H4672" s="3">
        <v>-152798.335669513</v>
      </c>
      <c r="I4672" s="3">
        <v>68435.1028813401</v>
      </c>
      <c r="J4672" s="4">
        <v>45748.0</v>
      </c>
      <c r="K4672" s="3">
        <v>2.0</v>
      </c>
      <c r="L4672" s="3" t="s">
        <v>19</v>
      </c>
    </row>
    <row r="4673" ht="15.75" customHeight="1">
      <c r="A4673" s="3" t="s">
        <v>4765</v>
      </c>
      <c r="B4673" s="3" t="s">
        <v>13</v>
      </c>
      <c r="C4673" s="3" t="s">
        <v>18</v>
      </c>
      <c r="D4673" s="3">
        <v>61695.406751407</v>
      </c>
      <c r="E4673" s="3">
        <v>32518.885749448</v>
      </c>
      <c r="F4673" s="3">
        <v>37979.9131731855</v>
      </c>
      <c r="G4673" s="3">
        <v>20641.3909915177</v>
      </c>
      <c r="H4673" s="3">
        <v>-152847.839387262</v>
      </c>
      <c r="I4673" s="3">
        <v>68438.4843557599</v>
      </c>
      <c r="J4673" s="4">
        <v>45778.0</v>
      </c>
      <c r="K4673" s="3">
        <v>25.0</v>
      </c>
      <c r="L4673" s="3" t="s">
        <v>21</v>
      </c>
    </row>
    <row r="4674" ht="15.75" customHeight="1">
      <c r="A4674" s="3" t="s">
        <v>4766</v>
      </c>
      <c r="B4674" s="3" t="s">
        <v>13</v>
      </c>
      <c r="C4674" s="3" t="s">
        <v>14</v>
      </c>
      <c r="D4674" s="3">
        <v>61706.2897213132</v>
      </c>
      <c r="E4674" s="3">
        <v>32522.253366081</v>
      </c>
      <c r="F4674" s="3">
        <v>37987.593176615</v>
      </c>
      <c r="G4674" s="3">
        <v>20643.8971357612</v>
      </c>
      <c r="H4674" s="3">
        <v>-152897.343105011</v>
      </c>
      <c r="I4674" s="3">
        <v>68441.8658301797</v>
      </c>
      <c r="J4674" s="4">
        <v>45962.0</v>
      </c>
      <c r="K4674" s="3">
        <v>10.0</v>
      </c>
      <c r="L4674" s="3" t="s">
        <v>23</v>
      </c>
    </row>
    <row r="4675" ht="15.75" customHeight="1">
      <c r="A4675" s="3" t="s">
        <v>4767</v>
      </c>
      <c r="B4675" s="3" t="s">
        <v>51</v>
      </c>
      <c r="C4675" s="3" t="s">
        <v>54</v>
      </c>
      <c r="D4675" s="3">
        <v>61717.1726912194</v>
      </c>
      <c r="E4675" s="3">
        <v>32525.620982714</v>
      </c>
      <c r="F4675" s="3">
        <v>37995.2731800445</v>
      </c>
      <c r="G4675" s="3">
        <v>20646.4032800047</v>
      </c>
      <c r="H4675" s="3">
        <v>-152946.84682276</v>
      </c>
      <c r="I4675" s="3">
        <v>68445.2473045996</v>
      </c>
      <c r="J4675" s="4">
        <v>45901.0</v>
      </c>
      <c r="K4675" s="3">
        <v>9.0</v>
      </c>
      <c r="L4675" s="3" t="s">
        <v>27</v>
      </c>
    </row>
    <row r="4676" ht="15.75" customHeight="1">
      <c r="A4676" s="3" t="s">
        <v>4768</v>
      </c>
      <c r="B4676" s="3" t="s">
        <v>51</v>
      </c>
      <c r="C4676" s="3" t="s">
        <v>30</v>
      </c>
      <c r="D4676" s="3">
        <v>61728.0556611256</v>
      </c>
      <c r="E4676" s="3">
        <v>32528.9885993469</v>
      </c>
      <c r="F4676" s="3">
        <v>38002.953183474</v>
      </c>
      <c r="G4676" s="3">
        <v>20648.9094242481</v>
      </c>
      <c r="H4676" s="3">
        <v>-152996.35054051</v>
      </c>
      <c r="I4676" s="3">
        <v>68448.6287790194</v>
      </c>
      <c r="J4676" s="4">
        <v>45992.0</v>
      </c>
      <c r="K4676" s="3">
        <v>18.0</v>
      </c>
      <c r="L4676" s="3" t="s">
        <v>31</v>
      </c>
    </row>
    <row r="4677" ht="15.75" customHeight="1">
      <c r="A4677" s="3" t="s">
        <v>4769</v>
      </c>
      <c r="B4677" s="3" t="s">
        <v>36</v>
      </c>
      <c r="C4677" s="3" t="s">
        <v>37</v>
      </c>
      <c r="D4677" s="3">
        <v>61738.9386310318</v>
      </c>
      <c r="E4677" s="3">
        <v>32532.3562159799</v>
      </c>
      <c r="F4677" s="3">
        <v>38010.6331869035</v>
      </c>
      <c r="G4677" s="3">
        <v>20651.4155684916</v>
      </c>
      <c r="H4677" s="3">
        <v>-153045.854258259</v>
      </c>
      <c r="I4677" s="3">
        <v>68452.0102534392</v>
      </c>
      <c r="J4677" s="4">
        <v>45809.0</v>
      </c>
      <c r="K4677" s="3">
        <v>22.0</v>
      </c>
      <c r="L4677" s="3" t="s">
        <v>34</v>
      </c>
    </row>
    <row r="4678" ht="15.75" customHeight="1">
      <c r="A4678" s="3" t="s">
        <v>4770</v>
      </c>
      <c r="B4678" s="3" t="s">
        <v>51</v>
      </c>
      <c r="C4678" s="3" t="s">
        <v>54</v>
      </c>
      <c r="D4678" s="3">
        <v>61749.821600938</v>
      </c>
      <c r="E4678" s="3">
        <v>32535.7238326128</v>
      </c>
      <c r="F4678" s="3">
        <v>38018.313190333</v>
      </c>
      <c r="G4678" s="3">
        <v>20653.9217127351</v>
      </c>
      <c r="H4678" s="3">
        <v>-153095.357976008</v>
      </c>
      <c r="I4678" s="3">
        <v>68455.391727859</v>
      </c>
      <c r="J4678" s="4">
        <v>45839.0</v>
      </c>
      <c r="K4678" s="3">
        <v>10.0</v>
      </c>
      <c r="L4678" s="3" t="s">
        <v>38</v>
      </c>
    </row>
    <row r="4679" ht="15.75" customHeight="1">
      <c r="A4679" s="3" t="s">
        <v>4771</v>
      </c>
      <c r="B4679" s="3" t="s">
        <v>51</v>
      </c>
      <c r="C4679" s="3" t="s">
        <v>18</v>
      </c>
      <c r="D4679" s="3">
        <v>61760.7045708441</v>
      </c>
      <c r="E4679" s="3">
        <v>32539.0914492458</v>
      </c>
      <c r="F4679" s="3">
        <v>38025.9931937625</v>
      </c>
      <c r="G4679" s="3">
        <v>20656.4278569785</v>
      </c>
      <c r="H4679" s="3">
        <v>-153144.861693757</v>
      </c>
      <c r="I4679" s="3">
        <v>68458.7732022788</v>
      </c>
      <c r="J4679" s="4">
        <v>45748.0</v>
      </c>
      <c r="K4679" s="3">
        <v>14.0</v>
      </c>
      <c r="L4679" s="3" t="s">
        <v>40</v>
      </c>
    </row>
    <row r="4680" ht="15.75" customHeight="1">
      <c r="A4680" s="3" t="s">
        <v>4772</v>
      </c>
      <c r="B4680" s="3" t="s">
        <v>13</v>
      </c>
      <c r="C4680" s="3" t="s">
        <v>54</v>
      </c>
      <c r="D4680" s="3">
        <v>61771.5875407503</v>
      </c>
      <c r="E4680" s="3">
        <v>32542.4590658788</v>
      </c>
      <c r="F4680" s="3">
        <v>38033.673197192</v>
      </c>
      <c r="G4680" s="3">
        <v>20658.934001222</v>
      </c>
      <c r="H4680" s="3">
        <v>-153194.365411506</v>
      </c>
      <c r="I4680" s="3">
        <v>68462.1546766986</v>
      </c>
      <c r="J4680" s="4">
        <v>45901.0</v>
      </c>
      <c r="K4680" s="3">
        <v>15.0</v>
      </c>
      <c r="L4680" s="3" t="s">
        <v>42</v>
      </c>
    </row>
    <row r="4681" ht="15.75" customHeight="1">
      <c r="A4681" s="3" t="s">
        <v>4773</v>
      </c>
      <c r="B4681" s="3" t="s">
        <v>29</v>
      </c>
      <c r="C4681" s="3" t="s">
        <v>18</v>
      </c>
      <c r="D4681" s="3">
        <v>61782.4705106565</v>
      </c>
      <c r="E4681" s="3">
        <v>32545.8266825117</v>
      </c>
      <c r="F4681" s="3">
        <v>38041.3532006215</v>
      </c>
      <c r="G4681" s="3">
        <v>20661.4401454655</v>
      </c>
      <c r="H4681" s="3">
        <v>-153243.869129255</v>
      </c>
      <c r="I4681" s="3">
        <v>68465.5361511184</v>
      </c>
      <c r="J4681" s="4">
        <v>45748.0</v>
      </c>
      <c r="K4681" s="3">
        <v>1.0</v>
      </c>
      <c r="L4681" s="3" t="s">
        <v>15</v>
      </c>
    </row>
    <row r="4682" ht="15.75" customHeight="1">
      <c r="A4682" s="3" t="s">
        <v>4774</v>
      </c>
      <c r="B4682" s="3" t="s">
        <v>17</v>
      </c>
      <c r="C4682" s="3" t="s">
        <v>26</v>
      </c>
      <c r="D4682" s="3">
        <v>61793.3534805627</v>
      </c>
      <c r="E4682" s="3">
        <v>32549.1942991447</v>
      </c>
      <c r="F4682" s="3">
        <v>38049.033204051</v>
      </c>
      <c r="G4682" s="3">
        <v>20663.946289709</v>
      </c>
      <c r="H4682" s="3">
        <v>-153293.372847004</v>
      </c>
      <c r="I4682" s="3">
        <v>68468.9176255383</v>
      </c>
      <c r="J4682" s="4">
        <v>45901.0</v>
      </c>
      <c r="K4682" s="3">
        <v>25.0</v>
      </c>
      <c r="L4682" s="3" t="s">
        <v>19</v>
      </c>
    </row>
    <row r="4683" ht="15.75" customHeight="1">
      <c r="A4683" s="3" t="s">
        <v>4775</v>
      </c>
      <c r="B4683" s="3" t="s">
        <v>53</v>
      </c>
      <c r="C4683" s="3" t="s">
        <v>37</v>
      </c>
      <c r="D4683" s="3">
        <v>61804.2364504689</v>
      </c>
      <c r="E4683" s="3">
        <v>32552.5619157777</v>
      </c>
      <c r="F4683" s="3">
        <v>38056.7132074805</v>
      </c>
      <c r="G4683" s="3">
        <v>20666.4524339524</v>
      </c>
      <c r="H4683" s="3">
        <v>41137.7840165165</v>
      </c>
      <c r="I4683" s="3">
        <v>46137.7840165165</v>
      </c>
      <c r="J4683" s="4">
        <v>45931.0</v>
      </c>
      <c r="K4683" s="3">
        <v>22.0</v>
      </c>
      <c r="L4683" s="3" t="s">
        <v>21</v>
      </c>
    </row>
    <row r="4684" ht="15.75" customHeight="1">
      <c r="A4684" s="3" t="s">
        <v>4776</v>
      </c>
      <c r="B4684" s="3" t="s">
        <v>53</v>
      </c>
      <c r="C4684" s="3" t="s">
        <v>30</v>
      </c>
      <c r="D4684" s="3">
        <v>61815.1194203751</v>
      </c>
      <c r="E4684" s="3">
        <v>32555.9295324106</v>
      </c>
      <c r="F4684" s="3">
        <v>38064.39321091</v>
      </c>
      <c r="G4684" s="3">
        <v>20668.9585781959</v>
      </c>
      <c r="H4684" s="3">
        <v>-153392.380282503</v>
      </c>
      <c r="I4684" s="3">
        <v>68475.6805743779</v>
      </c>
      <c r="J4684" s="4">
        <v>45962.0</v>
      </c>
      <c r="K4684" s="3">
        <v>18.0</v>
      </c>
      <c r="L4684" s="3" t="s">
        <v>23</v>
      </c>
    </row>
    <row r="4685" ht="15.75" customHeight="1">
      <c r="A4685" s="3" t="s">
        <v>4777</v>
      </c>
      <c r="B4685" s="3" t="s">
        <v>53</v>
      </c>
      <c r="C4685" s="3" t="s">
        <v>30</v>
      </c>
      <c r="D4685" s="3">
        <v>61826.0023902813</v>
      </c>
      <c r="E4685" s="3">
        <v>32559.2971490436</v>
      </c>
      <c r="F4685" s="3">
        <v>38072.0732143395</v>
      </c>
      <c r="G4685" s="3">
        <v>20671.4647224394</v>
      </c>
      <c r="H4685" s="3">
        <v>-153441.884000252</v>
      </c>
      <c r="I4685" s="3">
        <v>68479.0620487977</v>
      </c>
      <c r="J4685" s="4">
        <v>45658.0</v>
      </c>
      <c r="K4685" s="3">
        <v>8.0</v>
      </c>
      <c r="L4685" s="3" t="s">
        <v>27</v>
      </c>
    </row>
    <row r="4686" ht="15.75" customHeight="1">
      <c r="A4686" s="3" t="s">
        <v>4778</v>
      </c>
      <c r="B4686" s="3" t="s">
        <v>29</v>
      </c>
      <c r="C4686" s="3" t="s">
        <v>18</v>
      </c>
      <c r="D4686" s="3">
        <v>61836.8853601875</v>
      </c>
      <c r="E4686" s="3">
        <v>32562.6647656765</v>
      </c>
      <c r="F4686" s="3">
        <v>38079.753217769</v>
      </c>
      <c r="G4686" s="3">
        <v>20673.9708666828</v>
      </c>
      <c r="H4686" s="3">
        <v>-153491.387718001</v>
      </c>
      <c r="I4686" s="3">
        <v>68482.4435232175</v>
      </c>
      <c r="J4686" s="4">
        <v>45870.0</v>
      </c>
      <c r="K4686" s="3">
        <v>23.0</v>
      </c>
      <c r="L4686" s="3" t="s">
        <v>31</v>
      </c>
    </row>
    <row r="4687" ht="15.75" customHeight="1">
      <c r="A4687" s="3" t="s">
        <v>4779</v>
      </c>
      <c r="B4687" s="3" t="s">
        <v>17</v>
      </c>
      <c r="C4687" s="3" t="s">
        <v>30</v>
      </c>
      <c r="D4687" s="3">
        <v>61847.7683300937</v>
      </c>
      <c r="E4687" s="3">
        <v>32566.0323823095</v>
      </c>
      <c r="F4687" s="3">
        <v>38087.4332211985</v>
      </c>
      <c r="G4687" s="3">
        <v>20676.4770109263</v>
      </c>
      <c r="H4687" s="3">
        <v>-153540.89143575</v>
      </c>
      <c r="I4687" s="3">
        <v>68485.8249976373</v>
      </c>
      <c r="J4687" s="4">
        <v>45901.0</v>
      </c>
      <c r="K4687" s="3">
        <v>7.0</v>
      </c>
      <c r="L4687" s="3" t="s">
        <v>34</v>
      </c>
    </row>
    <row r="4688" ht="15.75" customHeight="1">
      <c r="A4688" s="3" t="s">
        <v>4780</v>
      </c>
      <c r="B4688" s="3" t="s">
        <v>36</v>
      </c>
      <c r="C4688" s="3" t="s">
        <v>26</v>
      </c>
      <c r="D4688" s="3">
        <v>61858.6512999999</v>
      </c>
      <c r="E4688" s="3">
        <v>32569.3999989425</v>
      </c>
      <c r="F4688" s="3">
        <v>38095.113224628</v>
      </c>
      <c r="G4688" s="3">
        <v>20678.9831551698</v>
      </c>
      <c r="H4688" s="3">
        <v>-153590.395153499</v>
      </c>
      <c r="I4688" s="3">
        <v>68489.2064720572</v>
      </c>
      <c r="J4688" s="4">
        <v>45778.0</v>
      </c>
      <c r="K4688" s="3">
        <v>10.0</v>
      </c>
      <c r="L4688" s="3" t="s">
        <v>38</v>
      </c>
    </row>
    <row r="4689" ht="15.75" customHeight="1">
      <c r="A4689" s="3" t="s">
        <v>4781</v>
      </c>
      <c r="B4689" s="3" t="s">
        <v>53</v>
      </c>
      <c r="C4689" s="3" t="s">
        <v>14</v>
      </c>
      <c r="D4689" s="3">
        <v>61869.5342699061</v>
      </c>
      <c r="E4689" s="3">
        <v>32572.7676155754</v>
      </c>
      <c r="F4689" s="3">
        <v>38102.7932280575</v>
      </c>
      <c r="G4689" s="3">
        <v>20681.4892994132</v>
      </c>
      <c r="H4689" s="3">
        <v>-153639.898871248</v>
      </c>
      <c r="I4689" s="3">
        <v>68492.587946477</v>
      </c>
      <c r="J4689" s="4">
        <v>45992.0</v>
      </c>
      <c r="K4689" s="3">
        <v>5.0</v>
      </c>
      <c r="L4689" s="3" t="s">
        <v>40</v>
      </c>
    </row>
    <row r="4690" ht="15.75" customHeight="1">
      <c r="A4690" s="3" t="s">
        <v>4782</v>
      </c>
      <c r="B4690" s="3" t="s">
        <v>25</v>
      </c>
      <c r="C4690" s="3" t="s">
        <v>37</v>
      </c>
      <c r="D4690" s="3">
        <v>61880.4172398123</v>
      </c>
      <c r="E4690" s="3">
        <v>32576.1352322084</v>
      </c>
      <c r="F4690" s="3">
        <v>38110.473231487</v>
      </c>
      <c r="G4690" s="3">
        <v>20683.9954436567</v>
      </c>
      <c r="H4690" s="3">
        <v>-153689.402588997</v>
      </c>
      <c r="I4690" s="3">
        <v>68495.9694208968</v>
      </c>
      <c r="J4690" s="4">
        <v>45839.0</v>
      </c>
      <c r="K4690" s="3">
        <v>15.0</v>
      </c>
      <c r="L4690" s="3" t="s">
        <v>42</v>
      </c>
    </row>
    <row r="4691" ht="15.75" customHeight="1">
      <c r="A4691" s="3" t="s">
        <v>4783</v>
      </c>
      <c r="B4691" s="3" t="s">
        <v>51</v>
      </c>
      <c r="C4691" s="3" t="s">
        <v>54</v>
      </c>
      <c r="D4691" s="3">
        <v>61891.3002097185</v>
      </c>
      <c r="E4691" s="3">
        <v>32579.5028488414</v>
      </c>
      <c r="F4691" s="3">
        <v>38118.1532349164</v>
      </c>
      <c r="G4691" s="3">
        <v>20686.5015879002</v>
      </c>
      <c r="H4691" s="3">
        <v>-153738.906306746</v>
      </c>
      <c r="I4691" s="3">
        <v>68499.3508953166</v>
      </c>
      <c r="J4691" s="4">
        <v>45901.0</v>
      </c>
      <c r="K4691" s="3">
        <v>13.0</v>
      </c>
      <c r="L4691" s="3" t="s">
        <v>15</v>
      </c>
    </row>
    <row r="4692" ht="15.75" customHeight="1">
      <c r="A4692" s="3" t="s">
        <v>4784</v>
      </c>
      <c r="B4692" s="3" t="s">
        <v>17</v>
      </c>
      <c r="C4692" s="3" t="s">
        <v>30</v>
      </c>
      <c r="D4692" s="3">
        <v>61902.1831796247</v>
      </c>
      <c r="E4692" s="3">
        <v>32582.8704654743</v>
      </c>
      <c r="F4692" s="3">
        <v>38125.8332383459</v>
      </c>
      <c r="G4692" s="3">
        <v>20689.0077321437</v>
      </c>
      <c r="H4692" s="3">
        <v>-153788.410024496</v>
      </c>
      <c r="I4692" s="3">
        <v>68502.7323697364</v>
      </c>
      <c r="J4692" s="4">
        <v>45748.0</v>
      </c>
      <c r="K4692" s="3">
        <v>16.0</v>
      </c>
      <c r="L4692" s="3" t="s">
        <v>19</v>
      </c>
    </row>
    <row r="4693" ht="15.75" customHeight="1">
      <c r="A4693" s="3" t="s">
        <v>4785</v>
      </c>
      <c r="B4693" s="3" t="s">
        <v>17</v>
      </c>
      <c r="C4693" s="3" t="s">
        <v>54</v>
      </c>
      <c r="D4693" s="3">
        <v>61913.0661495309</v>
      </c>
      <c r="E4693" s="3">
        <v>32586.2380821073</v>
      </c>
      <c r="F4693" s="3">
        <v>38133.5132417754</v>
      </c>
      <c r="G4693" s="3">
        <v>20691.5138763871</v>
      </c>
      <c r="H4693" s="3">
        <v>-153837.913742245</v>
      </c>
      <c r="I4693" s="3">
        <v>68506.1138441562</v>
      </c>
      <c r="J4693" s="4">
        <v>45962.0</v>
      </c>
      <c r="K4693" s="3">
        <v>15.0</v>
      </c>
      <c r="L4693" s="3" t="s">
        <v>21</v>
      </c>
    </row>
    <row r="4694" ht="15.75" customHeight="1">
      <c r="A4694" s="3" t="s">
        <v>4786</v>
      </c>
      <c r="B4694" s="3" t="s">
        <v>17</v>
      </c>
      <c r="C4694" s="3" t="s">
        <v>14</v>
      </c>
      <c r="D4694" s="3">
        <v>61923.949119437</v>
      </c>
      <c r="E4694" s="3">
        <v>32589.6056987402</v>
      </c>
      <c r="F4694" s="3">
        <v>38141.1932452049</v>
      </c>
      <c r="G4694" s="3">
        <v>20694.0200206306</v>
      </c>
      <c r="H4694" s="3">
        <v>-153887.417459994</v>
      </c>
      <c r="I4694" s="3">
        <v>68509.495318576</v>
      </c>
      <c r="J4694" s="4">
        <v>45992.0</v>
      </c>
      <c r="K4694" s="3">
        <v>12.0</v>
      </c>
      <c r="L4694" s="3" t="s">
        <v>23</v>
      </c>
    </row>
    <row r="4695" ht="15.75" customHeight="1">
      <c r="A4695" s="3" t="s">
        <v>4787</v>
      </c>
      <c r="B4695" s="3" t="s">
        <v>17</v>
      </c>
      <c r="C4695" s="3" t="s">
        <v>26</v>
      </c>
      <c r="D4695" s="3">
        <v>61934.8320893432</v>
      </c>
      <c r="E4695" s="3">
        <v>32592.9733153732</v>
      </c>
      <c r="F4695" s="3">
        <v>38148.8732486344</v>
      </c>
      <c r="G4695" s="3">
        <v>20696.5261648741</v>
      </c>
      <c r="H4695" s="3">
        <v>-153936.921177743</v>
      </c>
      <c r="I4695" s="3">
        <v>68512.8767929958</v>
      </c>
      <c r="J4695" s="4">
        <v>45992.0</v>
      </c>
      <c r="K4695" s="3">
        <v>10.0</v>
      </c>
      <c r="L4695" s="3" t="s">
        <v>27</v>
      </c>
    </row>
    <row r="4696" ht="15.75" customHeight="1">
      <c r="A4696" s="3" t="s">
        <v>4788</v>
      </c>
      <c r="B4696" s="3" t="s">
        <v>25</v>
      </c>
      <c r="C4696" s="3" t="s">
        <v>33</v>
      </c>
      <c r="D4696" s="3">
        <v>61956.5980291556</v>
      </c>
      <c r="E4696" s="3">
        <v>32599.7085486391</v>
      </c>
      <c r="F4696" s="3">
        <v>38164.2332554934</v>
      </c>
      <c r="G4696" s="3">
        <v>20701.538453361</v>
      </c>
      <c r="H4696" s="3">
        <v>-154035.928613241</v>
      </c>
      <c r="I4696" s="3">
        <v>68519.6397418355</v>
      </c>
      <c r="J4696" s="4">
        <v>45658.0</v>
      </c>
      <c r="K4696" s="3">
        <v>3.0</v>
      </c>
      <c r="L4696" s="3" t="s">
        <v>34</v>
      </c>
    </row>
    <row r="4697" ht="15.75" customHeight="1">
      <c r="A4697" s="3" t="s">
        <v>4789</v>
      </c>
      <c r="B4697" s="3" t="s">
        <v>29</v>
      </c>
      <c r="C4697" s="3" t="s">
        <v>54</v>
      </c>
      <c r="D4697" s="3">
        <v>61967.4809990618</v>
      </c>
      <c r="E4697" s="3">
        <v>32603.0761652721</v>
      </c>
      <c r="F4697" s="3">
        <v>38171.9132589229</v>
      </c>
      <c r="G4697" s="3">
        <v>20704.0445976045</v>
      </c>
      <c r="H4697" s="3">
        <v>-154085.43233099</v>
      </c>
      <c r="I4697" s="3">
        <v>68523.0212162553</v>
      </c>
      <c r="J4697" s="4">
        <v>45992.0</v>
      </c>
      <c r="K4697" s="3">
        <v>3.0</v>
      </c>
      <c r="L4697" s="3" t="s">
        <v>38</v>
      </c>
    </row>
    <row r="4698" ht="15.75" customHeight="1">
      <c r="A4698" s="3" t="s">
        <v>4790</v>
      </c>
      <c r="B4698" s="3" t="s">
        <v>17</v>
      </c>
      <c r="C4698" s="3" t="s">
        <v>14</v>
      </c>
      <c r="D4698" s="3">
        <v>61978.363968968</v>
      </c>
      <c r="E4698" s="3">
        <v>32606.443781905</v>
      </c>
      <c r="F4698" s="3">
        <v>38179.5932623524</v>
      </c>
      <c r="G4698" s="3">
        <v>20706.5507418479</v>
      </c>
      <c r="H4698" s="3">
        <v>-154134.93604874</v>
      </c>
      <c r="I4698" s="3">
        <v>68526.4026906751</v>
      </c>
      <c r="J4698" s="4">
        <v>45962.0</v>
      </c>
      <c r="K4698" s="3">
        <v>8.0</v>
      </c>
      <c r="L4698" s="3" t="s">
        <v>40</v>
      </c>
    </row>
    <row r="4699" ht="15.75" customHeight="1">
      <c r="A4699" s="3" t="s">
        <v>4791</v>
      </c>
      <c r="B4699" s="3" t="s">
        <v>13</v>
      </c>
      <c r="C4699" s="3" t="s">
        <v>33</v>
      </c>
      <c r="D4699" s="3">
        <v>61989.2469388742</v>
      </c>
      <c r="E4699" s="3">
        <v>32609.811398538</v>
      </c>
      <c r="F4699" s="3">
        <v>38187.2732657819</v>
      </c>
      <c r="G4699" s="3">
        <v>20709.0568860914</v>
      </c>
      <c r="H4699" s="3">
        <v>-154184.439766489</v>
      </c>
      <c r="I4699" s="3">
        <v>68529.7841650949</v>
      </c>
      <c r="J4699" s="4">
        <v>45901.0</v>
      </c>
      <c r="K4699" s="3">
        <v>11.0</v>
      </c>
      <c r="L4699" s="3" t="s">
        <v>42</v>
      </c>
    </row>
    <row r="4700" ht="15.75" customHeight="1">
      <c r="A4700" s="3" t="s">
        <v>4792</v>
      </c>
      <c r="B4700" s="3" t="s">
        <v>17</v>
      </c>
      <c r="C4700" s="3" t="s">
        <v>37</v>
      </c>
      <c r="D4700" s="3">
        <v>62000.1299087804</v>
      </c>
      <c r="E4700" s="3">
        <v>32613.179015171</v>
      </c>
      <c r="F4700" s="3">
        <v>38194.9532692114</v>
      </c>
      <c r="G4700" s="3">
        <v>20711.5630303349</v>
      </c>
      <c r="H4700" s="3">
        <v>-154233.943484238</v>
      </c>
      <c r="I4700" s="3">
        <v>68533.1656395147</v>
      </c>
      <c r="J4700" s="4">
        <v>45778.0</v>
      </c>
      <c r="K4700" s="3">
        <v>18.0</v>
      </c>
      <c r="L4700" s="3" t="s">
        <v>15</v>
      </c>
    </row>
    <row r="4701" ht="15.75" customHeight="1">
      <c r="A4701" s="3" t="s">
        <v>4793</v>
      </c>
      <c r="B4701" s="3" t="s">
        <v>53</v>
      </c>
      <c r="C4701" s="3" t="s">
        <v>18</v>
      </c>
      <c r="D4701" s="3">
        <v>62011.0128786866</v>
      </c>
      <c r="E4701" s="3">
        <v>32616.5466318039</v>
      </c>
      <c r="F4701" s="3">
        <v>38202.6332726409</v>
      </c>
      <c r="G4701" s="3">
        <v>20714.0691745783</v>
      </c>
      <c r="H4701" s="3">
        <v>-154283.447201987</v>
      </c>
      <c r="I4701" s="3">
        <v>68536.5471139345</v>
      </c>
      <c r="J4701" s="4">
        <v>45717.0</v>
      </c>
      <c r="K4701" s="3">
        <v>6.0</v>
      </c>
      <c r="L4701" s="3" t="s">
        <v>19</v>
      </c>
    </row>
    <row r="4702" ht="15.75" customHeight="1">
      <c r="A4702" s="3" t="s">
        <v>4794</v>
      </c>
      <c r="B4702" s="3" t="s">
        <v>25</v>
      </c>
      <c r="C4702" s="3" t="s">
        <v>30</v>
      </c>
      <c r="D4702" s="3">
        <v>62021.8958485928</v>
      </c>
      <c r="E4702" s="3">
        <v>32619.9142484369</v>
      </c>
      <c r="F4702" s="3">
        <v>38210.3132760704</v>
      </c>
      <c r="G4702" s="3">
        <v>20716.5753188218</v>
      </c>
      <c r="H4702" s="3">
        <v>-154332.950919736</v>
      </c>
      <c r="I4702" s="3">
        <v>68539.9285883544</v>
      </c>
      <c r="J4702" s="4">
        <v>45778.0</v>
      </c>
      <c r="K4702" s="3">
        <v>8.0</v>
      </c>
      <c r="L4702" s="3" t="s">
        <v>21</v>
      </c>
    </row>
    <row r="4703" ht="15.75" customHeight="1">
      <c r="A4703" s="3" t="s">
        <v>4795</v>
      </c>
      <c r="B4703" s="3" t="s">
        <v>51</v>
      </c>
      <c r="C4703" s="3" t="s">
        <v>33</v>
      </c>
      <c r="D4703" s="5"/>
      <c r="E4703" s="3">
        <v>32623.2818650699</v>
      </c>
      <c r="F4703" s="3">
        <v>38217.9932794999</v>
      </c>
      <c r="G4703" s="3">
        <v>20719.0814630653</v>
      </c>
      <c r="H4703" s="3">
        <v>-154382.454637485</v>
      </c>
      <c r="I4703" s="3">
        <v>68543.3100627742</v>
      </c>
      <c r="J4703" s="4">
        <v>45839.0</v>
      </c>
      <c r="K4703" s="3">
        <v>17.0</v>
      </c>
      <c r="L4703" s="3" t="s">
        <v>23</v>
      </c>
    </row>
    <row r="4704" ht="15.75" customHeight="1">
      <c r="A4704" s="3" t="s">
        <v>4796</v>
      </c>
      <c r="B4704" s="3" t="s">
        <v>25</v>
      </c>
      <c r="C4704" s="3" t="s">
        <v>37</v>
      </c>
      <c r="D4704" s="3">
        <v>62043.6617884052</v>
      </c>
      <c r="E4704" s="3">
        <v>32626.6494817028</v>
      </c>
      <c r="F4704" s="3">
        <v>38225.6732829294</v>
      </c>
      <c r="G4704" s="3">
        <v>20721.5876073088</v>
      </c>
      <c r="H4704" s="3">
        <v>-154431.958355234</v>
      </c>
      <c r="I4704" s="3">
        <v>68546.691537194</v>
      </c>
      <c r="J4704" s="4">
        <v>45689.0</v>
      </c>
      <c r="K4704" s="3">
        <v>15.0</v>
      </c>
      <c r="L4704" s="3" t="s">
        <v>27</v>
      </c>
    </row>
    <row r="4705" ht="15.75" customHeight="1">
      <c r="A4705" s="3" t="s">
        <v>4797</v>
      </c>
      <c r="B4705" s="3" t="s">
        <v>25</v>
      </c>
      <c r="C4705" s="3" t="s">
        <v>14</v>
      </c>
      <c r="D4705" s="3">
        <v>62065.4277282176</v>
      </c>
      <c r="E4705" s="3">
        <v>32633.3847149687</v>
      </c>
      <c r="F4705" s="3">
        <v>38241.0332897884</v>
      </c>
      <c r="G4705" s="3">
        <v>20726.5998957957</v>
      </c>
      <c r="H4705" s="3">
        <v>-154530.965790733</v>
      </c>
      <c r="I4705" s="3">
        <v>68553.4544860336</v>
      </c>
      <c r="J4705" s="4">
        <v>45870.0</v>
      </c>
      <c r="K4705" s="3">
        <v>1.0</v>
      </c>
      <c r="L4705" s="3" t="s">
        <v>34</v>
      </c>
    </row>
    <row r="4706" ht="15.75" customHeight="1">
      <c r="A4706" s="3" t="s">
        <v>4798</v>
      </c>
      <c r="B4706" s="3" t="s">
        <v>25</v>
      </c>
      <c r="C4706" s="3" t="s">
        <v>37</v>
      </c>
      <c r="D4706" s="3">
        <v>62076.3106981238</v>
      </c>
      <c r="E4706" s="3">
        <v>32636.7523316017</v>
      </c>
      <c r="F4706" s="3">
        <v>38248.7132932179</v>
      </c>
      <c r="G4706" s="3">
        <v>20729.1060400392</v>
      </c>
      <c r="H4706" s="3">
        <v>-154580.469508482</v>
      </c>
      <c r="I4706" s="3">
        <v>68556.8359604534</v>
      </c>
      <c r="J4706" s="4">
        <v>45689.0</v>
      </c>
      <c r="K4706" s="3">
        <v>16.0</v>
      </c>
      <c r="L4706" s="3" t="s">
        <v>38</v>
      </c>
    </row>
    <row r="4707" ht="15.75" customHeight="1">
      <c r="A4707" s="3" t="s">
        <v>4799</v>
      </c>
      <c r="B4707" s="3" t="s">
        <v>51</v>
      </c>
      <c r="C4707" s="3" t="s">
        <v>37</v>
      </c>
      <c r="D4707" s="3">
        <v>62087.1936680299</v>
      </c>
      <c r="E4707" s="3">
        <v>32640.1199482347</v>
      </c>
      <c r="F4707" s="3">
        <v>382.0</v>
      </c>
      <c r="G4707" s="3">
        <v>20731.6121842826</v>
      </c>
      <c r="H4707" s="3">
        <v>-154629.973226231</v>
      </c>
      <c r="I4707" s="3">
        <v>68560.2174348733</v>
      </c>
      <c r="J4707" s="4">
        <v>45931.0</v>
      </c>
      <c r="K4707" s="3">
        <v>16.0</v>
      </c>
      <c r="L4707" s="3" t="s">
        <v>40</v>
      </c>
    </row>
    <row r="4708" ht="15.75" customHeight="1">
      <c r="A4708" s="3" t="s">
        <v>4800</v>
      </c>
      <c r="B4708" s="3" t="s">
        <v>36</v>
      </c>
      <c r="C4708" s="3" t="s">
        <v>18</v>
      </c>
      <c r="D4708" s="3">
        <v>62098.0766379361</v>
      </c>
      <c r="E4708" s="3">
        <v>32643.4875648676</v>
      </c>
      <c r="F4708" s="3">
        <v>38264.0733000769</v>
      </c>
      <c r="G4708" s="3">
        <v>20734.1183285261</v>
      </c>
      <c r="H4708" s="3">
        <v>-154679.47694398</v>
      </c>
      <c r="I4708" s="3">
        <v>68563.5989092931</v>
      </c>
      <c r="J4708" s="4">
        <v>45901.0</v>
      </c>
      <c r="K4708" s="3">
        <v>2.0</v>
      </c>
      <c r="L4708" s="3" t="s">
        <v>42</v>
      </c>
    </row>
    <row r="4709" ht="15.75" customHeight="1">
      <c r="A4709" s="3" t="s">
        <v>4801</v>
      </c>
      <c r="B4709" s="3" t="s">
        <v>53</v>
      </c>
      <c r="C4709" s="3" t="s">
        <v>30</v>
      </c>
      <c r="D4709" s="3">
        <v>62108.9596078423</v>
      </c>
      <c r="E4709" s="3">
        <v>32646.8551815006</v>
      </c>
      <c r="F4709" s="3">
        <v>38271.7533035064</v>
      </c>
      <c r="G4709" s="3">
        <v>20736.6244727696</v>
      </c>
      <c r="H4709" s="3">
        <v>-154728.980661729</v>
      </c>
      <c r="I4709" s="3">
        <v>68566.9803837129</v>
      </c>
      <c r="J4709" s="4">
        <v>45748.0</v>
      </c>
      <c r="K4709" s="3">
        <v>9.0</v>
      </c>
      <c r="L4709" s="3" t="s">
        <v>15</v>
      </c>
    </row>
    <row r="4710" ht="15.75" customHeight="1">
      <c r="A4710" s="3" t="s">
        <v>4802</v>
      </c>
      <c r="B4710" s="3" t="s">
        <v>51</v>
      </c>
      <c r="C4710" s="3" t="s">
        <v>37</v>
      </c>
      <c r="D4710" s="3">
        <v>62119.8425777485</v>
      </c>
      <c r="E4710" s="3">
        <v>32650.2227981336</v>
      </c>
      <c r="F4710" s="3">
        <v>38279.4333069359</v>
      </c>
      <c r="G4710" s="3">
        <v>20739.130617013</v>
      </c>
      <c r="H4710" s="3">
        <v>-154778.484379478</v>
      </c>
      <c r="I4710" s="3">
        <v>68570.3618581327</v>
      </c>
      <c r="J4710" s="4">
        <v>45689.0</v>
      </c>
      <c r="K4710" s="3">
        <v>14.0</v>
      </c>
      <c r="L4710" s="3" t="s">
        <v>19</v>
      </c>
    </row>
    <row r="4711" ht="15.75" customHeight="1">
      <c r="A4711" s="3" t="s">
        <v>4803</v>
      </c>
      <c r="B4711" s="3" t="s">
        <v>13</v>
      </c>
      <c r="C4711" s="3" t="s">
        <v>14</v>
      </c>
      <c r="D4711" s="3">
        <v>62130.7255476547</v>
      </c>
      <c r="E4711" s="3">
        <v>32653.5904147665</v>
      </c>
      <c r="F4711" s="3">
        <v>382.0</v>
      </c>
      <c r="G4711" s="3">
        <v>20741.6367612565</v>
      </c>
      <c r="H4711" s="3">
        <v>-154827.988097227</v>
      </c>
      <c r="I4711" s="3">
        <v>68573.7433325525</v>
      </c>
      <c r="J4711" s="4">
        <v>45962.0</v>
      </c>
      <c r="K4711" s="3">
        <v>15.0</v>
      </c>
      <c r="L4711" s="3" t="s">
        <v>21</v>
      </c>
    </row>
    <row r="4712" ht="15.75" customHeight="1">
      <c r="A4712" s="3" t="s">
        <v>4804</v>
      </c>
      <c r="B4712" s="3" t="s">
        <v>29</v>
      </c>
      <c r="C4712" s="3" t="s">
        <v>37</v>
      </c>
      <c r="D4712" s="3">
        <v>62141.6085175609</v>
      </c>
      <c r="E4712" s="3">
        <v>32656.9580313995</v>
      </c>
      <c r="F4712" s="3">
        <v>38294.7933137949</v>
      </c>
      <c r="G4712" s="3">
        <v>20744.1429055</v>
      </c>
      <c r="H4712" s="3">
        <v>-154877.491814976</v>
      </c>
      <c r="I4712" s="3">
        <v>68577.1248069723</v>
      </c>
      <c r="J4712" s="4">
        <v>45992.0</v>
      </c>
      <c r="K4712" s="3">
        <v>7.0</v>
      </c>
      <c r="L4712" s="3" t="s">
        <v>23</v>
      </c>
    </row>
    <row r="4713" ht="15.75" customHeight="1">
      <c r="A4713" s="3" t="s">
        <v>4805</v>
      </c>
      <c r="B4713" s="3" t="s">
        <v>53</v>
      </c>
      <c r="C4713" s="3" t="s">
        <v>37</v>
      </c>
      <c r="D4713" s="3">
        <v>62152.4914874671</v>
      </c>
      <c r="E4713" s="3">
        <v>32660.3256480324</v>
      </c>
      <c r="F4713" s="3">
        <v>38302.4733172244</v>
      </c>
      <c r="G4713" s="3">
        <v>20746.6490497434</v>
      </c>
      <c r="H4713" s="3">
        <v>-154926.995532726</v>
      </c>
      <c r="I4713" s="3">
        <v>68580.5062813921</v>
      </c>
      <c r="J4713" s="4">
        <v>45839.0</v>
      </c>
      <c r="K4713" s="3">
        <v>24.0</v>
      </c>
      <c r="L4713" s="3" t="s">
        <v>27</v>
      </c>
    </row>
    <row r="4714" ht="15.75" customHeight="1">
      <c r="A4714" s="3" t="s">
        <v>4806</v>
      </c>
      <c r="B4714" s="3" t="s">
        <v>29</v>
      </c>
      <c r="C4714" s="3" t="s">
        <v>30</v>
      </c>
      <c r="D4714" s="3">
        <v>62174.2574272795</v>
      </c>
      <c r="E4714" s="3">
        <v>32667.0608812984</v>
      </c>
      <c r="F4714" s="3">
        <v>38317.8333240834</v>
      </c>
      <c r="G4714" s="3">
        <v>20751.6613382304</v>
      </c>
      <c r="H4714" s="3">
        <v>-155026.002968224</v>
      </c>
      <c r="I4714" s="3">
        <v>68587.2692302318</v>
      </c>
      <c r="J4714" s="4">
        <v>45870.0</v>
      </c>
      <c r="K4714" s="3">
        <v>7.0</v>
      </c>
      <c r="L4714" s="3" t="s">
        <v>34</v>
      </c>
    </row>
    <row r="4715" ht="15.75" customHeight="1">
      <c r="A4715" s="3" t="s">
        <v>4807</v>
      </c>
      <c r="B4715" s="3" t="s">
        <v>13</v>
      </c>
      <c r="C4715" s="3" t="s">
        <v>14</v>
      </c>
      <c r="D4715" s="3">
        <v>62185.1403971857</v>
      </c>
      <c r="E4715" s="3">
        <v>32670.4284979313</v>
      </c>
      <c r="F4715" s="3">
        <v>38325.5133275129</v>
      </c>
      <c r="G4715" s="3">
        <v>20754.1674824739</v>
      </c>
      <c r="H4715" s="3">
        <v>-155075.506685973</v>
      </c>
      <c r="I4715" s="3">
        <v>68590.6507046516</v>
      </c>
      <c r="J4715" s="4">
        <v>45962.0</v>
      </c>
      <c r="K4715" s="3">
        <v>16.0</v>
      </c>
      <c r="L4715" s="3" t="s">
        <v>38</v>
      </c>
    </row>
    <row r="4716" ht="15.75" customHeight="1">
      <c r="A4716" s="3" t="s">
        <v>4808</v>
      </c>
      <c r="B4716" s="3" t="s">
        <v>17</v>
      </c>
      <c r="C4716" s="3" t="s">
        <v>54</v>
      </c>
      <c r="D4716" s="3">
        <v>62196.0233670919</v>
      </c>
      <c r="E4716" s="3">
        <v>32673.7961145643</v>
      </c>
      <c r="F4716" s="3">
        <v>38333.1933309424</v>
      </c>
      <c r="G4716" s="3">
        <v>20756.6736267173</v>
      </c>
      <c r="H4716" s="3">
        <v>-155125.010403722</v>
      </c>
      <c r="I4716" s="3">
        <v>68594.0321790714</v>
      </c>
      <c r="J4716" s="4">
        <v>45748.0</v>
      </c>
      <c r="K4716" s="3">
        <v>22.0</v>
      </c>
      <c r="L4716" s="3" t="s">
        <v>40</v>
      </c>
    </row>
    <row r="4717" ht="15.75" customHeight="1">
      <c r="A4717" s="3" t="s">
        <v>4809</v>
      </c>
      <c r="B4717" s="3" t="s">
        <v>53</v>
      </c>
      <c r="C4717" s="3" t="s">
        <v>33</v>
      </c>
      <c r="D4717" s="3">
        <v>62206.9063369981</v>
      </c>
      <c r="E4717" s="3">
        <v>32677.1637311973</v>
      </c>
      <c r="F4717" s="3">
        <v>3834.0</v>
      </c>
      <c r="G4717" s="3">
        <v>20759.1797709608</v>
      </c>
      <c r="H4717" s="3">
        <v>41447.7265660373</v>
      </c>
      <c r="I4717" s="3">
        <v>46447.7265660373</v>
      </c>
      <c r="J4717" s="4">
        <v>45962.0</v>
      </c>
      <c r="K4717" s="3">
        <v>19.0</v>
      </c>
      <c r="L4717" s="3" t="s">
        <v>42</v>
      </c>
    </row>
    <row r="4718" ht="15.75" customHeight="1">
      <c r="A4718" s="3" t="s">
        <v>4810</v>
      </c>
      <c r="B4718" s="3" t="s">
        <v>51</v>
      </c>
      <c r="C4718" s="3" t="s">
        <v>26</v>
      </c>
      <c r="D4718" s="3">
        <v>62217.7893069043</v>
      </c>
      <c r="E4718" s="3">
        <v>32680.5313478302</v>
      </c>
      <c r="F4718" s="3">
        <v>38348.5533378014</v>
      </c>
      <c r="G4718" s="3">
        <v>20761.6859152043</v>
      </c>
      <c r="H4718" s="3">
        <v>-155224.01783922</v>
      </c>
      <c r="I4718" s="3">
        <v>68600.795127911</v>
      </c>
      <c r="J4718" s="4">
        <v>45778.0</v>
      </c>
      <c r="K4718" s="3">
        <v>14.0</v>
      </c>
      <c r="L4718" s="3" t="s">
        <v>15</v>
      </c>
    </row>
    <row r="4719" ht="15.75" customHeight="1">
      <c r="A4719" s="3" t="s">
        <v>4811</v>
      </c>
      <c r="B4719" s="3" t="s">
        <v>36</v>
      </c>
      <c r="C4719" s="3" t="s">
        <v>30</v>
      </c>
      <c r="D4719" s="3">
        <v>62228.6722768105</v>
      </c>
      <c r="E4719" s="3">
        <v>32683.8989644632</v>
      </c>
      <c r="F4719" s="3">
        <v>38356.2333412309</v>
      </c>
      <c r="G4719" s="3">
        <v>20764.1920594477</v>
      </c>
      <c r="H4719" s="3">
        <v>-155273.521556969</v>
      </c>
      <c r="I4719" s="3">
        <v>68604.1766023308</v>
      </c>
      <c r="J4719" s="4">
        <v>45839.0</v>
      </c>
      <c r="K4719" s="3">
        <v>15.0</v>
      </c>
      <c r="L4719" s="3" t="s">
        <v>19</v>
      </c>
    </row>
    <row r="4720" ht="15.75" customHeight="1">
      <c r="A4720" s="3" t="s">
        <v>4812</v>
      </c>
      <c r="B4720" s="3" t="s">
        <v>29</v>
      </c>
      <c r="C4720" s="3" t="s">
        <v>33</v>
      </c>
      <c r="D4720" s="3">
        <v>62239.5552467167</v>
      </c>
      <c r="E4720" s="3">
        <v>32687.2665810961</v>
      </c>
      <c r="F4720" s="3">
        <v>38363.9133446604</v>
      </c>
      <c r="G4720" s="3">
        <v>20766.6982036912</v>
      </c>
      <c r="H4720" s="3">
        <v>-155323.025274719</v>
      </c>
      <c r="I4720" s="3">
        <v>68607.5580767507</v>
      </c>
      <c r="J4720" s="4">
        <v>45809.0</v>
      </c>
      <c r="K4720" s="3">
        <v>1.0</v>
      </c>
      <c r="L4720" s="3" t="s">
        <v>21</v>
      </c>
    </row>
    <row r="4721" ht="15.75" customHeight="1">
      <c r="A4721" s="3" t="s">
        <v>4813</v>
      </c>
      <c r="B4721" s="3" t="s">
        <v>29</v>
      </c>
      <c r="C4721" s="3" t="s">
        <v>26</v>
      </c>
      <c r="D4721" s="3">
        <v>62250.4382166228</v>
      </c>
      <c r="E4721" s="3">
        <v>32690.6341977291</v>
      </c>
      <c r="F4721" s="3">
        <v>38371.5933480899</v>
      </c>
      <c r="G4721" s="3">
        <v>20769.2043479347</v>
      </c>
      <c r="H4721" s="3">
        <v>-155372.528992468</v>
      </c>
      <c r="I4721" s="3">
        <v>68610.9395511705</v>
      </c>
      <c r="J4721" s="4">
        <v>45658.0</v>
      </c>
      <c r="K4721" s="3">
        <v>17.0</v>
      </c>
      <c r="L4721" s="3" t="s">
        <v>23</v>
      </c>
    </row>
    <row r="4722" ht="15.75" customHeight="1">
      <c r="A4722" s="3" t="s">
        <v>4814</v>
      </c>
      <c r="B4722" s="3" t="s">
        <v>17</v>
      </c>
      <c r="C4722" s="3" t="s">
        <v>14</v>
      </c>
      <c r="D4722" s="3">
        <v>62261.321186529</v>
      </c>
      <c r="E4722" s="3">
        <v>32694.0018143621</v>
      </c>
      <c r="F4722" s="3">
        <v>38379.2733515194</v>
      </c>
      <c r="G4722" s="3">
        <v>20771.7104921781</v>
      </c>
      <c r="H4722" s="3">
        <v>-155422.032710217</v>
      </c>
      <c r="I4722" s="3">
        <v>68614.3210255903</v>
      </c>
      <c r="J4722" s="4">
        <v>45748.0</v>
      </c>
      <c r="K4722" s="3">
        <v>13.0</v>
      </c>
      <c r="L4722" s="3" t="s">
        <v>27</v>
      </c>
    </row>
    <row r="4723" ht="15.75" customHeight="1">
      <c r="A4723" s="3" t="s">
        <v>4815</v>
      </c>
      <c r="B4723" s="3" t="s">
        <v>53</v>
      </c>
      <c r="C4723" s="3" t="s">
        <v>54</v>
      </c>
      <c r="D4723" s="3">
        <v>62272.2041564352</v>
      </c>
      <c r="E4723" s="3">
        <v>32697.369430995</v>
      </c>
      <c r="F4723" s="3">
        <v>38386.9533549489</v>
      </c>
      <c r="G4723" s="3">
        <v>20774.2166364216</v>
      </c>
      <c r="H4723" s="3">
        <v>-155471.536427966</v>
      </c>
      <c r="I4723" s="3">
        <v>68617.7025000101</v>
      </c>
      <c r="J4723" s="4">
        <v>45778.0</v>
      </c>
      <c r="K4723" s="3">
        <v>16.0</v>
      </c>
      <c r="L4723" s="3" t="s">
        <v>31</v>
      </c>
    </row>
    <row r="4724" ht="15.75" customHeight="1">
      <c r="A4724" s="3" t="s">
        <v>4816</v>
      </c>
      <c r="B4724" s="3" t="s">
        <v>53</v>
      </c>
      <c r="C4724" s="3" t="s">
        <v>26</v>
      </c>
      <c r="D4724" s="3">
        <v>62283.0871263414</v>
      </c>
      <c r="E4724" s="3">
        <v>32700.737047628</v>
      </c>
      <c r="F4724" s="3">
        <v>38394.6333583783</v>
      </c>
      <c r="G4724" s="3">
        <v>20776.7227806651</v>
      </c>
      <c r="H4724" s="3">
        <v>-155521.040145715</v>
      </c>
      <c r="I4724" s="3">
        <v>68621.0839744299</v>
      </c>
      <c r="J4724" s="4">
        <v>45778.0</v>
      </c>
      <c r="K4724" s="3">
        <v>11.0</v>
      </c>
      <c r="L4724" s="3" t="s">
        <v>34</v>
      </c>
    </row>
    <row r="4725" ht="15.75" customHeight="1">
      <c r="A4725" s="3" t="s">
        <v>4817</v>
      </c>
      <c r="B4725" s="3" t="s">
        <v>17</v>
      </c>
      <c r="C4725" s="3" t="s">
        <v>33</v>
      </c>
      <c r="D4725" s="3">
        <v>62293.9700962476</v>
      </c>
      <c r="E4725" s="3">
        <v>32704.104664261</v>
      </c>
      <c r="F4725" s="3">
        <v>38402.3133618079</v>
      </c>
      <c r="G4725" s="3">
        <v>20779.2289249086</v>
      </c>
      <c r="H4725" s="3">
        <v>-155570.543863464</v>
      </c>
      <c r="I4725" s="3">
        <v>68624.4654488497</v>
      </c>
      <c r="J4725" s="4">
        <v>45962.0</v>
      </c>
      <c r="K4725" s="3">
        <v>22.0</v>
      </c>
      <c r="L4725" s="3" t="s">
        <v>38</v>
      </c>
    </row>
    <row r="4726" ht="15.75" customHeight="1">
      <c r="A4726" s="3" t="s">
        <v>4818</v>
      </c>
      <c r="B4726" s="3" t="s">
        <v>13</v>
      </c>
      <c r="C4726" s="3" t="s">
        <v>54</v>
      </c>
      <c r="D4726" s="3">
        <v>62304.8530661538</v>
      </c>
      <c r="E4726" s="3">
        <v>32707.4722808939</v>
      </c>
      <c r="F4726" s="3">
        <v>38409.9933652373</v>
      </c>
      <c r="G4726" s="3">
        <v>20781.735069152</v>
      </c>
      <c r="H4726" s="3">
        <v>-155620.047581213</v>
      </c>
      <c r="I4726" s="3">
        <v>68627.8469232695</v>
      </c>
      <c r="J4726" s="4">
        <v>45658.0</v>
      </c>
      <c r="K4726" s="3">
        <v>13.0</v>
      </c>
      <c r="L4726" s="3" t="s">
        <v>40</v>
      </c>
    </row>
    <row r="4727" ht="15.75" customHeight="1">
      <c r="A4727" s="3" t="s">
        <v>4819</v>
      </c>
      <c r="B4727" s="3" t="s">
        <v>29</v>
      </c>
      <c r="C4727" s="3" t="s">
        <v>37</v>
      </c>
      <c r="D4727" s="3">
        <v>62315.73603606</v>
      </c>
      <c r="E4727" s="3">
        <v>32710.8398975269</v>
      </c>
      <c r="F4727" s="3">
        <v>38417.6733686668</v>
      </c>
      <c r="G4727" s="3">
        <v>20784.2412133955</v>
      </c>
      <c r="H4727" s="3">
        <v>-155669.551298962</v>
      </c>
      <c r="I4727" s="3">
        <v>68631.2283976894</v>
      </c>
      <c r="J4727" s="4">
        <v>45870.0</v>
      </c>
      <c r="K4727" s="3">
        <v>2.0</v>
      </c>
      <c r="L4727" s="3" t="s">
        <v>42</v>
      </c>
    </row>
    <row r="4728" ht="15.75" customHeight="1">
      <c r="A4728" s="3" t="s">
        <v>4820</v>
      </c>
      <c r="B4728" s="3" t="s">
        <v>51</v>
      </c>
      <c r="C4728" s="3" t="s">
        <v>26</v>
      </c>
      <c r="D4728" s="3">
        <v>62326.6190059662</v>
      </c>
      <c r="E4728" s="3">
        <v>32714.2075141598</v>
      </c>
      <c r="F4728" s="3">
        <v>38425.3533720963</v>
      </c>
      <c r="G4728" s="3">
        <v>20786.747357639</v>
      </c>
      <c r="H4728" s="3">
        <v>-155719.055016712</v>
      </c>
      <c r="I4728" s="3">
        <v>68634.6098721092</v>
      </c>
      <c r="J4728" s="4">
        <v>45717.0</v>
      </c>
      <c r="K4728" s="3">
        <v>24.0</v>
      </c>
      <c r="L4728" s="3" t="s">
        <v>15</v>
      </c>
    </row>
    <row r="4729" ht="15.75" customHeight="1">
      <c r="A4729" s="3" t="s">
        <v>4821</v>
      </c>
      <c r="B4729" s="3" t="s">
        <v>13</v>
      </c>
      <c r="C4729" s="3" t="s">
        <v>37</v>
      </c>
      <c r="D4729" s="3">
        <v>62337.5019758724</v>
      </c>
      <c r="E4729" s="3">
        <v>32717.5751307928</v>
      </c>
      <c r="F4729" s="3">
        <v>38433.0333755258</v>
      </c>
      <c r="G4729" s="3">
        <v>20789.2535018824</v>
      </c>
      <c r="H4729" s="3">
        <v>-155768.558734461</v>
      </c>
      <c r="I4729" s="3">
        <v>68637.991346529</v>
      </c>
      <c r="J4729" s="4">
        <v>45717.0</v>
      </c>
      <c r="K4729" s="3">
        <v>6.0</v>
      </c>
      <c r="L4729" s="3" t="s">
        <v>19</v>
      </c>
    </row>
    <row r="4730" ht="15.75" customHeight="1">
      <c r="A4730" s="3" t="s">
        <v>4822</v>
      </c>
      <c r="B4730" s="3" t="s">
        <v>17</v>
      </c>
      <c r="C4730" s="3" t="s">
        <v>26</v>
      </c>
      <c r="D4730" s="3">
        <v>62348.3849457786</v>
      </c>
      <c r="E4730" s="3">
        <v>32720.9427474258</v>
      </c>
      <c r="F4730" s="3">
        <v>38440.7133789553</v>
      </c>
      <c r="G4730" s="3">
        <v>20791.7596461259</v>
      </c>
      <c r="H4730" s="3">
        <v>-155818.06245221</v>
      </c>
      <c r="I4730" s="3">
        <v>68641.3728209488</v>
      </c>
      <c r="J4730" s="4">
        <v>45931.0</v>
      </c>
      <c r="K4730" s="3">
        <v>1.0</v>
      </c>
      <c r="L4730" s="3" t="s">
        <v>21</v>
      </c>
    </row>
    <row r="4731" ht="15.75" customHeight="1">
      <c r="A4731" s="3" t="s">
        <v>4823</v>
      </c>
      <c r="B4731" s="3" t="s">
        <v>29</v>
      </c>
      <c r="C4731" s="3" t="s">
        <v>26</v>
      </c>
      <c r="D4731" s="3">
        <v>62359.2679156848</v>
      </c>
      <c r="E4731" s="3">
        <v>32724.3103640587</v>
      </c>
      <c r="F4731" s="3">
        <v>38448.3933823848</v>
      </c>
      <c r="G4731" s="3">
        <v>20794.2657903694</v>
      </c>
      <c r="H4731" s="3">
        <v>-155867.566169959</v>
      </c>
      <c r="I4731" s="3">
        <v>68644.7542953686</v>
      </c>
      <c r="J4731" s="4">
        <v>45809.0</v>
      </c>
      <c r="K4731" s="3">
        <v>15.0</v>
      </c>
      <c r="L4731" s="3" t="s">
        <v>23</v>
      </c>
    </row>
    <row r="4732" ht="15.75" customHeight="1">
      <c r="A4732" s="3" t="s">
        <v>4824</v>
      </c>
      <c r="B4732" s="3" t="s">
        <v>36</v>
      </c>
      <c r="C4732" s="3" t="s">
        <v>30</v>
      </c>
      <c r="D4732" s="3">
        <v>62370.150885591</v>
      </c>
      <c r="E4732" s="3">
        <v>32727.6779806917</v>
      </c>
      <c r="F4732" s="3">
        <v>38456.0733858143</v>
      </c>
      <c r="G4732" s="3">
        <v>20796.7719346128</v>
      </c>
      <c r="H4732" s="3">
        <v>-155917.069887708</v>
      </c>
      <c r="I4732" s="3">
        <v>68648.1357697884</v>
      </c>
      <c r="J4732" s="4">
        <v>45901.0</v>
      </c>
      <c r="K4732" s="3">
        <v>3.0</v>
      </c>
      <c r="L4732" s="3" t="s">
        <v>27</v>
      </c>
    </row>
    <row r="4733" ht="15.75" customHeight="1">
      <c r="A4733" s="3" t="s">
        <v>4825</v>
      </c>
      <c r="B4733" s="3" t="s">
        <v>36</v>
      </c>
      <c r="C4733" s="3" t="s">
        <v>26</v>
      </c>
      <c r="D4733" s="3">
        <v>62381.0338554972</v>
      </c>
      <c r="E4733" s="3">
        <v>32731.0455973247</v>
      </c>
      <c r="F4733" s="3">
        <v>38463.7533892438</v>
      </c>
      <c r="G4733" s="3">
        <v>20799.2780788563</v>
      </c>
      <c r="H4733" s="3">
        <v>-155966.573605457</v>
      </c>
      <c r="I4733" s="3">
        <v>68651.5172442082</v>
      </c>
      <c r="J4733" s="4">
        <v>45778.0</v>
      </c>
      <c r="K4733" s="3">
        <v>13.0</v>
      </c>
      <c r="L4733" s="3" t="s">
        <v>31</v>
      </c>
    </row>
    <row r="4734" ht="15.75" customHeight="1">
      <c r="A4734" s="3" t="s">
        <v>4826</v>
      </c>
      <c r="B4734" s="3" t="s">
        <v>29</v>
      </c>
      <c r="C4734" s="3" t="s">
        <v>37</v>
      </c>
      <c r="D4734" s="3">
        <v>62391.9168254034</v>
      </c>
      <c r="E4734" s="3">
        <v>32734.4132139576</v>
      </c>
      <c r="F4734" s="3">
        <v>38471.4333926733</v>
      </c>
      <c r="G4734" s="3">
        <v>20801.7842230998</v>
      </c>
      <c r="H4734" s="3">
        <v>-156016.077323206</v>
      </c>
      <c r="I4734" s="3">
        <v>68654.8987186281</v>
      </c>
      <c r="J4734" s="4">
        <v>45962.0</v>
      </c>
      <c r="K4734" s="3">
        <v>13.0</v>
      </c>
      <c r="L4734" s="3" t="s">
        <v>34</v>
      </c>
    </row>
    <row r="4735" ht="15.75" customHeight="1">
      <c r="A4735" s="3" t="s">
        <v>4827</v>
      </c>
      <c r="B4735" s="3" t="s">
        <v>51</v>
      </c>
      <c r="C4735" s="3" t="s">
        <v>37</v>
      </c>
      <c r="D4735" s="3">
        <v>62402.7997953096</v>
      </c>
      <c r="E4735" s="3">
        <v>32737.7808305906</v>
      </c>
      <c r="F4735" s="3">
        <v>38479.1133961028</v>
      </c>
      <c r="G4735" s="3">
        <v>20804.2903673432</v>
      </c>
      <c r="H4735" s="3">
        <v>-156065.581040955</v>
      </c>
      <c r="I4735" s="3">
        <v>68658.2801930479</v>
      </c>
      <c r="J4735" s="4">
        <v>45992.0</v>
      </c>
      <c r="K4735" s="3">
        <v>14.0</v>
      </c>
      <c r="L4735" s="3" t="s">
        <v>38</v>
      </c>
    </row>
    <row r="4736" ht="15.75" customHeight="1">
      <c r="A4736" s="3" t="s">
        <v>4828</v>
      </c>
      <c r="B4736" s="3" t="s">
        <v>53</v>
      </c>
      <c r="C4736" s="3" t="s">
        <v>30</v>
      </c>
      <c r="D4736" s="3">
        <v>62413.6827652157</v>
      </c>
      <c r="E4736" s="3">
        <v>32741.1484472235</v>
      </c>
      <c r="F4736" s="3">
        <v>38486.7933995323</v>
      </c>
      <c r="G4736" s="3">
        <v>20806.7965115867</v>
      </c>
      <c r="H4736" s="3">
        <v>-156115.084758705</v>
      </c>
      <c r="I4736" s="3">
        <v>68661.6616674677</v>
      </c>
      <c r="J4736" s="4">
        <v>45931.0</v>
      </c>
      <c r="K4736" s="3">
        <v>17.0</v>
      </c>
      <c r="L4736" s="3" t="s">
        <v>40</v>
      </c>
    </row>
    <row r="4737" ht="15.75" customHeight="1">
      <c r="A4737" s="3" t="s">
        <v>4829</v>
      </c>
      <c r="B4737" s="3" t="s">
        <v>29</v>
      </c>
      <c r="C4737" s="3" t="s">
        <v>30</v>
      </c>
      <c r="D4737" s="3">
        <v>62424.5657351219</v>
      </c>
      <c r="E4737" s="3">
        <v>32744.5160638565</v>
      </c>
      <c r="F4737" s="3">
        <v>384.0</v>
      </c>
      <c r="G4737" s="3">
        <v>20809.3026558302</v>
      </c>
      <c r="H4737" s="3">
        <v>-156164.588476454</v>
      </c>
      <c r="I4737" s="3">
        <v>68665.0431418875</v>
      </c>
      <c r="J4737" s="4">
        <v>45901.0</v>
      </c>
      <c r="K4737" s="3">
        <v>17.0</v>
      </c>
      <c r="L4737" s="3" t="s">
        <v>42</v>
      </c>
    </row>
    <row r="4738" ht="15.75" customHeight="1">
      <c r="A4738" s="3" t="s">
        <v>4830</v>
      </c>
      <c r="B4738" s="3" t="s">
        <v>53</v>
      </c>
      <c r="C4738" s="3" t="s">
        <v>30</v>
      </c>
      <c r="D4738" s="3">
        <v>62435.4487050281</v>
      </c>
      <c r="E4738" s="3">
        <v>32747.8836804895</v>
      </c>
      <c r="F4738" s="3">
        <v>38502.1534063913</v>
      </c>
      <c r="G4738" s="5"/>
      <c r="H4738" s="3">
        <v>-156214.092194203</v>
      </c>
      <c r="I4738" s="3">
        <v>68668.4246163073</v>
      </c>
      <c r="J4738" s="4">
        <v>45931.0</v>
      </c>
      <c r="K4738" s="3">
        <v>22.0</v>
      </c>
      <c r="L4738" s="3" t="s">
        <v>15</v>
      </c>
    </row>
    <row r="4739" ht="15.75" customHeight="1">
      <c r="A4739" s="3" t="s">
        <v>4831</v>
      </c>
      <c r="B4739" s="3" t="s">
        <v>51</v>
      </c>
      <c r="C4739" s="3" t="s">
        <v>37</v>
      </c>
      <c r="D4739" s="5"/>
      <c r="E4739" s="3">
        <v>32751.2512971224</v>
      </c>
      <c r="F4739" s="3">
        <v>38509.8334098208</v>
      </c>
      <c r="G4739" s="3">
        <v>20814.3149443171</v>
      </c>
      <c r="H4739" s="3">
        <v>-156263.595911952</v>
      </c>
      <c r="I4739" s="3">
        <v>68671.8060907271</v>
      </c>
      <c r="J4739" s="4">
        <v>45717.0</v>
      </c>
      <c r="K4739" s="3">
        <v>11.0</v>
      </c>
      <c r="L4739" s="3" t="s">
        <v>19</v>
      </c>
    </row>
    <row r="4740" ht="15.75" customHeight="1">
      <c r="A4740" s="3" t="s">
        <v>4832</v>
      </c>
      <c r="B4740" s="3" t="s">
        <v>17</v>
      </c>
      <c r="C4740" s="3" t="s">
        <v>14</v>
      </c>
      <c r="D4740" s="3">
        <v>62457.2146448405</v>
      </c>
      <c r="E4740" s="3">
        <v>32754.6189137554</v>
      </c>
      <c r="F4740" s="3">
        <v>38517.5134132503</v>
      </c>
      <c r="G4740" s="3">
        <v>20816.8210885606</v>
      </c>
      <c r="H4740" s="3">
        <v>-156313.099629701</v>
      </c>
      <c r="I4740" s="3">
        <v>68675.1875651469</v>
      </c>
      <c r="J4740" s="4">
        <v>45839.0</v>
      </c>
      <c r="K4740" s="3">
        <v>14.0</v>
      </c>
      <c r="L4740" s="3" t="s">
        <v>21</v>
      </c>
    </row>
    <row r="4741" ht="15.75" customHeight="1">
      <c r="A4741" s="3" t="s">
        <v>4833</v>
      </c>
      <c r="B4741" s="3" t="s">
        <v>51</v>
      </c>
      <c r="C4741" s="3" t="s">
        <v>54</v>
      </c>
      <c r="D4741" s="3">
        <v>62468.0976147467</v>
      </c>
      <c r="E4741" s="3">
        <v>32757.9865303884</v>
      </c>
      <c r="F4741" s="3">
        <v>38525.1934166798</v>
      </c>
      <c r="G4741" s="3">
        <v>20819.3272328041</v>
      </c>
      <c r="H4741" s="3">
        <v>-156362.60334745</v>
      </c>
      <c r="I4741" s="3">
        <v>68678.5690395667</v>
      </c>
      <c r="J4741" s="4">
        <v>45778.0</v>
      </c>
      <c r="K4741" s="3">
        <v>2.0</v>
      </c>
      <c r="L4741" s="3" t="s">
        <v>23</v>
      </c>
    </row>
    <row r="4742" ht="15.75" customHeight="1">
      <c r="A4742" s="3" t="s">
        <v>4834</v>
      </c>
      <c r="B4742" s="3" t="s">
        <v>51</v>
      </c>
      <c r="C4742" s="3" t="s">
        <v>54</v>
      </c>
      <c r="D4742" s="3">
        <v>62478.9805846529</v>
      </c>
      <c r="E4742" s="3">
        <v>32761.3541470213</v>
      </c>
      <c r="F4742" s="3">
        <v>38532.8734201093</v>
      </c>
      <c r="G4742" s="3">
        <v>20821.8333770475</v>
      </c>
      <c r="H4742" s="3">
        <v>-156412.107065199</v>
      </c>
      <c r="I4742" s="3">
        <v>68681.9505139866</v>
      </c>
      <c r="J4742" s="4">
        <v>45748.0</v>
      </c>
      <c r="K4742" s="3">
        <v>11.0</v>
      </c>
      <c r="L4742" s="3" t="s">
        <v>27</v>
      </c>
    </row>
    <row r="4743" ht="15.75" customHeight="1">
      <c r="A4743" s="3" t="s">
        <v>4835</v>
      </c>
      <c r="B4743" s="3" t="s">
        <v>25</v>
      </c>
      <c r="C4743" s="3" t="s">
        <v>26</v>
      </c>
      <c r="D4743" s="3">
        <v>62500.7465244653</v>
      </c>
      <c r="E4743" s="3">
        <v>32768.0893802872</v>
      </c>
      <c r="F4743" s="3">
        <v>38548.2334269683</v>
      </c>
      <c r="G4743" s="5"/>
      <c r="H4743" s="3">
        <v>-156511.114500698</v>
      </c>
      <c r="I4743" s="3">
        <v>68688.7134628262</v>
      </c>
      <c r="J4743" s="4">
        <v>45689.0</v>
      </c>
      <c r="K4743" s="3">
        <v>14.0</v>
      </c>
      <c r="L4743" s="3" t="s">
        <v>34</v>
      </c>
    </row>
    <row r="4744" ht="15.75" customHeight="1">
      <c r="A4744" s="3" t="s">
        <v>4836</v>
      </c>
      <c r="B4744" s="3" t="s">
        <v>29</v>
      </c>
      <c r="C4744" s="3" t="s">
        <v>33</v>
      </c>
      <c r="D4744" s="3">
        <v>62511.6294943715</v>
      </c>
      <c r="E4744" s="3">
        <v>32771.4569969202</v>
      </c>
      <c r="F4744" s="3">
        <v>38555.9134303978</v>
      </c>
      <c r="G4744" s="3">
        <v>20829.3518097779</v>
      </c>
      <c r="H4744" s="3">
        <v>-156560.618218447</v>
      </c>
      <c r="I4744" s="3">
        <v>68692.094937246</v>
      </c>
      <c r="J4744" s="4">
        <v>45870.0</v>
      </c>
      <c r="K4744" s="3">
        <v>22.0</v>
      </c>
      <c r="L4744" s="3" t="s">
        <v>38</v>
      </c>
    </row>
    <row r="4745" ht="15.75" customHeight="1">
      <c r="A4745" s="3" t="s">
        <v>4837</v>
      </c>
      <c r="B4745" s="3" t="s">
        <v>36</v>
      </c>
      <c r="C4745" s="3" t="s">
        <v>14</v>
      </c>
      <c r="D4745" s="3">
        <v>62522.5124642777</v>
      </c>
      <c r="E4745" s="3">
        <v>32774.8246135532</v>
      </c>
      <c r="F4745" s="3">
        <v>38563.5934338273</v>
      </c>
      <c r="G4745" s="3">
        <v>20831.8579540214</v>
      </c>
      <c r="H4745" s="3">
        <v>-156610.121936196</v>
      </c>
      <c r="I4745" s="3">
        <v>68695.4764116658</v>
      </c>
      <c r="J4745" s="4">
        <v>45992.0</v>
      </c>
      <c r="K4745" s="3">
        <v>1.0</v>
      </c>
      <c r="L4745" s="3" t="s">
        <v>40</v>
      </c>
    </row>
    <row r="4746" ht="15.75" customHeight="1">
      <c r="A4746" s="3" t="s">
        <v>4838</v>
      </c>
      <c r="B4746" s="3" t="s">
        <v>17</v>
      </c>
      <c r="C4746" s="3" t="s">
        <v>33</v>
      </c>
      <c r="D4746" s="3">
        <v>62533.3954341839</v>
      </c>
      <c r="E4746" s="3">
        <v>32778.1922301861</v>
      </c>
      <c r="F4746" s="3">
        <v>38571.2734372568</v>
      </c>
      <c r="G4746" s="3">
        <v>20834.3640982649</v>
      </c>
      <c r="H4746" s="3">
        <v>-156659.625653945</v>
      </c>
      <c r="I4746" s="3">
        <v>68698.8578860857</v>
      </c>
      <c r="J4746" s="4">
        <v>45689.0</v>
      </c>
      <c r="K4746" s="3">
        <v>14.0</v>
      </c>
      <c r="L4746" s="3" t="s">
        <v>42</v>
      </c>
    </row>
    <row r="4747" ht="15.75" customHeight="1">
      <c r="A4747" s="3" t="s">
        <v>4132</v>
      </c>
      <c r="B4747" s="3" t="s">
        <v>51</v>
      </c>
      <c r="C4747" s="3" t="s">
        <v>37</v>
      </c>
      <c r="D4747" s="3">
        <v>94496.6780486738</v>
      </c>
      <c r="E4747" s="3">
        <v>33690.856707626</v>
      </c>
      <c r="F4747" s="3">
        <v>32957.1909302943</v>
      </c>
      <c r="G4747" s="5"/>
      <c r="H4747" s="3">
        <v>-120472.407979333</v>
      </c>
      <c r="I4747" s="3">
        <v>76012.9870561442</v>
      </c>
      <c r="J4747" s="4">
        <v>45748.0</v>
      </c>
      <c r="K4747" s="3">
        <v>7.0</v>
      </c>
      <c r="L4747" s="3" t="s">
        <v>40</v>
      </c>
    </row>
    <row r="4748" ht="15.75" customHeight="1">
      <c r="A4748" s="3" t="s">
        <v>2081</v>
      </c>
      <c r="B4748" s="3" t="s">
        <v>29</v>
      </c>
      <c r="C4748" s="3" t="s">
        <v>37</v>
      </c>
      <c r="D4748" s="3">
        <v>71011.2289911085</v>
      </c>
      <c r="E4748" s="3">
        <v>23686.1473737749</v>
      </c>
      <c r="F4748" s="3">
        <v>16306.9434951442</v>
      </c>
      <c r="G4748" s="3">
        <v>14048.0328859626</v>
      </c>
      <c r="H4748" s="3">
        <v>-13148.3478992257</v>
      </c>
      <c r="I4748" s="3">
        <v>70061.5920772708</v>
      </c>
      <c r="J4748" s="4">
        <v>45870.0</v>
      </c>
      <c r="K4748" s="3">
        <v>7.0</v>
      </c>
      <c r="L4748" s="3" t="s">
        <v>15</v>
      </c>
    </row>
    <row r="4749" ht="15.75" customHeight="1">
      <c r="A4749" s="3" t="s">
        <v>2943</v>
      </c>
      <c r="B4749" s="3" t="s">
        <v>29</v>
      </c>
      <c r="C4749" s="3" t="s">
        <v>54</v>
      </c>
      <c r="D4749" s="3">
        <v>80816.7848765887</v>
      </c>
      <c r="E4749" s="3">
        <v>27867.0821784193</v>
      </c>
      <c r="F4749" s="3">
        <v>23265.0266022687</v>
      </c>
      <c r="G4749" s="3">
        <v>17126.2138086446</v>
      </c>
      <c r="H4749" s="3">
        <v>-57998.7161799347</v>
      </c>
      <c r="I4749" s="3">
        <v>72435.3871199806</v>
      </c>
      <c r="J4749" s="4">
        <v>45748.0</v>
      </c>
      <c r="K4749" s="3">
        <v>14.0</v>
      </c>
      <c r="L4749" s="3" t="s">
        <v>34</v>
      </c>
    </row>
    <row r="4750" ht="15.75" customHeight="1">
      <c r="A4750" s="3" t="s">
        <v>1791</v>
      </c>
      <c r="B4750" s="3" t="s">
        <v>51</v>
      </c>
      <c r="C4750" s="3" t="s">
        <v>18</v>
      </c>
      <c r="D4750" s="3">
        <v>67724.5720794381</v>
      </c>
      <c r="E4750" s="3">
        <v>22292.5024388934</v>
      </c>
      <c r="F4750" s="3">
        <v>13987.5824594361</v>
      </c>
      <c r="G4750" s="3">
        <v>13021.972578402</v>
      </c>
      <c r="H4750" s="3">
        <v>1801.77486101036</v>
      </c>
      <c r="I4750" s="3">
        <v>69040.3868024869</v>
      </c>
      <c r="J4750" s="4">
        <v>45839.0</v>
      </c>
      <c r="K4750" s="3">
        <v>14.0</v>
      </c>
      <c r="L4750" s="3" t="s">
        <v>40</v>
      </c>
    </row>
    <row r="4751" ht="15.75" customHeight="1">
      <c r="A4751" s="3" t="s">
        <v>2994</v>
      </c>
      <c r="B4751" s="3" t="s">
        <v>53</v>
      </c>
      <c r="C4751" s="3" t="s">
        <v>14</v>
      </c>
      <c r="D4751" s="3">
        <v>81382.6993117108</v>
      </c>
      <c r="E4751" s="3">
        <v>28107.0475314453</v>
      </c>
      <c r="F4751" s="3">
        <v>23664.3867806026</v>
      </c>
      <c r="G4751" s="3">
        <v>17302.8864443835</v>
      </c>
      <c r="H4751" s="3">
        <v>-60572.9095028897</v>
      </c>
      <c r="I4751" s="3">
        <v>72611.2237898109</v>
      </c>
      <c r="J4751" s="4">
        <v>45689.0</v>
      </c>
      <c r="K4751" s="3">
        <v>11.0</v>
      </c>
      <c r="L4751" s="3" t="s">
        <v>40</v>
      </c>
    </row>
    <row r="4752" ht="15.75" customHeight="1">
      <c r="A4752" s="3" t="s">
        <v>707</v>
      </c>
      <c r="B4752" s="3" t="s">
        <v>17</v>
      </c>
      <c r="C4752" s="3" t="s">
        <v>54</v>
      </c>
      <c r="D4752" s="3">
        <v>47451.96</v>
      </c>
      <c r="E4752" s="3">
        <v>14235.59</v>
      </c>
      <c r="F4752" s="3">
        <v>4749.73</v>
      </c>
      <c r="G4752" s="3">
        <v>12349.34</v>
      </c>
      <c r="H4752" s="3">
        <v>66437.28</v>
      </c>
      <c r="I4752" s="3">
        <v>54087.94</v>
      </c>
      <c r="J4752" s="4">
        <v>45839.0</v>
      </c>
      <c r="K4752" s="3">
        <v>19.0</v>
      </c>
      <c r="L4752" s="3" t="s">
        <v>38</v>
      </c>
    </row>
    <row r="4753" ht="15.75" customHeight="1">
      <c r="A4753" s="3" t="s">
        <v>859</v>
      </c>
      <c r="B4753" s="3" t="s">
        <v>29</v>
      </c>
      <c r="C4753" s="3" t="s">
        <v>37</v>
      </c>
      <c r="D4753" s="3">
        <v>49960.09</v>
      </c>
      <c r="E4753" s="3">
        <v>14988.03</v>
      </c>
      <c r="F4753" s="3">
        <v>6800.62</v>
      </c>
      <c r="G4753" s="3">
        <v>11315.54</v>
      </c>
      <c r="H4753" s="3">
        <v>71748.74</v>
      </c>
      <c r="I4753" s="3">
        <v>60433.2</v>
      </c>
      <c r="J4753" s="4">
        <v>45839.0</v>
      </c>
      <c r="K4753" s="3">
        <v>10.0</v>
      </c>
      <c r="L4753" s="3" t="s">
        <v>27</v>
      </c>
    </row>
    <row r="4754" ht="15.75" customHeight="1">
      <c r="A4754" s="3" t="s">
        <v>4064</v>
      </c>
      <c r="B4754" s="3" t="s">
        <v>36</v>
      </c>
      <c r="C4754" s="3" t="s">
        <v>33</v>
      </c>
      <c r="D4754" s="3">
        <v>93745.7531251465</v>
      </c>
      <c r="E4754" s="3">
        <v>33372.4411430339</v>
      </c>
      <c r="F4754" s="3">
        <v>32427.270693659</v>
      </c>
      <c r="G4754" s="3">
        <v>21179.491778578</v>
      </c>
      <c r="H4754" s="3">
        <v>-117056.651454643</v>
      </c>
      <c r="I4754" s="3">
        <v>75779.665321177</v>
      </c>
      <c r="J4754" s="4">
        <v>45658.0</v>
      </c>
      <c r="K4754" s="3">
        <v>8.0</v>
      </c>
      <c r="L4754" s="3" t="s">
        <v>42</v>
      </c>
    </row>
    <row r="4755" ht="15.75" customHeight="1">
      <c r="A4755" s="3" t="s">
        <v>841</v>
      </c>
      <c r="B4755" s="3" t="s">
        <v>36</v>
      </c>
      <c r="C4755" s="3" t="s">
        <v>37</v>
      </c>
      <c r="D4755" s="3">
        <v>62446.39</v>
      </c>
      <c r="E4755" s="3">
        <v>18733.92</v>
      </c>
      <c r="F4755" s="3">
        <v>7963.45</v>
      </c>
      <c r="G4755" s="3">
        <v>16457.91</v>
      </c>
      <c r="H4755" s="3">
        <v>89143.76</v>
      </c>
      <c r="I4755" s="3">
        <v>72685.85</v>
      </c>
      <c r="J4755" s="4">
        <v>45992.0</v>
      </c>
      <c r="K4755" s="3">
        <v>14.0</v>
      </c>
      <c r="L4755" s="3" t="s">
        <v>38</v>
      </c>
    </row>
    <row r="4756" ht="15.75" customHeight="1">
      <c r="A4756" s="3" t="s">
        <v>4529</v>
      </c>
      <c r="B4756" s="3" t="s">
        <v>25</v>
      </c>
      <c r="C4756" s="3" t="s">
        <v>33</v>
      </c>
      <c r="D4756" s="3">
        <v>16741.72</v>
      </c>
      <c r="E4756" s="3">
        <v>39544.1</v>
      </c>
      <c r="F4756" s="3">
        <v>36098.3123329587</v>
      </c>
      <c r="G4756" s="3">
        <v>22045.72</v>
      </c>
      <c r="H4756" s="3">
        <v>-140719.428538726</v>
      </c>
      <c r="I4756" s="3">
        <v>67610.0231229054</v>
      </c>
      <c r="J4756" s="4">
        <v>45839.0</v>
      </c>
      <c r="K4756" s="3">
        <v>14.0</v>
      </c>
      <c r="L4756" s="3" t="s">
        <v>38</v>
      </c>
    </row>
    <row r="4757" ht="15.75" customHeight="1">
      <c r="A4757" s="3" t="s">
        <v>3653</v>
      </c>
      <c r="B4757" s="3" t="s">
        <v>17</v>
      </c>
      <c r="C4757" s="3" t="s">
        <v>26</v>
      </c>
      <c r="D4757" s="3">
        <v>88946.3633965152</v>
      </c>
      <c r="E4757" s="3">
        <v>31337.3503606407</v>
      </c>
      <c r="F4757" s="3">
        <v>29040.3891812507</v>
      </c>
      <c r="G4757" s="3">
        <v>19681.1719254844</v>
      </c>
      <c r="H4757" s="3">
        <v>-95225.5119272777</v>
      </c>
      <c r="I4757" s="3">
        <v>74288.4351020389</v>
      </c>
      <c r="J4757" s="4">
        <v>45778.0</v>
      </c>
      <c r="K4757" s="3">
        <v>2.0</v>
      </c>
      <c r="L4757" s="3" t="s">
        <v>40</v>
      </c>
    </row>
    <row r="4758" ht="15.75" customHeight="1">
      <c r="A4758" s="3" t="s">
        <v>601</v>
      </c>
      <c r="B4758" s="3" t="s">
        <v>36</v>
      </c>
      <c r="C4758" s="3" t="s">
        <v>54</v>
      </c>
      <c r="D4758" s="3">
        <v>48456.59</v>
      </c>
      <c r="E4758" s="3">
        <v>14536.98</v>
      </c>
      <c r="F4758" s="3">
        <v>9425.38</v>
      </c>
      <c r="G4758" s="3">
        <v>2069.68</v>
      </c>
      <c r="H4758" s="3">
        <v>72418.95</v>
      </c>
      <c r="I4758" s="3">
        <v>70349.27</v>
      </c>
      <c r="J4758" s="4">
        <v>45778.0</v>
      </c>
      <c r="K4758" s="3">
        <v>9.0</v>
      </c>
      <c r="L4758" s="3" t="s">
        <v>38</v>
      </c>
    </row>
    <row r="4759" ht="15.75" customHeight="1">
      <c r="A4759" s="3" t="s">
        <v>4403</v>
      </c>
      <c r="B4759" s="3" t="s">
        <v>36</v>
      </c>
      <c r="C4759" s="3" t="s">
        <v>54</v>
      </c>
      <c r="D4759" s="3">
        <v>66993.58</v>
      </c>
      <c r="E4759" s="3">
        <v>14419.82</v>
      </c>
      <c r="F4759" s="3">
        <v>35099.911887124</v>
      </c>
      <c r="G4759" s="3">
        <v>9264.06</v>
      </c>
      <c r="H4759" s="3">
        <v>-134283.94523134</v>
      </c>
      <c r="I4759" s="3">
        <v>67170.4314483295</v>
      </c>
      <c r="J4759" s="4">
        <v>45870.0</v>
      </c>
      <c r="K4759" s="3">
        <v>25.0</v>
      </c>
      <c r="L4759" s="3" t="s">
        <v>38</v>
      </c>
    </row>
    <row r="4760" ht="15.75" customHeight="1">
      <c r="A4760" s="3" t="s">
        <v>1773</v>
      </c>
      <c r="B4760" s="3" t="s">
        <v>25</v>
      </c>
      <c r="C4760" s="3" t="s">
        <v>26</v>
      </c>
      <c r="D4760" s="3">
        <v>67506.9126813142</v>
      </c>
      <c r="E4760" s="3">
        <v>22200.208072345</v>
      </c>
      <c r="F4760" s="3">
        <v>13833.9823908461</v>
      </c>
      <c r="G4760" s="3">
        <v>12954.0215646562</v>
      </c>
      <c r="H4760" s="3">
        <v>2791.84921599286</v>
      </c>
      <c r="I4760" s="3">
        <v>68972.7573140906</v>
      </c>
      <c r="J4760" s="4">
        <v>45962.0</v>
      </c>
      <c r="K4760" s="3">
        <v>13.0</v>
      </c>
      <c r="L4760" s="3" t="s">
        <v>40</v>
      </c>
    </row>
    <row r="4761" ht="15.75" customHeight="1">
      <c r="A4761" s="3" t="s">
        <v>1924</v>
      </c>
      <c r="B4761" s="3" t="s">
        <v>17</v>
      </c>
      <c r="C4761" s="3" t="s">
        <v>26</v>
      </c>
      <c r="D4761" s="3">
        <v>69215.5389565866</v>
      </c>
      <c r="E4761" s="3">
        <v>22924.7188497502</v>
      </c>
      <c r="F4761" s="3">
        <v>15039.7429292772</v>
      </c>
      <c r="G4761" s="3">
        <v>13487.4370225603</v>
      </c>
      <c r="H4761" s="3">
        <v>-4980.23447062004</v>
      </c>
      <c r="I4761" s="3">
        <v>69503.6487980015</v>
      </c>
      <c r="J4761" s="4">
        <v>45689.0</v>
      </c>
      <c r="K4761" s="3">
        <v>20.0</v>
      </c>
      <c r="L4761" s="3" t="s">
        <v>31</v>
      </c>
    </row>
    <row r="4762" ht="15.75" customHeight="1">
      <c r="A4762" s="3" t="s">
        <v>1208</v>
      </c>
      <c r="B4762" s="3" t="s">
        <v>17</v>
      </c>
      <c r="C4762" s="3" t="s">
        <v>33</v>
      </c>
      <c r="D4762" s="3">
        <v>109207.65</v>
      </c>
      <c r="E4762" s="3">
        <v>35422.94</v>
      </c>
      <c r="F4762" s="3">
        <v>9325.82037773124</v>
      </c>
      <c r="G4762" s="3">
        <v>6218.19</v>
      </c>
      <c r="H4762" s="3">
        <v>152530.4</v>
      </c>
      <c r="I4762" s="3">
        <v>67677.6526113017</v>
      </c>
      <c r="J4762" s="3" t="s">
        <v>1034</v>
      </c>
      <c r="K4762" s="3">
        <v>20.0</v>
      </c>
      <c r="L4762" s="3" t="s">
        <v>19</v>
      </c>
    </row>
    <row r="4763" ht="15.75" customHeight="1">
      <c r="A4763" s="3" t="s">
        <v>1170</v>
      </c>
      <c r="B4763" s="3" t="s">
        <v>25</v>
      </c>
      <c r="C4763" s="3" t="s">
        <v>37</v>
      </c>
      <c r="D4763" s="3">
        <v>30213.96</v>
      </c>
      <c r="E4763" s="3">
        <v>29636.93</v>
      </c>
      <c r="F4763" s="3">
        <v>9980.32882986733</v>
      </c>
      <c r="G4763" s="3">
        <v>3881.68</v>
      </c>
      <c r="H4763" s="3">
        <v>61913.83</v>
      </c>
      <c r="I4763" s="3">
        <v>67545.7751089289</v>
      </c>
      <c r="J4763" s="3" t="s">
        <v>1026</v>
      </c>
      <c r="K4763" s="3">
        <v>7.0</v>
      </c>
      <c r="L4763" s="3" t="s">
        <v>21</v>
      </c>
    </row>
    <row r="4764" ht="15.75" customHeight="1">
      <c r="A4764" s="3" t="s">
        <v>1974</v>
      </c>
      <c r="B4764" s="3" t="s">
        <v>25</v>
      </c>
      <c r="C4764" s="3" t="s">
        <v>18</v>
      </c>
      <c r="D4764" s="3">
        <v>69770.5704218025</v>
      </c>
      <c r="E4764" s="3">
        <v>23160.0694844488</v>
      </c>
      <c r="F4764" s="3">
        <v>15431.4231041815</v>
      </c>
      <c r="G4764" s="3">
        <v>13660.7121076119</v>
      </c>
      <c r="H4764" s="3">
        <v>-7504.92407582543</v>
      </c>
      <c r="I4764" s="3">
        <v>69676.103993412</v>
      </c>
      <c r="J4764" s="4">
        <v>45962.0</v>
      </c>
      <c r="K4764" s="3">
        <v>20.0</v>
      </c>
      <c r="L4764" s="3" t="s">
        <v>34</v>
      </c>
    </row>
    <row r="4765" ht="15.75" customHeight="1">
      <c r="A4765" s="3" t="s">
        <v>665</v>
      </c>
      <c r="B4765" s="3" t="s">
        <v>51</v>
      </c>
      <c r="C4765" s="3" t="s">
        <v>26</v>
      </c>
      <c r="D4765" s="5"/>
      <c r="E4765" s="3">
        <v>29081.44</v>
      </c>
      <c r="F4765" s="3">
        <v>827.38</v>
      </c>
      <c r="G4765" s="3">
        <v>2279.07</v>
      </c>
      <c r="H4765" s="3">
        <v>126846.96</v>
      </c>
      <c r="I4765" s="3">
        <v>124567.89</v>
      </c>
      <c r="J4765" s="4">
        <v>45962.0</v>
      </c>
      <c r="K4765" s="3">
        <v>19.0</v>
      </c>
      <c r="L4765" s="3" t="s">
        <v>31</v>
      </c>
    </row>
    <row r="4766" ht="15.75" customHeight="1">
      <c r="A4766" s="3" t="s">
        <v>2856</v>
      </c>
      <c r="B4766" s="3" t="s">
        <v>25</v>
      </c>
      <c r="C4766" s="3" t="s">
        <v>54</v>
      </c>
      <c r="D4766" s="3">
        <v>79848.2005549375</v>
      </c>
      <c r="E4766" s="3">
        <v>27456.3722472788</v>
      </c>
      <c r="F4766" s="3">
        <v>22581.5062970435</v>
      </c>
      <c r="G4766" s="3">
        <v>16823.8317974761</v>
      </c>
      <c r="H4766" s="3">
        <v>63024.3687574614</v>
      </c>
      <c r="I4766" s="3">
        <v>68024.3687574614</v>
      </c>
      <c r="J4766" s="4">
        <v>45717.0</v>
      </c>
      <c r="K4766" s="3">
        <v>16.0</v>
      </c>
      <c r="L4766" s="3" t="s">
        <v>38</v>
      </c>
    </row>
    <row r="4767" ht="15.75" customHeight="1">
      <c r="A4767" s="3" t="s">
        <v>846</v>
      </c>
      <c r="B4767" s="3" t="s">
        <v>36</v>
      </c>
      <c r="C4767" s="3" t="s">
        <v>30</v>
      </c>
      <c r="D4767" s="3">
        <v>22955.42</v>
      </c>
      <c r="E4767" s="3">
        <v>6886.63</v>
      </c>
      <c r="F4767" s="3">
        <v>929.0</v>
      </c>
      <c r="G4767" s="3">
        <v>5919.69</v>
      </c>
      <c r="H4767" s="3">
        <v>30771.05</v>
      </c>
      <c r="I4767" s="3">
        <v>24851.36</v>
      </c>
      <c r="J4767" s="4">
        <v>45901.0</v>
      </c>
      <c r="K4767" s="3">
        <v>20.0</v>
      </c>
      <c r="L4767" s="3" t="s">
        <v>21</v>
      </c>
    </row>
    <row r="4768" ht="15.75" customHeight="1">
      <c r="A4768" s="3" t="s">
        <v>702</v>
      </c>
      <c r="B4768" s="3" t="s">
        <v>29</v>
      </c>
      <c r="C4768" s="3" t="s">
        <v>26</v>
      </c>
      <c r="D4768" s="3">
        <v>96119.52</v>
      </c>
      <c r="E4768" s="3">
        <v>28835.86</v>
      </c>
      <c r="F4768" s="3">
        <v>12641.92</v>
      </c>
      <c r="G4768" s="3">
        <v>16097.56</v>
      </c>
      <c r="H4768" s="3">
        <v>137597.3</v>
      </c>
      <c r="I4768" s="3">
        <v>121499.74</v>
      </c>
      <c r="J4768" s="4">
        <v>45778.0</v>
      </c>
      <c r="K4768" s="3">
        <v>9.0</v>
      </c>
      <c r="L4768" s="3" t="s">
        <v>21</v>
      </c>
    </row>
    <row r="4769" ht="15.75" customHeight="1">
      <c r="A4769" s="3" t="s">
        <v>877</v>
      </c>
      <c r="B4769" s="3" t="s">
        <v>29</v>
      </c>
      <c r="C4769" s="3" t="s">
        <v>37</v>
      </c>
      <c r="D4769" s="3">
        <v>59636.65</v>
      </c>
      <c r="E4769" s="3">
        <v>17890.99</v>
      </c>
      <c r="F4769" s="3">
        <v>6856.95</v>
      </c>
      <c r="G4769" s="3">
        <v>12419.78</v>
      </c>
      <c r="H4769" s="3">
        <v>84384.59</v>
      </c>
      <c r="I4769" s="3">
        <v>71964.81</v>
      </c>
      <c r="J4769" s="4">
        <v>45839.0</v>
      </c>
      <c r="K4769" s="3">
        <v>22.0</v>
      </c>
      <c r="L4769" s="3" t="s">
        <v>21</v>
      </c>
    </row>
    <row r="4770" ht="15.75" customHeight="1">
      <c r="A4770" s="3" t="s">
        <v>4311</v>
      </c>
      <c r="B4770" s="3" t="s">
        <v>36</v>
      </c>
      <c r="C4770" s="3" t="s">
        <v>37</v>
      </c>
      <c r="D4770" s="3">
        <v>96499.1445114134</v>
      </c>
      <c r="E4770" s="3">
        <v>34539.9648798717</v>
      </c>
      <c r="F4770" s="3">
        <v>34370.3115613218</v>
      </c>
      <c r="G4770" s="3">
        <v>22039.0721024616</v>
      </c>
      <c r="H4770" s="3">
        <v>-129581.092045172</v>
      </c>
      <c r="I4770" s="3">
        <v>76635.1783493901</v>
      </c>
      <c r="J4770" s="4">
        <v>45992.0</v>
      </c>
      <c r="K4770" s="3">
        <v>6.0</v>
      </c>
      <c r="L4770" s="3" t="s">
        <v>21</v>
      </c>
    </row>
    <row r="4771" ht="15.75" customHeight="1">
      <c r="A4771" s="3" t="s">
        <v>4593</v>
      </c>
      <c r="B4771" s="3" t="s">
        <v>53</v>
      </c>
      <c r="C4771" s="3" t="s">
        <v>14</v>
      </c>
      <c r="D4771" s="3">
        <v>44481.1</v>
      </c>
      <c r="E4771" s="3">
        <v>6047.73</v>
      </c>
      <c r="F4771" s="3">
        <v>36597.512555876</v>
      </c>
      <c r="G4771" s="3">
        <v>19409.34</v>
      </c>
      <c r="H4771" s="3">
        <v>-143937.170192419</v>
      </c>
      <c r="I4771" s="3">
        <v>67829.8189601933</v>
      </c>
      <c r="J4771" s="4">
        <v>45809.0</v>
      </c>
      <c r="K4771" s="3">
        <v>20.0</v>
      </c>
      <c r="L4771" s="3" t="s">
        <v>21</v>
      </c>
    </row>
    <row r="4772" ht="15.75" customHeight="1">
      <c r="A4772" s="3" t="s">
        <v>268</v>
      </c>
      <c r="B4772" s="3" t="s">
        <v>53</v>
      </c>
      <c r="C4772" s="3" t="s">
        <v>37</v>
      </c>
      <c r="D4772" s="3">
        <v>48829.3</v>
      </c>
      <c r="E4772" s="3">
        <v>14648.79</v>
      </c>
      <c r="F4772" s="3">
        <v>6413.59</v>
      </c>
      <c r="G4772" s="5"/>
      <c r="H4772" s="3">
        <v>69891.68</v>
      </c>
      <c r="I4772" s="3">
        <v>66606.76</v>
      </c>
      <c r="J4772" s="3" t="s">
        <v>2507</v>
      </c>
      <c r="K4772" s="3">
        <v>15.0</v>
      </c>
      <c r="L4772" s="3" t="s">
        <v>21</v>
      </c>
    </row>
    <row r="4773" ht="15.75" customHeight="1">
      <c r="A4773" s="3" t="s">
        <v>1054</v>
      </c>
      <c r="B4773" s="5"/>
      <c r="C4773" s="3" t="s">
        <v>37</v>
      </c>
      <c r="D4773" s="3">
        <v>114632.98</v>
      </c>
      <c r="E4773" s="3">
        <v>39732.94</v>
      </c>
      <c r="F4773" s="3">
        <v>2185.59</v>
      </c>
      <c r="G4773" s="3">
        <v>13825.4</v>
      </c>
      <c r="H4773" s="3">
        <v>156551.51</v>
      </c>
      <c r="I4773" s="3">
        <v>67143.379652971</v>
      </c>
      <c r="J4773" s="3" t="s">
        <v>1018</v>
      </c>
      <c r="K4773" s="3">
        <v>6.0</v>
      </c>
      <c r="L4773" s="3" t="s">
        <v>23</v>
      </c>
    </row>
    <row r="4774" ht="15.75" customHeight="1">
      <c r="A4774" s="3" t="s">
        <v>940</v>
      </c>
      <c r="B4774" s="3" t="s">
        <v>13</v>
      </c>
      <c r="C4774" s="3" t="s">
        <v>33</v>
      </c>
      <c r="D4774" s="3">
        <v>26987.24</v>
      </c>
      <c r="E4774" s="3">
        <v>8096.17</v>
      </c>
      <c r="F4774" s="3">
        <v>4790.34</v>
      </c>
      <c r="G4774" s="3">
        <v>6992.32</v>
      </c>
      <c r="H4774" s="3">
        <v>39873.75</v>
      </c>
      <c r="I4774" s="3">
        <v>32881.43</v>
      </c>
      <c r="J4774" s="4">
        <v>45748.0</v>
      </c>
      <c r="K4774" s="3">
        <v>2.0</v>
      </c>
      <c r="L4774" s="3" t="s">
        <v>38</v>
      </c>
    </row>
    <row r="4775" ht="15.75" customHeight="1">
      <c r="A4775" s="3" t="s">
        <v>2369</v>
      </c>
      <c r="B4775" s="3" t="s">
        <v>17</v>
      </c>
      <c r="C4775" s="3" t="s">
        <v>54</v>
      </c>
      <c r="D4775" s="3">
        <v>74395.8326319347</v>
      </c>
      <c r="E4775" s="3">
        <v>25121.3247736032</v>
      </c>
      <c r="F4775" s="3">
        <v>18695.4245617179</v>
      </c>
      <c r="G4775" s="3">
        <v>15104.6711497089</v>
      </c>
      <c r="H4775" s="3">
        <v>-28544.0041192047</v>
      </c>
      <c r="I4775" s="3">
        <v>70423.409840191</v>
      </c>
      <c r="J4775" s="4">
        <v>45778.0</v>
      </c>
      <c r="K4775" s="3">
        <v>20.0</v>
      </c>
      <c r="L4775" s="3" t="s">
        <v>19</v>
      </c>
    </row>
    <row r="4776" ht="15.75" customHeight="1">
      <c r="A4776" s="3" t="s">
        <v>2735</v>
      </c>
      <c r="B4776" s="3" t="s">
        <v>29</v>
      </c>
      <c r="C4776" s="3" t="s">
        <v>14</v>
      </c>
      <c r="D4776" s="3">
        <v>78520.4782263819</v>
      </c>
      <c r="E4776" s="3">
        <v>26893.3766113333</v>
      </c>
      <c r="F4776" s="3">
        <v>21644.5458786448</v>
      </c>
      <c r="G4776" s="3">
        <v>16409.3306136271</v>
      </c>
      <c r="H4776" s="3">
        <v>-47553.4317348687</v>
      </c>
      <c r="I4776" s="3">
        <v>71721.8960173997</v>
      </c>
      <c r="J4776" s="4">
        <v>45809.0</v>
      </c>
      <c r="K4776" s="3">
        <v>17.0</v>
      </c>
      <c r="L4776" s="3" t="s">
        <v>31</v>
      </c>
    </row>
    <row r="4777" ht="15.75" customHeight="1">
      <c r="A4777" s="3" t="s">
        <v>281</v>
      </c>
      <c r="B4777" s="3" t="s">
        <v>17</v>
      </c>
      <c r="C4777" s="3" t="s">
        <v>30</v>
      </c>
      <c r="D4777" s="3">
        <v>25478.32</v>
      </c>
      <c r="E4777" s="3">
        <v>7643.5</v>
      </c>
      <c r="F4777" s="3">
        <v>3053.96</v>
      </c>
      <c r="G4777" s="3">
        <v>58.76</v>
      </c>
      <c r="H4777" s="3">
        <v>36175.78</v>
      </c>
      <c r="I4777" s="3">
        <v>36117.02</v>
      </c>
      <c r="J4777" s="4">
        <v>45778.0</v>
      </c>
      <c r="K4777" s="3">
        <v>19.0</v>
      </c>
      <c r="L4777" s="3" t="s">
        <v>27</v>
      </c>
    </row>
    <row r="4778" ht="15.75" customHeight="1">
      <c r="A4778" s="3" t="s">
        <v>1848</v>
      </c>
      <c r="B4778" s="3" t="s">
        <v>17</v>
      </c>
      <c r="C4778" s="3" t="s">
        <v>37</v>
      </c>
      <c r="D4778" s="3">
        <v>68355.7843339973</v>
      </c>
      <c r="E4778" s="3">
        <v>22560.1561018839</v>
      </c>
      <c r="F4778" s="3">
        <v>14433.0226583469</v>
      </c>
      <c r="G4778" s="3">
        <v>13219.0305182646</v>
      </c>
      <c r="H4778" s="3">
        <v>-1069.44076843903</v>
      </c>
      <c r="I4778" s="3">
        <v>69236.5123188361</v>
      </c>
      <c r="J4778" s="4">
        <v>45658.0</v>
      </c>
      <c r="K4778" s="3">
        <v>1.0</v>
      </c>
      <c r="L4778" s="3" t="s">
        <v>34</v>
      </c>
    </row>
    <row r="4779" ht="15.75" customHeight="1">
      <c r="A4779" s="3" t="s">
        <v>3793</v>
      </c>
      <c r="B4779" s="3" t="s">
        <v>53</v>
      </c>
      <c r="C4779" s="3" t="s">
        <v>54</v>
      </c>
      <c r="D4779" s="3">
        <v>90633.2237319752</v>
      </c>
      <c r="E4779" s="3">
        <v>32052.6317013912</v>
      </c>
      <c r="F4779" s="3">
        <v>30230.7897128228</v>
      </c>
      <c r="G4779" s="3">
        <v>20207.7922820139</v>
      </c>
      <c r="H4779" s="3">
        <v>-102898.588178393</v>
      </c>
      <c r="I4779" s="3">
        <v>74812.5636371101</v>
      </c>
      <c r="J4779" s="4">
        <v>45962.0</v>
      </c>
      <c r="K4779" s="3">
        <v>6.0</v>
      </c>
      <c r="L4779" s="3" t="s">
        <v>23</v>
      </c>
    </row>
    <row r="4780" ht="15.75" customHeight="1">
      <c r="A4780" s="3" t="s">
        <v>2204</v>
      </c>
      <c r="B4780" s="3" t="s">
        <v>36</v>
      </c>
      <c r="C4780" s="3" t="s">
        <v>30</v>
      </c>
      <c r="D4780" s="3">
        <v>72502.195868257</v>
      </c>
      <c r="E4780" s="3">
        <v>24318.3637846317</v>
      </c>
      <c r="F4780" s="3">
        <v>17359.1039649853</v>
      </c>
      <c r="G4780" s="3">
        <v>14513.497330121</v>
      </c>
      <c r="H4780" s="3">
        <v>99353.7830820122</v>
      </c>
      <c r="I4780" s="3">
        <v>70373.1628825646</v>
      </c>
      <c r="J4780" s="3" t="s">
        <v>1018</v>
      </c>
      <c r="K4780" s="3">
        <v>19.0</v>
      </c>
      <c r="L4780" s="3" t="s">
        <v>21</v>
      </c>
    </row>
    <row r="4781" ht="15.75" customHeight="1">
      <c r="A4781" s="3" t="s">
        <v>2265</v>
      </c>
      <c r="B4781" s="3" t="s">
        <v>13</v>
      </c>
      <c r="C4781" s="3" t="s">
        <v>30</v>
      </c>
      <c r="D4781" s="3">
        <v>73253.1207917843</v>
      </c>
      <c r="E4781" s="3">
        <v>24636.7793492239</v>
      </c>
      <c r="F4781" s="3">
        <v>17889.0242016207</v>
      </c>
      <c r="G4781" s="3">
        <v>14747.9283275438</v>
      </c>
      <c r="H4781" s="3">
        <v>100364.482408125</v>
      </c>
      <c r="I4781" s="3">
        <v>70574.3681019855</v>
      </c>
      <c r="J4781" s="3" t="s">
        <v>1023</v>
      </c>
      <c r="K4781" s="3">
        <v>1.0</v>
      </c>
      <c r="L4781" s="3" t="s">
        <v>19</v>
      </c>
    </row>
    <row r="4782" ht="15.75" customHeight="1">
      <c r="A4782" s="3" t="s">
        <v>925</v>
      </c>
      <c r="B4782" s="3" t="s">
        <v>53</v>
      </c>
      <c r="C4782" s="3" t="s">
        <v>33</v>
      </c>
      <c r="D4782" s="3">
        <v>26885.71</v>
      </c>
      <c r="E4782" s="3">
        <v>8065.71</v>
      </c>
      <c r="F4782" s="3">
        <v>4743.51</v>
      </c>
      <c r="G4782" s="3">
        <v>3525.57</v>
      </c>
      <c r="H4782" s="3">
        <v>39694.93</v>
      </c>
      <c r="I4782" s="3">
        <v>36169.36</v>
      </c>
      <c r="J4782" s="4">
        <v>45748.0</v>
      </c>
      <c r="K4782" s="3">
        <v>18.0</v>
      </c>
      <c r="L4782" s="3" t="s">
        <v>19</v>
      </c>
    </row>
    <row r="4783" ht="15.75" customHeight="1">
      <c r="A4783" s="3" t="s">
        <v>3170</v>
      </c>
      <c r="B4783" s="3" t="s">
        <v>36</v>
      </c>
      <c r="C4783" s="3" t="s">
        <v>37</v>
      </c>
      <c r="D4783" s="3">
        <v>83417.814684169</v>
      </c>
      <c r="E4783" s="3">
        <v>28969.9998586732</v>
      </c>
      <c r="F4783" s="3">
        <v>25100.5474219186</v>
      </c>
      <c r="G4783" s="3">
        <v>17938.2284229062</v>
      </c>
      <c r="H4783" s="3">
        <v>-69830.1047219757</v>
      </c>
      <c r="I4783" s="3">
        <v>73243.5595063162</v>
      </c>
      <c r="J4783" s="4">
        <v>45809.0</v>
      </c>
      <c r="K4783" s="3">
        <v>25.0</v>
      </c>
      <c r="L4783" s="3" t="s">
        <v>31</v>
      </c>
    </row>
    <row r="4784" ht="15.75" customHeight="1">
      <c r="A4784" s="3" t="s">
        <v>4807</v>
      </c>
      <c r="B4784" s="3" t="s">
        <v>13</v>
      </c>
      <c r="C4784" s="3" t="s">
        <v>14</v>
      </c>
      <c r="D4784" s="3">
        <v>62185.1403971857</v>
      </c>
      <c r="E4784" s="3">
        <v>32670.4284979313</v>
      </c>
      <c r="F4784" s="3">
        <v>38325.5133275129</v>
      </c>
      <c r="G4784" s="3">
        <v>20754.1674824739</v>
      </c>
      <c r="H4784" s="3">
        <v>-155075.506685973</v>
      </c>
      <c r="I4784" s="3">
        <v>68590.6507046516</v>
      </c>
      <c r="J4784" s="4">
        <v>45962.0</v>
      </c>
      <c r="K4784" s="3">
        <v>16.0</v>
      </c>
      <c r="L4784" s="3" t="s">
        <v>38</v>
      </c>
    </row>
    <row r="4785" ht="15.75" customHeight="1">
      <c r="A4785" s="3" t="s">
        <v>3691</v>
      </c>
      <c r="B4785" s="3" t="s">
        <v>51</v>
      </c>
      <c r="C4785" s="3" t="s">
        <v>30</v>
      </c>
      <c r="D4785" s="3">
        <v>89425.2140723877</v>
      </c>
      <c r="E4785" s="3">
        <v>31540.3979670473</v>
      </c>
      <c r="F4785" s="3">
        <v>29378.3093321486</v>
      </c>
      <c r="G4785" s="3">
        <v>19830.664155725</v>
      </c>
      <c r="H4785" s="3">
        <v>-97403.6755082397</v>
      </c>
      <c r="I4785" s="3">
        <v>74437.2199765107</v>
      </c>
      <c r="J4785" s="4">
        <v>45748.0</v>
      </c>
      <c r="K4785" s="3">
        <v>2.0</v>
      </c>
      <c r="L4785" s="3" t="s">
        <v>21</v>
      </c>
    </row>
    <row r="4786" ht="15.75" customHeight="1">
      <c r="A4786" s="3" t="s">
        <v>4756</v>
      </c>
      <c r="B4786" s="3" t="s">
        <v>53</v>
      </c>
      <c r="C4786" s="3" t="s">
        <v>33</v>
      </c>
      <c r="D4786" s="3">
        <v>61597.4600222512</v>
      </c>
      <c r="E4786" s="3">
        <v>32488.5771997514</v>
      </c>
      <c r="F4786" s="3">
        <v>37910.79314232</v>
      </c>
      <c r="G4786" s="3">
        <v>20618.8356933265</v>
      </c>
      <c r="H4786" s="3">
        <v>-152402.30592752</v>
      </c>
      <c r="I4786" s="3">
        <v>68408.0510859816</v>
      </c>
      <c r="J4786" s="4">
        <v>45839.0</v>
      </c>
      <c r="K4786" s="3">
        <v>22.0</v>
      </c>
      <c r="L4786" s="3" t="s">
        <v>23</v>
      </c>
    </row>
    <row r="4787" ht="15.75" customHeight="1">
      <c r="A4787" s="3" t="s">
        <v>1354</v>
      </c>
      <c r="B4787" s="3" t="s">
        <v>17</v>
      </c>
      <c r="C4787" s="3" t="s">
        <v>26</v>
      </c>
      <c r="D4787" s="3">
        <v>62740.1718624016</v>
      </c>
      <c r="E4787" s="3">
        <v>20178.9614449341</v>
      </c>
      <c r="F4787" s="3">
        <v>10470.1408887263</v>
      </c>
      <c r="G4787" s="5"/>
      <c r="H4787" s="3">
        <v>24474.4775901105</v>
      </c>
      <c r="I4787" s="3">
        <v>67491.6715182119</v>
      </c>
      <c r="J4787" s="4">
        <v>45689.0</v>
      </c>
      <c r="K4787" s="3">
        <v>2.0</v>
      </c>
      <c r="L4787" s="3" t="s">
        <v>15</v>
      </c>
    </row>
    <row r="4788" ht="15.75" customHeight="1">
      <c r="A4788" s="3" t="s">
        <v>1001</v>
      </c>
      <c r="B4788" s="3" t="s">
        <v>51</v>
      </c>
      <c r="C4788" s="3" t="s">
        <v>54</v>
      </c>
      <c r="D4788" s="3">
        <v>42119.56</v>
      </c>
      <c r="E4788" s="3">
        <v>12635.87</v>
      </c>
      <c r="F4788" s="3">
        <v>5978.36</v>
      </c>
      <c r="G4788" s="3">
        <v>11421.21</v>
      </c>
      <c r="H4788" s="3">
        <v>60733.79</v>
      </c>
      <c r="I4788" s="3">
        <v>49312.58</v>
      </c>
      <c r="J4788" s="4">
        <v>45870.0</v>
      </c>
      <c r="K4788" s="3">
        <v>25.0</v>
      </c>
      <c r="L4788" s="3" t="s">
        <v>15</v>
      </c>
    </row>
    <row r="4789" ht="15.75" customHeight="1">
      <c r="A4789" s="3" t="s">
        <v>4644</v>
      </c>
      <c r="B4789" s="3" t="s">
        <v>13</v>
      </c>
      <c r="C4789" s="3" t="s">
        <v>30</v>
      </c>
      <c r="D4789" s="3">
        <v>45086.83</v>
      </c>
      <c r="E4789" s="3">
        <v>16437.31</v>
      </c>
      <c r="F4789" s="3">
        <v>36996.8727342099</v>
      </c>
      <c r="G4789" s="3">
        <v>2494.06</v>
      </c>
      <c r="H4789" s="3">
        <v>-146511.363515374</v>
      </c>
      <c r="I4789" s="3">
        <v>68005.6556300237</v>
      </c>
      <c r="J4789" s="4">
        <v>45658.0</v>
      </c>
      <c r="K4789" s="3">
        <v>10.0</v>
      </c>
      <c r="L4789" s="3" t="s">
        <v>27</v>
      </c>
    </row>
    <row r="4790" ht="15.75" customHeight="1">
      <c r="A4790" s="3" t="s">
        <v>2419</v>
      </c>
      <c r="B4790" s="3" t="s">
        <v>13</v>
      </c>
      <c r="C4790" s="3" t="s">
        <v>30</v>
      </c>
      <c r="D4790" s="3">
        <v>74961.7470670567</v>
      </c>
      <c r="E4790" s="3">
        <v>25384.3637182662</v>
      </c>
      <c r="F4790" s="3">
        <v>19133.1847571992</v>
      </c>
      <c r="G4790" s="3">
        <v>15298.3315388842</v>
      </c>
      <c r="H4790" s="3">
        <v>-31365.7160309047</v>
      </c>
      <c r="I4790" s="3">
        <v>70616.1538821204</v>
      </c>
      <c r="J4790" s="4">
        <v>45658.0</v>
      </c>
      <c r="K4790" s="3">
        <v>16.0</v>
      </c>
      <c r="L4790" s="3" t="s">
        <v>40</v>
      </c>
    </row>
    <row r="4791" ht="15.75" customHeight="1">
      <c r="A4791" s="3" t="s">
        <v>4092</v>
      </c>
      <c r="B4791" s="3" t="s">
        <v>25</v>
      </c>
      <c r="C4791" s="3" t="s">
        <v>26</v>
      </c>
      <c r="D4791" s="3">
        <v>94039.5933126137</v>
      </c>
      <c r="E4791" s="3">
        <v>33497.0385378743</v>
      </c>
      <c r="F4791" s="3">
        <v>32634.6307862554</v>
      </c>
      <c r="G4791" s="3">
        <v>21271.2256471347</v>
      </c>
      <c r="H4791" s="3">
        <v>-118393.25183387</v>
      </c>
      <c r="I4791" s="3">
        <v>75870.965130512</v>
      </c>
      <c r="J4791" s="4">
        <v>45717.0</v>
      </c>
      <c r="K4791" s="3">
        <v>12.0</v>
      </c>
      <c r="L4791" s="3" t="s">
        <v>34</v>
      </c>
    </row>
    <row r="4792" ht="15.75" customHeight="1">
      <c r="A4792" s="3" t="s">
        <v>3475</v>
      </c>
      <c r="B4792" s="3" t="s">
        <v>17</v>
      </c>
      <c r="C4792" s="3" t="s">
        <v>18</v>
      </c>
      <c r="D4792" s="3">
        <v>86943.8969337756</v>
      </c>
      <c r="E4792" s="3">
        <v>30465.168596758</v>
      </c>
      <c r="F4792" s="3">
        <v>27588.8685330757</v>
      </c>
      <c r="G4792" s="3">
        <v>19039.0348455872</v>
      </c>
      <c r="H4792" s="3">
        <v>-85869.3092726927</v>
      </c>
      <c r="I4792" s="3">
        <v>74058.9901653475</v>
      </c>
      <c r="J4792" s="3" t="s">
        <v>1018</v>
      </c>
      <c r="K4792" s="3">
        <v>15.0</v>
      </c>
      <c r="L4792" s="3" t="s">
        <v>31</v>
      </c>
    </row>
    <row r="4793" ht="15.75" customHeight="1">
      <c r="A4793" s="3" t="s">
        <v>1654</v>
      </c>
      <c r="B4793" s="3" t="s">
        <v>25</v>
      </c>
      <c r="C4793" s="3" t="s">
        <v>33</v>
      </c>
      <c r="D4793" s="3">
        <v>66135.6584731339</v>
      </c>
      <c r="E4793" s="3">
        <v>21618.7535630898</v>
      </c>
      <c r="F4793" s="3">
        <v>12866.3019587295</v>
      </c>
      <c r="G4793" s="3">
        <v>12525.9301780581</v>
      </c>
      <c r="H4793" s="3">
        <v>9029.31765238286</v>
      </c>
      <c r="I4793" s="3">
        <v>68546.691537194</v>
      </c>
      <c r="J4793" s="4">
        <v>45689.0</v>
      </c>
      <c r="K4793" s="3">
        <v>24.0</v>
      </c>
      <c r="L4793" s="3" t="s">
        <v>21</v>
      </c>
    </row>
    <row r="4794" ht="15.75" customHeight="1">
      <c r="A4794" s="3" t="s">
        <v>3236</v>
      </c>
      <c r="B4794" s="3" t="s">
        <v>36</v>
      </c>
      <c r="C4794" s="3" t="s">
        <v>37</v>
      </c>
      <c r="D4794" s="3">
        <v>84223.1544572273</v>
      </c>
      <c r="E4794" s="3">
        <v>29311.4890149024</v>
      </c>
      <c r="F4794" s="3">
        <v>25668.8676757014</v>
      </c>
      <c r="G4794" s="3">
        <v>18189.6471737654</v>
      </c>
      <c r="H4794" s="3">
        <v>-73493.3798354117</v>
      </c>
      <c r="I4794" s="3">
        <v>73493.7886133825</v>
      </c>
      <c r="J4794" s="4">
        <v>45748.0</v>
      </c>
      <c r="K4794" s="3">
        <v>18.0</v>
      </c>
      <c r="L4794" s="3" t="s">
        <v>42</v>
      </c>
    </row>
    <row r="4795" ht="15.75" customHeight="1">
      <c r="A4795" s="3" t="s">
        <v>3843</v>
      </c>
      <c r="B4795" s="3" t="s">
        <v>53</v>
      </c>
      <c r="C4795" s="3" t="s">
        <v>54</v>
      </c>
      <c r="D4795" s="3">
        <v>91210.0211370034</v>
      </c>
      <c r="E4795" s="3">
        <v>32297.2117727445</v>
      </c>
      <c r="F4795" s="3">
        <v>30637.8298945861</v>
      </c>
      <c r="G4795" s="3">
        <v>20387.8624684401</v>
      </c>
      <c r="H4795" s="3">
        <v>-105522.285219097</v>
      </c>
      <c r="I4795" s="3">
        <v>74991.7817813603</v>
      </c>
      <c r="J4795" s="4">
        <v>45901.0</v>
      </c>
      <c r="K4795" s="3">
        <v>12.0</v>
      </c>
      <c r="L4795" s="3" t="s">
        <v>34</v>
      </c>
    </row>
    <row r="4796" ht="15.75" customHeight="1">
      <c r="A4796" s="3" t="s">
        <v>2711</v>
      </c>
      <c r="B4796" s="3" t="s">
        <v>53</v>
      </c>
      <c r="C4796" s="3" t="s">
        <v>18</v>
      </c>
      <c r="D4796" s="3">
        <v>78259.2869486333</v>
      </c>
      <c r="E4796" s="3">
        <v>26782.6233714751</v>
      </c>
      <c r="F4796" s="3">
        <v>21460.2257963369</v>
      </c>
      <c r="G4796" s="3">
        <v>16327.7893971322</v>
      </c>
      <c r="H4796" s="3">
        <v>-46365.3425088897</v>
      </c>
      <c r="I4796" s="3">
        <v>71640.7406313242</v>
      </c>
      <c r="J4796" s="4">
        <v>45748.0</v>
      </c>
      <c r="K4796" s="3">
        <v>7.0</v>
      </c>
      <c r="L4796" s="3" t="s">
        <v>19</v>
      </c>
    </row>
    <row r="4797" ht="15.75" customHeight="1">
      <c r="A4797" s="3" t="s">
        <v>4332</v>
      </c>
      <c r="B4797" s="3" t="s">
        <v>13</v>
      </c>
      <c r="C4797" s="3" t="s">
        <v>54</v>
      </c>
      <c r="D4797" s="3">
        <v>96727.6868794435</v>
      </c>
      <c r="E4797" s="3">
        <v>34636.8739647475</v>
      </c>
      <c r="F4797" s="3">
        <v>34531.5916333412</v>
      </c>
      <c r="G4797" s="5"/>
      <c r="H4797" s="3">
        <v>-130620.670117904</v>
      </c>
      <c r="I4797" s="3">
        <v>76706.1893122062</v>
      </c>
      <c r="J4797" s="4">
        <v>45901.0</v>
      </c>
      <c r="K4797" s="3">
        <v>6.0</v>
      </c>
      <c r="L4797" s="3" t="s">
        <v>23</v>
      </c>
    </row>
    <row r="4798" ht="15.75" customHeight="1">
      <c r="A4798" s="3" t="s">
        <v>4522</v>
      </c>
      <c r="B4798" s="3" t="s">
        <v>25</v>
      </c>
      <c r="C4798" s="3" t="s">
        <v>30</v>
      </c>
      <c r="D4798" s="3">
        <v>24480.43</v>
      </c>
      <c r="E4798" s="3">
        <v>25856.87</v>
      </c>
      <c r="F4798" s="3">
        <v>36044.5523089522</v>
      </c>
      <c r="G4798" s="3">
        <v>8923.65</v>
      </c>
      <c r="H4798" s="3">
        <v>15556.78</v>
      </c>
      <c r="I4798" s="3">
        <v>20556.78</v>
      </c>
      <c r="J4798" s="4">
        <v>45870.0</v>
      </c>
      <c r="K4798" s="3">
        <v>13.0</v>
      </c>
      <c r="L4798" s="3" t="s">
        <v>15</v>
      </c>
    </row>
    <row r="4799" ht="15.75" customHeight="1">
      <c r="A4799" s="3" t="s">
        <v>4253</v>
      </c>
      <c r="B4799" s="3" t="s">
        <v>53</v>
      </c>
      <c r="C4799" s="3" t="s">
        <v>18</v>
      </c>
      <c r="D4799" s="3">
        <v>95835.2833471356</v>
      </c>
      <c r="E4799" s="3">
        <v>34258.4670618989</v>
      </c>
      <c r="F4799" s="3">
        <v>33901.8313521224</v>
      </c>
      <c r="G4799" s="3">
        <v>21831.8215105371</v>
      </c>
      <c r="H4799" s="3">
        <v>-126561.365262476</v>
      </c>
      <c r="I4799" s="3">
        <v>76428.9084097814</v>
      </c>
      <c r="J4799" s="4">
        <v>45901.0</v>
      </c>
      <c r="K4799" s="3">
        <v>11.0</v>
      </c>
      <c r="L4799" s="3" t="s">
        <v>19</v>
      </c>
    </row>
    <row r="4800" ht="15.75" customHeight="1">
      <c r="A4800" s="3" t="s">
        <v>2705</v>
      </c>
      <c r="B4800" s="3" t="s">
        <v>17</v>
      </c>
      <c r="C4800" s="3" t="s">
        <v>54</v>
      </c>
      <c r="D4800" s="3">
        <v>78193.9891291961</v>
      </c>
      <c r="E4800" s="3">
        <v>26754.9350615106</v>
      </c>
      <c r="F4800" s="3">
        <v>21414.1457757599</v>
      </c>
      <c r="G4800" s="3">
        <v>16307.4040930085</v>
      </c>
      <c r="H4800" s="3">
        <v>-46068.3202023947</v>
      </c>
      <c r="I4800" s="3">
        <v>71620.4517848053</v>
      </c>
      <c r="J4800" s="4">
        <v>45931.0</v>
      </c>
      <c r="K4800" s="3">
        <v>1.0</v>
      </c>
      <c r="L4800" s="3" t="s">
        <v>31</v>
      </c>
    </row>
    <row r="4801" ht="15.75" customHeight="1">
      <c r="A4801" s="3" t="s">
        <v>241</v>
      </c>
      <c r="B4801" s="3" t="s">
        <v>29</v>
      </c>
      <c r="C4801" s="3" t="s">
        <v>18</v>
      </c>
      <c r="D4801" s="3">
        <v>75615.69</v>
      </c>
      <c r="E4801" s="3">
        <v>22684.71</v>
      </c>
      <c r="F4801" s="3">
        <v>2113.87</v>
      </c>
      <c r="G4801" s="3">
        <v>21465.67</v>
      </c>
      <c r="H4801" s="3">
        <v>100414.27</v>
      </c>
      <c r="I4801" s="3">
        <v>78948.6</v>
      </c>
      <c r="J4801" s="4">
        <v>45778.0</v>
      </c>
      <c r="K4801" s="3">
        <v>4.0</v>
      </c>
      <c r="L4801" s="3" t="s">
        <v>23</v>
      </c>
    </row>
    <row r="4802" ht="15.75" customHeight="1">
      <c r="A4802" s="3" t="s">
        <v>493</v>
      </c>
      <c r="B4802" s="3" t="s">
        <v>36</v>
      </c>
      <c r="C4802" s="3" t="s">
        <v>37</v>
      </c>
      <c r="D4802" s="3">
        <v>54985.32</v>
      </c>
      <c r="E4802" s="3">
        <v>16495.6</v>
      </c>
      <c r="F4802" s="3">
        <v>4487.29</v>
      </c>
      <c r="G4802" s="3">
        <v>433.21</v>
      </c>
      <c r="H4802" s="3">
        <v>75968.21</v>
      </c>
      <c r="I4802" s="3">
        <v>75535.0</v>
      </c>
      <c r="J4802" s="4">
        <v>45809.0</v>
      </c>
      <c r="K4802" s="3">
        <v>2.0</v>
      </c>
      <c r="L4802" s="3" t="s">
        <v>34</v>
      </c>
    </row>
    <row r="4803" ht="15.75" customHeight="1">
      <c r="A4803" s="3" t="s">
        <v>1999</v>
      </c>
      <c r="B4803" s="3" t="s">
        <v>13</v>
      </c>
      <c r="C4803" s="3" t="s">
        <v>26</v>
      </c>
      <c r="D4803" s="3">
        <v>70075.2935791759</v>
      </c>
      <c r="E4803" s="3">
        <v>23289.2815976166</v>
      </c>
      <c r="F4803" s="3">
        <v>15646.4632002074</v>
      </c>
      <c r="G4803" s="3">
        <v>13755.843526856</v>
      </c>
      <c r="H4803" s="3">
        <v>-8891.02817280103</v>
      </c>
      <c r="I4803" s="3">
        <v>69770.7852771668</v>
      </c>
      <c r="J4803" s="4">
        <v>45839.0</v>
      </c>
      <c r="K4803" s="3">
        <v>21.0</v>
      </c>
      <c r="L4803" s="3" t="s">
        <v>27</v>
      </c>
    </row>
    <row r="4804" ht="15.75" customHeight="1">
      <c r="A4804" s="3" t="s">
        <v>286</v>
      </c>
      <c r="B4804" s="3" t="s">
        <v>36</v>
      </c>
      <c r="C4804" s="3" t="s">
        <v>37</v>
      </c>
      <c r="D4804" s="3">
        <v>52279.61</v>
      </c>
      <c r="E4804" s="3">
        <v>15683.88</v>
      </c>
      <c r="F4804" s="3">
        <v>6693.27</v>
      </c>
      <c r="G4804" s="3">
        <v>4540.72</v>
      </c>
      <c r="H4804" s="3">
        <v>74656.76</v>
      </c>
      <c r="I4804" s="3">
        <v>70116.04</v>
      </c>
      <c r="J4804" s="4">
        <v>45839.0</v>
      </c>
      <c r="K4804" s="3">
        <v>1.0</v>
      </c>
      <c r="L4804" s="3" t="s">
        <v>42</v>
      </c>
    </row>
    <row r="4805" ht="15.75" customHeight="1">
      <c r="A4805" s="3" t="s">
        <v>1110</v>
      </c>
      <c r="B4805" s="3" t="s">
        <v>36</v>
      </c>
      <c r="C4805" s="3" t="s">
        <v>54</v>
      </c>
      <c r="D4805" s="3">
        <v>27557.4</v>
      </c>
      <c r="E4805" s="3">
        <v>30429.45</v>
      </c>
      <c r="F4805" s="3">
        <v>17253.5</v>
      </c>
      <c r="G4805" s="3">
        <v>7189.21</v>
      </c>
      <c r="H4805" s="3">
        <v>75240.35</v>
      </c>
      <c r="I4805" s="3">
        <v>67336.1236949004</v>
      </c>
      <c r="J4805" s="3" t="s">
        <v>1014</v>
      </c>
      <c r="K4805" s="3">
        <v>21.0</v>
      </c>
      <c r="L4805" s="3" t="s">
        <v>15</v>
      </c>
    </row>
    <row r="4806" ht="15.75" customHeight="1">
      <c r="A4806" s="3" t="s">
        <v>2971</v>
      </c>
      <c r="B4806" s="3" t="s">
        <v>13</v>
      </c>
      <c r="C4806" s="3" t="s">
        <v>18</v>
      </c>
      <c r="D4806" s="3">
        <v>81121.5080339622</v>
      </c>
      <c r="E4806" s="3">
        <v>27996.2942915871</v>
      </c>
      <c r="F4806" s="3">
        <v>23480.0666982947</v>
      </c>
      <c r="G4806" s="3">
        <v>17221.3452278887</v>
      </c>
      <c r="H4806" s="3">
        <v>-59384.8202769107</v>
      </c>
      <c r="I4806" s="3">
        <v>72530.0684037354</v>
      </c>
      <c r="J4806" s="4">
        <v>45870.0</v>
      </c>
      <c r="K4806" s="3">
        <v>24.0</v>
      </c>
      <c r="L4806" s="3" t="s">
        <v>27</v>
      </c>
    </row>
    <row r="4807" ht="15.75" customHeight="1">
      <c r="A4807" s="3" t="s">
        <v>2319</v>
      </c>
      <c r="B4807" s="3" t="s">
        <v>36</v>
      </c>
      <c r="C4807" s="3" t="s">
        <v>26</v>
      </c>
      <c r="D4807" s="3">
        <v>73840.8011667188</v>
      </c>
      <c r="E4807" s="3">
        <v>24885.9741389046</v>
      </c>
      <c r="F4807" s="3">
        <v>18303.7443868135</v>
      </c>
      <c r="G4807" s="3">
        <v>14931.3960646573</v>
      </c>
      <c r="H4807" s="3">
        <v>101155.46448943</v>
      </c>
      <c r="I4807" s="3">
        <v>70731.833056315</v>
      </c>
      <c r="J4807" s="3" t="s">
        <v>1021</v>
      </c>
      <c r="K4807" s="3">
        <v>23.0</v>
      </c>
      <c r="L4807" s="3" t="s">
        <v>34</v>
      </c>
    </row>
    <row r="4808" ht="15.75" customHeight="1">
      <c r="A4808" s="3" t="s">
        <v>2137</v>
      </c>
      <c r="B4808" s="3" t="s">
        <v>51</v>
      </c>
      <c r="C4808" s="3" t="s">
        <v>18</v>
      </c>
      <c r="D4808" s="3">
        <v>71729.5050049173</v>
      </c>
      <c r="E4808" s="3">
        <v>23990.7187833847</v>
      </c>
      <c r="F4808" s="3">
        <v>16813.823721491</v>
      </c>
      <c r="G4808" s="3">
        <v>14272.2712313236</v>
      </c>
      <c r="H4808" s="3">
        <v>-16415.5932706687</v>
      </c>
      <c r="I4808" s="3">
        <v>70284.7693889786</v>
      </c>
      <c r="J4808" s="4">
        <v>45658.0</v>
      </c>
      <c r="K4808" s="3">
        <v>25.0</v>
      </c>
      <c r="L4808" s="3" t="s">
        <v>34</v>
      </c>
    </row>
    <row r="4809" ht="15.75" customHeight="1">
      <c r="A4809" s="3" t="s">
        <v>3915</v>
      </c>
      <c r="B4809" s="3" t="s">
        <v>51</v>
      </c>
      <c r="C4809" s="3" t="s">
        <v>37</v>
      </c>
      <c r="D4809" s="3">
        <v>92058.8927896865</v>
      </c>
      <c r="E4809" s="3">
        <v>32657.1598022835</v>
      </c>
      <c r="F4809" s="3">
        <v>31236.8701620869</v>
      </c>
      <c r="G4809" s="3">
        <v>20652.8714220485</v>
      </c>
      <c r="H4809" s="3">
        <v>-109383.575203529</v>
      </c>
      <c r="I4809" s="3">
        <v>75255.5367861058</v>
      </c>
      <c r="J4809" s="4">
        <v>45992.0</v>
      </c>
      <c r="K4809" s="3">
        <v>11.0</v>
      </c>
      <c r="L4809" s="3" t="s">
        <v>27</v>
      </c>
    </row>
    <row r="4810" ht="15.75" customHeight="1">
      <c r="A4810" s="3" t="s">
        <v>1413</v>
      </c>
      <c r="B4810" s="3" t="s">
        <v>29</v>
      </c>
      <c r="C4810" s="3" t="s">
        <v>14</v>
      </c>
      <c r="D4810" s="3">
        <v>63436.6819363979</v>
      </c>
      <c r="E4810" s="3">
        <v>20474.3034178891</v>
      </c>
      <c r="F4810" s="3">
        <v>10961.6611082142</v>
      </c>
      <c r="G4810" s="3">
        <v>11683.3376076109</v>
      </c>
      <c r="H4810" s="3">
        <v>21306.2396541663</v>
      </c>
      <c r="I4810" s="3">
        <v>67708.08588108</v>
      </c>
      <c r="J4810" s="4">
        <v>45962.0</v>
      </c>
      <c r="K4810" s="3">
        <v>11.0</v>
      </c>
      <c r="L4810" s="3" t="s">
        <v>27</v>
      </c>
    </row>
    <row r="4811" ht="15.75" customHeight="1">
      <c r="A4811" s="3" t="s">
        <v>1558</v>
      </c>
      <c r="B4811" s="3" t="s">
        <v>51</v>
      </c>
      <c r="C4811" s="3" t="s">
        <v>37</v>
      </c>
      <c r="D4811" s="3">
        <v>65058.2444524207</v>
      </c>
      <c r="E4811" s="3">
        <v>21161.896448675</v>
      </c>
      <c r="F4811" s="3">
        <v>12105.9816192093</v>
      </c>
      <c r="G4811" s="3">
        <v>12189.5726600167</v>
      </c>
      <c r="H4811" s="3">
        <v>13930.1857095464</v>
      </c>
      <c r="I4811" s="3">
        <v>68211.9255696324</v>
      </c>
      <c r="J4811" s="4">
        <v>45717.0</v>
      </c>
      <c r="K4811" s="3">
        <v>13.0</v>
      </c>
      <c r="L4811" s="3" t="s">
        <v>23</v>
      </c>
    </row>
    <row r="4812" ht="15.75" customHeight="1">
      <c r="A4812" s="3" t="s">
        <v>4435</v>
      </c>
      <c r="B4812" s="3" t="s">
        <v>13</v>
      </c>
      <c r="C4812" s="3" t="s">
        <v>37</v>
      </c>
      <c r="D4812" s="3">
        <v>100623.45</v>
      </c>
      <c r="E4812" s="3">
        <v>25713.4</v>
      </c>
      <c r="F4812" s="3">
        <v>35345.6719968679</v>
      </c>
      <c r="G4812" s="3">
        <v>23966.57</v>
      </c>
      <c r="H4812" s="3">
        <v>-135868.064199312</v>
      </c>
      <c r="I4812" s="3">
        <v>67278.6386297636</v>
      </c>
      <c r="J4812" s="4">
        <v>45809.0</v>
      </c>
      <c r="K4812" s="3">
        <v>12.0</v>
      </c>
      <c r="L4812" s="3" t="s">
        <v>42</v>
      </c>
    </row>
    <row r="4813" ht="15.75" customHeight="1">
      <c r="A4813" s="3" t="s">
        <v>1896</v>
      </c>
      <c r="B4813" s="3" t="s">
        <v>13</v>
      </c>
      <c r="C4813" s="3" t="s">
        <v>14</v>
      </c>
      <c r="D4813" s="3">
        <v>68899.932829307</v>
      </c>
      <c r="E4813" s="3">
        <v>22790.892018255</v>
      </c>
      <c r="F4813" s="3">
        <v>14817.0228298217</v>
      </c>
      <c r="G4813" s="3">
        <v>13388.908052629</v>
      </c>
      <c r="H4813" s="3">
        <v>-3544.62665589534</v>
      </c>
      <c r="I4813" s="3">
        <v>69405.5860398269</v>
      </c>
      <c r="J4813" s="4">
        <v>45931.0</v>
      </c>
      <c r="K4813" s="3">
        <v>15.0</v>
      </c>
      <c r="L4813" s="3" t="s">
        <v>34</v>
      </c>
    </row>
    <row r="4814" ht="15.75" customHeight="1">
      <c r="A4814" s="3" t="s">
        <v>2903</v>
      </c>
      <c r="B4814" s="3" t="s">
        <v>53</v>
      </c>
      <c r="C4814" s="3" t="s">
        <v>14</v>
      </c>
      <c r="D4814" s="3">
        <v>80370.5831104348</v>
      </c>
      <c r="E4814" s="3">
        <v>27677.878726995</v>
      </c>
      <c r="F4814" s="3">
        <v>22950.1464616593</v>
      </c>
      <c r="G4814" s="3">
        <v>16986.9142304659</v>
      </c>
      <c r="H4814" s="3">
        <v>-55969.0637522207</v>
      </c>
      <c r="I4814" s="3">
        <v>72296.7466687682</v>
      </c>
      <c r="J4814" s="4">
        <v>45931.0</v>
      </c>
      <c r="K4814" s="3">
        <v>4.0</v>
      </c>
      <c r="L4814" s="3" t="s">
        <v>31</v>
      </c>
    </row>
    <row r="4815" ht="15.75" customHeight="1">
      <c r="A4815" s="3" t="s">
        <v>2980</v>
      </c>
      <c r="B4815" s="3" t="s">
        <v>17</v>
      </c>
      <c r="C4815" s="3" t="s">
        <v>18</v>
      </c>
      <c r="D4815" s="3">
        <v>81230.3377330241</v>
      </c>
      <c r="E4815" s="3">
        <v>28042.4414748614</v>
      </c>
      <c r="F4815" s="3">
        <v>23556.8667325896</v>
      </c>
      <c r="G4815" s="3">
        <v>17255.3207347615</v>
      </c>
      <c r="H4815" s="3">
        <v>-59879.8574544017</v>
      </c>
      <c r="I4815" s="3">
        <v>72563.8831479335</v>
      </c>
      <c r="J4815" s="4">
        <v>45689.0</v>
      </c>
      <c r="K4815" s="3">
        <v>3.0</v>
      </c>
      <c r="L4815" s="3" t="s">
        <v>27</v>
      </c>
    </row>
    <row r="4816" ht="15.75" customHeight="1">
      <c r="A4816" s="3" t="s">
        <v>4640</v>
      </c>
      <c r="B4816" s="3" t="s">
        <v>13</v>
      </c>
      <c r="C4816" s="3" t="s">
        <v>37</v>
      </c>
      <c r="D4816" s="3">
        <v>75719.41</v>
      </c>
      <c r="E4816" s="3">
        <v>23885.18</v>
      </c>
      <c r="F4816" s="3">
        <v>36966.1527204919</v>
      </c>
      <c r="G4816" s="3">
        <v>7649.67</v>
      </c>
      <c r="H4816" s="3">
        <v>-146313.348644377</v>
      </c>
      <c r="I4816" s="3">
        <v>67992.1297323444</v>
      </c>
      <c r="J4816" s="4">
        <v>45992.0</v>
      </c>
      <c r="K4816" s="3">
        <v>2.0</v>
      </c>
      <c r="L4816" s="3" t="s">
        <v>15</v>
      </c>
    </row>
    <row r="4817" ht="15.75" customHeight="1">
      <c r="A4817" s="3" t="s">
        <v>4556</v>
      </c>
      <c r="B4817" s="3" t="s">
        <v>53</v>
      </c>
      <c r="C4817" s="3" t="s">
        <v>14</v>
      </c>
      <c r="D4817" s="3">
        <v>108144.07</v>
      </c>
      <c r="E4817" s="3">
        <v>19949.21</v>
      </c>
      <c r="F4817" s="3">
        <v>36305.6724255551</v>
      </c>
      <c r="G4817" s="3">
        <v>7674.47</v>
      </c>
      <c r="H4817" s="3">
        <v>-142056.028917953</v>
      </c>
      <c r="I4817" s="3">
        <v>67701.3229322404</v>
      </c>
      <c r="J4817" s="4">
        <v>45901.0</v>
      </c>
      <c r="K4817" s="3">
        <v>11.0</v>
      </c>
      <c r="L4817" s="3" t="s">
        <v>27</v>
      </c>
    </row>
    <row r="4818" ht="15.75" customHeight="1">
      <c r="A4818" s="3" t="s">
        <v>2346</v>
      </c>
      <c r="B4818" s="3" t="s">
        <v>13</v>
      </c>
      <c r="C4818" s="3" t="s">
        <v>37</v>
      </c>
      <c r="D4818" s="3">
        <v>74134.641354186</v>
      </c>
      <c r="E4818" s="3">
        <v>25010.571533745</v>
      </c>
      <c r="F4818" s="3">
        <v>18511.1044794099</v>
      </c>
      <c r="G4818" s="3">
        <v>15023.129933214</v>
      </c>
      <c r="H4818" s="3">
        <v>101550.955530083</v>
      </c>
      <c r="I4818" s="3">
        <v>70810.5655334797</v>
      </c>
      <c r="J4818" s="3" t="s">
        <v>1014</v>
      </c>
      <c r="K4818" s="3">
        <v>15.0</v>
      </c>
      <c r="L4818" s="3" t="s">
        <v>40</v>
      </c>
    </row>
    <row r="4819" ht="15.75" customHeight="1">
      <c r="A4819" s="3" t="s">
        <v>1160</v>
      </c>
      <c r="B4819" s="3" t="s">
        <v>29</v>
      </c>
      <c r="C4819" s="3" t="s">
        <v>18</v>
      </c>
      <c r="D4819" s="3">
        <v>41437.14</v>
      </c>
      <c r="E4819" s="3">
        <v>8844.75</v>
      </c>
      <c r="F4819" s="3">
        <v>14070.57</v>
      </c>
      <c r="G4819" s="3">
        <v>24040.96</v>
      </c>
      <c r="H4819" s="3">
        <v>64352.46</v>
      </c>
      <c r="I4819" s="3">
        <v>67508.578890311</v>
      </c>
      <c r="J4819" s="3" t="s">
        <v>1040</v>
      </c>
      <c r="K4819" s="3">
        <v>10.0</v>
      </c>
      <c r="L4819" s="3" t="s">
        <v>19</v>
      </c>
    </row>
    <row r="4820" ht="15.75" customHeight="1">
      <c r="A4820" s="3" t="s">
        <v>816</v>
      </c>
      <c r="B4820" s="3" t="s">
        <v>36</v>
      </c>
      <c r="C4820" s="3" t="s">
        <v>54</v>
      </c>
      <c r="D4820" s="3">
        <v>39596.85</v>
      </c>
      <c r="E4820" s="3">
        <v>11879.05</v>
      </c>
      <c r="F4820" s="3">
        <v>5222.21</v>
      </c>
      <c r="G4820" s="3">
        <v>8237.63</v>
      </c>
      <c r="H4820" s="3">
        <v>56698.11</v>
      </c>
      <c r="I4820" s="3">
        <v>48460.48</v>
      </c>
      <c r="J4820" s="4">
        <v>45717.0</v>
      </c>
      <c r="K4820" s="3">
        <v>11.0</v>
      </c>
      <c r="L4820" s="3" t="s">
        <v>15</v>
      </c>
    </row>
    <row r="4821" ht="15.75" customHeight="1">
      <c r="A4821" s="3" t="s">
        <v>536</v>
      </c>
      <c r="B4821" s="3" t="s">
        <v>51</v>
      </c>
      <c r="C4821" s="3" t="s">
        <v>37</v>
      </c>
      <c r="D4821" s="3">
        <v>50196.07</v>
      </c>
      <c r="E4821" s="3">
        <v>15058.82</v>
      </c>
      <c r="F4821" s="3">
        <v>7838.02</v>
      </c>
      <c r="G4821" s="3">
        <v>8518.03</v>
      </c>
      <c r="H4821" s="3">
        <v>73092.91</v>
      </c>
      <c r="I4821" s="3">
        <v>64574.88</v>
      </c>
      <c r="J4821" s="4">
        <v>45870.0</v>
      </c>
      <c r="K4821" s="3">
        <v>6.0</v>
      </c>
      <c r="L4821" s="3" t="s">
        <v>19</v>
      </c>
    </row>
    <row r="4822" ht="15.75" customHeight="1">
      <c r="A4822" s="3" t="s">
        <v>3186</v>
      </c>
      <c r="B4822" s="3" t="s">
        <v>25</v>
      </c>
      <c r="C4822" s="3" t="s">
        <v>33</v>
      </c>
      <c r="D4822" s="3">
        <v>83624.5911123866</v>
      </c>
      <c r="E4822" s="3">
        <v>29057.6795068942</v>
      </c>
      <c r="F4822" s="3">
        <v>25246.467487079</v>
      </c>
      <c r="G4822" s="3">
        <v>18002.7818859647</v>
      </c>
      <c r="H4822" s="3">
        <v>-70770.6753592097</v>
      </c>
      <c r="I4822" s="3">
        <v>73307.8075202927</v>
      </c>
      <c r="J4822" s="4">
        <v>45839.0</v>
      </c>
      <c r="K4822" s="3">
        <v>21.0</v>
      </c>
      <c r="L4822" s="3" t="s">
        <v>27</v>
      </c>
    </row>
    <row r="4823" ht="15.75" customHeight="1">
      <c r="A4823" s="3" t="s">
        <v>4663</v>
      </c>
      <c r="B4823" s="3" t="s">
        <v>51</v>
      </c>
      <c r="C4823" s="3" t="s">
        <v>33</v>
      </c>
      <c r="D4823" s="3">
        <v>43437.39</v>
      </c>
      <c r="E4823" s="3">
        <v>32204.9</v>
      </c>
      <c r="F4823" s="3">
        <v>37158.1528062293</v>
      </c>
      <c r="G4823" s="3">
        <v>18131.77</v>
      </c>
      <c r="H4823" s="3">
        <v>-147550.941588106</v>
      </c>
      <c r="I4823" s="3">
        <v>68076.6665928398</v>
      </c>
      <c r="J4823" s="4">
        <v>45717.0</v>
      </c>
      <c r="K4823" s="3">
        <v>10.0</v>
      </c>
      <c r="L4823" s="3" t="s">
        <v>31</v>
      </c>
    </row>
    <row r="4824" ht="15.75" customHeight="1">
      <c r="A4824" s="3" t="s">
        <v>2789</v>
      </c>
      <c r="B4824" s="3" t="s">
        <v>53</v>
      </c>
      <c r="C4824" s="3" t="s">
        <v>26</v>
      </c>
      <c r="D4824" s="3">
        <v>79108.1586013164</v>
      </c>
      <c r="E4824" s="3">
        <v>27142.571401014</v>
      </c>
      <c r="F4824" s="3">
        <v>22059.2660638377</v>
      </c>
      <c r="G4824" s="3">
        <v>16592.7983507406</v>
      </c>
      <c r="H4824" s="3">
        <v>-50226.6324933217</v>
      </c>
      <c r="I4824" s="3">
        <v>71904.4956360697</v>
      </c>
      <c r="J4824" s="4">
        <v>45992.0</v>
      </c>
      <c r="K4824" s="3">
        <v>6.0</v>
      </c>
      <c r="L4824" s="3" t="s">
        <v>42</v>
      </c>
    </row>
    <row r="4825" ht="15.75" customHeight="1">
      <c r="A4825" s="3" t="s">
        <v>4019</v>
      </c>
      <c r="B4825" s="3" t="s">
        <v>51</v>
      </c>
      <c r="C4825" s="3" t="s">
        <v>26</v>
      </c>
      <c r="D4825" s="3">
        <v>93223.3705696492</v>
      </c>
      <c r="E4825" s="3">
        <v>33150.9346633176</v>
      </c>
      <c r="F4825" s="3">
        <v>32058.6305290431</v>
      </c>
      <c r="G4825" s="3">
        <v>21016.4093455882</v>
      </c>
      <c r="H4825" s="3">
        <v>-114680.473002685</v>
      </c>
      <c r="I4825" s="3">
        <v>75617.3545490259</v>
      </c>
      <c r="J4825" s="4">
        <v>45717.0</v>
      </c>
      <c r="K4825" s="3">
        <v>9.0</v>
      </c>
      <c r="L4825" s="3" t="s">
        <v>19</v>
      </c>
    </row>
    <row r="4826" ht="15.75" customHeight="1">
      <c r="A4826" s="3" t="s">
        <v>2417</v>
      </c>
      <c r="B4826" s="3" t="s">
        <v>17</v>
      </c>
      <c r="C4826" s="3" t="s">
        <v>18</v>
      </c>
      <c r="D4826" s="3">
        <v>74929.0981573381</v>
      </c>
      <c r="E4826" s="3">
        <v>25370.519563284</v>
      </c>
      <c r="F4826" s="3">
        <v>19110.1447469107</v>
      </c>
      <c r="G4826" s="3">
        <v>15288.1388868224</v>
      </c>
      <c r="H4826" s="3">
        <v>-31217.2048776567</v>
      </c>
      <c r="I4826" s="3">
        <v>70606.009458861</v>
      </c>
      <c r="J4826" s="4">
        <v>45778.0</v>
      </c>
      <c r="K4826" s="3">
        <v>6.0</v>
      </c>
      <c r="L4826" s="3" t="s">
        <v>31</v>
      </c>
    </row>
    <row r="4827" ht="15.75" customHeight="1">
      <c r="A4827" s="3" t="s">
        <v>381</v>
      </c>
      <c r="B4827" s="3" t="s">
        <v>25</v>
      </c>
      <c r="C4827" s="3" t="s">
        <v>30</v>
      </c>
      <c r="D4827" s="3">
        <v>26384.74</v>
      </c>
      <c r="E4827" s="3">
        <v>7915.42</v>
      </c>
      <c r="F4827" s="3">
        <v>2716.18</v>
      </c>
      <c r="G4827" s="3">
        <v>3947.89</v>
      </c>
      <c r="H4827" s="3">
        <v>37016.34</v>
      </c>
      <c r="I4827" s="3">
        <v>33068.45</v>
      </c>
      <c r="J4827" s="4">
        <v>45778.0</v>
      </c>
      <c r="K4827" s="3">
        <v>13.0</v>
      </c>
      <c r="L4827" s="3" t="s">
        <v>34</v>
      </c>
    </row>
    <row r="4828" ht="15.75" customHeight="1">
      <c r="A4828" s="3" t="s">
        <v>3850</v>
      </c>
      <c r="B4828" s="3" t="s">
        <v>29</v>
      </c>
      <c r="C4828" s="3" t="s">
        <v>33</v>
      </c>
      <c r="D4828" s="3">
        <v>91286.2019263468</v>
      </c>
      <c r="E4828" s="3">
        <v>32329.5148010365</v>
      </c>
      <c r="F4828" s="3">
        <v>30691.5899185926</v>
      </c>
      <c r="G4828" s="3">
        <v>20411.6453232511</v>
      </c>
      <c r="H4828" s="3">
        <v>-105868.811243341</v>
      </c>
      <c r="I4828" s="3">
        <v>75015.452102299</v>
      </c>
      <c r="J4828" s="4">
        <v>45931.0</v>
      </c>
      <c r="K4828" s="3">
        <v>17.0</v>
      </c>
      <c r="L4828" s="3" t="s">
        <v>23</v>
      </c>
    </row>
    <row r="4829" ht="15.75" customHeight="1">
      <c r="A4829" s="3" t="s">
        <v>3009</v>
      </c>
      <c r="B4829" s="3" t="s">
        <v>17</v>
      </c>
      <c r="C4829" s="3" t="s">
        <v>18</v>
      </c>
      <c r="D4829" s="3">
        <v>81556.8268302099</v>
      </c>
      <c r="E4829" s="3">
        <v>28180.883024684</v>
      </c>
      <c r="F4829" s="3">
        <v>23787.2668354746</v>
      </c>
      <c r="G4829" s="3">
        <v>17357.2472553801</v>
      </c>
      <c r="H4829" s="3">
        <v>-61364.9689868757</v>
      </c>
      <c r="I4829" s="3">
        <v>72665.3273805279</v>
      </c>
      <c r="J4829" s="4">
        <v>45931.0</v>
      </c>
      <c r="K4829" s="3">
        <v>23.0</v>
      </c>
      <c r="L4829" s="3" t="s">
        <v>27</v>
      </c>
    </row>
    <row r="4830" ht="15.75" customHeight="1">
      <c r="A4830" s="3" t="s">
        <v>802</v>
      </c>
      <c r="B4830" s="3" t="s">
        <v>51</v>
      </c>
      <c r="C4830" s="3" t="s">
        <v>26</v>
      </c>
      <c r="D4830" s="3">
        <v>99068.69</v>
      </c>
      <c r="E4830" s="3">
        <v>29720.61</v>
      </c>
      <c r="F4830" s="3">
        <v>1395.72</v>
      </c>
      <c r="G4830" s="3">
        <v>24419.02</v>
      </c>
      <c r="H4830" s="3">
        <v>130185.02</v>
      </c>
      <c r="I4830" s="3">
        <v>105766.0</v>
      </c>
      <c r="J4830" s="4">
        <v>45778.0</v>
      </c>
      <c r="K4830" s="3">
        <v>23.0</v>
      </c>
      <c r="L4830" s="3" t="s">
        <v>27</v>
      </c>
    </row>
    <row r="4831" ht="15.75" customHeight="1">
      <c r="A4831" s="3" t="s">
        <v>3028</v>
      </c>
      <c r="B4831" s="3" t="s">
        <v>36</v>
      </c>
      <c r="C4831" s="3" t="s">
        <v>26</v>
      </c>
      <c r="D4831" s="3">
        <v>81785.36919824</v>
      </c>
      <c r="E4831" s="3">
        <v>28277.7921095599</v>
      </c>
      <c r="F4831" s="3">
        <v>23948.546907494</v>
      </c>
      <c r="G4831" s="3">
        <v>17428.5958198132</v>
      </c>
      <c r="H4831" s="3">
        <v>-62404.5470596067</v>
      </c>
      <c r="I4831" s="3">
        <v>72736.338343344</v>
      </c>
      <c r="J4831" s="4">
        <v>45839.0</v>
      </c>
      <c r="K4831" s="3">
        <v>8.0</v>
      </c>
      <c r="L4831" s="3" t="s">
        <v>31</v>
      </c>
    </row>
    <row r="4832" ht="15.75" customHeight="1">
      <c r="A4832" s="3" t="s">
        <v>468</v>
      </c>
      <c r="B4832" s="3" t="s">
        <v>36</v>
      </c>
      <c r="C4832" s="3" t="s">
        <v>54</v>
      </c>
      <c r="D4832" s="3">
        <v>37355.27</v>
      </c>
      <c r="E4832" s="3">
        <v>11206.58</v>
      </c>
      <c r="F4832" s="3">
        <v>5939.3</v>
      </c>
      <c r="G4832" s="3">
        <v>1896.89</v>
      </c>
      <c r="H4832" s="3">
        <v>35458.38</v>
      </c>
      <c r="I4832" s="3">
        <v>40458.38</v>
      </c>
      <c r="J4832" s="4">
        <v>45992.0</v>
      </c>
      <c r="K4832" s="3">
        <v>12.0</v>
      </c>
      <c r="L4832" s="3" t="s">
        <v>40</v>
      </c>
    </row>
    <row r="4833" ht="15.75" customHeight="1">
      <c r="A4833" s="3" t="s">
        <v>2303</v>
      </c>
      <c r="B4833" s="3" t="s">
        <v>51</v>
      </c>
      <c r="C4833" s="3" t="s">
        <v>14</v>
      </c>
      <c r="D4833" s="3">
        <v>73666.6736482197</v>
      </c>
      <c r="E4833" s="3">
        <v>24812.1386456659</v>
      </c>
      <c r="F4833" s="3">
        <v>18180.8643319415</v>
      </c>
      <c r="G4833" s="3">
        <v>14877.0352536607</v>
      </c>
      <c r="H4833" s="3">
        <v>100921.099428303</v>
      </c>
      <c r="I4833" s="3">
        <v>70685.1767735507</v>
      </c>
      <c r="J4833" s="3" t="s">
        <v>1016</v>
      </c>
      <c r="K4833" s="3">
        <v>24.0</v>
      </c>
      <c r="L4833" s="3" t="s">
        <v>42</v>
      </c>
    </row>
    <row r="4834" ht="15.75" customHeight="1">
      <c r="A4834" s="3" t="s">
        <v>4572</v>
      </c>
      <c r="B4834" s="3" t="s">
        <v>25</v>
      </c>
      <c r="C4834" s="3" t="s">
        <v>33</v>
      </c>
      <c r="D4834" s="3">
        <v>89778.82</v>
      </c>
      <c r="E4834" s="3">
        <v>26959.87</v>
      </c>
      <c r="F4834" s="3">
        <v>36428.5524804271</v>
      </c>
      <c r="G4834" s="3">
        <v>16058.1</v>
      </c>
      <c r="H4834" s="3">
        <v>-142848.088401939</v>
      </c>
      <c r="I4834" s="3">
        <v>67755.4265229574</v>
      </c>
      <c r="J4834" s="4">
        <v>45778.0</v>
      </c>
      <c r="K4834" s="3">
        <v>22.0</v>
      </c>
      <c r="L4834" s="3" t="s">
        <v>15</v>
      </c>
    </row>
    <row r="4835" ht="15.75" customHeight="1">
      <c r="A4835" s="3" t="s">
        <v>2539</v>
      </c>
      <c r="B4835" s="3" t="s">
        <v>13</v>
      </c>
      <c r="C4835" s="3" t="s">
        <v>26</v>
      </c>
      <c r="D4835" s="3">
        <v>76278.5864257061</v>
      </c>
      <c r="E4835" s="3">
        <v>25942.7446358843</v>
      </c>
      <c r="F4835" s="3">
        <v>20062.4651721684</v>
      </c>
      <c r="G4835" s="3">
        <v>15709.435172046</v>
      </c>
      <c r="H4835" s="3">
        <v>-37355.6658785487</v>
      </c>
      <c r="I4835" s="3">
        <v>71025.312286918</v>
      </c>
      <c r="J4835" s="4">
        <v>45931.0</v>
      </c>
      <c r="K4835" s="3">
        <v>22.0</v>
      </c>
      <c r="L4835" s="3" t="s">
        <v>42</v>
      </c>
    </row>
    <row r="4836" ht="15.75" customHeight="1">
      <c r="A4836" s="3" t="s">
        <v>4568</v>
      </c>
      <c r="B4836" s="3" t="s">
        <v>17</v>
      </c>
      <c r="C4836" s="3" t="s">
        <v>14</v>
      </c>
      <c r="D4836" s="3">
        <v>72617.05</v>
      </c>
      <c r="E4836" s="3">
        <v>7797.4</v>
      </c>
      <c r="F4836" s="3">
        <v>36397.8324667091</v>
      </c>
      <c r="G4836" s="3">
        <v>15613.7</v>
      </c>
      <c r="H4836" s="3">
        <v>-142650.073530942</v>
      </c>
      <c r="I4836" s="3">
        <v>67741.9006252782</v>
      </c>
      <c r="J4836" s="4">
        <v>45748.0</v>
      </c>
      <c r="K4836" s="3">
        <v>24.0</v>
      </c>
      <c r="L4836" s="3" t="s">
        <v>34</v>
      </c>
    </row>
    <row r="4837" ht="15.75" customHeight="1">
      <c r="A4837" s="3" t="s">
        <v>3483</v>
      </c>
      <c r="B4837" s="3" t="s">
        <v>17</v>
      </c>
      <c r="C4837" s="3" t="s">
        <v>33</v>
      </c>
      <c r="D4837" s="3">
        <v>87041.8436629314</v>
      </c>
      <c r="E4837" s="3">
        <v>30506.7010617048</v>
      </c>
      <c r="F4837" s="3">
        <v>27657.9885639412</v>
      </c>
      <c r="G4837" s="5"/>
      <c r="H4837" s="3">
        <v>-86314.8427324357</v>
      </c>
      <c r="I4837" s="3">
        <v>74084.5975860099</v>
      </c>
      <c r="J4837" s="3" t="s">
        <v>1062</v>
      </c>
      <c r="K4837" s="3">
        <v>13.0</v>
      </c>
      <c r="L4837" s="3" t="s">
        <v>34</v>
      </c>
    </row>
    <row r="4838" ht="15.75" customHeight="1">
      <c r="A4838" s="3" t="s">
        <v>3643</v>
      </c>
      <c r="B4838" s="3" t="s">
        <v>51</v>
      </c>
      <c r="C4838" s="3" t="s">
        <v>54</v>
      </c>
      <c r="D4838" s="3">
        <v>88837.5336974533</v>
      </c>
      <c r="E4838" s="3">
        <v>31291.2031773665</v>
      </c>
      <c r="F4838" s="3">
        <v>28963.5891469557</v>
      </c>
      <c r="G4838" s="3">
        <v>19647.1964186115</v>
      </c>
      <c r="H4838" s="3">
        <v>-94730.4747497867</v>
      </c>
      <c r="I4838" s="3">
        <v>74254.6203578407</v>
      </c>
      <c r="J4838" s="4">
        <v>45689.0</v>
      </c>
      <c r="K4838" s="3">
        <v>6.0</v>
      </c>
      <c r="L4838" s="3" t="s">
        <v>40</v>
      </c>
    </row>
    <row r="4839" ht="15.75" customHeight="1">
      <c r="A4839" s="3" t="s">
        <v>2074</v>
      </c>
      <c r="B4839" s="3" t="s">
        <v>29</v>
      </c>
      <c r="C4839" s="3" t="s">
        <v>14</v>
      </c>
      <c r="D4839" s="3">
        <v>70935.0482017652</v>
      </c>
      <c r="E4839" s="3">
        <v>23653.8443454829</v>
      </c>
      <c r="F4839" s="3">
        <v>16253.1834711377</v>
      </c>
      <c r="G4839" s="3">
        <v>14024.2500311516</v>
      </c>
      <c r="H4839" s="3">
        <v>-12801.8218749817</v>
      </c>
      <c r="I4839" s="3">
        <v>70037.9217563322</v>
      </c>
      <c r="J4839" s="4">
        <v>45748.0</v>
      </c>
      <c r="K4839" s="3">
        <v>9.0</v>
      </c>
      <c r="L4839" s="3" t="s">
        <v>23</v>
      </c>
    </row>
    <row r="4840" ht="15.75" customHeight="1">
      <c r="A4840" s="3" t="s">
        <v>460</v>
      </c>
      <c r="B4840" s="3" t="s">
        <v>51</v>
      </c>
      <c r="C4840" s="3" t="s">
        <v>30</v>
      </c>
      <c r="D4840" s="3">
        <v>30466.28</v>
      </c>
      <c r="E4840" s="3">
        <v>9139.88</v>
      </c>
      <c r="F4840" s="3">
        <v>714.84</v>
      </c>
      <c r="G4840" s="3">
        <v>9135.97</v>
      </c>
      <c r="H4840" s="3">
        <v>40321.0</v>
      </c>
      <c r="I4840" s="3">
        <v>31185.03</v>
      </c>
      <c r="J4840" s="4">
        <v>45870.0</v>
      </c>
      <c r="K4840" s="3">
        <v>6.0</v>
      </c>
      <c r="L4840" s="3" t="s">
        <v>42</v>
      </c>
    </row>
    <row r="4841" ht="15.75" customHeight="1">
      <c r="A4841" s="3" t="s">
        <v>3729</v>
      </c>
      <c r="B4841" s="3" t="s">
        <v>36</v>
      </c>
      <c r="C4841" s="3" t="s">
        <v>30</v>
      </c>
      <c r="D4841" s="3">
        <v>89860.5328686354</v>
      </c>
      <c r="E4841" s="3">
        <v>31724.9867001442</v>
      </c>
      <c r="F4841" s="3">
        <v>29685.5094693284</v>
      </c>
      <c r="G4841" s="3">
        <v>19966.5661832165</v>
      </c>
      <c r="H4841" s="3">
        <v>-99383.8242182047</v>
      </c>
      <c r="I4841" s="3">
        <v>74572.4789533033</v>
      </c>
      <c r="J4841" s="4">
        <v>45839.0</v>
      </c>
      <c r="K4841" s="3">
        <v>12.0</v>
      </c>
      <c r="L4841" s="3" t="s">
        <v>21</v>
      </c>
    </row>
    <row r="4842" ht="15.75" customHeight="1">
      <c r="A4842" s="3" t="s">
        <v>136</v>
      </c>
      <c r="B4842" s="3" t="s">
        <v>29</v>
      </c>
      <c r="C4842" s="3" t="s">
        <v>54</v>
      </c>
      <c r="D4842" s="3">
        <v>36084.77</v>
      </c>
      <c r="E4842" s="3">
        <v>10825.43</v>
      </c>
      <c r="F4842" s="3">
        <v>2062.09</v>
      </c>
      <c r="G4842" s="3">
        <v>2941.43</v>
      </c>
      <c r="H4842" s="3">
        <v>48972.29</v>
      </c>
      <c r="I4842" s="3">
        <v>46030.86</v>
      </c>
      <c r="J4842" s="4">
        <v>45809.0</v>
      </c>
      <c r="K4842" s="3">
        <v>16.0</v>
      </c>
      <c r="L4842" s="3" t="s">
        <v>34</v>
      </c>
    </row>
    <row r="4843" ht="15.75" customHeight="1">
      <c r="A4843" s="3" t="s">
        <v>4513</v>
      </c>
      <c r="B4843" s="3" t="s">
        <v>36</v>
      </c>
      <c r="C4843" s="3" t="s">
        <v>18</v>
      </c>
      <c r="D4843" s="3">
        <v>40415.8</v>
      </c>
      <c r="E4843" s="3">
        <v>4464.31</v>
      </c>
      <c r="F4843" s="3">
        <v>35975.4322780867</v>
      </c>
      <c r="G4843" s="3">
        <v>7714.37</v>
      </c>
      <c r="H4843" s="3">
        <v>-139927.36905474</v>
      </c>
      <c r="I4843" s="3">
        <v>67555.9195321884</v>
      </c>
      <c r="J4843" s="4">
        <v>45992.0</v>
      </c>
      <c r="K4843" s="3">
        <v>8.0</v>
      </c>
      <c r="L4843" s="3" t="s">
        <v>19</v>
      </c>
    </row>
    <row r="4844" ht="15.75" customHeight="1">
      <c r="A4844" s="3" t="s">
        <v>668</v>
      </c>
      <c r="B4844" s="3" t="s">
        <v>53</v>
      </c>
      <c r="C4844" s="3" t="s">
        <v>33</v>
      </c>
      <c r="D4844" s="3">
        <v>33566.24</v>
      </c>
      <c r="E4844" s="3">
        <v>10069.87</v>
      </c>
      <c r="F4844" s="3">
        <v>3488.8</v>
      </c>
      <c r="G4844" s="3">
        <v>9235.7</v>
      </c>
      <c r="H4844" s="3">
        <v>47124.91</v>
      </c>
      <c r="I4844" s="3">
        <v>37889.21</v>
      </c>
      <c r="J4844" s="4">
        <v>45658.0</v>
      </c>
      <c r="K4844" s="3">
        <v>10.0</v>
      </c>
      <c r="L4844" s="3" t="s">
        <v>40</v>
      </c>
    </row>
    <row r="4845" ht="15.75" customHeight="1">
      <c r="A4845" s="3" t="s">
        <v>747</v>
      </c>
      <c r="B4845" s="3" t="s">
        <v>13</v>
      </c>
      <c r="C4845" s="3" t="s">
        <v>30</v>
      </c>
      <c r="D4845" s="3">
        <v>26448.99</v>
      </c>
      <c r="E4845" s="3">
        <v>7934.7</v>
      </c>
      <c r="F4845" s="3">
        <v>2482.44</v>
      </c>
      <c r="G4845" s="3">
        <v>3934.3</v>
      </c>
      <c r="H4845" s="3">
        <v>36866.13</v>
      </c>
      <c r="I4845" s="3">
        <v>32931.83</v>
      </c>
      <c r="J4845" s="4">
        <v>45717.0</v>
      </c>
      <c r="K4845" s="3">
        <v>13.0</v>
      </c>
      <c r="L4845" s="3" t="s">
        <v>42</v>
      </c>
    </row>
    <row r="4846" ht="15.75" customHeight="1">
      <c r="A4846" s="3" t="s">
        <v>1474</v>
      </c>
      <c r="B4846" s="3" t="s">
        <v>17</v>
      </c>
      <c r="C4846" s="3" t="s">
        <v>18</v>
      </c>
      <c r="D4846" s="3">
        <v>64111.4260705819</v>
      </c>
      <c r="E4846" s="3">
        <v>20760.4159541893</v>
      </c>
      <c r="F4846" s="3">
        <v>11437.821320843</v>
      </c>
      <c r="G4846" s="3">
        <v>11893.9857502227</v>
      </c>
      <c r="H4846" s="3">
        <v>18237.0091537205</v>
      </c>
      <c r="I4846" s="3">
        <v>67917.7372951085</v>
      </c>
      <c r="J4846" s="4">
        <v>45658.0</v>
      </c>
      <c r="K4846" s="3">
        <v>17.0</v>
      </c>
      <c r="L4846" s="3" t="s">
        <v>34</v>
      </c>
    </row>
    <row r="4847" ht="15.75" customHeight="1">
      <c r="A4847" s="3" t="s">
        <v>3428</v>
      </c>
      <c r="B4847" s="3" t="s">
        <v>51</v>
      </c>
      <c r="C4847" s="3" t="s">
        <v>30</v>
      </c>
      <c r="D4847" s="3">
        <v>86410.6314083721</v>
      </c>
      <c r="E4847" s="3">
        <v>30239.0473987143</v>
      </c>
      <c r="F4847" s="3">
        <v>27212.5483650303</v>
      </c>
      <c r="G4847" s="3">
        <v>18872.5548619101</v>
      </c>
      <c r="H4847" s="3">
        <v>-83443.6271029857</v>
      </c>
      <c r="I4847" s="3">
        <v>73919.5719861861</v>
      </c>
      <c r="J4847" s="3" t="s">
        <v>1031</v>
      </c>
      <c r="K4847" s="3">
        <v>19.0</v>
      </c>
      <c r="L4847" s="3" t="s">
        <v>40</v>
      </c>
    </row>
    <row r="4848" ht="15.75" customHeight="1">
      <c r="A4848" s="3" t="s">
        <v>4444</v>
      </c>
      <c r="B4848" s="3" t="s">
        <v>25</v>
      </c>
      <c r="C4848" s="3" t="s">
        <v>26</v>
      </c>
      <c r="D4848" s="3">
        <v>49744.29</v>
      </c>
      <c r="E4848" s="3">
        <v>26511.89</v>
      </c>
      <c r="F4848" s="3">
        <v>35414.7920277334</v>
      </c>
      <c r="G4848" s="3">
        <v>1767.16</v>
      </c>
      <c r="H4848" s="3">
        <v>-136313.597659054</v>
      </c>
      <c r="I4848" s="3">
        <v>67309.0718995419</v>
      </c>
      <c r="J4848" s="4">
        <v>45778.0</v>
      </c>
      <c r="K4848" s="3">
        <v>22.0</v>
      </c>
      <c r="L4848" s="3" t="s">
        <v>40</v>
      </c>
    </row>
    <row r="4849" ht="15.75" customHeight="1">
      <c r="A4849" s="3" t="s">
        <v>2908</v>
      </c>
      <c r="B4849" s="3" t="s">
        <v>53</v>
      </c>
      <c r="C4849" s="3" t="s">
        <v>14</v>
      </c>
      <c r="D4849" s="3">
        <v>80424.9979599658</v>
      </c>
      <c r="E4849" s="3">
        <v>27700.9523186321</v>
      </c>
      <c r="F4849" s="3">
        <v>22988.5464788068</v>
      </c>
      <c r="G4849" s="3">
        <v>17003.9019839023</v>
      </c>
      <c r="H4849" s="3">
        <v>-56216.5823409657</v>
      </c>
      <c r="I4849" s="3">
        <v>72313.6540408673</v>
      </c>
      <c r="J4849" s="4">
        <v>45931.0</v>
      </c>
      <c r="K4849" s="3">
        <v>15.0</v>
      </c>
      <c r="L4849" s="3" t="s">
        <v>15</v>
      </c>
    </row>
    <row r="4850" ht="15.75" customHeight="1">
      <c r="A4850" s="3" t="s">
        <v>2153</v>
      </c>
      <c r="B4850" s="3" t="s">
        <v>17</v>
      </c>
      <c r="C4850" s="3" t="s">
        <v>54</v>
      </c>
      <c r="D4850" s="3">
        <v>71903.6325234164</v>
      </c>
      <c r="E4850" s="3">
        <v>24064.5542766235</v>
      </c>
      <c r="F4850" s="3">
        <v>16936.703776363</v>
      </c>
      <c r="G4850" s="5"/>
      <c r="H4850" s="3">
        <v>-17207.6527546547</v>
      </c>
      <c r="I4850" s="3">
        <v>70338.8729796956</v>
      </c>
      <c r="J4850" s="4">
        <v>45809.0</v>
      </c>
      <c r="K4850" s="3">
        <v>10.0</v>
      </c>
      <c r="L4850" s="3" t="s">
        <v>21</v>
      </c>
    </row>
    <row r="4851" ht="15.75" customHeight="1">
      <c r="A4851" s="3" t="s">
        <v>998</v>
      </c>
      <c r="B4851" s="3" t="s">
        <v>17</v>
      </c>
      <c r="C4851" s="3" t="s">
        <v>33</v>
      </c>
      <c r="D4851" s="3">
        <v>27006.96</v>
      </c>
      <c r="E4851" s="3">
        <v>8102.09</v>
      </c>
      <c r="F4851" s="3">
        <v>3762.21</v>
      </c>
      <c r="G4851" s="3">
        <v>2197.95</v>
      </c>
      <c r="H4851" s="3">
        <v>38871.26</v>
      </c>
      <c r="I4851" s="3">
        <v>36673.31</v>
      </c>
      <c r="J4851" s="4">
        <v>45870.0</v>
      </c>
      <c r="K4851" s="3">
        <v>1.0</v>
      </c>
      <c r="L4851" s="3" t="s">
        <v>38</v>
      </c>
    </row>
    <row r="4852" ht="15.75" customHeight="1">
      <c r="A4852" s="3" t="s">
        <v>2408</v>
      </c>
      <c r="B4852" s="3" t="s">
        <v>36</v>
      </c>
      <c r="C4852" s="3" t="s">
        <v>30</v>
      </c>
      <c r="D4852" s="3">
        <v>74820.2684582762</v>
      </c>
      <c r="E4852" s="3">
        <v>25324.3723800097</v>
      </c>
      <c r="F4852" s="3">
        <v>19033.3447126157</v>
      </c>
      <c r="G4852" s="3">
        <v>15254.1633799495</v>
      </c>
      <c r="H4852" s="3">
        <v>-30722.1677001657</v>
      </c>
      <c r="I4852" s="3">
        <v>70572.1947146628</v>
      </c>
      <c r="J4852" s="4">
        <v>45931.0</v>
      </c>
      <c r="K4852" s="3">
        <v>6.0</v>
      </c>
      <c r="L4852" s="3" t="s">
        <v>31</v>
      </c>
    </row>
    <row r="4853" ht="15.75" customHeight="1">
      <c r="A4853" s="3" t="s">
        <v>2681</v>
      </c>
      <c r="B4853" s="3" t="s">
        <v>51</v>
      </c>
      <c r="C4853" s="3" t="s">
        <v>30</v>
      </c>
      <c r="D4853" s="3">
        <v>77911.0319116351</v>
      </c>
      <c r="E4853" s="3">
        <v>26634.9523849976</v>
      </c>
      <c r="F4853" s="3">
        <v>21214.465686593</v>
      </c>
      <c r="G4853" s="3">
        <v>16219.067775139</v>
      </c>
      <c r="H4853" s="3">
        <v>-44781.2235409177</v>
      </c>
      <c r="I4853" s="3">
        <v>71532.5334498901</v>
      </c>
      <c r="J4853" s="4">
        <v>45717.0</v>
      </c>
      <c r="K4853" s="3">
        <v>11.0</v>
      </c>
      <c r="L4853" s="3" t="s">
        <v>42</v>
      </c>
    </row>
    <row r="4854" ht="15.75" customHeight="1">
      <c r="A4854" s="3" t="s">
        <v>2517</v>
      </c>
      <c r="B4854" s="3" t="s">
        <v>36</v>
      </c>
      <c r="C4854" s="3" t="s">
        <v>54</v>
      </c>
      <c r="D4854" s="3">
        <v>76039.1610877699</v>
      </c>
      <c r="E4854" s="3">
        <v>25841.220832681</v>
      </c>
      <c r="F4854" s="3">
        <v>19893.5050967194</v>
      </c>
      <c r="G4854" s="3">
        <v>15634.6890569257</v>
      </c>
      <c r="H4854" s="3">
        <v>-36266.5840880677</v>
      </c>
      <c r="I4854" s="3">
        <v>70950.919849682</v>
      </c>
      <c r="J4854" s="4">
        <v>45962.0</v>
      </c>
      <c r="K4854" s="3">
        <v>3.0</v>
      </c>
      <c r="L4854" s="3" t="s">
        <v>38</v>
      </c>
    </row>
    <row r="4855" ht="15.75" customHeight="1">
      <c r="A4855" s="3" t="s">
        <v>1447</v>
      </c>
      <c r="B4855" s="3" t="s">
        <v>25</v>
      </c>
      <c r="C4855" s="3" t="s">
        <v>54</v>
      </c>
      <c r="D4855" s="3">
        <v>63817.5858831147</v>
      </c>
      <c r="E4855" s="3">
        <v>20635.8185593489</v>
      </c>
      <c r="F4855" s="3">
        <v>11230.4612282466</v>
      </c>
      <c r="G4855" s="3">
        <v>11802.251881666</v>
      </c>
      <c r="H4855" s="3">
        <v>19573.6095329469</v>
      </c>
      <c r="I4855" s="3">
        <v>67826.4374857735</v>
      </c>
      <c r="J4855" s="4">
        <v>45992.0</v>
      </c>
      <c r="K4855" s="3">
        <v>17.0</v>
      </c>
      <c r="L4855" s="3" t="s">
        <v>42</v>
      </c>
    </row>
    <row r="4856" ht="15.75" customHeight="1">
      <c r="A4856" s="3" t="s">
        <v>325</v>
      </c>
      <c r="B4856" s="3" t="s">
        <v>29</v>
      </c>
      <c r="C4856" s="3" t="s">
        <v>14</v>
      </c>
      <c r="D4856" s="3">
        <v>24042.07</v>
      </c>
      <c r="E4856" s="3">
        <v>7212.62</v>
      </c>
      <c r="F4856" s="3">
        <v>3125.28</v>
      </c>
      <c r="G4856" s="3">
        <v>5707.93</v>
      </c>
      <c r="H4856" s="3">
        <v>34379.97</v>
      </c>
      <c r="I4856" s="3">
        <v>28672.04</v>
      </c>
      <c r="J4856" s="4">
        <v>45717.0</v>
      </c>
      <c r="K4856" s="3">
        <v>1.0</v>
      </c>
      <c r="L4856" s="3" t="s">
        <v>42</v>
      </c>
    </row>
    <row r="4857" ht="15.75" customHeight="1">
      <c r="A4857" s="3" t="s">
        <v>3844</v>
      </c>
      <c r="B4857" s="3" t="s">
        <v>36</v>
      </c>
      <c r="C4857" s="3" t="s">
        <v>54</v>
      </c>
      <c r="D4857" s="3">
        <v>91220.9041069096</v>
      </c>
      <c r="E4857" s="3">
        <v>32301.826491072</v>
      </c>
      <c r="F4857" s="3">
        <v>30645.5098980156</v>
      </c>
      <c r="G4857" s="3">
        <v>20391.2600191274</v>
      </c>
      <c r="H4857" s="3">
        <v>-105571.788936846</v>
      </c>
      <c r="I4857" s="3">
        <v>74995.1632557801</v>
      </c>
      <c r="J4857" s="3" t="s">
        <v>1542</v>
      </c>
      <c r="K4857" s="3">
        <v>5.0</v>
      </c>
      <c r="L4857" s="3" t="s">
        <v>38</v>
      </c>
    </row>
    <row r="4858" ht="15.75" customHeight="1">
      <c r="A4858" s="3" t="s">
        <v>1637</v>
      </c>
      <c r="B4858" s="3" t="s">
        <v>51</v>
      </c>
      <c r="C4858" s="3" t="s">
        <v>30</v>
      </c>
      <c r="D4858" s="3">
        <v>65939.7650148224</v>
      </c>
      <c r="E4858" s="3">
        <v>21535.6886331962</v>
      </c>
      <c r="F4858" s="3">
        <v>12728.0618969985</v>
      </c>
      <c r="G4858" s="3">
        <v>12464.7742656869</v>
      </c>
      <c r="H4858" s="3">
        <v>9920.38457186717</v>
      </c>
      <c r="I4858" s="3">
        <v>68485.8249976373</v>
      </c>
      <c r="J4858" s="4">
        <v>45901.0</v>
      </c>
      <c r="K4858" s="3">
        <v>4.0</v>
      </c>
      <c r="L4858" s="3" t="s">
        <v>27</v>
      </c>
    </row>
    <row r="4859" ht="15.75" customHeight="1">
      <c r="A4859" s="3" t="s">
        <v>2960</v>
      </c>
      <c r="B4859" s="3" t="s">
        <v>25</v>
      </c>
      <c r="C4859" s="3" t="s">
        <v>18</v>
      </c>
      <c r="D4859" s="3">
        <v>81001.795364994</v>
      </c>
      <c r="E4859" s="3">
        <v>27945.5323899855</v>
      </c>
      <c r="F4859" s="3">
        <v>23395.5866605702</v>
      </c>
      <c r="G4859" s="3">
        <v>17183.9721703285</v>
      </c>
      <c r="H4859" s="3">
        <v>-58840.2793816697</v>
      </c>
      <c r="I4859" s="3">
        <v>72492.8721851174</v>
      </c>
      <c r="J4859" s="4">
        <v>45717.0</v>
      </c>
      <c r="K4859" s="3">
        <v>15.0</v>
      </c>
      <c r="L4859" s="3" t="s">
        <v>23</v>
      </c>
    </row>
    <row r="4860" ht="15.75" customHeight="1">
      <c r="A4860" s="3" t="s">
        <v>711</v>
      </c>
      <c r="B4860" s="3" t="s">
        <v>51</v>
      </c>
      <c r="C4860" s="3" t="s">
        <v>33</v>
      </c>
      <c r="D4860" s="3">
        <v>31344.99</v>
      </c>
      <c r="E4860" s="3">
        <v>9403.5</v>
      </c>
      <c r="F4860" s="3">
        <v>29.55</v>
      </c>
      <c r="G4860" s="3">
        <v>2572.12</v>
      </c>
      <c r="H4860" s="3">
        <v>40778.04</v>
      </c>
      <c r="I4860" s="3">
        <v>38205.92</v>
      </c>
      <c r="J4860" s="4">
        <v>45717.0</v>
      </c>
      <c r="K4860" s="3">
        <v>13.0</v>
      </c>
      <c r="L4860" s="3" t="s">
        <v>19</v>
      </c>
    </row>
    <row r="4861" ht="15.75" customHeight="1">
      <c r="A4861" s="3" t="s">
        <v>1518</v>
      </c>
      <c r="B4861" s="3" t="s">
        <v>29</v>
      </c>
      <c r="C4861" s="3" t="s">
        <v>14</v>
      </c>
      <c r="D4861" s="3">
        <v>64612.0426862668</v>
      </c>
      <c r="E4861" s="3">
        <v>20972.6929972507</v>
      </c>
      <c r="F4861" s="3">
        <v>11791.1014785999</v>
      </c>
      <c r="G4861" s="5"/>
      <c r="H4861" s="3">
        <v>15959.8381372606</v>
      </c>
      <c r="I4861" s="3">
        <v>68073.28511842</v>
      </c>
      <c r="J4861" s="4">
        <v>45901.0</v>
      </c>
      <c r="K4861" s="3">
        <v>13.0</v>
      </c>
      <c r="L4861" s="3" t="s">
        <v>21</v>
      </c>
    </row>
    <row r="4862" ht="15.75" customHeight="1">
      <c r="A4862" s="3" t="s">
        <v>803</v>
      </c>
      <c r="B4862" s="3" t="s">
        <v>36</v>
      </c>
      <c r="C4862" s="3" t="s">
        <v>54</v>
      </c>
      <c r="D4862" s="3">
        <v>41315.76</v>
      </c>
      <c r="E4862" s="3">
        <v>12394.73</v>
      </c>
      <c r="F4862" s="3">
        <v>3342.02</v>
      </c>
      <c r="G4862" s="3">
        <v>3921.74</v>
      </c>
      <c r="H4862" s="3">
        <v>57052.51</v>
      </c>
      <c r="I4862" s="3">
        <v>53130.77</v>
      </c>
      <c r="J4862" s="4">
        <v>45839.0</v>
      </c>
      <c r="K4862" s="3">
        <v>23.0</v>
      </c>
      <c r="L4862" s="3" t="s">
        <v>31</v>
      </c>
    </row>
    <row r="4863" ht="15.75" customHeight="1">
      <c r="A4863" s="3" t="s">
        <v>2730</v>
      </c>
      <c r="B4863" s="3" t="s">
        <v>51</v>
      </c>
      <c r="C4863" s="3" t="s">
        <v>37</v>
      </c>
      <c r="D4863" s="3">
        <v>78466.063376851</v>
      </c>
      <c r="E4863" s="3">
        <v>26870.3030196961</v>
      </c>
      <c r="F4863" s="3">
        <v>21606.1458614973</v>
      </c>
      <c r="G4863" s="3">
        <v>16392.3428601906</v>
      </c>
      <c r="H4863" s="3">
        <v>62073.7205166604</v>
      </c>
      <c r="I4863" s="3">
        <v>67073.7205166604</v>
      </c>
      <c r="J4863" s="4">
        <v>45839.0</v>
      </c>
      <c r="K4863" s="3">
        <v>6.0</v>
      </c>
      <c r="L4863" s="3" t="s">
        <v>15</v>
      </c>
    </row>
    <row r="4864" ht="15.75" customHeight="1">
      <c r="A4864" s="3" t="s">
        <v>1545</v>
      </c>
      <c r="B4864" s="3" t="s">
        <v>53</v>
      </c>
      <c r="C4864" s="3" t="s">
        <v>37</v>
      </c>
      <c r="D4864" s="3">
        <v>64916.7658436402</v>
      </c>
      <c r="E4864" s="3">
        <v>21101.9051104185</v>
      </c>
      <c r="F4864" s="3">
        <v>12006.1415746258</v>
      </c>
      <c r="G4864" s="3">
        <v>12145.4045010819</v>
      </c>
      <c r="H4864" s="3">
        <v>14573.7340402851</v>
      </c>
      <c r="I4864" s="3">
        <v>68167.9664021748</v>
      </c>
      <c r="J4864" s="4">
        <v>45689.0</v>
      </c>
      <c r="K4864" s="3">
        <v>5.0</v>
      </c>
      <c r="L4864" s="3" t="s">
        <v>15</v>
      </c>
    </row>
    <row r="4865" ht="15.75" customHeight="1">
      <c r="A4865" s="3" t="s">
        <v>1149</v>
      </c>
      <c r="B4865" s="3" t="s">
        <v>13</v>
      </c>
      <c r="C4865" s="3" t="s">
        <v>30</v>
      </c>
      <c r="D4865" s="3">
        <v>58828.16</v>
      </c>
      <c r="E4865" s="3">
        <v>13790.36</v>
      </c>
      <c r="F4865" s="3">
        <v>15567.44</v>
      </c>
      <c r="G4865" s="3">
        <v>15528.07</v>
      </c>
      <c r="H4865" s="3">
        <v>88185.96</v>
      </c>
      <c r="I4865" s="3">
        <v>67471.382671693</v>
      </c>
      <c r="J4865" s="3" t="s">
        <v>1016</v>
      </c>
      <c r="K4865" s="3">
        <v>14.0</v>
      </c>
      <c r="L4865" s="3" t="s">
        <v>15</v>
      </c>
    </row>
    <row r="4866" ht="15.75" customHeight="1">
      <c r="A4866" s="3" t="s">
        <v>1300</v>
      </c>
      <c r="B4866" s="3" t="s">
        <v>13</v>
      </c>
      <c r="C4866" s="3" t="s">
        <v>18</v>
      </c>
      <c r="D4866" s="3">
        <v>62119.8425777485</v>
      </c>
      <c r="E4866" s="3">
        <v>19915.922500271</v>
      </c>
      <c r="F4866" s="3">
        <v>10032.380693245</v>
      </c>
      <c r="G4866" s="3">
        <v>11272.2339744492</v>
      </c>
      <c r="H4866" s="3">
        <v>27296.1895018107</v>
      </c>
      <c r="I4866" s="3">
        <v>67298.9274762825</v>
      </c>
      <c r="J4866" s="4">
        <v>45778.0</v>
      </c>
      <c r="K4866" s="3">
        <v>9.0</v>
      </c>
      <c r="L4866" s="3" t="s">
        <v>23</v>
      </c>
    </row>
    <row r="4867" ht="15.75" customHeight="1">
      <c r="A4867" s="3" t="s">
        <v>2210</v>
      </c>
      <c r="B4867" s="3" t="s">
        <v>53</v>
      </c>
      <c r="C4867" s="3" t="s">
        <v>30</v>
      </c>
      <c r="D4867" s="3">
        <v>72578.3766576004</v>
      </c>
      <c r="E4867" s="3">
        <v>24350.6668129237</v>
      </c>
      <c r="F4867" s="3">
        <v>17412.8639889918</v>
      </c>
      <c r="G4867" s="3">
        <v>14537.280184932</v>
      </c>
      <c r="H4867" s="3">
        <v>99456.3177962555</v>
      </c>
      <c r="I4867" s="3">
        <v>70393.575006274</v>
      </c>
      <c r="J4867" s="3" t="s">
        <v>1062</v>
      </c>
      <c r="K4867" s="3">
        <v>11.0</v>
      </c>
      <c r="L4867" s="3" t="s">
        <v>19</v>
      </c>
    </row>
    <row r="4868" ht="15.75" customHeight="1">
      <c r="A4868" s="3" t="s">
        <v>657</v>
      </c>
      <c r="B4868" s="3" t="s">
        <v>13</v>
      </c>
      <c r="C4868" s="3" t="s">
        <v>37</v>
      </c>
      <c r="D4868" s="3">
        <v>51975.49</v>
      </c>
      <c r="E4868" s="3">
        <v>15592.65</v>
      </c>
      <c r="F4868" s="3">
        <v>3856.79</v>
      </c>
      <c r="G4868" s="3">
        <v>5947.74</v>
      </c>
      <c r="H4868" s="3">
        <v>71424.93</v>
      </c>
      <c r="I4868" s="3">
        <v>65477.19</v>
      </c>
      <c r="J4868" s="4">
        <v>45717.0</v>
      </c>
      <c r="K4868" s="3">
        <v>22.0</v>
      </c>
      <c r="L4868" s="3" t="s">
        <v>38</v>
      </c>
    </row>
    <row r="4869" ht="15.75" customHeight="1">
      <c r="A4869" s="3" t="s">
        <v>2158</v>
      </c>
      <c r="B4869" s="3" t="s">
        <v>13</v>
      </c>
      <c r="C4869" s="3" t="s">
        <v>30</v>
      </c>
      <c r="D4869" s="3">
        <v>71958.0473729473</v>
      </c>
      <c r="E4869" s="3">
        <v>24087.6278682606</v>
      </c>
      <c r="F4869" s="3">
        <v>16975.1037935105</v>
      </c>
      <c r="G4869" s="3">
        <v>14343.6197957566</v>
      </c>
      <c r="H4869" s="3">
        <v>-17455.1713433997</v>
      </c>
      <c r="I4869" s="3">
        <v>70355.7803517947</v>
      </c>
      <c r="J4869" s="4">
        <v>45658.0</v>
      </c>
      <c r="K4869" s="3">
        <v>25.0</v>
      </c>
      <c r="L4869" s="3" t="s">
        <v>38</v>
      </c>
    </row>
    <row r="4870" ht="15.75" customHeight="1">
      <c r="A4870" s="3" t="s">
        <v>501</v>
      </c>
      <c r="B4870" s="3" t="s">
        <v>36</v>
      </c>
      <c r="C4870" s="3" t="s">
        <v>33</v>
      </c>
      <c r="D4870" s="3">
        <v>27914.48</v>
      </c>
      <c r="E4870" s="3">
        <v>8374.34</v>
      </c>
      <c r="F4870" s="3">
        <v>3879.88</v>
      </c>
      <c r="G4870" s="3">
        <v>4111.86</v>
      </c>
      <c r="H4870" s="3">
        <v>40168.7</v>
      </c>
      <c r="I4870" s="3">
        <v>36056.84</v>
      </c>
      <c r="J4870" s="4">
        <v>45931.0</v>
      </c>
      <c r="K4870" s="3">
        <v>9.0</v>
      </c>
      <c r="L4870" s="3" t="s">
        <v>34</v>
      </c>
    </row>
    <row r="4871" ht="15.75" customHeight="1">
      <c r="A4871" s="3" t="s">
        <v>2392</v>
      </c>
      <c r="B4871" s="3" t="s">
        <v>13</v>
      </c>
      <c r="C4871" s="3" t="s">
        <v>33</v>
      </c>
      <c r="D4871" s="3">
        <v>74591.7260902461</v>
      </c>
      <c r="E4871" s="3">
        <v>25227.4632951339</v>
      </c>
      <c r="F4871" s="3">
        <v>18872.0646405963</v>
      </c>
      <c r="G4871" s="3">
        <v>15182.8148155165</v>
      </c>
      <c r="H4871" s="3">
        <v>-29682.5896274347</v>
      </c>
      <c r="I4871" s="3">
        <v>70501.1837518467</v>
      </c>
      <c r="J4871" s="4">
        <v>45658.0</v>
      </c>
      <c r="K4871" s="3">
        <v>16.0</v>
      </c>
      <c r="L4871" s="3" t="s">
        <v>27</v>
      </c>
    </row>
    <row r="4872" ht="15.75" customHeight="1">
      <c r="A4872" s="3" t="s">
        <v>2860</v>
      </c>
      <c r="B4872" s="3" t="s">
        <v>51</v>
      </c>
      <c r="C4872" s="3" t="s">
        <v>26</v>
      </c>
      <c r="D4872" s="3">
        <v>79891.7324345623</v>
      </c>
      <c r="E4872" s="3">
        <v>27474.8311205884</v>
      </c>
      <c r="F4872" s="3">
        <v>22612.2263107615</v>
      </c>
      <c r="G4872" s="3">
        <v>16837.4220002252</v>
      </c>
      <c r="H4872" s="3">
        <v>-53790.9001712587</v>
      </c>
      <c r="I4872" s="3">
        <v>72147.9617942963</v>
      </c>
      <c r="J4872" s="4">
        <v>45748.0</v>
      </c>
      <c r="K4872" s="3">
        <v>11.0</v>
      </c>
      <c r="L4872" s="3" t="s">
        <v>19</v>
      </c>
    </row>
    <row r="4873" ht="15.75" customHeight="1">
      <c r="A4873" s="3" t="s">
        <v>1782</v>
      </c>
      <c r="B4873" s="3" t="s">
        <v>36</v>
      </c>
      <c r="C4873" s="3" t="s">
        <v>54</v>
      </c>
      <c r="D4873" s="3">
        <v>67626.6253502824</v>
      </c>
      <c r="E4873" s="3">
        <v>22250.9699739466</v>
      </c>
      <c r="F4873" s="3">
        <v>13918.4624285706</v>
      </c>
      <c r="G4873" s="3">
        <v>12991.3946222164</v>
      </c>
      <c r="H4873" s="3">
        <v>2247.30832075246</v>
      </c>
      <c r="I4873" s="3">
        <v>69009.9535327086</v>
      </c>
      <c r="J4873" s="4">
        <v>45962.0</v>
      </c>
      <c r="K4873" s="3">
        <v>22.0</v>
      </c>
      <c r="L4873" s="3" t="s">
        <v>42</v>
      </c>
    </row>
    <row r="4874" ht="15.75" customHeight="1">
      <c r="A4874" s="3" t="s">
        <v>3945</v>
      </c>
      <c r="B4874" s="3" t="s">
        <v>36</v>
      </c>
      <c r="C4874" s="3" t="s">
        <v>33</v>
      </c>
      <c r="D4874" s="3">
        <v>92396.2648567785</v>
      </c>
      <c r="E4874" s="3">
        <v>32800.2160704335</v>
      </c>
      <c r="F4874" s="3">
        <v>31474.9502684013</v>
      </c>
      <c r="G4874" s="3">
        <v>20758.1954933544</v>
      </c>
      <c r="H4874" s="3">
        <v>-110918.190453752</v>
      </c>
      <c r="I4874" s="3">
        <v>75360.36249312</v>
      </c>
      <c r="J4874" s="4">
        <v>45962.0</v>
      </c>
      <c r="K4874" s="3">
        <v>21.0</v>
      </c>
      <c r="L4874" s="3" t="s">
        <v>31</v>
      </c>
    </row>
    <row r="4875" ht="15.75" customHeight="1">
      <c r="A4875" s="3" t="s">
        <v>2439</v>
      </c>
      <c r="B4875" s="3" t="s">
        <v>29</v>
      </c>
      <c r="C4875" s="3" t="s">
        <v>33</v>
      </c>
      <c r="D4875" s="3">
        <v>75190.2894350868</v>
      </c>
      <c r="E4875" s="3">
        <v>25481.2728031421</v>
      </c>
      <c r="F4875" s="3">
        <v>19294.4648292186</v>
      </c>
      <c r="G4875" s="3">
        <v>15369.6801033173</v>
      </c>
      <c r="H4875" s="3">
        <v>-32405.2941036357</v>
      </c>
      <c r="I4875" s="3">
        <v>70687.1648449365</v>
      </c>
      <c r="J4875" s="4">
        <v>45717.0</v>
      </c>
      <c r="K4875" s="3">
        <v>21.0</v>
      </c>
      <c r="L4875" s="3" t="s">
        <v>42</v>
      </c>
    </row>
    <row r="4876" ht="15.75" customHeight="1">
      <c r="A4876" s="3" t="s">
        <v>1801</v>
      </c>
      <c r="B4876" s="3" t="s">
        <v>53</v>
      </c>
      <c r="C4876" s="3" t="s">
        <v>33</v>
      </c>
      <c r="D4876" s="3">
        <v>67833.4017785</v>
      </c>
      <c r="E4876" s="3">
        <v>22338.6496221676</v>
      </c>
      <c r="F4876" s="3">
        <v>14064.382493731</v>
      </c>
      <c r="G4876" s="3">
        <v>13055.9480852748</v>
      </c>
      <c r="H4876" s="3">
        <v>1306.73768351907</v>
      </c>
      <c r="I4876" s="3">
        <v>69074.201546685</v>
      </c>
      <c r="J4876" s="4">
        <v>45992.0</v>
      </c>
      <c r="K4876" s="3">
        <v>15.0</v>
      </c>
      <c r="L4876" s="3" t="s">
        <v>40</v>
      </c>
    </row>
    <row r="4877" ht="15.75" customHeight="1">
      <c r="A4877" s="3" t="s">
        <v>513</v>
      </c>
      <c r="B4877" s="3" t="s">
        <v>51</v>
      </c>
      <c r="C4877" s="3" t="s">
        <v>37</v>
      </c>
      <c r="D4877" s="3">
        <v>58443.35</v>
      </c>
      <c r="E4877" s="3">
        <v>17533.0</v>
      </c>
      <c r="F4877" s="3">
        <v>6522.2</v>
      </c>
      <c r="G4877" s="3">
        <v>12056.82</v>
      </c>
      <c r="H4877" s="3">
        <v>82498.55</v>
      </c>
      <c r="I4877" s="3">
        <v>70441.73</v>
      </c>
      <c r="J4877" s="4">
        <v>45748.0</v>
      </c>
      <c r="K4877" s="3">
        <v>19.0</v>
      </c>
      <c r="L4877" s="3" t="s">
        <v>40</v>
      </c>
    </row>
    <row r="4878" ht="15.75" customHeight="1">
      <c r="A4878" s="3" t="s">
        <v>3877</v>
      </c>
      <c r="B4878" s="3" t="s">
        <v>13</v>
      </c>
      <c r="C4878" s="3" t="s">
        <v>18</v>
      </c>
      <c r="D4878" s="3">
        <v>91601.8080536264</v>
      </c>
      <c r="E4878" s="3">
        <v>32463.3416325317</v>
      </c>
      <c r="F4878" s="3">
        <v>30914.310018048</v>
      </c>
      <c r="G4878" s="3">
        <v>20510.1742931824</v>
      </c>
      <c r="H4878" s="3">
        <v>-107304.419058065</v>
      </c>
      <c r="I4878" s="3">
        <v>75113.5148604736</v>
      </c>
      <c r="J4878" s="4">
        <v>45839.0</v>
      </c>
      <c r="K4878" s="3">
        <v>3.0</v>
      </c>
      <c r="L4878" s="3" t="s">
        <v>21</v>
      </c>
    </row>
    <row r="4879" ht="15.75" customHeight="1">
      <c r="A4879" s="3" t="s">
        <v>1512</v>
      </c>
      <c r="B4879" s="3" t="s">
        <v>25</v>
      </c>
      <c r="C4879" s="3" t="s">
        <v>14</v>
      </c>
      <c r="D4879" s="3">
        <v>64535.8618969235</v>
      </c>
      <c r="E4879" s="3">
        <v>20940.3899689587</v>
      </c>
      <c r="F4879" s="3">
        <v>11737.3414545934</v>
      </c>
      <c r="G4879" s="3">
        <v>12026.4902270269</v>
      </c>
      <c r="H4879" s="3">
        <v>16306.3641615045</v>
      </c>
      <c r="I4879" s="3">
        <v>68049.6147974813</v>
      </c>
      <c r="J4879" s="4">
        <v>45962.0</v>
      </c>
      <c r="K4879" s="3">
        <v>6.0</v>
      </c>
      <c r="L4879" s="3" t="s">
        <v>31</v>
      </c>
    </row>
    <row r="4880" ht="15.75" customHeight="1">
      <c r="A4880" s="3" t="s">
        <v>3464</v>
      </c>
      <c r="B4880" s="3" t="s">
        <v>25</v>
      </c>
      <c r="C4880" s="3" t="s">
        <v>14</v>
      </c>
      <c r="D4880" s="3">
        <v>86824.1842648075</v>
      </c>
      <c r="E4880" s="3">
        <v>30414.4066951563</v>
      </c>
      <c r="F4880" s="3">
        <v>27504.3884953512</v>
      </c>
      <c r="G4880" s="3">
        <v>19001.661788027</v>
      </c>
      <c r="H4880" s="3">
        <v>-85324.7683774527</v>
      </c>
      <c r="I4880" s="3">
        <v>74027.6922067603</v>
      </c>
      <c r="J4880" s="3" t="s">
        <v>1026</v>
      </c>
      <c r="K4880" s="3">
        <v>7.0</v>
      </c>
      <c r="L4880" s="3" t="s">
        <v>19</v>
      </c>
    </row>
    <row r="4881" ht="15.75" customHeight="1">
      <c r="A4881" s="3" t="s">
        <v>1260</v>
      </c>
      <c r="B4881" s="3" t="s">
        <v>13</v>
      </c>
      <c r="C4881" s="3" t="s">
        <v>54</v>
      </c>
      <c r="D4881" s="3">
        <v>61684.5237815008</v>
      </c>
      <c r="E4881" s="3">
        <v>19731.3337671741</v>
      </c>
      <c r="F4881" s="3">
        <v>9725.1805560651</v>
      </c>
      <c r="G4881" s="3">
        <v>11136.3319469577</v>
      </c>
      <c r="H4881" s="3">
        <v>29276.3382117757</v>
      </c>
      <c r="I4881" s="3">
        <v>67163.6684994899</v>
      </c>
      <c r="J4881" s="4">
        <v>45809.0</v>
      </c>
      <c r="K4881" s="3">
        <v>24.0</v>
      </c>
      <c r="L4881" s="3" t="s">
        <v>23</v>
      </c>
    </row>
    <row r="4882" ht="15.75" customHeight="1">
      <c r="A4882" s="3" t="s">
        <v>571</v>
      </c>
      <c r="B4882" s="3" t="s">
        <v>13</v>
      </c>
      <c r="C4882" s="3" t="s">
        <v>14</v>
      </c>
      <c r="D4882" s="3">
        <v>23643.37</v>
      </c>
      <c r="E4882" s="3">
        <v>7093.01</v>
      </c>
      <c r="F4882" s="3">
        <v>3753.52</v>
      </c>
      <c r="G4882" s="3">
        <v>1697.65</v>
      </c>
      <c r="H4882" s="3">
        <v>34489.9</v>
      </c>
      <c r="I4882" s="3">
        <v>32792.25</v>
      </c>
      <c r="J4882" s="4">
        <v>45839.0</v>
      </c>
      <c r="K4882" s="3">
        <v>9.0</v>
      </c>
      <c r="L4882" s="3" t="s">
        <v>38</v>
      </c>
    </row>
    <row r="4883" ht="15.75" customHeight="1">
      <c r="A4883" s="3" t="s">
        <v>1564</v>
      </c>
      <c r="B4883" s="3" t="s">
        <v>53</v>
      </c>
      <c r="C4883" s="3" t="s">
        <v>33</v>
      </c>
      <c r="D4883" s="3">
        <v>65123.5422718579</v>
      </c>
      <c r="E4883" s="3">
        <v>21189.5847586395</v>
      </c>
      <c r="F4883" s="3">
        <v>12152.0616397862</v>
      </c>
      <c r="G4883" s="5"/>
      <c r="H4883" s="3">
        <v>13633.1634030517</v>
      </c>
      <c r="I4883" s="3">
        <v>68232.2144161513</v>
      </c>
      <c r="J4883" s="4">
        <v>45901.0</v>
      </c>
      <c r="K4883" s="3">
        <v>5.0</v>
      </c>
      <c r="L4883" s="3" t="s">
        <v>42</v>
      </c>
    </row>
    <row r="4884" ht="15.75" customHeight="1">
      <c r="A4884" s="3" t="s">
        <v>3692</v>
      </c>
      <c r="B4884" s="3" t="s">
        <v>53</v>
      </c>
      <c r="C4884" s="3" t="s">
        <v>37</v>
      </c>
      <c r="D4884" s="3">
        <v>89436.0970422939</v>
      </c>
      <c r="E4884" s="3">
        <v>31545.0126853747</v>
      </c>
      <c r="F4884" s="3">
        <v>29385.9893355781</v>
      </c>
      <c r="G4884" s="3">
        <v>19834.0617064123</v>
      </c>
      <c r="H4884" s="3">
        <v>-97453.1792259887</v>
      </c>
      <c r="I4884" s="3">
        <v>74440.6014509305</v>
      </c>
      <c r="J4884" s="4">
        <v>45962.0</v>
      </c>
      <c r="K4884" s="3">
        <v>15.0</v>
      </c>
      <c r="L4884" s="3" t="s">
        <v>23</v>
      </c>
    </row>
    <row r="4885" ht="15.75" customHeight="1">
      <c r="A4885" s="3" t="s">
        <v>2052</v>
      </c>
      <c r="B4885" s="3" t="s">
        <v>13</v>
      </c>
      <c r="C4885" s="3" t="s">
        <v>54</v>
      </c>
      <c r="D4885" s="3">
        <v>70673.8569240165</v>
      </c>
      <c r="E4885" s="3">
        <v>23543.0911056248</v>
      </c>
      <c r="F4885" s="3">
        <v>16068.8633888298</v>
      </c>
      <c r="G4885" s="3">
        <v>13942.7088146567</v>
      </c>
      <c r="H4885" s="3">
        <v>-11613.7326490027</v>
      </c>
      <c r="I4885" s="3">
        <v>69956.7663702566</v>
      </c>
      <c r="J4885" s="4">
        <v>45748.0</v>
      </c>
      <c r="K4885" s="3">
        <v>10.0</v>
      </c>
      <c r="L4885" s="3" t="s">
        <v>42</v>
      </c>
    </row>
    <row r="4886" ht="15.75" customHeight="1">
      <c r="A4886" s="3" t="s">
        <v>2513</v>
      </c>
      <c r="B4886" s="3" t="s">
        <v>36</v>
      </c>
      <c r="C4886" s="3" t="s">
        <v>54</v>
      </c>
      <c r="D4886" s="3">
        <v>75995.6292081451</v>
      </c>
      <c r="E4886" s="3">
        <v>25822.7619593713</v>
      </c>
      <c r="F4886" s="3">
        <v>19862.7850830014</v>
      </c>
      <c r="G4886" s="3">
        <v>15621.0988541765</v>
      </c>
      <c r="H4886" s="3">
        <v>-36068.5692170717</v>
      </c>
      <c r="I4886" s="3">
        <v>70937.3939520028</v>
      </c>
      <c r="J4886" s="4">
        <v>45992.0</v>
      </c>
      <c r="K4886" s="3">
        <v>21.0</v>
      </c>
      <c r="L4886" s="3" t="s">
        <v>23</v>
      </c>
    </row>
    <row r="4887" ht="15.75" customHeight="1">
      <c r="A4887" s="3" t="s">
        <v>70</v>
      </c>
      <c r="B4887" s="3" t="s">
        <v>29</v>
      </c>
      <c r="C4887" s="3" t="s">
        <v>54</v>
      </c>
      <c r="D4887" s="3">
        <v>48932.09</v>
      </c>
      <c r="E4887" s="3">
        <v>14679.63</v>
      </c>
      <c r="F4887" s="3">
        <v>6359.98</v>
      </c>
      <c r="G4887" s="3">
        <v>6431.15</v>
      </c>
      <c r="H4887" s="3">
        <v>69971.7</v>
      </c>
      <c r="I4887" s="3">
        <v>63540.55</v>
      </c>
      <c r="J4887" s="4">
        <v>45901.0</v>
      </c>
      <c r="K4887" s="3">
        <v>20.0</v>
      </c>
      <c r="L4887" s="3" t="s">
        <v>21</v>
      </c>
    </row>
    <row r="4888" ht="15.75" customHeight="1">
      <c r="A4888" s="3" t="s">
        <v>1589</v>
      </c>
      <c r="B4888" s="3" t="s">
        <v>51</v>
      </c>
      <c r="C4888" s="3" t="s">
        <v>26</v>
      </c>
      <c r="D4888" s="3">
        <v>65406.4994894189</v>
      </c>
      <c r="E4888" s="3">
        <v>21309.5674351525</v>
      </c>
      <c r="F4888" s="3">
        <v>12351.7417289532</v>
      </c>
      <c r="G4888" s="3">
        <v>12298.2942820099</v>
      </c>
      <c r="H4888" s="3">
        <v>12346.0667415744</v>
      </c>
      <c r="I4888" s="3">
        <v>68320.1327510664</v>
      </c>
      <c r="J4888" s="4">
        <v>45658.0</v>
      </c>
      <c r="K4888" s="3">
        <v>16.0</v>
      </c>
      <c r="L4888" s="3" t="s">
        <v>31</v>
      </c>
    </row>
    <row r="4889" ht="15.75" customHeight="1">
      <c r="A4889" s="3" t="s">
        <v>3804</v>
      </c>
      <c r="B4889" s="3" t="s">
        <v>29</v>
      </c>
      <c r="C4889" s="3" t="s">
        <v>26</v>
      </c>
      <c r="D4889" s="3">
        <v>90752.9364009433</v>
      </c>
      <c r="E4889" s="3">
        <v>32103.3936029928</v>
      </c>
      <c r="F4889" s="3">
        <v>30315.2697505472</v>
      </c>
      <c r="G4889" s="3">
        <v>20245.165339574</v>
      </c>
      <c r="H4889" s="3">
        <v>-103443.129073633</v>
      </c>
      <c r="I4889" s="3">
        <v>74849.7598557281</v>
      </c>
      <c r="J4889" s="4">
        <v>45778.0</v>
      </c>
      <c r="K4889" s="3">
        <v>15.0</v>
      </c>
      <c r="L4889" s="3" t="s">
        <v>27</v>
      </c>
    </row>
    <row r="4890" ht="15.75" customHeight="1">
      <c r="A4890" s="3" t="s">
        <v>3660</v>
      </c>
      <c r="B4890" s="3" t="s">
        <v>53</v>
      </c>
      <c r="C4890" s="3" t="s">
        <v>14</v>
      </c>
      <c r="D4890" s="3">
        <v>89022.5441858585</v>
      </c>
      <c r="E4890" s="3">
        <v>31369.6533889327</v>
      </c>
      <c r="F4890" s="3">
        <v>29094.1492052572</v>
      </c>
      <c r="G4890" s="3">
        <v>19704.9547802954</v>
      </c>
      <c r="H4890" s="3">
        <v>-95572.0379515217</v>
      </c>
      <c r="I4890" s="3">
        <v>74312.1054229776</v>
      </c>
      <c r="J4890" s="4">
        <v>45931.0</v>
      </c>
      <c r="K4890" s="3">
        <v>14.0</v>
      </c>
      <c r="L4890" s="3" t="s">
        <v>31</v>
      </c>
    </row>
    <row r="4891" ht="15.75" customHeight="1">
      <c r="A4891" s="3" t="s">
        <v>279</v>
      </c>
      <c r="B4891" s="3" t="s">
        <v>36</v>
      </c>
      <c r="C4891" s="3" t="s">
        <v>54</v>
      </c>
      <c r="D4891" s="3">
        <v>38824.34</v>
      </c>
      <c r="E4891" s="3">
        <v>11647.3</v>
      </c>
      <c r="F4891" s="3">
        <v>5862.03</v>
      </c>
      <c r="G4891" s="3">
        <v>1325.67</v>
      </c>
      <c r="H4891" s="3">
        <v>56333.67</v>
      </c>
      <c r="I4891" s="3">
        <v>55008.0</v>
      </c>
      <c r="J4891" s="4">
        <v>45839.0</v>
      </c>
      <c r="K4891" s="3">
        <v>3.0</v>
      </c>
      <c r="L4891" s="3" t="s">
        <v>21</v>
      </c>
    </row>
    <row r="4892" ht="15.75" customHeight="1">
      <c r="A4892" s="3" t="s">
        <v>696</v>
      </c>
      <c r="B4892" s="3" t="s">
        <v>53</v>
      </c>
      <c r="C4892" s="3" t="s">
        <v>18</v>
      </c>
      <c r="D4892" s="3">
        <v>80438.09</v>
      </c>
      <c r="E4892" s="3">
        <v>24131.43</v>
      </c>
      <c r="F4892" s="3">
        <v>4547.6</v>
      </c>
      <c r="G4892" s="3">
        <v>16515.87</v>
      </c>
      <c r="H4892" s="3">
        <v>109117.12</v>
      </c>
      <c r="I4892" s="3">
        <v>92601.25</v>
      </c>
      <c r="J4892" s="4">
        <v>45870.0</v>
      </c>
      <c r="K4892" s="3">
        <v>3.0</v>
      </c>
      <c r="L4892" s="3" t="s">
        <v>27</v>
      </c>
    </row>
    <row r="4893" ht="15.75" customHeight="1">
      <c r="A4893" s="3" t="s">
        <v>3750</v>
      </c>
      <c r="B4893" s="3" t="s">
        <v>29</v>
      </c>
      <c r="C4893" s="3" t="s">
        <v>54</v>
      </c>
      <c r="D4893" s="3">
        <v>90121.7241463841</v>
      </c>
      <c r="E4893" s="3">
        <v>31835.7399400023</v>
      </c>
      <c r="F4893" s="3">
        <v>29869.8295516364</v>
      </c>
      <c r="G4893" s="3">
        <v>20048.1073997114</v>
      </c>
      <c r="H4893" s="3">
        <v>-100571.913444184</v>
      </c>
      <c r="I4893" s="3">
        <v>74653.6343393788</v>
      </c>
      <c r="J4893" s="4">
        <v>45717.0</v>
      </c>
      <c r="K4893" s="3">
        <v>7.0</v>
      </c>
      <c r="L4893" s="3" t="s">
        <v>34</v>
      </c>
    </row>
    <row r="4894" ht="15.75" customHeight="1">
      <c r="A4894" s="3" t="s">
        <v>4315</v>
      </c>
      <c r="B4894" s="3" t="s">
        <v>13</v>
      </c>
      <c r="C4894" s="3" t="s">
        <v>37</v>
      </c>
      <c r="D4894" s="3">
        <v>96542.6763910382</v>
      </c>
      <c r="E4894" s="3">
        <v>34558.4237531814</v>
      </c>
      <c r="F4894" s="3">
        <v>34401.0315750398</v>
      </c>
      <c r="G4894" s="3">
        <v>22052.6623052107</v>
      </c>
      <c r="H4894" s="3">
        <v>-129779.106916169</v>
      </c>
      <c r="I4894" s="3">
        <v>76648.7042470693</v>
      </c>
      <c r="J4894" s="4">
        <v>45839.0</v>
      </c>
      <c r="K4894" s="3">
        <v>15.0</v>
      </c>
      <c r="L4894" s="3" t="s">
        <v>34</v>
      </c>
    </row>
    <row r="4895" ht="15.75" customHeight="1">
      <c r="A4895" s="3" t="s">
        <v>3534</v>
      </c>
      <c r="B4895" s="3" t="s">
        <v>53</v>
      </c>
      <c r="C4895" s="3" t="s">
        <v>26</v>
      </c>
      <c r="D4895" s="3">
        <v>87596.8751281472</v>
      </c>
      <c r="E4895" s="3">
        <v>30765.1252880404</v>
      </c>
      <c r="F4895" s="3">
        <v>28088.068755993</v>
      </c>
      <c r="G4895" s="3">
        <v>19259.8756402608</v>
      </c>
      <c r="H4895" s="3">
        <v>-89087.0509263867</v>
      </c>
      <c r="I4895" s="3">
        <v>73869.1322739819</v>
      </c>
      <c r="J4895" s="4">
        <v>45962.0</v>
      </c>
      <c r="K4895" s="3">
        <v>14.0</v>
      </c>
      <c r="L4895" s="3" t="s">
        <v>27</v>
      </c>
    </row>
    <row r="4896" ht="15.75" customHeight="1">
      <c r="A4896" s="3" t="s">
        <v>4245</v>
      </c>
      <c r="B4896" s="3" t="s">
        <v>51</v>
      </c>
      <c r="C4896" s="3" t="s">
        <v>26</v>
      </c>
      <c r="D4896" s="3">
        <v>95748.219587886</v>
      </c>
      <c r="E4896" s="3">
        <v>34221.5493152795</v>
      </c>
      <c r="F4896" s="3">
        <v>33840.3913246865</v>
      </c>
      <c r="G4896" s="3">
        <v>21804.6411050388</v>
      </c>
      <c r="H4896" s="3">
        <v>-126165.335520483</v>
      </c>
      <c r="I4896" s="3">
        <v>76401.8566144229</v>
      </c>
      <c r="J4896" s="4">
        <v>45901.0</v>
      </c>
      <c r="K4896" s="3">
        <v>10.0</v>
      </c>
      <c r="L4896" s="3" t="s">
        <v>23</v>
      </c>
    </row>
    <row r="4897" ht="15.75" customHeight="1">
      <c r="A4897" s="3" t="s">
        <v>2311</v>
      </c>
      <c r="B4897" s="3" t="s">
        <v>29</v>
      </c>
      <c r="C4897" s="3" t="s">
        <v>54</v>
      </c>
      <c r="D4897" s="3">
        <v>73753.7374074692</v>
      </c>
      <c r="E4897" s="3">
        <v>24849.0563922853</v>
      </c>
      <c r="F4897" s="3">
        <v>18242.3043593775</v>
      </c>
      <c r="G4897" s="3">
        <v>14904.215659159</v>
      </c>
      <c r="H4897" s="3">
        <v>101038.281958867</v>
      </c>
      <c r="I4897" s="3">
        <v>70708.5049149328</v>
      </c>
      <c r="J4897" s="3" t="s">
        <v>1062</v>
      </c>
      <c r="K4897" s="3">
        <v>16.0</v>
      </c>
      <c r="L4897" s="3" t="s">
        <v>42</v>
      </c>
    </row>
    <row r="4898" ht="15.75" customHeight="1">
      <c r="A4898" s="3" t="s">
        <v>295</v>
      </c>
      <c r="B4898" s="3" t="s">
        <v>53</v>
      </c>
      <c r="C4898" s="3" t="s">
        <v>33</v>
      </c>
      <c r="D4898" s="3">
        <v>33642.47</v>
      </c>
      <c r="E4898" s="3">
        <v>10092.74</v>
      </c>
      <c r="F4898" s="3">
        <v>4220.23</v>
      </c>
      <c r="G4898" s="3">
        <v>1523.57</v>
      </c>
      <c r="H4898" s="3">
        <v>47955.44</v>
      </c>
      <c r="I4898" s="3">
        <v>46431.87</v>
      </c>
      <c r="J4898" s="3" t="s">
        <v>2507</v>
      </c>
      <c r="K4898" s="3">
        <v>24.0</v>
      </c>
      <c r="L4898" s="3" t="s">
        <v>40</v>
      </c>
    </row>
    <row r="4899" ht="15.75" customHeight="1">
      <c r="A4899" s="3" t="s">
        <v>456</v>
      </c>
      <c r="B4899" s="3" t="s">
        <v>29</v>
      </c>
      <c r="C4899" s="3" t="s">
        <v>18</v>
      </c>
      <c r="D4899" s="3">
        <v>67055.83</v>
      </c>
      <c r="E4899" s="3">
        <v>20116.75</v>
      </c>
      <c r="F4899" s="3">
        <v>6032.17</v>
      </c>
      <c r="G4899" s="3">
        <v>7464.87</v>
      </c>
      <c r="H4899" s="3">
        <v>93204.75</v>
      </c>
      <c r="I4899" s="3">
        <v>85739.88</v>
      </c>
      <c r="J4899" s="4">
        <v>45901.0</v>
      </c>
      <c r="K4899" s="3">
        <v>16.0</v>
      </c>
      <c r="L4899" s="3" t="s">
        <v>31</v>
      </c>
    </row>
    <row r="4900" ht="15.75" customHeight="1">
      <c r="A4900" s="3" t="s">
        <v>892</v>
      </c>
      <c r="B4900" s="3" t="s">
        <v>36</v>
      </c>
      <c r="C4900" s="3" t="s">
        <v>14</v>
      </c>
      <c r="D4900" s="3">
        <v>23027.36</v>
      </c>
      <c r="E4900" s="3">
        <v>6908.21</v>
      </c>
      <c r="F4900" s="3">
        <v>2118.84</v>
      </c>
      <c r="G4900" s="3">
        <v>4761.21</v>
      </c>
      <c r="H4900" s="3">
        <v>32054.41</v>
      </c>
      <c r="I4900" s="3">
        <v>27293.2</v>
      </c>
      <c r="J4900" s="4">
        <v>45658.0</v>
      </c>
      <c r="K4900" s="3">
        <v>5.0</v>
      </c>
      <c r="L4900" s="3" t="s">
        <v>38</v>
      </c>
    </row>
    <row r="4901" ht="15.75" customHeight="1">
      <c r="A4901" s="3" t="s">
        <v>473</v>
      </c>
      <c r="B4901" s="3" t="s">
        <v>17</v>
      </c>
      <c r="C4901" s="3" t="s">
        <v>14</v>
      </c>
      <c r="D4901" s="3">
        <v>21775.57</v>
      </c>
      <c r="E4901" s="3">
        <v>6532.67</v>
      </c>
      <c r="F4901" s="3">
        <v>1049.45</v>
      </c>
      <c r="G4901" s="3">
        <v>4048.82</v>
      </c>
      <c r="H4901" s="3">
        <v>29357.69</v>
      </c>
      <c r="I4901" s="3">
        <v>25308.87</v>
      </c>
      <c r="J4901" s="4">
        <v>45778.0</v>
      </c>
      <c r="K4901" s="3">
        <v>11.0</v>
      </c>
      <c r="L4901" s="3" t="s">
        <v>34</v>
      </c>
    </row>
    <row r="4902" ht="15.75" customHeight="1">
      <c r="A4902" s="3" t="s">
        <v>3274</v>
      </c>
      <c r="B4902" s="3" t="s">
        <v>17</v>
      </c>
      <c r="C4902" s="3" t="s">
        <v>18</v>
      </c>
      <c r="D4902" s="3">
        <v>84647.5902835688</v>
      </c>
      <c r="E4902" s="3">
        <v>29491.4630296719</v>
      </c>
      <c r="F4902" s="3">
        <v>25968.3878094518</v>
      </c>
      <c r="G4902" s="3">
        <v>18322.1516505696</v>
      </c>
      <c r="H4902" s="3">
        <v>-75424.0248276277</v>
      </c>
      <c r="I4902" s="3">
        <v>73625.6661157552</v>
      </c>
      <c r="J4902" s="4">
        <v>45689.0</v>
      </c>
      <c r="K4902" s="3">
        <v>6.0</v>
      </c>
      <c r="L4902" s="3" t="s">
        <v>40</v>
      </c>
    </row>
    <row r="4903" ht="15.75" customHeight="1">
      <c r="A4903" s="3" t="s">
        <v>4475</v>
      </c>
      <c r="B4903" s="3" t="s">
        <v>36</v>
      </c>
      <c r="C4903" s="3" t="s">
        <v>37</v>
      </c>
      <c r="D4903" s="3">
        <v>81507.39</v>
      </c>
      <c r="E4903" s="3">
        <v>25632.83</v>
      </c>
      <c r="F4903" s="3">
        <v>35660.5521374773</v>
      </c>
      <c r="G4903" s="3">
        <v>24892.41</v>
      </c>
      <c r="H4903" s="3">
        <v>-137897.716627026</v>
      </c>
      <c r="I4903" s="3">
        <v>67417.279080976</v>
      </c>
      <c r="J4903" s="4">
        <v>45748.0</v>
      </c>
      <c r="K4903" s="3">
        <v>20.0</v>
      </c>
      <c r="L4903" s="3" t="s">
        <v>15</v>
      </c>
    </row>
    <row r="4904" ht="15.75" customHeight="1">
      <c r="A4904" s="3" t="s">
        <v>2379</v>
      </c>
      <c r="B4904" s="3" t="s">
        <v>29</v>
      </c>
      <c r="C4904" s="3" t="s">
        <v>54</v>
      </c>
      <c r="D4904" s="3">
        <v>74450.2474814656</v>
      </c>
      <c r="E4904" s="3">
        <v>25167.4719568774</v>
      </c>
      <c r="F4904" s="3">
        <v>18772.2245960128</v>
      </c>
      <c r="G4904" s="3">
        <v>15138.6466565818</v>
      </c>
      <c r="H4904" s="3">
        <v>-29039.0412966957</v>
      </c>
      <c r="I4904" s="3">
        <v>70457.2245843891</v>
      </c>
      <c r="J4904" s="4">
        <v>45962.0</v>
      </c>
      <c r="K4904" s="3">
        <v>7.0</v>
      </c>
      <c r="L4904" s="3" t="s">
        <v>19</v>
      </c>
    </row>
    <row r="4905" ht="15.75" customHeight="1">
      <c r="A4905" s="3" t="s">
        <v>2767</v>
      </c>
      <c r="B4905" s="3" t="s">
        <v>51</v>
      </c>
      <c r="C4905" s="3" t="s">
        <v>14</v>
      </c>
      <c r="D4905" s="3">
        <v>78868.7332633801</v>
      </c>
      <c r="E4905" s="3">
        <v>27041.0475978108</v>
      </c>
      <c r="F4905" s="3">
        <v>21890.3059883887</v>
      </c>
      <c r="G4905" s="3">
        <v>16518.0522356203</v>
      </c>
      <c r="H4905" s="3">
        <v>-49137.5507028407</v>
      </c>
      <c r="I4905" s="3">
        <v>71830.1031988338</v>
      </c>
      <c r="J4905" s="4">
        <v>45992.0</v>
      </c>
      <c r="K4905" s="3">
        <v>7.0</v>
      </c>
      <c r="L4905" s="3" t="s">
        <v>38</v>
      </c>
    </row>
    <row r="4906" ht="15.75" customHeight="1">
      <c r="A4906" s="3" t="s">
        <v>902</v>
      </c>
      <c r="B4906" s="3" t="s">
        <v>29</v>
      </c>
      <c r="C4906" s="3" t="s">
        <v>33</v>
      </c>
      <c r="D4906" s="3">
        <v>28603.07</v>
      </c>
      <c r="E4906" s="3">
        <v>8580.92</v>
      </c>
      <c r="F4906" s="3">
        <v>3189.19</v>
      </c>
      <c r="G4906" s="3">
        <v>6950.68</v>
      </c>
      <c r="H4906" s="3">
        <v>40373.18</v>
      </c>
      <c r="I4906" s="3">
        <v>33422.5</v>
      </c>
      <c r="J4906" s="4">
        <v>45809.0</v>
      </c>
      <c r="K4906" s="3">
        <v>7.0</v>
      </c>
      <c r="L4906" s="3" t="s">
        <v>40</v>
      </c>
    </row>
    <row r="4907" ht="15.75" customHeight="1">
      <c r="A4907" s="3" t="s">
        <v>2784</v>
      </c>
      <c r="B4907" s="3" t="s">
        <v>17</v>
      </c>
      <c r="C4907" s="3" t="s">
        <v>33</v>
      </c>
      <c r="D4907" s="3">
        <v>79053.7437517854</v>
      </c>
      <c r="E4907" s="3">
        <v>27119.4978093769</v>
      </c>
      <c r="F4907" s="3">
        <v>22020.8660466902</v>
      </c>
      <c r="G4907" s="3">
        <v>16575.8105973041</v>
      </c>
      <c r="H4907" s="3">
        <v>-49979.1139045767</v>
      </c>
      <c r="I4907" s="3">
        <v>71887.5882639706</v>
      </c>
      <c r="J4907" s="4">
        <v>45962.0</v>
      </c>
      <c r="K4907" s="3">
        <v>23.0</v>
      </c>
      <c r="L4907" s="3" t="s">
        <v>27</v>
      </c>
    </row>
    <row r="4908" ht="15.75" customHeight="1">
      <c r="A4908" s="3" t="s">
        <v>3500</v>
      </c>
      <c r="B4908" s="3" t="s">
        <v>51</v>
      </c>
      <c r="C4908" s="3" t="s">
        <v>14</v>
      </c>
      <c r="D4908" s="3">
        <v>87259.5030610552</v>
      </c>
      <c r="E4908" s="3">
        <v>30598.9954282532</v>
      </c>
      <c r="F4908" s="3">
        <v>27811.5886325311</v>
      </c>
      <c r="G4908" s="3">
        <v>19137.5638155185</v>
      </c>
      <c r="H4908" s="3">
        <v>-87304.9170874178</v>
      </c>
      <c r="I4908" s="3">
        <v>74141.5029652594</v>
      </c>
      <c r="J4908" s="3" t="s">
        <v>1031</v>
      </c>
      <c r="K4908" s="3">
        <v>9.0</v>
      </c>
      <c r="L4908" s="3" t="s">
        <v>34</v>
      </c>
    </row>
    <row r="4909" ht="15.75" customHeight="1">
      <c r="A4909" s="3" t="s">
        <v>4364</v>
      </c>
      <c r="B4909" s="3" t="s">
        <v>51</v>
      </c>
      <c r="C4909" s="3" t="s">
        <v>37</v>
      </c>
      <c r="D4909" s="3">
        <v>114825.0</v>
      </c>
      <c r="E4909" s="3">
        <v>32995.56</v>
      </c>
      <c r="F4909" s="3">
        <v>34792.7117499441</v>
      </c>
      <c r="G4909" s="3">
        <v>2460.8</v>
      </c>
      <c r="H4909" s="3">
        <v>-132303.796521375</v>
      </c>
      <c r="I4909" s="3">
        <v>67035.1724715369</v>
      </c>
      <c r="J4909" s="4">
        <v>45658.0</v>
      </c>
      <c r="K4909" s="3">
        <v>6.0</v>
      </c>
      <c r="L4909" s="3" t="s">
        <v>38</v>
      </c>
    </row>
    <row r="4910" ht="15.75" customHeight="1">
      <c r="A4910" s="3" t="s">
        <v>4039</v>
      </c>
      <c r="B4910" s="3" t="s">
        <v>17</v>
      </c>
      <c r="C4910" s="3" t="s">
        <v>33</v>
      </c>
      <c r="D4910" s="3">
        <v>93451.9129376792</v>
      </c>
      <c r="E4910" s="3">
        <v>33247.8437481935</v>
      </c>
      <c r="F4910" s="3">
        <v>32219.9106010625</v>
      </c>
      <c r="G4910" s="3">
        <v>21087.7579100212</v>
      </c>
      <c r="H4910" s="3">
        <v>-115720.051075417</v>
      </c>
      <c r="I4910" s="3">
        <v>75688.365511842</v>
      </c>
      <c r="J4910" s="4">
        <v>45992.0</v>
      </c>
      <c r="K4910" s="3">
        <v>4.0</v>
      </c>
      <c r="L4910" s="3" t="s">
        <v>21</v>
      </c>
    </row>
    <row r="4911" ht="15.75" customHeight="1">
      <c r="A4911" s="3" t="s">
        <v>2278</v>
      </c>
      <c r="B4911" s="3" t="s">
        <v>36</v>
      </c>
      <c r="C4911" s="3" t="s">
        <v>33</v>
      </c>
      <c r="D4911" s="3">
        <v>73394.5994005649</v>
      </c>
      <c r="E4911" s="3">
        <v>24696.7706874803</v>
      </c>
      <c r="F4911" s="3">
        <v>17988.8642462041</v>
      </c>
      <c r="G4911" s="3">
        <v>14792.0964864785</v>
      </c>
      <c r="H4911" s="3">
        <v>100554.904020291</v>
      </c>
      <c r="I4911" s="3">
        <v>70612.2763317315</v>
      </c>
      <c r="J4911" s="3" t="s">
        <v>1040</v>
      </c>
      <c r="K4911" s="3">
        <v>20.0</v>
      </c>
      <c r="L4911" s="3" t="s">
        <v>31</v>
      </c>
    </row>
    <row r="4912" ht="15.75" customHeight="1">
      <c r="A4912" s="3" t="s">
        <v>74</v>
      </c>
      <c r="B4912" s="3" t="s">
        <v>36</v>
      </c>
      <c r="C4912" s="3" t="s">
        <v>30</v>
      </c>
      <c r="D4912" s="3">
        <v>28904.65</v>
      </c>
      <c r="E4912" s="3">
        <v>8671.4</v>
      </c>
      <c r="F4912" s="3">
        <v>4668.08</v>
      </c>
      <c r="G4912" s="3">
        <v>1651.12</v>
      </c>
      <c r="H4912" s="3">
        <v>42244.13</v>
      </c>
      <c r="I4912" s="3">
        <v>40593.01</v>
      </c>
      <c r="J4912" s="4">
        <v>45689.0</v>
      </c>
      <c r="K4912" s="3">
        <v>5.0</v>
      </c>
      <c r="L4912" s="3" t="s">
        <v>38</v>
      </c>
    </row>
    <row r="4913" ht="15.75" customHeight="1">
      <c r="A4913" s="3" t="s">
        <v>4564</v>
      </c>
      <c r="B4913" s="3" t="s">
        <v>25</v>
      </c>
      <c r="C4913" s="3" t="s">
        <v>14</v>
      </c>
      <c r="D4913" s="3">
        <v>25654.51</v>
      </c>
      <c r="E4913" s="3">
        <v>25080.29</v>
      </c>
      <c r="F4913" s="3">
        <v>36367.1124529911</v>
      </c>
      <c r="G4913" s="3">
        <v>22506.48</v>
      </c>
      <c r="H4913" s="3">
        <v>-142452.058659946</v>
      </c>
      <c r="I4913" s="3">
        <v>67728.3747275989</v>
      </c>
      <c r="J4913" s="4">
        <v>45870.0</v>
      </c>
      <c r="K4913" s="3">
        <v>24.0</v>
      </c>
      <c r="L4913" s="3" t="s">
        <v>21</v>
      </c>
    </row>
    <row r="4914" ht="15.75" customHeight="1">
      <c r="A4914" s="3" t="s">
        <v>3818</v>
      </c>
      <c r="B4914" s="3" t="s">
        <v>51</v>
      </c>
      <c r="C4914" s="3" t="s">
        <v>54</v>
      </c>
      <c r="D4914" s="3">
        <v>90927.0639194424</v>
      </c>
      <c r="E4914" s="3">
        <v>32177.2290962316</v>
      </c>
      <c r="F4914" s="3">
        <v>30438.1498054192</v>
      </c>
      <c r="G4914" s="3">
        <v>20299.5261505706</v>
      </c>
      <c r="H4914" s="3">
        <v>-104235.188557619</v>
      </c>
      <c r="I4914" s="3">
        <v>74903.8634464451</v>
      </c>
      <c r="J4914" s="4">
        <v>45689.0</v>
      </c>
      <c r="K4914" s="3">
        <v>25.0</v>
      </c>
      <c r="L4914" s="3" t="s">
        <v>15</v>
      </c>
    </row>
    <row r="4915" ht="15.75" customHeight="1">
      <c r="A4915" s="3" t="s">
        <v>3954</v>
      </c>
      <c r="B4915" s="3" t="s">
        <v>29</v>
      </c>
      <c r="C4915" s="3" t="s">
        <v>14</v>
      </c>
      <c r="D4915" s="3">
        <v>92505.0945558404</v>
      </c>
      <c r="E4915" s="3">
        <v>32846.3632537078</v>
      </c>
      <c r="F4915" s="3">
        <v>31551.7503026963</v>
      </c>
      <c r="G4915" s="3">
        <v>20792.1710002273</v>
      </c>
      <c r="H4915" s="3">
        <v>-111413.227631243</v>
      </c>
      <c r="I4915" s="3">
        <v>75394.1772373182</v>
      </c>
      <c r="J4915" s="4">
        <v>45870.0</v>
      </c>
      <c r="K4915" s="3">
        <v>1.0</v>
      </c>
      <c r="L4915" s="3" t="s">
        <v>31</v>
      </c>
    </row>
    <row r="4916" ht="15.75" customHeight="1">
      <c r="A4916" s="3" t="s">
        <v>1863</v>
      </c>
      <c r="B4916" s="3" t="s">
        <v>25</v>
      </c>
      <c r="C4916" s="3" t="s">
        <v>18</v>
      </c>
      <c r="D4916" s="3">
        <v>68519.0288825902</v>
      </c>
      <c r="E4916" s="3">
        <v>22629.3768767952</v>
      </c>
      <c r="F4916" s="3">
        <v>14548.2227097893</v>
      </c>
      <c r="G4916" s="3">
        <v>13269.9937785739</v>
      </c>
      <c r="H4916" s="3">
        <v>-1811.99653467594</v>
      </c>
      <c r="I4916" s="3">
        <v>69287.2344351334</v>
      </c>
      <c r="J4916" s="4">
        <v>45778.0</v>
      </c>
      <c r="K4916" s="3">
        <v>5.0</v>
      </c>
      <c r="L4916" s="3" t="s">
        <v>19</v>
      </c>
    </row>
    <row r="4917" ht="15.75" customHeight="1">
      <c r="A4917" s="3" t="s">
        <v>3805</v>
      </c>
      <c r="B4917" s="3" t="s">
        <v>53</v>
      </c>
      <c r="C4917" s="3" t="s">
        <v>26</v>
      </c>
      <c r="D4917" s="3">
        <v>90763.8193708495</v>
      </c>
      <c r="E4917" s="3">
        <v>32108.0083213202</v>
      </c>
      <c r="F4917" s="3">
        <v>30322.9497539767</v>
      </c>
      <c r="G4917" s="3">
        <v>20248.5628902613</v>
      </c>
      <c r="H4917" s="3">
        <v>-103492.632791383</v>
      </c>
      <c r="I4917" s="3">
        <v>74853.1413301479</v>
      </c>
      <c r="J4917" s="4">
        <v>45809.0</v>
      </c>
      <c r="K4917" s="3">
        <v>21.0</v>
      </c>
      <c r="L4917" s="3" t="s">
        <v>31</v>
      </c>
    </row>
    <row r="4918" ht="15.75" customHeight="1">
      <c r="A4918" s="3" t="s">
        <v>4538</v>
      </c>
      <c r="B4918" s="3" t="s">
        <v>17</v>
      </c>
      <c r="C4918" s="3" t="s">
        <v>30</v>
      </c>
      <c r="D4918" s="5"/>
      <c r="E4918" s="3">
        <v>18497.33</v>
      </c>
      <c r="F4918" s="3">
        <v>36167.4323638241</v>
      </c>
      <c r="G4918" s="3">
        <v>7309.09</v>
      </c>
      <c r="H4918" s="3">
        <v>-141164.961998468</v>
      </c>
      <c r="I4918" s="3">
        <v>67640.4563926837</v>
      </c>
      <c r="J4918" s="4">
        <v>45658.0</v>
      </c>
      <c r="K4918" s="3">
        <v>2.0</v>
      </c>
      <c r="L4918" s="3" t="s">
        <v>34</v>
      </c>
    </row>
    <row r="4919" ht="15.75" customHeight="1">
      <c r="A4919" s="3" t="s">
        <v>3460</v>
      </c>
      <c r="B4919" s="3" t="s">
        <v>29</v>
      </c>
      <c r="C4919" s="3" t="s">
        <v>30</v>
      </c>
      <c r="D4919" s="3">
        <v>86780.6523851827</v>
      </c>
      <c r="E4919" s="3">
        <v>30395.9478218466</v>
      </c>
      <c r="F4919" s="3">
        <v>27473.6684816332</v>
      </c>
      <c r="G4919" s="3">
        <v>18988.0715852779</v>
      </c>
      <c r="H4919" s="3">
        <v>-85126.7535064557</v>
      </c>
      <c r="I4919" s="3">
        <v>74016.3111309104</v>
      </c>
      <c r="J4919" s="3" t="s">
        <v>1062</v>
      </c>
      <c r="K4919" s="3">
        <v>17.0</v>
      </c>
      <c r="L4919" s="3" t="s">
        <v>34</v>
      </c>
    </row>
    <row r="4920" ht="15.75" customHeight="1">
      <c r="A4920" s="3" t="s">
        <v>3083</v>
      </c>
      <c r="B4920" s="3" t="s">
        <v>17</v>
      </c>
      <c r="C4920" s="3" t="s">
        <v>14</v>
      </c>
      <c r="D4920" s="3">
        <v>82416.5814527992</v>
      </c>
      <c r="E4920" s="3">
        <v>28545.4457725504</v>
      </c>
      <c r="F4920" s="3">
        <v>24393.9871064048</v>
      </c>
      <c r="G4920" s="3">
        <v>17625.6537596758</v>
      </c>
      <c r="H4920" s="3">
        <v>-65275.7626890567</v>
      </c>
      <c r="I4920" s="3">
        <v>72932.4638596933</v>
      </c>
      <c r="J4920" s="4">
        <v>45839.0</v>
      </c>
      <c r="K4920" s="3">
        <v>8.0</v>
      </c>
      <c r="L4920" s="3" t="s">
        <v>23</v>
      </c>
    </row>
    <row r="4921" ht="15.75" customHeight="1">
      <c r="A4921" s="3" t="s">
        <v>2645</v>
      </c>
      <c r="B4921" s="3" t="s">
        <v>25</v>
      </c>
      <c r="C4921" s="3" t="s">
        <v>18</v>
      </c>
      <c r="D4921" s="3">
        <v>77453.947175575</v>
      </c>
      <c r="E4921" s="3">
        <v>26441.1342152459</v>
      </c>
      <c r="F4921" s="3">
        <v>20891.9055425541</v>
      </c>
      <c r="G4921" s="3">
        <v>16076.370646273</v>
      </c>
      <c r="H4921" s="3">
        <v>-42702.0673954547</v>
      </c>
      <c r="I4921" s="3">
        <v>71390.5115242579</v>
      </c>
      <c r="J4921" s="4">
        <v>45717.0</v>
      </c>
      <c r="K4921" s="3">
        <v>19.0</v>
      </c>
      <c r="L4921" s="3" t="s">
        <v>38</v>
      </c>
    </row>
    <row r="4922" ht="15.75" customHeight="1">
      <c r="A4922" s="3" t="s">
        <v>613</v>
      </c>
      <c r="B4922" s="3" t="s">
        <v>25</v>
      </c>
      <c r="C4922" s="3" t="s">
        <v>26</v>
      </c>
      <c r="D4922" s="3">
        <v>95032.55</v>
      </c>
      <c r="E4922" s="3">
        <v>28509.76</v>
      </c>
      <c r="F4922" s="3">
        <v>227.26</v>
      </c>
      <c r="G4922" s="3">
        <v>23673.72</v>
      </c>
      <c r="H4922" s="3">
        <v>123769.57</v>
      </c>
      <c r="I4922" s="3">
        <v>100095.85</v>
      </c>
      <c r="J4922" s="4">
        <v>45748.0</v>
      </c>
      <c r="K4922" s="3">
        <v>22.0</v>
      </c>
      <c r="L4922" s="3" t="s">
        <v>15</v>
      </c>
    </row>
    <row r="4923" ht="15.75" customHeight="1">
      <c r="A4923" s="3" t="s">
        <v>3948</v>
      </c>
      <c r="B4923" s="3" t="s">
        <v>51</v>
      </c>
      <c r="C4923" s="3" t="s">
        <v>18</v>
      </c>
      <c r="D4923" s="3">
        <v>92439.7967364033</v>
      </c>
      <c r="E4923" s="3">
        <v>32818.6749437432</v>
      </c>
      <c r="F4923" s="3">
        <v>31505.6702821193</v>
      </c>
      <c r="G4923" s="3">
        <v>20771.7856961035</v>
      </c>
      <c r="H4923" s="3">
        <v>-111116.205324748</v>
      </c>
      <c r="I4923" s="3">
        <v>75373.8883907993</v>
      </c>
      <c r="J4923" s="4">
        <v>45658.0</v>
      </c>
      <c r="K4923" s="3">
        <v>7.0</v>
      </c>
      <c r="L4923" s="3" t="s">
        <v>42</v>
      </c>
    </row>
    <row r="4924" ht="15.75" customHeight="1">
      <c r="A4924" s="3" t="s">
        <v>3745</v>
      </c>
      <c r="B4924" s="3" t="s">
        <v>51</v>
      </c>
      <c r="C4924" s="3" t="s">
        <v>26</v>
      </c>
      <c r="D4924" s="5"/>
      <c r="E4924" s="3">
        <v>31808.0516300378</v>
      </c>
      <c r="F4924" s="3">
        <v>29823.7495310594</v>
      </c>
      <c r="G4924" s="3">
        <v>20027.7220955877</v>
      </c>
      <c r="H4924" s="3">
        <v>-100274.891137689</v>
      </c>
      <c r="I4924" s="3">
        <v>74633.3454928599</v>
      </c>
      <c r="J4924" s="4">
        <v>45931.0</v>
      </c>
      <c r="K4924" s="3">
        <v>11.0</v>
      </c>
      <c r="L4924" s="3" t="s">
        <v>15</v>
      </c>
    </row>
    <row r="4925" ht="15.75" customHeight="1">
      <c r="A4925" s="3" t="s">
        <v>3439</v>
      </c>
      <c r="B4925" s="3" t="s">
        <v>36</v>
      </c>
      <c r="C4925" s="3" t="s">
        <v>54</v>
      </c>
      <c r="D4925" s="3">
        <v>86541.2270472465</v>
      </c>
      <c r="E4925" s="3">
        <v>30294.4240186433</v>
      </c>
      <c r="F4925" s="3">
        <v>27304.7084061843</v>
      </c>
      <c r="G4925" s="3">
        <v>18913.3254701576</v>
      </c>
      <c r="H4925" s="3">
        <v>-84037.6717159757</v>
      </c>
      <c r="I4925" s="3">
        <v>73953.7152137358</v>
      </c>
      <c r="J4925" s="3" t="s">
        <v>1040</v>
      </c>
      <c r="K4925" s="3">
        <v>23.0</v>
      </c>
      <c r="L4925" s="3" t="s">
        <v>34</v>
      </c>
    </row>
    <row r="4926" ht="15.75" customHeight="1">
      <c r="A4926" s="3" t="s">
        <v>345</v>
      </c>
      <c r="B4926" s="3" t="s">
        <v>29</v>
      </c>
      <c r="C4926" s="3" t="s">
        <v>26</v>
      </c>
      <c r="D4926" s="3">
        <v>92974.01</v>
      </c>
      <c r="E4926" s="3">
        <v>27892.2</v>
      </c>
      <c r="F4926" s="3">
        <v>7893.49</v>
      </c>
      <c r="G4926" s="3">
        <v>12010.58</v>
      </c>
      <c r="H4926" s="3">
        <v>128759.7</v>
      </c>
      <c r="I4926" s="3">
        <v>116749.12</v>
      </c>
      <c r="J4926" s="4">
        <v>45717.0</v>
      </c>
      <c r="K4926" s="3">
        <v>21.0</v>
      </c>
      <c r="L4926" s="3" t="s">
        <v>42</v>
      </c>
    </row>
    <row r="4927" ht="15.75" customHeight="1">
      <c r="A4927" s="3" t="s">
        <v>4533</v>
      </c>
      <c r="B4927" s="3" t="s">
        <v>29</v>
      </c>
      <c r="C4927" s="3" t="s">
        <v>33</v>
      </c>
      <c r="D4927" s="3">
        <v>33308.48</v>
      </c>
      <c r="E4927" s="3">
        <v>39840.48</v>
      </c>
      <c r="F4927" s="3">
        <v>36129.0323466767</v>
      </c>
      <c r="G4927" s="3">
        <v>17187.87</v>
      </c>
      <c r="H4927" s="3">
        <v>-140917.443409723</v>
      </c>
      <c r="I4927" s="3">
        <v>67623.5490205847</v>
      </c>
      <c r="J4927" s="4">
        <v>45992.0</v>
      </c>
      <c r="K4927" s="3">
        <v>25.0</v>
      </c>
      <c r="L4927" s="3" t="s">
        <v>19</v>
      </c>
    </row>
    <row r="4928" ht="15.75" customHeight="1">
      <c r="A4928" s="3" t="s">
        <v>3486</v>
      </c>
      <c r="B4928" s="3" t="s">
        <v>53</v>
      </c>
      <c r="C4928" s="3" t="s">
        <v>37</v>
      </c>
      <c r="D4928" s="3">
        <v>87096.2585124623</v>
      </c>
      <c r="E4928" s="3">
        <v>30529.7746533419</v>
      </c>
      <c r="F4928" s="3">
        <v>27696.3885810887</v>
      </c>
      <c r="G4928" s="3">
        <v>19086.6005552092</v>
      </c>
      <c r="H4928" s="3">
        <v>-86562.3613211807</v>
      </c>
      <c r="I4928" s="3">
        <v>74098.8239308223</v>
      </c>
      <c r="J4928" s="3" t="s">
        <v>1016</v>
      </c>
      <c r="K4928" s="3">
        <v>4.0</v>
      </c>
      <c r="L4928" s="3" t="s">
        <v>27</v>
      </c>
    </row>
    <row r="4929" ht="15.75" customHeight="1">
      <c r="A4929" s="3" t="s">
        <v>883</v>
      </c>
      <c r="B4929" s="3" t="s">
        <v>25</v>
      </c>
      <c r="C4929" s="3" t="s">
        <v>33</v>
      </c>
      <c r="D4929" s="3">
        <v>27482.58</v>
      </c>
      <c r="E4929" s="3">
        <v>8244.77</v>
      </c>
      <c r="F4929" s="3">
        <v>511.23</v>
      </c>
      <c r="G4929" s="3">
        <v>5554.49</v>
      </c>
      <c r="H4929" s="3">
        <v>36238.58</v>
      </c>
      <c r="I4929" s="3">
        <v>30684.09</v>
      </c>
      <c r="J4929" s="4">
        <v>45809.0</v>
      </c>
      <c r="K4929" s="3">
        <v>15.0</v>
      </c>
      <c r="L4929" s="3" t="s">
        <v>38</v>
      </c>
    </row>
    <row r="4930" ht="15.75" customHeight="1">
      <c r="A4930" s="3" t="s">
        <v>2519</v>
      </c>
      <c r="B4930" s="3" t="s">
        <v>36</v>
      </c>
      <c r="C4930" s="3" t="s">
        <v>33</v>
      </c>
      <c r="D4930" s="5"/>
      <c r="E4930" s="3">
        <v>25850.4502693359</v>
      </c>
      <c r="F4930" s="3">
        <v>19908.8651035784</v>
      </c>
      <c r="G4930" s="3">
        <v>15641.4841583002</v>
      </c>
      <c r="H4930" s="3">
        <v>-36365.5915235667</v>
      </c>
      <c r="I4930" s="3">
        <v>70957.6827985217</v>
      </c>
      <c r="J4930" s="4">
        <v>45748.0</v>
      </c>
      <c r="K4930" s="3">
        <v>25.0</v>
      </c>
      <c r="L4930" s="3" t="s">
        <v>42</v>
      </c>
    </row>
    <row r="4931" ht="15.75" customHeight="1">
      <c r="A4931" s="3" t="s">
        <v>3740</v>
      </c>
      <c r="B4931" s="3" t="s">
        <v>36</v>
      </c>
      <c r="C4931" s="3" t="s">
        <v>14</v>
      </c>
      <c r="D4931" s="3">
        <v>89991.1285075098</v>
      </c>
      <c r="E4931" s="3">
        <v>31780.3633200733</v>
      </c>
      <c r="F4931" s="3">
        <v>29777.6695104824</v>
      </c>
      <c r="G4931" s="3">
        <v>20007.336791464</v>
      </c>
      <c r="H4931" s="3">
        <v>-99977.8688311947</v>
      </c>
      <c r="I4931" s="3">
        <v>74613.056646341</v>
      </c>
      <c r="J4931" s="4">
        <v>45839.0</v>
      </c>
      <c r="K4931" s="3">
        <v>20.0</v>
      </c>
      <c r="L4931" s="3" t="s">
        <v>27</v>
      </c>
    </row>
    <row r="4932" ht="15.75" customHeight="1">
      <c r="A4932" s="3" t="s">
        <v>2759</v>
      </c>
      <c r="B4932" s="3" t="s">
        <v>13</v>
      </c>
      <c r="C4932" s="3" t="s">
        <v>18</v>
      </c>
      <c r="D4932" s="3">
        <v>78792.5524740368</v>
      </c>
      <c r="E4932" s="3">
        <v>27008.7445695188</v>
      </c>
      <c r="F4932" s="3">
        <v>21836.5459643822</v>
      </c>
      <c r="G4932" s="3">
        <v>16494.2693808093</v>
      </c>
      <c r="H4932" s="3">
        <v>-48791.0246785967</v>
      </c>
      <c r="I4932" s="3">
        <v>71806.4328778951</v>
      </c>
      <c r="J4932" s="4">
        <v>45689.0</v>
      </c>
      <c r="K4932" s="3">
        <v>5.0</v>
      </c>
      <c r="L4932" s="3" t="s">
        <v>15</v>
      </c>
    </row>
    <row r="4933" ht="15.75" customHeight="1">
      <c r="A4933" s="3" t="s">
        <v>207</v>
      </c>
      <c r="B4933" s="3" t="s">
        <v>29</v>
      </c>
      <c r="C4933" s="3" t="s">
        <v>26</v>
      </c>
      <c r="D4933" s="3">
        <v>108278.56</v>
      </c>
      <c r="E4933" s="3">
        <v>32483.57</v>
      </c>
      <c r="F4933" s="3">
        <v>17769.58</v>
      </c>
      <c r="G4933" s="3">
        <v>9187.62</v>
      </c>
      <c r="H4933" s="3">
        <v>158531.71</v>
      </c>
      <c r="I4933" s="3">
        <v>149344.09</v>
      </c>
      <c r="J4933" s="4">
        <v>45778.0</v>
      </c>
      <c r="K4933" s="3">
        <v>6.0</v>
      </c>
      <c r="L4933" s="3" t="s">
        <v>38</v>
      </c>
    </row>
    <row r="4934" ht="15.75" customHeight="1">
      <c r="A4934" s="3" t="s">
        <v>3021</v>
      </c>
      <c r="B4934" s="3" t="s">
        <v>25</v>
      </c>
      <c r="C4934" s="3" t="s">
        <v>33</v>
      </c>
      <c r="D4934" s="3">
        <v>81698.3054389904</v>
      </c>
      <c r="E4934" s="3">
        <v>28240.8743629405</v>
      </c>
      <c r="F4934" s="3">
        <v>23887.106880058</v>
      </c>
      <c r="G4934" s="3">
        <v>17401.4154143149</v>
      </c>
      <c r="H4934" s="3">
        <v>-62008.5173176137</v>
      </c>
      <c r="I4934" s="3">
        <v>72709.2865479855</v>
      </c>
      <c r="J4934" s="4">
        <v>45931.0</v>
      </c>
      <c r="K4934" s="3">
        <v>25.0</v>
      </c>
      <c r="L4934" s="3" t="s">
        <v>38</v>
      </c>
    </row>
    <row r="4935" ht="15.75" customHeight="1">
      <c r="A4935" s="3" t="s">
        <v>3185</v>
      </c>
      <c r="B4935" s="3" t="s">
        <v>17</v>
      </c>
      <c r="C4935" s="3" t="s">
        <v>30</v>
      </c>
      <c r="D4935" s="3">
        <v>83613.7081424804</v>
      </c>
      <c r="E4935" s="3">
        <v>29053.0647885668</v>
      </c>
      <c r="F4935" s="3">
        <v>25238.7874836495</v>
      </c>
      <c r="G4935" s="3">
        <v>17999.3843352774</v>
      </c>
      <c r="H4935" s="3">
        <v>-70721.1716414608</v>
      </c>
      <c r="I4935" s="3">
        <v>73304.4260458729</v>
      </c>
      <c r="J4935" s="4">
        <v>45809.0</v>
      </c>
      <c r="K4935" s="3">
        <v>1.0</v>
      </c>
      <c r="L4935" s="3" t="s">
        <v>23</v>
      </c>
    </row>
    <row r="4936" ht="15.75" customHeight="1">
      <c r="A4936" s="3" t="s">
        <v>2533</v>
      </c>
      <c r="B4936" s="3" t="s">
        <v>51</v>
      </c>
      <c r="C4936" s="3" t="s">
        <v>33</v>
      </c>
      <c r="D4936" s="3">
        <v>76213.2886062689</v>
      </c>
      <c r="E4936" s="3">
        <v>25915.0563259198</v>
      </c>
      <c r="F4936" s="3">
        <v>20016.3851515914</v>
      </c>
      <c r="G4936" s="3">
        <v>15689.0498679222</v>
      </c>
      <c r="H4936" s="3">
        <v>-37058.6435720537</v>
      </c>
      <c r="I4936" s="3">
        <v>71005.0234403991</v>
      </c>
      <c r="J4936" s="4">
        <v>45992.0</v>
      </c>
      <c r="K4936" s="3">
        <v>2.0</v>
      </c>
      <c r="L4936" s="3" t="s">
        <v>23</v>
      </c>
    </row>
    <row r="4937" ht="15.75" customHeight="1">
      <c r="A4937" s="3" t="s">
        <v>3659</v>
      </c>
      <c r="B4937" s="3" t="s">
        <v>13</v>
      </c>
      <c r="C4937" s="3" t="s">
        <v>37</v>
      </c>
      <c r="D4937" s="3">
        <v>89011.6612159524</v>
      </c>
      <c r="E4937" s="3">
        <v>31365.0386706053</v>
      </c>
      <c r="F4937" s="3">
        <v>29086.4692018277</v>
      </c>
      <c r="G4937" s="3">
        <v>19701.5572296081</v>
      </c>
      <c r="H4937" s="3">
        <v>-95522.5342337727</v>
      </c>
      <c r="I4937" s="3">
        <v>74308.7239485577</v>
      </c>
      <c r="J4937" s="4">
        <v>45717.0</v>
      </c>
      <c r="K4937" s="3">
        <v>13.0</v>
      </c>
      <c r="L4937" s="3" t="s">
        <v>27</v>
      </c>
    </row>
    <row r="4938" ht="15.75" customHeight="1">
      <c r="A4938" s="3" t="s">
        <v>4061</v>
      </c>
      <c r="B4938" s="3" t="s">
        <v>51</v>
      </c>
      <c r="C4938" s="3" t="s">
        <v>14</v>
      </c>
      <c r="D4938" s="3">
        <v>93713.1042154279</v>
      </c>
      <c r="E4938" s="3">
        <v>33358.5969880516</v>
      </c>
      <c r="F4938" s="3">
        <v>32404.2306833705</v>
      </c>
      <c r="G4938" s="3">
        <v>21169.2991265161</v>
      </c>
      <c r="H4938" s="3">
        <v>-116908.140301396</v>
      </c>
      <c r="I4938" s="3">
        <v>75769.5208979176</v>
      </c>
      <c r="J4938" s="4">
        <v>45748.0</v>
      </c>
      <c r="K4938" s="3">
        <v>10.0</v>
      </c>
      <c r="L4938" s="3" t="s">
        <v>34</v>
      </c>
    </row>
    <row r="4939" ht="15.75" customHeight="1">
      <c r="A4939" s="3" t="s">
        <v>3688</v>
      </c>
      <c r="B4939" s="3" t="s">
        <v>13</v>
      </c>
      <c r="C4939" s="3" t="s">
        <v>37</v>
      </c>
      <c r="D4939" s="3">
        <v>89392.5651626691</v>
      </c>
      <c r="E4939" s="3">
        <v>31526.553812065</v>
      </c>
      <c r="F4939" s="3">
        <v>29355.2693218601</v>
      </c>
      <c r="G4939" s="3">
        <v>19820.4715036632</v>
      </c>
      <c r="H4939" s="3">
        <v>-97255.1643549927</v>
      </c>
      <c r="I4939" s="3">
        <v>74427.0755532513</v>
      </c>
      <c r="J4939" s="4">
        <v>45809.0</v>
      </c>
      <c r="K4939" s="3">
        <v>2.0</v>
      </c>
      <c r="L4939" s="3" t="s">
        <v>42</v>
      </c>
    </row>
    <row r="4940" ht="15.75" customHeight="1">
      <c r="A4940" s="3" t="s">
        <v>4055</v>
      </c>
      <c r="B4940" s="3" t="s">
        <v>25</v>
      </c>
      <c r="C4940" s="3" t="s">
        <v>26</v>
      </c>
      <c r="D4940" s="3">
        <v>93647.8063959907</v>
      </c>
      <c r="E4940" s="3">
        <v>33330.9086780871</v>
      </c>
      <c r="F4940" s="3">
        <v>32358.1506627935</v>
      </c>
      <c r="G4940" s="3">
        <v>21148.9138223924</v>
      </c>
      <c r="H4940" s="3">
        <v>-116611.117994901</v>
      </c>
      <c r="I4940" s="3">
        <v>75749.2320513987</v>
      </c>
      <c r="J4940" s="4">
        <v>45992.0</v>
      </c>
      <c r="K4940" s="3">
        <v>14.0</v>
      </c>
      <c r="L4940" s="3" t="s">
        <v>15</v>
      </c>
    </row>
    <row r="4941" ht="15.75" customHeight="1">
      <c r="A4941" s="3" t="s">
        <v>4453</v>
      </c>
      <c r="B4941" s="3" t="s">
        <v>53</v>
      </c>
      <c r="C4941" s="3" t="s">
        <v>37</v>
      </c>
      <c r="D4941" s="3">
        <v>89890.7</v>
      </c>
      <c r="E4941" s="3">
        <v>16287.47</v>
      </c>
      <c r="F4941" s="3">
        <v>35483.9120585989</v>
      </c>
      <c r="G4941" s="3">
        <v>6490.43</v>
      </c>
      <c r="H4941" s="3">
        <v>-136759.131118796</v>
      </c>
      <c r="I4941" s="3">
        <v>67339.5051693202</v>
      </c>
      <c r="J4941" s="4">
        <v>45870.0</v>
      </c>
      <c r="K4941" s="3">
        <v>15.0</v>
      </c>
      <c r="L4941" s="3" t="s">
        <v>38</v>
      </c>
    </row>
    <row r="4942" ht="15.75" customHeight="1">
      <c r="A4942" s="3" t="s">
        <v>1977</v>
      </c>
      <c r="B4942" s="3" t="s">
        <v>51</v>
      </c>
      <c r="C4942" s="3" t="s">
        <v>26</v>
      </c>
      <c r="D4942" s="3">
        <v>69803.2193315211</v>
      </c>
      <c r="E4942" s="3">
        <v>23173.913639431</v>
      </c>
      <c r="F4942" s="3">
        <v>15454.46311447</v>
      </c>
      <c r="G4942" s="3">
        <v>13670.9047596738</v>
      </c>
      <c r="H4942" s="3">
        <v>-7653.43522907284</v>
      </c>
      <c r="I4942" s="3">
        <v>69686.2484166715</v>
      </c>
      <c r="J4942" s="3" t="s">
        <v>653</v>
      </c>
      <c r="K4942" s="3">
        <v>5.0</v>
      </c>
      <c r="L4942" s="3" t="s">
        <v>42</v>
      </c>
    </row>
    <row r="4943" ht="15.75" customHeight="1">
      <c r="A4943" s="3" t="s">
        <v>3504</v>
      </c>
      <c r="B4943" s="3" t="s">
        <v>53</v>
      </c>
      <c r="C4943" s="3" t="s">
        <v>30</v>
      </c>
      <c r="D4943" s="3">
        <v>87303.03494068</v>
      </c>
      <c r="E4943" s="3">
        <v>30617.4543015629</v>
      </c>
      <c r="F4943" s="3">
        <v>27842.3086462491</v>
      </c>
      <c r="G4943" s="3">
        <v>19151.1540182676</v>
      </c>
      <c r="H4943" s="3">
        <v>-87502.9319584147</v>
      </c>
      <c r="I4943" s="3">
        <v>74152.8840411093</v>
      </c>
      <c r="J4943" s="3" t="s">
        <v>1062</v>
      </c>
      <c r="K4943" s="3">
        <v>25.0</v>
      </c>
      <c r="L4943" s="3" t="s">
        <v>40</v>
      </c>
    </row>
    <row r="4944" ht="15.75" customHeight="1">
      <c r="A4944" s="3" t="s">
        <v>4219</v>
      </c>
      <c r="B4944" s="3" t="s">
        <v>25</v>
      </c>
      <c r="C4944" s="3" t="s">
        <v>26</v>
      </c>
      <c r="D4944" s="3">
        <v>95465.262370325</v>
      </c>
      <c r="E4944" s="3">
        <v>34101.5666387666</v>
      </c>
      <c r="F4944" s="3">
        <v>33640.7112355195</v>
      </c>
      <c r="G4944" s="3">
        <v>21716.3047871693</v>
      </c>
      <c r="H4944" s="3">
        <v>-124878.238859005</v>
      </c>
      <c r="I4944" s="3">
        <v>76313.9382795077</v>
      </c>
      <c r="J4944" s="4">
        <v>45839.0</v>
      </c>
      <c r="K4944" s="3">
        <v>23.0</v>
      </c>
      <c r="L4944" s="3" t="s">
        <v>38</v>
      </c>
    </row>
    <row r="4945" ht="15.75" customHeight="1">
      <c r="A4945" s="3" t="s">
        <v>3253</v>
      </c>
      <c r="B4945" s="3" t="s">
        <v>13</v>
      </c>
      <c r="C4945" s="3" t="s">
        <v>54</v>
      </c>
      <c r="D4945" s="3">
        <v>84408.1649456326</v>
      </c>
      <c r="E4945" s="3">
        <v>29389.9392264686</v>
      </c>
      <c r="F4945" s="3">
        <v>25799.4277340028</v>
      </c>
      <c r="G4945" s="3">
        <v>18247.4055354493</v>
      </c>
      <c r="H4945" s="3">
        <v>-74334.9430371467</v>
      </c>
      <c r="I4945" s="3">
        <v>73551.2736785193</v>
      </c>
      <c r="J4945" s="4">
        <v>45778.0</v>
      </c>
      <c r="K4945" s="3">
        <v>17.0</v>
      </c>
      <c r="L4945" s="3" t="s">
        <v>34</v>
      </c>
    </row>
    <row r="4946" ht="15.75" customHeight="1">
      <c r="A4946" s="3" t="s">
        <v>4327</v>
      </c>
      <c r="B4946" s="3" t="s">
        <v>17</v>
      </c>
      <c r="C4946" s="3" t="s">
        <v>54</v>
      </c>
      <c r="D4946" s="3">
        <v>96673.2720299125</v>
      </c>
      <c r="E4946" s="3">
        <v>34613.8003731104</v>
      </c>
      <c r="F4946" s="3">
        <v>34493.1916161937</v>
      </c>
      <c r="G4946" s="3">
        <v>22093.4329134582</v>
      </c>
      <c r="H4946" s="3">
        <v>-130373.151529158</v>
      </c>
      <c r="I4946" s="3">
        <v>76689.2819401071</v>
      </c>
      <c r="J4946" s="4">
        <v>45839.0</v>
      </c>
      <c r="K4946" s="3">
        <v>13.0</v>
      </c>
      <c r="L4946" s="3" t="s">
        <v>40</v>
      </c>
    </row>
    <row r="4947" ht="15.75" customHeight="1">
      <c r="A4947" s="3" t="s">
        <v>2522</v>
      </c>
      <c r="B4947" s="3" t="s">
        <v>13</v>
      </c>
      <c r="C4947" s="3" t="s">
        <v>18</v>
      </c>
      <c r="D4947" s="3">
        <v>76093.5759373008</v>
      </c>
      <c r="E4947" s="3">
        <v>25864.2944243181</v>
      </c>
      <c r="F4947" s="3">
        <v>19931.9051138669</v>
      </c>
      <c r="G4947" s="3">
        <v>15651.6768103621</v>
      </c>
      <c r="H4947" s="3">
        <v>60441.8991269387</v>
      </c>
      <c r="I4947" s="3">
        <v>65441.8991269387</v>
      </c>
      <c r="J4947" s="4">
        <v>45870.0</v>
      </c>
      <c r="K4947" s="3">
        <v>2.0</v>
      </c>
      <c r="L4947" s="3" t="s">
        <v>21</v>
      </c>
    </row>
    <row r="4948" ht="15.75" customHeight="1">
      <c r="A4948" s="3" t="s">
        <v>1598</v>
      </c>
      <c r="B4948" s="3" t="s">
        <v>51</v>
      </c>
      <c r="C4948" s="3" t="s">
        <v>30</v>
      </c>
      <c r="D4948" s="3">
        <v>65515.3291884809</v>
      </c>
      <c r="E4948" s="3">
        <v>21355.7146184267</v>
      </c>
      <c r="F4948" s="3">
        <v>12428.5417632481</v>
      </c>
      <c r="G4948" s="3">
        <v>12332.2697888827</v>
      </c>
      <c r="H4948" s="3">
        <v>11851.0295640831</v>
      </c>
      <c r="I4948" s="3">
        <v>68353.9474952646</v>
      </c>
      <c r="J4948" s="4">
        <v>45992.0</v>
      </c>
      <c r="K4948" s="3">
        <v>22.0</v>
      </c>
      <c r="L4948" s="3" t="s">
        <v>31</v>
      </c>
    </row>
    <row r="4949" ht="15.75" customHeight="1">
      <c r="A4949" s="3" t="s">
        <v>523</v>
      </c>
      <c r="B4949" s="3" t="s">
        <v>36</v>
      </c>
      <c r="C4949" s="3" t="s">
        <v>14</v>
      </c>
      <c r="D4949" s="3">
        <v>23074.1</v>
      </c>
      <c r="E4949" s="3">
        <v>6922.23</v>
      </c>
      <c r="F4949" s="3">
        <v>949.66</v>
      </c>
      <c r="G4949" s="3">
        <v>5207.77</v>
      </c>
      <c r="H4949" s="3">
        <v>30945.99</v>
      </c>
      <c r="I4949" s="3">
        <v>25738.22</v>
      </c>
      <c r="J4949" s="3" t="s">
        <v>482</v>
      </c>
      <c r="K4949" s="3">
        <v>21.0</v>
      </c>
      <c r="L4949" s="3" t="s">
        <v>40</v>
      </c>
    </row>
    <row r="4950" ht="15.75" customHeight="1">
      <c r="A4950" s="3" t="s">
        <v>4412</v>
      </c>
      <c r="B4950" s="3" t="s">
        <v>51</v>
      </c>
      <c r="C4950" s="3" t="s">
        <v>14</v>
      </c>
      <c r="D4950" s="3">
        <v>116806.39</v>
      </c>
      <c r="E4950" s="3">
        <v>37639.59</v>
      </c>
      <c r="F4950" s="3">
        <v>35169.0319179895</v>
      </c>
      <c r="G4950" s="3">
        <v>7305.22</v>
      </c>
      <c r="H4950" s="3">
        <v>-134729.478691082</v>
      </c>
      <c r="I4950" s="3">
        <v>67200.8647181079</v>
      </c>
      <c r="J4950" s="4">
        <v>45931.0</v>
      </c>
      <c r="K4950" s="3">
        <v>25.0</v>
      </c>
      <c r="L4950" s="3" t="s">
        <v>34</v>
      </c>
    </row>
    <row r="4951" ht="15.75" customHeight="1">
      <c r="A4951" s="3" t="s">
        <v>2559</v>
      </c>
      <c r="B4951" s="3" t="s">
        <v>29</v>
      </c>
      <c r="C4951" s="3" t="s">
        <v>18</v>
      </c>
      <c r="D4951" s="3">
        <v>76507.1287937362</v>
      </c>
      <c r="E4951" s="3">
        <v>26039.6537207602</v>
      </c>
      <c r="F4951" s="3">
        <v>20223.7452441878</v>
      </c>
      <c r="G4951" s="3">
        <v>15780.783736479</v>
      </c>
      <c r="H4951" s="3">
        <v>-38395.2439512807</v>
      </c>
      <c r="I4951" s="3">
        <v>71096.3232497341</v>
      </c>
      <c r="J4951" s="4">
        <v>45992.0</v>
      </c>
      <c r="K4951" s="3">
        <v>19.0</v>
      </c>
      <c r="L4951" s="3" t="s">
        <v>15</v>
      </c>
    </row>
    <row r="4952" ht="15.75" customHeight="1">
      <c r="A4952" s="3" t="s">
        <v>756</v>
      </c>
      <c r="B4952" s="3" t="s">
        <v>13</v>
      </c>
      <c r="C4952" s="3" t="s">
        <v>54</v>
      </c>
      <c r="D4952" s="3">
        <v>36596.33</v>
      </c>
      <c r="E4952" s="3">
        <v>10978.9</v>
      </c>
      <c r="F4952" s="3">
        <v>5557.66</v>
      </c>
      <c r="G4952" s="3">
        <v>2434.54</v>
      </c>
      <c r="H4952" s="3">
        <v>53132.89</v>
      </c>
      <c r="I4952" s="3">
        <v>50698.35</v>
      </c>
      <c r="J4952" s="4">
        <v>45809.0</v>
      </c>
      <c r="K4952" s="3">
        <v>1.0</v>
      </c>
      <c r="L4952" s="3" t="s">
        <v>40</v>
      </c>
    </row>
    <row r="4953" ht="15.75" customHeight="1">
      <c r="A4953" s="3" t="s">
        <v>2758</v>
      </c>
      <c r="B4953" s="3" t="s">
        <v>25</v>
      </c>
      <c r="C4953" s="3" t="s">
        <v>33</v>
      </c>
      <c r="D4953" s="3">
        <v>78781.6695041306</v>
      </c>
      <c r="E4953" s="3">
        <v>27004.1298511914</v>
      </c>
      <c r="F4953" s="3">
        <v>21828.8659609527</v>
      </c>
      <c r="G4953" s="3">
        <v>16490.871830122</v>
      </c>
      <c r="H4953" s="3">
        <v>-48741.5209608477</v>
      </c>
      <c r="I4953" s="3">
        <v>71803.0514034753</v>
      </c>
      <c r="J4953" s="4">
        <v>45748.0</v>
      </c>
      <c r="K4953" s="3">
        <v>12.0</v>
      </c>
      <c r="L4953" s="3" t="s">
        <v>42</v>
      </c>
    </row>
    <row r="4954" ht="15.75" customHeight="1">
      <c r="A4954" s="3" t="s">
        <v>3827</v>
      </c>
      <c r="B4954" s="3" t="s">
        <v>51</v>
      </c>
      <c r="C4954" s="3" t="s">
        <v>37</v>
      </c>
      <c r="D4954" s="3">
        <v>91025.0106485981</v>
      </c>
      <c r="E4954" s="3">
        <v>32218.7615611784</v>
      </c>
      <c r="F4954" s="3">
        <v>30507.2698362847</v>
      </c>
      <c r="G4954" s="3">
        <v>20330.1041067562</v>
      </c>
      <c r="H4954" s="3">
        <v>-104680.722017362</v>
      </c>
      <c r="I4954" s="3">
        <v>74934.2967162234</v>
      </c>
      <c r="J4954" s="4">
        <v>45931.0</v>
      </c>
      <c r="K4954" s="3">
        <v>19.0</v>
      </c>
      <c r="L4954" s="3" t="s">
        <v>42</v>
      </c>
    </row>
    <row r="4955" ht="15.75" customHeight="1">
      <c r="A4955" s="3" t="s">
        <v>491</v>
      </c>
      <c r="B4955" s="3" t="s">
        <v>51</v>
      </c>
      <c r="C4955" s="3" t="s">
        <v>18</v>
      </c>
      <c r="D4955" s="3">
        <v>75130.17</v>
      </c>
      <c r="E4955" s="3">
        <v>22539.05</v>
      </c>
      <c r="F4955" s="3">
        <v>5419.89</v>
      </c>
      <c r="G4955" s="3">
        <v>2062.78</v>
      </c>
      <c r="H4955" s="3">
        <v>103089.11</v>
      </c>
      <c r="I4955" s="3">
        <v>101026.33</v>
      </c>
      <c r="J4955" s="3" t="s">
        <v>917</v>
      </c>
      <c r="K4955" s="3">
        <v>11.0</v>
      </c>
      <c r="L4955" s="3" t="s">
        <v>27</v>
      </c>
    </row>
    <row r="4956" ht="15.75" customHeight="1">
      <c r="A4956" s="3" t="s">
        <v>4410</v>
      </c>
      <c r="B4956" s="3" t="s">
        <v>29</v>
      </c>
      <c r="C4956" s="3" t="s">
        <v>30</v>
      </c>
      <c r="D4956" s="3">
        <v>72404.58</v>
      </c>
      <c r="E4956" s="3">
        <v>34620.68</v>
      </c>
      <c r="F4956" s="3">
        <v>35153.6719111305</v>
      </c>
      <c r="G4956" s="3">
        <v>20307.28</v>
      </c>
      <c r="H4956" s="3">
        <v>-134630.471255584</v>
      </c>
      <c r="I4956" s="3">
        <v>67194.1017692682</v>
      </c>
      <c r="J4956" s="4">
        <v>45870.0</v>
      </c>
      <c r="K4956" s="3">
        <v>8.0</v>
      </c>
      <c r="L4956" s="3" t="s">
        <v>27</v>
      </c>
    </row>
    <row r="4957" ht="15.75" customHeight="1">
      <c r="A4957" s="3" t="s">
        <v>2551</v>
      </c>
      <c r="B4957" s="3" t="s">
        <v>53</v>
      </c>
      <c r="C4957" s="3" t="s">
        <v>30</v>
      </c>
      <c r="D4957" s="3">
        <v>76409.1820645804</v>
      </c>
      <c r="E4957" s="3">
        <v>25998.1212558134</v>
      </c>
      <c r="F4957" s="3">
        <v>20154.6252133223</v>
      </c>
      <c r="G4957" s="3">
        <v>15750.2057802934</v>
      </c>
      <c r="H4957" s="3">
        <v>-37949.7104915387</v>
      </c>
      <c r="I4957" s="3">
        <v>71065.8899799557</v>
      </c>
      <c r="J4957" s="4">
        <v>45809.0</v>
      </c>
      <c r="K4957" s="3">
        <v>18.0</v>
      </c>
      <c r="L4957" s="3" t="s">
        <v>19</v>
      </c>
    </row>
    <row r="4958" ht="15.75" customHeight="1">
      <c r="A4958" s="3" t="s">
        <v>2845</v>
      </c>
      <c r="B4958" s="3" t="s">
        <v>51</v>
      </c>
      <c r="C4958" s="3" t="s">
        <v>30</v>
      </c>
      <c r="D4958" s="3">
        <v>79717.6049160632</v>
      </c>
      <c r="E4958" s="3">
        <v>27400.9956273497</v>
      </c>
      <c r="F4958" s="3">
        <v>22489.3462558895</v>
      </c>
      <c r="G4958" s="3">
        <v>16783.0611892286</v>
      </c>
      <c r="H4958" s="3">
        <v>-52998.8406872727</v>
      </c>
      <c r="I4958" s="3">
        <v>72093.8582035793</v>
      </c>
      <c r="J4958" s="4">
        <v>45839.0</v>
      </c>
      <c r="K4958" s="3">
        <v>4.0</v>
      </c>
      <c r="L4958" s="3" t="s">
        <v>31</v>
      </c>
    </row>
    <row r="4959" ht="15.75" customHeight="1">
      <c r="A4959" s="3" t="s">
        <v>1690</v>
      </c>
      <c r="B4959" s="3" t="s">
        <v>17</v>
      </c>
      <c r="C4959" s="3" t="s">
        <v>26</v>
      </c>
      <c r="D4959" s="3">
        <v>66538.328359663</v>
      </c>
      <c r="E4959" s="3">
        <v>21789.4981412044</v>
      </c>
      <c r="F4959" s="3">
        <v>13150.4620856209</v>
      </c>
      <c r="G4959" s="3">
        <v>12651.6395534877</v>
      </c>
      <c r="H4959" s="3">
        <v>7197.68009566516</v>
      </c>
      <c r="I4959" s="3">
        <v>68671.8060907271</v>
      </c>
      <c r="J4959" s="4">
        <v>45717.0</v>
      </c>
      <c r="K4959" s="3">
        <v>23.0</v>
      </c>
      <c r="L4959" s="3" t="s">
        <v>42</v>
      </c>
    </row>
    <row r="4960" ht="15.75" customHeight="1">
      <c r="A4960" s="3" t="s">
        <v>4523</v>
      </c>
      <c r="B4960" s="3" t="s">
        <v>51</v>
      </c>
      <c r="C4960" s="3" t="s">
        <v>26</v>
      </c>
      <c r="D4960" s="3">
        <v>102706.76</v>
      </c>
      <c r="E4960" s="3">
        <v>17994.15</v>
      </c>
      <c r="F4960" s="3">
        <v>36052.2323123817</v>
      </c>
      <c r="G4960" s="3">
        <v>15543.76</v>
      </c>
      <c r="H4960" s="3">
        <v>-140422.406232231</v>
      </c>
      <c r="I4960" s="3">
        <v>67589.7342763865</v>
      </c>
      <c r="J4960" s="4">
        <v>45901.0</v>
      </c>
      <c r="K4960" s="3">
        <v>14.0</v>
      </c>
      <c r="L4960" s="3" t="s">
        <v>19</v>
      </c>
    </row>
    <row r="4961" ht="15.75" customHeight="1">
      <c r="A4961" s="3" t="s">
        <v>4667</v>
      </c>
      <c r="B4961" s="3" t="s">
        <v>17</v>
      </c>
      <c r="C4961" s="3" t="s">
        <v>26</v>
      </c>
      <c r="D4961" s="3">
        <v>116078.08</v>
      </c>
      <c r="E4961" s="3">
        <v>35504.81</v>
      </c>
      <c r="F4961" s="3">
        <v>37188.8728199473</v>
      </c>
      <c r="G4961" s="3">
        <v>8190.04</v>
      </c>
      <c r="H4961" s="3">
        <v>-147748.956459102</v>
      </c>
      <c r="I4961" s="3">
        <v>68090.192490519</v>
      </c>
      <c r="J4961" s="4">
        <v>45809.0</v>
      </c>
      <c r="K4961" s="3">
        <v>1.0</v>
      </c>
      <c r="L4961" s="3" t="s">
        <v>42</v>
      </c>
    </row>
    <row r="4962" ht="15.75" customHeight="1">
      <c r="A4962" s="3" t="s">
        <v>2689</v>
      </c>
      <c r="B4962" s="3" t="s">
        <v>17</v>
      </c>
      <c r="C4962" s="3" t="s">
        <v>54</v>
      </c>
      <c r="D4962" s="3">
        <v>77998.0956708847</v>
      </c>
      <c r="E4962" s="3">
        <v>26671.870131617</v>
      </c>
      <c r="F4962" s="3">
        <v>21275.9057140289</v>
      </c>
      <c r="G4962" s="3">
        <v>16246.2481806373</v>
      </c>
      <c r="H4962" s="3">
        <v>-45177.2532829108</v>
      </c>
      <c r="I4962" s="3">
        <v>71559.5852452486</v>
      </c>
      <c r="J4962" s="4">
        <v>45778.0</v>
      </c>
      <c r="K4962" s="3">
        <v>16.0</v>
      </c>
      <c r="L4962" s="3" t="s">
        <v>38</v>
      </c>
    </row>
    <row r="4963" ht="15.75" customHeight="1">
      <c r="A4963" s="3" t="s">
        <v>1768</v>
      </c>
      <c r="B4963" s="3" t="s">
        <v>51</v>
      </c>
      <c r="C4963" s="3" t="s">
        <v>54</v>
      </c>
      <c r="D4963" s="3">
        <v>67452.4978317833</v>
      </c>
      <c r="E4963" s="3">
        <v>22177.1344807079</v>
      </c>
      <c r="F4963" s="3">
        <v>13795.5823736987</v>
      </c>
      <c r="G4963" s="3">
        <v>12937.0338112198</v>
      </c>
      <c r="H4963" s="3">
        <v>3039.36780473856</v>
      </c>
      <c r="I4963" s="3">
        <v>68955.8499419915</v>
      </c>
      <c r="J4963" s="4">
        <v>45901.0</v>
      </c>
      <c r="K4963" s="3">
        <v>16.0</v>
      </c>
      <c r="L4963" s="3" t="s">
        <v>23</v>
      </c>
    </row>
    <row r="4964" ht="15.75" customHeight="1">
      <c r="A4964" s="3" t="s">
        <v>694</v>
      </c>
      <c r="B4964" s="3" t="s">
        <v>51</v>
      </c>
      <c r="C4964" s="3" t="s">
        <v>54</v>
      </c>
      <c r="D4964" s="3">
        <v>39230.03</v>
      </c>
      <c r="E4964" s="3">
        <v>11769.01</v>
      </c>
      <c r="F4964" s="3">
        <v>4084.93</v>
      </c>
      <c r="G4964" s="3">
        <v>7339.23</v>
      </c>
      <c r="H4964" s="3">
        <v>55083.97</v>
      </c>
      <c r="I4964" s="3">
        <v>47744.74</v>
      </c>
      <c r="J4964" s="4">
        <v>45931.0</v>
      </c>
      <c r="K4964" s="3">
        <v>8.0</v>
      </c>
      <c r="L4964" s="3" t="s">
        <v>21</v>
      </c>
    </row>
    <row r="4965" ht="15.75" customHeight="1">
      <c r="A4965" s="3" t="s">
        <v>4830</v>
      </c>
      <c r="B4965" s="3" t="s">
        <v>53</v>
      </c>
      <c r="C4965" s="3" t="s">
        <v>30</v>
      </c>
      <c r="D4965" s="3">
        <v>62435.4487050281</v>
      </c>
      <c r="E4965" s="3">
        <v>32747.8836804895</v>
      </c>
      <c r="F4965" s="3">
        <v>38502.1534063913</v>
      </c>
      <c r="G4965" s="5"/>
      <c r="H4965" s="3">
        <v>-156214.092194203</v>
      </c>
      <c r="I4965" s="3">
        <v>68668.4246163073</v>
      </c>
      <c r="J4965" s="4">
        <v>45931.0</v>
      </c>
      <c r="K4965" s="3">
        <v>22.0</v>
      </c>
      <c r="L4965" s="3" t="s">
        <v>15</v>
      </c>
    </row>
    <row r="4966" ht="15.75" customHeight="1">
      <c r="A4966" s="3" t="s">
        <v>3676</v>
      </c>
      <c r="B4966" s="3" t="s">
        <v>53</v>
      </c>
      <c r="C4966" s="3" t="s">
        <v>37</v>
      </c>
      <c r="D4966" s="3">
        <v>89229.3206140762</v>
      </c>
      <c r="E4966" s="3">
        <v>31457.3330371537</v>
      </c>
      <c r="F4966" s="3">
        <v>29240.0692704176</v>
      </c>
      <c r="G4966" s="3">
        <v>19769.5082433539</v>
      </c>
      <c r="H4966" s="3">
        <v>-96512.6085887557</v>
      </c>
      <c r="I4966" s="3">
        <v>74376.353436954</v>
      </c>
      <c r="J4966" s="4">
        <v>45658.0</v>
      </c>
      <c r="K4966" s="3">
        <v>18.0</v>
      </c>
      <c r="L4966" s="3" t="s">
        <v>27</v>
      </c>
    </row>
    <row r="4967" ht="15.75" customHeight="1">
      <c r="A4967" s="3" t="s">
        <v>2867</v>
      </c>
      <c r="B4967" s="3" t="s">
        <v>25</v>
      </c>
      <c r="C4967" s="3" t="s">
        <v>18</v>
      </c>
      <c r="D4967" s="3">
        <v>79967.9132239057</v>
      </c>
      <c r="E4967" s="3">
        <v>27507.1341488804</v>
      </c>
      <c r="F4967" s="3">
        <v>22665.986334768</v>
      </c>
      <c r="G4967" s="3">
        <v>16861.2048550362</v>
      </c>
      <c r="H4967" s="3">
        <v>-54137.4261955027</v>
      </c>
      <c r="I4967" s="3">
        <v>72171.632115235</v>
      </c>
      <c r="J4967" s="4">
        <v>45839.0</v>
      </c>
      <c r="K4967" s="3">
        <v>11.0</v>
      </c>
      <c r="L4967" s="3" t="s">
        <v>40</v>
      </c>
    </row>
    <row r="4968" ht="15.75" customHeight="1">
      <c r="A4968" s="3" t="s">
        <v>3574</v>
      </c>
      <c r="B4968" s="3" t="s">
        <v>51</v>
      </c>
      <c r="C4968" s="3" t="s">
        <v>37</v>
      </c>
      <c r="D4968" s="3">
        <v>88043.0768943011</v>
      </c>
      <c r="E4968" s="3">
        <v>30954.3287394647</v>
      </c>
      <c r="F4968" s="3">
        <v>28402.9488966024</v>
      </c>
      <c r="G4968" s="3">
        <v>19399.1752184396</v>
      </c>
      <c r="H4968" s="3">
        <v>-91116.7033541007</v>
      </c>
      <c r="I4968" s="3">
        <v>74007.7727251943</v>
      </c>
      <c r="J4968" s="4">
        <v>45901.0</v>
      </c>
      <c r="K4968" s="3">
        <v>21.0</v>
      </c>
      <c r="L4968" s="3" t="s">
        <v>31</v>
      </c>
    </row>
    <row r="4969" ht="15.75" customHeight="1">
      <c r="A4969" s="3" t="s">
        <v>3848</v>
      </c>
      <c r="B4969" s="3" t="s">
        <v>36</v>
      </c>
      <c r="C4969" s="3" t="s">
        <v>14</v>
      </c>
      <c r="D4969" s="3">
        <v>91264.4359865344</v>
      </c>
      <c r="E4969" s="3">
        <v>32320.2853643816</v>
      </c>
      <c r="F4969" s="3">
        <v>30676.2299117336</v>
      </c>
      <c r="G4969" s="3">
        <v>20404.8502218765</v>
      </c>
      <c r="H4969" s="3">
        <v>-105769.803807842</v>
      </c>
      <c r="I4969" s="3">
        <v>75008.6891534593</v>
      </c>
      <c r="J4969" s="4">
        <v>45839.0</v>
      </c>
      <c r="K4969" s="3">
        <v>15.0</v>
      </c>
      <c r="L4969" s="3" t="s">
        <v>19</v>
      </c>
    </row>
    <row r="4970" ht="15.75" customHeight="1">
      <c r="A4970" s="3" t="s">
        <v>3918</v>
      </c>
      <c r="B4970" s="3" t="s">
        <v>29</v>
      </c>
      <c r="C4970" s="3" t="s">
        <v>26</v>
      </c>
      <c r="D4970" s="3">
        <v>92091.5416994051</v>
      </c>
      <c r="E4970" s="3">
        <v>32671.0039572657</v>
      </c>
      <c r="F4970" s="3">
        <v>31259.9101723754</v>
      </c>
      <c r="G4970" s="3">
        <v>20663.0640741103</v>
      </c>
      <c r="H4970" s="3">
        <v>-109532.086356776</v>
      </c>
      <c r="I4970" s="3">
        <v>75265.6812093652</v>
      </c>
      <c r="J4970" s="3" t="s">
        <v>4088</v>
      </c>
      <c r="K4970" s="3">
        <v>15.0</v>
      </c>
      <c r="L4970" s="3" t="s">
        <v>38</v>
      </c>
    </row>
    <row r="4971" ht="15.75" customHeight="1">
      <c r="A4971" s="3" t="s">
        <v>3892</v>
      </c>
      <c r="B4971" s="3" t="s">
        <v>36</v>
      </c>
      <c r="C4971" s="3" t="s">
        <v>54</v>
      </c>
      <c r="D4971" s="3">
        <v>91765.0526022193</v>
      </c>
      <c r="E4971" s="3">
        <v>32532.5624074431</v>
      </c>
      <c r="F4971" s="3">
        <v>31029.5100694905</v>
      </c>
      <c r="G4971" s="3">
        <v>20561.1375534917</v>
      </c>
      <c r="H4971" s="3">
        <v>-108046.974824302</v>
      </c>
      <c r="I4971" s="3">
        <v>75164.2369767708</v>
      </c>
      <c r="J4971" s="4">
        <v>45658.0</v>
      </c>
      <c r="K4971" s="3">
        <v>2.0</v>
      </c>
      <c r="L4971" s="3" t="s">
        <v>38</v>
      </c>
    </row>
    <row r="4972" ht="15.75" customHeight="1">
      <c r="A4972" s="3" t="s">
        <v>3240</v>
      </c>
      <c r="B4972" s="3" t="s">
        <v>17</v>
      </c>
      <c r="C4972" s="3" t="s">
        <v>18</v>
      </c>
      <c r="D4972" s="3">
        <v>84266.686336852</v>
      </c>
      <c r="E4972" s="3">
        <v>29329.9478882121</v>
      </c>
      <c r="F4972" s="3">
        <v>25699.5876894194</v>
      </c>
      <c r="G4972" s="3">
        <v>18203.2373765146</v>
      </c>
      <c r="H4972" s="3">
        <v>-73691.3947064078</v>
      </c>
      <c r="I4972" s="3">
        <v>73507.3145110617</v>
      </c>
      <c r="J4972" s="4">
        <v>45962.0</v>
      </c>
      <c r="K4972" s="3">
        <v>20.0</v>
      </c>
      <c r="L4972" s="3" t="s">
        <v>23</v>
      </c>
    </row>
    <row r="4973" ht="15.75" customHeight="1">
      <c r="A4973" s="3" t="s">
        <v>3522</v>
      </c>
      <c r="B4973" s="3" t="s">
        <v>29</v>
      </c>
      <c r="C4973" s="3" t="s">
        <v>14</v>
      </c>
      <c r="D4973" s="3">
        <v>87498.9283989915</v>
      </c>
      <c r="E4973" s="3">
        <v>30700.5192314565</v>
      </c>
      <c r="F4973" s="3">
        <v>27980.5487079801</v>
      </c>
      <c r="G4973" s="3">
        <v>19212.3099306388</v>
      </c>
      <c r="H4973" s="3">
        <v>-88393.9988778987</v>
      </c>
      <c r="I4973" s="3">
        <v>73821.7916321045</v>
      </c>
      <c r="J4973" s="4">
        <v>45992.0</v>
      </c>
      <c r="K4973" s="3">
        <v>8.0</v>
      </c>
      <c r="L4973" s="3" t="s">
        <v>15</v>
      </c>
    </row>
    <row r="4974" ht="15.75" customHeight="1">
      <c r="A4974" s="3" t="s">
        <v>4165</v>
      </c>
      <c r="B4974" s="3" t="s">
        <v>17</v>
      </c>
      <c r="C4974" s="3" t="s">
        <v>37</v>
      </c>
      <c r="D4974" s="3">
        <v>94866.6990254844</v>
      </c>
      <c r="E4974" s="3">
        <v>33847.7571307584</v>
      </c>
      <c r="F4974" s="3">
        <v>33218.3110468972</v>
      </c>
      <c r="G4974" s="3">
        <v>21529.4394993685</v>
      </c>
      <c r="H4974" s="3">
        <v>-122155.534382803</v>
      </c>
      <c r="I4974" s="3">
        <v>76127.9571864179</v>
      </c>
      <c r="J4974" s="4">
        <v>45962.0</v>
      </c>
      <c r="K4974" s="3">
        <v>18.0</v>
      </c>
      <c r="L4974" s="3" t="s">
        <v>21</v>
      </c>
    </row>
    <row r="4975" ht="15.75" customHeight="1">
      <c r="A4975" s="3" t="s">
        <v>4026</v>
      </c>
      <c r="B4975" s="3" t="s">
        <v>25</v>
      </c>
      <c r="C4975" s="3" t="s">
        <v>54</v>
      </c>
      <c r="D4975" s="3">
        <v>93299.5513589925</v>
      </c>
      <c r="E4975" s="3">
        <v>33183.2376916096</v>
      </c>
      <c r="F4975" s="3">
        <v>32112.3905530496</v>
      </c>
      <c r="G4975" s="3">
        <v>21040.1922003992</v>
      </c>
      <c r="H4975" s="3">
        <v>-115026.999026929</v>
      </c>
      <c r="I4975" s="3">
        <v>75641.0248699646</v>
      </c>
      <c r="J4975" s="4">
        <v>45778.0</v>
      </c>
      <c r="K4975" s="3">
        <v>17.0</v>
      </c>
      <c r="L4975" s="3" t="s">
        <v>40</v>
      </c>
    </row>
    <row r="4976" ht="15.75" customHeight="1">
      <c r="A4976" s="3" t="s">
        <v>2518</v>
      </c>
      <c r="B4976" s="3" t="s">
        <v>25</v>
      </c>
      <c r="C4976" s="3" t="s">
        <v>33</v>
      </c>
      <c r="D4976" s="3">
        <v>76050.044057676</v>
      </c>
      <c r="E4976" s="3">
        <v>25845.8355510084</v>
      </c>
      <c r="F4976" s="3">
        <v>19901.1851001489</v>
      </c>
      <c r="G4976" s="3">
        <v>15638.0866076129</v>
      </c>
      <c r="H4976" s="3">
        <v>-36316.0878058177</v>
      </c>
      <c r="I4976" s="3">
        <v>70954.3013241018</v>
      </c>
      <c r="J4976" s="4">
        <v>45778.0</v>
      </c>
      <c r="K4976" s="3">
        <v>18.0</v>
      </c>
      <c r="L4976" s="3" t="s">
        <v>40</v>
      </c>
    </row>
    <row r="4977" ht="15.75" customHeight="1">
      <c r="A4977" s="3" t="s">
        <v>441</v>
      </c>
      <c r="B4977" s="3" t="s">
        <v>13</v>
      </c>
      <c r="C4977" s="3" t="s">
        <v>54</v>
      </c>
      <c r="D4977" s="3">
        <v>40242.45</v>
      </c>
      <c r="E4977" s="3">
        <v>12072.73</v>
      </c>
      <c r="F4977" s="3">
        <v>7173.89</v>
      </c>
      <c r="G4977" s="3">
        <v>5415.07</v>
      </c>
      <c r="H4977" s="3">
        <v>59489.07</v>
      </c>
      <c r="I4977" s="3">
        <v>54074.0</v>
      </c>
      <c r="J4977" s="4">
        <v>45839.0</v>
      </c>
      <c r="K4977" s="3">
        <v>18.0</v>
      </c>
      <c r="L4977" s="3" t="s">
        <v>38</v>
      </c>
    </row>
    <row r="4978" ht="15.75" customHeight="1">
      <c r="A4978" s="3" t="s">
        <v>1222</v>
      </c>
      <c r="B4978" s="3" t="s">
        <v>17</v>
      </c>
      <c r="C4978" s="3" t="s">
        <v>18</v>
      </c>
      <c r="D4978" s="3">
        <v>21000.0</v>
      </c>
      <c r="E4978" s="3">
        <v>19560.5891890595</v>
      </c>
      <c r="F4978" s="3">
        <v>9441.02042917371</v>
      </c>
      <c r="G4978" s="3">
        <v>11010.6225715281</v>
      </c>
      <c r="H4978" s="3">
        <v>31107.9757684934</v>
      </c>
      <c r="I4978" s="3">
        <v>67038.5539459568</v>
      </c>
      <c r="J4978" s="4">
        <v>45748.0</v>
      </c>
      <c r="K4978" s="3">
        <v>13.0</v>
      </c>
      <c r="L4978" s="3" t="s">
        <v>34</v>
      </c>
    </row>
    <row r="4979" ht="15.75" customHeight="1">
      <c r="A4979" s="3" t="s">
        <v>1361</v>
      </c>
      <c r="B4979" s="3" t="s">
        <v>17</v>
      </c>
      <c r="C4979" s="3" t="s">
        <v>30</v>
      </c>
      <c r="D4979" s="3">
        <v>62827.2356216511</v>
      </c>
      <c r="E4979" s="3">
        <v>20215.8791915535</v>
      </c>
      <c r="F4979" s="3">
        <v>10531.5809161623</v>
      </c>
      <c r="G4979" s="3">
        <v>11493.0747691228</v>
      </c>
      <c r="H4979" s="3">
        <v>24078.4478481174</v>
      </c>
      <c r="I4979" s="3">
        <v>67518.7233135704</v>
      </c>
      <c r="J4979" s="4">
        <v>45689.0</v>
      </c>
      <c r="K4979" s="3">
        <v>25.0</v>
      </c>
      <c r="L4979" s="3" t="s">
        <v>40</v>
      </c>
    </row>
    <row r="4980" ht="15.75" customHeight="1">
      <c r="A4980" s="3" t="s">
        <v>3760</v>
      </c>
      <c r="B4980" s="3" t="s">
        <v>17</v>
      </c>
      <c r="C4980" s="3" t="s">
        <v>14</v>
      </c>
      <c r="D4980" s="3">
        <v>90230.553845446</v>
      </c>
      <c r="E4980" s="3">
        <v>31881.8871232765</v>
      </c>
      <c r="F4980" s="3">
        <v>29946.6295859314</v>
      </c>
      <c r="G4980" s="3">
        <v>20082.0829065843</v>
      </c>
      <c r="H4980" s="3">
        <v>-101066.950621675</v>
      </c>
      <c r="I4980" s="3">
        <v>74687.449083577</v>
      </c>
      <c r="J4980" s="4">
        <v>45992.0</v>
      </c>
      <c r="K4980" s="3">
        <v>17.0</v>
      </c>
      <c r="L4980" s="3" t="s">
        <v>34</v>
      </c>
    </row>
    <row r="4981" ht="15.75" customHeight="1">
      <c r="A4981" s="3" t="s">
        <v>3752</v>
      </c>
      <c r="B4981" s="3" t="s">
        <v>25</v>
      </c>
      <c r="C4981" s="3" t="s">
        <v>54</v>
      </c>
      <c r="D4981" s="3">
        <v>90143.4900861965</v>
      </c>
      <c r="E4981" s="3">
        <v>31844.9693766572</v>
      </c>
      <c r="F4981" s="3">
        <v>29885.1895584954</v>
      </c>
      <c r="G4981" s="3">
        <v>20054.902501086</v>
      </c>
      <c r="H4981" s="3">
        <v>-100670.920879682</v>
      </c>
      <c r="I4981" s="3">
        <v>74660.3972882184</v>
      </c>
      <c r="J4981" s="4">
        <v>45931.0</v>
      </c>
      <c r="K4981" s="3">
        <v>3.0</v>
      </c>
      <c r="L4981" s="3" t="s">
        <v>40</v>
      </c>
    </row>
    <row r="4982" ht="15.75" customHeight="1">
      <c r="A4982" s="3" t="s">
        <v>3046</v>
      </c>
      <c r="B4982" s="3" t="s">
        <v>36</v>
      </c>
      <c r="C4982" s="3" t="s">
        <v>30</v>
      </c>
      <c r="D4982" s="3">
        <v>82003.0285963638</v>
      </c>
      <c r="E4982" s="3">
        <v>28370.0864761083</v>
      </c>
      <c r="F4982" s="3">
        <v>24102.1469760839</v>
      </c>
      <c r="G4982" s="3">
        <v>17496.5468335589</v>
      </c>
      <c r="H4982" s="3">
        <v>-63394.6214145897</v>
      </c>
      <c r="I4982" s="3">
        <v>72803.9678317403</v>
      </c>
      <c r="J4982" s="4">
        <v>45689.0</v>
      </c>
      <c r="K4982" s="3">
        <v>1.0</v>
      </c>
      <c r="L4982" s="3" t="s">
        <v>31</v>
      </c>
    </row>
    <row r="4983" ht="15.75" customHeight="1">
      <c r="A4983" s="3" t="s">
        <v>2218</v>
      </c>
      <c r="B4983" s="3" t="s">
        <v>53</v>
      </c>
      <c r="C4983" s="3" t="s">
        <v>14</v>
      </c>
      <c r="D4983" s="3">
        <v>72665.4404168499</v>
      </c>
      <c r="E4983" s="3">
        <v>24387.5845595431</v>
      </c>
      <c r="F4983" s="3">
        <v>17474.3040164278</v>
      </c>
      <c r="G4983" s="3">
        <v>14564.4605904303</v>
      </c>
      <c r="H4983" s="3">
        <v>99573.5003268193</v>
      </c>
      <c r="I4983" s="3">
        <v>70416.9031476561</v>
      </c>
      <c r="J4983" s="3" t="s">
        <v>1031</v>
      </c>
      <c r="K4983" s="3">
        <v>22.0</v>
      </c>
      <c r="L4983" s="3" t="s">
        <v>40</v>
      </c>
    </row>
    <row r="4984" ht="15.75" customHeight="1">
      <c r="A4984" s="3" t="s">
        <v>3109</v>
      </c>
      <c r="B4984" s="3" t="s">
        <v>17</v>
      </c>
      <c r="C4984" s="3" t="s">
        <v>14</v>
      </c>
      <c r="D4984" s="3">
        <v>82699.5386703602</v>
      </c>
      <c r="E4984" s="3">
        <v>28665.4284490633</v>
      </c>
      <c r="F4984" s="3">
        <v>24593.6671955718</v>
      </c>
      <c r="G4984" s="3">
        <v>17713.9900775453</v>
      </c>
      <c r="H4984" s="3">
        <v>-66562.8593505337</v>
      </c>
      <c r="I4984" s="3">
        <v>73020.3821946085</v>
      </c>
      <c r="J4984" s="4">
        <v>45901.0</v>
      </c>
      <c r="K4984" s="3">
        <v>13.0</v>
      </c>
      <c r="L4984" s="3" t="s">
        <v>42</v>
      </c>
    </row>
    <row r="4985" ht="15.75" customHeight="1">
      <c r="A4985" s="3" t="s">
        <v>1144</v>
      </c>
      <c r="B4985" s="3" t="s">
        <v>51</v>
      </c>
      <c r="C4985" s="3" t="s">
        <v>26</v>
      </c>
      <c r="D4985" s="3">
        <v>59846.32</v>
      </c>
      <c r="E4985" s="3">
        <v>28349.0</v>
      </c>
      <c r="F4985" s="3">
        <v>4.86</v>
      </c>
      <c r="G4985" s="3">
        <v>23117.03</v>
      </c>
      <c r="H4985" s="3">
        <v>88200.18</v>
      </c>
      <c r="I4985" s="3">
        <v>67454.4752995939</v>
      </c>
      <c r="J4985" s="3" t="s">
        <v>1023</v>
      </c>
      <c r="K4985" s="3">
        <v>10.0</v>
      </c>
      <c r="L4985" s="3" t="s">
        <v>31</v>
      </c>
    </row>
    <row r="4986" ht="15.75" customHeight="1">
      <c r="A4986" s="3" t="s">
        <v>752</v>
      </c>
      <c r="B4986" s="3" t="s">
        <v>36</v>
      </c>
      <c r="C4986" s="3" t="s">
        <v>14</v>
      </c>
      <c r="D4986" s="3">
        <v>22011.34</v>
      </c>
      <c r="E4986" s="3">
        <v>6603.4</v>
      </c>
      <c r="F4986" s="3">
        <v>0.75</v>
      </c>
      <c r="G4986" s="3">
        <v>600.22</v>
      </c>
      <c r="H4986" s="3">
        <v>28615.49</v>
      </c>
      <c r="I4986" s="3">
        <v>28015.27</v>
      </c>
      <c r="J4986" s="4">
        <v>45931.0</v>
      </c>
      <c r="K4986" s="3">
        <v>21.0</v>
      </c>
      <c r="L4986" s="3" t="s">
        <v>27</v>
      </c>
    </row>
    <row r="4987" ht="15.75" customHeight="1">
      <c r="A4987" s="3" t="s">
        <v>3584</v>
      </c>
      <c r="B4987" s="3" t="s">
        <v>17</v>
      </c>
      <c r="C4987" s="3" t="s">
        <v>54</v>
      </c>
      <c r="D4987" s="3">
        <v>88151.9065933631</v>
      </c>
      <c r="E4987" s="3">
        <v>31000.4759227389</v>
      </c>
      <c r="F4987" s="3">
        <v>28479.7489308974</v>
      </c>
      <c r="G4987" s="3">
        <v>19433.1507253125</v>
      </c>
      <c r="H4987" s="3">
        <v>-91611.7405315917</v>
      </c>
      <c r="I4987" s="3">
        <v>74041.5874693924</v>
      </c>
      <c r="J4987" s="4">
        <v>45809.0</v>
      </c>
      <c r="K4987" s="3">
        <v>8.0</v>
      </c>
      <c r="L4987" s="3" t="s">
        <v>31</v>
      </c>
    </row>
    <row r="4988" ht="15.75" customHeight="1">
      <c r="A4988" s="3" t="s">
        <v>3315</v>
      </c>
      <c r="B4988" s="3" t="s">
        <v>25</v>
      </c>
      <c r="C4988" s="3" t="s">
        <v>54</v>
      </c>
      <c r="D4988" s="3">
        <v>85115.5579895351</v>
      </c>
      <c r="E4988" s="3">
        <v>29689.895917751</v>
      </c>
      <c r="F4988" s="3">
        <v>26298.6279569202</v>
      </c>
      <c r="G4988" s="3">
        <v>18468.246330123</v>
      </c>
      <c r="H4988" s="3">
        <v>-77552.6846908397</v>
      </c>
      <c r="I4988" s="3">
        <v>73771.0695158073</v>
      </c>
      <c r="J4988" s="4">
        <v>45809.0</v>
      </c>
      <c r="K4988" s="3">
        <v>23.0</v>
      </c>
      <c r="L4988" s="3" t="s">
        <v>19</v>
      </c>
    </row>
    <row r="4989" ht="15.75" customHeight="1">
      <c r="A4989" s="3" t="s">
        <v>3788</v>
      </c>
      <c r="B4989" s="3" t="s">
        <v>25</v>
      </c>
      <c r="C4989" s="3" t="s">
        <v>33</v>
      </c>
      <c r="D4989" s="3">
        <v>90567.925912538</v>
      </c>
      <c r="E4989" s="3">
        <v>32024.9433914266</v>
      </c>
      <c r="F4989" s="3">
        <v>30184.7096922458</v>
      </c>
      <c r="G4989" s="3">
        <v>20187.4069778902</v>
      </c>
      <c r="H4989" s="3">
        <v>-102601.565871898</v>
      </c>
      <c r="I4989" s="3">
        <v>74792.2747905912</v>
      </c>
      <c r="J4989" s="4">
        <v>45778.0</v>
      </c>
      <c r="K4989" s="3">
        <v>14.0</v>
      </c>
      <c r="L4989" s="3" t="s">
        <v>38</v>
      </c>
    </row>
    <row r="4990" ht="15.75" customHeight="1">
      <c r="A4990" s="3" t="s">
        <v>1180</v>
      </c>
      <c r="B4990" s="3" t="s">
        <v>25</v>
      </c>
      <c r="C4990" s="3" t="s">
        <v>14</v>
      </c>
      <c r="D4990" s="3">
        <v>71256.34</v>
      </c>
      <c r="E4990" s="3">
        <v>17679.25</v>
      </c>
      <c r="F4990" s="3">
        <v>9949.82196621572</v>
      </c>
      <c r="G4990" s="3">
        <v>6163.81</v>
      </c>
      <c r="H4990" s="3">
        <v>98554.42</v>
      </c>
      <c r="I4990" s="3">
        <v>67582.9713275469</v>
      </c>
      <c r="J4990" s="3" t="s">
        <v>1042</v>
      </c>
      <c r="K4990" s="3">
        <v>19.0</v>
      </c>
      <c r="L4990" s="3" t="s">
        <v>23</v>
      </c>
    </row>
    <row r="4991" ht="15.75" customHeight="1">
      <c r="A4991" s="3" t="s">
        <v>2467</v>
      </c>
      <c r="B4991" s="3" t="s">
        <v>29</v>
      </c>
      <c r="C4991" s="3" t="s">
        <v>18</v>
      </c>
      <c r="D4991" s="3">
        <v>75505.8955623664</v>
      </c>
      <c r="E4991" s="3">
        <v>25615.0996346373</v>
      </c>
      <c r="F4991" s="3">
        <v>19517.1849286741</v>
      </c>
      <c r="G4991" s="3">
        <v>15468.2090732486</v>
      </c>
      <c r="H4991" s="3">
        <v>-33840.9019183607</v>
      </c>
      <c r="I4991" s="3">
        <v>70785.2276031111</v>
      </c>
      <c r="J4991" s="4">
        <v>45870.0</v>
      </c>
      <c r="K4991" s="3">
        <v>9.0</v>
      </c>
      <c r="L4991" s="3" t="s">
        <v>40</v>
      </c>
    </row>
    <row r="4992" ht="15.75" customHeight="1">
      <c r="A4992" s="3" t="s">
        <v>3293</v>
      </c>
      <c r="B4992" s="3" t="s">
        <v>29</v>
      </c>
      <c r="C4992" s="3" t="s">
        <v>33</v>
      </c>
      <c r="D4992" s="3">
        <v>84865.2496816927</v>
      </c>
      <c r="E4992" s="3">
        <v>29583.7573962203</v>
      </c>
      <c r="F4992" s="3">
        <v>26121.9878780417</v>
      </c>
      <c r="G4992" s="3">
        <v>18390.1026643154</v>
      </c>
      <c r="H4992" s="3">
        <v>-76414.0991826097</v>
      </c>
      <c r="I4992" s="3">
        <v>73693.2956041515</v>
      </c>
      <c r="J4992" s="4">
        <v>45717.0</v>
      </c>
      <c r="K4992" s="3">
        <v>17.0</v>
      </c>
      <c r="L4992" s="3" t="s">
        <v>40</v>
      </c>
    </row>
    <row r="4993" ht="15.75" customHeight="1">
      <c r="A4993" s="3" t="s">
        <v>3025</v>
      </c>
      <c r="B4993" s="3" t="s">
        <v>53</v>
      </c>
      <c r="C4993" s="3" t="s">
        <v>30</v>
      </c>
      <c r="D4993" s="5"/>
      <c r="E4993" s="3">
        <v>28259.3332362502</v>
      </c>
      <c r="F4993" s="3">
        <v>23917.826893776</v>
      </c>
      <c r="G4993" s="3">
        <v>17415.005617064</v>
      </c>
      <c r="H4993" s="3">
        <v>-62206.5321886107</v>
      </c>
      <c r="I4993" s="3">
        <v>72722.8124456648</v>
      </c>
      <c r="J4993" s="4">
        <v>45717.0</v>
      </c>
      <c r="K4993" s="3">
        <v>18.0</v>
      </c>
      <c r="L4993" s="3" t="s">
        <v>19</v>
      </c>
    </row>
    <row r="4994" ht="15.75" customHeight="1">
      <c r="A4994" s="3" t="s">
        <v>2597</v>
      </c>
      <c r="B4994" s="3" t="s">
        <v>25</v>
      </c>
      <c r="C4994" s="3" t="s">
        <v>30</v>
      </c>
      <c r="D4994" s="3">
        <v>76942.4475899839</v>
      </c>
      <c r="E4994" s="3">
        <v>26224.2424538571</v>
      </c>
      <c r="F4994" s="3">
        <v>20530.9453813677</v>
      </c>
      <c r="G4994" s="3">
        <v>15916.6857639705</v>
      </c>
      <c r="H4994" s="3">
        <v>-40375.3926612457</v>
      </c>
      <c r="I4994" s="3">
        <v>71231.5822265266</v>
      </c>
      <c r="J4994" s="4">
        <v>45839.0</v>
      </c>
      <c r="K4994" s="3">
        <v>24.0</v>
      </c>
      <c r="L4994" s="3" t="s">
        <v>15</v>
      </c>
    </row>
    <row r="4995" ht="15.75" customHeight="1">
      <c r="A4995" s="3" t="s">
        <v>4470</v>
      </c>
      <c r="B4995" s="3" t="s">
        <v>51</v>
      </c>
      <c r="C4995" s="3" t="s">
        <v>26</v>
      </c>
      <c r="D4995" s="3">
        <v>39023.81</v>
      </c>
      <c r="E4995" s="3">
        <v>36053.84</v>
      </c>
      <c r="F4995" s="3">
        <v>35614.4721169003</v>
      </c>
      <c r="G4995" s="3">
        <v>10950.54</v>
      </c>
      <c r="H4995" s="3">
        <v>-137600.694320531</v>
      </c>
      <c r="I4995" s="3">
        <v>67396.9902344571</v>
      </c>
      <c r="J4995" s="4">
        <v>45809.0</v>
      </c>
      <c r="K4995" s="3">
        <v>18.0</v>
      </c>
      <c r="L4995" s="3" t="s">
        <v>27</v>
      </c>
    </row>
    <row r="4996" ht="15.75" customHeight="1">
      <c r="A4996" s="3" t="s">
        <v>4747</v>
      </c>
      <c r="B4996" s="3" t="s">
        <v>25</v>
      </c>
      <c r="C4996" s="3" t="s">
        <v>30</v>
      </c>
      <c r="D4996" s="3">
        <v>61499.5132930955</v>
      </c>
      <c r="E4996" s="3">
        <v>32458.2686500547</v>
      </c>
      <c r="F4996" s="3">
        <v>37841.6731114545</v>
      </c>
      <c r="G4996" s="3">
        <v>20596.2803951353</v>
      </c>
      <c r="H4996" s="3">
        <v>-151956.772467778</v>
      </c>
      <c r="I4996" s="3">
        <v>68377.6178162033</v>
      </c>
      <c r="J4996" s="4">
        <v>45689.0</v>
      </c>
      <c r="K4996" s="3">
        <v>17.0</v>
      </c>
      <c r="L4996" s="3" t="s">
        <v>27</v>
      </c>
    </row>
    <row r="4997" ht="15.75" customHeight="1">
      <c r="A4997" s="3" t="s">
        <v>3868</v>
      </c>
      <c r="B4997" s="3" t="s">
        <v>29</v>
      </c>
      <c r="C4997" s="3" t="s">
        <v>54</v>
      </c>
      <c r="D4997" s="3">
        <v>91482.0953846583</v>
      </c>
      <c r="E4997" s="3">
        <v>32412.5797309301</v>
      </c>
      <c r="F4997" s="3">
        <v>30829.8299803235</v>
      </c>
      <c r="G4997" s="3">
        <v>20472.8012356223</v>
      </c>
      <c r="H4997" s="3">
        <v>-106759.878162825</v>
      </c>
      <c r="I4997" s="3">
        <v>75076.3186418556</v>
      </c>
      <c r="J4997" s="4">
        <v>45962.0</v>
      </c>
      <c r="K4997" s="3">
        <v>12.0</v>
      </c>
      <c r="L4997" s="3" t="s">
        <v>19</v>
      </c>
    </row>
    <row r="4998" ht="15.75" customHeight="1">
      <c r="A4998" s="3" t="s">
        <v>3548</v>
      </c>
      <c r="B4998" s="3" t="s">
        <v>36</v>
      </c>
      <c r="C4998" s="3" t="s">
        <v>18</v>
      </c>
      <c r="D4998" s="3">
        <v>87749.2367068339</v>
      </c>
      <c r="E4998" s="3">
        <v>30829.7313446243</v>
      </c>
      <c r="F4998" s="3">
        <v>28195.588804006</v>
      </c>
      <c r="G4998" s="3">
        <v>19307.4413498828</v>
      </c>
      <c r="H4998" s="3">
        <v>-89780.1029748737</v>
      </c>
      <c r="I4998" s="3">
        <v>73916.4729158593</v>
      </c>
      <c r="J4998" s="4">
        <v>45931.0</v>
      </c>
      <c r="K4998" s="3">
        <v>5.0</v>
      </c>
      <c r="L4998" s="3" t="s">
        <v>40</v>
      </c>
    </row>
    <row r="4999" ht="15.75" customHeight="1">
      <c r="A4999" s="3" t="s">
        <v>3467</v>
      </c>
      <c r="B4999" s="3" t="s">
        <v>36</v>
      </c>
      <c r="C4999" s="3" t="s">
        <v>26</v>
      </c>
      <c r="D4999" s="3">
        <v>86856.8331745261</v>
      </c>
      <c r="E4999" s="3">
        <v>30428.2508501386</v>
      </c>
      <c r="F4999" s="3">
        <v>27527.4285056397</v>
      </c>
      <c r="G4999" s="3">
        <v>19011.8544400889</v>
      </c>
      <c r="H4999" s="3">
        <v>-85473.2795306997</v>
      </c>
      <c r="I4999" s="3">
        <v>74036.2280136477</v>
      </c>
      <c r="J4999" s="3" t="s">
        <v>1062</v>
      </c>
      <c r="K4999" s="3">
        <v>22.0</v>
      </c>
      <c r="L4999" s="3" t="s">
        <v>40</v>
      </c>
    </row>
    <row r="5000" ht="15.75" customHeight="1">
      <c r="A5000" s="3" t="s">
        <v>1560</v>
      </c>
      <c r="B5000" s="3" t="s">
        <v>29</v>
      </c>
      <c r="C5000" s="3" t="s">
        <v>18</v>
      </c>
      <c r="D5000" s="3">
        <v>65080.0103922331</v>
      </c>
      <c r="E5000" s="3">
        <v>21171.1258853298</v>
      </c>
      <c r="F5000" s="3">
        <v>12121.3416260682</v>
      </c>
      <c r="G5000" s="3">
        <v>12196.3677613912</v>
      </c>
      <c r="H5000" s="3">
        <v>13831.1782740482</v>
      </c>
      <c r="I5000" s="3">
        <v>68218.688518472</v>
      </c>
      <c r="J5000" s="4">
        <v>45901.0</v>
      </c>
      <c r="K5000" s="3">
        <v>23.0</v>
      </c>
      <c r="L5000" s="3" t="s">
        <v>31</v>
      </c>
    </row>
    <row r="5001" ht="15.75" customHeight="1">
      <c r="A5001" s="3" t="s">
        <v>2022</v>
      </c>
      <c r="B5001" s="3" t="s">
        <v>36</v>
      </c>
      <c r="C5001" s="3" t="s">
        <v>30</v>
      </c>
      <c r="D5001" s="3">
        <v>70325.6018870183</v>
      </c>
      <c r="E5001" s="3">
        <v>23395.4201191473</v>
      </c>
      <c r="F5001" s="3">
        <v>15823.1032790859</v>
      </c>
      <c r="G5001" s="3">
        <v>13833.9871926636</v>
      </c>
      <c r="H5001" s="3">
        <v>-10029.6136810307</v>
      </c>
      <c r="I5001" s="3">
        <v>69848.5591888225</v>
      </c>
      <c r="J5001" s="4">
        <v>45931.0</v>
      </c>
      <c r="K5001" s="3">
        <v>19.0</v>
      </c>
      <c r="L5001" s="3" t="s">
        <v>38</v>
      </c>
    </row>
    <row r="5002" ht="15.75" customHeight="1">
      <c r="A5002" s="3" t="s">
        <v>1830</v>
      </c>
      <c r="B5002" s="3" t="s">
        <v>53</v>
      </c>
      <c r="C5002" s="3" t="s">
        <v>37</v>
      </c>
      <c r="D5002" s="3">
        <v>68159.8908756859</v>
      </c>
      <c r="E5002" s="3">
        <v>22477.0911719903</v>
      </c>
      <c r="F5002" s="3">
        <v>14294.7825966159</v>
      </c>
      <c r="G5002" s="3">
        <v>13157.8746058935</v>
      </c>
      <c r="H5002" s="3">
        <v>-178.37384895474</v>
      </c>
      <c r="I5002" s="3">
        <v>69175.6457792795</v>
      </c>
      <c r="J5002" s="4">
        <v>45689.0</v>
      </c>
      <c r="K5002" s="3">
        <v>22.0</v>
      </c>
      <c r="L5002" s="3" t="s">
        <v>40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3.0"/>
    <col customWidth="1" min="3" max="3" width="21.29"/>
    <col customWidth="1" min="4" max="5" width="19.57"/>
    <col customWidth="1" min="6" max="6" width="27.71"/>
    <col customWidth="1" min="7" max="7" width="19.57"/>
    <col customWidth="1" min="8" max="8" width="20.71"/>
    <col customWidth="1" min="9" max="9" width="19.57"/>
    <col customWidth="1" min="10" max="10" width="26.71"/>
    <col customWidth="1" min="11" max="11" width="19.57"/>
    <col customWidth="1" min="12" max="12" width="23.71"/>
    <col customWidth="1" min="13" max="13" width="24.14"/>
    <col customWidth="1" min="14" max="14" width="19.57"/>
  </cols>
  <sheetData>
    <row r="1">
      <c r="A1" s="6"/>
      <c r="B1" s="6"/>
      <c r="C1" s="6"/>
      <c r="D1" s="6"/>
      <c r="E1" s="7"/>
      <c r="F1" s="7"/>
      <c r="G1" s="7"/>
      <c r="H1" s="6"/>
      <c r="I1" s="6"/>
      <c r="J1" s="8"/>
      <c r="K1" s="6"/>
      <c r="L1" s="9"/>
      <c r="M1" s="6"/>
      <c r="N1" s="6"/>
    </row>
    <row r="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1" t="s">
        <v>4839</v>
      </c>
      <c r="N2" s="12" t="s">
        <v>4840</v>
      </c>
    </row>
    <row r="3">
      <c r="A3" s="13" t="str">
        <f>Raw_Data!A3</f>
        <v>EMP0001</v>
      </c>
      <c r="B3" s="13" t="str">
        <f>TRIM(CLEAN(Raw_Data!B3))</f>
        <v>Sales</v>
      </c>
      <c r="C3" s="13" t="s">
        <v>14</v>
      </c>
      <c r="D3" s="14" t="str">
        <f>IF(ISBLANK(Raw_Data!D3),AVERAGE(Raw_Data!D$2:D$5002),Raw_Data!D3)</f>
        <v>18180.08</v>
      </c>
      <c r="E3" s="15" t="str">
        <f>IF(ISBLANK(Raw_Data!E3),AVERAGE(Raw_Data!E$2:E$5002),Raw_Data!E3)</f>
        <v>5454.02</v>
      </c>
      <c r="F3" s="15" t="str">
        <f>IF(ISBLANK(Raw_Data!F3),AVERAGE(Raw_Data!F$2:F$5002),Raw_Data!F3)</f>
        <v>1000.01</v>
      </c>
      <c r="G3" s="14" t="str">
        <f>IF(ISBLANK(Raw_Data!G3),AVERAGE(Raw_Data!G$2:G$5002),Raw_Data!G3)</f>
        <v>1217.40</v>
      </c>
      <c r="H3" s="15" t="str">
        <f t="shared" ref="H3:H4746" si="1">ROUND(D3+E3+F3,0)</f>
        <v>24634.00</v>
      </c>
      <c r="I3" s="14" t="str">
        <f t="shared" ref="I3:I4746" si="2">+ROUND(H3-G3,0)</f>
        <v>23417.00</v>
      </c>
      <c r="J3" s="16" t="str">
        <f>TEXT(Raw_Data!J3,"MMM-YYY")</f>
        <v>Dec-2025</v>
      </c>
      <c r="K3" s="13" t="str">
        <f>Raw_Data!K3</f>
        <v>14</v>
      </c>
      <c r="L3" s="17" t="str">
        <f>Raw_Data!L3</f>
        <v>Delhi-North</v>
      </c>
      <c r="M3" s="13" t="str">
        <f t="shared" ref="M3:M4746" si="3">IF(COUNTIF($A$3:A3,A3)&gt;1,"Duplicate","OK")</f>
        <v>OK</v>
      </c>
      <c r="N3" s="18" t="str">
        <f t="shared" ref="N3:N4746" si="4">IF(AND(
H3=ROUND(D3+E3+F3,0),
I3=ROUND(H3-G3,0),
I3&gt;=0
),"VALID","ERROR")</f>
        <v>VALID</v>
      </c>
    </row>
    <row r="4">
      <c r="A4" s="13" t="str">
        <f>Raw_Data!A4</f>
        <v>EMP0002</v>
      </c>
      <c r="B4" s="13" t="str">
        <f>TRIM(CLEAN(Raw_Data!B4))</f>
        <v>HR</v>
      </c>
      <c r="C4" s="18" t="s">
        <v>18</v>
      </c>
      <c r="D4" s="14" t="str">
        <f>IF(ISBLANK(Raw_Data!D4),AVERAGE(Raw_Data!D$2:D$5002),Raw_Data!D4)</f>
        <v>84257.36</v>
      </c>
      <c r="E4" s="15" t="str">
        <f>IF(ISBLANK(Raw_Data!E4),AVERAGE(Raw_Data!E$2:E$5002),Raw_Data!E4)</f>
        <v>25277.21</v>
      </c>
      <c r="F4" s="15" t="str">
        <f>IF(ISBLANK(Raw_Data!F4),AVERAGE(Raw_Data!F$2:F$5002),Raw_Data!F4)</f>
        <v>9190.23</v>
      </c>
      <c r="G4" s="14" t="str">
        <f>IF(ISBLANK(Raw_Data!G4),AVERAGE(Raw_Data!G$2:G$5002),Raw_Data!G4)</f>
        <v>14926.00</v>
      </c>
      <c r="H4" s="15" t="str">
        <f t="shared" si="1"/>
        <v>118725.00</v>
      </c>
      <c r="I4" s="14" t="str">
        <f t="shared" si="2"/>
        <v>103799.00</v>
      </c>
      <c r="J4" s="16" t="str">
        <f>TEXT(Raw_Data!J4,"MMM-YYY")</f>
        <v>Jan-2025</v>
      </c>
      <c r="K4" s="13" t="str">
        <f>Raw_Data!K4</f>
        <v>2</v>
      </c>
      <c r="L4" s="17" t="str">
        <f>Raw_Data!L4</f>
        <v>Bangalore-South</v>
      </c>
      <c r="M4" s="13" t="str">
        <f t="shared" si="3"/>
        <v>OK</v>
      </c>
      <c r="N4" s="18" t="str">
        <f t="shared" si="4"/>
        <v>VALID</v>
      </c>
    </row>
    <row r="5">
      <c r="A5" s="13" t="str">
        <f>Raw_Data!A5</f>
        <v>EMP0003</v>
      </c>
      <c r="B5" s="13" t="str">
        <f>TRIM(CLEAN(Raw_Data!B5))</f>
        <v>HR</v>
      </c>
      <c r="C5" s="18" t="s">
        <v>14</v>
      </c>
      <c r="D5" s="14" t="str">
        <f>IF(ISBLANK(Raw_Data!D5),AVERAGE(Raw_Data!D$2:D$5002),Raw_Data!D5)</f>
        <v>19574.19</v>
      </c>
      <c r="E5" s="15" t="str">
        <f>IF(ISBLANK(Raw_Data!E5),AVERAGE(Raw_Data!E$2:E$5002),Raw_Data!E5)</f>
        <v>5872.26</v>
      </c>
      <c r="F5" s="15" t="str">
        <f>IF(ISBLANK(Raw_Data!F5),AVERAGE(Raw_Data!F$2:F$5002),Raw_Data!F5)</f>
        <v>1978.38</v>
      </c>
      <c r="G5" s="14" t="str">
        <f>IF(ISBLANK(Raw_Data!G5),AVERAGE(Raw_Data!G$2:G$5002),Raw_Data!G5)</f>
        <v>155.83</v>
      </c>
      <c r="H5" s="15" t="str">
        <f t="shared" si="1"/>
        <v>27425.00</v>
      </c>
      <c r="I5" s="14" t="str">
        <f t="shared" si="2"/>
        <v>27269.00</v>
      </c>
      <c r="J5" s="16" t="str">
        <f>TEXT(Raw_Data!J5,"MMM-YYY")</f>
        <v>Apr-2025</v>
      </c>
      <c r="K5" s="13" t="str">
        <f>Raw_Data!K5</f>
        <v>4</v>
      </c>
      <c r="L5" s="17" t="str">
        <f>Raw_Data!L5</f>
        <v>Chennai-South</v>
      </c>
      <c r="M5" s="13" t="str">
        <f t="shared" si="3"/>
        <v>OK</v>
      </c>
      <c r="N5" s="18" t="str">
        <f t="shared" si="4"/>
        <v>VALID</v>
      </c>
    </row>
    <row r="6">
      <c r="A6" s="13" t="str">
        <f>Raw_Data!A6</f>
        <v>EMP0004</v>
      </c>
      <c r="B6" s="13" t="str">
        <f>TRIM(CLEAN(Raw_Data!B6))</f>
        <v>Sales</v>
      </c>
      <c r="C6" s="18" t="s">
        <v>18</v>
      </c>
      <c r="D6" s="14" t="str">
        <f>IF(ISBLANK(Raw_Data!D6),AVERAGE(Raw_Data!D$2:D$5002),Raw_Data!D6)</f>
        <v>83234.45</v>
      </c>
      <c r="E6" s="15" t="str">
        <f>IF(ISBLANK(Raw_Data!E6),AVERAGE(Raw_Data!E$2:E$5002),Raw_Data!E6)</f>
        <v>24970.33</v>
      </c>
      <c r="F6" s="15" t="str">
        <f>IF(ISBLANK(Raw_Data!F6),AVERAGE(Raw_Data!F$2:F$5002),Raw_Data!F6)</f>
        <v>6983.70</v>
      </c>
      <c r="G6" s="14" t="str">
        <f>IF(ISBLANK(Raw_Data!G6),AVERAGE(Raw_Data!G$2:G$5002),Raw_Data!G6)</f>
        <v>11216.90</v>
      </c>
      <c r="H6" s="15" t="str">
        <f t="shared" si="1"/>
        <v>115188.00</v>
      </c>
      <c r="I6" s="14" t="str">
        <f t="shared" si="2"/>
        <v>103971.00</v>
      </c>
      <c r="J6" s="16" t="str">
        <f>TEXT(Raw_Data!J6,"MMM-YYY")</f>
        <v>May-2025</v>
      </c>
      <c r="K6" s="13" t="str">
        <f>Raw_Data!K6</f>
        <v>17</v>
      </c>
      <c r="L6" s="17" t="str">
        <f>Raw_Data!L6</f>
        <v>Kolkata-East</v>
      </c>
      <c r="M6" s="13" t="str">
        <f t="shared" si="3"/>
        <v>OK</v>
      </c>
      <c r="N6" s="18" t="str">
        <f t="shared" si="4"/>
        <v>VALID</v>
      </c>
    </row>
    <row r="7">
      <c r="A7" s="13" t="str">
        <f>Raw_Data!A7</f>
        <v>EMP0005</v>
      </c>
      <c r="B7" s="13" t="str">
        <f>TRIM(CLEAN(Raw_Data!B7))</f>
        <v>Customer Support</v>
      </c>
      <c r="C7" s="18" t="s">
        <v>26</v>
      </c>
      <c r="D7" s="14" t="str">
        <f>IF(ISBLANK(Raw_Data!D7),AVERAGE(Raw_Data!D$2:D$5002),Raw_Data!D7)</f>
        <v>90233.96</v>
      </c>
      <c r="E7" s="15" t="str">
        <f>IF(ISBLANK(Raw_Data!E7),AVERAGE(Raw_Data!E$2:E$5002),Raw_Data!E7)</f>
        <v>27070.19</v>
      </c>
      <c r="F7" s="15" t="str">
        <f>IF(ISBLANK(Raw_Data!F7),AVERAGE(Raw_Data!F$2:F$5002),Raw_Data!F7)</f>
        <v>14542.45</v>
      </c>
      <c r="G7" s="14" t="str">
        <f>IF(ISBLANK(Raw_Data!G7),AVERAGE(Raw_Data!G$2:G$5002),Raw_Data!G7)</f>
        <v>18898.76</v>
      </c>
      <c r="H7" s="15" t="str">
        <f t="shared" si="1"/>
        <v>131847.00</v>
      </c>
      <c r="I7" s="14" t="str">
        <f t="shared" si="2"/>
        <v>112948.00</v>
      </c>
      <c r="J7" s="16" t="str">
        <f>TEXT(Raw_Data!J7,"MMM-YYY")</f>
        <v>Jun-2025</v>
      </c>
      <c r="K7" s="13" t="str">
        <f>Raw_Data!K7</f>
        <v>23</v>
      </c>
      <c r="L7" s="17" t="str">
        <f>Raw_Data!L7</f>
        <v>Pune-West</v>
      </c>
      <c r="M7" s="13" t="str">
        <f t="shared" si="3"/>
        <v>OK</v>
      </c>
      <c r="N7" s="18" t="str">
        <f t="shared" si="4"/>
        <v>VALID</v>
      </c>
    </row>
    <row r="8">
      <c r="A8" s="13" t="str">
        <f>Raw_Data!A8</f>
        <v>EMP0006</v>
      </c>
      <c r="B8" s="13" t="str">
        <f>TRIM(CLEAN(Raw_Data!B8))</f>
        <v>IT</v>
      </c>
      <c r="C8" s="18" t="s">
        <v>30</v>
      </c>
      <c r="D8" s="14" t="str">
        <f>IF(ISBLANK(Raw_Data!D8),AVERAGE(Raw_Data!D$2:D$5002),Raw_Data!D8)</f>
        <v>23894.76</v>
      </c>
      <c r="E8" s="15" t="str">
        <f>IF(ISBLANK(Raw_Data!E8),AVERAGE(Raw_Data!E$2:E$5002),Raw_Data!E8)</f>
        <v>7168.43</v>
      </c>
      <c r="F8" s="15" t="str">
        <f>IF(ISBLANK(Raw_Data!F8),AVERAGE(Raw_Data!F$2:F$5002),Raw_Data!F8)</f>
        <v>3648.70</v>
      </c>
      <c r="G8" s="14" t="str">
        <f>IF(ISBLANK(Raw_Data!G8),AVERAGE(Raw_Data!G$2:G$5002),Raw_Data!G8)</f>
        <v>732.69</v>
      </c>
      <c r="H8" s="15" t="str">
        <f t="shared" si="1"/>
        <v>34712.00</v>
      </c>
      <c r="I8" s="14" t="str">
        <f t="shared" si="2"/>
        <v>33979.00</v>
      </c>
      <c r="J8" s="16" t="str">
        <f>TEXT(Raw_Data!J8,"MMM-YYY")</f>
        <v>Jul-2025</v>
      </c>
      <c r="K8" s="13" t="str">
        <f>Raw_Data!K8</f>
        <v>2</v>
      </c>
      <c r="L8" s="17" t="str">
        <f>Raw_Data!L8</f>
        <v>Hyderabad-South</v>
      </c>
      <c r="M8" s="13" t="str">
        <f t="shared" si="3"/>
        <v>OK</v>
      </c>
      <c r="N8" s="18" t="str">
        <f t="shared" si="4"/>
        <v>VALID</v>
      </c>
    </row>
    <row r="9">
      <c r="A9" s="13" t="str">
        <f>Raw_Data!A9</f>
        <v>EMP0007</v>
      </c>
      <c r="B9" s="13" t="str">
        <f>TRIM(CLEAN(Raw_Data!B9))</f>
        <v>HR</v>
      </c>
      <c r="C9" s="18" t="s">
        <v>33</v>
      </c>
      <c r="D9" s="14" t="str">
        <f>IF(ISBLANK(Raw_Data!D9),AVERAGE(Raw_Data!D$2:D$5002),Raw_Data!D9)</f>
        <v>33474.94</v>
      </c>
      <c r="E9" s="15" t="str">
        <f>IF(ISBLANK(Raw_Data!E9),AVERAGE(Raw_Data!E$2:E$5002),Raw_Data!E9)</f>
        <v>10042.48</v>
      </c>
      <c r="F9" s="15" t="str">
        <f>IF(ISBLANK(Raw_Data!F9),AVERAGE(Raw_Data!F$2:F$5002),Raw_Data!F9)</f>
        <v>4041.94</v>
      </c>
      <c r="G9" s="14" t="str">
        <f>IF(ISBLANK(Raw_Data!G9),AVERAGE(Raw_Data!G$2:G$5002),Raw_Data!G9)</f>
        <v>8105.57</v>
      </c>
      <c r="H9" s="15" t="str">
        <f t="shared" si="1"/>
        <v>47559.00</v>
      </c>
      <c r="I9" s="14" t="str">
        <f t="shared" si="2"/>
        <v>39453.00</v>
      </c>
      <c r="J9" s="16" t="str">
        <f>TEXT(Raw_Data!J9,"MMM-YYY")</f>
        <v>Dec-2025</v>
      </c>
      <c r="K9" s="13" t="str">
        <f>Raw_Data!K9</f>
        <v>25</v>
      </c>
      <c r="L9" s="17" t="str">
        <f>Raw_Data!L9</f>
        <v>Chandigarh-North</v>
      </c>
      <c r="M9" s="13" t="str">
        <f t="shared" si="3"/>
        <v>OK</v>
      </c>
      <c r="N9" s="18" t="str">
        <f t="shared" si="4"/>
        <v>VALID</v>
      </c>
    </row>
    <row r="10">
      <c r="A10" s="13" t="str">
        <f>Raw_Data!A10</f>
        <v>EMP0008</v>
      </c>
      <c r="B10" s="13" t="str">
        <f>TRIM(CLEAN(Raw_Data!B10))</f>
        <v>Marketing</v>
      </c>
      <c r="C10" s="18" t="s">
        <v>37</v>
      </c>
      <c r="D10" s="14" t="str">
        <f>IF(ISBLANK(Raw_Data!D10),AVERAGE(Raw_Data!D$2:D$5002),Raw_Data!D10)</f>
        <v>47246.87</v>
      </c>
      <c r="E10" s="15" t="str">
        <f>IF(ISBLANK(Raw_Data!E10),AVERAGE(Raw_Data!E$2:E$5002),Raw_Data!E10)</f>
        <v>14174.06</v>
      </c>
      <c r="F10" s="15" t="str">
        <f>IF(ISBLANK(Raw_Data!F10),AVERAGE(Raw_Data!F$2:F$5002),Raw_Data!F10)</f>
        <v>8715.11</v>
      </c>
      <c r="G10" s="14" t="str">
        <f>IF(ISBLANK(Raw_Data!G10),AVERAGE(Raw_Data!G$2:G$5002),Raw_Data!G10)</f>
        <v>1116.92</v>
      </c>
      <c r="H10" s="15" t="str">
        <f t="shared" si="1"/>
        <v>70136.00</v>
      </c>
      <c r="I10" s="14" t="str">
        <f t="shared" si="2"/>
        <v>69019.00</v>
      </c>
      <c r="J10" s="16" t="str">
        <f>TEXT(Raw_Data!J10,"MMM-YYY")</f>
        <v>May-2025</v>
      </c>
      <c r="K10" s="13" t="str">
        <f>Raw_Data!K10</f>
        <v>18</v>
      </c>
      <c r="L10" s="17" t="str">
        <f>Raw_Data!L10</f>
        <v>Ahmedabad-West</v>
      </c>
      <c r="M10" s="13" t="str">
        <f t="shared" si="3"/>
        <v>OK</v>
      </c>
      <c r="N10" s="18" t="str">
        <f t="shared" si="4"/>
        <v>VALID</v>
      </c>
    </row>
    <row r="11">
      <c r="A11" s="13" t="str">
        <f>Raw_Data!A11</f>
        <v>EMP0009</v>
      </c>
      <c r="B11" s="13" t="str">
        <f>TRIM(CLEAN(Raw_Data!B11))</f>
        <v>Customer Support</v>
      </c>
      <c r="C11" s="18" t="s">
        <v>18</v>
      </c>
      <c r="D11" s="14" t="str">
        <f>IF(ISBLANK(Raw_Data!D11),AVERAGE(Raw_Data!D$2:D$5002),Raw_Data!D11)</f>
        <v>81081.51</v>
      </c>
      <c r="E11" s="15" t="str">
        <f>IF(ISBLANK(Raw_Data!E11),AVERAGE(Raw_Data!E$2:E$5002),Raw_Data!E11)</f>
        <v>24324.45</v>
      </c>
      <c r="F11" s="15" t="str">
        <f>IF(ISBLANK(Raw_Data!F11),AVERAGE(Raw_Data!F$2:F$5002),Raw_Data!F11)</f>
        <v>13973.70</v>
      </c>
      <c r="G11" s="14" t="str">
        <f>IF(ISBLANK(Raw_Data!G11),AVERAGE(Raw_Data!G$2:G$5002),Raw_Data!G11)</f>
        <v>14043.78</v>
      </c>
      <c r="H11" s="15" t="str">
        <f t="shared" si="1"/>
        <v>119380.00</v>
      </c>
      <c r="I11" s="14" t="str">
        <f t="shared" si="2"/>
        <v>105336.00</v>
      </c>
      <c r="J11" s="16" t="str">
        <f>TEXT(Raw_Data!J11,"MMM-YYY")</f>
        <v>Dec-2025</v>
      </c>
      <c r="K11" s="13" t="str">
        <f>Raw_Data!K11</f>
        <v>4</v>
      </c>
      <c r="L11" s="17" t="str">
        <f>Raw_Data!L11</f>
        <v>Jaipur-North</v>
      </c>
      <c r="M11" s="13" t="str">
        <f t="shared" si="3"/>
        <v>OK</v>
      </c>
      <c r="N11" s="18" t="str">
        <f t="shared" si="4"/>
        <v>VALID</v>
      </c>
    </row>
    <row r="12">
      <c r="A12" s="13" t="str">
        <f>Raw_Data!A12</f>
        <v>EMP0010</v>
      </c>
      <c r="B12" s="13" t="str">
        <f>TRIM(CLEAN(Raw_Data!B12))</f>
        <v>HR</v>
      </c>
      <c r="C12" s="18" t="s">
        <v>14</v>
      </c>
      <c r="D12" s="14" t="str">
        <f>IF(ISBLANK(Raw_Data!D12),AVERAGE(Raw_Data!D$2:D$5002),Raw_Data!D12)</f>
        <v>22761.10</v>
      </c>
      <c r="E12" s="15" t="str">
        <f>IF(ISBLANK(Raw_Data!E12),AVERAGE(Raw_Data!E$2:E$5002),Raw_Data!E12)</f>
        <v>6828.33</v>
      </c>
      <c r="F12" s="15" t="str">
        <f>IF(ISBLANK(Raw_Data!F12),AVERAGE(Raw_Data!F$2:F$5002),Raw_Data!F12)</f>
        <v>3519.18</v>
      </c>
      <c r="G12" s="14" t="str">
        <f>IF(ISBLANK(Raw_Data!G12),AVERAGE(Raw_Data!G$2:G$5002),Raw_Data!G12)</f>
        <v>6727.42</v>
      </c>
      <c r="H12" s="15" t="str">
        <f t="shared" si="1"/>
        <v>33109.00</v>
      </c>
      <c r="I12" s="14" t="str">
        <f t="shared" si="2"/>
        <v>26382.00</v>
      </c>
      <c r="J12" s="16" t="str">
        <f>TEXT(Raw_Data!J12,"MMM-YYY")</f>
        <v>Apr-2025</v>
      </c>
      <c r="K12" s="13" t="str">
        <f>Raw_Data!K12</f>
        <v>18</v>
      </c>
      <c r="L12" s="17" t="str">
        <f>Raw_Data!L12</f>
        <v>Mumbai-HO</v>
      </c>
      <c r="M12" s="13" t="str">
        <f t="shared" si="3"/>
        <v>OK</v>
      </c>
      <c r="N12" s="18" t="str">
        <f t="shared" si="4"/>
        <v>VALID</v>
      </c>
    </row>
    <row r="13">
      <c r="A13" s="13" t="str">
        <f>Raw_Data!A13</f>
        <v>EMP0011</v>
      </c>
      <c r="B13" s="13" t="str">
        <f>TRIM(CLEAN(Raw_Data!B13))</f>
        <v>Customer Support</v>
      </c>
      <c r="C13" s="18" t="s">
        <v>14</v>
      </c>
      <c r="D13" s="14" t="str">
        <f>IF(ISBLANK(Raw_Data!D13),AVERAGE(Raw_Data!D$2:D$5002),Raw_Data!D13)</f>
        <v>20736.91</v>
      </c>
      <c r="E13" s="15" t="str">
        <f>IF(ISBLANK(Raw_Data!E13),AVERAGE(Raw_Data!E$2:E$5002),Raw_Data!E13)</f>
        <v>6221.07</v>
      </c>
      <c r="F13" s="15" t="str">
        <f>IF(ISBLANK(Raw_Data!F13),AVERAGE(Raw_Data!F$2:F$5002),Raw_Data!F13)</f>
        <v>1880.47</v>
      </c>
      <c r="G13" s="14" t="str">
        <f>IF(ISBLANK(Raw_Data!G13),AVERAGE(Raw_Data!G$2:G$5002),Raw_Data!G13)</f>
        <v>5189.06</v>
      </c>
      <c r="H13" s="15" t="str">
        <f t="shared" si="1"/>
        <v>28838.00</v>
      </c>
      <c r="I13" s="14" t="str">
        <f t="shared" si="2"/>
        <v>23649.00</v>
      </c>
      <c r="J13" s="16" t="str">
        <f>TEXT(Raw_Data!J13,"MMM-YYY")</f>
        <v>Mar-2025</v>
      </c>
      <c r="K13" s="13" t="str">
        <f>Raw_Data!K13</f>
        <v>18</v>
      </c>
      <c r="L13" s="17" t="str">
        <f>Raw_Data!L13</f>
        <v>Delhi-North</v>
      </c>
      <c r="M13" s="13" t="str">
        <f t="shared" si="3"/>
        <v>OK</v>
      </c>
      <c r="N13" s="18" t="str">
        <f t="shared" si="4"/>
        <v>VALID</v>
      </c>
    </row>
    <row r="14">
      <c r="A14" s="13" t="str">
        <f>Raw_Data!A14</f>
        <v>EMP0012</v>
      </c>
      <c r="B14" s="13" t="str">
        <f>TRIM(CLEAN(Raw_Data!B14))</f>
        <v>IT</v>
      </c>
      <c r="C14" s="18" t="s">
        <v>33</v>
      </c>
      <c r="D14" s="14" t="str">
        <f>IF(ISBLANK(Raw_Data!D14),AVERAGE(Raw_Data!D$2:D$5002),Raw_Data!D14)</f>
        <v>27095.07</v>
      </c>
      <c r="E14" s="15" t="str">
        <f>IF(ISBLANK(Raw_Data!E14),AVERAGE(Raw_Data!E$2:E$5002),Raw_Data!E14)</f>
        <v>8128.52</v>
      </c>
      <c r="F14" s="15" t="str">
        <f>IF(ISBLANK(Raw_Data!F14),AVERAGE(Raw_Data!F$2:F$5002),Raw_Data!F14)</f>
        <v>1446.76</v>
      </c>
      <c r="G14" s="14" t="str">
        <f>IF(ISBLANK(Raw_Data!G14),AVERAGE(Raw_Data!G$2:G$5002),Raw_Data!G14)</f>
        <v>7613.62</v>
      </c>
      <c r="H14" s="15" t="str">
        <f t="shared" si="1"/>
        <v>36670.00</v>
      </c>
      <c r="I14" s="14" t="str">
        <f t="shared" si="2"/>
        <v>29056.00</v>
      </c>
      <c r="J14" s="16" t="str">
        <f>TEXT(Raw_Data!J14,"MMM-YYY")</f>
        <v>Nov-2025</v>
      </c>
      <c r="K14" s="13" t="str">
        <f>Raw_Data!K14</f>
        <v>14</v>
      </c>
      <c r="L14" s="17" t="str">
        <f>Raw_Data!L14</f>
        <v>Bangalore-South</v>
      </c>
      <c r="M14" s="13" t="str">
        <f t="shared" si="3"/>
        <v>OK</v>
      </c>
      <c r="N14" s="18" t="str">
        <f t="shared" si="4"/>
        <v>VALID</v>
      </c>
    </row>
    <row r="15">
      <c r="A15" s="13" t="str">
        <f>Raw_Data!A15</f>
        <v>EMP0013</v>
      </c>
      <c r="B15" s="13" t="str">
        <f>TRIM(CLEAN(Raw_Data!B15))</f>
        <v>HR</v>
      </c>
      <c r="C15" s="18" t="s">
        <v>37</v>
      </c>
      <c r="D15" s="14" t="str">
        <f>IF(ISBLANK(Raw_Data!D15),AVERAGE(Raw_Data!D$2:D$5002),Raw_Data!D15)</f>
        <v>56429.61</v>
      </c>
      <c r="E15" s="15" t="str">
        <f>IF(ISBLANK(Raw_Data!E15),AVERAGE(Raw_Data!E$2:E$5002),Raw_Data!E15)</f>
        <v>16928.88</v>
      </c>
      <c r="F15" s="15" t="str">
        <f>IF(ISBLANK(Raw_Data!F15),AVERAGE(Raw_Data!F$2:F$5002),Raw_Data!F15)</f>
        <v>6028.26</v>
      </c>
      <c r="G15" s="14" t="str">
        <f>IF(ISBLANK(Raw_Data!G15),AVERAGE(Raw_Data!G$2:G$5002),Raw_Data!G15)</f>
        <v>4144.38</v>
      </c>
      <c r="H15" s="15" t="str">
        <f t="shared" si="1"/>
        <v>79387.00</v>
      </c>
      <c r="I15" s="14" t="str">
        <f t="shared" si="2"/>
        <v>75243.00</v>
      </c>
      <c r="J15" s="16" t="str">
        <f>TEXT(Raw_Data!J15,"MMM-YYY")</f>
        <v>Aug-2025</v>
      </c>
      <c r="K15" s="13" t="str">
        <f>Raw_Data!K15</f>
        <v>10</v>
      </c>
      <c r="L15" s="17" t="str">
        <f>Raw_Data!L15</f>
        <v>Chennai-South</v>
      </c>
      <c r="M15" s="13" t="str">
        <f t="shared" si="3"/>
        <v>OK</v>
      </c>
      <c r="N15" s="18" t="str">
        <f t="shared" si="4"/>
        <v>VALID</v>
      </c>
    </row>
    <row r="16">
      <c r="A16" s="13" t="str">
        <f>Raw_Data!A16</f>
        <v>EMP0014</v>
      </c>
      <c r="B16" s="13" t="str">
        <f>TRIM(CLEAN(Raw_Data!B16))</f>
        <v>Marketing</v>
      </c>
      <c r="C16" s="18" t="s">
        <v>33</v>
      </c>
      <c r="D16" s="14" t="str">
        <f>IF(ISBLANK(Raw_Data!D16),AVERAGE(Raw_Data!D$2:D$5002),Raw_Data!D16)</f>
        <v>34895.23</v>
      </c>
      <c r="E16" s="15" t="str">
        <f>IF(ISBLANK(Raw_Data!E16),AVERAGE(Raw_Data!E$2:E$5002),Raw_Data!E16)</f>
        <v>10468.57</v>
      </c>
      <c r="F16" s="15" t="str">
        <f>IF(ISBLANK(Raw_Data!F16),AVERAGE(Raw_Data!F$2:F$5002),Raw_Data!F16)</f>
        <v>4466.59</v>
      </c>
      <c r="G16" s="14" t="str">
        <f>IF(ISBLANK(Raw_Data!G16),AVERAGE(Raw_Data!G$2:G$5002),Raw_Data!G16)</f>
        <v>5830.47</v>
      </c>
      <c r="H16" s="15" t="str">
        <f t="shared" si="1"/>
        <v>49830.00</v>
      </c>
      <c r="I16" s="14" t="str">
        <f t="shared" si="2"/>
        <v>44000.00</v>
      </c>
      <c r="J16" s="16" t="str">
        <f>TEXT(Raw_Data!J16,"MMM-YYY")</f>
        <v>Nov-2025</v>
      </c>
      <c r="K16" s="13" t="str">
        <f>Raw_Data!K16</f>
        <v>18</v>
      </c>
      <c r="L16" s="17" t="str">
        <f>Raw_Data!L16</f>
        <v>Kolkata-East</v>
      </c>
      <c r="M16" s="13" t="str">
        <f t="shared" si="3"/>
        <v>OK</v>
      </c>
      <c r="N16" s="18" t="str">
        <f t="shared" si="4"/>
        <v>VALID</v>
      </c>
    </row>
    <row r="17">
      <c r="A17" s="13" t="str">
        <f>Raw_Data!A17</f>
        <v>EMP0015</v>
      </c>
      <c r="B17" s="13" t="str">
        <f>TRIM(CLEAN(Raw_Data!B17))</f>
        <v>IT</v>
      </c>
      <c r="C17" s="18" t="s">
        <v>26</v>
      </c>
      <c r="D17" s="14" t="str">
        <f>IF(ISBLANK(Raw_Data!D17),AVERAGE(Raw_Data!D$2:D$5002),Raw_Data!D17)</f>
        <v>117659.29</v>
      </c>
      <c r="E17" s="15" t="str">
        <f>IF(ISBLANK(Raw_Data!E17),AVERAGE(Raw_Data!E$2:E$5002),Raw_Data!E17)</f>
        <v>35297.79</v>
      </c>
      <c r="F17" s="15" t="str">
        <f>IF(ISBLANK(Raw_Data!F17),AVERAGE(Raw_Data!F$2:F$5002),Raw_Data!F17)</f>
        <v>1316.32</v>
      </c>
      <c r="G17" s="14" t="str">
        <f>IF(ISBLANK(Raw_Data!G17),AVERAGE(Raw_Data!G$2:G$5002),Raw_Data!G17)</f>
        <v>29007.81</v>
      </c>
      <c r="H17" s="15" t="str">
        <f t="shared" si="1"/>
        <v>154273.00</v>
      </c>
      <c r="I17" s="14" t="str">
        <f t="shared" si="2"/>
        <v>125265.00</v>
      </c>
      <c r="J17" s="16" t="str">
        <f>TEXT(Raw_Data!J17,"MMM-YYY")</f>
        <v>Jun-2025</v>
      </c>
      <c r="K17" s="13" t="str">
        <f>Raw_Data!K17</f>
        <v>6</v>
      </c>
      <c r="L17" s="17" t="str">
        <f>Raw_Data!L17</f>
        <v>Pune-West</v>
      </c>
      <c r="M17" s="13" t="str">
        <f t="shared" si="3"/>
        <v>OK</v>
      </c>
      <c r="N17" s="18" t="str">
        <f t="shared" si="4"/>
        <v>VALID</v>
      </c>
    </row>
    <row r="18">
      <c r="A18" s="13" t="str">
        <f>Raw_Data!A18</f>
        <v>EMP0016</v>
      </c>
      <c r="B18" s="13" t="str">
        <f>TRIM(CLEAN(Raw_Data!B18))</f>
        <v>Marketing</v>
      </c>
      <c r="C18" s="18" t="s">
        <v>33</v>
      </c>
      <c r="D18" s="14" t="str">
        <f>IF(ISBLANK(Raw_Data!D18),AVERAGE(Raw_Data!D$2:D$5002),Raw_Data!D18)</f>
        <v>25661.89</v>
      </c>
      <c r="E18" s="15" t="str">
        <f>IF(ISBLANK(Raw_Data!E18),AVERAGE(Raw_Data!E$2:E$5002),Raw_Data!E18)</f>
        <v>7698.57</v>
      </c>
      <c r="F18" s="15" t="str">
        <f>IF(ISBLANK(Raw_Data!F18),AVERAGE(Raw_Data!F$2:F$5002),Raw_Data!F18)</f>
        <v>4686.56</v>
      </c>
      <c r="G18" s="14" t="str">
        <f>IF(ISBLANK(Raw_Data!G18),AVERAGE(Raw_Data!G$2:G$5002),Raw_Data!G18)</f>
        <v>4366.47</v>
      </c>
      <c r="H18" s="15" t="str">
        <f t="shared" si="1"/>
        <v>38047.00</v>
      </c>
      <c r="I18" s="14" t="str">
        <f t="shared" si="2"/>
        <v>33681.00</v>
      </c>
      <c r="J18" s="16" t="str">
        <f>TEXT(Raw_Data!J18,"MMM-YYY")</f>
        <v>Dec-2025</v>
      </c>
      <c r="K18" s="13" t="str">
        <f>Raw_Data!K18</f>
        <v>17</v>
      </c>
      <c r="L18" s="17" t="str">
        <f>Raw_Data!L18</f>
        <v>Hyderabad-South</v>
      </c>
      <c r="M18" s="13" t="str">
        <f t="shared" si="3"/>
        <v>OK</v>
      </c>
      <c r="N18" s="18" t="str">
        <f t="shared" si="4"/>
        <v>VALID</v>
      </c>
    </row>
    <row r="19">
      <c r="A19" s="13" t="str">
        <f>Raw_Data!A19</f>
        <v>EMP0017</v>
      </c>
      <c r="B19" s="13" t="str">
        <f>TRIM(CLEAN(Raw_Data!B19))</f>
        <v>IT</v>
      </c>
      <c r="C19" s="18" t="s">
        <v>30</v>
      </c>
      <c r="D19" s="14" t="str">
        <f>IF(ISBLANK(Raw_Data!D19),AVERAGE(Raw_Data!D$2:D$5002),Raw_Data!D19)</f>
        <v>27767.86</v>
      </c>
      <c r="E19" s="15" t="str">
        <f>IF(ISBLANK(Raw_Data!E19),AVERAGE(Raw_Data!E$2:E$5002),Raw_Data!E19)</f>
        <v>8330.36</v>
      </c>
      <c r="F19" s="15" t="str">
        <f>IF(ISBLANK(Raw_Data!F19),AVERAGE(Raw_Data!F$2:F$5002),Raw_Data!F19)</f>
        <v>2197.17</v>
      </c>
      <c r="G19" s="14" t="str">
        <f>IF(ISBLANK(Raw_Data!G19),AVERAGE(Raw_Data!G$2:G$5002),Raw_Data!G19)</f>
        <v>7618.51</v>
      </c>
      <c r="H19" s="15" t="str">
        <f t="shared" si="1"/>
        <v>38295.00</v>
      </c>
      <c r="I19" s="14" t="str">
        <f t="shared" si="2"/>
        <v>30676.00</v>
      </c>
      <c r="J19" s="16" t="str">
        <f>TEXT(Raw_Data!J19,"MMM-YYY")</f>
        <v>Aug-2025</v>
      </c>
      <c r="K19" s="13" t="str">
        <f>Raw_Data!K19</f>
        <v>22</v>
      </c>
      <c r="L19" s="17" t="str">
        <f>Raw_Data!L19</f>
        <v>Chandigarh-North</v>
      </c>
      <c r="M19" s="13" t="str">
        <f t="shared" si="3"/>
        <v>OK</v>
      </c>
      <c r="N19" s="18" t="str">
        <f t="shared" si="4"/>
        <v>VALID</v>
      </c>
    </row>
    <row r="20">
      <c r="A20" s="13" t="str">
        <f>Raw_Data!A20</f>
        <v>EMP0018</v>
      </c>
      <c r="B20" s="13" t="str">
        <f>TRIM(CLEAN(Raw_Data!B20))</f>
        <v>Finance</v>
      </c>
      <c r="C20" s="18" t="s">
        <v>33</v>
      </c>
      <c r="D20" s="14" t="str">
        <f>IF(ISBLANK(Raw_Data!D20),AVERAGE(Raw_Data!D$2:D$5002),Raw_Data!D20)</f>
        <v>26396.30</v>
      </c>
      <c r="E20" s="15" t="str">
        <f>IF(ISBLANK(Raw_Data!E20),AVERAGE(Raw_Data!E$2:E$5002),Raw_Data!E20)</f>
        <v>7918.89</v>
      </c>
      <c r="F20" s="15" t="str">
        <f>IF(ISBLANK(Raw_Data!F20),AVERAGE(Raw_Data!F$2:F$5002),Raw_Data!F20)</f>
        <v>3932.99</v>
      </c>
      <c r="G20" s="14" t="str">
        <f>IF(ISBLANK(Raw_Data!G20),AVERAGE(Raw_Data!G$2:G$5002),Raw_Data!G20)</f>
        <v>4268.10</v>
      </c>
      <c r="H20" s="15" t="str">
        <f t="shared" si="1"/>
        <v>38248.00</v>
      </c>
      <c r="I20" s="14" t="str">
        <f t="shared" si="2"/>
        <v>33980.00</v>
      </c>
      <c r="J20" s="16" t="str">
        <f>TEXT(Raw_Data!J20,"MMM-YYY")</f>
        <v>Dec-2025</v>
      </c>
      <c r="K20" s="13" t="str">
        <f>Raw_Data!K20</f>
        <v>9</v>
      </c>
      <c r="L20" s="17" t="str">
        <f>Raw_Data!L20</f>
        <v>Ahmedabad-West</v>
      </c>
      <c r="M20" s="13" t="str">
        <f t="shared" si="3"/>
        <v>OK</v>
      </c>
      <c r="N20" s="18" t="str">
        <f t="shared" si="4"/>
        <v>VALID</v>
      </c>
    </row>
    <row r="21" ht="15.75" customHeight="1">
      <c r="A21" s="13" t="str">
        <f>Raw_Data!A21</f>
        <v>EMP0019</v>
      </c>
      <c r="B21" s="13" t="str">
        <f>TRIM(CLEAN(Raw_Data!B21))</f>
        <v>Operations</v>
      </c>
      <c r="C21" s="18" t="s">
        <v>54</v>
      </c>
      <c r="D21" s="14" t="str">
        <f>IF(ISBLANK(Raw_Data!D21),AVERAGE(Raw_Data!D$2:D$5002),Raw_Data!D21)</f>
        <v>47569.52</v>
      </c>
      <c r="E21" s="15" t="str">
        <f>IF(ISBLANK(Raw_Data!E21),AVERAGE(Raw_Data!E$2:E$5002),Raw_Data!E21)</f>
        <v>14270.86</v>
      </c>
      <c r="F21" s="15" t="str">
        <f>IF(ISBLANK(Raw_Data!F21),AVERAGE(Raw_Data!F$2:F$5002),Raw_Data!F21)</f>
        <v>3799.86</v>
      </c>
      <c r="G21" s="14" t="str">
        <f>IF(ISBLANK(Raw_Data!G21),AVERAGE(Raw_Data!G$2:G$5002),Raw_Data!G21)</f>
        <v>3129.89</v>
      </c>
      <c r="H21" s="15" t="str">
        <f t="shared" si="1"/>
        <v>65640.00</v>
      </c>
      <c r="I21" s="14" t="str">
        <f t="shared" si="2"/>
        <v>62510.00</v>
      </c>
      <c r="J21" s="16" t="str">
        <f>TEXT(Raw_Data!J21,"MMM-YYY")</f>
        <v>Mar-2025</v>
      </c>
      <c r="K21" s="13" t="str">
        <f>Raw_Data!K21</f>
        <v>25</v>
      </c>
      <c r="L21" s="17" t="str">
        <f>Raw_Data!L21</f>
        <v>Jaipur-North</v>
      </c>
      <c r="M21" s="13" t="str">
        <f t="shared" si="3"/>
        <v>OK</v>
      </c>
      <c r="N21" s="18" t="str">
        <f t="shared" si="4"/>
        <v>VALID</v>
      </c>
    </row>
    <row r="22" ht="15.75" customHeight="1">
      <c r="A22" s="13" t="str">
        <f>Raw_Data!A22</f>
        <v>EMP0020</v>
      </c>
      <c r="B22" s="13" t="str">
        <f>TRIM(CLEAN(Raw_Data!B22))</f>
        <v>Operations</v>
      </c>
      <c r="C22" s="18" t="s">
        <v>54</v>
      </c>
      <c r="D22" s="14" t="str">
        <f>IF(ISBLANK(Raw_Data!D22),AVERAGE(Raw_Data!D$2:D$5002),Raw_Data!D22)</f>
        <v>36272.73</v>
      </c>
      <c r="E22" s="15" t="str">
        <f>IF(ISBLANK(Raw_Data!E22),AVERAGE(Raw_Data!E$2:E$5002),Raw_Data!E22)</f>
        <v>10881.82</v>
      </c>
      <c r="F22" s="15" t="str">
        <f>IF(ISBLANK(Raw_Data!F22),AVERAGE(Raw_Data!F$2:F$5002),Raw_Data!F22)</f>
        <v>341.81</v>
      </c>
      <c r="G22" s="14" t="str">
        <f>IF(ISBLANK(Raw_Data!G22),AVERAGE(Raw_Data!G$2:G$5002),Raw_Data!G22)</f>
        <v>1193.18</v>
      </c>
      <c r="H22" s="15" t="str">
        <f t="shared" si="1"/>
        <v>47496.00</v>
      </c>
      <c r="I22" s="14" t="str">
        <f t="shared" si="2"/>
        <v>46303.00</v>
      </c>
      <c r="J22" s="16" t="str">
        <f>TEXT(Raw_Data!J22,"MMM-YYY")</f>
        <v>Nov-2025</v>
      </c>
      <c r="K22" s="13" t="str">
        <f>Raw_Data!K22</f>
        <v>9</v>
      </c>
      <c r="L22" s="17" t="str">
        <f>Raw_Data!L22</f>
        <v>Mumbai-HO</v>
      </c>
      <c r="M22" s="13" t="str">
        <f t="shared" si="3"/>
        <v>OK</v>
      </c>
      <c r="N22" s="18" t="str">
        <f t="shared" si="4"/>
        <v>VALID</v>
      </c>
    </row>
    <row r="23" ht="15.75" customHeight="1">
      <c r="A23" s="13" t="str">
        <f>Raw_Data!A23</f>
        <v>EMP0021</v>
      </c>
      <c r="B23" s="13" t="str">
        <f>TRIM(CLEAN(Raw_Data!B23))</f>
        <v>Finance</v>
      </c>
      <c r="C23" s="18" t="s">
        <v>26</v>
      </c>
      <c r="D23" s="14" t="str">
        <f>IF(ISBLANK(Raw_Data!D23),AVERAGE(Raw_Data!D$2:D$5002),Raw_Data!D23)</f>
        <v>114497.32</v>
      </c>
      <c r="E23" s="15" t="str">
        <f>IF(ISBLANK(Raw_Data!E23),AVERAGE(Raw_Data!E$2:E$5002),Raw_Data!E23)</f>
        <v>34349.20</v>
      </c>
      <c r="F23" s="15" t="str">
        <f>IF(ISBLANK(Raw_Data!F23),AVERAGE(Raw_Data!F$2:F$5002),Raw_Data!F23)</f>
        <v>13657.45</v>
      </c>
      <c r="G23" s="14" t="str">
        <f>IF(ISBLANK(Raw_Data!G23),AVERAGE(Raw_Data!G$2:G$5002),Raw_Data!G23)</f>
        <v>13216.45</v>
      </c>
      <c r="H23" s="15" t="str">
        <f t="shared" si="1"/>
        <v>162504.00</v>
      </c>
      <c r="I23" s="14" t="str">
        <f t="shared" si="2"/>
        <v>149288.00</v>
      </c>
      <c r="J23" s="16" t="str">
        <f>TEXT(Raw_Data!J23,"MMM-YYY")</f>
        <v>Oct-2025</v>
      </c>
      <c r="K23" s="13" t="str">
        <f>Raw_Data!K23</f>
        <v>21</v>
      </c>
      <c r="L23" s="17" t="str">
        <f>Raw_Data!L23</f>
        <v>Delhi-North</v>
      </c>
      <c r="M23" s="13" t="str">
        <f t="shared" si="3"/>
        <v>OK</v>
      </c>
      <c r="N23" s="18" t="str">
        <f t="shared" si="4"/>
        <v>VALID</v>
      </c>
    </row>
    <row r="24" ht="15.75" customHeight="1">
      <c r="A24" s="13" t="str">
        <f>Raw_Data!A24</f>
        <v>EMP0022</v>
      </c>
      <c r="B24" s="13" t="str">
        <f>TRIM(CLEAN(Raw_Data!B24))</f>
        <v>Marketing</v>
      </c>
      <c r="C24" s="18" t="s">
        <v>37</v>
      </c>
      <c r="D24" s="14" t="str">
        <f>IF(ISBLANK(Raw_Data!D24),AVERAGE(Raw_Data!D$2:D$5002),Raw_Data!D24)</f>
        <v>49525.45</v>
      </c>
      <c r="E24" s="15" t="str">
        <f>IF(ISBLANK(Raw_Data!E24),AVERAGE(Raw_Data!E$2:E$5002),Raw_Data!E24)</f>
        <v>14857.63</v>
      </c>
      <c r="F24" s="15" t="str">
        <f>IF(ISBLANK(Raw_Data!F24),AVERAGE(Raw_Data!F$2:F$5002),Raw_Data!F24)</f>
        <v>5479.75</v>
      </c>
      <c r="G24" s="14" t="str">
        <f>IF(ISBLANK(Raw_Data!G24),AVERAGE(Raw_Data!G$2:G$5002),Raw_Data!G24)</f>
        <v>14002.29</v>
      </c>
      <c r="H24" s="15" t="str">
        <f t="shared" si="1"/>
        <v>69863.00</v>
      </c>
      <c r="I24" s="14" t="str">
        <f t="shared" si="2"/>
        <v>55861.00</v>
      </c>
      <c r="J24" s="16" t="str">
        <f>TEXT(Raw_Data!J24,"MMM-YYY")</f>
        <v>Nov-2025</v>
      </c>
      <c r="K24" s="13" t="str">
        <f>Raw_Data!K24</f>
        <v>10</v>
      </c>
      <c r="L24" s="17" t="str">
        <f>Raw_Data!L24</f>
        <v>Bangalore-South</v>
      </c>
      <c r="M24" s="13" t="str">
        <f t="shared" si="3"/>
        <v>OK</v>
      </c>
      <c r="N24" s="18" t="str">
        <f t="shared" si="4"/>
        <v>VALID</v>
      </c>
    </row>
    <row r="25" ht="15.75" customHeight="1">
      <c r="A25" s="13" t="str">
        <f>Raw_Data!A25</f>
        <v>EMP0023</v>
      </c>
      <c r="B25" s="13" t="str">
        <f>TRIM(CLEAN(Raw_Data!B25))</f>
        <v>Sales</v>
      </c>
      <c r="C25" s="18" t="s">
        <v>14</v>
      </c>
      <c r="D25" s="14" t="str">
        <f>IF(ISBLANK(Raw_Data!D25),AVERAGE(Raw_Data!D$2:D$5002),Raw_Data!D25)</f>
        <v>22908.31</v>
      </c>
      <c r="E25" s="15" t="str">
        <f>IF(ISBLANK(Raw_Data!E25),AVERAGE(Raw_Data!E$2:E$5002),Raw_Data!E25)</f>
        <v>6872.49</v>
      </c>
      <c r="F25" s="15" t="str">
        <f>IF(ISBLANK(Raw_Data!F25),AVERAGE(Raw_Data!F$2:F$5002),Raw_Data!F25)</f>
        <v>2460.22</v>
      </c>
      <c r="G25" s="14" t="str">
        <f>IF(ISBLANK(Raw_Data!G25),AVERAGE(Raw_Data!G$2:G$5002),Raw_Data!G25)</f>
        <v>14562.73</v>
      </c>
      <c r="H25" s="15" t="str">
        <f t="shared" si="1"/>
        <v>32241.00</v>
      </c>
      <c r="I25" s="14" t="str">
        <f t="shared" si="2"/>
        <v>17678.00</v>
      </c>
      <c r="J25" s="16" t="str">
        <f>TEXT(Raw_Data!J25,"MMM-YYY")</f>
        <v>Nov-2025</v>
      </c>
      <c r="K25" s="13" t="str">
        <f>Raw_Data!K25</f>
        <v>11</v>
      </c>
      <c r="L25" s="17" t="str">
        <f>Raw_Data!L25</f>
        <v>Chennai-South</v>
      </c>
      <c r="M25" s="13" t="str">
        <f t="shared" si="3"/>
        <v>OK</v>
      </c>
      <c r="N25" s="18" t="str">
        <f t="shared" si="4"/>
        <v>VALID</v>
      </c>
    </row>
    <row r="26" ht="15.75" customHeight="1">
      <c r="A26" s="13" t="str">
        <f>Raw_Data!A26</f>
        <v>EMP0024</v>
      </c>
      <c r="B26" s="13" t="str">
        <f>TRIM(CLEAN(Raw_Data!B26))</f>
        <v>IT</v>
      </c>
      <c r="C26" s="18" t="s">
        <v>14</v>
      </c>
      <c r="D26" s="14" t="str">
        <f>IF(ISBLANK(Raw_Data!D26),AVERAGE(Raw_Data!D$2:D$5002),Raw_Data!D26)</f>
        <v>20113.20</v>
      </c>
      <c r="E26" s="15" t="str">
        <f>IF(ISBLANK(Raw_Data!E26),AVERAGE(Raw_Data!E$2:E$5002),Raw_Data!E26)</f>
        <v>6033.96</v>
      </c>
      <c r="F26" s="15" t="str">
        <f>IF(ISBLANK(Raw_Data!F26),AVERAGE(Raw_Data!F$2:F$5002),Raw_Data!F26)</f>
        <v>636.21</v>
      </c>
      <c r="G26" s="14" t="str">
        <f>IF(ISBLANK(Raw_Data!G26),AVERAGE(Raw_Data!G$2:G$5002),Raw_Data!G26)</f>
        <v>19.58</v>
      </c>
      <c r="H26" s="15" t="str">
        <f t="shared" si="1"/>
        <v>26783.00</v>
      </c>
      <c r="I26" s="14" t="str">
        <f t="shared" si="2"/>
        <v>26763.00</v>
      </c>
      <c r="J26" s="16" t="str">
        <f>TEXT(Raw_Data!J26,"MMM-YYY")</f>
        <v>Jan-2025</v>
      </c>
      <c r="K26" s="13" t="str">
        <f>Raw_Data!K26</f>
        <v>15</v>
      </c>
      <c r="L26" s="17" t="str">
        <f>Raw_Data!L26</f>
        <v>Kolkata-East</v>
      </c>
      <c r="M26" s="13" t="str">
        <f t="shared" si="3"/>
        <v>OK</v>
      </c>
      <c r="N26" s="18" t="str">
        <f t="shared" si="4"/>
        <v>VALID</v>
      </c>
    </row>
    <row r="27" ht="15.75" customHeight="1">
      <c r="A27" s="13" t="str">
        <f>Raw_Data!A27</f>
        <v>EMP0025</v>
      </c>
      <c r="B27" s="13" t="str">
        <f>TRIM(CLEAN(Raw_Data!B27))</f>
        <v>Sales</v>
      </c>
      <c r="C27" s="18" t="s">
        <v>33</v>
      </c>
      <c r="D27" s="14" t="str">
        <f>IF(ISBLANK(Raw_Data!D27),AVERAGE(Raw_Data!D$2:D$5002),Raw_Data!D27)</f>
        <v>34718.88</v>
      </c>
      <c r="E27" s="15" t="str">
        <f>IF(ISBLANK(Raw_Data!E27),AVERAGE(Raw_Data!E$2:E$5002),Raw_Data!E27)</f>
        <v>10415.66</v>
      </c>
      <c r="F27" s="15" t="str">
        <f>IF(ISBLANK(Raw_Data!F27),AVERAGE(Raw_Data!F$2:F$5002),Raw_Data!F27)</f>
        <v>5290.89</v>
      </c>
      <c r="G27" s="14" t="str">
        <f>IF(ISBLANK(Raw_Data!G27),AVERAGE(Raw_Data!G$2:G$5002),Raw_Data!G27)</f>
        <v>5287.84</v>
      </c>
      <c r="H27" s="15" t="str">
        <f t="shared" si="1"/>
        <v>50425.00</v>
      </c>
      <c r="I27" s="14" t="str">
        <f t="shared" si="2"/>
        <v>45137.00</v>
      </c>
      <c r="J27" s="16" t="str">
        <f>TEXT(Raw_Data!J27,"MMM-YYY")</f>
        <v>Feb-2025</v>
      </c>
      <c r="K27" s="13" t="str">
        <f>Raw_Data!K27</f>
        <v>19</v>
      </c>
      <c r="L27" s="17" t="str">
        <f>Raw_Data!L27</f>
        <v>Pune-West</v>
      </c>
      <c r="M27" s="13" t="str">
        <f t="shared" si="3"/>
        <v>OK</v>
      </c>
      <c r="N27" s="18" t="str">
        <f t="shared" si="4"/>
        <v>VALID</v>
      </c>
    </row>
    <row r="28" ht="15.75" customHeight="1">
      <c r="A28" s="13" t="str">
        <f>Raw_Data!A28</f>
        <v>EMP0026</v>
      </c>
      <c r="B28" s="13" t="str">
        <f>TRIM(CLEAN(Raw_Data!B28))</f>
        <v>Customer Support</v>
      </c>
      <c r="C28" s="18" t="s">
        <v>18</v>
      </c>
      <c r="D28" s="14" t="str">
        <f>IF(ISBLANK(Raw_Data!D28),AVERAGE(Raw_Data!D$2:D$5002),Raw_Data!D28)</f>
        <v>72759.56</v>
      </c>
      <c r="E28" s="15" t="str">
        <f>IF(ISBLANK(Raw_Data!E28),AVERAGE(Raw_Data!E$2:E$5002),Raw_Data!E28)</f>
        <v>21827.87</v>
      </c>
      <c r="F28" s="15" t="str">
        <f>IF(ISBLANK(Raw_Data!F28),AVERAGE(Raw_Data!F$2:F$5002),Raw_Data!F28)</f>
        <v>9297.94</v>
      </c>
      <c r="G28" s="14" t="str">
        <f>IF(ISBLANK(Raw_Data!G28),AVERAGE(Raw_Data!G$2:G$5002),Raw_Data!G28)</f>
        <v>13292.52</v>
      </c>
      <c r="H28" s="15" t="str">
        <f t="shared" si="1"/>
        <v>103885.00</v>
      </c>
      <c r="I28" s="14" t="str">
        <f t="shared" si="2"/>
        <v>90592.00</v>
      </c>
      <c r="J28" s="16" t="str">
        <f>TEXT(Raw_Data!J28,"MMM-YYY")</f>
        <v>Mar-2025</v>
      </c>
      <c r="K28" s="13" t="str">
        <f>Raw_Data!K28</f>
        <v>12</v>
      </c>
      <c r="L28" s="17" t="str">
        <f>Raw_Data!L28</f>
        <v>Hyderabad-South</v>
      </c>
      <c r="M28" s="13" t="str">
        <f t="shared" si="3"/>
        <v>OK</v>
      </c>
      <c r="N28" s="18" t="str">
        <f t="shared" si="4"/>
        <v>VALID</v>
      </c>
    </row>
    <row r="29" ht="15.75" customHeight="1">
      <c r="A29" s="13" t="str">
        <f>Raw_Data!A29</f>
        <v>EMP0027</v>
      </c>
      <c r="B29" s="13" t="str">
        <f>TRIM(CLEAN(Raw_Data!B29))</f>
        <v>IT</v>
      </c>
      <c r="C29" s="18" t="s">
        <v>26</v>
      </c>
      <c r="D29" s="14" t="str">
        <f>IF(ISBLANK(Raw_Data!D29),AVERAGE(Raw_Data!D$2:D$5002),Raw_Data!D29)</f>
        <v>95815.77</v>
      </c>
      <c r="E29" s="15" t="str">
        <f>IF(ISBLANK(Raw_Data!E29),AVERAGE(Raw_Data!E$2:E$5002),Raw_Data!E29)</f>
        <v>28744.73</v>
      </c>
      <c r="F29" s="15" t="str">
        <f>IF(ISBLANK(Raw_Data!F29),AVERAGE(Raw_Data!F$2:F$5002),Raw_Data!F29)</f>
        <v>18272.06</v>
      </c>
      <c r="G29" s="14" t="str">
        <f>IF(ISBLANK(Raw_Data!G29),AVERAGE(Raw_Data!G$2:G$5002),Raw_Data!G29)</f>
        <v>26515.12</v>
      </c>
      <c r="H29" s="15" t="str">
        <f t="shared" si="1"/>
        <v>142833.00</v>
      </c>
      <c r="I29" s="14" t="str">
        <f t="shared" si="2"/>
        <v>116318.00</v>
      </c>
      <c r="J29" s="16" t="str">
        <f>TEXT(Raw_Data!J29,"MMM-YYY")</f>
        <v>Jan-2025</v>
      </c>
      <c r="K29" s="13" t="str">
        <f>Raw_Data!K29</f>
        <v>12</v>
      </c>
      <c r="L29" s="17" t="str">
        <f>Raw_Data!L29</f>
        <v>Chandigarh-North</v>
      </c>
      <c r="M29" s="13" t="str">
        <f t="shared" si="3"/>
        <v>OK</v>
      </c>
      <c r="N29" s="18" t="str">
        <f t="shared" si="4"/>
        <v>VALID</v>
      </c>
    </row>
    <row r="30" ht="15.75" customHeight="1">
      <c r="A30" s="13" t="str">
        <f>Raw_Data!A30</f>
        <v>EMP0028</v>
      </c>
      <c r="B30" s="13" t="str">
        <f>TRIM(CLEAN(Raw_Data!B30))</f>
        <v>Operations</v>
      </c>
      <c r="C30" s="18" t="s">
        <v>33</v>
      </c>
      <c r="D30" s="14" t="str">
        <f>IF(ISBLANK(Raw_Data!D30),AVERAGE(Raw_Data!D$2:D$5002),Raw_Data!D30)</f>
        <v>29886.06</v>
      </c>
      <c r="E30" s="15" t="str">
        <f>IF(ISBLANK(Raw_Data!E30),AVERAGE(Raw_Data!E$2:E$5002),Raw_Data!E30)</f>
        <v>8965.82</v>
      </c>
      <c r="F30" s="15" t="str">
        <f>IF(ISBLANK(Raw_Data!F30),AVERAGE(Raw_Data!F$2:F$5002),Raw_Data!F30)</f>
        <v>668.66</v>
      </c>
      <c r="G30" s="14" t="str">
        <f>IF(ISBLANK(Raw_Data!G30),AVERAGE(Raw_Data!G$2:G$5002),Raw_Data!G30)</f>
        <v>3254.42</v>
      </c>
      <c r="H30" s="15" t="str">
        <f t="shared" si="1"/>
        <v>39521.00</v>
      </c>
      <c r="I30" s="14" t="str">
        <f t="shared" si="2"/>
        <v>36267.00</v>
      </c>
      <c r="J30" s="16" t="str">
        <f>TEXT(Raw_Data!J30,"MMM-YYY")</f>
        <v>May-2025</v>
      </c>
      <c r="K30" s="13" t="str">
        <f>Raw_Data!K30</f>
        <v>13</v>
      </c>
      <c r="L30" s="17" t="str">
        <f>Raw_Data!L30</f>
        <v>Ahmedabad-West</v>
      </c>
      <c r="M30" s="13" t="str">
        <f t="shared" si="3"/>
        <v>OK</v>
      </c>
      <c r="N30" s="18" t="str">
        <f t="shared" si="4"/>
        <v>VALID</v>
      </c>
    </row>
    <row r="31" ht="15.75" customHeight="1">
      <c r="A31" s="13" t="str">
        <f>Raw_Data!A31</f>
        <v>EMP0029</v>
      </c>
      <c r="B31" s="13" t="str">
        <f>TRIM(CLEAN(Raw_Data!B31))</f>
        <v>Finance</v>
      </c>
      <c r="C31" s="18" t="s">
        <v>14</v>
      </c>
      <c r="D31" s="14" t="str">
        <f>IF(ISBLANK(Raw_Data!D31),AVERAGE(Raw_Data!D$2:D$5002),Raw_Data!D31)</f>
        <v>19734.28</v>
      </c>
      <c r="E31" s="15" t="str">
        <f>IF(ISBLANK(Raw_Data!E31),AVERAGE(Raw_Data!E$2:E$5002),Raw_Data!E31)</f>
        <v>5920.28</v>
      </c>
      <c r="F31" s="15" t="str">
        <f>IF(ISBLANK(Raw_Data!F31),AVERAGE(Raw_Data!F$2:F$5002),Raw_Data!F31)</f>
        <v>2239.28</v>
      </c>
      <c r="G31" s="14" t="str">
        <f>IF(ISBLANK(Raw_Data!G31),AVERAGE(Raw_Data!G$2:G$5002),Raw_Data!G31)</f>
        <v>466.26</v>
      </c>
      <c r="H31" s="15" t="str">
        <f t="shared" si="1"/>
        <v>27894.00</v>
      </c>
      <c r="I31" s="14" t="str">
        <f t="shared" si="2"/>
        <v>27428.00</v>
      </c>
      <c r="J31" s="16" t="str">
        <f>TEXT(Raw_Data!J31,"MMM-YYY")</f>
        <v>Dec-2025</v>
      </c>
      <c r="K31" s="13" t="str">
        <f>Raw_Data!K31</f>
        <v>9</v>
      </c>
      <c r="L31" s="17" t="str">
        <f>Raw_Data!L31</f>
        <v>Jaipur-North</v>
      </c>
      <c r="M31" s="13" t="str">
        <f t="shared" si="3"/>
        <v>OK</v>
      </c>
      <c r="N31" s="18" t="str">
        <f t="shared" si="4"/>
        <v>VALID</v>
      </c>
    </row>
    <row r="32" ht="15.75" customHeight="1">
      <c r="A32" s="13" t="str">
        <f>Raw_Data!A32</f>
        <v>EMP0030</v>
      </c>
      <c r="B32" s="13" t="str">
        <f>TRIM(CLEAN(Raw_Data!B32))</f>
        <v>Marketing</v>
      </c>
      <c r="C32" s="18" t="s">
        <v>26</v>
      </c>
      <c r="D32" s="14" t="str">
        <f>IF(ISBLANK(Raw_Data!D32),AVERAGE(Raw_Data!D$2:D$5002),Raw_Data!D32)</f>
        <v>92491.65</v>
      </c>
      <c r="E32" s="15" t="str">
        <f>IF(ISBLANK(Raw_Data!E32),AVERAGE(Raw_Data!E$2:E$5002),Raw_Data!E32)</f>
        <v>27747.49</v>
      </c>
      <c r="F32" s="15" t="str">
        <f>IF(ISBLANK(Raw_Data!F32),AVERAGE(Raw_Data!F$2:F$5002),Raw_Data!F32)</f>
        <v>14069.87</v>
      </c>
      <c r="G32" s="14" t="str">
        <f>IF(ISBLANK(Raw_Data!G32),AVERAGE(Raw_Data!G$2:G$5002),Raw_Data!G32)</f>
        <v>21249.99</v>
      </c>
      <c r="H32" s="15" t="str">
        <f t="shared" si="1"/>
        <v>134309.00</v>
      </c>
      <c r="I32" s="14" t="str">
        <f t="shared" si="2"/>
        <v>113059.00</v>
      </c>
      <c r="J32" s="16" t="str">
        <f>TEXT(Raw_Data!J32,"MMM-YYY")</f>
        <v>Mar-2025</v>
      </c>
      <c r="K32" s="13" t="str">
        <f>Raw_Data!K32</f>
        <v>13</v>
      </c>
      <c r="L32" s="17" t="str">
        <f>Raw_Data!L32</f>
        <v>Mumbai-HO</v>
      </c>
      <c r="M32" s="13" t="str">
        <f t="shared" si="3"/>
        <v>OK</v>
      </c>
      <c r="N32" s="18" t="str">
        <f t="shared" si="4"/>
        <v>VALID</v>
      </c>
    </row>
    <row r="33" ht="15.75" customHeight="1">
      <c r="A33" s="13" t="str">
        <f>Raw_Data!A33</f>
        <v>EMP0031</v>
      </c>
      <c r="B33" s="13" t="str">
        <f>TRIM(CLEAN(Raw_Data!B33))</f>
        <v>Sales</v>
      </c>
      <c r="C33" s="18" t="s">
        <v>54</v>
      </c>
      <c r="D33" s="14" t="str">
        <f>IF(ISBLANK(Raw_Data!D33),AVERAGE(Raw_Data!D$2:D$5002),Raw_Data!D33)</f>
        <v>48255.88</v>
      </c>
      <c r="E33" s="15" t="str">
        <f>IF(ISBLANK(Raw_Data!E33),AVERAGE(Raw_Data!E$2:E$5002),Raw_Data!E33)</f>
        <v>14476.76</v>
      </c>
      <c r="F33" s="15" t="str">
        <f>IF(ISBLANK(Raw_Data!F33),AVERAGE(Raw_Data!F$2:F$5002),Raw_Data!F33)</f>
        <v>1593.67</v>
      </c>
      <c r="G33" s="14" t="str">
        <f>IF(ISBLANK(Raw_Data!G33),AVERAGE(Raw_Data!G$2:G$5002),Raw_Data!G33)</f>
        <v>7639.01</v>
      </c>
      <c r="H33" s="15" t="str">
        <f t="shared" si="1"/>
        <v>64326.00</v>
      </c>
      <c r="I33" s="14" t="str">
        <f t="shared" si="2"/>
        <v>56687.00</v>
      </c>
      <c r="J33" s="16" t="str">
        <f>TEXT(Raw_Data!J33,"MMM-YYY")</f>
        <v>Oct-2025</v>
      </c>
      <c r="K33" s="13" t="str">
        <f>Raw_Data!K33</f>
        <v>17</v>
      </c>
      <c r="L33" s="17" t="str">
        <f>Raw_Data!L33</f>
        <v>Delhi-North</v>
      </c>
      <c r="M33" s="13" t="str">
        <f t="shared" si="3"/>
        <v>OK</v>
      </c>
      <c r="N33" s="18" t="str">
        <f t="shared" si="4"/>
        <v>VALID</v>
      </c>
    </row>
    <row r="34" ht="15.75" customHeight="1">
      <c r="A34" s="13" t="str">
        <f>Raw_Data!A34</f>
        <v>EMP0032</v>
      </c>
      <c r="B34" s="13" t="str">
        <f>TRIM(CLEAN(Raw_Data!B34))</f>
        <v>Marketing</v>
      </c>
      <c r="C34" s="18" t="s">
        <v>30</v>
      </c>
      <c r="D34" s="14" t="str">
        <f>IF(ISBLANK(Raw_Data!D34),AVERAGE(Raw_Data!D$2:D$5002),Raw_Data!D34)</f>
        <v>30174.44</v>
      </c>
      <c r="E34" s="15" t="str">
        <f>IF(ISBLANK(Raw_Data!E34),AVERAGE(Raw_Data!E$2:E$5002),Raw_Data!E34)</f>
        <v>9052.33</v>
      </c>
      <c r="F34" s="15" t="str">
        <f>IF(ISBLANK(Raw_Data!F34),AVERAGE(Raw_Data!F$2:F$5002),Raw_Data!F34)</f>
        <v>4557.94</v>
      </c>
      <c r="G34" s="14" t="str">
        <f>IF(ISBLANK(Raw_Data!G34),AVERAGE(Raw_Data!G$2:G$5002),Raw_Data!G34)</f>
        <v>6244.91</v>
      </c>
      <c r="H34" s="15" t="str">
        <f t="shared" si="1"/>
        <v>43785.00</v>
      </c>
      <c r="I34" s="14" t="str">
        <f t="shared" si="2"/>
        <v>37540.00</v>
      </c>
      <c r="J34" s="16" t="str">
        <f>TEXT(Raw_Data!J34,"MMM-YYY")</f>
        <v>Dec-2025</v>
      </c>
      <c r="K34" s="13" t="str">
        <f>Raw_Data!K34</f>
        <v>5</v>
      </c>
      <c r="L34" s="17" t="str">
        <f>Raw_Data!L34</f>
        <v>Bangalore-South</v>
      </c>
      <c r="M34" s="13" t="str">
        <f t="shared" si="3"/>
        <v>OK</v>
      </c>
      <c r="N34" s="18" t="str">
        <f t="shared" si="4"/>
        <v>VALID</v>
      </c>
    </row>
    <row r="35" ht="15.75" customHeight="1">
      <c r="A35" s="13" t="str">
        <f>Raw_Data!A35</f>
        <v>EMP0033</v>
      </c>
      <c r="B35" s="13" t="str">
        <f>TRIM(CLEAN(Raw_Data!B35))</f>
        <v>IT</v>
      </c>
      <c r="C35" s="18" t="s">
        <v>54</v>
      </c>
      <c r="D35" s="14" t="str">
        <f>IF(ISBLANK(Raw_Data!D35),AVERAGE(Raw_Data!D$2:D$5002),Raw_Data!D35)</f>
        <v>48932.09</v>
      </c>
      <c r="E35" s="15" t="str">
        <f>IF(ISBLANK(Raw_Data!E35),AVERAGE(Raw_Data!E$2:E$5002),Raw_Data!E35)</f>
        <v>14679.63</v>
      </c>
      <c r="F35" s="15" t="str">
        <f>IF(ISBLANK(Raw_Data!F35),AVERAGE(Raw_Data!F$2:F$5002),Raw_Data!F35)</f>
        <v>6359.98</v>
      </c>
      <c r="G35" s="14" t="str">
        <f>IF(ISBLANK(Raw_Data!G35),AVERAGE(Raw_Data!G$2:G$5002),Raw_Data!G35)</f>
        <v>6431.15</v>
      </c>
      <c r="H35" s="15" t="str">
        <f t="shared" si="1"/>
        <v>69972.00</v>
      </c>
      <c r="I35" s="14" t="str">
        <f t="shared" si="2"/>
        <v>63541.00</v>
      </c>
      <c r="J35" s="16" t="str">
        <f>TEXT(Raw_Data!J35,"MMM-YYY")</f>
        <v>Sep-2025</v>
      </c>
      <c r="K35" s="13" t="str">
        <f>Raw_Data!K35</f>
        <v>20</v>
      </c>
      <c r="L35" s="17" t="str">
        <f>Raw_Data!L35</f>
        <v>Chennai-South</v>
      </c>
      <c r="M35" s="13" t="str">
        <f t="shared" si="3"/>
        <v>OK</v>
      </c>
      <c r="N35" s="18" t="str">
        <f t="shared" si="4"/>
        <v>VALID</v>
      </c>
    </row>
    <row r="36" ht="15.75" customHeight="1">
      <c r="A36" s="13" t="str">
        <f>Raw_Data!A36</f>
        <v>EMP0034</v>
      </c>
      <c r="B36" s="13" t="str">
        <f>TRIM(CLEAN(Raw_Data!B36))</f>
        <v>Marketing</v>
      </c>
      <c r="C36" s="18" t="s">
        <v>14</v>
      </c>
      <c r="D36" s="14" t="str">
        <f>IF(ISBLANK(Raw_Data!D36),AVERAGE(Raw_Data!D$2:D$5002),Raw_Data!D36)</f>
        <v>19784.92</v>
      </c>
      <c r="E36" s="15" t="str">
        <f>IF(ISBLANK(Raw_Data!E36),AVERAGE(Raw_Data!E$2:E$5002),Raw_Data!E36)</f>
        <v>5935.48</v>
      </c>
      <c r="F36" s="15" t="str">
        <f>IF(ISBLANK(Raw_Data!F36),AVERAGE(Raw_Data!F$2:F$5002),Raw_Data!F36)</f>
        <v>253.35</v>
      </c>
      <c r="G36" s="14" t="str">
        <f>IF(ISBLANK(Raw_Data!G36),AVERAGE(Raw_Data!G$2:G$5002),Raw_Data!G36)</f>
        <v>124.85</v>
      </c>
      <c r="H36" s="15" t="str">
        <f t="shared" si="1"/>
        <v>25974.00</v>
      </c>
      <c r="I36" s="14" t="str">
        <f t="shared" si="2"/>
        <v>25849.00</v>
      </c>
      <c r="J36" s="16" t="str">
        <f>TEXT(Raw_Data!J36,"MMM-YYY")</f>
        <v>Sep-2025</v>
      </c>
      <c r="K36" s="13" t="str">
        <f>Raw_Data!K36</f>
        <v>3</v>
      </c>
      <c r="L36" s="17" t="str">
        <f>Raw_Data!L36</f>
        <v>Kolkata-East</v>
      </c>
      <c r="M36" s="13" t="str">
        <f t="shared" si="3"/>
        <v>OK</v>
      </c>
      <c r="N36" s="18" t="str">
        <f t="shared" si="4"/>
        <v>VALID</v>
      </c>
    </row>
    <row r="37" ht="15.75" customHeight="1">
      <c r="A37" s="13" t="str">
        <f>Raw_Data!A37</f>
        <v>EMP0035</v>
      </c>
      <c r="B37" s="13" t="str">
        <f>TRIM(CLEAN(Raw_Data!B37))</f>
        <v>Finance</v>
      </c>
      <c r="C37" s="18" t="s">
        <v>37</v>
      </c>
      <c r="D37" s="14" t="str">
        <f>IF(ISBLANK(Raw_Data!D37),AVERAGE(Raw_Data!D$2:D$5002),Raw_Data!D37)</f>
        <v>48963.91</v>
      </c>
      <c r="E37" s="15" t="str">
        <f>IF(ISBLANK(Raw_Data!E37),AVERAGE(Raw_Data!E$2:E$5002),Raw_Data!E37)</f>
        <v>14689.17</v>
      </c>
      <c r="F37" s="15" t="str">
        <f>IF(ISBLANK(Raw_Data!F37),AVERAGE(Raw_Data!F$2:F$5002),Raw_Data!F37)</f>
        <v>695.22</v>
      </c>
      <c r="G37" s="14" t="str">
        <f>IF(ISBLANK(Raw_Data!G37),AVERAGE(Raw_Data!G$2:G$5002),Raw_Data!G37)</f>
        <v>9270.38</v>
      </c>
      <c r="H37" s="15" t="str">
        <f t="shared" si="1"/>
        <v>64348.00</v>
      </c>
      <c r="I37" s="14" t="str">
        <f t="shared" si="2"/>
        <v>55078.00</v>
      </c>
      <c r="J37" s="16" t="str">
        <f>TEXT(Raw_Data!J37,"MMM-YYY")</f>
        <v>Apr-2025</v>
      </c>
      <c r="K37" s="13" t="str">
        <f>Raw_Data!K37</f>
        <v>8</v>
      </c>
      <c r="L37" s="17" t="str">
        <f>Raw_Data!L37</f>
        <v>Pune-West</v>
      </c>
      <c r="M37" s="13" t="str">
        <f t="shared" si="3"/>
        <v>OK</v>
      </c>
      <c r="N37" s="18" t="str">
        <f t="shared" si="4"/>
        <v>VALID</v>
      </c>
    </row>
    <row r="38" ht="15.75" customHeight="1">
      <c r="A38" s="13" t="str">
        <f>Raw_Data!A38</f>
        <v>EMP0037</v>
      </c>
      <c r="B38" s="13" t="str">
        <f>TRIM(CLEAN(Raw_Data!B38))</f>
        <v>Marketing</v>
      </c>
      <c r="C38" s="18" t="s">
        <v>30</v>
      </c>
      <c r="D38" s="14" t="str">
        <f>IF(ISBLANK(Raw_Data!D38),AVERAGE(Raw_Data!D$2:D$5002),Raw_Data!D38)</f>
        <v>26745.26</v>
      </c>
      <c r="E38" s="15" t="str">
        <f>IF(ISBLANK(Raw_Data!E38),AVERAGE(Raw_Data!E$2:E$5002),Raw_Data!E38)</f>
        <v>8023.58</v>
      </c>
      <c r="F38" s="15" t="str">
        <f>IF(ISBLANK(Raw_Data!F38),AVERAGE(Raw_Data!F$2:F$5002),Raw_Data!F38)</f>
        <v>3869.25</v>
      </c>
      <c r="G38" s="14" t="str">
        <f>IF(ISBLANK(Raw_Data!G38),AVERAGE(Raw_Data!G$2:G$5002),Raw_Data!G38)</f>
        <v>7079.87</v>
      </c>
      <c r="H38" s="15" t="str">
        <f t="shared" si="1"/>
        <v>38638.00</v>
      </c>
      <c r="I38" s="14" t="str">
        <f t="shared" si="2"/>
        <v>31558.00</v>
      </c>
      <c r="J38" s="16" t="str">
        <f>TEXT(Raw_Data!J38,"MMM-YYY")</f>
        <v>Oct-2025</v>
      </c>
      <c r="K38" s="13" t="str">
        <f>Raw_Data!K38</f>
        <v>25</v>
      </c>
      <c r="L38" s="17" t="str">
        <f>Raw_Data!L38</f>
        <v>Chandigarh-North</v>
      </c>
      <c r="M38" s="13" t="str">
        <f t="shared" si="3"/>
        <v>OK</v>
      </c>
      <c r="N38" s="18" t="str">
        <f t="shared" si="4"/>
        <v>VALID</v>
      </c>
    </row>
    <row r="39" ht="15.75" customHeight="1">
      <c r="A39" s="13" t="str">
        <f>Raw_Data!A39</f>
        <v>EMP0038</v>
      </c>
      <c r="B39" s="13" t="str">
        <f>TRIM(CLEAN(Raw_Data!B39))</f>
        <v>Marketing</v>
      </c>
      <c r="C39" s="18" t="s">
        <v>30</v>
      </c>
      <c r="D39" s="14" t="str">
        <f>IF(ISBLANK(Raw_Data!D39),AVERAGE(Raw_Data!D$2:D$5002),Raw_Data!D39)</f>
        <v>28904.65</v>
      </c>
      <c r="E39" s="15" t="str">
        <f>IF(ISBLANK(Raw_Data!E39),AVERAGE(Raw_Data!E$2:E$5002),Raw_Data!E39)</f>
        <v>8671.40</v>
      </c>
      <c r="F39" s="15" t="str">
        <f>IF(ISBLANK(Raw_Data!F39),AVERAGE(Raw_Data!F$2:F$5002),Raw_Data!F39)</f>
        <v>4668.08</v>
      </c>
      <c r="G39" s="14" t="str">
        <f>IF(ISBLANK(Raw_Data!G39),AVERAGE(Raw_Data!G$2:G$5002),Raw_Data!G39)</f>
        <v>1651.12</v>
      </c>
      <c r="H39" s="15" t="str">
        <f t="shared" si="1"/>
        <v>42244.00</v>
      </c>
      <c r="I39" s="14" t="str">
        <f t="shared" si="2"/>
        <v>40593.00</v>
      </c>
      <c r="J39" s="16" t="str">
        <f>TEXT(Raw_Data!J39,"MMM-YYY")</f>
        <v>Feb-2025</v>
      </c>
      <c r="K39" s="13" t="str">
        <f>Raw_Data!K39</f>
        <v>5</v>
      </c>
      <c r="L39" s="17" t="str">
        <f>Raw_Data!L39</f>
        <v>Ahmedabad-West</v>
      </c>
      <c r="M39" s="13" t="str">
        <f t="shared" si="3"/>
        <v>OK</v>
      </c>
      <c r="N39" s="18" t="str">
        <f t="shared" si="4"/>
        <v>VALID</v>
      </c>
    </row>
    <row r="40" ht="15.75" customHeight="1">
      <c r="A40" s="13" t="str">
        <f>Raw_Data!A40</f>
        <v>EMP0039</v>
      </c>
      <c r="B40" s="13" t="str">
        <f>TRIM(CLEAN(Raw_Data!B40))</f>
        <v>Sales</v>
      </c>
      <c r="C40" s="18" t="s">
        <v>54</v>
      </c>
      <c r="D40" s="14" t="str">
        <f>IF(ISBLANK(Raw_Data!D40),AVERAGE(Raw_Data!D$2:D$5002),Raw_Data!D40)</f>
        <v>39960.17</v>
      </c>
      <c r="E40" s="15" t="str">
        <f>IF(ISBLANK(Raw_Data!E40),AVERAGE(Raw_Data!E$2:E$5002),Raw_Data!E40)</f>
        <v>11988.05</v>
      </c>
      <c r="F40" s="15" t="str">
        <f>IF(ISBLANK(Raw_Data!F40),AVERAGE(Raw_Data!F$2:F$5002),Raw_Data!F40)</f>
        <v>3285.54</v>
      </c>
      <c r="G40" s="14" t="str">
        <f>IF(ISBLANK(Raw_Data!G40),AVERAGE(Raw_Data!G$2:G$5002),Raw_Data!G40)</f>
        <v>10355.72</v>
      </c>
      <c r="H40" s="15" t="str">
        <f t="shared" si="1"/>
        <v>55234.00</v>
      </c>
      <c r="I40" s="14" t="str">
        <f t="shared" si="2"/>
        <v>44878.00</v>
      </c>
      <c r="J40" s="16" t="str">
        <f>TEXT(Raw_Data!J40,"MMM-YYY")</f>
        <v>Jan-2025</v>
      </c>
      <c r="K40" s="13" t="str">
        <f>Raw_Data!K40</f>
        <v>13</v>
      </c>
      <c r="L40" s="17" t="str">
        <f>Raw_Data!L40</f>
        <v>Jaipur-North</v>
      </c>
      <c r="M40" s="13" t="str">
        <f t="shared" si="3"/>
        <v>OK</v>
      </c>
      <c r="N40" s="18" t="str">
        <f t="shared" si="4"/>
        <v>VALID</v>
      </c>
    </row>
    <row r="41" ht="15.75" customHeight="1">
      <c r="A41" s="13" t="str">
        <f>Raw_Data!A41</f>
        <v>EMP0040</v>
      </c>
      <c r="B41" s="13" t="str">
        <f>TRIM(CLEAN(Raw_Data!B41))</f>
        <v>Sales</v>
      </c>
      <c r="C41" s="18" t="s">
        <v>18</v>
      </c>
      <c r="D41" s="14" t="str">
        <f>IF(ISBLANK(Raw_Data!D41),AVERAGE(Raw_Data!D$2:D$5002),Raw_Data!D41)</f>
        <v>90588.30</v>
      </c>
      <c r="E41" s="15" t="str">
        <f>IF(ISBLANK(Raw_Data!E41),AVERAGE(Raw_Data!E$2:E$5002),Raw_Data!E41)</f>
        <v>27176.49</v>
      </c>
      <c r="F41" s="15" t="str">
        <f>IF(ISBLANK(Raw_Data!F41),AVERAGE(Raw_Data!F$2:F$5002),Raw_Data!F41)</f>
        <v>1783.10</v>
      </c>
      <c r="G41" s="14" t="str">
        <f>IF(ISBLANK(Raw_Data!G41),AVERAGE(Raw_Data!G$2:G$5002),Raw_Data!G41)</f>
        <v>10941.83</v>
      </c>
      <c r="H41" s="15" t="str">
        <f t="shared" si="1"/>
        <v>119548.00</v>
      </c>
      <c r="I41" s="14" t="str">
        <f t="shared" si="2"/>
        <v>108606.00</v>
      </c>
      <c r="J41" s="16" t="str">
        <f>TEXT(Raw_Data!J41,"MMM-YYY")</f>
        <v>Jun-2025</v>
      </c>
      <c r="K41" s="13" t="str">
        <f>Raw_Data!K41</f>
        <v>12</v>
      </c>
      <c r="L41" s="17" t="str">
        <f>Raw_Data!L41</f>
        <v>Mumbai-HO</v>
      </c>
      <c r="M41" s="13" t="str">
        <f t="shared" si="3"/>
        <v>OK</v>
      </c>
      <c r="N41" s="18" t="str">
        <f t="shared" si="4"/>
        <v>VALID</v>
      </c>
    </row>
    <row r="42" ht="15.75" customHeight="1">
      <c r="A42" s="13" t="str">
        <f>Raw_Data!A42</f>
        <v>EMP0041</v>
      </c>
      <c r="B42" s="13" t="str">
        <f>TRIM(CLEAN(Raw_Data!B42))</f>
        <v>Customer Support</v>
      </c>
      <c r="C42" s="18" t="s">
        <v>26</v>
      </c>
      <c r="D42" s="14" t="str">
        <f>IF(ISBLANK(Raw_Data!D42),AVERAGE(Raw_Data!D$2:D$5002),Raw_Data!D42)</f>
        <v>93933.69</v>
      </c>
      <c r="E42" s="15" t="str">
        <f>IF(ISBLANK(Raw_Data!E42),AVERAGE(Raw_Data!E$2:E$5002),Raw_Data!E42)</f>
        <v>28180.11</v>
      </c>
      <c r="F42" s="15" t="str">
        <f>IF(ISBLANK(Raw_Data!F42),AVERAGE(Raw_Data!F$2:F$5002),Raw_Data!F42)</f>
        <v>3599.35</v>
      </c>
      <c r="G42" s="14" t="str">
        <f>IF(ISBLANK(Raw_Data!G42),AVERAGE(Raw_Data!G$2:G$5002),Raw_Data!G42)</f>
        <v>14562.73</v>
      </c>
      <c r="H42" s="15" t="str">
        <f t="shared" si="1"/>
        <v>125713.00</v>
      </c>
      <c r="I42" s="14" t="str">
        <f t="shared" si="2"/>
        <v>111150.00</v>
      </c>
      <c r="J42" s="16" t="str">
        <f>TEXT(Raw_Data!J42,"MMM-YYY")</f>
        <v>Mar-2025</v>
      </c>
      <c r="K42" s="13" t="str">
        <f>Raw_Data!K42</f>
        <v>6</v>
      </c>
      <c r="L42" s="17" t="str">
        <f>Raw_Data!L42</f>
        <v>Delhi-North</v>
      </c>
      <c r="M42" s="13" t="str">
        <f t="shared" si="3"/>
        <v>OK</v>
      </c>
      <c r="N42" s="18" t="str">
        <f t="shared" si="4"/>
        <v>VALID</v>
      </c>
    </row>
    <row r="43" ht="15.75" customHeight="1">
      <c r="A43" s="13" t="str">
        <f>Raw_Data!A43</f>
        <v>EMP0042</v>
      </c>
      <c r="B43" s="13" t="str">
        <f>TRIM(CLEAN(Raw_Data!B43))</f>
        <v>Marketing</v>
      </c>
      <c r="C43" s="18" t="s">
        <v>30</v>
      </c>
      <c r="D43" s="14" t="str">
        <f>IF(ISBLANK(Raw_Data!D43),AVERAGE(Raw_Data!D$2:D$5002),Raw_Data!D43)</f>
        <v>24451.20</v>
      </c>
      <c r="E43" s="15" t="str">
        <f>IF(ISBLANK(Raw_Data!E43),AVERAGE(Raw_Data!E$2:E$5002),Raw_Data!E43)</f>
        <v>7335.36</v>
      </c>
      <c r="F43" s="15" t="str">
        <f>IF(ISBLANK(Raw_Data!F43),AVERAGE(Raw_Data!F$2:F$5002),Raw_Data!F43)</f>
        <v>1221.61</v>
      </c>
      <c r="G43" s="14" t="str">
        <f>IF(ISBLANK(Raw_Data!G43),AVERAGE(Raw_Data!G$2:G$5002),Raw_Data!G43)</f>
        <v>6772.49</v>
      </c>
      <c r="H43" s="15" t="str">
        <f t="shared" si="1"/>
        <v>33008.00</v>
      </c>
      <c r="I43" s="14" t="str">
        <f t="shared" si="2"/>
        <v>26236.00</v>
      </c>
      <c r="J43" s="16" t="str">
        <f>TEXT(Raw_Data!J43,"MMM-YYY")</f>
        <v>Aug-2025</v>
      </c>
      <c r="K43" s="13" t="str">
        <f>Raw_Data!K43</f>
        <v>14</v>
      </c>
      <c r="L43" s="17" t="str">
        <f>Raw_Data!L43</f>
        <v>Bangalore-South</v>
      </c>
      <c r="M43" s="13" t="str">
        <f t="shared" si="3"/>
        <v>OK</v>
      </c>
      <c r="N43" s="18" t="str">
        <f t="shared" si="4"/>
        <v>VALID</v>
      </c>
    </row>
    <row r="44" ht="15.75" customHeight="1">
      <c r="A44" s="13" t="str">
        <f>Raw_Data!A44</f>
        <v>EMP0043</v>
      </c>
      <c r="B44" s="13" t="str">
        <f>TRIM(CLEAN(Raw_Data!B44))</f>
        <v>Customer Support</v>
      </c>
      <c r="C44" s="18" t="s">
        <v>26</v>
      </c>
      <c r="D44" s="14" t="str">
        <f>IF(ISBLANK(Raw_Data!D44),AVERAGE(Raw_Data!D$2:D$5002),Raw_Data!D44)</f>
        <v>120814.81</v>
      </c>
      <c r="E44" s="15" t="str">
        <f>IF(ISBLANK(Raw_Data!E44),AVERAGE(Raw_Data!E$2:E$5002),Raw_Data!E44)</f>
        <v>36244.44</v>
      </c>
      <c r="F44" s="15" t="str">
        <f>IF(ISBLANK(Raw_Data!F44),AVERAGE(Raw_Data!F$2:F$5002),Raw_Data!F44)</f>
        <v>2365.76</v>
      </c>
      <c r="G44" s="14" t="str">
        <f>IF(ISBLANK(Raw_Data!G44),AVERAGE(Raw_Data!G$2:G$5002),Raw_Data!G44)</f>
        <v>23636.63</v>
      </c>
      <c r="H44" s="15" t="str">
        <f t="shared" si="1"/>
        <v>159425.00</v>
      </c>
      <c r="I44" s="14" t="str">
        <f t="shared" si="2"/>
        <v>135788.00</v>
      </c>
      <c r="J44" s="16" t="str">
        <f>TEXT(Raw_Data!J44,"MMM-YYY")</f>
        <v>Sep-2025</v>
      </c>
      <c r="K44" s="13" t="str">
        <f>Raw_Data!K44</f>
        <v>5</v>
      </c>
      <c r="L44" s="17" t="str">
        <f>Raw_Data!L44</f>
        <v>Chennai-South</v>
      </c>
      <c r="M44" s="13" t="str">
        <f t="shared" si="3"/>
        <v>OK</v>
      </c>
      <c r="N44" s="18" t="str">
        <f t="shared" si="4"/>
        <v>VALID</v>
      </c>
    </row>
    <row r="45" ht="15.75" customHeight="1">
      <c r="A45" s="13" t="str">
        <f>Raw_Data!A45</f>
        <v>EMP0044</v>
      </c>
      <c r="B45" s="13" t="str">
        <f>TRIM(CLEAN(Raw_Data!B45))</f>
        <v>Customer Support</v>
      </c>
      <c r="C45" s="18" t="s">
        <v>14</v>
      </c>
      <c r="D45" s="14" t="str">
        <f>IF(ISBLANK(Raw_Data!D45),AVERAGE(Raw_Data!D$2:D$5002),Raw_Data!D45)</f>
        <v>24976.77</v>
      </c>
      <c r="E45" s="15" t="str">
        <f>IF(ISBLANK(Raw_Data!E45),AVERAGE(Raw_Data!E$2:E$5002),Raw_Data!E45)</f>
        <v>7493.03</v>
      </c>
      <c r="F45" s="15" t="str">
        <f>IF(ISBLANK(Raw_Data!F45),AVERAGE(Raw_Data!F$2:F$5002),Raw_Data!F45)</f>
        <v>4627.53</v>
      </c>
      <c r="G45" s="14" t="str">
        <f>IF(ISBLANK(Raw_Data!G45),AVERAGE(Raw_Data!G$2:G$5002),Raw_Data!G45)</f>
        <v>6359.30</v>
      </c>
      <c r="H45" s="15" t="str">
        <f t="shared" si="1"/>
        <v>37097.00</v>
      </c>
      <c r="I45" s="14" t="str">
        <f t="shared" si="2"/>
        <v>30738.00</v>
      </c>
      <c r="J45" s="16" t="str">
        <f>TEXT(Raw_Data!J45,"MMM-YYY")</f>
        <v>Mar-2025</v>
      </c>
      <c r="K45" s="13" t="str">
        <f>Raw_Data!K45</f>
        <v>14</v>
      </c>
      <c r="L45" s="17" t="str">
        <f>Raw_Data!L45</f>
        <v>Kolkata-East</v>
      </c>
      <c r="M45" s="13" t="str">
        <f t="shared" si="3"/>
        <v>OK</v>
      </c>
      <c r="N45" s="18" t="str">
        <f t="shared" si="4"/>
        <v>VALID</v>
      </c>
    </row>
    <row r="46" ht="15.75" customHeight="1">
      <c r="A46" s="13" t="str">
        <f>Raw_Data!A46</f>
        <v>EMP0045</v>
      </c>
      <c r="B46" s="13" t="str">
        <f>TRIM(CLEAN(Raw_Data!B46))</f>
        <v>Marketing</v>
      </c>
      <c r="C46" s="18" t="s">
        <v>54</v>
      </c>
      <c r="D46" s="14" t="str">
        <f>IF(ISBLANK(Raw_Data!D46),AVERAGE(Raw_Data!D$2:D$5002),Raw_Data!D46)</f>
        <v>41739.02</v>
      </c>
      <c r="E46" s="15" t="str">
        <f>IF(ISBLANK(Raw_Data!E46),AVERAGE(Raw_Data!E$2:E$5002),Raw_Data!E46)</f>
        <v>12521.71</v>
      </c>
      <c r="F46" s="15" t="str">
        <f>IF(ISBLANK(Raw_Data!F46),AVERAGE(Raw_Data!F$2:F$5002),Raw_Data!F46)</f>
        <v>7217.93</v>
      </c>
      <c r="G46" s="14" t="str">
        <f>IF(ISBLANK(Raw_Data!G46),AVERAGE(Raw_Data!G$2:G$5002),Raw_Data!G46)</f>
        <v>11300.12</v>
      </c>
      <c r="H46" s="15" t="str">
        <f t="shared" si="1"/>
        <v>61479.00</v>
      </c>
      <c r="I46" s="14" t="str">
        <f t="shared" si="2"/>
        <v>50179.00</v>
      </c>
      <c r="J46" s="16" t="str">
        <f>TEXT(Raw_Data!J46,"MMM-YYY")</f>
        <v>Mar-2025</v>
      </c>
      <c r="K46" s="13" t="str">
        <f>Raw_Data!K46</f>
        <v>10</v>
      </c>
      <c r="L46" s="17" t="str">
        <f>Raw_Data!L46</f>
        <v>Pune-West</v>
      </c>
      <c r="M46" s="13" t="str">
        <f t="shared" si="3"/>
        <v>OK</v>
      </c>
      <c r="N46" s="18" t="str">
        <f t="shared" si="4"/>
        <v>VALID</v>
      </c>
    </row>
    <row r="47" ht="15.75" customHeight="1">
      <c r="A47" s="13" t="str">
        <f>Raw_Data!A47</f>
        <v>EMP0046</v>
      </c>
      <c r="B47" s="13" t="str">
        <f>TRIM(CLEAN(Raw_Data!B47))</f>
        <v>Marketing</v>
      </c>
      <c r="C47" s="18" t="s">
        <v>14</v>
      </c>
      <c r="D47" s="14" t="str">
        <f>IF(ISBLANK(Raw_Data!D47),AVERAGE(Raw_Data!D$2:D$5002),Raw_Data!D47)</f>
        <v>25094.22</v>
      </c>
      <c r="E47" s="15" t="str">
        <f>IF(ISBLANK(Raw_Data!E47),AVERAGE(Raw_Data!E$2:E$5002),Raw_Data!E47)</f>
        <v>7528.27</v>
      </c>
      <c r="F47" s="15" t="str">
        <f>IF(ISBLANK(Raw_Data!F47),AVERAGE(Raw_Data!F$2:F$5002),Raw_Data!F47)</f>
        <v>1331.01</v>
      </c>
      <c r="G47" s="14" t="str">
        <f>IF(ISBLANK(Raw_Data!G47),AVERAGE(Raw_Data!G$2:G$5002),Raw_Data!G47)</f>
        <v>5902.69</v>
      </c>
      <c r="H47" s="15" t="str">
        <f t="shared" si="1"/>
        <v>33954.00</v>
      </c>
      <c r="I47" s="14" t="str">
        <f t="shared" si="2"/>
        <v>28051.00</v>
      </c>
      <c r="J47" s="16" t="str">
        <f>TEXT(Raw_Data!J47,"MMM-YYY")</f>
        <v>Aug-2025</v>
      </c>
      <c r="K47" s="13" t="str">
        <f>Raw_Data!K47</f>
        <v>12</v>
      </c>
      <c r="L47" s="17" t="str">
        <f>Raw_Data!L47</f>
        <v>Hyderabad-South</v>
      </c>
      <c r="M47" s="13" t="str">
        <f t="shared" si="3"/>
        <v>OK</v>
      </c>
      <c r="N47" s="18" t="str">
        <f t="shared" si="4"/>
        <v>VALID</v>
      </c>
    </row>
    <row r="48" ht="15.75" customHeight="1">
      <c r="A48" s="13" t="str">
        <f>Raw_Data!A48</f>
        <v>EMP0047</v>
      </c>
      <c r="B48" s="13" t="str">
        <f>TRIM(CLEAN(Raw_Data!B48))</f>
        <v>IT</v>
      </c>
      <c r="C48" s="18" t="s">
        <v>54</v>
      </c>
      <c r="D48" s="14" t="str">
        <f>IF(ISBLANK(Raw_Data!D48),AVERAGE(Raw_Data!D$2:D$5002),Raw_Data!D48)</f>
        <v>44752.28</v>
      </c>
      <c r="E48" s="15" t="str">
        <f>IF(ISBLANK(Raw_Data!E48),AVERAGE(Raw_Data!E$2:E$5002),Raw_Data!E48)</f>
        <v>13425.68</v>
      </c>
      <c r="F48" s="15" t="str">
        <f>IF(ISBLANK(Raw_Data!F48),AVERAGE(Raw_Data!F$2:F$5002),Raw_Data!F48)</f>
        <v>6538.36</v>
      </c>
      <c r="G48" s="14" t="str">
        <f>IF(ISBLANK(Raw_Data!G48),AVERAGE(Raw_Data!G$2:G$5002),Raw_Data!G48)</f>
        <v>10517.16</v>
      </c>
      <c r="H48" s="15" t="str">
        <f t="shared" si="1"/>
        <v>64716.00</v>
      </c>
      <c r="I48" s="14" t="str">
        <f t="shared" si="2"/>
        <v>54199.00</v>
      </c>
      <c r="J48" s="16" t="str">
        <f>TEXT(Raw_Data!J48,"MMM-YYY")</f>
        <v>Nov-2025</v>
      </c>
      <c r="K48" s="13" t="str">
        <f>Raw_Data!K48</f>
        <v>13</v>
      </c>
      <c r="L48" s="17" t="str">
        <f>Raw_Data!L48</f>
        <v>Chandigarh-North</v>
      </c>
      <c r="M48" s="13" t="str">
        <f t="shared" si="3"/>
        <v>OK</v>
      </c>
      <c r="N48" s="18" t="str">
        <f t="shared" si="4"/>
        <v>VALID</v>
      </c>
    </row>
    <row r="49" ht="15.75" customHeight="1">
      <c r="A49" s="13" t="str">
        <f>Raw_Data!A49</f>
        <v>EMP0048</v>
      </c>
      <c r="B49" s="13" t="str">
        <f>TRIM(CLEAN(Raw_Data!B49))</f>
        <v>Sales</v>
      </c>
      <c r="C49" s="18" t="s">
        <v>54</v>
      </c>
      <c r="D49" s="14" t="str">
        <f>IF(ISBLANK(Raw_Data!D49),AVERAGE(Raw_Data!D$2:D$5002),Raw_Data!D49)</f>
        <v>37167.16</v>
      </c>
      <c r="E49" s="15" t="str">
        <f>IF(ISBLANK(Raw_Data!E49),AVERAGE(Raw_Data!E$2:E$5002),Raw_Data!E49)</f>
        <v>11150.15</v>
      </c>
      <c r="F49" s="15" t="str">
        <f>IF(ISBLANK(Raw_Data!F49),AVERAGE(Raw_Data!F$2:F$5002),Raw_Data!F49)</f>
        <v>2205.56</v>
      </c>
      <c r="G49" s="14" t="str">
        <f>IF(ISBLANK(Raw_Data!G49),AVERAGE(Raw_Data!G$2:G$5002),Raw_Data!G49)</f>
        <v>10801.25</v>
      </c>
      <c r="H49" s="15" t="str">
        <f t="shared" si="1"/>
        <v>50523.00</v>
      </c>
      <c r="I49" s="14" t="str">
        <f t="shared" si="2"/>
        <v>39722.00</v>
      </c>
      <c r="J49" s="16" t="str">
        <f>TEXT(Raw_Data!J49,"MMM-YYY")</f>
        <v>Oct-2025</v>
      </c>
      <c r="K49" s="13" t="str">
        <f>Raw_Data!K49</f>
        <v>21</v>
      </c>
      <c r="L49" s="17" t="str">
        <f>Raw_Data!L49</f>
        <v>Ahmedabad-West</v>
      </c>
      <c r="M49" s="13" t="str">
        <f t="shared" si="3"/>
        <v>OK</v>
      </c>
      <c r="N49" s="18" t="str">
        <f t="shared" si="4"/>
        <v>VALID</v>
      </c>
    </row>
    <row r="50" ht="15.75" customHeight="1">
      <c r="A50" s="13" t="str">
        <f>Raw_Data!A50</f>
        <v>EMP0049</v>
      </c>
      <c r="B50" s="13" t="str">
        <f>TRIM(CLEAN(Raw_Data!B50))</f>
        <v>Sales</v>
      </c>
      <c r="C50" s="18" t="s">
        <v>37</v>
      </c>
      <c r="D50" s="14" t="str">
        <f>IF(ISBLANK(Raw_Data!D50),AVERAGE(Raw_Data!D$2:D$5002),Raw_Data!D50)</f>
        <v>46097.24</v>
      </c>
      <c r="E50" s="15" t="str">
        <f>IF(ISBLANK(Raw_Data!E50),AVERAGE(Raw_Data!E$2:E$5002),Raw_Data!E50)</f>
        <v>13829.17</v>
      </c>
      <c r="F50" s="15" t="str">
        <f>IF(ISBLANK(Raw_Data!F50),AVERAGE(Raw_Data!F$2:F$5002),Raw_Data!F50)</f>
        <v>2891.26</v>
      </c>
      <c r="G50" s="14" t="str">
        <f>IF(ISBLANK(Raw_Data!G50),AVERAGE(Raw_Data!G$2:G$5002),Raw_Data!G50)</f>
        <v>693.43</v>
      </c>
      <c r="H50" s="15" t="str">
        <f t="shared" si="1"/>
        <v>62818.00</v>
      </c>
      <c r="I50" s="14" t="str">
        <f t="shared" si="2"/>
        <v>62125.00</v>
      </c>
      <c r="J50" s="16" t="str">
        <f>TEXT(Raw_Data!J50,"MMM-YYY")</f>
        <v>Aug-2025</v>
      </c>
      <c r="K50" s="13" t="str">
        <f>Raw_Data!K50</f>
        <v>16</v>
      </c>
      <c r="L50" s="17" t="str">
        <f>Raw_Data!L50</f>
        <v>Jaipur-North</v>
      </c>
      <c r="M50" s="13" t="str">
        <f t="shared" si="3"/>
        <v>OK</v>
      </c>
      <c r="N50" s="18" t="str">
        <f t="shared" si="4"/>
        <v>VALID</v>
      </c>
    </row>
    <row r="51" ht="15.75" customHeight="1">
      <c r="A51" s="13" t="str">
        <f>Raw_Data!A51</f>
        <v>EMP0050</v>
      </c>
      <c r="B51" s="13" t="str">
        <f>TRIM(CLEAN(Raw_Data!B51))</f>
        <v>Operations</v>
      </c>
      <c r="C51" s="18" t="s">
        <v>26</v>
      </c>
      <c r="D51" s="14" t="str">
        <f>IF(ISBLANK(Raw_Data!D51),AVERAGE(Raw_Data!D$2:D$5002),Raw_Data!D51)</f>
        <v>109120.54</v>
      </c>
      <c r="E51" s="15" t="str">
        <f>IF(ISBLANK(Raw_Data!E51),AVERAGE(Raw_Data!E$2:E$5002),Raw_Data!E51)</f>
        <v>32736.16</v>
      </c>
      <c r="F51" s="15" t="str">
        <f>IF(ISBLANK(Raw_Data!F51),AVERAGE(Raw_Data!F$2:F$5002),Raw_Data!F51)</f>
        <v>1241.35</v>
      </c>
      <c r="G51" s="14" t="str">
        <f>IF(ISBLANK(Raw_Data!G51),AVERAGE(Raw_Data!G$2:G$5002),Raw_Data!G51)</f>
        <v>16624.36</v>
      </c>
      <c r="H51" s="15" t="str">
        <f t="shared" si="1"/>
        <v>143098.00</v>
      </c>
      <c r="I51" s="14" t="str">
        <f t="shared" si="2"/>
        <v>126474.00</v>
      </c>
      <c r="J51" s="16" t="str">
        <f>TEXT(Raw_Data!J51,"MMM-YYY")</f>
        <v>Mar-2025</v>
      </c>
      <c r="K51" s="13" t="str">
        <f>Raw_Data!K51</f>
        <v>13</v>
      </c>
      <c r="L51" s="17" t="str">
        <f>Raw_Data!L51</f>
        <v>Mumbai-HO</v>
      </c>
      <c r="M51" s="13" t="str">
        <f t="shared" si="3"/>
        <v>OK</v>
      </c>
      <c r="N51" s="18" t="str">
        <f t="shared" si="4"/>
        <v>VALID</v>
      </c>
    </row>
    <row r="52" ht="15.75" customHeight="1">
      <c r="A52" s="13" t="str">
        <f>Raw_Data!A52</f>
        <v>EMP0051</v>
      </c>
      <c r="B52" s="13" t="str">
        <f>TRIM(CLEAN(Raw_Data!B52))</f>
        <v>HR</v>
      </c>
      <c r="C52" s="18" t="s">
        <v>37</v>
      </c>
      <c r="D52" s="14" t="str">
        <f>IF(ISBLANK(Raw_Data!D52),AVERAGE(Raw_Data!D$2:D$5002),Raw_Data!D52)</f>
        <v>46223.30</v>
      </c>
      <c r="E52" s="15" t="str">
        <f>IF(ISBLANK(Raw_Data!E52),AVERAGE(Raw_Data!E$2:E$5002),Raw_Data!E52)</f>
        <v>13866.99</v>
      </c>
      <c r="F52" s="15" t="str">
        <f>IF(ISBLANK(Raw_Data!F52),AVERAGE(Raw_Data!F$2:F$5002),Raw_Data!F52)</f>
        <v>7967.23</v>
      </c>
      <c r="G52" s="14" t="str">
        <f>IF(ISBLANK(Raw_Data!G52),AVERAGE(Raw_Data!G$2:G$5002),Raw_Data!G52)</f>
        <v>5599.15</v>
      </c>
      <c r="H52" s="15" t="str">
        <f t="shared" si="1"/>
        <v>68058.00</v>
      </c>
      <c r="I52" s="14" t="str">
        <f t="shared" si="2"/>
        <v>62459.00</v>
      </c>
      <c r="J52" s="16" t="str">
        <f>TEXT(Raw_Data!J52,"MMM-YYY")</f>
        <v>Oct-2025</v>
      </c>
      <c r="K52" s="13" t="str">
        <f>Raw_Data!K52</f>
        <v>19</v>
      </c>
      <c r="L52" s="17" t="str">
        <f>Raw_Data!L52</f>
        <v>Delhi-North</v>
      </c>
      <c r="M52" s="13" t="str">
        <f t="shared" si="3"/>
        <v>OK</v>
      </c>
      <c r="N52" s="18" t="str">
        <f t="shared" si="4"/>
        <v>VALID</v>
      </c>
    </row>
    <row r="53" ht="15.75" customHeight="1">
      <c r="A53" s="13" t="str">
        <f>Raw_Data!A53</f>
        <v>EMP0052</v>
      </c>
      <c r="B53" s="13" t="str">
        <f>TRIM(CLEAN(Raw_Data!B53))</f>
        <v>Finance</v>
      </c>
      <c r="C53" s="18" t="s">
        <v>37</v>
      </c>
      <c r="D53" s="14" t="str">
        <f>IF(ISBLANK(Raw_Data!D53),AVERAGE(Raw_Data!D$2:D$5002),Raw_Data!D53)</f>
        <v>55701.34</v>
      </c>
      <c r="E53" s="15" t="str">
        <f>IF(ISBLANK(Raw_Data!E53),AVERAGE(Raw_Data!E$2:E$5002),Raw_Data!E53)</f>
        <v>16710.40</v>
      </c>
      <c r="F53" s="15" t="str">
        <f>IF(ISBLANK(Raw_Data!F53),AVERAGE(Raw_Data!F$2:F$5002),Raw_Data!F53)</f>
        <v>6900.08</v>
      </c>
      <c r="G53" s="14" t="str">
        <f>IF(ISBLANK(Raw_Data!G53),AVERAGE(Raw_Data!G$2:G$5002),Raw_Data!G53)</f>
        <v>7005.42</v>
      </c>
      <c r="H53" s="15" t="str">
        <f t="shared" si="1"/>
        <v>79312.00</v>
      </c>
      <c r="I53" s="14" t="str">
        <f t="shared" si="2"/>
        <v>72307.00</v>
      </c>
      <c r="J53" s="16" t="str">
        <f>TEXT(Raw_Data!J53,"MMM-YYY")</f>
        <v>Oct-2025</v>
      </c>
      <c r="K53" s="13" t="str">
        <f>Raw_Data!K53</f>
        <v>25</v>
      </c>
      <c r="L53" s="17" t="str">
        <f>Raw_Data!L53</f>
        <v>Bangalore-South</v>
      </c>
      <c r="M53" s="13" t="str">
        <f t="shared" si="3"/>
        <v>OK</v>
      </c>
      <c r="N53" s="18" t="str">
        <f t="shared" si="4"/>
        <v>VALID</v>
      </c>
    </row>
    <row r="54" ht="15.75" customHeight="1">
      <c r="A54" s="13" t="str">
        <f>Raw_Data!A54</f>
        <v>EMP0053</v>
      </c>
      <c r="B54" s="13" t="str">
        <f>TRIM(CLEAN(Raw_Data!B54))</f>
        <v>Operations</v>
      </c>
      <c r="C54" s="18" t="s">
        <v>37</v>
      </c>
      <c r="D54" s="14" t="str">
        <f>IF(ISBLANK(Raw_Data!D54),AVERAGE(Raw_Data!D$2:D$5002),Raw_Data!D54)</f>
        <v>50694.66</v>
      </c>
      <c r="E54" s="15" t="str">
        <f>IF(ISBLANK(Raw_Data!E54),AVERAGE(Raw_Data!E$2:E$5002),Raw_Data!E54)</f>
        <v>15208.40</v>
      </c>
      <c r="F54" s="15" t="str">
        <f>IF(ISBLANK(Raw_Data!F54),AVERAGE(Raw_Data!F$2:F$5002),Raw_Data!F54)</f>
        <v>2643.89</v>
      </c>
      <c r="G54" s="14" t="str">
        <f>IF(ISBLANK(Raw_Data!G54),AVERAGE(Raw_Data!G$2:G$5002),Raw_Data!G54)</f>
        <v>10185.46</v>
      </c>
      <c r="H54" s="15" t="str">
        <f t="shared" si="1"/>
        <v>68547.00</v>
      </c>
      <c r="I54" s="14" t="str">
        <f t="shared" si="2"/>
        <v>58362.00</v>
      </c>
      <c r="J54" s="16" t="str">
        <f>TEXT(Raw_Data!J54,"MMM-YYY")</f>
        <v>Jun-2025</v>
      </c>
      <c r="K54" s="13" t="str">
        <f>Raw_Data!K54</f>
        <v>12</v>
      </c>
      <c r="L54" s="17" t="str">
        <f>Raw_Data!L54</f>
        <v>Chennai-South</v>
      </c>
      <c r="M54" s="13" t="str">
        <f t="shared" si="3"/>
        <v>OK</v>
      </c>
      <c r="N54" s="18" t="str">
        <f t="shared" si="4"/>
        <v>VALID</v>
      </c>
    </row>
    <row r="55" ht="15.75" customHeight="1">
      <c r="A55" s="13" t="str">
        <f>Raw_Data!A55</f>
        <v>EMP0054</v>
      </c>
      <c r="B55" s="13" t="s">
        <v>51</v>
      </c>
      <c r="C55" s="18" t="s">
        <v>33</v>
      </c>
      <c r="D55" s="14" t="str">
        <f>IF(ISBLANK(Raw_Data!D55),AVERAGE(Raw_Data!D$2:D$5002),Raw_Data!D55)</f>
        <v>28957.86</v>
      </c>
      <c r="E55" s="15" t="str">
        <f>IF(ISBLANK(Raw_Data!E55),AVERAGE(Raw_Data!E$2:E$5002),Raw_Data!E55)</f>
        <v>8687.36</v>
      </c>
      <c r="F55" s="15" t="str">
        <f>IF(ISBLANK(Raw_Data!F55),AVERAGE(Raw_Data!F$2:F$5002),Raw_Data!F55)</f>
        <v>3890.14</v>
      </c>
      <c r="G55" s="14" t="str">
        <f>IF(ISBLANK(Raw_Data!G55),AVERAGE(Raw_Data!G$2:G$5002),Raw_Data!G55)</f>
        <v>2606.18</v>
      </c>
      <c r="H55" s="15" t="str">
        <f t="shared" si="1"/>
        <v>41535.00</v>
      </c>
      <c r="I55" s="14" t="str">
        <f t="shared" si="2"/>
        <v>38929.00</v>
      </c>
      <c r="J55" s="16" t="str">
        <f>TEXT(Raw_Data!J55,"MMM-YYY")</f>
        <v>Jun-2025</v>
      </c>
      <c r="K55" s="13" t="str">
        <f>Raw_Data!K55</f>
        <v>5</v>
      </c>
      <c r="L55" s="17" t="str">
        <f>Raw_Data!L55</f>
        <v>Kolkata-East</v>
      </c>
      <c r="M55" s="13" t="str">
        <f t="shared" si="3"/>
        <v>OK</v>
      </c>
      <c r="N55" s="18" t="str">
        <f t="shared" si="4"/>
        <v>VALID</v>
      </c>
    </row>
    <row r="56" ht="15.75" customHeight="1">
      <c r="A56" s="13" t="str">
        <f>Raw_Data!A56</f>
        <v>EMP0055</v>
      </c>
      <c r="B56" s="13" t="str">
        <f>TRIM(CLEAN(Raw_Data!B56))</f>
        <v>Customer Support</v>
      </c>
      <c r="C56" s="18" t="s">
        <v>14</v>
      </c>
      <c r="D56" s="14" t="str">
        <f>IF(ISBLANK(Raw_Data!D56),AVERAGE(Raw_Data!D$2:D$5002),Raw_Data!D56)</f>
        <v>71831.17</v>
      </c>
      <c r="E56" s="15" t="str">
        <f>IF(ISBLANK(Raw_Data!E56),AVERAGE(Raw_Data!E$2:E$5002),Raw_Data!E56)</f>
        <v>5420.12</v>
      </c>
      <c r="F56" s="15" t="str">
        <f>IF(ISBLANK(Raw_Data!F56),AVERAGE(Raw_Data!F$2:F$5002),Raw_Data!F56)</f>
        <v>2244.51</v>
      </c>
      <c r="G56" s="14" t="str">
        <f>IF(ISBLANK(Raw_Data!G56),AVERAGE(Raw_Data!G$2:G$5002),Raw_Data!G56)</f>
        <v>3051.49</v>
      </c>
      <c r="H56" s="15" t="str">
        <f t="shared" si="1"/>
        <v>79496.00</v>
      </c>
      <c r="I56" s="14" t="str">
        <f t="shared" si="2"/>
        <v>76445.00</v>
      </c>
      <c r="J56" s="16" t="str">
        <f>TEXT(Raw_Data!J56,"MMM-YYY")</f>
        <v>Feb-2025</v>
      </c>
      <c r="K56" s="13" t="str">
        <f>Raw_Data!K56</f>
        <v>2</v>
      </c>
      <c r="L56" s="17" t="str">
        <f>Raw_Data!L56</f>
        <v>Pune-West</v>
      </c>
      <c r="M56" s="13" t="str">
        <f t="shared" si="3"/>
        <v>OK</v>
      </c>
      <c r="N56" s="18" t="str">
        <f t="shared" si="4"/>
        <v>VALID</v>
      </c>
    </row>
    <row r="57" ht="15.75" customHeight="1">
      <c r="A57" s="13" t="str">
        <f>Raw_Data!A57</f>
        <v>EMP0056</v>
      </c>
      <c r="B57" s="13" t="str">
        <f>TRIM(CLEAN(Raw_Data!B57))</f>
        <v>HR</v>
      </c>
      <c r="C57" s="18" t="s">
        <v>37</v>
      </c>
      <c r="D57" s="14" t="str">
        <f>IF(ISBLANK(Raw_Data!D57),AVERAGE(Raw_Data!D$2:D$5002),Raw_Data!D57)</f>
        <v>48836.78</v>
      </c>
      <c r="E57" s="15" t="str">
        <f>IF(ISBLANK(Raw_Data!E57),AVERAGE(Raw_Data!E$2:E$5002),Raw_Data!E57)</f>
        <v>14651.03</v>
      </c>
      <c r="F57" s="15" t="str">
        <f>IF(ISBLANK(Raw_Data!F57),AVERAGE(Raw_Data!F$2:F$5002),Raw_Data!F57)</f>
        <v>2590.31</v>
      </c>
      <c r="G57" s="14" t="str">
        <f>IF(ISBLANK(Raw_Data!G57),AVERAGE(Raw_Data!G$2:G$5002),Raw_Data!G57)</f>
        <v>13673.21</v>
      </c>
      <c r="H57" s="15" t="str">
        <f t="shared" si="1"/>
        <v>66078.00</v>
      </c>
      <c r="I57" s="14" t="str">
        <f t="shared" si="2"/>
        <v>52405.00</v>
      </c>
      <c r="J57" s="16" t="str">
        <f>TEXT(Raw_Data!J57,"MMM-YYY")</f>
        <v>Feb-2025</v>
      </c>
      <c r="K57" s="13" t="str">
        <f>Raw_Data!K57</f>
        <v>24</v>
      </c>
      <c r="L57" s="17" t="str">
        <f>Raw_Data!L57</f>
        <v>Hyderabad-South</v>
      </c>
      <c r="M57" s="13" t="str">
        <f t="shared" si="3"/>
        <v>OK</v>
      </c>
      <c r="N57" s="18" t="str">
        <f t="shared" si="4"/>
        <v>VALID</v>
      </c>
    </row>
    <row r="58" ht="15.75" customHeight="1">
      <c r="A58" s="13" t="str">
        <f>Raw_Data!A58</f>
        <v>EMP0057</v>
      </c>
      <c r="B58" s="13" t="str">
        <f>TRIM(CLEAN(Raw_Data!B58))</f>
        <v>Finance</v>
      </c>
      <c r="C58" s="18" t="s">
        <v>33</v>
      </c>
      <c r="D58" s="14" t="str">
        <f>IF(ISBLANK(Raw_Data!D58),AVERAGE(Raw_Data!D$2:D$5002),Raw_Data!D58)</f>
        <v>27849.87</v>
      </c>
      <c r="E58" s="15" t="str">
        <f>IF(ISBLANK(Raw_Data!E58),AVERAGE(Raw_Data!E$2:E$5002),Raw_Data!E58)</f>
        <v>8354.96</v>
      </c>
      <c r="F58" s="15" t="str">
        <f>IF(ISBLANK(Raw_Data!F58),AVERAGE(Raw_Data!F$2:F$5002),Raw_Data!F58)</f>
        <v>2440.68</v>
      </c>
      <c r="G58" s="14" t="str">
        <f>IF(ISBLANK(Raw_Data!G58),AVERAGE(Raw_Data!G$2:G$5002),Raw_Data!G58)</f>
        <v>4538.56</v>
      </c>
      <c r="H58" s="15" t="str">
        <f t="shared" si="1"/>
        <v>38646.00</v>
      </c>
      <c r="I58" s="14" t="str">
        <f t="shared" si="2"/>
        <v>34107.00</v>
      </c>
      <c r="J58" s="16" t="str">
        <f>TEXT(Raw_Data!J58,"MMM-YYY")</f>
        <v>May-2025</v>
      </c>
      <c r="K58" s="13" t="str">
        <f>Raw_Data!K58</f>
        <v>16</v>
      </c>
      <c r="L58" s="17" t="str">
        <f>Raw_Data!L58</f>
        <v>Chandigarh-North</v>
      </c>
      <c r="M58" s="13" t="str">
        <f t="shared" si="3"/>
        <v>OK</v>
      </c>
      <c r="N58" s="18" t="str">
        <f t="shared" si="4"/>
        <v>VALID</v>
      </c>
    </row>
    <row r="59" ht="15.75" customHeight="1">
      <c r="A59" s="13" t="str">
        <f>Raw_Data!A59</f>
        <v>EMP0058</v>
      </c>
      <c r="B59" s="13" t="str">
        <f>TRIM(CLEAN(Raw_Data!B59))</f>
        <v>Operations</v>
      </c>
      <c r="C59" s="18" t="s">
        <v>26</v>
      </c>
      <c r="D59" s="14" t="str">
        <f>IF(ISBLANK(Raw_Data!D59),AVERAGE(Raw_Data!D$2:D$5002),Raw_Data!D59)</f>
        <v>113543.15</v>
      </c>
      <c r="E59" s="15" t="str">
        <f>IF(ISBLANK(Raw_Data!E59),AVERAGE(Raw_Data!E$2:E$5002),Raw_Data!E59)</f>
        <v>34062.94</v>
      </c>
      <c r="F59" s="15" t="str">
        <f>IF(ISBLANK(Raw_Data!F59),AVERAGE(Raw_Data!F$2:F$5002),Raw_Data!F59)</f>
        <v>177.65</v>
      </c>
      <c r="G59" s="14" t="str">
        <f>IF(ISBLANK(Raw_Data!G59),AVERAGE(Raw_Data!G$2:G$5002),Raw_Data!G59)</f>
        <v>27832.97</v>
      </c>
      <c r="H59" s="15" t="str">
        <f t="shared" si="1"/>
        <v>147784.00</v>
      </c>
      <c r="I59" s="14" t="str">
        <f t="shared" si="2"/>
        <v>119951.00</v>
      </c>
      <c r="J59" s="16" t="str">
        <f>TEXT(Raw_Data!J59,"MMM-YYY")</f>
        <v>May-2025</v>
      </c>
      <c r="K59" s="13" t="str">
        <f>Raw_Data!K59</f>
        <v>6</v>
      </c>
      <c r="L59" s="17" t="str">
        <f>Raw_Data!L59</f>
        <v>Ahmedabad-West</v>
      </c>
      <c r="M59" s="13" t="str">
        <f t="shared" si="3"/>
        <v>OK</v>
      </c>
      <c r="N59" s="18" t="str">
        <f t="shared" si="4"/>
        <v>VALID</v>
      </c>
    </row>
    <row r="60" ht="15.75" customHeight="1">
      <c r="A60" s="13" t="str">
        <f>Raw_Data!A60</f>
        <v>EMP0059</v>
      </c>
      <c r="B60" s="13" t="str">
        <f>TRIM(CLEAN(Raw_Data!B60))</f>
        <v>Sales</v>
      </c>
      <c r="C60" s="18" t="s">
        <v>14</v>
      </c>
      <c r="D60" s="14" t="str">
        <f>IF(ISBLANK(Raw_Data!D60),AVERAGE(Raw_Data!D$2:D$5002),Raw_Data!D60)</f>
        <v>24760.30</v>
      </c>
      <c r="E60" s="15" t="str">
        <f>IF(ISBLANK(Raw_Data!E60),AVERAGE(Raw_Data!E$2:E$5002),Raw_Data!E60)</f>
        <v>7428.09</v>
      </c>
      <c r="F60" s="15" t="str">
        <f>IF(ISBLANK(Raw_Data!F60),AVERAGE(Raw_Data!F$2:F$5002),Raw_Data!F60)</f>
        <v>665.02</v>
      </c>
      <c r="G60" s="14" t="str">
        <f>IF(ISBLANK(Raw_Data!G60),AVERAGE(Raw_Data!G$2:G$5002),Raw_Data!G60)</f>
        <v>857.41</v>
      </c>
      <c r="H60" s="15" t="str">
        <f t="shared" si="1"/>
        <v>32853.00</v>
      </c>
      <c r="I60" s="14" t="str">
        <f t="shared" si="2"/>
        <v>31996.00</v>
      </c>
      <c r="J60" s="16" t="str">
        <f>TEXT(Raw_Data!J60,"MMM-YYY")</f>
        <v>Feb-2025</v>
      </c>
      <c r="K60" s="13" t="str">
        <f>Raw_Data!K60</f>
        <v>25</v>
      </c>
      <c r="L60" s="17" t="str">
        <f>Raw_Data!L60</f>
        <v>Jaipur-North</v>
      </c>
      <c r="M60" s="13" t="str">
        <f t="shared" si="3"/>
        <v>OK</v>
      </c>
      <c r="N60" s="18" t="str">
        <f t="shared" si="4"/>
        <v>VALID</v>
      </c>
    </row>
    <row r="61" ht="15.75" customHeight="1">
      <c r="A61" s="13" t="str">
        <f>Raw_Data!A61</f>
        <v>EMP0060</v>
      </c>
      <c r="B61" s="13" t="str">
        <f>TRIM(CLEAN(Raw_Data!B61))</f>
        <v>Sales</v>
      </c>
      <c r="C61" s="18" t="s">
        <v>37</v>
      </c>
      <c r="D61" s="14" t="str">
        <f>IF(ISBLANK(Raw_Data!D61),AVERAGE(Raw_Data!D$2:D$5002),Raw_Data!D61)</f>
        <v>47798.06</v>
      </c>
      <c r="E61" s="15" t="str">
        <f>IF(ISBLANK(Raw_Data!E61),AVERAGE(Raw_Data!E$2:E$5002),Raw_Data!E61)</f>
        <v>14339.42</v>
      </c>
      <c r="F61" s="15" t="str">
        <f>IF(ISBLANK(Raw_Data!F61),AVERAGE(Raw_Data!F$2:F$5002),Raw_Data!F61)</f>
        <v>2693.48</v>
      </c>
      <c r="G61" s="14" t="str">
        <f>IF(ISBLANK(Raw_Data!G61),AVERAGE(Raw_Data!G$2:G$5002),Raw_Data!G61)</f>
        <v>3020.31</v>
      </c>
      <c r="H61" s="15" t="str">
        <f t="shared" si="1"/>
        <v>64831.00</v>
      </c>
      <c r="I61" s="14" t="str">
        <f t="shared" si="2"/>
        <v>61811.00</v>
      </c>
      <c r="J61" s="16" t="str">
        <f>TEXT(Raw_Data!J61,"MMM-YYY")</f>
        <v>Jun-2025</v>
      </c>
      <c r="K61" s="13" t="str">
        <f>Raw_Data!K61</f>
        <v>18</v>
      </c>
      <c r="L61" s="17" t="str">
        <f>Raw_Data!L61</f>
        <v>Mumbai-HO</v>
      </c>
      <c r="M61" s="13" t="str">
        <f t="shared" si="3"/>
        <v>OK</v>
      </c>
      <c r="N61" s="18" t="str">
        <f t="shared" si="4"/>
        <v>VALID</v>
      </c>
    </row>
    <row r="62" ht="15.75" customHeight="1">
      <c r="A62" s="13" t="str">
        <f>Raw_Data!A62</f>
        <v>EMP0061</v>
      </c>
      <c r="B62" s="13" t="str">
        <f>TRIM(CLEAN(Raw_Data!B62))</f>
        <v>Finance</v>
      </c>
      <c r="C62" s="18" t="s">
        <v>18</v>
      </c>
      <c r="D62" s="14" t="str">
        <f>IF(ISBLANK(Raw_Data!D62),AVERAGE(Raw_Data!D$2:D$5002),Raw_Data!D62)</f>
        <v>81490.19</v>
      </c>
      <c r="E62" s="15" t="str">
        <f>IF(ISBLANK(Raw_Data!E62),AVERAGE(Raw_Data!E$2:E$5002),Raw_Data!E62)</f>
        <v>24447.06</v>
      </c>
      <c r="F62" s="15" t="str">
        <f>IF(ISBLANK(Raw_Data!F62),AVERAGE(Raw_Data!F$2:F$5002),Raw_Data!F62)</f>
        <v>4302.42</v>
      </c>
      <c r="G62" s="14" t="str">
        <f>IF(ISBLANK(Raw_Data!G62),AVERAGE(Raw_Data!G$2:G$5002),Raw_Data!G62)</f>
        <v>11943.17</v>
      </c>
      <c r="H62" s="15" t="str">
        <f t="shared" si="1"/>
        <v>110240.00</v>
      </c>
      <c r="I62" s="14" t="str">
        <f t="shared" si="2"/>
        <v>98297.00</v>
      </c>
      <c r="J62" s="16" t="str">
        <f>TEXT(Raw_Data!J62,"MMM-YYY")</f>
        <v>Jan-2025</v>
      </c>
      <c r="K62" s="13" t="str">
        <f>Raw_Data!K62</f>
        <v>11</v>
      </c>
      <c r="L62" s="17" t="str">
        <f>Raw_Data!L62</f>
        <v>Delhi-North</v>
      </c>
      <c r="M62" s="13" t="str">
        <f t="shared" si="3"/>
        <v>OK</v>
      </c>
      <c r="N62" s="18" t="str">
        <f t="shared" si="4"/>
        <v>VALID</v>
      </c>
    </row>
    <row r="63" ht="15.75" customHeight="1">
      <c r="A63" s="13" t="str">
        <f>Raw_Data!A63</f>
        <v>EMP0062</v>
      </c>
      <c r="B63" s="13" t="str">
        <f>TRIM(CLEAN(Raw_Data!B63))</f>
        <v>HR</v>
      </c>
      <c r="C63" s="18" t="s">
        <v>18</v>
      </c>
      <c r="D63" s="14" t="str">
        <f>IF(ISBLANK(Raw_Data!D63),AVERAGE(Raw_Data!D$2:D$5002),Raw_Data!D63)</f>
        <v>76012.97</v>
      </c>
      <c r="E63" s="15" t="str">
        <f>IF(ISBLANK(Raw_Data!E63),AVERAGE(Raw_Data!E$2:E$5002),Raw_Data!E63)</f>
        <v>22803.89</v>
      </c>
      <c r="F63" s="15" t="str">
        <f>IF(ISBLANK(Raw_Data!F63),AVERAGE(Raw_Data!F$2:F$5002),Raw_Data!F63)</f>
        <v>4206.26</v>
      </c>
      <c r="G63" s="14" t="str">
        <f>IF(ISBLANK(Raw_Data!G63),AVERAGE(Raw_Data!G$2:G$5002),Raw_Data!G63)</f>
        <v>80.86</v>
      </c>
      <c r="H63" s="15" t="str">
        <f t="shared" si="1"/>
        <v>103023.00</v>
      </c>
      <c r="I63" s="14" t="str">
        <f t="shared" si="2"/>
        <v>102942.00</v>
      </c>
      <c r="J63" s="16" t="str">
        <f>TEXT(Raw_Data!J63,"MMM-YYY")</f>
        <v>Mar-2025</v>
      </c>
      <c r="K63" s="13" t="str">
        <f>Raw_Data!K63</f>
        <v>4</v>
      </c>
      <c r="L63" s="17" t="str">
        <f>Raw_Data!L63</f>
        <v>Bangalore-South</v>
      </c>
      <c r="M63" s="13" t="str">
        <f t="shared" si="3"/>
        <v>OK</v>
      </c>
      <c r="N63" s="18" t="str">
        <f t="shared" si="4"/>
        <v>VALID</v>
      </c>
    </row>
    <row r="64" ht="15.75" customHeight="1">
      <c r="A64" s="13" t="str">
        <f>Raw_Data!A64</f>
        <v>EMP0063</v>
      </c>
      <c r="B64" s="13" t="str">
        <f>TRIM(CLEAN(Raw_Data!B64))</f>
        <v>Sales</v>
      </c>
      <c r="C64" s="18" t="s">
        <v>33</v>
      </c>
      <c r="D64" s="14" t="str">
        <f>IF(ISBLANK(Raw_Data!D64),AVERAGE(Raw_Data!D$2:D$5002),Raw_Data!D64)</f>
        <v>26615.82</v>
      </c>
      <c r="E64" s="15" t="str">
        <f>IF(ISBLANK(Raw_Data!E64),AVERAGE(Raw_Data!E$2:E$5002),Raw_Data!E64)</f>
        <v>7984.75</v>
      </c>
      <c r="F64" s="15" t="str">
        <f>IF(ISBLANK(Raw_Data!F64),AVERAGE(Raw_Data!F$2:F$5002),Raw_Data!F64)</f>
        <v>2351.96</v>
      </c>
      <c r="G64" s="14" t="str">
        <f>IF(ISBLANK(Raw_Data!G64),AVERAGE(Raw_Data!G$2:G$5002),Raw_Data!G64)</f>
        <v>5634.58</v>
      </c>
      <c r="H64" s="15" t="str">
        <f t="shared" si="1"/>
        <v>36953.00</v>
      </c>
      <c r="I64" s="14" t="str">
        <f t="shared" si="2"/>
        <v>31318.00</v>
      </c>
      <c r="J64" s="16" t="str">
        <f>TEXT(Raw_Data!J64,"MMM-YYY")</f>
        <v>Sep-2025</v>
      </c>
      <c r="K64" s="13" t="str">
        <f>Raw_Data!K64</f>
        <v>24</v>
      </c>
      <c r="L64" s="17" t="str">
        <f>Raw_Data!L64</f>
        <v>Chennai-South</v>
      </c>
      <c r="M64" s="13" t="str">
        <f t="shared" si="3"/>
        <v>OK</v>
      </c>
      <c r="N64" s="18" t="str">
        <f t="shared" si="4"/>
        <v>VALID</v>
      </c>
    </row>
    <row r="65" ht="15.75" customHeight="1">
      <c r="A65" s="13" t="str">
        <f>Raw_Data!A65</f>
        <v>EMP0064</v>
      </c>
      <c r="B65" s="13" t="str">
        <f>TRIM(CLEAN(Raw_Data!B65))</f>
        <v>HR</v>
      </c>
      <c r="C65" s="18" t="s">
        <v>14</v>
      </c>
      <c r="D65" s="14" t="str">
        <f>IF(ISBLANK(Raw_Data!D65),AVERAGE(Raw_Data!D$2:D$5002),Raw_Data!D65)</f>
        <v>18541.76</v>
      </c>
      <c r="E65" s="15" t="str">
        <f>IF(ISBLANK(Raw_Data!E65),AVERAGE(Raw_Data!E$2:E$5002),Raw_Data!E65)</f>
        <v>5562.53</v>
      </c>
      <c r="F65" s="15" t="str">
        <f>IF(ISBLANK(Raw_Data!F65),AVERAGE(Raw_Data!F$2:F$5002),Raw_Data!F65)</f>
        <v>3274.87</v>
      </c>
      <c r="G65" s="14" t="str">
        <f>IF(ISBLANK(Raw_Data!G65),AVERAGE(Raw_Data!G$2:G$5002),Raw_Data!G65)</f>
        <v>5028.13</v>
      </c>
      <c r="H65" s="15" t="str">
        <f t="shared" si="1"/>
        <v>27379.00</v>
      </c>
      <c r="I65" s="14" t="str">
        <f t="shared" si="2"/>
        <v>22351.00</v>
      </c>
      <c r="J65" s="16" t="str">
        <f>TEXT(Raw_Data!J65,"MMM-YYY")</f>
        <v>Sep-2025</v>
      </c>
      <c r="K65" s="13" t="str">
        <f>Raw_Data!K65</f>
        <v>22</v>
      </c>
      <c r="L65" s="17" t="str">
        <f>Raw_Data!L65</f>
        <v>Kolkata-East</v>
      </c>
      <c r="M65" s="13" t="str">
        <f t="shared" si="3"/>
        <v>OK</v>
      </c>
      <c r="N65" s="18" t="str">
        <f t="shared" si="4"/>
        <v>VALID</v>
      </c>
    </row>
    <row r="66" ht="15.75" customHeight="1">
      <c r="A66" s="13" t="str">
        <f>Raw_Data!A66</f>
        <v>EMP0065</v>
      </c>
      <c r="B66" s="13" t="str">
        <f>TRIM(CLEAN(Raw_Data!B66))</f>
        <v>HR</v>
      </c>
      <c r="C66" s="18" t="s">
        <v>26</v>
      </c>
      <c r="D66" s="14" t="str">
        <f>IF(ISBLANK(Raw_Data!D66),AVERAGE(Raw_Data!D$2:D$5002),Raw_Data!D66)</f>
        <v>103291.78</v>
      </c>
      <c r="E66" s="15" t="str">
        <f>IF(ISBLANK(Raw_Data!E66),AVERAGE(Raw_Data!E$2:E$5002),Raw_Data!E66)</f>
        <v>30987.53</v>
      </c>
      <c r="F66" s="15" t="str">
        <f>IF(ISBLANK(Raw_Data!F66),AVERAGE(Raw_Data!F$2:F$5002),Raw_Data!F66)</f>
        <v>11414.26</v>
      </c>
      <c r="G66" s="14" t="str">
        <f>IF(ISBLANK(Raw_Data!G66),AVERAGE(Raw_Data!G$2:G$5002),Raw_Data!G66)</f>
        <v>13318.03</v>
      </c>
      <c r="H66" s="15" t="str">
        <f t="shared" si="1"/>
        <v>145694.00</v>
      </c>
      <c r="I66" s="14" t="str">
        <f t="shared" si="2"/>
        <v>132376.00</v>
      </c>
      <c r="J66" s="16" t="str">
        <f>TEXT(Raw_Data!J66,"MMM-YYY")</f>
        <v>Jan-2025</v>
      </c>
      <c r="K66" s="13" t="str">
        <f>Raw_Data!K66</f>
        <v>7</v>
      </c>
      <c r="L66" s="17" t="str">
        <f>Raw_Data!L66</f>
        <v>Pune-West</v>
      </c>
      <c r="M66" s="13" t="str">
        <f t="shared" si="3"/>
        <v>OK</v>
      </c>
      <c r="N66" s="18" t="str">
        <f t="shared" si="4"/>
        <v>VALID</v>
      </c>
    </row>
    <row r="67" ht="15.75" customHeight="1">
      <c r="A67" s="13" t="str">
        <f>Raw_Data!A67</f>
        <v>EMP0066</v>
      </c>
      <c r="B67" s="13" t="str">
        <f>TRIM(CLEAN(Raw_Data!B67))</f>
        <v>IT</v>
      </c>
      <c r="C67" s="18" t="s">
        <v>33</v>
      </c>
      <c r="D67" s="14" t="str">
        <f>IF(ISBLANK(Raw_Data!D67),AVERAGE(Raw_Data!D$2:D$5002),Raw_Data!D67)</f>
        <v>33989.81</v>
      </c>
      <c r="E67" s="15" t="str">
        <f>IF(ISBLANK(Raw_Data!E67),AVERAGE(Raw_Data!E$2:E$5002),Raw_Data!E67)</f>
        <v>10196.94</v>
      </c>
      <c r="F67" s="15" t="str">
        <f>IF(ISBLANK(Raw_Data!F67),AVERAGE(Raw_Data!F$2:F$5002),Raw_Data!F67)</f>
        <v>5412.01</v>
      </c>
      <c r="G67" s="14" t="str">
        <f>IF(ISBLANK(Raw_Data!G67),AVERAGE(Raw_Data!G$2:G$5002),Raw_Data!G67)</f>
        <v>8776.54</v>
      </c>
      <c r="H67" s="15" t="str">
        <f t="shared" si="1"/>
        <v>49599.00</v>
      </c>
      <c r="I67" s="14" t="str">
        <f t="shared" si="2"/>
        <v>40822.00</v>
      </c>
      <c r="J67" s="16" t="str">
        <f>TEXT(Raw_Data!J67,"MMM-YYY")</f>
        <v>Jun-2025</v>
      </c>
      <c r="K67" s="13" t="str">
        <f>Raw_Data!K67</f>
        <v>20</v>
      </c>
      <c r="L67" s="17" t="str">
        <f>Raw_Data!L67</f>
        <v>Hyderabad-South</v>
      </c>
      <c r="M67" s="13" t="str">
        <f t="shared" si="3"/>
        <v>OK</v>
      </c>
      <c r="N67" s="18" t="str">
        <f t="shared" si="4"/>
        <v>VALID</v>
      </c>
    </row>
    <row r="68" ht="15.75" customHeight="1">
      <c r="A68" s="13" t="str">
        <f>Raw_Data!A68</f>
        <v>EMP0067</v>
      </c>
      <c r="B68" s="13" t="str">
        <f>TRIM(CLEAN(Raw_Data!B68))</f>
        <v>Finance</v>
      </c>
      <c r="C68" s="18" t="s">
        <v>18</v>
      </c>
      <c r="D68" s="14" t="str">
        <f>IF(ISBLANK(Raw_Data!D68),AVERAGE(Raw_Data!D$2:D$5002),Raw_Data!D68)</f>
        <v>71487.77</v>
      </c>
      <c r="E68" s="15" t="str">
        <f>IF(ISBLANK(Raw_Data!E68),AVERAGE(Raw_Data!E$2:E$5002),Raw_Data!E68)</f>
        <v>21446.33</v>
      </c>
      <c r="F68" s="15" t="str">
        <f>IF(ISBLANK(Raw_Data!F68),AVERAGE(Raw_Data!F$2:F$5002),Raw_Data!F68)</f>
        <v>1469.70</v>
      </c>
      <c r="G68" s="14" t="str">
        <f>IF(ISBLANK(Raw_Data!G68),AVERAGE(Raw_Data!G$2:G$5002),Raw_Data!G68)</f>
        <v>16730.63</v>
      </c>
      <c r="H68" s="15" t="str">
        <f t="shared" si="1"/>
        <v>94404.00</v>
      </c>
      <c r="I68" s="14" t="str">
        <f t="shared" si="2"/>
        <v>77673.00</v>
      </c>
      <c r="J68" s="16" t="str">
        <f>TEXT(Raw_Data!J68,"MMM-YYY")</f>
        <v>Jul-2025</v>
      </c>
      <c r="K68" s="13" t="str">
        <f>Raw_Data!K68</f>
        <v>24</v>
      </c>
      <c r="L68" s="17" t="str">
        <f>Raw_Data!L68</f>
        <v>Chandigarh-North</v>
      </c>
      <c r="M68" s="13" t="str">
        <f t="shared" si="3"/>
        <v>OK</v>
      </c>
      <c r="N68" s="18" t="str">
        <f t="shared" si="4"/>
        <v>VALID</v>
      </c>
    </row>
    <row r="69" ht="15.75" customHeight="1">
      <c r="A69" s="13" t="str">
        <f>Raw_Data!A69</f>
        <v>EMP0068</v>
      </c>
      <c r="B69" s="13" t="str">
        <f>TRIM(CLEAN(Raw_Data!B69))</f>
        <v>Operations</v>
      </c>
      <c r="C69" s="18" t="s">
        <v>18</v>
      </c>
      <c r="D69" s="14" t="str">
        <f>IF(ISBLANK(Raw_Data!D69),AVERAGE(Raw_Data!D$2:D$5002),Raw_Data!D69)</f>
        <v>69018.39</v>
      </c>
      <c r="E69" s="15" t="str">
        <f>IF(ISBLANK(Raw_Data!E69),AVERAGE(Raw_Data!E$2:E$5002),Raw_Data!E69)</f>
        <v>20705.52</v>
      </c>
      <c r="F69" s="15" t="str">
        <f>IF(ISBLANK(Raw_Data!F69),AVERAGE(Raw_Data!F$2:F$5002),Raw_Data!F69)</f>
        <v>12835.78</v>
      </c>
      <c r="G69" s="14" t="str">
        <f>IF(ISBLANK(Raw_Data!G69),AVERAGE(Raw_Data!G$2:G$5002),Raw_Data!G69)</f>
        <v>17902.11</v>
      </c>
      <c r="H69" s="15" t="str">
        <f t="shared" si="1"/>
        <v>102560.00</v>
      </c>
      <c r="I69" s="14" t="str">
        <f t="shared" si="2"/>
        <v>84658.00</v>
      </c>
      <c r="J69" s="16" t="str">
        <f>TEXT(Raw_Data!J69,"MMM-YYY")</f>
        <v>Mar-2025</v>
      </c>
      <c r="K69" s="13" t="str">
        <f>Raw_Data!K69</f>
        <v>15</v>
      </c>
      <c r="L69" s="17" t="str">
        <f>Raw_Data!L69</f>
        <v>Ahmedabad-West</v>
      </c>
      <c r="M69" s="13" t="str">
        <f t="shared" si="3"/>
        <v>OK</v>
      </c>
      <c r="N69" s="18" t="str">
        <f t="shared" si="4"/>
        <v>VALID</v>
      </c>
    </row>
    <row r="70" ht="15.75" customHeight="1">
      <c r="A70" s="13" t="str">
        <f>Raw_Data!A70</f>
        <v>EMP0069</v>
      </c>
      <c r="B70" s="13" t="str">
        <f>TRIM(CLEAN(Raw_Data!B70))</f>
        <v>Marketing</v>
      </c>
      <c r="C70" s="18" t="s">
        <v>14</v>
      </c>
      <c r="D70" s="14" t="str">
        <f>IF(ISBLANK(Raw_Data!D70),AVERAGE(Raw_Data!D$2:D$5002),Raw_Data!D70)</f>
        <v>19291.40</v>
      </c>
      <c r="E70" s="15" t="str">
        <f>IF(ISBLANK(Raw_Data!E70),AVERAGE(Raw_Data!E$2:E$5002),Raw_Data!E70)</f>
        <v>5787.42</v>
      </c>
      <c r="F70" s="15" t="str">
        <f>IF(ISBLANK(Raw_Data!F70),AVERAGE(Raw_Data!F$2:F$5002),Raw_Data!F70)</f>
        <v>3566.93</v>
      </c>
      <c r="G70" s="14" t="str">
        <f>IF(ISBLANK(Raw_Data!G70),AVERAGE(Raw_Data!G$2:G$5002),Raw_Data!G70)</f>
        <v>4528.00</v>
      </c>
      <c r="H70" s="15" t="str">
        <f t="shared" si="1"/>
        <v>28646.00</v>
      </c>
      <c r="I70" s="14" t="str">
        <f t="shared" si="2"/>
        <v>24118.00</v>
      </c>
      <c r="J70" s="16" t="str">
        <f>TEXT(Raw_Data!J70,"MMM-YYY")</f>
        <v>Jul-2025</v>
      </c>
      <c r="K70" s="13" t="str">
        <f>Raw_Data!K70</f>
        <v>2</v>
      </c>
      <c r="L70" s="17" t="str">
        <f>Raw_Data!L70</f>
        <v>Jaipur-North</v>
      </c>
      <c r="M70" s="13" t="str">
        <f t="shared" si="3"/>
        <v>OK</v>
      </c>
      <c r="N70" s="18" t="str">
        <f t="shared" si="4"/>
        <v>VALID</v>
      </c>
    </row>
    <row r="71" ht="15.75" customHeight="1">
      <c r="A71" s="13" t="str">
        <f>Raw_Data!A71</f>
        <v>EMP0070</v>
      </c>
      <c r="B71" s="13" t="str">
        <f>TRIM(CLEAN(Raw_Data!B71))</f>
        <v>Customer Support</v>
      </c>
      <c r="C71" s="18" t="s">
        <v>18</v>
      </c>
      <c r="D71" s="14" t="str">
        <f>IF(ISBLANK(Raw_Data!D71),AVERAGE(Raw_Data!D$2:D$5002),Raw_Data!D71)</f>
        <v>87465.66</v>
      </c>
      <c r="E71" s="15" t="str">
        <f>IF(ISBLANK(Raw_Data!E71),AVERAGE(Raw_Data!E$2:E$5002),Raw_Data!E71)</f>
        <v>26239.70</v>
      </c>
      <c r="F71" s="15" t="str">
        <f>IF(ISBLANK(Raw_Data!F71),AVERAGE(Raw_Data!F$2:F$5002),Raw_Data!F71)</f>
        <v>14182.54</v>
      </c>
      <c r="G71" s="14" t="str">
        <f>IF(ISBLANK(Raw_Data!G71),AVERAGE(Raw_Data!G$2:G$5002),Raw_Data!G71)</f>
        <v>7000.90</v>
      </c>
      <c r="H71" s="15" t="str">
        <f t="shared" si="1"/>
        <v>127888.00</v>
      </c>
      <c r="I71" s="14" t="str">
        <f t="shared" si="2"/>
        <v>120887.00</v>
      </c>
      <c r="J71" s="16" t="str">
        <f>TEXT(Raw_Data!J71,"MMM-YYY")</f>
        <v>Dec-2025</v>
      </c>
      <c r="K71" s="13" t="str">
        <f>Raw_Data!K71</f>
        <v>11</v>
      </c>
      <c r="L71" s="17" t="str">
        <f>Raw_Data!L71</f>
        <v>Mumbai-HO</v>
      </c>
      <c r="M71" s="13" t="str">
        <f t="shared" si="3"/>
        <v>OK</v>
      </c>
      <c r="N71" s="18" t="str">
        <f t="shared" si="4"/>
        <v>VALID</v>
      </c>
    </row>
    <row r="72" ht="15.75" customHeight="1">
      <c r="A72" s="13" t="str">
        <f>Raw_Data!A72</f>
        <v>EMP0071</v>
      </c>
      <c r="B72" s="13" t="str">
        <f>TRIM(CLEAN(Raw_Data!B72))</f>
        <v>HR</v>
      </c>
      <c r="C72" s="18" t="s">
        <v>54</v>
      </c>
      <c r="D72" s="14" t="str">
        <f>IF(ISBLANK(Raw_Data!D72),AVERAGE(Raw_Data!D$2:D$5002),Raw_Data!D72)</f>
        <v>47210.33</v>
      </c>
      <c r="E72" s="15" t="str">
        <f>IF(ISBLANK(Raw_Data!E72),AVERAGE(Raw_Data!E$2:E$5002),Raw_Data!E72)</f>
        <v>14163.10</v>
      </c>
      <c r="F72" s="15" t="str">
        <f>IF(ISBLANK(Raw_Data!F72),AVERAGE(Raw_Data!F$2:F$5002),Raw_Data!F72)</f>
        <v>8106.89</v>
      </c>
      <c r="G72" s="14" t="str">
        <f>IF(ISBLANK(Raw_Data!G72),AVERAGE(Raw_Data!G$2:G$5002),Raw_Data!G72)</f>
        <v>3150.35</v>
      </c>
      <c r="H72" s="15" t="str">
        <f t="shared" si="1"/>
        <v>69480.00</v>
      </c>
      <c r="I72" s="14" t="str">
        <f t="shared" si="2"/>
        <v>66330.00</v>
      </c>
      <c r="J72" s="16" t="str">
        <f>TEXT(Raw_Data!J72,"MMM-YYY")</f>
        <v>Aug-2025</v>
      </c>
      <c r="K72" s="13" t="str">
        <f>Raw_Data!K72</f>
        <v>10</v>
      </c>
      <c r="L72" s="17" t="str">
        <f>Raw_Data!L72</f>
        <v>Delhi-North</v>
      </c>
      <c r="M72" s="13" t="str">
        <f t="shared" si="3"/>
        <v>OK</v>
      </c>
      <c r="N72" s="18" t="str">
        <f t="shared" si="4"/>
        <v>VALID</v>
      </c>
    </row>
    <row r="73" ht="15.75" customHeight="1">
      <c r="A73" s="13" t="str">
        <f>Raw_Data!A73</f>
        <v>EMP0072</v>
      </c>
      <c r="B73" s="13" t="str">
        <f>TRIM(CLEAN(Raw_Data!B73))</f>
        <v>IT</v>
      </c>
      <c r="C73" s="18" t="s">
        <v>33</v>
      </c>
      <c r="D73" s="14" t="str">
        <f>IF(ISBLANK(Raw_Data!D73),AVERAGE(Raw_Data!D$2:D$5002),Raw_Data!D73)</f>
        <v>33205.36</v>
      </c>
      <c r="E73" s="15" t="str">
        <f>IF(ISBLANK(Raw_Data!E73),AVERAGE(Raw_Data!E$2:E$5002),Raw_Data!E73)</f>
        <v>9961.61</v>
      </c>
      <c r="F73" s="15" t="str">
        <f>IF(ISBLANK(Raw_Data!F73),AVERAGE(Raw_Data!F$2:F$5002),Raw_Data!F73)</f>
        <v>5786.52</v>
      </c>
      <c r="G73" s="14" t="str">
        <f>IF(ISBLANK(Raw_Data!G73),AVERAGE(Raw_Data!G$2:G$5002),Raw_Data!G73)</f>
        <v>2220.68</v>
      </c>
      <c r="H73" s="15" t="str">
        <f t="shared" si="1"/>
        <v>48953.00</v>
      </c>
      <c r="I73" s="14" t="str">
        <f t="shared" si="2"/>
        <v>46732.00</v>
      </c>
      <c r="J73" s="16" t="str">
        <f>TEXT(Raw_Data!J73,"MMM-YYY")</f>
        <v>Nov-2025</v>
      </c>
      <c r="K73" s="13" t="str">
        <f>Raw_Data!K73</f>
        <v>7</v>
      </c>
      <c r="L73" s="17" t="str">
        <f>Raw_Data!L73</f>
        <v>Bangalore-South</v>
      </c>
      <c r="M73" s="13" t="str">
        <f t="shared" si="3"/>
        <v>OK</v>
      </c>
      <c r="N73" s="18" t="str">
        <f t="shared" si="4"/>
        <v>VALID</v>
      </c>
    </row>
    <row r="74" ht="15.75" customHeight="1">
      <c r="A74" s="13" t="str">
        <f>Raw_Data!A74</f>
        <v>EMP0073</v>
      </c>
      <c r="B74" s="13" t="str">
        <f>TRIM(CLEAN(Raw_Data!B74))</f>
        <v>Finance</v>
      </c>
      <c r="C74" s="18" t="s">
        <v>54</v>
      </c>
      <c r="D74" s="14" t="str">
        <f>IF(ISBLANK(Raw_Data!D74),AVERAGE(Raw_Data!D$2:D$5002),Raw_Data!D74)</f>
        <v>39595.67</v>
      </c>
      <c r="E74" s="15" t="str">
        <f>IF(ISBLANK(Raw_Data!E74),AVERAGE(Raw_Data!E$2:E$5002),Raw_Data!E74)</f>
        <v>11878.70</v>
      </c>
      <c r="F74" s="15" t="str">
        <f>IF(ISBLANK(Raw_Data!F74),AVERAGE(Raw_Data!F$2:F$5002),Raw_Data!F74)</f>
        <v>6844.93</v>
      </c>
      <c r="G74" s="14" t="str">
        <f>IF(ISBLANK(Raw_Data!G74),AVERAGE(Raw_Data!G$2:G$5002),Raw_Data!G74)</f>
        <v>11485.39</v>
      </c>
      <c r="H74" s="15" t="str">
        <f t="shared" si="1"/>
        <v>58319.00</v>
      </c>
      <c r="I74" s="14" t="str">
        <f t="shared" si="2"/>
        <v>46834.00</v>
      </c>
      <c r="J74" s="16" t="str">
        <f>TEXT(Raw_Data!J74,"MMM-YYY")</f>
        <v>May-2025</v>
      </c>
      <c r="K74" s="13" t="str">
        <f>Raw_Data!K74</f>
        <v>23</v>
      </c>
      <c r="L74" s="17" t="str">
        <f>Raw_Data!L74</f>
        <v>Chennai-South</v>
      </c>
      <c r="M74" s="13" t="str">
        <f t="shared" si="3"/>
        <v>OK</v>
      </c>
      <c r="N74" s="18" t="str">
        <f t="shared" si="4"/>
        <v>VALID</v>
      </c>
    </row>
    <row r="75" ht="15.75" customHeight="1">
      <c r="A75" s="13" t="str">
        <f>Raw_Data!A75</f>
        <v>EMP0074</v>
      </c>
      <c r="B75" s="13" t="str">
        <f>TRIM(CLEAN(Raw_Data!B75))</f>
        <v>IT</v>
      </c>
      <c r="C75" s="18" t="s">
        <v>18</v>
      </c>
      <c r="D75" s="14" t="str">
        <f>IF(ISBLANK(Raw_Data!D75),AVERAGE(Raw_Data!D$2:D$5002),Raw_Data!D75)</f>
        <v>71831.17</v>
      </c>
      <c r="E75" s="15" t="str">
        <f>IF(ISBLANK(Raw_Data!E75),AVERAGE(Raw_Data!E$2:E$5002),Raw_Data!E75)</f>
        <v>23473.37</v>
      </c>
      <c r="F75" s="15" t="str">
        <f>IF(ISBLANK(Raw_Data!F75),AVERAGE(Raw_Data!F$2:F$5002),Raw_Data!F75)</f>
        <v>10633.72</v>
      </c>
      <c r="G75" s="14" t="str">
        <f>IF(ISBLANK(Raw_Data!G75),AVERAGE(Raw_Data!G$2:G$5002),Raw_Data!G75)</f>
        <v>19803.57</v>
      </c>
      <c r="H75" s="15" t="str">
        <f t="shared" si="1"/>
        <v>105938.00</v>
      </c>
      <c r="I75" s="14" t="str">
        <f t="shared" si="2"/>
        <v>86134.00</v>
      </c>
      <c r="J75" s="16" t="str">
        <f>TEXT(Raw_Data!J75,"MMM-YYY")</f>
        <v>Jun-2025</v>
      </c>
      <c r="K75" s="13" t="str">
        <f>Raw_Data!K75</f>
        <v>11</v>
      </c>
      <c r="L75" s="17" t="str">
        <f>Raw_Data!L75</f>
        <v>Kolkata-East</v>
      </c>
      <c r="M75" s="13" t="str">
        <f t="shared" si="3"/>
        <v>OK</v>
      </c>
      <c r="N75" s="18" t="str">
        <f t="shared" si="4"/>
        <v>VALID</v>
      </c>
    </row>
    <row r="76" ht="15.75" customHeight="1">
      <c r="A76" s="13" t="str">
        <f>Raw_Data!A76</f>
        <v>EMP0075</v>
      </c>
      <c r="B76" s="13" t="str">
        <f>TRIM(CLEAN(Raw_Data!B76))</f>
        <v>HR</v>
      </c>
      <c r="C76" s="18" t="s">
        <v>14</v>
      </c>
      <c r="D76" s="14" t="str">
        <f>IF(ISBLANK(Raw_Data!D76),AVERAGE(Raw_Data!D$2:D$5002),Raw_Data!D76)</f>
        <v>24314.68</v>
      </c>
      <c r="E76" s="15" t="str">
        <f>IF(ISBLANK(Raw_Data!E76),AVERAGE(Raw_Data!E$2:E$5002),Raw_Data!E76)</f>
        <v>7294.40</v>
      </c>
      <c r="F76" s="15" t="str">
        <f>IF(ISBLANK(Raw_Data!F76),AVERAGE(Raw_Data!F$2:F$5002),Raw_Data!F76)</f>
        <v>1270.27</v>
      </c>
      <c r="G76" s="14" t="str">
        <f>IF(ISBLANK(Raw_Data!G76),AVERAGE(Raw_Data!G$2:G$5002),Raw_Data!G76)</f>
        <v>4235.06</v>
      </c>
      <c r="H76" s="15" t="str">
        <f t="shared" si="1"/>
        <v>32879.00</v>
      </c>
      <c r="I76" s="14" t="str">
        <f t="shared" si="2"/>
        <v>28644.00</v>
      </c>
      <c r="J76" s="16" t="str">
        <f>TEXT(Raw_Data!J76,"MMM-YYY")</f>
        <v>May-2025</v>
      </c>
      <c r="K76" s="13" t="str">
        <f>Raw_Data!K76</f>
        <v>14</v>
      </c>
      <c r="L76" s="17" t="str">
        <f>Raw_Data!L76</f>
        <v>Pune-West</v>
      </c>
      <c r="M76" s="13" t="str">
        <f t="shared" si="3"/>
        <v>OK</v>
      </c>
      <c r="N76" s="18" t="str">
        <f t="shared" si="4"/>
        <v>VALID</v>
      </c>
    </row>
    <row r="77" ht="15.75" customHeight="1">
      <c r="A77" s="13" t="str">
        <f>Raw_Data!A77</f>
        <v>EMP0076</v>
      </c>
      <c r="B77" s="13" t="str">
        <f>TRIM(CLEAN(Raw_Data!B77))</f>
        <v>HR</v>
      </c>
      <c r="C77" s="18" t="s">
        <v>14</v>
      </c>
      <c r="D77" s="14" t="str">
        <f>IF(ISBLANK(Raw_Data!D77),AVERAGE(Raw_Data!D$2:D$5002),Raw_Data!D77)</f>
        <v>22295.31</v>
      </c>
      <c r="E77" s="15" t="str">
        <f>IF(ISBLANK(Raw_Data!E77),AVERAGE(Raw_Data!E$2:E$5002),Raw_Data!E77)</f>
        <v>6688.59</v>
      </c>
      <c r="F77" s="15" t="str">
        <f>IF(ISBLANK(Raw_Data!F77),AVERAGE(Raw_Data!F$2:F$5002),Raw_Data!F77)</f>
        <v>1541.44</v>
      </c>
      <c r="G77" s="14" t="str">
        <f>IF(ISBLANK(Raw_Data!G77),AVERAGE(Raw_Data!G$2:G$5002),Raw_Data!G77)</f>
        <v>5260.10</v>
      </c>
      <c r="H77" s="15" t="str">
        <f t="shared" si="1"/>
        <v>30525.00</v>
      </c>
      <c r="I77" s="14" t="str">
        <f t="shared" si="2"/>
        <v>25265.00</v>
      </c>
      <c r="J77" s="16" t="str">
        <f>TEXT(Raw_Data!J77,"MMM-YYY")</f>
        <v>Jul-2025</v>
      </c>
      <c r="K77" s="13" t="str">
        <f>Raw_Data!K77</f>
        <v>6</v>
      </c>
      <c r="L77" s="17" t="str">
        <f>Raw_Data!L77</f>
        <v>Hyderabad-South</v>
      </c>
      <c r="M77" s="13" t="str">
        <f t="shared" si="3"/>
        <v>OK</v>
      </c>
      <c r="N77" s="18" t="str">
        <f t="shared" si="4"/>
        <v>VALID</v>
      </c>
    </row>
    <row r="78" ht="15.75" customHeight="1">
      <c r="A78" s="13" t="str">
        <f>Raw_Data!A78</f>
        <v>EMP0077</v>
      </c>
      <c r="B78" s="13" t="str">
        <f>TRIM(CLEAN(Raw_Data!B78))</f>
        <v>Operations</v>
      </c>
      <c r="C78" s="18" t="s">
        <v>37</v>
      </c>
      <c r="D78" s="14" t="str">
        <f>IF(ISBLANK(Raw_Data!D78),AVERAGE(Raw_Data!D$2:D$5002),Raw_Data!D78)</f>
        <v>47081.62</v>
      </c>
      <c r="E78" s="15" t="str">
        <f>IF(ISBLANK(Raw_Data!E78),AVERAGE(Raw_Data!E$2:E$5002),Raw_Data!E78)</f>
        <v>14124.49</v>
      </c>
      <c r="F78" s="15" t="str">
        <f>IF(ISBLANK(Raw_Data!F78),AVERAGE(Raw_Data!F$2:F$5002),Raw_Data!F78)</f>
        <v>8470.03</v>
      </c>
      <c r="G78" s="14" t="str">
        <f>IF(ISBLANK(Raw_Data!G78),AVERAGE(Raw_Data!G$2:G$5002),Raw_Data!G78)</f>
        <v>2684.76</v>
      </c>
      <c r="H78" s="15" t="str">
        <f t="shared" si="1"/>
        <v>69676.00</v>
      </c>
      <c r="I78" s="14" t="str">
        <f t="shared" si="2"/>
        <v>66991.00</v>
      </c>
      <c r="J78" s="16" t="str">
        <f>TEXT(Raw_Data!J78,"MMM-YYY")</f>
        <v>Jan-2025</v>
      </c>
      <c r="K78" s="13" t="str">
        <f>Raw_Data!K78</f>
        <v>8</v>
      </c>
      <c r="L78" s="17" t="str">
        <f>Raw_Data!L78</f>
        <v>Chandigarh-North</v>
      </c>
      <c r="M78" s="13" t="str">
        <f t="shared" si="3"/>
        <v>OK</v>
      </c>
      <c r="N78" s="18" t="str">
        <f t="shared" si="4"/>
        <v>VALID</v>
      </c>
    </row>
    <row r="79" ht="15.75" customHeight="1">
      <c r="A79" s="13" t="str">
        <f>Raw_Data!A79</f>
        <v>EMP0078</v>
      </c>
      <c r="B79" s="13" t="str">
        <f>TRIM(CLEAN(Raw_Data!B79))</f>
        <v>Sales</v>
      </c>
      <c r="C79" s="18" t="s">
        <v>54</v>
      </c>
      <c r="D79" s="14" t="str">
        <f>IF(ISBLANK(Raw_Data!D79),AVERAGE(Raw_Data!D$2:D$5002),Raw_Data!D79)</f>
        <v>35023.68</v>
      </c>
      <c r="E79" s="15" t="str">
        <f>IF(ISBLANK(Raw_Data!E79),AVERAGE(Raw_Data!E$2:E$5002),Raw_Data!E79)</f>
        <v>10507.10</v>
      </c>
      <c r="F79" s="15" t="str">
        <f>IF(ISBLANK(Raw_Data!F79),AVERAGE(Raw_Data!F$2:F$5002),Raw_Data!F79)</f>
        <v>6483.41</v>
      </c>
      <c r="G79" s="14" t="str">
        <f>IF(ISBLANK(Raw_Data!G79),AVERAGE(Raw_Data!G$2:G$5002),Raw_Data!G79)</f>
        <v>5657.57</v>
      </c>
      <c r="H79" s="15" t="str">
        <f t="shared" si="1"/>
        <v>52014.00</v>
      </c>
      <c r="I79" s="14" t="str">
        <f t="shared" si="2"/>
        <v>46356.00</v>
      </c>
      <c r="J79" s="16" t="str">
        <f>TEXT(Raw_Data!J79,"MMM-YYY")</f>
        <v>Dec-2025</v>
      </c>
      <c r="K79" s="13" t="str">
        <f>Raw_Data!K79</f>
        <v>24</v>
      </c>
      <c r="L79" s="17" t="str">
        <f>Raw_Data!L79</f>
        <v>Ahmedabad-West</v>
      </c>
      <c r="M79" s="13" t="str">
        <f t="shared" si="3"/>
        <v>OK</v>
      </c>
      <c r="N79" s="18" t="str">
        <f t="shared" si="4"/>
        <v>VALID</v>
      </c>
    </row>
    <row r="80" ht="15.75" customHeight="1">
      <c r="A80" s="13" t="str">
        <f>Raw_Data!A80</f>
        <v>EMP0079</v>
      </c>
      <c r="B80" s="13" t="str">
        <f>TRIM(CLEAN(Raw_Data!B80))</f>
        <v>Sales</v>
      </c>
      <c r="C80" s="18" t="s">
        <v>18</v>
      </c>
      <c r="D80" s="14" t="str">
        <f>IF(ISBLANK(Raw_Data!D80),AVERAGE(Raw_Data!D$2:D$5002),Raw_Data!D80)</f>
        <v>82436.34</v>
      </c>
      <c r="E80" s="15" t="str">
        <f>IF(ISBLANK(Raw_Data!E80),AVERAGE(Raw_Data!E$2:E$5002),Raw_Data!E80)</f>
        <v>24730.90</v>
      </c>
      <c r="F80" s="15" t="str">
        <f>IF(ISBLANK(Raw_Data!F80),AVERAGE(Raw_Data!F$2:F$5002),Raw_Data!F80)</f>
        <v>6005.02</v>
      </c>
      <c r="G80" s="14" t="str">
        <f>IF(ISBLANK(Raw_Data!G80),AVERAGE(Raw_Data!G$2:G$5002),Raw_Data!G80)</f>
        <v>1730.52</v>
      </c>
      <c r="H80" s="15" t="str">
        <f t="shared" si="1"/>
        <v>113172.00</v>
      </c>
      <c r="I80" s="14" t="str">
        <f t="shared" si="2"/>
        <v>111441.00</v>
      </c>
      <c r="J80" s="16" t="str">
        <f>TEXT(Raw_Data!J80,"MMM-YYY")</f>
        <v>Nov-2025</v>
      </c>
      <c r="K80" s="13" t="str">
        <f>Raw_Data!K80</f>
        <v>20</v>
      </c>
      <c r="L80" s="17" t="str">
        <f>Raw_Data!L80</f>
        <v>Jaipur-North</v>
      </c>
      <c r="M80" s="13" t="str">
        <f t="shared" si="3"/>
        <v>OK</v>
      </c>
      <c r="N80" s="18" t="str">
        <f t="shared" si="4"/>
        <v>VALID</v>
      </c>
    </row>
    <row r="81" ht="15.75" customHeight="1">
      <c r="A81" s="13" t="str">
        <f>Raw_Data!A81</f>
        <v>EMP0080</v>
      </c>
      <c r="B81" s="13" t="str">
        <f>TRIM(CLEAN(Raw_Data!B81))</f>
        <v>IT</v>
      </c>
      <c r="C81" s="18" t="s">
        <v>37</v>
      </c>
      <c r="D81" s="14" t="str">
        <f>IF(ISBLANK(Raw_Data!D81),AVERAGE(Raw_Data!D$2:D$5002),Raw_Data!D81)</f>
        <v>50650.48</v>
      </c>
      <c r="E81" s="15" t="str">
        <f>IF(ISBLANK(Raw_Data!E81),AVERAGE(Raw_Data!E$2:E$5002),Raw_Data!E81)</f>
        <v>15195.14</v>
      </c>
      <c r="F81" s="15" t="str">
        <f>IF(ISBLANK(Raw_Data!F81),AVERAGE(Raw_Data!F$2:F$5002),Raw_Data!F81)</f>
        <v>8590.48</v>
      </c>
      <c r="G81" s="14" t="str">
        <f>IF(ISBLANK(Raw_Data!G81),AVERAGE(Raw_Data!G$2:G$5002),Raw_Data!G81)</f>
        <v>10936.77</v>
      </c>
      <c r="H81" s="15" t="str">
        <f t="shared" si="1"/>
        <v>74436.00</v>
      </c>
      <c r="I81" s="14" t="str">
        <f t="shared" si="2"/>
        <v>63499.00</v>
      </c>
      <c r="J81" s="16" t="str">
        <f>TEXT(Raw_Data!J81,"MMM-YYY")</f>
        <v>May-2025</v>
      </c>
      <c r="K81" s="13" t="str">
        <f>Raw_Data!K81</f>
        <v>12</v>
      </c>
      <c r="L81" s="17" t="str">
        <f>Raw_Data!L81</f>
        <v>Mumbai-HO</v>
      </c>
      <c r="M81" s="13" t="str">
        <f t="shared" si="3"/>
        <v>OK</v>
      </c>
      <c r="N81" s="18" t="str">
        <f t="shared" si="4"/>
        <v>VALID</v>
      </c>
    </row>
    <row r="82" ht="15.75" customHeight="1">
      <c r="A82" s="13" t="str">
        <f>Raw_Data!A82</f>
        <v>EMP0081</v>
      </c>
      <c r="B82" s="13" t="str">
        <f>TRIM(CLEAN(Raw_Data!B82))</f>
        <v>Operations</v>
      </c>
      <c r="C82" s="18" t="s">
        <v>33</v>
      </c>
      <c r="D82" s="14" t="str">
        <f>IF(ISBLANK(Raw_Data!D82),AVERAGE(Raw_Data!D$2:D$5002),Raw_Data!D82)</f>
        <v>31668.93</v>
      </c>
      <c r="E82" s="15" t="str">
        <f>IF(ISBLANK(Raw_Data!E82),AVERAGE(Raw_Data!E$2:E$5002),Raw_Data!E82)</f>
        <v>9500.68</v>
      </c>
      <c r="F82" s="15" t="str">
        <f>IF(ISBLANK(Raw_Data!F82),AVERAGE(Raw_Data!F$2:F$5002),Raw_Data!F82)</f>
        <v>2065.97</v>
      </c>
      <c r="G82" s="14" t="str">
        <f>IF(ISBLANK(Raw_Data!G82),AVERAGE(Raw_Data!G$2:G$5002),Raw_Data!G82)</f>
        <v>6623.95</v>
      </c>
      <c r="H82" s="15" t="str">
        <f t="shared" si="1"/>
        <v>43236.00</v>
      </c>
      <c r="I82" s="14" t="str">
        <f t="shared" si="2"/>
        <v>36612.00</v>
      </c>
      <c r="J82" s="16" t="str">
        <f>TEXT(Raw_Data!J82,"MMM-YYY")</f>
        <v>Sep-2025</v>
      </c>
      <c r="K82" s="13" t="str">
        <f>Raw_Data!K82</f>
        <v>18</v>
      </c>
      <c r="L82" s="17" t="str">
        <f>Raw_Data!L82</f>
        <v>Delhi-North</v>
      </c>
      <c r="M82" s="13" t="str">
        <f t="shared" si="3"/>
        <v>OK</v>
      </c>
      <c r="N82" s="18" t="str">
        <f t="shared" si="4"/>
        <v>VALID</v>
      </c>
    </row>
    <row r="83" ht="15.75" customHeight="1">
      <c r="A83" s="13" t="str">
        <f>Raw_Data!A83</f>
        <v>EMP0082</v>
      </c>
      <c r="B83" s="13" t="str">
        <f>TRIM(CLEAN(Raw_Data!B83))</f>
        <v>Finance</v>
      </c>
      <c r="C83" s="18" t="s">
        <v>30</v>
      </c>
      <c r="D83" s="14" t="str">
        <f>IF(ISBLANK(Raw_Data!D83),AVERAGE(Raw_Data!D$2:D$5002),Raw_Data!D83)</f>
        <v>25699.93</v>
      </c>
      <c r="E83" s="15" t="str">
        <f>IF(ISBLANK(Raw_Data!E83),AVERAGE(Raw_Data!E$2:E$5002),Raw_Data!E83)</f>
        <v>7709.98</v>
      </c>
      <c r="F83" s="15" t="str">
        <f>IF(ISBLANK(Raw_Data!F83),AVERAGE(Raw_Data!F$2:F$5002),Raw_Data!F83)</f>
        <v>4833.46</v>
      </c>
      <c r="G83" s="14" t="str">
        <f>IF(ISBLANK(Raw_Data!G83),AVERAGE(Raw_Data!G$2:G$5002),Raw_Data!G83)</f>
        <v>5222.11</v>
      </c>
      <c r="H83" s="15" t="str">
        <f t="shared" si="1"/>
        <v>38243.00</v>
      </c>
      <c r="I83" s="14" t="str">
        <f t="shared" si="2"/>
        <v>33021.00</v>
      </c>
      <c r="J83" s="16" t="str">
        <f>TEXT(Raw_Data!J83,"MMM-YYY")</f>
        <v>Mar-2025</v>
      </c>
      <c r="K83" s="13" t="str">
        <f>Raw_Data!K83</f>
        <v>20</v>
      </c>
      <c r="L83" s="17" t="str">
        <f>Raw_Data!L83</f>
        <v>Bangalore-South</v>
      </c>
      <c r="M83" s="13" t="str">
        <f t="shared" si="3"/>
        <v>OK</v>
      </c>
      <c r="N83" s="18" t="str">
        <f t="shared" si="4"/>
        <v>VALID</v>
      </c>
    </row>
    <row r="84" ht="15.75" customHeight="1">
      <c r="A84" s="13" t="str">
        <f>Raw_Data!A84</f>
        <v>EMP0083</v>
      </c>
      <c r="B84" s="13" t="str">
        <f>TRIM(CLEAN(Raw_Data!B84))</f>
        <v>Operations</v>
      </c>
      <c r="C84" s="18" t="s">
        <v>37</v>
      </c>
      <c r="D84" s="14" t="str">
        <f>IF(ISBLANK(Raw_Data!D84),AVERAGE(Raw_Data!D$2:D$5002),Raw_Data!D84)</f>
        <v>50417.10</v>
      </c>
      <c r="E84" s="15" t="str">
        <f>IF(ISBLANK(Raw_Data!E84),AVERAGE(Raw_Data!E$2:E$5002),Raw_Data!E84)</f>
        <v>15125.13</v>
      </c>
      <c r="F84" s="15" t="str">
        <f>IF(ISBLANK(Raw_Data!F84),AVERAGE(Raw_Data!F$2:F$5002),Raw_Data!F84)</f>
        <v>5525.08</v>
      </c>
      <c r="G84" s="14" t="str">
        <f>IF(ISBLANK(Raw_Data!G84),AVERAGE(Raw_Data!G$2:G$5002),Raw_Data!G84)</f>
        <v>6.14</v>
      </c>
      <c r="H84" s="15" t="str">
        <f t="shared" si="1"/>
        <v>71067.00</v>
      </c>
      <c r="I84" s="14" t="str">
        <f t="shared" si="2"/>
        <v>71061.00</v>
      </c>
      <c r="J84" s="16" t="str">
        <f>TEXT(Raw_Data!J84,"MMM-YYY")</f>
        <v>May-2025</v>
      </c>
      <c r="K84" s="13" t="str">
        <f>Raw_Data!K84</f>
        <v>19</v>
      </c>
      <c r="L84" s="17" t="str">
        <f>Raw_Data!L84</f>
        <v>Chennai-South</v>
      </c>
      <c r="M84" s="13" t="str">
        <f t="shared" si="3"/>
        <v>OK</v>
      </c>
      <c r="N84" s="18" t="str">
        <f t="shared" si="4"/>
        <v>VALID</v>
      </c>
    </row>
    <row r="85" ht="15.75" customHeight="1">
      <c r="A85" s="13" t="str">
        <f>Raw_Data!A85</f>
        <v>EMP0084</v>
      </c>
      <c r="B85" s="13" t="str">
        <f>TRIM(CLEAN(Raw_Data!B85))</f>
        <v>Finance</v>
      </c>
      <c r="C85" s="18" t="s">
        <v>54</v>
      </c>
      <c r="D85" s="14" t="str">
        <f>IF(ISBLANK(Raw_Data!D85),AVERAGE(Raw_Data!D$2:D$5002),Raw_Data!D85)</f>
        <v>46000.62</v>
      </c>
      <c r="E85" s="15" t="str">
        <f>IF(ISBLANK(Raw_Data!E85),AVERAGE(Raw_Data!E$2:E$5002),Raw_Data!E85)</f>
        <v>13800.19</v>
      </c>
      <c r="F85" s="15" t="str">
        <f>IF(ISBLANK(Raw_Data!F85),AVERAGE(Raw_Data!F$2:F$5002),Raw_Data!F85)</f>
        <v>5581.36</v>
      </c>
      <c r="G85" s="14" t="str">
        <f>IF(ISBLANK(Raw_Data!G85),AVERAGE(Raw_Data!G$2:G$5002),Raw_Data!G85)</f>
        <v>4447.10</v>
      </c>
      <c r="H85" s="15" t="str">
        <f t="shared" si="1"/>
        <v>65382.00</v>
      </c>
      <c r="I85" s="14" t="str">
        <f t="shared" si="2"/>
        <v>60935.00</v>
      </c>
      <c r="J85" s="16" t="str">
        <f>TEXT(Raw_Data!J85,"MMM-YYY")</f>
        <v>Aug-2025</v>
      </c>
      <c r="K85" s="13" t="str">
        <f>Raw_Data!K85</f>
        <v>6</v>
      </c>
      <c r="L85" s="17" t="str">
        <f>Raw_Data!L85</f>
        <v>Kolkata-East</v>
      </c>
      <c r="M85" s="13" t="str">
        <f t="shared" si="3"/>
        <v>OK</v>
      </c>
      <c r="N85" s="18" t="str">
        <f t="shared" si="4"/>
        <v>VALID</v>
      </c>
    </row>
    <row r="86" ht="15.75" customHeight="1">
      <c r="A86" s="13" t="str">
        <f>Raw_Data!A86</f>
        <v>EMP0085</v>
      </c>
      <c r="B86" s="13" t="str">
        <f>TRIM(CLEAN(Raw_Data!B86))</f>
        <v>Marketing</v>
      </c>
      <c r="C86" s="18" t="s">
        <v>18</v>
      </c>
      <c r="D86" s="14" t="str">
        <f>IF(ISBLANK(Raw_Data!D86),AVERAGE(Raw_Data!D$2:D$5002),Raw_Data!D86)</f>
        <v>70556.24</v>
      </c>
      <c r="E86" s="15" t="str">
        <f>IF(ISBLANK(Raw_Data!E86),AVERAGE(Raw_Data!E$2:E$5002),Raw_Data!E86)</f>
        <v>21166.87</v>
      </c>
      <c r="F86" s="15" t="str">
        <f>IF(ISBLANK(Raw_Data!F86),AVERAGE(Raw_Data!F$2:F$5002),Raw_Data!F86)</f>
        <v>6677.25</v>
      </c>
      <c r="G86" s="14" t="str">
        <f>IF(ISBLANK(Raw_Data!G86),AVERAGE(Raw_Data!G$2:G$5002),Raw_Data!G86)</f>
        <v>19075.18</v>
      </c>
      <c r="H86" s="15" t="str">
        <f t="shared" si="1"/>
        <v>98400.00</v>
      </c>
      <c r="I86" s="14" t="str">
        <f t="shared" si="2"/>
        <v>79325.00</v>
      </c>
      <c r="J86" s="16" t="str">
        <f>TEXT(Raw_Data!J86,"MMM-YYY")</f>
        <v>Dec-2025</v>
      </c>
      <c r="K86" s="13" t="str">
        <f>Raw_Data!K86</f>
        <v>9</v>
      </c>
      <c r="L86" s="17" t="str">
        <f>Raw_Data!L86</f>
        <v>Pune-West</v>
      </c>
      <c r="M86" s="13" t="str">
        <f t="shared" si="3"/>
        <v>OK</v>
      </c>
      <c r="N86" s="18" t="str">
        <f t="shared" si="4"/>
        <v>VALID</v>
      </c>
    </row>
    <row r="87" ht="15.75" customHeight="1">
      <c r="A87" s="13" t="str">
        <f>Raw_Data!A87</f>
        <v>EMP0086</v>
      </c>
      <c r="B87" s="13" t="str">
        <f>TRIM(CLEAN(Raw_Data!B87))</f>
        <v>Finance</v>
      </c>
      <c r="C87" s="18" t="s">
        <v>18</v>
      </c>
      <c r="D87" s="14" t="str">
        <f>IF(ISBLANK(Raw_Data!D87),AVERAGE(Raw_Data!D$2:D$5002),Raw_Data!D87)</f>
        <v>67204.68</v>
      </c>
      <c r="E87" s="15" t="str">
        <f>IF(ISBLANK(Raw_Data!E87),AVERAGE(Raw_Data!E$2:E$5002),Raw_Data!E87)</f>
        <v>20161.40</v>
      </c>
      <c r="F87" s="15" t="str">
        <f>IF(ISBLANK(Raw_Data!F87),AVERAGE(Raw_Data!F$2:F$5002),Raw_Data!F87)</f>
        <v>6928.16</v>
      </c>
      <c r="G87" s="14" t="str">
        <f>IF(ISBLANK(Raw_Data!G87),AVERAGE(Raw_Data!G$2:G$5002),Raw_Data!G87)</f>
        <v>12760.98</v>
      </c>
      <c r="H87" s="15" t="str">
        <f t="shared" si="1"/>
        <v>94294.00</v>
      </c>
      <c r="I87" s="14" t="str">
        <f t="shared" si="2"/>
        <v>81533.00</v>
      </c>
      <c r="J87" s="16" t="str">
        <f>TEXT(Raw_Data!J87,"MMM-YYY")</f>
        <v>Jun-2025</v>
      </c>
      <c r="K87" s="13" t="str">
        <f>Raw_Data!K87</f>
        <v>8</v>
      </c>
      <c r="L87" s="17" t="str">
        <f>Raw_Data!L87</f>
        <v>Hyderabad-South</v>
      </c>
      <c r="M87" s="13" t="str">
        <f t="shared" si="3"/>
        <v>OK</v>
      </c>
      <c r="N87" s="18" t="str">
        <f t="shared" si="4"/>
        <v>VALID</v>
      </c>
    </row>
    <row r="88" ht="15.75" customHeight="1">
      <c r="A88" s="13" t="str">
        <f>Raw_Data!A88</f>
        <v>EMP0087</v>
      </c>
      <c r="B88" s="13" t="str">
        <f>TRIM(CLEAN(Raw_Data!B88))</f>
        <v>HR</v>
      </c>
      <c r="C88" s="18" t="s">
        <v>26</v>
      </c>
      <c r="D88" s="14" t="str">
        <f>IF(ISBLANK(Raw_Data!D88),AVERAGE(Raw_Data!D$2:D$5002),Raw_Data!D88)</f>
        <v>124271.99</v>
      </c>
      <c r="E88" s="15" t="str">
        <f>IF(ISBLANK(Raw_Data!E88),AVERAGE(Raw_Data!E$2:E$5002),Raw_Data!E88)</f>
        <v>37281.60</v>
      </c>
      <c r="F88" s="15" t="str">
        <f>IF(ISBLANK(Raw_Data!F88),AVERAGE(Raw_Data!F$2:F$5002),Raw_Data!F88)</f>
        <v>5837.52</v>
      </c>
      <c r="G88" s="14" t="str">
        <f>IF(ISBLANK(Raw_Data!G88),AVERAGE(Raw_Data!G$2:G$5002),Raw_Data!G88)</f>
        <v>11572.93</v>
      </c>
      <c r="H88" s="15" t="str">
        <f t="shared" si="1"/>
        <v>167391.00</v>
      </c>
      <c r="I88" s="14" t="str">
        <f t="shared" si="2"/>
        <v>155818.00</v>
      </c>
      <c r="J88" s="16" t="str">
        <f>TEXT(Raw_Data!J88,"MMM-YYY")</f>
        <v>Apr-2025</v>
      </c>
      <c r="K88" s="13" t="str">
        <f>Raw_Data!K88</f>
        <v>18</v>
      </c>
      <c r="L88" s="17" t="str">
        <f>Raw_Data!L88</f>
        <v>Chandigarh-North</v>
      </c>
      <c r="M88" s="13" t="str">
        <f t="shared" si="3"/>
        <v>OK</v>
      </c>
      <c r="N88" s="18" t="str">
        <f t="shared" si="4"/>
        <v>VALID</v>
      </c>
    </row>
    <row r="89" ht="15.75" customHeight="1">
      <c r="A89" s="13" t="str">
        <f>Raw_Data!A89</f>
        <v>EMP0088</v>
      </c>
      <c r="B89" s="13" t="str">
        <f>TRIM(CLEAN(Raw_Data!B89))</f>
        <v>Finance</v>
      </c>
      <c r="C89" s="18" t="s">
        <v>14</v>
      </c>
      <c r="D89" s="14" t="str">
        <f>IF(ISBLANK(Raw_Data!D89),AVERAGE(Raw_Data!D$2:D$5002),Raw_Data!D89)</f>
        <v>18332.74</v>
      </c>
      <c r="E89" s="15" t="str">
        <f>IF(ISBLANK(Raw_Data!E89),AVERAGE(Raw_Data!E$2:E$5002),Raw_Data!E89)</f>
        <v>5499.82</v>
      </c>
      <c r="F89" s="15" t="str">
        <f>IF(ISBLANK(Raw_Data!F89),AVERAGE(Raw_Data!F$2:F$5002),Raw_Data!F89)</f>
        <v>3607.65</v>
      </c>
      <c r="G89" s="14" t="str">
        <f>IF(ISBLANK(Raw_Data!G89),AVERAGE(Raw_Data!G$2:G$5002),Raw_Data!G89)</f>
        <v>3361.90</v>
      </c>
      <c r="H89" s="15" t="str">
        <f t="shared" si="1"/>
        <v>27440.00</v>
      </c>
      <c r="I89" s="14" t="str">
        <f t="shared" si="2"/>
        <v>24078.00</v>
      </c>
      <c r="J89" s="16" t="str">
        <f>TEXT(Raw_Data!J89,"MMM-YYY")</f>
        <v>Feb-2025</v>
      </c>
      <c r="K89" s="13" t="str">
        <f>Raw_Data!K89</f>
        <v>6</v>
      </c>
      <c r="L89" s="17" t="str">
        <f>Raw_Data!L89</f>
        <v>Ahmedabad-West</v>
      </c>
      <c r="M89" s="13" t="str">
        <f t="shared" si="3"/>
        <v>OK</v>
      </c>
      <c r="N89" s="18" t="str">
        <f t="shared" si="4"/>
        <v>VALID</v>
      </c>
    </row>
    <row r="90" ht="15.75" customHeight="1">
      <c r="A90" s="13" t="str">
        <f>Raw_Data!A90</f>
        <v>EMP0089</v>
      </c>
      <c r="B90" s="13" t="str">
        <f>TRIM(CLEAN(Raw_Data!B90))</f>
        <v>Marketing</v>
      </c>
      <c r="C90" s="18" t="s">
        <v>54</v>
      </c>
      <c r="D90" s="14" t="str">
        <f>IF(ISBLANK(Raw_Data!D90),AVERAGE(Raw_Data!D$2:D$5002),Raw_Data!D90)</f>
        <v>47405.92</v>
      </c>
      <c r="E90" s="15" t="str">
        <f>IF(ISBLANK(Raw_Data!E90),AVERAGE(Raw_Data!E$2:E$5002),Raw_Data!E90)</f>
        <v>14221.78</v>
      </c>
      <c r="F90" s="15" t="str">
        <f>IF(ISBLANK(Raw_Data!F90),AVERAGE(Raw_Data!F$2:F$5002),Raw_Data!F90)</f>
        <v>5458.04</v>
      </c>
      <c r="G90" s="14" t="str">
        <f>IF(ISBLANK(Raw_Data!G90),AVERAGE(Raw_Data!G$2:G$5002),Raw_Data!G90)</f>
        <v>10216.15</v>
      </c>
      <c r="H90" s="15" t="str">
        <f t="shared" si="1"/>
        <v>67086.00</v>
      </c>
      <c r="I90" s="14" t="str">
        <f t="shared" si="2"/>
        <v>56870.00</v>
      </c>
      <c r="J90" s="16" t="str">
        <f>TEXT(Raw_Data!J90,"MMM-YYY")</f>
        <v>Jul-2025</v>
      </c>
      <c r="K90" s="13" t="str">
        <f>Raw_Data!K90</f>
        <v>25</v>
      </c>
      <c r="L90" s="17" t="str">
        <f>Raw_Data!L90</f>
        <v>Jaipur-North</v>
      </c>
      <c r="M90" s="13" t="str">
        <f t="shared" si="3"/>
        <v>OK</v>
      </c>
      <c r="N90" s="18" t="str">
        <f t="shared" si="4"/>
        <v>VALID</v>
      </c>
    </row>
    <row r="91" ht="15.75" customHeight="1">
      <c r="A91" s="13" t="str">
        <f>Raw_Data!A91</f>
        <v>EMP0090</v>
      </c>
      <c r="B91" s="13" t="str">
        <f>TRIM(CLEAN(Raw_Data!B91))</f>
        <v>Marketing</v>
      </c>
      <c r="C91" s="18" t="s">
        <v>54</v>
      </c>
      <c r="D91" s="14" t="str">
        <f>IF(ISBLANK(Raw_Data!D91),AVERAGE(Raw_Data!D$2:D$5002),Raw_Data!D91)</f>
        <v>38415.78</v>
      </c>
      <c r="E91" s="15" t="str">
        <f>IF(ISBLANK(Raw_Data!E91),AVERAGE(Raw_Data!E$2:E$5002),Raw_Data!E91)</f>
        <v>11524.73</v>
      </c>
      <c r="F91" s="15" t="str">
        <f>IF(ISBLANK(Raw_Data!F91),AVERAGE(Raw_Data!F$2:F$5002),Raw_Data!F91)</f>
        <v>5040.60</v>
      </c>
      <c r="G91" s="14" t="str">
        <f>IF(ISBLANK(Raw_Data!G91),AVERAGE(Raw_Data!G$2:G$5002),Raw_Data!G91)</f>
        <v>63.90</v>
      </c>
      <c r="H91" s="15" t="str">
        <f t="shared" si="1"/>
        <v>54981.00</v>
      </c>
      <c r="I91" s="14" t="str">
        <f t="shared" si="2"/>
        <v>54917.00</v>
      </c>
      <c r="J91" s="16" t="str">
        <f>TEXT(Raw_Data!J91,"MMM-YYY")</f>
        <v>Feb-2025</v>
      </c>
      <c r="K91" s="13" t="str">
        <f>Raw_Data!K91</f>
        <v>19</v>
      </c>
      <c r="L91" s="17" t="str">
        <f>Raw_Data!L91</f>
        <v>Mumbai-HO</v>
      </c>
      <c r="M91" s="13" t="str">
        <f t="shared" si="3"/>
        <v>OK</v>
      </c>
      <c r="N91" s="18" t="str">
        <f t="shared" si="4"/>
        <v>VALID</v>
      </c>
    </row>
    <row r="92" ht="15.75" customHeight="1">
      <c r="A92" s="13" t="str">
        <f>Raw_Data!A92</f>
        <v>EMP0091</v>
      </c>
      <c r="B92" s="13" t="str">
        <f>TRIM(CLEAN(Raw_Data!B92))</f>
        <v>Customer Support</v>
      </c>
      <c r="C92" s="18" t="s">
        <v>54</v>
      </c>
      <c r="D92" s="14" t="str">
        <f>IF(ISBLANK(Raw_Data!D92),AVERAGE(Raw_Data!D$2:D$5002),Raw_Data!D92)</f>
        <v>38063.78</v>
      </c>
      <c r="E92" s="15" t="str">
        <f>IF(ISBLANK(Raw_Data!E92),AVERAGE(Raw_Data!E$2:E$5002),Raw_Data!E92)</f>
        <v>11419.13</v>
      </c>
      <c r="F92" s="15" t="str">
        <f>IF(ISBLANK(Raw_Data!F92),AVERAGE(Raw_Data!F$2:F$5002),Raw_Data!F92)</f>
        <v>6121.49</v>
      </c>
      <c r="G92" s="14" t="str">
        <f>IF(ISBLANK(Raw_Data!G92),AVERAGE(Raw_Data!G$2:G$5002),Raw_Data!G92)</f>
        <v>7946.71</v>
      </c>
      <c r="H92" s="15" t="str">
        <f t="shared" si="1"/>
        <v>55604.00</v>
      </c>
      <c r="I92" s="14" t="str">
        <f t="shared" si="2"/>
        <v>47657.00</v>
      </c>
      <c r="J92" s="16" t="str">
        <f>TEXT(Raw_Data!J92,"MMM-YYY")</f>
        <v>Aug-2025</v>
      </c>
      <c r="K92" s="13" t="str">
        <f>Raw_Data!K92</f>
        <v>8</v>
      </c>
      <c r="L92" s="17" t="str">
        <f>Raw_Data!L92</f>
        <v>Delhi-North</v>
      </c>
      <c r="M92" s="13" t="str">
        <f t="shared" si="3"/>
        <v>OK</v>
      </c>
      <c r="N92" s="18" t="str">
        <f t="shared" si="4"/>
        <v>VALID</v>
      </c>
    </row>
    <row r="93" ht="15.75" customHeight="1">
      <c r="A93" s="13" t="str">
        <f>Raw_Data!A93</f>
        <v>EMP0092</v>
      </c>
      <c r="B93" s="13" t="str">
        <f>TRIM(CLEAN(Raw_Data!B93))</f>
        <v>HR</v>
      </c>
      <c r="C93" s="18" t="s">
        <v>37</v>
      </c>
      <c r="D93" s="14" t="str">
        <f>IF(ISBLANK(Raw_Data!D93),AVERAGE(Raw_Data!D$2:D$5002),Raw_Data!D93)</f>
        <v>49485.57</v>
      </c>
      <c r="E93" s="15" t="str">
        <f>IF(ISBLANK(Raw_Data!E93),AVERAGE(Raw_Data!E$2:E$5002),Raw_Data!E93)</f>
        <v>14845.67</v>
      </c>
      <c r="F93" s="15" t="str">
        <f>IF(ISBLANK(Raw_Data!F93),AVERAGE(Raw_Data!F$2:F$5002),Raw_Data!F93)</f>
        <v>8396.08</v>
      </c>
      <c r="G93" s="14" t="str">
        <f>IF(ISBLANK(Raw_Data!G93),AVERAGE(Raw_Data!G$2:G$5002),Raw_Data!G93)</f>
        <v>6776.48</v>
      </c>
      <c r="H93" s="15" t="str">
        <f t="shared" si="1"/>
        <v>72727.00</v>
      </c>
      <c r="I93" s="14" t="str">
        <f t="shared" si="2"/>
        <v>65951.00</v>
      </c>
      <c r="J93" s="16" t="str">
        <f>TEXT(Raw_Data!J93,"MMM-YYY")</f>
        <v>Aug-2025</v>
      </c>
      <c r="K93" s="13" t="str">
        <f>Raw_Data!K93</f>
        <v>4</v>
      </c>
      <c r="L93" s="17" t="str">
        <f>Raw_Data!L93</f>
        <v>Bangalore-South</v>
      </c>
      <c r="M93" s="13" t="str">
        <f t="shared" si="3"/>
        <v>OK</v>
      </c>
      <c r="N93" s="18" t="str">
        <f t="shared" si="4"/>
        <v>VALID</v>
      </c>
    </row>
    <row r="94" ht="15.75" customHeight="1">
      <c r="A94" s="13" t="str">
        <f>Raw_Data!A94</f>
        <v>EMP0093</v>
      </c>
      <c r="B94" s="13" t="str">
        <f>TRIM(CLEAN(Raw_Data!B94))</f>
        <v>Sales</v>
      </c>
      <c r="C94" s="18" t="s">
        <v>37</v>
      </c>
      <c r="D94" s="14" t="str">
        <f>IF(ISBLANK(Raw_Data!D94),AVERAGE(Raw_Data!D$2:D$5002),Raw_Data!D94)</f>
        <v>62782.06</v>
      </c>
      <c r="E94" s="15" t="str">
        <f>IF(ISBLANK(Raw_Data!E94),AVERAGE(Raw_Data!E$2:E$5002),Raw_Data!E94)</f>
        <v>18834.62</v>
      </c>
      <c r="F94" s="15" t="str">
        <f>IF(ISBLANK(Raw_Data!F94),AVERAGE(Raw_Data!F$2:F$5002),Raw_Data!F94)</f>
        <v>7476.74</v>
      </c>
      <c r="G94" s="14" t="str">
        <f>IF(ISBLANK(Raw_Data!G94),AVERAGE(Raw_Data!G$2:G$5002),Raw_Data!G94)</f>
        <v>17893.63</v>
      </c>
      <c r="H94" s="15" t="str">
        <f t="shared" si="1"/>
        <v>89093.00</v>
      </c>
      <c r="I94" s="14" t="str">
        <f t="shared" si="2"/>
        <v>71199.00</v>
      </c>
      <c r="J94" s="16" t="str">
        <f>TEXT(Raw_Data!J94,"MMM-YYY")</f>
        <v>Aug-2025</v>
      </c>
      <c r="K94" s="13" t="str">
        <f>Raw_Data!K94</f>
        <v>21</v>
      </c>
      <c r="L94" s="17" t="str">
        <f>Raw_Data!L94</f>
        <v>Chennai-South</v>
      </c>
      <c r="M94" s="13" t="str">
        <f t="shared" si="3"/>
        <v>OK</v>
      </c>
      <c r="N94" s="18" t="str">
        <f t="shared" si="4"/>
        <v>VALID</v>
      </c>
    </row>
    <row r="95" ht="15.75" customHeight="1">
      <c r="A95" s="13" t="str">
        <f>Raw_Data!A95</f>
        <v>EMP0094</v>
      </c>
      <c r="B95" s="13" t="str">
        <f>TRIM(CLEAN(Raw_Data!B95))</f>
        <v>Operations</v>
      </c>
      <c r="C95" s="18" t="s">
        <v>26</v>
      </c>
      <c r="D95" s="14" t="str">
        <f>IF(ISBLANK(Raw_Data!D95),AVERAGE(Raw_Data!D$2:D$5002),Raw_Data!D95)</f>
        <v>115893.86</v>
      </c>
      <c r="E95" s="15" t="str">
        <f>IF(ISBLANK(Raw_Data!E95),AVERAGE(Raw_Data!E$2:E$5002),Raw_Data!E95)</f>
        <v>34768.16</v>
      </c>
      <c r="F95" s="15" t="str">
        <f>IF(ISBLANK(Raw_Data!F95),AVERAGE(Raw_Data!F$2:F$5002),Raw_Data!F95)</f>
        <v>11700.14</v>
      </c>
      <c r="G95" s="14" t="str">
        <f>IF(ISBLANK(Raw_Data!G95),AVERAGE(Raw_Data!G$2:G$5002),Raw_Data!G95)</f>
        <v>28877.36</v>
      </c>
      <c r="H95" s="15" t="str">
        <f t="shared" si="1"/>
        <v>162362.00</v>
      </c>
      <c r="I95" s="14" t="str">
        <f t="shared" si="2"/>
        <v>133485.00</v>
      </c>
      <c r="J95" s="16" t="str">
        <f>TEXT(Raw_Data!J95,"MMM-YYY")</f>
        <v>Sep-2025</v>
      </c>
      <c r="K95" s="13" t="str">
        <f>Raw_Data!K95</f>
        <v>12</v>
      </c>
      <c r="L95" s="17" t="str">
        <f>Raw_Data!L95</f>
        <v>Kolkata-East</v>
      </c>
      <c r="M95" s="13" t="str">
        <f t="shared" si="3"/>
        <v>OK</v>
      </c>
      <c r="N95" s="18" t="str">
        <f t="shared" si="4"/>
        <v>VALID</v>
      </c>
    </row>
    <row r="96" ht="15.75" customHeight="1">
      <c r="A96" s="13" t="str">
        <f>Raw_Data!A96</f>
        <v>EMP0095</v>
      </c>
      <c r="B96" s="13" t="str">
        <f>TRIM(CLEAN(Raw_Data!B96))</f>
        <v>Marketing</v>
      </c>
      <c r="C96" s="18" t="s">
        <v>30</v>
      </c>
      <c r="D96" s="14" t="str">
        <f>IF(ISBLANK(Raw_Data!D96),AVERAGE(Raw_Data!D$2:D$5002),Raw_Data!D96)</f>
        <v>28544.17</v>
      </c>
      <c r="E96" s="15" t="str">
        <f>IF(ISBLANK(Raw_Data!E96),AVERAGE(Raw_Data!E$2:E$5002),Raw_Data!E96)</f>
        <v>8563.25</v>
      </c>
      <c r="F96" s="15" t="str">
        <f>IF(ISBLANK(Raw_Data!F96),AVERAGE(Raw_Data!F$2:F$5002),Raw_Data!F96)</f>
        <v>2709.84</v>
      </c>
      <c r="G96" s="14" t="str">
        <f>IF(ISBLANK(Raw_Data!G96),AVERAGE(Raw_Data!G$2:G$5002),Raw_Data!G96)</f>
        <v>2219.52</v>
      </c>
      <c r="H96" s="15" t="str">
        <f t="shared" si="1"/>
        <v>39817.00</v>
      </c>
      <c r="I96" s="14" t="str">
        <f t="shared" si="2"/>
        <v>37597.00</v>
      </c>
      <c r="J96" s="16" t="str">
        <f>TEXT(Raw_Data!J96,"MMM-YYY")</f>
        <v>Apr-2025</v>
      </c>
      <c r="K96" s="13" t="str">
        <f>Raw_Data!K96</f>
        <v>4</v>
      </c>
      <c r="L96" s="17" t="str">
        <f>Raw_Data!L96</f>
        <v>Pune-West</v>
      </c>
      <c r="M96" s="13" t="str">
        <f t="shared" si="3"/>
        <v>OK</v>
      </c>
      <c r="N96" s="18" t="str">
        <f t="shared" si="4"/>
        <v>VALID</v>
      </c>
    </row>
    <row r="97" ht="15.75" customHeight="1">
      <c r="A97" s="13" t="str">
        <f>Raw_Data!A97</f>
        <v>EMP0096</v>
      </c>
      <c r="B97" s="13" t="str">
        <f>TRIM(CLEAN(Raw_Data!B97))</f>
        <v>Customer Support</v>
      </c>
      <c r="C97" s="18" t="s">
        <v>18</v>
      </c>
      <c r="D97" s="14" t="str">
        <f>IF(ISBLANK(Raw_Data!D97),AVERAGE(Raw_Data!D$2:D$5002),Raw_Data!D97)</f>
        <v>72210.10</v>
      </c>
      <c r="E97" s="15" t="str">
        <f>IF(ISBLANK(Raw_Data!E97),AVERAGE(Raw_Data!E$2:E$5002),Raw_Data!E97)</f>
        <v>21663.03</v>
      </c>
      <c r="F97" s="15" t="str">
        <f>IF(ISBLANK(Raw_Data!F97),AVERAGE(Raw_Data!F$2:F$5002),Raw_Data!F97)</f>
        <v>11231.20</v>
      </c>
      <c r="G97" s="14" t="str">
        <f>IF(ISBLANK(Raw_Data!G97),AVERAGE(Raw_Data!G$2:G$5002),Raw_Data!G97)</f>
        <v>10497.84</v>
      </c>
      <c r="H97" s="15" t="str">
        <f t="shared" si="1"/>
        <v>105104.00</v>
      </c>
      <c r="I97" s="14" t="str">
        <f t="shared" si="2"/>
        <v>94606.00</v>
      </c>
      <c r="J97" s="16" t="str">
        <f>TEXT(Raw_Data!J97,"MMM-YYY")</f>
        <v>Apr-2025</v>
      </c>
      <c r="K97" s="13" t="str">
        <f>Raw_Data!K97</f>
        <v>19</v>
      </c>
      <c r="L97" s="17" t="str">
        <f>Raw_Data!L97</f>
        <v>Hyderabad-South</v>
      </c>
      <c r="M97" s="13" t="str">
        <f t="shared" si="3"/>
        <v>OK</v>
      </c>
      <c r="N97" s="18" t="str">
        <f t="shared" si="4"/>
        <v>VALID</v>
      </c>
    </row>
    <row r="98" ht="15.75" customHeight="1">
      <c r="A98" s="13" t="str">
        <f>Raw_Data!A98</f>
        <v>EMP0097</v>
      </c>
      <c r="B98" s="13" t="str">
        <f>TRIM(CLEAN(Raw_Data!B98))</f>
        <v>IT</v>
      </c>
      <c r="C98" s="18" t="s">
        <v>54</v>
      </c>
      <c r="D98" s="14" t="str">
        <f>IF(ISBLANK(Raw_Data!D98),AVERAGE(Raw_Data!D$2:D$5002),Raw_Data!D98)</f>
        <v>36084.77</v>
      </c>
      <c r="E98" s="15" t="str">
        <f>IF(ISBLANK(Raw_Data!E98),AVERAGE(Raw_Data!E$2:E$5002),Raw_Data!E98)</f>
        <v>10825.43</v>
      </c>
      <c r="F98" s="15" t="str">
        <f>IF(ISBLANK(Raw_Data!F98),AVERAGE(Raw_Data!F$2:F$5002),Raw_Data!F98)</f>
        <v>2062.09</v>
      </c>
      <c r="G98" s="14" t="str">
        <f>IF(ISBLANK(Raw_Data!G98),AVERAGE(Raw_Data!G$2:G$5002),Raw_Data!G98)</f>
        <v>2941.43</v>
      </c>
      <c r="H98" s="15" t="str">
        <f t="shared" si="1"/>
        <v>48972.00</v>
      </c>
      <c r="I98" s="14" t="str">
        <f t="shared" si="2"/>
        <v>46031.00</v>
      </c>
      <c r="J98" s="16" t="str">
        <f>TEXT(Raw_Data!J98,"MMM-YYY")</f>
        <v>Jun-2025</v>
      </c>
      <c r="K98" s="13" t="str">
        <f>Raw_Data!K98</f>
        <v>16</v>
      </c>
      <c r="L98" s="17" t="str">
        <f>Raw_Data!L98</f>
        <v>Chandigarh-North</v>
      </c>
      <c r="M98" s="13" t="str">
        <f t="shared" si="3"/>
        <v>OK</v>
      </c>
      <c r="N98" s="18" t="str">
        <f t="shared" si="4"/>
        <v>VALID</v>
      </c>
    </row>
    <row r="99" ht="15.75" customHeight="1">
      <c r="A99" s="13" t="str">
        <f>Raw_Data!A99</f>
        <v>EMP0099</v>
      </c>
      <c r="B99" s="13" t="str">
        <f>TRIM(CLEAN(Raw_Data!B99))</f>
        <v>Finance</v>
      </c>
      <c r="C99" s="18" t="s">
        <v>14</v>
      </c>
      <c r="D99" s="14" t="str">
        <f>IF(ISBLANK(Raw_Data!D99),AVERAGE(Raw_Data!D$2:D$5002),Raw_Data!D99)</f>
        <v>20987.05</v>
      </c>
      <c r="E99" s="15" t="str">
        <f>IF(ISBLANK(Raw_Data!E99),AVERAGE(Raw_Data!E$2:E$5002),Raw_Data!E99)</f>
        <v>6296.11</v>
      </c>
      <c r="F99" s="15" t="str">
        <f>IF(ISBLANK(Raw_Data!F99),AVERAGE(Raw_Data!F$2:F$5002),Raw_Data!F99)</f>
        <v>1388.84</v>
      </c>
      <c r="G99" s="14" t="str">
        <f>IF(ISBLANK(Raw_Data!G99),AVERAGE(Raw_Data!G$2:G$5002),Raw_Data!G99)</f>
        <v>2933.51</v>
      </c>
      <c r="H99" s="15" t="str">
        <f t="shared" si="1"/>
        <v>28672.00</v>
      </c>
      <c r="I99" s="14" t="str">
        <f t="shared" si="2"/>
        <v>25738.00</v>
      </c>
      <c r="J99" s="16" t="str">
        <f>TEXT(Raw_Data!J99,"MMM-YYY")</f>
        <v>Jan-2025</v>
      </c>
      <c r="K99" s="13" t="str">
        <f>Raw_Data!K99</f>
        <v>12</v>
      </c>
      <c r="L99" s="17" t="str">
        <f>Raw_Data!L99</f>
        <v>Jaipur-North</v>
      </c>
      <c r="M99" s="13" t="str">
        <f t="shared" si="3"/>
        <v>OK</v>
      </c>
      <c r="N99" s="18" t="str">
        <f t="shared" si="4"/>
        <v>VALID</v>
      </c>
    </row>
    <row r="100" ht="15.75" customHeight="1">
      <c r="A100" s="13" t="str">
        <f>Raw_Data!A100</f>
        <v>EMP0100</v>
      </c>
      <c r="B100" s="13" t="str">
        <f>TRIM(CLEAN(Raw_Data!B100))</f>
        <v>Finance</v>
      </c>
      <c r="C100" s="18" t="s">
        <v>26</v>
      </c>
      <c r="D100" s="14" t="str">
        <f>IF(ISBLANK(Raw_Data!D100),AVERAGE(Raw_Data!D$2:D$5002),Raw_Data!D100)</f>
        <v>105125.17</v>
      </c>
      <c r="E100" s="15" t="str">
        <f>IF(ISBLANK(Raw_Data!E100),AVERAGE(Raw_Data!E$2:E$5002),Raw_Data!E100)</f>
        <v>31537.55</v>
      </c>
      <c r="F100" s="15" t="str">
        <f>IF(ISBLANK(Raw_Data!F100),AVERAGE(Raw_Data!F$2:F$5002),Raw_Data!F100)</f>
        <v>19024.26</v>
      </c>
      <c r="G100" s="14" t="str">
        <f>IF(ISBLANK(Raw_Data!G100),AVERAGE(Raw_Data!G$2:G$5002),Raw_Data!G100)</f>
        <v>18420.43</v>
      </c>
      <c r="H100" s="15" t="str">
        <f t="shared" si="1"/>
        <v>155687.00</v>
      </c>
      <c r="I100" s="14" t="str">
        <f t="shared" si="2"/>
        <v>137267.00</v>
      </c>
      <c r="J100" s="16" t="str">
        <f>TEXT(Raw_Data!J100,"MMM-YYY")</f>
        <v>Dec-2025</v>
      </c>
      <c r="K100" s="13" t="str">
        <f>Raw_Data!K100</f>
        <v>3</v>
      </c>
      <c r="L100" s="17" t="str">
        <f>Raw_Data!L100</f>
        <v>Mumbai-HO</v>
      </c>
      <c r="M100" s="13" t="str">
        <f t="shared" si="3"/>
        <v>OK</v>
      </c>
      <c r="N100" s="18" t="str">
        <f t="shared" si="4"/>
        <v>VALID</v>
      </c>
    </row>
    <row r="101" ht="15.75" customHeight="1">
      <c r="A101" s="13" t="str">
        <f>Raw_Data!A101</f>
        <v>EMP0101</v>
      </c>
      <c r="B101" s="13" t="str">
        <f>TRIM(CLEAN(Raw_Data!B101))</f>
        <v>HR</v>
      </c>
      <c r="C101" s="18" t="s">
        <v>26</v>
      </c>
      <c r="D101" s="14" t="str">
        <f>IF(ISBLANK(Raw_Data!D101),AVERAGE(Raw_Data!D$2:D$5002),Raw_Data!D101)</f>
        <v>121703.64</v>
      </c>
      <c r="E101" s="15" t="str">
        <f>IF(ISBLANK(Raw_Data!E101),AVERAGE(Raw_Data!E$2:E$5002),Raw_Data!E101)</f>
        <v>36511.09</v>
      </c>
      <c r="F101" s="15" t="str">
        <f>IF(ISBLANK(Raw_Data!F101),AVERAGE(Raw_Data!F$2:F$5002),Raw_Data!F101)</f>
        <v>14012.72</v>
      </c>
      <c r="G101" s="14" t="str">
        <f>IF(ISBLANK(Raw_Data!G101),AVERAGE(Raw_Data!G$2:G$5002),Raw_Data!G101)</f>
        <v>17415.05</v>
      </c>
      <c r="H101" s="15" t="str">
        <f t="shared" si="1"/>
        <v>172227.00</v>
      </c>
      <c r="I101" s="14" t="str">
        <f t="shared" si="2"/>
        <v>154812.00</v>
      </c>
      <c r="J101" s="16" t="str">
        <f>TEXT(Raw_Data!J101,"MMM-YYY")</f>
        <v>Jun-2025</v>
      </c>
      <c r="K101" s="13" t="str">
        <f>Raw_Data!K101</f>
        <v>20</v>
      </c>
      <c r="L101" s="17" t="str">
        <f>Raw_Data!L101</f>
        <v>Delhi-North</v>
      </c>
      <c r="M101" s="13" t="str">
        <f t="shared" si="3"/>
        <v>OK</v>
      </c>
      <c r="N101" s="18" t="str">
        <f t="shared" si="4"/>
        <v>VALID</v>
      </c>
    </row>
    <row r="102" ht="15.75" customHeight="1">
      <c r="A102" s="13" t="str">
        <f>Raw_Data!A102</f>
        <v>EMP0102</v>
      </c>
      <c r="B102" s="13" t="str">
        <f>TRIM(CLEAN(Raw_Data!B102))</f>
        <v>IT</v>
      </c>
      <c r="C102" s="18" t="s">
        <v>26</v>
      </c>
      <c r="D102" s="14" t="str">
        <f>IF(ISBLANK(Raw_Data!D102),AVERAGE(Raw_Data!D$2:D$5002),Raw_Data!D102)</f>
        <v>104039.52</v>
      </c>
      <c r="E102" s="15" t="str">
        <f>IF(ISBLANK(Raw_Data!E102),AVERAGE(Raw_Data!E$2:E$5002),Raw_Data!E102)</f>
        <v>31211.86</v>
      </c>
      <c r="F102" s="15" t="str">
        <f>IF(ISBLANK(Raw_Data!F102),AVERAGE(Raw_Data!F$2:F$5002),Raw_Data!F102)</f>
        <v>18553.19</v>
      </c>
      <c r="G102" s="14" t="str">
        <f>IF(ISBLANK(Raw_Data!G102),AVERAGE(Raw_Data!G$2:G$5002),Raw_Data!G102)</f>
        <v>26084.64</v>
      </c>
      <c r="H102" s="15" t="str">
        <f t="shared" si="1"/>
        <v>153805.00</v>
      </c>
      <c r="I102" s="14" t="str">
        <f t="shared" si="2"/>
        <v>127720.00</v>
      </c>
      <c r="J102" s="16" t="str">
        <f>TEXT(Raw_Data!J102,"MMM-YYY")</f>
        <v>Sep-2025</v>
      </c>
      <c r="K102" s="13" t="str">
        <f>Raw_Data!K102</f>
        <v>16</v>
      </c>
      <c r="L102" s="17" t="str">
        <f>Raw_Data!L102</f>
        <v>Bangalore-South</v>
      </c>
      <c r="M102" s="13" t="str">
        <f t="shared" si="3"/>
        <v>OK</v>
      </c>
      <c r="N102" s="18" t="str">
        <f t="shared" si="4"/>
        <v>VALID</v>
      </c>
    </row>
    <row r="103" ht="15.75" customHeight="1">
      <c r="A103" s="13" t="str">
        <f>Raw_Data!A103</f>
        <v>EMP0103</v>
      </c>
      <c r="B103" s="13" t="str">
        <f>TRIM(CLEAN(Raw_Data!B103))</f>
        <v>Sales</v>
      </c>
      <c r="C103" s="18" t="s">
        <v>18</v>
      </c>
      <c r="D103" s="14" t="str">
        <f>IF(ISBLANK(Raw_Data!D103),AVERAGE(Raw_Data!D$2:D$5002),Raw_Data!D103)</f>
        <v>79199.44</v>
      </c>
      <c r="E103" s="15" t="str">
        <f>IF(ISBLANK(Raw_Data!E103),AVERAGE(Raw_Data!E$2:E$5002),Raw_Data!E103)</f>
        <v>23759.83</v>
      </c>
      <c r="F103" s="15" t="str">
        <f>IF(ISBLANK(Raw_Data!F103),AVERAGE(Raw_Data!F$2:F$5002),Raw_Data!F103)</f>
        <v>9555.45</v>
      </c>
      <c r="G103" s="14" t="str">
        <f>IF(ISBLANK(Raw_Data!G103),AVERAGE(Raw_Data!G$2:G$5002),Raw_Data!G103)</f>
        <v>5239.96</v>
      </c>
      <c r="H103" s="15" t="str">
        <f t="shared" si="1"/>
        <v>112515.00</v>
      </c>
      <c r="I103" s="14" t="str">
        <f t="shared" si="2"/>
        <v>107275.00</v>
      </c>
      <c r="J103" s="16" t="str">
        <f>TEXT(Raw_Data!J103,"MMM-YYY")</f>
        <v>Jan-2025</v>
      </c>
      <c r="K103" s="13" t="str">
        <f>Raw_Data!K103</f>
        <v>13</v>
      </c>
      <c r="L103" s="17" t="str">
        <f>Raw_Data!L103</f>
        <v>Chennai-South</v>
      </c>
      <c r="M103" s="13" t="str">
        <f t="shared" si="3"/>
        <v>OK</v>
      </c>
      <c r="N103" s="18" t="str">
        <f t="shared" si="4"/>
        <v>VALID</v>
      </c>
    </row>
    <row r="104" ht="15.75" customHeight="1">
      <c r="A104" s="13" t="str">
        <f>Raw_Data!A104</f>
        <v>EMP0104</v>
      </c>
      <c r="B104" s="13" t="str">
        <f>TRIM(CLEAN(Raw_Data!B104))</f>
        <v>IT</v>
      </c>
      <c r="C104" s="18" t="s">
        <v>54</v>
      </c>
      <c r="D104" s="14" t="str">
        <f>IF(ISBLANK(Raw_Data!D104),AVERAGE(Raw_Data!D$2:D$5002),Raw_Data!D104)</f>
        <v>41798.99</v>
      </c>
      <c r="E104" s="15" t="str">
        <f>IF(ISBLANK(Raw_Data!E104),AVERAGE(Raw_Data!E$2:E$5002),Raw_Data!E104)</f>
        <v>12539.70</v>
      </c>
      <c r="F104" s="15" t="str">
        <f>IF(ISBLANK(Raw_Data!F104),AVERAGE(Raw_Data!F$2:F$5002),Raw_Data!F104)</f>
        <v>3250.77</v>
      </c>
      <c r="G104" s="14" t="str">
        <f>IF(ISBLANK(Raw_Data!G104),AVERAGE(Raw_Data!G$2:G$5002),Raw_Data!G104)</f>
        <v>8387.47</v>
      </c>
      <c r="H104" s="15" t="str">
        <f t="shared" si="1"/>
        <v>57589.00</v>
      </c>
      <c r="I104" s="14" t="str">
        <f t="shared" si="2"/>
        <v>49202.00</v>
      </c>
      <c r="J104" s="16" t="str">
        <f>TEXT(Raw_Data!J104,"MMM-YYY")</f>
        <v>Jul-2025</v>
      </c>
      <c r="K104" s="13" t="str">
        <f>Raw_Data!K104</f>
        <v>24</v>
      </c>
      <c r="L104" s="17" t="str">
        <f>Raw_Data!L104</f>
        <v>Kolkata-East</v>
      </c>
      <c r="M104" s="13" t="str">
        <f t="shared" si="3"/>
        <v>OK</v>
      </c>
      <c r="N104" s="18" t="str">
        <f t="shared" si="4"/>
        <v>VALID</v>
      </c>
    </row>
    <row r="105" ht="15.75" customHeight="1">
      <c r="A105" s="13" t="str">
        <f>Raw_Data!A105</f>
        <v>EMP0105</v>
      </c>
      <c r="B105" s="13" t="str">
        <f>TRIM(CLEAN(Raw_Data!B105))</f>
        <v>Sales</v>
      </c>
      <c r="C105" s="18" t="s">
        <v>30</v>
      </c>
      <c r="D105" s="14" t="str">
        <f>IF(ISBLANK(Raw_Data!D105),AVERAGE(Raw_Data!D$2:D$5002),Raw_Data!D105)</f>
        <v>29396.45</v>
      </c>
      <c r="E105" s="15" t="str">
        <f>IF(ISBLANK(Raw_Data!E105),AVERAGE(Raw_Data!E$2:E$5002),Raw_Data!E105)</f>
        <v>8818.93</v>
      </c>
      <c r="F105" s="15" t="str">
        <f>IF(ISBLANK(Raw_Data!F105),AVERAGE(Raw_Data!F$2:F$5002),Raw_Data!F105)</f>
        <v>5406.25</v>
      </c>
      <c r="G105" s="14" t="str">
        <f>IF(ISBLANK(Raw_Data!G105),AVERAGE(Raw_Data!G$2:G$5002),Raw_Data!G105)</f>
        <v>8648.92</v>
      </c>
      <c r="H105" s="15" t="str">
        <f t="shared" si="1"/>
        <v>43622.00</v>
      </c>
      <c r="I105" s="14" t="str">
        <f t="shared" si="2"/>
        <v>34973.00</v>
      </c>
      <c r="J105" s="16" t="str">
        <f>TEXT(Raw_Data!J105,"MMM-YYY")</f>
        <v>Sep-2025</v>
      </c>
      <c r="K105" s="13" t="str">
        <f>Raw_Data!K105</f>
        <v>15</v>
      </c>
      <c r="L105" s="17" t="str">
        <f>Raw_Data!L105</f>
        <v>Pune-West</v>
      </c>
      <c r="M105" s="13" t="str">
        <f t="shared" si="3"/>
        <v>OK</v>
      </c>
      <c r="N105" s="18" t="str">
        <f t="shared" si="4"/>
        <v>VALID</v>
      </c>
    </row>
    <row r="106" ht="15.75" customHeight="1">
      <c r="A106" s="13" t="str">
        <f>Raw_Data!A106</f>
        <v>EMP0106</v>
      </c>
      <c r="B106" s="13" t="str">
        <f>TRIM(CLEAN(Raw_Data!B106))</f>
        <v>HR</v>
      </c>
      <c r="C106" s="18" t="s">
        <v>54</v>
      </c>
      <c r="D106" s="14" t="str">
        <f>IF(ISBLANK(Raw_Data!D106),AVERAGE(Raw_Data!D$2:D$5002),Raw_Data!D106)</f>
        <v>43286.50</v>
      </c>
      <c r="E106" s="15" t="str">
        <f>IF(ISBLANK(Raw_Data!E106),AVERAGE(Raw_Data!E$2:E$5002),Raw_Data!E106)</f>
        <v>12985.95</v>
      </c>
      <c r="F106" s="15" t="str">
        <f>IF(ISBLANK(Raw_Data!F106),AVERAGE(Raw_Data!F$2:F$5002),Raw_Data!F106)</f>
        <v>5739.79</v>
      </c>
      <c r="G106" s="14" t="str">
        <f>IF(ISBLANK(Raw_Data!G106),AVERAGE(Raw_Data!G$2:G$5002),Raw_Data!G106)</f>
        <v>1090.14</v>
      </c>
      <c r="H106" s="15" t="str">
        <f t="shared" si="1"/>
        <v>62012.00</v>
      </c>
      <c r="I106" s="14" t="str">
        <f t="shared" si="2"/>
        <v>60922.00</v>
      </c>
      <c r="J106" s="16" t="str">
        <f>TEXT(Raw_Data!J106,"MMM-YYY")</f>
        <v>Jul-2025</v>
      </c>
      <c r="K106" s="13" t="str">
        <f>Raw_Data!K106</f>
        <v>17</v>
      </c>
      <c r="L106" s="17" t="str">
        <f>Raw_Data!L106</f>
        <v>Hyderabad-South</v>
      </c>
      <c r="M106" s="13" t="str">
        <f t="shared" si="3"/>
        <v>OK</v>
      </c>
      <c r="N106" s="18" t="str">
        <f t="shared" si="4"/>
        <v>VALID</v>
      </c>
    </row>
    <row r="107" ht="15.75" customHeight="1">
      <c r="A107" s="13" t="str">
        <f>Raw_Data!A107</f>
        <v>EMP0107</v>
      </c>
      <c r="B107" s="13" t="str">
        <f>TRIM(CLEAN(Raw_Data!B107))</f>
        <v>Finance</v>
      </c>
      <c r="C107" s="18" t="s">
        <v>26</v>
      </c>
      <c r="D107" s="14" t="str">
        <f>IF(ISBLANK(Raw_Data!D107),AVERAGE(Raw_Data!D$2:D$5002),Raw_Data!D107)</f>
        <v>106621.14</v>
      </c>
      <c r="E107" s="15" t="str">
        <f>IF(ISBLANK(Raw_Data!E107),AVERAGE(Raw_Data!E$2:E$5002),Raw_Data!E107)</f>
        <v>31986.34</v>
      </c>
      <c r="F107" s="15" t="str">
        <f>IF(ISBLANK(Raw_Data!F107),AVERAGE(Raw_Data!F$2:F$5002),Raw_Data!F107)</f>
        <v>1072.28</v>
      </c>
      <c r="G107" s="14" t="str">
        <f>IF(ISBLANK(Raw_Data!G107),AVERAGE(Raw_Data!G$2:G$5002),Raw_Data!G107)</f>
        <v>12126.15</v>
      </c>
      <c r="H107" s="15" t="str">
        <f t="shared" si="1"/>
        <v>139680.00</v>
      </c>
      <c r="I107" s="14" t="str">
        <f t="shared" si="2"/>
        <v>127554.00</v>
      </c>
      <c r="J107" s="16" t="str">
        <f>TEXT(Raw_Data!J107,"MMM-YYY")</f>
        <v>Apr-2025</v>
      </c>
      <c r="K107" s="13" t="str">
        <f>Raw_Data!K107</f>
        <v>15</v>
      </c>
      <c r="L107" s="17" t="str">
        <f>Raw_Data!L107</f>
        <v>Chandigarh-North</v>
      </c>
      <c r="M107" s="13" t="str">
        <f t="shared" si="3"/>
        <v>OK</v>
      </c>
      <c r="N107" s="18" t="str">
        <f t="shared" si="4"/>
        <v>VALID</v>
      </c>
    </row>
    <row r="108" ht="15.75" customHeight="1">
      <c r="A108" s="13" t="str">
        <f>Raw_Data!A108</f>
        <v>EMP0108</v>
      </c>
      <c r="B108" s="13" t="str">
        <f>TRIM(CLEAN(Raw_Data!B108))</f>
        <v>Marketing</v>
      </c>
      <c r="C108" s="18" t="s">
        <v>33</v>
      </c>
      <c r="D108" s="14" t="str">
        <f>IF(ISBLANK(Raw_Data!D108),AVERAGE(Raw_Data!D$2:D$5002),Raw_Data!D108)</f>
        <v>28375.01</v>
      </c>
      <c r="E108" s="15" t="str">
        <f>IF(ISBLANK(Raw_Data!E108),AVERAGE(Raw_Data!E$2:E$5002),Raw_Data!E108)</f>
        <v>8512.50</v>
      </c>
      <c r="F108" s="15" t="str">
        <f>IF(ISBLANK(Raw_Data!F108),AVERAGE(Raw_Data!F$2:F$5002),Raw_Data!F108)</f>
        <v>4991.96</v>
      </c>
      <c r="G108" s="14" t="str">
        <f>IF(ISBLANK(Raw_Data!G108),AVERAGE(Raw_Data!G$2:G$5002),Raw_Data!G108)</f>
        <v>2368.66</v>
      </c>
      <c r="H108" s="15" t="str">
        <f t="shared" si="1"/>
        <v>41879.00</v>
      </c>
      <c r="I108" s="14" t="str">
        <f t="shared" si="2"/>
        <v>39510.00</v>
      </c>
      <c r="J108" s="16" t="str">
        <f>TEXT(Raw_Data!J108,"MMM-YYY")</f>
        <v>Jul-2025</v>
      </c>
      <c r="K108" s="13" t="str">
        <f>Raw_Data!K108</f>
        <v>22</v>
      </c>
      <c r="L108" s="17" t="str">
        <f>Raw_Data!L108</f>
        <v>Ahmedabad-West</v>
      </c>
      <c r="M108" s="13" t="str">
        <f t="shared" si="3"/>
        <v>OK</v>
      </c>
      <c r="N108" s="18" t="str">
        <f t="shared" si="4"/>
        <v>VALID</v>
      </c>
    </row>
    <row r="109" ht="15.75" customHeight="1">
      <c r="A109" s="13" t="str">
        <f>Raw_Data!A109</f>
        <v>EMP0109</v>
      </c>
      <c r="B109" s="13" t="str">
        <f>TRIM(CLEAN(Raw_Data!B109))</f>
        <v>IT</v>
      </c>
      <c r="C109" s="18" t="s">
        <v>26</v>
      </c>
      <c r="D109" s="14" t="str">
        <f>IF(ISBLANK(Raw_Data!D109),AVERAGE(Raw_Data!D$2:D$5002),Raw_Data!D109)</f>
        <v>92948.62</v>
      </c>
      <c r="E109" s="15" t="str">
        <f>IF(ISBLANK(Raw_Data!E109),AVERAGE(Raw_Data!E$2:E$5002),Raw_Data!E109)</f>
        <v>27884.59</v>
      </c>
      <c r="F109" s="15" t="str">
        <f>IF(ISBLANK(Raw_Data!F109),AVERAGE(Raw_Data!F$2:F$5002),Raw_Data!F109)</f>
        <v>360.33</v>
      </c>
      <c r="G109" s="14" t="str">
        <f>IF(ISBLANK(Raw_Data!G109),AVERAGE(Raw_Data!G$2:G$5002),Raw_Data!G109)</f>
        <v>15041.48</v>
      </c>
      <c r="H109" s="15" t="str">
        <f t="shared" si="1"/>
        <v>121194.00</v>
      </c>
      <c r="I109" s="14" t="str">
        <f t="shared" si="2"/>
        <v>106153.00</v>
      </c>
      <c r="J109" s="16" t="str">
        <f>TEXT(Raw_Data!J109,"MMM-YYY")</f>
        <v>Jun-2025</v>
      </c>
      <c r="K109" s="13" t="str">
        <f>Raw_Data!K109</f>
        <v>21</v>
      </c>
      <c r="L109" s="17" t="str">
        <f>Raw_Data!L109</f>
        <v>Jaipur-North</v>
      </c>
      <c r="M109" s="13" t="str">
        <f t="shared" si="3"/>
        <v>OK</v>
      </c>
      <c r="N109" s="18" t="str">
        <f t="shared" si="4"/>
        <v>VALID</v>
      </c>
    </row>
    <row r="110" ht="15.75" customHeight="1">
      <c r="A110" s="13" t="str">
        <f>Raw_Data!A110</f>
        <v>EMP0110</v>
      </c>
      <c r="B110" s="13" t="str">
        <f>TRIM(CLEAN(Raw_Data!B110))</f>
        <v>Finance</v>
      </c>
      <c r="C110" s="18" t="s">
        <v>18</v>
      </c>
      <c r="D110" s="14" t="str">
        <f>IF(ISBLANK(Raw_Data!D110),AVERAGE(Raw_Data!D$2:D$5002),Raw_Data!D110)</f>
        <v>66784.08</v>
      </c>
      <c r="E110" s="15" t="str">
        <f>IF(ISBLANK(Raw_Data!E110),AVERAGE(Raw_Data!E$2:E$5002),Raw_Data!E110)</f>
        <v>20035.22</v>
      </c>
      <c r="F110" s="15" t="str">
        <f>IF(ISBLANK(Raw_Data!F110),AVERAGE(Raw_Data!F$2:F$5002),Raw_Data!F110)</f>
        <v>12786.29</v>
      </c>
      <c r="G110" s="14" t="str">
        <f>IF(ISBLANK(Raw_Data!G110),AVERAGE(Raw_Data!G$2:G$5002),Raw_Data!G110)</f>
        <v>806.58</v>
      </c>
      <c r="H110" s="15" t="str">
        <f t="shared" si="1"/>
        <v>99606.00</v>
      </c>
      <c r="I110" s="14" t="str">
        <f t="shared" si="2"/>
        <v>98799.00</v>
      </c>
      <c r="J110" s="16" t="str">
        <f>TEXT(Raw_Data!J110,"MMM-YYY")</f>
        <v>Jan-2025</v>
      </c>
      <c r="K110" s="13" t="str">
        <f>Raw_Data!K110</f>
        <v>6</v>
      </c>
      <c r="L110" s="17" t="str">
        <f>Raw_Data!L110</f>
        <v>Mumbai-HO</v>
      </c>
      <c r="M110" s="13" t="str">
        <f t="shared" si="3"/>
        <v>OK</v>
      </c>
      <c r="N110" s="18" t="str">
        <f t="shared" si="4"/>
        <v>VALID</v>
      </c>
    </row>
    <row r="111" ht="15.75" customHeight="1">
      <c r="A111" s="13" t="str">
        <f>Raw_Data!A111</f>
        <v>EMP0111</v>
      </c>
      <c r="B111" s="13" t="str">
        <f>TRIM(CLEAN(Raw_Data!B111))</f>
        <v>Finance</v>
      </c>
      <c r="C111" s="18" t="s">
        <v>30</v>
      </c>
      <c r="D111" s="14" t="str">
        <f>IF(ISBLANK(Raw_Data!D111),AVERAGE(Raw_Data!D$2:D$5002),Raw_Data!D111)</f>
        <v>29385.21</v>
      </c>
      <c r="E111" s="15" t="str">
        <f>IF(ISBLANK(Raw_Data!E111),AVERAGE(Raw_Data!E$2:E$5002),Raw_Data!E111)</f>
        <v>8815.56</v>
      </c>
      <c r="F111" s="15" t="str">
        <f>IF(ISBLANK(Raw_Data!F111),AVERAGE(Raw_Data!F$2:F$5002),Raw_Data!F111)</f>
        <v>3651.62</v>
      </c>
      <c r="G111" s="14" t="str">
        <f>IF(ISBLANK(Raw_Data!G111),AVERAGE(Raw_Data!G$2:G$5002),Raw_Data!G111)</f>
        <v>2102.91</v>
      </c>
      <c r="H111" s="15" t="str">
        <f t="shared" si="1"/>
        <v>41852.00</v>
      </c>
      <c r="I111" s="14" t="str">
        <f t="shared" si="2"/>
        <v>39749.00</v>
      </c>
      <c r="J111" s="16" t="str">
        <f>TEXT(Raw_Data!J111,"MMM-YYY")</f>
        <v>Aug-2025</v>
      </c>
      <c r="K111" s="13" t="str">
        <f>Raw_Data!K111</f>
        <v>6</v>
      </c>
      <c r="L111" s="17" t="str">
        <f>Raw_Data!L111</f>
        <v>Delhi-North</v>
      </c>
      <c r="M111" s="13" t="str">
        <f t="shared" si="3"/>
        <v>OK</v>
      </c>
      <c r="N111" s="18" t="str">
        <f t="shared" si="4"/>
        <v>VALID</v>
      </c>
    </row>
    <row r="112" ht="15.75" customHeight="1">
      <c r="A112" s="13" t="str">
        <f>Raw_Data!A112</f>
        <v>EMP0113</v>
      </c>
      <c r="B112" s="13" t="str">
        <f>TRIM(CLEAN(Raw_Data!B112))</f>
        <v>Finance</v>
      </c>
      <c r="C112" s="18" t="s">
        <v>37</v>
      </c>
      <c r="D112" s="14" t="str">
        <f>IF(ISBLANK(Raw_Data!D112),AVERAGE(Raw_Data!D$2:D$5002),Raw_Data!D112)</f>
        <v>55930.45</v>
      </c>
      <c r="E112" s="15" t="str">
        <f>IF(ISBLANK(Raw_Data!E112),AVERAGE(Raw_Data!E$2:E$5002),Raw_Data!E112)</f>
        <v>16779.13</v>
      </c>
      <c r="F112" s="15" t="str">
        <f>IF(ISBLANK(Raw_Data!F112),AVERAGE(Raw_Data!F$2:F$5002),Raw_Data!F112)</f>
        <v>8366.36</v>
      </c>
      <c r="G112" s="14" t="str">
        <f>IF(ISBLANK(Raw_Data!G112),AVERAGE(Raw_Data!G$2:G$5002),Raw_Data!G112)</f>
        <v>1921.76</v>
      </c>
      <c r="H112" s="15" t="str">
        <f t="shared" si="1"/>
        <v>81076.00</v>
      </c>
      <c r="I112" s="14" t="str">
        <f t="shared" si="2"/>
        <v>79154.00</v>
      </c>
      <c r="J112" s="16" t="str">
        <f>TEXT(Raw_Data!J112,"MMM-YYY")</f>
        <v>Mar-2025</v>
      </c>
      <c r="K112" s="13" t="str">
        <f>Raw_Data!K112</f>
        <v>21</v>
      </c>
      <c r="L112" s="17" t="str">
        <f>Raw_Data!L112</f>
        <v>Chennai-South</v>
      </c>
      <c r="M112" s="13" t="str">
        <f t="shared" si="3"/>
        <v>OK</v>
      </c>
      <c r="N112" s="18" t="str">
        <f t="shared" si="4"/>
        <v>VALID</v>
      </c>
    </row>
    <row r="113" ht="15.75" customHeight="1">
      <c r="A113" s="13" t="str">
        <f>Raw_Data!A113</f>
        <v>EMP0114</v>
      </c>
      <c r="B113" s="13" t="str">
        <f>TRIM(CLEAN(Raw_Data!B113))</f>
        <v>IT</v>
      </c>
      <c r="C113" s="18" t="s">
        <v>14</v>
      </c>
      <c r="D113" s="14" t="str">
        <f>IF(ISBLANK(Raw_Data!D113),AVERAGE(Raw_Data!D$2:D$5002),Raw_Data!D113)</f>
        <v>22166.53</v>
      </c>
      <c r="E113" s="15" t="str">
        <f>IF(ISBLANK(Raw_Data!E113),AVERAGE(Raw_Data!E$2:E$5002),Raw_Data!E113)</f>
        <v>6649.96</v>
      </c>
      <c r="F113" s="15" t="str">
        <f>IF(ISBLANK(Raw_Data!F113),AVERAGE(Raw_Data!F$2:F$5002),Raw_Data!F113)</f>
        <v>4118.04</v>
      </c>
      <c r="G113" s="14" t="str">
        <f>IF(ISBLANK(Raw_Data!G113),AVERAGE(Raw_Data!G$2:G$5002),Raw_Data!G113)</f>
        <v>3829.02</v>
      </c>
      <c r="H113" s="15" t="str">
        <f t="shared" si="1"/>
        <v>32935.00</v>
      </c>
      <c r="I113" s="14" t="str">
        <f t="shared" si="2"/>
        <v>29106.00</v>
      </c>
      <c r="J113" s="16" t="str">
        <f>TEXT(Raw_Data!J113,"MMM-YYY")</f>
        <v>Jul-2025</v>
      </c>
      <c r="K113" s="13" t="str">
        <f>Raw_Data!K113</f>
        <v>5</v>
      </c>
      <c r="L113" s="17" t="str">
        <f>Raw_Data!L113</f>
        <v>Kolkata-East</v>
      </c>
      <c r="M113" s="13" t="str">
        <f t="shared" si="3"/>
        <v>OK</v>
      </c>
      <c r="N113" s="18" t="str">
        <f t="shared" si="4"/>
        <v>VALID</v>
      </c>
    </row>
    <row r="114" ht="15.75" customHeight="1">
      <c r="A114" s="13" t="str">
        <f>Raw_Data!A114</f>
        <v>EMP0115</v>
      </c>
      <c r="B114" s="13" t="str">
        <f>TRIM(CLEAN(Raw_Data!B114))</f>
        <v>Marketing</v>
      </c>
      <c r="C114" s="18" t="s">
        <v>18</v>
      </c>
      <c r="D114" s="14" t="str">
        <f>IF(ISBLANK(Raw_Data!D114),AVERAGE(Raw_Data!D$2:D$5002),Raw_Data!D114)</f>
        <v>70156.57</v>
      </c>
      <c r="E114" s="15" t="str">
        <f>IF(ISBLANK(Raw_Data!E114),AVERAGE(Raw_Data!E$2:E$5002),Raw_Data!E114)</f>
        <v>21046.97</v>
      </c>
      <c r="F114" s="15" t="str">
        <f>IF(ISBLANK(Raw_Data!F114),AVERAGE(Raw_Data!F$2:F$5002),Raw_Data!F114)</f>
        <v>8307.91</v>
      </c>
      <c r="G114" s="14" t="str">
        <f>IF(ISBLANK(Raw_Data!G114),AVERAGE(Raw_Data!G$2:G$5002),Raw_Data!G114)</f>
        <v>17481.02</v>
      </c>
      <c r="H114" s="15" t="str">
        <f t="shared" si="1"/>
        <v>99511.00</v>
      </c>
      <c r="I114" s="14" t="str">
        <f t="shared" si="2"/>
        <v>82030.00</v>
      </c>
      <c r="J114" s="16" t="str">
        <f>TEXT(Raw_Data!J114,"MMM-YYY")</f>
        <v>Apr-2025</v>
      </c>
      <c r="K114" s="13" t="str">
        <f>Raw_Data!K114</f>
        <v>3</v>
      </c>
      <c r="L114" s="17" t="str">
        <f>Raw_Data!L114</f>
        <v>Pune-West</v>
      </c>
      <c r="M114" s="13" t="str">
        <f t="shared" si="3"/>
        <v>OK</v>
      </c>
      <c r="N114" s="18" t="str">
        <f t="shared" si="4"/>
        <v>VALID</v>
      </c>
    </row>
    <row r="115" ht="15.75" customHeight="1">
      <c r="A115" s="13" t="str">
        <f>Raw_Data!A115</f>
        <v>EMP0116</v>
      </c>
      <c r="B115" s="13" t="str">
        <f>TRIM(CLEAN(Raw_Data!B115))</f>
        <v>HR</v>
      </c>
      <c r="C115" s="18" t="s">
        <v>18</v>
      </c>
      <c r="D115" s="14" t="str">
        <f>IF(ISBLANK(Raw_Data!D115),AVERAGE(Raw_Data!D$2:D$5002),Raw_Data!D115)</f>
        <v>85084.50</v>
      </c>
      <c r="E115" s="15" t="str">
        <f>IF(ISBLANK(Raw_Data!E115),AVERAGE(Raw_Data!E$2:E$5002),Raw_Data!E115)</f>
        <v>25525.35</v>
      </c>
      <c r="F115" s="15" t="str">
        <f>IF(ISBLANK(Raw_Data!F115),AVERAGE(Raw_Data!F$2:F$5002),Raw_Data!F115)</f>
        <v>14469.36</v>
      </c>
      <c r="G115" s="14" t="str">
        <f>IF(ISBLANK(Raw_Data!G115),AVERAGE(Raw_Data!G$2:G$5002),Raw_Data!G115)</f>
        <v>15325.72</v>
      </c>
      <c r="H115" s="15" t="str">
        <f t="shared" si="1"/>
        <v>125079.00</v>
      </c>
      <c r="I115" s="14" t="str">
        <f t="shared" si="2"/>
        <v>109753.00</v>
      </c>
      <c r="J115" s="16" t="str">
        <f>TEXT(Raw_Data!J115,"MMM-YYY")</f>
        <v>Feb-2025</v>
      </c>
      <c r="K115" s="13" t="str">
        <f>Raw_Data!K115</f>
        <v>1</v>
      </c>
      <c r="L115" s="17" t="str">
        <f>Raw_Data!L115</f>
        <v>Hyderabad-South</v>
      </c>
      <c r="M115" s="13" t="str">
        <f t="shared" si="3"/>
        <v>OK</v>
      </c>
      <c r="N115" s="18" t="str">
        <f t="shared" si="4"/>
        <v>VALID</v>
      </c>
    </row>
    <row r="116" ht="15.75" customHeight="1">
      <c r="A116" s="13" t="str">
        <f>Raw_Data!A116</f>
        <v>EMP0117</v>
      </c>
      <c r="B116" s="13" t="str">
        <f>TRIM(CLEAN(Raw_Data!B116))</f>
        <v>Customer Support</v>
      </c>
      <c r="C116" s="18" t="s">
        <v>37</v>
      </c>
      <c r="D116" s="14" t="str">
        <f>IF(ISBLANK(Raw_Data!D116),AVERAGE(Raw_Data!D$2:D$5002),Raw_Data!D116)</f>
        <v>59087.44</v>
      </c>
      <c r="E116" s="15" t="str">
        <f>IF(ISBLANK(Raw_Data!E116),AVERAGE(Raw_Data!E$2:E$5002),Raw_Data!E116)</f>
        <v>17726.23</v>
      </c>
      <c r="F116" s="15" t="str">
        <f>IF(ISBLANK(Raw_Data!F116),AVERAGE(Raw_Data!F$2:F$5002),Raw_Data!F116)</f>
        <v>4103.08</v>
      </c>
      <c r="G116" s="14" t="str">
        <f>IF(ISBLANK(Raw_Data!G116),AVERAGE(Raw_Data!G$2:G$5002),Raw_Data!G116)</f>
        <v>7593.53</v>
      </c>
      <c r="H116" s="15" t="str">
        <f t="shared" si="1"/>
        <v>80917.00</v>
      </c>
      <c r="I116" s="14" t="str">
        <f t="shared" si="2"/>
        <v>73323.00</v>
      </c>
      <c r="J116" s="16" t="str">
        <f>TEXT(Raw_Data!J116,"MMM-YYY")</f>
        <v>Jun-2025</v>
      </c>
      <c r="K116" s="13" t="str">
        <f>Raw_Data!K116</f>
        <v>25</v>
      </c>
      <c r="L116" s="17" t="str">
        <f>Raw_Data!L116</f>
        <v>Chandigarh-North</v>
      </c>
      <c r="M116" s="13" t="str">
        <f t="shared" si="3"/>
        <v>OK</v>
      </c>
      <c r="N116" s="18" t="str">
        <f t="shared" si="4"/>
        <v>VALID</v>
      </c>
    </row>
    <row r="117" ht="15.75" customHeight="1">
      <c r="A117" s="13" t="str">
        <f>Raw_Data!A117</f>
        <v>EMP0118</v>
      </c>
      <c r="B117" s="13" t="str">
        <f>TRIM(CLEAN(Raw_Data!B117))</f>
        <v>HR</v>
      </c>
      <c r="C117" s="18" t="s">
        <v>37</v>
      </c>
      <c r="D117" s="14" t="str">
        <f>IF(ISBLANK(Raw_Data!D117),AVERAGE(Raw_Data!D$2:D$5002),Raw_Data!D117)</f>
        <v>56655.78</v>
      </c>
      <c r="E117" s="15" t="str">
        <f>IF(ISBLANK(Raw_Data!E117),AVERAGE(Raw_Data!E$2:E$5002),Raw_Data!E117)</f>
        <v>16996.73</v>
      </c>
      <c r="F117" s="15" t="str">
        <f>IF(ISBLANK(Raw_Data!F117),AVERAGE(Raw_Data!F$2:F$5002),Raw_Data!F117)</f>
        <v>143.36</v>
      </c>
      <c r="G117" s="14" t="str">
        <f>IF(ISBLANK(Raw_Data!G117),AVERAGE(Raw_Data!G$2:G$5002),Raw_Data!G117)</f>
        <v>7139.63</v>
      </c>
      <c r="H117" s="15" t="str">
        <f t="shared" si="1"/>
        <v>73796.00</v>
      </c>
      <c r="I117" s="14" t="str">
        <f t="shared" si="2"/>
        <v>66656.00</v>
      </c>
      <c r="J117" s="16" t="str">
        <f>TEXT(Raw_Data!J117,"MMM-YYY")</f>
        <v>Aug-2025</v>
      </c>
      <c r="K117" s="13" t="str">
        <f>Raw_Data!K117</f>
        <v>8</v>
      </c>
      <c r="L117" s="17" t="str">
        <f>Raw_Data!L117</f>
        <v>Ahmedabad-West</v>
      </c>
      <c r="M117" s="13" t="str">
        <f t="shared" si="3"/>
        <v>OK</v>
      </c>
      <c r="N117" s="18" t="str">
        <f t="shared" si="4"/>
        <v>VALID</v>
      </c>
    </row>
    <row r="118" ht="15.75" customHeight="1">
      <c r="A118" s="13" t="str">
        <f>Raw_Data!A118</f>
        <v>EMP0119</v>
      </c>
      <c r="B118" s="13" t="str">
        <f>TRIM(CLEAN(Raw_Data!B118))</f>
        <v>HR</v>
      </c>
      <c r="C118" s="18" t="s">
        <v>54</v>
      </c>
      <c r="D118" s="14" t="str">
        <f>IF(ISBLANK(Raw_Data!D118),AVERAGE(Raw_Data!D$2:D$5002),Raw_Data!D118)</f>
        <v>48451.03</v>
      </c>
      <c r="E118" s="15" t="str">
        <f>IF(ISBLANK(Raw_Data!E118),AVERAGE(Raw_Data!E$2:E$5002),Raw_Data!E118)</f>
        <v>14535.31</v>
      </c>
      <c r="F118" s="15" t="str">
        <f>IF(ISBLANK(Raw_Data!F118),AVERAGE(Raw_Data!F$2:F$5002),Raw_Data!F118)</f>
        <v>6158.95</v>
      </c>
      <c r="G118" s="14" t="str">
        <f>IF(ISBLANK(Raw_Data!G118),AVERAGE(Raw_Data!G$2:G$5002),Raw_Data!G118)</f>
        <v>12045.52</v>
      </c>
      <c r="H118" s="15" t="str">
        <f t="shared" si="1"/>
        <v>69145.00</v>
      </c>
      <c r="I118" s="14" t="str">
        <f t="shared" si="2"/>
        <v>57099.00</v>
      </c>
      <c r="J118" s="16" t="str">
        <f>TEXT(Raw_Data!J118,"MMM-YYY")</f>
        <v>Dec-2025</v>
      </c>
      <c r="K118" s="13" t="str">
        <f>Raw_Data!K118</f>
        <v>25</v>
      </c>
      <c r="L118" s="17" t="str">
        <f>Raw_Data!L118</f>
        <v>Jaipur-North</v>
      </c>
      <c r="M118" s="13" t="str">
        <f t="shared" si="3"/>
        <v>OK</v>
      </c>
      <c r="N118" s="18" t="str">
        <f t="shared" si="4"/>
        <v>VALID</v>
      </c>
    </row>
    <row r="119" ht="15.75" customHeight="1">
      <c r="A119" s="13" t="str">
        <f>Raw_Data!A119</f>
        <v>EMP0120</v>
      </c>
      <c r="B119" s="13" t="str">
        <f>TRIM(CLEAN(Raw_Data!B119))</f>
        <v>Finance</v>
      </c>
      <c r="C119" s="18" t="s">
        <v>54</v>
      </c>
      <c r="D119" s="14" t="str">
        <f>IF(ISBLANK(Raw_Data!D119),AVERAGE(Raw_Data!D$2:D$5002),Raw_Data!D119)</f>
        <v>37465.92</v>
      </c>
      <c r="E119" s="15" t="str">
        <f>IF(ISBLANK(Raw_Data!E119),AVERAGE(Raw_Data!E$2:E$5002),Raw_Data!E119)</f>
        <v>11239.78</v>
      </c>
      <c r="F119" s="15" t="str">
        <f>IF(ISBLANK(Raw_Data!F119),AVERAGE(Raw_Data!F$2:F$5002),Raw_Data!F119)</f>
        <v>3909.54</v>
      </c>
      <c r="G119" s="14" t="str">
        <f>IF(ISBLANK(Raw_Data!G119),AVERAGE(Raw_Data!G$2:G$5002),Raw_Data!G119)</f>
        <v>7311.00</v>
      </c>
      <c r="H119" s="15" t="str">
        <f t="shared" si="1"/>
        <v>52615.00</v>
      </c>
      <c r="I119" s="14" t="str">
        <f t="shared" si="2"/>
        <v>45304.00</v>
      </c>
      <c r="J119" s="16" t="str">
        <f>TEXT(Raw_Data!J119,"MMM-YYY")</f>
        <v>Oct-2025</v>
      </c>
      <c r="K119" s="13" t="str">
        <f>Raw_Data!K119</f>
        <v>22</v>
      </c>
      <c r="L119" s="17" t="str">
        <f>Raw_Data!L119</f>
        <v>Mumbai-HO</v>
      </c>
      <c r="M119" s="13" t="str">
        <f t="shared" si="3"/>
        <v>OK</v>
      </c>
      <c r="N119" s="18" t="str">
        <f t="shared" si="4"/>
        <v>VALID</v>
      </c>
    </row>
    <row r="120" ht="15.75" customHeight="1">
      <c r="A120" s="13" t="str">
        <f>Raw_Data!A120</f>
        <v>EMP0121</v>
      </c>
      <c r="B120" s="13" t="str">
        <f>TRIM(CLEAN(Raw_Data!B120))</f>
        <v>Customer Support</v>
      </c>
      <c r="C120" s="18" t="s">
        <v>37</v>
      </c>
      <c r="D120" s="14" t="str">
        <f>IF(ISBLANK(Raw_Data!D120),AVERAGE(Raw_Data!D$2:D$5002),Raw_Data!D120)</f>
        <v>58943.55</v>
      </c>
      <c r="E120" s="15" t="str">
        <f>IF(ISBLANK(Raw_Data!E120),AVERAGE(Raw_Data!E$2:E$5002),Raw_Data!E120)</f>
        <v>17683.06</v>
      </c>
      <c r="F120" s="15" t="str">
        <f>IF(ISBLANK(Raw_Data!F120),AVERAGE(Raw_Data!F$2:F$5002),Raw_Data!F120)</f>
        <v>5480.26</v>
      </c>
      <c r="G120" s="14" t="str">
        <f>IF(ISBLANK(Raw_Data!G120),AVERAGE(Raw_Data!G$2:G$5002),Raw_Data!G120)</f>
        <v>14601.52</v>
      </c>
      <c r="H120" s="15" t="str">
        <f t="shared" si="1"/>
        <v>82107.00</v>
      </c>
      <c r="I120" s="14" t="str">
        <f t="shared" si="2"/>
        <v>67505.00</v>
      </c>
      <c r="J120" s="16" t="str">
        <f>TEXT(Raw_Data!J120,"MMM-YYY")</f>
        <v>Oct-2025</v>
      </c>
      <c r="K120" s="13" t="str">
        <f>Raw_Data!K120</f>
        <v>16</v>
      </c>
      <c r="L120" s="17" t="str">
        <f>Raw_Data!L120</f>
        <v>Delhi-North</v>
      </c>
      <c r="M120" s="13" t="str">
        <f t="shared" si="3"/>
        <v>OK</v>
      </c>
      <c r="N120" s="18" t="str">
        <f t="shared" si="4"/>
        <v>VALID</v>
      </c>
    </row>
    <row r="121" ht="15.75" customHeight="1">
      <c r="A121" s="13" t="str">
        <f>Raw_Data!A121</f>
        <v>EMP0122</v>
      </c>
      <c r="B121" s="13" t="str">
        <f>TRIM(CLEAN(Raw_Data!B121))</f>
        <v>IT</v>
      </c>
      <c r="C121" s="18" t="s">
        <v>33</v>
      </c>
      <c r="D121" s="14" t="str">
        <f>IF(ISBLANK(Raw_Data!D121),AVERAGE(Raw_Data!D$2:D$5002),Raw_Data!D121)</f>
        <v>33517.13</v>
      </c>
      <c r="E121" s="15" t="str">
        <f>IF(ISBLANK(Raw_Data!E121),AVERAGE(Raw_Data!E$2:E$5002),Raw_Data!E121)</f>
        <v>10055.14</v>
      </c>
      <c r="F121" s="15" t="str">
        <f>IF(ISBLANK(Raw_Data!F121),AVERAGE(Raw_Data!F$2:F$5002),Raw_Data!F121)</f>
        <v>5568.74</v>
      </c>
      <c r="G121" s="14" t="str">
        <f>IF(ISBLANK(Raw_Data!G121),AVERAGE(Raw_Data!G$2:G$5002),Raw_Data!G121)</f>
        <v>871.41</v>
      </c>
      <c r="H121" s="15" t="str">
        <f t="shared" si="1"/>
        <v>49141.00</v>
      </c>
      <c r="I121" s="14" t="str">
        <f t="shared" si="2"/>
        <v>48270.00</v>
      </c>
      <c r="J121" s="16" t="str">
        <f>TEXT(Raw_Data!J121,"MMM-YYY")</f>
        <v>Aug-2025</v>
      </c>
      <c r="K121" s="13" t="str">
        <f>Raw_Data!K121</f>
        <v>7</v>
      </c>
      <c r="L121" s="17" t="str">
        <f>Raw_Data!L121</f>
        <v>Bangalore-South</v>
      </c>
      <c r="M121" s="13" t="str">
        <f t="shared" si="3"/>
        <v>OK</v>
      </c>
      <c r="N121" s="18" t="str">
        <f t="shared" si="4"/>
        <v>VALID</v>
      </c>
    </row>
    <row r="122" ht="15.75" customHeight="1">
      <c r="A122" s="13" t="str">
        <f>Raw_Data!A122</f>
        <v>EMP0123</v>
      </c>
      <c r="B122" s="13" t="str">
        <f>TRIM(CLEAN(Raw_Data!B122))</f>
        <v>Finance</v>
      </c>
      <c r="C122" s="18" t="s">
        <v>26</v>
      </c>
      <c r="D122" s="14" t="str">
        <f>IF(ISBLANK(Raw_Data!D122),AVERAGE(Raw_Data!D$2:D$5002),Raw_Data!D122)</f>
        <v>106729.50</v>
      </c>
      <c r="E122" s="15" t="str">
        <f>IF(ISBLANK(Raw_Data!E122),AVERAGE(Raw_Data!E$2:E$5002),Raw_Data!E122)</f>
        <v>32018.85</v>
      </c>
      <c r="F122" s="15" t="str">
        <f>IF(ISBLANK(Raw_Data!F122),AVERAGE(Raw_Data!F$2:F$5002),Raw_Data!F122)</f>
        <v>13028.08</v>
      </c>
      <c r="G122" s="14" t="str">
        <f>IF(ISBLANK(Raw_Data!G122),AVERAGE(Raw_Data!G$2:G$5002),Raw_Data!G122)</f>
        <v>12134.80</v>
      </c>
      <c r="H122" s="15" t="str">
        <f t="shared" si="1"/>
        <v>151776.00</v>
      </c>
      <c r="I122" s="14" t="str">
        <f t="shared" si="2"/>
        <v>139641.00</v>
      </c>
      <c r="J122" s="16" t="str">
        <f>TEXT(Raw_Data!J122,"MMM-YYY")</f>
        <v>Jan-2025</v>
      </c>
      <c r="K122" s="13" t="str">
        <f>Raw_Data!K122</f>
        <v>4</v>
      </c>
      <c r="L122" s="17" t="str">
        <f>Raw_Data!L122</f>
        <v>Chennai-South</v>
      </c>
      <c r="M122" s="13" t="str">
        <f t="shared" si="3"/>
        <v>OK</v>
      </c>
      <c r="N122" s="18" t="str">
        <f t="shared" si="4"/>
        <v>VALID</v>
      </c>
    </row>
    <row r="123" ht="15.75" customHeight="1">
      <c r="A123" s="13" t="str">
        <f>Raw_Data!A123</f>
        <v>EMP0124</v>
      </c>
      <c r="B123" s="13" t="str">
        <f>TRIM(CLEAN(Raw_Data!B123))</f>
        <v>Marketing</v>
      </c>
      <c r="C123" s="18" t="s">
        <v>26</v>
      </c>
      <c r="D123" s="14" t="str">
        <f>IF(ISBLANK(Raw_Data!D123),AVERAGE(Raw_Data!D$2:D$5002),Raw_Data!D123)</f>
        <v>101700.51</v>
      </c>
      <c r="E123" s="15" t="str">
        <f>IF(ISBLANK(Raw_Data!E123),AVERAGE(Raw_Data!E$2:E$5002),Raw_Data!E123)</f>
        <v>30510.15</v>
      </c>
      <c r="F123" s="15" t="str">
        <f>IF(ISBLANK(Raw_Data!F123),AVERAGE(Raw_Data!F$2:F$5002),Raw_Data!F123)</f>
        <v>9916.82</v>
      </c>
      <c r="G123" s="14" t="str">
        <f>IF(ISBLANK(Raw_Data!G123),AVERAGE(Raw_Data!G$2:G$5002),Raw_Data!G123)</f>
        <v>10825.76</v>
      </c>
      <c r="H123" s="15" t="str">
        <f t="shared" si="1"/>
        <v>142127.00</v>
      </c>
      <c r="I123" s="14" t="str">
        <f t="shared" si="2"/>
        <v>131301.00</v>
      </c>
      <c r="J123" s="16" t="str">
        <f>TEXT(Raw_Data!J123,"MMM-YYY")</f>
        <v>May-2025</v>
      </c>
      <c r="K123" s="13" t="str">
        <f>Raw_Data!K123</f>
        <v>1</v>
      </c>
      <c r="L123" s="17" t="str">
        <f>Raw_Data!L123</f>
        <v>Kolkata-East</v>
      </c>
      <c r="M123" s="13" t="str">
        <f t="shared" si="3"/>
        <v>OK</v>
      </c>
      <c r="N123" s="18" t="str">
        <f t="shared" si="4"/>
        <v>VALID</v>
      </c>
    </row>
    <row r="124" ht="15.75" customHeight="1">
      <c r="A124" s="13" t="str">
        <f>Raw_Data!A124</f>
        <v>EMP0125</v>
      </c>
      <c r="B124" s="13" t="s">
        <v>25</v>
      </c>
      <c r="C124" s="18" t="s">
        <v>33</v>
      </c>
      <c r="D124" s="14" t="str">
        <f>IF(ISBLANK(Raw_Data!D124),AVERAGE(Raw_Data!D$2:D$5002),Raw_Data!D124)</f>
        <v>33803.20</v>
      </c>
      <c r="E124" s="15" t="str">
        <f>IF(ISBLANK(Raw_Data!E124),AVERAGE(Raw_Data!E$2:E$5002),Raw_Data!E124)</f>
        <v>10140.96</v>
      </c>
      <c r="F124" s="15" t="str">
        <f>IF(ISBLANK(Raw_Data!F124),AVERAGE(Raw_Data!F$2:F$5002),Raw_Data!F124)</f>
        <v>4740.45</v>
      </c>
      <c r="G124" s="14" t="str">
        <f>IF(ISBLANK(Raw_Data!G124),AVERAGE(Raw_Data!G$2:G$5002),Raw_Data!G124)</f>
        <v>2801.63</v>
      </c>
      <c r="H124" s="15" t="str">
        <f t="shared" si="1"/>
        <v>48685.00</v>
      </c>
      <c r="I124" s="14" t="str">
        <f t="shared" si="2"/>
        <v>45883.00</v>
      </c>
      <c r="J124" s="16" t="str">
        <f>TEXT(Raw_Data!J124,"MMM-YYY")</f>
        <v>Jan-2025</v>
      </c>
      <c r="K124" s="13" t="str">
        <f>Raw_Data!K124</f>
        <v>21</v>
      </c>
      <c r="L124" s="17" t="str">
        <f>Raw_Data!L124</f>
        <v>Pune-West</v>
      </c>
      <c r="M124" s="13" t="str">
        <f t="shared" si="3"/>
        <v>OK</v>
      </c>
      <c r="N124" s="18" t="str">
        <f t="shared" si="4"/>
        <v>VALID</v>
      </c>
    </row>
    <row r="125" ht="15.75" customHeight="1">
      <c r="A125" s="13" t="str">
        <f>Raw_Data!A125</f>
        <v>EMP0126</v>
      </c>
      <c r="B125" s="13" t="str">
        <f>TRIM(CLEAN(Raw_Data!B125))</f>
        <v>Operations</v>
      </c>
      <c r="C125" s="18" t="s">
        <v>30</v>
      </c>
      <c r="D125" s="14" t="str">
        <f>IF(ISBLANK(Raw_Data!D125),AVERAGE(Raw_Data!D$2:D$5002),Raw_Data!D125)</f>
        <v>22753.39</v>
      </c>
      <c r="E125" s="15" t="str">
        <f>IF(ISBLANK(Raw_Data!E125),AVERAGE(Raw_Data!E$2:E$5002),Raw_Data!E125)</f>
        <v>6826.02</v>
      </c>
      <c r="F125" s="15" t="str">
        <f>IF(ISBLANK(Raw_Data!F125),AVERAGE(Raw_Data!F$2:F$5002),Raw_Data!F125)</f>
        <v>3276.83</v>
      </c>
      <c r="G125" s="14" t="str">
        <f>IF(ISBLANK(Raw_Data!G125),AVERAGE(Raw_Data!G$2:G$5002),Raw_Data!G125)</f>
        <v>3335.04</v>
      </c>
      <c r="H125" s="15" t="str">
        <f t="shared" si="1"/>
        <v>32856.00</v>
      </c>
      <c r="I125" s="14" t="str">
        <f t="shared" si="2"/>
        <v>29521.00</v>
      </c>
      <c r="J125" s="16" t="str">
        <f>TEXT(Raw_Data!J125,"MMM-YYY")</f>
        <v>Apr-2025</v>
      </c>
      <c r="K125" s="13" t="str">
        <f>Raw_Data!K125</f>
        <v>15</v>
      </c>
      <c r="L125" s="17" t="str">
        <f>Raw_Data!L125</f>
        <v>Hyderabad-South</v>
      </c>
      <c r="M125" s="13" t="str">
        <f t="shared" si="3"/>
        <v>OK</v>
      </c>
      <c r="N125" s="18" t="str">
        <f t="shared" si="4"/>
        <v>VALID</v>
      </c>
    </row>
    <row r="126" ht="15.75" customHeight="1">
      <c r="A126" s="13" t="str">
        <f>Raw_Data!A126</f>
        <v>EMP0127</v>
      </c>
      <c r="B126" s="13" t="str">
        <f>TRIM(CLEAN(Raw_Data!B126))</f>
        <v>Sales</v>
      </c>
      <c r="C126" s="18" t="s">
        <v>54</v>
      </c>
      <c r="D126" s="14" t="str">
        <f>IF(ISBLANK(Raw_Data!D126),AVERAGE(Raw_Data!D$2:D$5002),Raw_Data!D126)</f>
        <v>44042.64</v>
      </c>
      <c r="E126" s="15" t="str">
        <f>IF(ISBLANK(Raw_Data!E126),AVERAGE(Raw_Data!E$2:E$5002),Raw_Data!E126)</f>
        <v>13212.79</v>
      </c>
      <c r="F126" s="15" t="str">
        <f>IF(ISBLANK(Raw_Data!F126),AVERAGE(Raw_Data!F$2:F$5002),Raw_Data!F126)</f>
        <v>4323.41</v>
      </c>
      <c r="G126" s="14" t="str">
        <f>IF(ISBLANK(Raw_Data!G126),AVERAGE(Raw_Data!G$2:G$5002),Raw_Data!G126)</f>
        <v>10476.86</v>
      </c>
      <c r="H126" s="15" t="str">
        <f t="shared" si="1"/>
        <v>61579.00</v>
      </c>
      <c r="I126" s="14" t="str">
        <f t="shared" si="2"/>
        <v>51102.00</v>
      </c>
      <c r="J126" s="16" t="str">
        <f>TEXT(Raw_Data!J126,"MMM-YYY")</f>
        <v>Feb-2025</v>
      </c>
      <c r="K126" s="13" t="str">
        <f>Raw_Data!K126</f>
        <v>21</v>
      </c>
      <c r="L126" s="17" t="str">
        <f>Raw_Data!L126</f>
        <v>Chandigarh-North</v>
      </c>
      <c r="M126" s="13" t="str">
        <f t="shared" si="3"/>
        <v>OK</v>
      </c>
      <c r="N126" s="18" t="str">
        <f t="shared" si="4"/>
        <v>VALID</v>
      </c>
    </row>
    <row r="127" ht="15.75" customHeight="1">
      <c r="A127" s="13" t="str">
        <f>Raw_Data!A127</f>
        <v>EMP0128</v>
      </c>
      <c r="B127" s="13" t="str">
        <f>TRIM(CLEAN(Raw_Data!B127))</f>
        <v>IT</v>
      </c>
      <c r="C127" s="18" t="s">
        <v>30</v>
      </c>
      <c r="D127" s="14" t="str">
        <f>IF(ISBLANK(Raw_Data!D127),AVERAGE(Raw_Data!D$2:D$5002),Raw_Data!D127)</f>
        <v>25558.73</v>
      </c>
      <c r="E127" s="15" t="str">
        <f>IF(ISBLANK(Raw_Data!E127),AVERAGE(Raw_Data!E$2:E$5002),Raw_Data!E127)</f>
        <v>7667.62</v>
      </c>
      <c r="F127" s="15" t="str">
        <f>IF(ISBLANK(Raw_Data!F127),AVERAGE(Raw_Data!F$2:F$5002),Raw_Data!F127)</f>
        <v>1243.71</v>
      </c>
      <c r="G127" s="14" t="str">
        <f>IF(ISBLANK(Raw_Data!G127),AVERAGE(Raw_Data!G$2:G$5002),Raw_Data!G127)</f>
        <v>5090.99</v>
      </c>
      <c r="H127" s="15" t="str">
        <f t="shared" si="1"/>
        <v>34470.00</v>
      </c>
      <c r="I127" s="14" t="str">
        <f t="shared" si="2"/>
        <v>29379.00</v>
      </c>
      <c r="J127" s="16" t="str">
        <f>TEXT(Raw_Data!J127,"MMM-YYY")</f>
        <v>Jun-2025</v>
      </c>
      <c r="K127" s="13" t="str">
        <f>Raw_Data!K127</f>
        <v>22</v>
      </c>
      <c r="L127" s="17" t="str">
        <f>Raw_Data!L127</f>
        <v>Ahmedabad-West</v>
      </c>
      <c r="M127" s="13" t="str">
        <f t="shared" si="3"/>
        <v>OK</v>
      </c>
      <c r="N127" s="18" t="str">
        <f t="shared" si="4"/>
        <v>VALID</v>
      </c>
    </row>
    <row r="128" ht="15.75" customHeight="1">
      <c r="A128" s="13" t="str">
        <f>Raw_Data!A128</f>
        <v>EMP0129</v>
      </c>
      <c r="B128" s="13" t="str">
        <f>TRIM(CLEAN(Raw_Data!B128))</f>
        <v>Marketing</v>
      </c>
      <c r="C128" s="18" t="s">
        <v>37</v>
      </c>
      <c r="D128" s="14" t="str">
        <f>IF(ISBLANK(Raw_Data!D128),AVERAGE(Raw_Data!D$2:D$5002),Raw_Data!D128)</f>
        <v>54556.59</v>
      </c>
      <c r="E128" s="15" t="str">
        <f>IF(ISBLANK(Raw_Data!E128),AVERAGE(Raw_Data!E$2:E$5002),Raw_Data!E128)</f>
        <v>16366.98</v>
      </c>
      <c r="F128" s="15" t="str">
        <f>IF(ISBLANK(Raw_Data!F128),AVERAGE(Raw_Data!F$2:F$5002),Raw_Data!F128)</f>
        <v>4642.81</v>
      </c>
      <c r="G128" s="14" t="str">
        <f>IF(ISBLANK(Raw_Data!G128),AVERAGE(Raw_Data!G$2:G$5002),Raw_Data!G128)</f>
        <v>12208.71</v>
      </c>
      <c r="H128" s="15" t="str">
        <f t="shared" si="1"/>
        <v>75566.00</v>
      </c>
      <c r="I128" s="14" t="str">
        <f t="shared" si="2"/>
        <v>63357.00</v>
      </c>
      <c r="J128" s="16" t="str">
        <f>TEXT(Raw_Data!J128,"MMM-YYY")</f>
        <v>Jun-2025</v>
      </c>
      <c r="K128" s="13" t="str">
        <f>Raw_Data!K128</f>
        <v>14</v>
      </c>
      <c r="L128" s="17" t="str">
        <f>Raw_Data!L128</f>
        <v>Jaipur-North</v>
      </c>
      <c r="M128" s="13" t="str">
        <f t="shared" si="3"/>
        <v>OK</v>
      </c>
      <c r="N128" s="18" t="str">
        <f t="shared" si="4"/>
        <v>VALID</v>
      </c>
    </row>
    <row r="129" ht="15.75" customHeight="1">
      <c r="A129" s="13" t="str">
        <f>Raw_Data!A129</f>
        <v>EMP0130</v>
      </c>
      <c r="B129" s="13" t="str">
        <f>TRIM(CLEAN(Raw_Data!B129))</f>
        <v>IT</v>
      </c>
      <c r="C129" s="18" t="s">
        <v>18</v>
      </c>
      <c r="D129" s="14" t="str">
        <f>IF(ISBLANK(Raw_Data!D129),AVERAGE(Raw_Data!D$2:D$5002),Raw_Data!D129)</f>
        <v>76797.38</v>
      </c>
      <c r="E129" s="15" t="str">
        <f>IF(ISBLANK(Raw_Data!E129),AVERAGE(Raw_Data!E$2:E$5002),Raw_Data!E129)</f>
        <v>23039.21</v>
      </c>
      <c r="F129" s="15" t="str">
        <f>IF(ISBLANK(Raw_Data!F129),AVERAGE(Raw_Data!F$2:F$5002),Raw_Data!F129)</f>
        <v>4709.57</v>
      </c>
      <c r="G129" s="14" t="str">
        <f>IF(ISBLANK(Raw_Data!G129),AVERAGE(Raw_Data!G$2:G$5002),Raw_Data!G129)</f>
        <v>5311.42</v>
      </c>
      <c r="H129" s="15" t="str">
        <f t="shared" si="1"/>
        <v>104546.00</v>
      </c>
      <c r="I129" s="14" t="str">
        <f t="shared" si="2"/>
        <v>99235.00</v>
      </c>
      <c r="J129" s="16" t="str">
        <f>TEXT(Raw_Data!J129,"MMM-YYY")</f>
        <v>Dec-2025</v>
      </c>
      <c r="K129" s="13" t="str">
        <f>Raw_Data!K129</f>
        <v>8</v>
      </c>
      <c r="L129" s="17" t="str">
        <f>Raw_Data!L129</f>
        <v>Mumbai-HO</v>
      </c>
      <c r="M129" s="13" t="str">
        <f t="shared" si="3"/>
        <v>OK</v>
      </c>
      <c r="N129" s="18" t="str">
        <f t="shared" si="4"/>
        <v>VALID</v>
      </c>
    </row>
    <row r="130" ht="15.75" customHeight="1">
      <c r="A130" s="13" t="str">
        <f>Raw_Data!A130</f>
        <v>EMP0131</v>
      </c>
      <c r="B130" s="13" t="str">
        <f>TRIM(CLEAN(Raw_Data!B130))</f>
        <v>Finance</v>
      </c>
      <c r="C130" s="18" t="s">
        <v>33</v>
      </c>
      <c r="D130" s="14" t="str">
        <f>IF(ISBLANK(Raw_Data!D130),AVERAGE(Raw_Data!D$2:D$5002),Raw_Data!D130)</f>
        <v>26195.55</v>
      </c>
      <c r="E130" s="15" t="str">
        <f>IF(ISBLANK(Raw_Data!E130),AVERAGE(Raw_Data!E$2:E$5002),Raw_Data!E130)</f>
        <v>7858.66</v>
      </c>
      <c r="F130" s="15" t="str">
        <f>IF(ISBLANK(Raw_Data!F130),AVERAGE(Raw_Data!F$2:F$5002),Raw_Data!F130)</f>
        <v>2807.45</v>
      </c>
      <c r="G130" s="14" t="str">
        <f>IF(ISBLANK(Raw_Data!G130),AVERAGE(Raw_Data!G$2:G$5002),Raw_Data!G130)</f>
        <v>5989.79</v>
      </c>
      <c r="H130" s="15" t="str">
        <f t="shared" si="1"/>
        <v>36862.00</v>
      </c>
      <c r="I130" s="14" t="str">
        <f t="shared" si="2"/>
        <v>30872.00</v>
      </c>
      <c r="J130" s="16" t="str">
        <f>TEXT(Raw_Data!J130,"MMM-YYY")</f>
        <v>Mar-2025</v>
      </c>
      <c r="K130" s="13" t="str">
        <f>Raw_Data!K130</f>
        <v>12</v>
      </c>
      <c r="L130" s="17" t="str">
        <f>Raw_Data!L130</f>
        <v>Delhi-North</v>
      </c>
      <c r="M130" s="13" t="str">
        <f t="shared" si="3"/>
        <v>OK</v>
      </c>
      <c r="N130" s="18" t="str">
        <f t="shared" si="4"/>
        <v>VALID</v>
      </c>
    </row>
    <row r="131" ht="15.75" customHeight="1">
      <c r="A131" s="13" t="str">
        <f>Raw_Data!A131</f>
        <v>EMP0132</v>
      </c>
      <c r="B131" s="13" t="str">
        <f>TRIM(CLEAN(Raw_Data!B131))</f>
        <v>Finance</v>
      </c>
      <c r="C131" s="18" t="s">
        <v>30</v>
      </c>
      <c r="D131" s="14" t="str">
        <f>IF(ISBLANK(Raw_Data!D131),AVERAGE(Raw_Data!D$2:D$5002),Raw_Data!D131)</f>
        <v>28499.72</v>
      </c>
      <c r="E131" s="15" t="str">
        <f>IF(ISBLANK(Raw_Data!E131),AVERAGE(Raw_Data!E$2:E$5002),Raw_Data!E131)</f>
        <v>8549.92</v>
      </c>
      <c r="F131" s="15" t="str">
        <f>IF(ISBLANK(Raw_Data!F131),AVERAGE(Raw_Data!F$2:F$5002),Raw_Data!F131)</f>
        <v>1576.03</v>
      </c>
      <c r="G131" s="14" t="str">
        <f>IF(ISBLANK(Raw_Data!G131),AVERAGE(Raw_Data!G$2:G$5002),Raw_Data!G131)</f>
        <v>5040.92</v>
      </c>
      <c r="H131" s="15" t="str">
        <f t="shared" si="1"/>
        <v>38626.00</v>
      </c>
      <c r="I131" s="14" t="str">
        <f t="shared" si="2"/>
        <v>33585.00</v>
      </c>
      <c r="J131" s="16" t="str">
        <f>TEXT(Raw_Data!J131,"MMM-YYY")</f>
        <v>Sep-2025</v>
      </c>
      <c r="K131" s="13" t="str">
        <f>Raw_Data!K131</f>
        <v>4</v>
      </c>
      <c r="L131" s="17" t="str">
        <f>Raw_Data!L131</f>
        <v>Bangalore-South</v>
      </c>
      <c r="M131" s="13" t="str">
        <f t="shared" si="3"/>
        <v>OK</v>
      </c>
      <c r="N131" s="18" t="str">
        <f t="shared" si="4"/>
        <v>VALID</v>
      </c>
    </row>
    <row r="132" ht="15.75" customHeight="1">
      <c r="A132" s="13" t="str">
        <f>Raw_Data!A132</f>
        <v>EMP0133</v>
      </c>
      <c r="B132" s="13" t="str">
        <f>TRIM(CLEAN(Raw_Data!B132))</f>
        <v>Operations</v>
      </c>
      <c r="C132" s="18" t="s">
        <v>33</v>
      </c>
      <c r="D132" s="14" t="str">
        <f>IF(ISBLANK(Raw_Data!D132),AVERAGE(Raw_Data!D$2:D$5002),Raw_Data!D132)</f>
        <v>34805.11</v>
      </c>
      <c r="E132" s="15" t="str">
        <f>IF(ISBLANK(Raw_Data!E132),AVERAGE(Raw_Data!E$2:E$5002),Raw_Data!E132)</f>
        <v>10441.53</v>
      </c>
      <c r="F132" s="15" t="str">
        <f>IF(ISBLANK(Raw_Data!F132),AVERAGE(Raw_Data!F$2:F$5002),Raw_Data!F132)</f>
        <v>5795.94</v>
      </c>
      <c r="G132" s="14" t="str">
        <f>IF(ISBLANK(Raw_Data!G132),AVERAGE(Raw_Data!G$2:G$5002),Raw_Data!G132)</f>
        <v>3093.27</v>
      </c>
      <c r="H132" s="15" t="str">
        <f t="shared" si="1"/>
        <v>51043.00</v>
      </c>
      <c r="I132" s="14" t="str">
        <f t="shared" si="2"/>
        <v>47950.00</v>
      </c>
      <c r="J132" s="16" t="str">
        <f>TEXT(Raw_Data!J132,"MMM-YYY")</f>
        <v>Jun-2025</v>
      </c>
      <c r="K132" s="13" t="str">
        <f>Raw_Data!K132</f>
        <v>17</v>
      </c>
      <c r="L132" s="17" t="str">
        <f>Raw_Data!L132</f>
        <v>Chennai-South</v>
      </c>
      <c r="M132" s="13" t="str">
        <f t="shared" si="3"/>
        <v>OK</v>
      </c>
      <c r="N132" s="18" t="str">
        <f t="shared" si="4"/>
        <v>VALID</v>
      </c>
    </row>
    <row r="133" ht="15.75" customHeight="1">
      <c r="A133" s="13" t="str">
        <f>Raw_Data!A133</f>
        <v>EMP0134</v>
      </c>
      <c r="B133" s="13" t="str">
        <f>TRIM(CLEAN(Raw_Data!B133))</f>
        <v>Finance</v>
      </c>
      <c r="C133" s="18" t="s">
        <v>33</v>
      </c>
      <c r="D133" s="14" t="str">
        <f>IF(ISBLANK(Raw_Data!D133),AVERAGE(Raw_Data!D$2:D$5002),Raw_Data!D133)</f>
        <v>25141.48</v>
      </c>
      <c r="E133" s="15" t="str">
        <f>IF(ISBLANK(Raw_Data!E133),AVERAGE(Raw_Data!E$2:E$5002),Raw_Data!E133)</f>
        <v>7542.44</v>
      </c>
      <c r="F133" s="15" t="str">
        <f>IF(ISBLANK(Raw_Data!F133),AVERAGE(Raw_Data!F$2:F$5002),Raw_Data!F133)</f>
        <v>2685.79</v>
      </c>
      <c r="G133" s="14" t="str">
        <f>IF(ISBLANK(Raw_Data!G133),AVERAGE(Raw_Data!G$2:G$5002),Raw_Data!G133)</f>
        <v>2068.98</v>
      </c>
      <c r="H133" s="15" t="str">
        <f t="shared" si="1"/>
        <v>35370.00</v>
      </c>
      <c r="I133" s="14" t="str">
        <f t="shared" si="2"/>
        <v>33301.00</v>
      </c>
      <c r="J133" s="16" t="str">
        <f>TEXT(Raw_Data!J133,"MMM-YYY")</f>
        <v>Jan-2025</v>
      </c>
      <c r="K133" s="13" t="str">
        <f>Raw_Data!K133</f>
        <v>6</v>
      </c>
      <c r="L133" s="17" t="str">
        <f>Raw_Data!L133</f>
        <v>Kolkata-East</v>
      </c>
      <c r="M133" s="13" t="str">
        <f t="shared" si="3"/>
        <v>OK</v>
      </c>
      <c r="N133" s="18" t="str">
        <f t="shared" si="4"/>
        <v>VALID</v>
      </c>
    </row>
    <row r="134" ht="15.75" customHeight="1">
      <c r="A134" s="13" t="str">
        <f>Raw_Data!A134</f>
        <v>EMP0135</v>
      </c>
      <c r="B134" s="13" t="str">
        <f>TRIM(CLEAN(Raw_Data!B134))</f>
        <v>Operations</v>
      </c>
      <c r="C134" s="18" t="s">
        <v>33</v>
      </c>
      <c r="D134" s="14" t="str">
        <f>IF(ISBLANK(Raw_Data!D134),AVERAGE(Raw_Data!D$2:D$5002),Raw_Data!D134)</f>
        <v>31974.17</v>
      </c>
      <c r="E134" s="15" t="str">
        <f>IF(ISBLANK(Raw_Data!E134),AVERAGE(Raw_Data!E$2:E$5002),Raw_Data!E134)</f>
        <v>9592.25</v>
      </c>
      <c r="F134" s="15" t="str">
        <f>IF(ISBLANK(Raw_Data!F134),AVERAGE(Raw_Data!F$2:F$5002),Raw_Data!F134)</f>
        <v>807.54</v>
      </c>
      <c r="G134" s="14" t="str">
        <f>IF(ISBLANK(Raw_Data!G134),AVERAGE(Raw_Data!G$2:G$5002),Raw_Data!G134)</f>
        <v>8330.50</v>
      </c>
      <c r="H134" s="15" t="str">
        <f t="shared" si="1"/>
        <v>42374.00</v>
      </c>
      <c r="I134" s="14" t="str">
        <f t="shared" si="2"/>
        <v>34044.00</v>
      </c>
      <c r="J134" s="16" t="str">
        <f>TEXT(Raw_Data!J134,"MMM-YYY")</f>
        <v>Aug-2025</v>
      </c>
      <c r="K134" s="13" t="str">
        <f>Raw_Data!K134</f>
        <v>9</v>
      </c>
      <c r="L134" s="17" t="str">
        <f>Raw_Data!L134</f>
        <v>Pune-West</v>
      </c>
      <c r="M134" s="13" t="str">
        <f t="shared" si="3"/>
        <v>OK</v>
      </c>
      <c r="N134" s="18" t="str">
        <f t="shared" si="4"/>
        <v>VALID</v>
      </c>
    </row>
    <row r="135" ht="15.75" customHeight="1">
      <c r="A135" s="13" t="str">
        <f>Raw_Data!A135</f>
        <v>EMP0136</v>
      </c>
      <c r="B135" s="13" t="str">
        <f>TRIM(CLEAN(Raw_Data!B135))</f>
        <v>HR</v>
      </c>
      <c r="C135" s="18" t="s">
        <v>26</v>
      </c>
      <c r="D135" s="14" t="str">
        <f>IF(ISBLANK(Raw_Data!D135),AVERAGE(Raw_Data!D$2:D$5002),Raw_Data!D135)</f>
        <v>90441.55</v>
      </c>
      <c r="E135" s="15" t="str">
        <f>IF(ISBLANK(Raw_Data!E135),AVERAGE(Raw_Data!E$2:E$5002),Raw_Data!E135)</f>
        <v>27132.47</v>
      </c>
      <c r="F135" s="15" t="str">
        <f>IF(ISBLANK(Raw_Data!F135),AVERAGE(Raw_Data!F$2:F$5002),Raw_Data!F135)</f>
        <v>5143.22</v>
      </c>
      <c r="G135" s="14" t="str">
        <f>IF(ISBLANK(Raw_Data!G135),AVERAGE(Raw_Data!G$2:G$5002),Raw_Data!G135)</f>
        <v>12988.70</v>
      </c>
      <c r="H135" s="15" t="str">
        <f t="shared" si="1"/>
        <v>122717.00</v>
      </c>
      <c r="I135" s="14" t="str">
        <f t="shared" si="2"/>
        <v>109728.00</v>
      </c>
      <c r="J135" s="16" t="str">
        <f>TEXT(Raw_Data!J135,"MMM-YYY")</f>
        <v>Jun-2025</v>
      </c>
      <c r="K135" s="13" t="str">
        <f>Raw_Data!K135</f>
        <v>11</v>
      </c>
      <c r="L135" s="17" t="str">
        <f>Raw_Data!L135</f>
        <v>Hyderabad-South</v>
      </c>
      <c r="M135" s="13" t="str">
        <f t="shared" si="3"/>
        <v>OK</v>
      </c>
      <c r="N135" s="18" t="str">
        <f t="shared" si="4"/>
        <v>VALID</v>
      </c>
    </row>
    <row r="136" ht="15.75" customHeight="1">
      <c r="A136" s="13" t="str">
        <f>Raw_Data!A136</f>
        <v>EMP0137</v>
      </c>
      <c r="B136" s="13" t="str">
        <f>TRIM(CLEAN(Raw_Data!B136))</f>
        <v>Finance</v>
      </c>
      <c r="C136" s="18" t="s">
        <v>14</v>
      </c>
      <c r="D136" s="14" t="str">
        <f>IF(ISBLANK(Raw_Data!D136),AVERAGE(Raw_Data!D$2:D$5002),Raw_Data!D136)</f>
        <v>19817.84</v>
      </c>
      <c r="E136" s="15" t="str">
        <f>IF(ISBLANK(Raw_Data!E136),AVERAGE(Raw_Data!E$2:E$5002),Raw_Data!E136)</f>
        <v>5945.35</v>
      </c>
      <c r="F136" s="15" t="str">
        <f>IF(ISBLANK(Raw_Data!F136),AVERAGE(Raw_Data!F$2:F$5002),Raw_Data!F136)</f>
        <v>3415.50</v>
      </c>
      <c r="G136" s="14" t="str">
        <f>IF(ISBLANK(Raw_Data!G136),AVERAGE(Raw_Data!G$2:G$5002),Raw_Data!G136)</f>
        <v>678.29</v>
      </c>
      <c r="H136" s="15" t="str">
        <f t="shared" si="1"/>
        <v>29179.00</v>
      </c>
      <c r="I136" s="14" t="str">
        <f t="shared" si="2"/>
        <v>28501.00</v>
      </c>
      <c r="J136" s="16" t="str">
        <f>TEXT(Raw_Data!J136,"MMM-YYY")</f>
        <v>Feb-2025</v>
      </c>
      <c r="K136" s="13" t="str">
        <f>Raw_Data!K136</f>
        <v>8</v>
      </c>
      <c r="L136" s="17" t="str">
        <f>Raw_Data!L136</f>
        <v>Chandigarh-North</v>
      </c>
      <c r="M136" s="13" t="str">
        <f t="shared" si="3"/>
        <v>OK</v>
      </c>
      <c r="N136" s="18" t="str">
        <f t="shared" si="4"/>
        <v>VALID</v>
      </c>
    </row>
    <row r="137" ht="15.75" customHeight="1">
      <c r="A137" s="13" t="str">
        <f>Raw_Data!A137</f>
        <v>EMP0138</v>
      </c>
      <c r="B137" s="13" t="str">
        <f>TRIM(CLEAN(Raw_Data!B137))</f>
        <v>Marketing</v>
      </c>
      <c r="C137" s="18" t="s">
        <v>54</v>
      </c>
      <c r="D137" s="14" t="str">
        <f>IF(ISBLANK(Raw_Data!D137),AVERAGE(Raw_Data!D$2:D$5002),Raw_Data!D137)</f>
        <v>36037.15</v>
      </c>
      <c r="E137" s="15" t="str">
        <f>IF(ISBLANK(Raw_Data!E137),AVERAGE(Raw_Data!E$2:E$5002),Raw_Data!E137)</f>
        <v>10811.15</v>
      </c>
      <c r="F137" s="15" t="str">
        <f>IF(ISBLANK(Raw_Data!F137),AVERAGE(Raw_Data!F$2:F$5002),Raw_Data!F137)</f>
        <v>4536.69</v>
      </c>
      <c r="G137" s="14" t="str">
        <f>IF(ISBLANK(Raw_Data!G137),AVERAGE(Raw_Data!G$2:G$5002),Raw_Data!G137)</f>
        <v>579.58</v>
      </c>
      <c r="H137" s="15" t="str">
        <f t="shared" si="1"/>
        <v>51385.00</v>
      </c>
      <c r="I137" s="14" t="str">
        <f t="shared" si="2"/>
        <v>50805.00</v>
      </c>
      <c r="J137" s="16" t="str">
        <f>TEXT(Raw_Data!J137,"MMM-YYY")</f>
        <v>Mar-2025</v>
      </c>
      <c r="K137" s="13" t="str">
        <f>Raw_Data!K137</f>
        <v>19</v>
      </c>
      <c r="L137" s="17" t="str">
        <f>Raw_Data!L137</f>
        <v>Ahmedabad-West</v>
      </c>
      <c r="M137" s="13" t="str">
        <f t="shared" si="3"/>
        <v>OK</v>
      </c>
      <c r="N137" s="18" t="str">
        <f t="shared" si="4"/>
        <v>VALID</v>
      </c>
    </row>
    <row r="138" ht="15.75" customHeight="1">
      <c r="A138" s="13" t="str">
        <f>Raw_Data!A138</f>
        <v>EMP0139</v>
      </c>
      <c r="B138" s="13" t="str">
        <f>TRIM(CLEAN(Raw_Data!B138))</f>
        <v>Customer Support</v>
      </c>
      <c r="C138" s="18" t="s">
        <v>37</v>
      </c>
      <c r="D138" s="14" t="str">
        <f>IF(ISBLANK(Raw_Data!D138),AVERAGE(Raw_Data!D$2:D$5002),Raw_Data!D138)</f>
        <v>62084.26</v>
      </c>
      <c r="E138" s="15" t="str">
        <f>IF(ISBLANK(Raw_Data!E138),AVERAGE(Raw_Data!E$2:E$5002),Raw_Data!E138)</f>
        <v>18625.28</v>
      </c>
      <c r="F138" s="15" t="str">
        <f>IF(ISBLANK(Raw_Data!F138),AVERAGE(Raw_Data!F$2:F$5002),Raw_Data!F138)</f>
        <v>1057.68</v>
      </c>
      <c r="G138" s="14" t="str">
        <f>IF(ISBLANK(Raw_Data!G138),AVERAGE(Raw_Data!G$2:G$5002),Raw_Data!G138)</f>
        <v>4622.63</v>
      </c>
      <c r="H138" s="15" t="str">
        <f t="shared" si="1"/>
        <v>81767.00</v>
      </c>
      <c r="I138" s="14" t="str">
        <f t="shared" si="2"/>
        <v>77144.00</v>
      </c>
      <c r="J138" s="16" t="str">
        <f>TEXT(Raw_Data!J138,"MMM-YYY")</f>
        <v>Sep-2025</v>
      </c>
      <c r="K138" s="13" t="str">
        <f>Raw_Data!K138</f>
        <v>21</v>
      </c>
      <c r="L138" s="17" t="str">
        <f>Raw_Data!L138</f>
        <v>Jaipur-North</v>
      </c>
      <c r="M138" s="13" t="str">
        <f t="shared" si="3"/>
        <v>OK</v>
      </c>
      <c r="N138" s="18" t="str">
        <f t="shared" si="4"/>
        <v>VALID</v>
      </c>
    </row>
    <row r="139" ht="15.75" customHeight="1">
      <c r="A139" s="13" t="str">
        <f>Raw_Data!A139</f>
        <v>EMP0140</v>
      </c>
      <c r="B139" s="13" t="str">
        <f>TRIM(CLEAN(Raw_Data!B139))</f>
        <v>Customer Support</v>
      </c>
      <c r="C139" s="18" t="s">
        <v>54</v>
      </c>
      <c r="D139" s="14" t="str">
        <f>IF(ISBLANK(Raw_Data!D139),AVERAGE(Raw_Data!D$2:D$5002),Raw_Data!D139)</f>
        <v>43488.45</v>
      </c>
      <c r="E139" s="15" t="str">
        <f>IF(ISBLANK(Raw_Data!E139),AVERAGE(Raw_Data!E$2:E$5002),Raw_Data!E139)</f>
        <v>13046.53</v>
      </c>
      <c r="F139" s="15" t="str">
        <f>IF(ISBLANK(Raw_Data!F139),AVERAGE(Raw_Data!F$2:F$5002),Raw_Data!F139)</f>
        <v>6877.62</v>
      </c>
      <c r="G139" s="14" t="str">
        <f>IF(ISBLANK(Raw_Data!G139),AVERAGE(Raw_Data!G$2:G$5002),Raw_Data!G139)</f>
        <v>2944.44</v>
      </c>
      <c r="H139" s="15" t="str">
        <f t="shared" si="1"/>
        <v>63413.00</v>
      </c>
      <c r="I139" s="14" t="str">
        <f t="shared" si="2"/>
        <v>60469.00</v>
      </c>
      <c r="J139" s="16" t="str">
        <f>TEXT(Raw_Data!J139,"MMM-YYY")</f>
        <v>Sep-2025</v>
      </c>
      <c r="K139" s="13" t="str">
        <f>Raw_Data!K139</f>
        <v>2</v>
      </c>
      <c r="L139" s="17" t="str">
        <f>Raw_Data!L139</f>
        <v>Mumbai-HO</v>
      </c>
      <c r="M139" s="13" t="str">
        <f t="shared" si="3"/>
        <v>OK</v>
      </c>
      <c r="N139" s="18" t="str">
        <f t="shared" si="4"/>
        <v>VALID</v>
      </c>
    </row>
    <row r="140" ht="15.75" customHeight="1">
      <c r="A140" s="13" t="str">
        <f>Raw_Data!A140</f>
        <v>EMP0141</v>
      </c>
      <c r="B140" s="13" t="str">
        <f>TRIM(CLEAN(Raw_Data!B140))</f>
        <v>Marketing</v>
      </c>
      <c r="C140" s="18" t="s">
        <v>54</v>
      </c>
      <c r="D140" s="14" t="str">
        <f>IF(ISBLANK(Raw_Data!D140),AVERAGE(Raw_Data!D$2:D$5002),Raw_Data!D140)</f>
        <v>47719.06</v>
      </c>
      <c r="E140" s="15" t="str">
        <f>IF(ISBLANK(Raw_Data!E140),AVERAGE(Raw_Data!E$2:E$5002),Raw_Data!E140)</f>
        <v>14315.72</v>
      </c>
      <c r="F140" s="15" t="str">
        <f>IF(ISBLANK(Raw_Data!F140),AVERAGE(Raw_Data!F$2:F$5002),Raw_Data!F140)</f>
        <v>2837.88</v>
      </c>
      <c r="G140" s="14" t="str">
        <f>IF(ISBLANK(Raw_Data!G140),AVERAGE(Raw_Data!G$2:G$5002),Raw_Data!G140)</f>
        <v>8425.16</v>
      </c>
      <c r="H140" s="15" t="str">
        <f t="shared" si="1"/>
        <v>64873.00</v>
      </c>
      <c r="I140" s="14" t="str">
        <f t="shared" si="2"/>
        <v>56448.00</v>
      </c>
      <c r="J140" s="16" t="str">
        <f>TEXT(Raw_Data!J140,"MMM-YYY")</f>
        <v>Jul-2025</v>
      </c>
      <c r="K140" s="13" t="str">
        <f>Raw_Data!K140</f>
        <v>15</v>
      </c>
      <c r="L140" s="17" t="str">
        <f>Raw_Data!L140</f>
        <v>Delhi-North</v>
      </c>
      <c r="M140" s="13" t="str">
        <f t="shared" si="3"/>
        <v>OK</v>
      </c>
      <c r="N140" s="18" t="str">
        <f t="shared" si="4"/>
        <v>VALID</v>
      </c>
    </row>
    <row r="141" ht="15.75" customHeight="1">
      <c r="A141" s="13" t="str">
        <f>Raw_Data!A141</f>
        <v>EMP0142</v>
      </c>
      <c r="B141" s="13" t="str">
        <f>TRIM(CLEAN(Raw_Data!B141))</f>
        <v>IT</v>
      </c>
      <c r="C141" s="18" t="s">
        <v>37</v>
      </c>
      <c r="D141" s="14" t="str">
        <f>IF(ISBLANK(Raw_Data!D141),AVERAGE(Raw_Data!D$2:D$5002),Raw_Data!D141)</f>
        <v>56178.49</v>
      </c>
      <c r="E141" s="15" t="str">
        <f>IF(ISBLANK(Raw_Data!E141),AVERAGE(Raw_Data!E$2:E$5002),Raw_Data!E141)</f>
        <v>16853.55</v>
      </c>
      <c r="F141" s="15" t="str">
        <f>IF(ISBLANK(Raw_Data!F141),AVERAGE(Raw_Data!F$2:F$5002),Raw_Data!F141)</f>
        <v>6849.63</v>
      </c>
      <c r="G141" s="14" t="str">
        <f>IF(ISBLANK(Raw_Data!G141),AVERAGE(Raw_Data!G$2:G$5002),Raw_Data!G141)</f>
        <v>12473.13</v>
      </c>
      <c r="H141" s="15" t="str">
        <f t="shared" si="1"/>
        <v>79882.00</v>
      </c>
      <c r="I141" s="14" t="str">
        <f t="shared" si="2"/>
        <v>67409.00</v>
      </c>
      <c r="J141" s="16" t="str">
        <f>TEXT(Raw_Data!J141,"MMM-YYY")</f>
        <v>Apr-2025</v>
      </c>
      <c r="K141" s="13" t="str">
        <f>Raw_Data!K141</f>
        <v>17</v>
      </c>
      <c r="L141" s="17" t="str">
        <f>Raw_Data!L141</f>
        <v>Bangalore-South</v>
      </c>
      <c r="M141" s="13" t="str">
        <f t="shared" si="3"/>
        <v>OK</v>
      </c>
      <c r="N141" s="18" t="str">
        <f t="shared" si="4"/>
        <v>VALID</v>
      </c>
    </row>
    <row r="142" ht="15.75" customHeight="1">
      <c r="A142" s="13" t="str">
        <f>Raw_Data!A142</f>
        <v>EMP0143</v>
      </c>
      <c r="B142" s="13" t="str">
        <f>TRIM(CLEAN(Raw_Data!B142))</f>
        <v>Sales</v>
      </c>
      <c r="C142" s="18" t="s">
        <v>30</v>
      </c>
      <c r="D142" s="14" t="str">
        <f>IF(ISBLANK(Raw_Data!D142),AVERAGE(Raw_Data!D$2:D$5002),Raw_Data!D142)</f>
        <v>24328.89</v>
      </c>
      <c r="E142" s="15" t="str">
        <f>IF(ISBLANK(Raw_Data!E142),AVERAGE(Raw_Data!E$2:E$5002),Raw_Data!E142)</f>
        <v>7298.67</v>
      </c>
      <c r="F142" s="15" t="str">
        <f>IF(ISBLANK(Raw_Data!F142),AVERAGE(Raw_Data!F$2:F$5002),Raw_Data!F142)</f>
        <v>395.04</v>
      </c>
      <c r="G142" s="14" t="str">
        <f>IF(ISBLANK(Raw_Data!G142),AVERAGE(Raw_Data!G$2:G$5002),Raw_Data!G142)</f>
        <v>1750.70</v>
      </c>
      <c r="H142" s="15" t="str">
        <f t="shared" si="1"/>
        <v>32023.00</v>
      </c>
      <c r="I142" s="14" t="str">
        <f t="shared" si="2"/>
        <v>30272.00</v>
      </c>
      <c r="J142" s="16" t="str">
        <f>TEXT(Raw_Data!J142,"MMM-YYY")</f>
        <v>Sep-2025</v>
      </c>
      <c r="K142" s="13" t="str">
        <f>Raw_Data!K142</f>
        <v>17</v>
      </c>
      <c r="L142" s="17" t="str">
        <f>Raw_Data!L142</f>
        <v>Chennai-South</v>
      </c>
      <c r="M142" s="13" t="str">
        <f t="shared" si="3"/>
        <v>OK</v>
      </c>
      <c r="N142" s="18" t="str">
        <f t="shared" si="4"/>
        <v>VALID</v>
      </c>
    </row>
    <row r="143" ht="15.75" customHeight="1">
      <c r="A143" s="13" t="str">
        <f>Raw_Data!A143</f>
        <v>EMP0144</v>
      </c>
      <c r="B143" s="13" t="str">
        <f>TRIM(CLEAN(Raw_Data!B143))</f>
        <v>HR</v>
      </c>
      <c r="C143" s="18" t="s">
        <v>30</v>
      </c>
      <c r="D143" s="14" t="str">
        <f>IF(ISBLANK(Raw_Data!D143),AVERAGE(Raw_Data!D$2:D$5002),Raw_Data!D143)</f>
        <v>22023.55</v>
      </c>
      <c r="E143" s="15" t="str">
        <f>IF(ISBLANK(Raw_Data!E143),AVERAGE(Raw_Data!E$2:E$5002),Raw_Data!E143)</f>
        <v>6607.06</v>
      </c>
      <c r="F143" s="15" t="str">
        <f>IF(ISBLANK(Raw_Data!F143),AVERAGE(Raw_Data!F$2:F$5002),Raw_Data!F143)</f>
        <v>1984.34</v>
      </c>
      <c r="G143" s="14" t="str">
        <f>IF(ISBLANK(Raw_Data!G143),AVERAGE(Raw_Data!G$2:G$5002),Raw_Data!G143)</f>
        <v>3923.35</v>
      </c>
      <c r="H143" s="15" t="str">
        <f t="shared" si="1"/>
        <v>30615.00</v>
      </c>
      <c r="I143" s="14" t="str">
        <f t="shared" si="2"/>
        <v>26692.00</v>
      </c>
      <c r="J143" s="16" t="str">
        <f>TEXT(Raw_Data!J143,"MMM-YYY")</f>
        <v>May-2025</v>
      </c>
      <c r="K143" s="13" t="str">
        <f>Raw_Data!K143</f>
        <v>2</v>
      </c>
      <c r="L143" s="17" t="str">
        <f>Raw_Data!L143</f>
        <v>Kolkata-East</v>
      </c>
      <c r="M143" s="13" t="str">
        <f t="shared" si="3"/>
        <v>OK</v>
      </c>
      <c r="N143" s="18" t="str">
        <f t="shared" si="4"/>
        <v>VALID</v>
      </c>
    </row>
    <row r="144" ht="15.75" customHeight="1">
      <c r="A144" s="13" t="str">
        <f>Raw_Data!A144</f>
        <v>EMP0145</v>
      </c>
      <c r="B144" s="13" t="str">
        <f>TRIM(CLEAN(Raw_Data!B144))</f>
        <v>HR</v>
      </c>
      <c r="C144" s="18" t="s">
        <v>30</v>
      </c>
      <c r="D144" s="14" t="str">
        <f>IF(ISBLANK(Raw_Data!D144),AVERAGE(Raw_Data!D$2:D$5002),Raw_Data!D144)</f>
        <v>24535.32</v>
      </c>
      <c r="E144" s="15" t="str">
        <f>IF(ISBLANK(Raw_Data!E144),AVERAGE(Raw_Data!E$2:E$5002),Raw_Data!E144)</f>
        <v>7360.60</v>
      </c>
      <c r="F144" s="15" t="str">
        <f>IF(ISBLANK(Raw_Data!F144),AVERAGE(Raw_Data!F$2:F$5002),Raw_Data!F144)</f>
        <v>1387.32</v>
      </c>
      <c r="G144" s="14" t="str">
        <f>IF(ISBLANK(Raw_Data!G144),AVERAGE(Raw_Data!G$2:G$5002),Raw_Data!G144)</f>
        <v>6327.22</v>
      </c>
      <c r="H144" s="15" t="str">
        <f t="shared" si="1"/>
        <v>33283.00</v>
      </c>
      <c r="I144" s="14" t="str">
        <f t="shared" si="2"/>
        <v>26956.00</v>
      </c>
      <c r="J144" s="16" t="str">
        <f>TEXT(Raw_Data!J144,"MMM-YYY")</f>
        <v>Feb-2025</v>
      </c>
      <c r="K144" s="13" t="str">
        <f>Raw_Data!K144</f>
        <v>13</v>
      </c>
      <c r="L144" s="17" t="str">
        <f>Raw_Data!L144</f>
        <v>Pune-West</v>
      </c>
      <c r="M144" s="13" t="str">
        <f t="shared" si="3"/>
        <v>OK</v>
      </c>
      <c r="N144" s="18" t="str">
        <f t="shared" si="4"/>
        <v>VALID</v>
      </c>
    </row>
    <row r="145" ht="15.75" customHeight="1">
      <c r="A145" s="13" t="str">
        <f>Raw_Data!A145</f>
        <v>EMP0146</v>
      </c>
      <c r="B145" s="13" t="str">
        <f>TRIM(CLEAN(Raw_Data!B145))</f>
        <v>Sales</v>
      </c>
      <c r="C145" s="18" t="s">
        <v>30</v>
      </c>
      <c r="D145" s="14" t="str">
        <f>IF(ISBLANK(Raw_Data!D145),AVERAGE(Raw_Data!D$2:D$5002),Raw_Data!D145)</f>
        <v>30130.42</v>
      </c>
      <c r="E145" s="15" t="str">
        <f>IF(ISBLANK(Raw_Data!E145),AVERAGE(Raw_Data!E$2:E$5002),Raw_Data!E145)</f>
        <v>9039.13</v>
      </c>
      <c r="F145" s="15" t="str">
        <f>IF(ISBLANK(Raw_Data!F145),AVERAGE(Raw_Data!F$2:F$5002),Raw_Data!F145)</f>
        <v>4747.52</v>
      </c>
      <c r="G145" s="14" t="str">
        <f>IF(ISBLANK(Raw_Data!G145),AVERAGE(Raw_Data!G$2:G$5002),Raw_Data!G145)</f>
        <v>5649.98</v>
      </c>
      <c r="H145" s="15" t="str">
        <f t="shared" si="1"/>
        <v>43917.00</v>
      </c>
      <c r="I145" s="14" t="str">
        <f t="shared" si="2"/>
        <v>38267.00</v>
      </c>
      <c r="J145" s="16" t="str">
        <f>TEXT(Raw_Data!J145,"MMM-YYY")</f>
        <v>Nov-2025</v>
      </c>
      <c r="K145" s="13" t="str">
        <f>Raw_Data!K145</f>
        <v>6</v>
      </c>
      <c r="L145" s="17" t="str">
        <f>Raw_Data!L145</f>
        <v>Hyderabad-South</v>
      </c>
      <c r="M145" s="13" t="str">
        <f t="shared" si="3"/>
        <v>OK</v>
      </c>
      <c r="N145" s="18" t="str">
        <f t="shared" si="4"/>
        <v>VALID</v>
      </c>
    </row>
    <row r="146" ht="15.75" customHeight="1">
      <c r="A146" s="13" t="str">
        <f>Raw_Data!A146</f>
        <v>EMP0147</v>
      </c>
      <c r="B146" s="13" t="str">
        <f>TRIM(CLEAN(Raw_Data!B146))</f>
        <v>Customer Support</v>
      </c>
      <c r="C146" s="18" t="s">
        <v>30</v>
      </c>
      <c r="D146" s="14" t="str">
        <f>IF(ISBLANK(Raw_Data!D146),AVERAGE(Raw_Data!D$2:D$5002),Raw_Data!D146)</f>
        <v>25741.22</v>
      </c>
      <c r="E146" s="15" t="str">
        <f>IF(ISBLANK(Raw_Data!E146),AVERAGE(Raw_Data!E$2:E$5002),Raw_Data!E146)</f>
        <v>7722.37</v>
      </c>
      <c r="F146" s="15" t="str">
        <f>IF(ISBLANK(Raw_Data!F146),AVERAGE(Raw_Data!F$2:F$5002),Raw_Data!F146)</f>
        <v>2803.54</v>
      </c>
      <c r="G146" s="14" t="str">
        <f>IF(ISBLANK(Raw_Data!G146),AVERAGE(Raw_Data!G$2:G$5002),Raw_Data!G146)</f>
        <v>5001.27</v>
      </c>
      <c r="H146" s="15" t="str">
        <f t="shared" si="1"/>
        <v>36267.00</v>
      </c>
      <c r="I146" s="14" t="str">
        <f t="shared" si="2"/>
        <v>31266.00</v>
      </c>
      <c r="J146" s="16" t="str">
        <f>TEXT(Raw_Data!J146,"MMM-YYY")</f>
        <v>May-2025</v>
      </c>
      <c r="K146" s="13" t="str">
        <f>Raw_Data!K146</f>
        <v>3</v>
      </c>
      <c r="L146" s="17" t="str">
        <f>Raw_Data!L146</f>
        <v>Chandigarh-North</v>
      </c>
      <c r="M146" s="13" t="str">
        <f t="shared" si="3"/>
        <v>OK</v>
      </c>
      <c r="N146" s="18" t="str">
        <f t="shared" si="4"/>
        <v>VALID</v>
      </c>
    </row>
    <row r="147" ht="15.75" customHeight="1">
      <c r="A147" s="13" t="str">
        <f>Raw_Data!A147</f>
        <v>EMP0148</v>
      </c>
      <c r="B147" s="13" t="str">
        <f>TRIM(CLEAN(Raw_Data!B147))</f>
        <v>Customer Support</v>
      </c>
      <c r="C147" s="18" t="s">
        <v>30</v>
      </c>
      <c r="D147" s="14" t="str">
        <f>IF(ISBLANK(Raw_Data!D147),AVERAGE(Raw_Data!D$2:D$5002),Raw_Data!D147)</f>
        <v>22628.41</v>
      </c>
      <c r="E147" s="15" t="str">
        <f>IF(ISBLANK(Raw_Data!E147),AVERAGE(Raw_Data!E$2:E$5002),Raw_Data!E147)</f>
        <v>6788.52</v>
      </c>
      <c r="F147" s="15" t="str">
        <f>IF(ISBLANK(Raw_Data!F147),AVERAGE(Raw_Data!F$2:F$5002),Raw_Data!F147)</f>
        <v>750.91</v>
      </c>
      <c r="G147" s="14" t="str">
        <f>IF(ISBLANK(Raw_Data!G147),AVERAGE(Raw_Data!G$2:G$5002),Raw_Data!G147)</f>
        <v>2088.23</v>
      </c>
      <c r="H147" s="15" t="str">
        <f t="shared" si="1"/>
        <v>30168.00</v>
      </c>
      <c r="I147" s="14" t="str">
        <f t="shared" si="2"/>
        <v>28080.00</v>
      </c>
      <c r="J147" s="16" t="str">
        <f>TEXT(Raw_Data!J147,"MMM-YYY")</f>
        <v>Dec-2025</v>
      </c>
      <c r="K147" s="13" t="str">
        <f>Raw_Data!K147</f>
        <v>13</v>
      </c>
      <c r="L147" s="17" t="str">
        <f>Raw_Data!L147</f>
        <v>Ahmedabad-West</v>
      </c>
      <c r="M147" s="13" t="str">
        <f t="shared" si="3"/>
        <v>OK</v>
      </c>
      <c r="N147" s="18" t="str">
        <f t="shared" si="4"/>
        <v>VALID</v>
      </c>
    </row>
    <row r="148" ht="15.75" customHeight="1">
      <c r="A148" s="13" t="str">
        <f>Raw_Data!A148</f>
        <v>EMP0149</v>
      </c>
      <c r="B148" s="13" t="str">
        <f>TRIM(CLEAN(Raw_Data!B148))</f>
        <v>Customer Support</v>
      </c>
      <c r="C148" s="18" t="s">
        <v>37</v>
      </c>
      <c r="D148" s="14" t="str">
        <f>IF(ISBLANK(Raw_Data!D148),AVERAGE(Raw_Data!D$2:D$5002),Raw_Data!D148)</f>
        <v>61581.47</v>
      </c>
      <c r="E148" s="15" t="str">
        <f>IF(ISBLANK(Raw_Data!E148),AVERAGE(Raw_Data!E$2:E$5002),Raw_Data!E148)</f>
        <v>18474.44</v>
      </c>
      <c r="F148" s="15" t="str">
        <f>IF(ISBLANK(Raw_Data!F148),AVERAGE(Raw_Data!F$2:F$5002),Raw_Data!F148)</f>
        <v>5408.74</v>
      </c>
      <c r="G148" s="14" t="str">
        <f>IF(ISBLANK(Raw_Data!G148),AVERAGE(Raw_Data!G$2:G$5002),Raw_Data!G148)</f>
        <v>8658.93</v>
      </c>
      <c r="H148" s="15" t="str">
        <f t="shared" si="1"/>
        <v>85465.00</v>
      </c>
      <c r="I148" s="14" t="str">
        <f t="shared" si="2"/>
        <v>76806.00</v>
      </c>
      <c r="J148" s="16" t="str">
        <f>TEXT(Raw_Data!J148,"MMM-YYY")</f>
        <v>May-2025</v>
      </c>
      <c r="K148" s="13" t="str">
        <f>Raw_Data!K148</f>
        <v>1</v>
      </c>
      <c r="L148" s="17" t="str">
        <f>Raw_Data!L148</f>
        <v>Jaipur-North</v>
      </c>
      <c r="M148" s="13" t="str">
        <f t="shared" si="3"/>
        <v>OK</v>
      </c>
      <c r="N148" s="18" t="str">
        <f t="shared" si="4"/>
        <v>VALID</v>
      </c>
    </row>
    <row r="149" ht="15.75" customHeight="1">
      <c r="A149" s="13" t="str">
        <f>Raw_Data!A149</f>
        <v>EMP0150</v>
      </c>
      <c r="B149" s="13" t="str">
        <f>TRIM(CLEAN(Raw_Data!B149))</f>
        <v>Sales</v>
      </c>
      <c r="C149" s="18" t="s">
        <v>54</v>
      </c>
      <c r="D149" s="14" t="str">
        <f>IF(ISBLANK(Raw_Data!D149),AVERAGE(Raw_Data!D$2:D$5002),Raw_Data!D149)</f>
        <v>48197.47</v>
      </c>
      <c r="E149" s="15" t="str">
        <f>IF(ISBLANK(Raw_Data!E149),AVERAGE(Raw_Data!E$2:E$5002),Raw_Data!E149)</f>
        <v>14459.24</v>
      </c>
      <c r="F149" s="15" t="str">
        <f>IF(ISBLANK(Raw_Data!F149),AVERAGE(Raw_Data!F$2:F$5002),Raw_Data!F149)</f>
        <v>4824.30</v>
      </c>
      <c r="G149" s="14" t="str">
        <f>IF(ISBLANK(Raw_Data!G149),AVERAGE(Raw_Data!G$2:G$5002),Raw_Data!G149)</f>
        <v>7139.90</v>
      </c>
      <c r="H149" s="15" t="str">
        <f t="shared" si="1"/>
        <v>67481.00</v>
      </c>
      <c r="I149" s="14" t="str">
        <f t="shared" si="2"/>
        <v>60341.00</v>
      </c>
      <c r="J149" s="16" t="str">
        <f>TEXT(Raw_Data!J149,"MMM-YYY")</f>
        <v>Feb-2025</v>
      </c>
      <c r="K149" s="13" t="str">
        <f>Raw_Data!K149</f>
        <v>18</v>
      </c>
      <c r="L149" s="17" t="str">
        <f>Raw_Data!L149</f>
        <v>Mumbai-HO</v>
      </c>
      <c r="M149" s="13" t="str">
        <f t="shared" si="3"/>
        <v>OK</v>
      </c>
      <c r="N149" s="18" t="str">
        <f t="shared" si="4"/>
        <v>VALID</v>
      </c>
    </row>
    <row r="150" ht="15.75" customHeight="1">
      <c r="A150" s="13" t="str">
        <f>Raw_Data!A150</f>
        <v>EMP0152</v>
      </c>
      <c r="B150" s="13" t="str">
        <f>TRIM(CLEAN(Raw_Data!B150))</f>
        <v>HR</v>
      </c>
      <c r="C150" s="18" t="s">
        <v>30</v>
      </c>
      <c r="D150" s="14" t="str">
        <f>IF(ISBLANK(Raw_Data!D150),AVERAGE(Raw_Data!D$2:D$5002),Raw_Data!D150)</f>
        <v>30464.82</v>
      </c>
      <c r="E150" s="15" t="str">
        <f>IF(ISBLANK(Raw_Data!E150),AVERAGE(Raw_Data!E$2:E$5002),Raw_Data!E150)</f>
        <v>9139.45</v>
      </c>
      <c r="F150" s="15" t="str">
        <f>IF(ISBLANK(Raw_Data!F150),AVERAGE(Raw_Data!F$2:F$5002),Raw_Data!F150)</f>
        <v>5093.47</v>
      </c>
      <c r="G150" s="14" t="str">
        <f>IF(ISBLANK(Raw_Data!G150),AVERAGE(Raw_Data!G$2:G$5002),Raw_Data!G150)</f>
        <v>5257.00</v>
      </c>
      <c r="H150" s="15" t="str">
        <f t="shared" si="1"/>
        <v>44698.00</v>
      </c>
      <c r="I150" s="14" t="str">
        <f t="shared" si="2"/>
        <v>39441.00</v>
      </c>
      <c r="J150" s="16" t="str">
        <f>TEXT(Raw_Data!J150,"MMM-YYY")</f>
        <v>Jan-2025</v>
      </c>
      <c r="K150" s="13" t="str">
        <f>Raw_Data!K150</f>
        <v>24</v>
      </c>
      <c r="L150" s="17" t="str">
        <f>Raw_Data!L150</f>
        <v>Bangalore-South</v>
      </c>
      <c r="M150" s="13" t="str">
        <f t="shared" si="3"/>
        <v>OK</v>
      </c>
      <c r="N150" s="18" t="str">
        <f t="shared" si="4"/>
        <v>VALID</v>
      </c>
    </row>
    <row r="151" ht="15.75" customHeight="1">
      <c r="A151" s="13" t="str">
        <f>Raw_Data!A151</f>
        <v>EMP0153</v>
      </c>
      <c r="B151" s="13" t="str">
        <f>TRIM(CLEAN(Raw_Data!B151))</f>
        <v>Customer Support</v>
      </c>
      <c r="C151" s="18" t="s">
        <v>18</v>
      </c>
      <c r="D151" s="14" t="str">
        <f>IF(ISBLANK(Raw_Data!D151),AVERAGE(Raw_Data!D$2:D$5002),Raw_Data!D151)</f>
        <v>86356.95</v>
      </c>
      <c r="E151" s="15" t="str">
        <f>IF(ISBLANK(Raw_Data!E151),AVERAGE(Raw_Data!E$2:E$5002),Raw_Data!E151)</f>
        <v>25907.08</v>
      </c>
      <c r="F151" s="15" t="str">
        <f>IF(ISBLANK(Raw_Data!F151),AVERAGE(Raw_Data!F$2:F$5002),Raw_Data!F151)</f>
        <v>9952.59</v>
      </c>
      <c r="G151" s="14" t="str">
        <f>IF(ISBLANK(Raw_Data!G151),AVERAGE(Raw_Data!G$2:G$5002),Raw_Data!G151)</f>
        <v>19769.93</v>
      </c>
      <c r="H151" s="15" t="str">
        <f t="shared" si="1"/>
        <v>122217.00</v>
      </c>
      <c r="I151" s="14" t="str">
        <f t="shared" si="2"/>
        <v>102447.00</v>
      </c>
      <c r="J151" s="16" t="str">
        <f>TEXT(Raw_Data!J151,"MMM-YYY")</f>
        <v>Mar-2025</v>
      </c>
      <c r="K151" s="13" t="str">
        <f>Raw_Data!K151</f>
        <v>17</v>
      </c>
      <c r="L151" s="17" t="str">
        <f>Raw_Data!L151</f>
        <v>Chennai-South</v>
      </c>
      <c r="M151" s="13" t="str">
        <f t="shared" si="3"/>
        <v>OK</v>
      </c>
      <c r="N151" s="18" t="str">
        <f t="shared" si="4"/>
        <v>VALID</v>
      </c>
    </row>
    <row r="152" ht="15.75" customHeight="1">
      <c r="A152" s="13" t="str">
        <f>Raw_Data!A152</f>
        <v>EMP0154</v>
      </c>
      <c r="B152" s="13" t="str">
        <f>TRIM(CLEAN(Raw_Data!B152))</f>
        <v>Marketing</v>
      </c>
      <c r="C152" s="18" t="s">
        <v>37</v>
      </c>
      <c r="D152" s="14" t="str">
        <f>IF(ISBLANK(Raw_Data!D152),AVERAGE(Raw_Data!D$2:D$5002),Raw_Data!D152)</f>
        <v>56727.17</v>
      </c>
      <c r="E152" s="15" t="str">
        <f>IF(ISBLANK(Raw_Data!E152),AVERAGE(Raw_Data!E$2:E$5002),Raw_Data!E152)</f>
        <v>17018.15</v>
      </c>
      <c r="F152" s="15" t="str">
        <f>IF(ISBLANK(Raw_Data!F152),AVERAGE(Raw_Data!F$2:F$5002),Raw_Data!F152)</f>
        <v>10393.24</v>
      </c>
      <c r="G152" s="14" t="str">
        <f>IF(ISBLANK(Raw_Data!G152),AVERAGE(Raw_Data!G$2:G$5002),Raw_Data!G152)</f>
        <v>3088.61</v>
      </c>
      <c r="H152" s="15" t="str">
        <f t="shared" si="1"/>
        <v>84139.00</v>
      </c>
      <c r="I152" s="14" t="str">
        <f t="shared" si="2"/>
        <v>81050.00</v>
      </c>
      <c r="J152" s="16" t="str">
        <f>TEXT(Raw_Data!J152,"MMM-YYY")</f>
        <v>Oct-2025</v>
      </c>
      <c r="K152" s="13" t="str">
        <f>Raw_Data!K152</f>
        <v>6</v>
      </c>
      <c r="L152" s="17" t="str">
        <f>Raw_Data!L152</f>
        <v>Kolkata-East</v>
      </c>
      <c r="M152" s="13" t="str">
        <f t="shared" si="3"/>
        <v>OK</v>
      </c>
      <c r="N152" s="18" t="str">
        <f t="shared" si="4"/>
        <v>VALID</v>
      </c>
    </row>
    <row r="153" ht="15.75" customHeight="1">
      <c r="A153" s="13" t="str">
        <f>Raw_Data!A153</f>
        <v>EMP0155</v>
      </c>
      <c r="B153" s="13" t="str">
        <f>TRIM(CLEAN(Raw_Data!B153))</f>
        <v>Marketing</v>
      </c>
      <c r="C153" s="18" t="s">
        <v>18</v>
      </c>
      <c r="D153" s="14" t="str">
        <f>IF(ISBLANK(Raw_Data!D153),AVERAGE(Raw_Data!D$2:D$5002),Raw_Data!D153)</f>
        <v>86170.37</v>
      </c>
      <c r="E153" s="15" t="str">
        <f>IF(ISBLANK(Raw_Data!E153),AVERAGE(Raw_Data!E$2:E$5002),Raw_Data!E153)</f>
        <v>25851.11</v>
      </c>
      <c r="F153" s="15" t="str">
        <f>IF(ISBLANK(Raw_Data!F153),AVERAGE(Raw_Data!F$2:F$5002),Raw_Data!F153)</f>
        <v>16700.77</v>
      </c>
      <c r="G153" s="14" t="str">
        <f>IF(ISBLANK(Raw_Data!G153),AVERAGE(Raw_Data!G$2:G$5002),Raw_Data!G153)</f>
        <v>12150.29</v>
      </c>
      <c r="H153" s="15" t="str">
        <f t="shared" si="1"/>
        <v>128722.00</v>
      </c>
      <c r="I153" s="14" t="str">
        <f t="shared" si="2"/>
        <v>116572.00</v>
      </c>
      <c r="J153" s="16" t="str">
        <f>TEXT(Raw_Data!J153,"MMM-YYY")</f>
        <v>Jul-2025</v>
      </c>
      <c r="K153" s="13" t="str">
        <f>Raw_Data!K153</f>
        <v>9</v>
      </c>
      <c r="L153" s="17" t="str">
        <f>Raw_Data!L153</f>
        <v>Pune-West</v>
      </c>
      <c r="M153" s="13" t="str">
        <f t="shared" si="3"/>
        <v>OK</v>
      </c>
      <c r="N153" s="18" t="str">
        <f t="shared" si="4"/>
        <v>VALID</v>
      </c>
    </row>
    <row r="154" ht="15.75" customHeight="1">
      <c r="A154" s="13" t="str">
        <f>Raw_Data!A154</f>
        <v>EMP0156</v>
      </c>
      <c r="B154" s="13" t="str">
        <f>TRIM(CLEAN(Raw_Data!B154))</f>
        <v>IT</v>
      </c>
      <c r="C154" s="18" t="s">
        <v>33</v>
      </c>
      <c r="D154" s="14" t="str">
        <f>IF(ISBLANK(Raw_Data!D154),AVERAGE(Raw_Data!D$2:D$5002),Raw_Data!D154)</f>
        <v>31701.34</v>
      </c>
      <c r="E154" s="15" t="str">
        <f>IF(ISBLANK(Raw_Data!E154),AVERAGE(Raw_Data!E$2:E$5002),Raw_Data!E154)</f>
        <v>9510.40</v>
      </c>
      <c r="F154" s="15" t="str">
        <f>IF(ISBLANK(Raw_Data!F154),AVERAGE(Raw_Data!F$2:F$5002),Raw_Data!F154)</f>
        <v>5438.26</v>
      </c>
      <c r="G154" s="14" t="str">
        <f>IF(ISBLANK(Raw_Data!G154),AVERAGE(Raw_Data!G$2:G$5002),Raw_Data!G154)</f>
        <v>3136.57</v>
      </c>
      <c r="H154" s="15" t="str">
        <f t="shared" si="1"/>
        <v>46650.00</v>
      </c>
      <c r="I154" s="14" t="str">
        <f t="shared" si="2"/>
        <v>43513.00</v>
      </c>
      <c r="J154" s="16" t="str">
        <f>TEXT(Raw_Data!J154,"MMM-YYY")</f>
        <v>Dec-2025</v>
      </c>
      <c r="K154" s="13" t="str">
        <f>Raw_Data!K154</f>
        <v>11</v>
      </c>
      <c r="L154" s="17" t="str">
        <f>Raw_Data!L154</f>
        <v>Hyderabad-South</v>
      </c>
      <c r="M154" s="13" t="str">
        <f t="shared" si="3"/>
        <v>OK</v>
      </c>
      <c r="N154" s="18" t="str">
        <f t="shared" si="4"/>
        <v>VALID</v>
      </c>
    </row>
    <row r="155" ht="15.75" customHeight="1">
      <c r="A155" s="13" t="str">
        <f>Raw_Data!A155</f>
        <v>EMP0157</v>
      </c>
      <c r="B155" s="13" t="str">
        <f>TRIM(CLEAN(Raw_Data!B155))</f>
        <v>Marketing</v>
      </c>
      <c r="C155" s="18" t="s">
        <v>33</v>
      </c>
      <c r="D155" s="14" t="str">
        <f>IF(ISBLANK(Raw_Data!D155),AVERAGE(Raw_Data!D$2:D$5002),Raw_Data!D155)</f>
        <v>31625.84</v>
      </c>
      <c r="E155" s="15" t="str">
        <f>IF(ISBLANK(Raw_Data!E155),AVERAGE(Raw_Data!E$2:E$5002),Raw_Data!E155)</f>
        <v>9487.75</v>
      </c>
      <c r="F155" s="15" t="str">
        <f>IF(ISBLANK(Raw_Data!F155),AVERAGE(Raw_Data!F$2:F$5002),Raw_Data!F155)</f>
        <v>2532.93</v>
      </c>
      <c r="G155" s="14" t="str">
        <f>IF(ISBLANK(Raw_Data!G155),AVERAGE(Raw_Data!G$2:G$5002),Raw_Data!G155)</f>
        <v>7215.43</v>
      </c>
      <c r="H155" s="15" t="str">
        <f t="shared" si="1"/>
        <v>43647.00</v>
      </c>
      <c r="I155" s="14" t="str">
        <f t="shared" si="2"/>
        <v>36432.00</v>
      </c>
      <c r="J155" s="16" t="str">
        <f>TEXT(Raw_Data!J155,"MMM-YYY")</f>
        <v>Jan-2025</v>
      </c>
      <c r="K155" s="13" t="str">
        <f>Raw_Data!K155</f>
        <v>2</v>
      </c>
      <c r="L155" s="17" t="str">
        <f>Raw_Data!L155</f>
        <v>Chandigarh-North</v>
      </c>
      <c r="M155" s="13" t="str">
        <f t="shared" si="3"/>
        <v>OK</v>
      </c>
      <c r="N155" s="18" t="str">
        <f t="shared" si="4"/>
        <v>VALID</v>
      </c>
    </row>
    <row r="156" ht="15.75" customHeight="1">
      <c r="A156" s="13" t="str">
        <f>Raw_Data!A156</f>
        <v>EMP0158</v>
      </c>
      <c r="B156" s="13" t="str">
        <f>TRIM(CLEAN(Raw_Data!B156))</f>
        <v>Marketing</v>
      </c>
      <c r="C156" s="18" t="s">
        <v>14</v>
      </c>
      <c r="D156" s="14" t="str">
        <f>IF(ISBLANK(Raw_Data!D156),AVERAGE(Raw_Data!D$2:D$5002),Raw_Data!D156)</f>
        <v>20264.52</v>
      </c>
      <c r="E156" s="15" t="str">
        <f>IF(ISBLANK(Raw_Data!E156),AVERAGE(Raw_Data!E$2:E$5002),Raw_Data!E156)</f>
        <v>6079.36</v>
      </c>
      <c r="F156" s="15" t="str">
        <f>IF(ISBLANK(Raw_Data!F156),AVERAGE(Raw_Data!F$2:F$5002),Raw_Data!F156)</f>
        <v>1310.20</v>
      </c>
      <c r="G156" s="14" t="str">
        <f>IF(ISBLANK(Raw_Data!G156),AVERAGE(Raw_Data!G$2:G$5002),Raw_Data!G156)</f>
        <v>5898.10</v>
      </c>
      <c r="H156" s="15" t="str">
        <f t="shared" si="1"/>
        <v>27654.00</v>
      </c>
      <c r="I156" s="14" t="str">
        <f t="shared" si="2"/>
        <v>21756.00</v>
      </c>
      <c r="J156" s="16" t="str">
        <f>TEXT(Raw_Data!J156,"MMM-YYY")</f>
        <v>Jul-2025</v>
      </c>
      <c r="K156" s="13" t="str">
        <f>Raw_Data!K156</f>
        <v>16</v>
      </c>
      <c r="L156" s="17" t="str">
        <f>Raw_Data!L156</f>
        <v>Ahmedabad-West</v>
      </c>
      <c r="M156" s="13" t="str">
        <f t="shared" si="3"/>
        <v>OK</v>
      </c>
      <c r="N156" s="18" t="str">
        <f t="shared" si="4"/>
        <v>VALID</v>
      </c>
    </row>
    <row r="157" ht="15.75" customHeight="1">
      <c r="A157" s="13" t="str">
        <f>Raw_Data!A157</f>
        <v>EMP0159</v>
      </c>
      <c r="B157" s="13" t="str">
        <f>TRIM(CLEAN(Raw_Data!B157))</f>
        <v>Customer Support</v>
      </c>
      <c r="C157" s="18" t="s">
        <v>37</v>
      </c>
      <c r="D157" s="14" t="str">
        <f>IF(ISBLANK(Raw_Data!D157),AVERAGE(Raw_Data!D$2:D$5002),Raw_Data!D157)</f>
        <v>59848.69</v>
      </c>
      <c r="E157" s="15" t="str">
        <f>IF(ISBLANK(Raw_Data!E157),AVERAGE(Raw_Data!E$2:E$5002),Raw_Data!E157)</f>
        <v>17954.61</v>
      </c>
      <c r="F157" s="15" t="str">
        <f>IF(ISBLANK(Raw_Data!F157),AVERAGE(Raw_Data!F$2:F$5002),Raw_Data!F157)</f>
        <v>13.78</v>
      </c>
      <c r="G157" s="14" t="str">
        <f>IF(ISBLANK(Raw_Data!G157),AVERAGE(Raw_Data!G$2:G$5002),Raw_Data!G157)</f>
        <v>15609.15</v>
      </c>
      <c r="H157" s="15" t="str">
        <f t="shared" si="1"/>
        <v>77817.00</v>
      </c>
      <c r="I157" s="14" t="str">
        <f t="shared" si="2"/>
        <v>62208.00</v>
      </c>
      <c r="J157" s="16" t="str">
        <f>TEXT(Raw_Data!J157,"MMM-YYY")</f>
        <v>Aug-2025</v>
      </c>
      <c r="K157" s="13" t="str">
        <f>Raw_Data!K157</f>
        <v>13</v>
      </c>
      <c r="L157" s="17" t="str">
        <f>Raw_Data!L157</f>
        <v>Jaipur-North</v>
      </c>
      <c r="M157" s="13" t="str">
        <f t="shared" si="3"/>
        <v>OK</v>
      </c>
      <c r="N157" s="18" t="str">
        <f t="shared" si="4"/>
        <v>VALID</v>
      </c>
    </row>
    <row r="158" ht="15.75" customHeight="1">
      <c r="A158" s="13" t="str">
        <f>Raw_Data!A158</f>
        <v>EMP0160</v>
      </c>
      <c r="B158" s="13" t="str">
        <f>TRIM(CLEAN(Raw_Data!B158))</f>
        <v>Marketing</v>
      </c>
      <c r="C158" s="18" t="s">
        <v>14</v>
      </c>
      <c r="D158" s="14" t="str">
        <f>IF(ISBLANK(Raw_Data!D158),AVERAGE(Raw_Data!D$2:D$5002),Raw_Data!D158)</f>
        <v>19350.59</v>
      </c>
      <c r="E158" s="15" t="str">
        <f>IF(ISBLANK(Raw_Data!E158),AVERAGE(Raw_Data!E$2:E$5002),Raw_Data!E158)</f>
        <v>5805.18</v>
      </c>
      <c r="F158" s="15" t="str">
        <f>IF(ISBLANK(Raw_Data!F158),AVERAGE(Raw_Data!F$2:F$5002),Raw_Data!F158)</f>
        <v>1400.13</v>
      </c>
      <c r="G158" s="14" t="str">
        <f>IF(ISBLANK(Raw_Data!G158),AVERAGE(Raw_Data!G$2:G$5002),Raw_Data!G158)</f>
        <v>4391.29</v>
      </c>
      <c r="H158" s="15" t="str">
        <f t="shared" si="1"/>
        <v>26556.00</v>
      </c>
      <c r="I158" s="14" t="str">
        <f t="shared" si="2"/>
        <v>22165.00</v>
      </c>
      <c r="J158" s="16" t="str">
        <f>TEXT(Raw_Data!J158,"MMM-YYY")</f>
        <v>Nov-2025</v>
      </c>
      <c r="K158" s="13" t="str">
        <f>Raw_Data!K158</f>
        <v>12</v>
      </c>
      <c r="L158" s="17" t="str">
        <f>Raw_Data!L158</f>
        <v>Mumbai-HO</v>
      </c>
      <c r="M158" s="13" t="str">
        <f t="shared" si="3"/>
        <v>OK</v>
      </c>
      <c r="N158" s="18" t="str">
        <f t="shared" si="4"/>
        <v>VALID</v>
      </c>
    </row>
    <row r="159" ht="15.75" customHeight="1">
      <c r="A159" s="13" t="str">
        <f>Raw_Data!A159</f>
        <v>EMP0161</v>
      </c>
      <c r="B159" s="13" t="str">
        <f>TRIM(CLEAN(Raw_Data!B159))</f>
        <v>Marketing</v>
      </c>
      <c r="C159" s="18" t="s">
        <v>26</v>
      </c>
      <c r="D159" s="14" t="str">
        <f>IF(ISBLANK(Raw_Data!D159),AVERAGE(Raw_Data!D$2:D$5002),Raw_Data!D159)</f>
        <v>91858.02</v>
      </c>
      <c r="E159" s="15" t="str">
        <f>IF(ISBLANK(Raw_Data!E159),AVERAGE(Raw_Data!E$2:E$5002),Raw_Data!E159)</f>
        <v>27557.41</v>
      </c>
      <c r="F159" s="15" t="str">
        <f>IF(ISBLANK(Raw_Data!F159),AVERAGE(Raw_Data!F$2:F$5002),Raw_Data!F159)</f>
        <v>4906.25</v>
      </c>
      <c r="G159" s="14" t="str">
        <f>IF(ISBLANK(Raw_Data!G159),AVERAGE(Raw_Data!G$2:G$5002),Raw_Data!G159)</f>
        <v>3610.38</v>
      </c>
      <c r="H159" s="15" t="str">
        <f t="shared" si="1"/>
        <v>124322.00</v>
      </c>
      <c r="I159" s="14" t="str">
        <f t="shared" si="2"/>
        <v>120712.00</v>
      </c>
      <c r="J159" s="16" t="str">
        <f>TEXT(Raw_Data!J159,"MMM-YYY")</f>
        <v>May-2025</v>
      </c>
      <c r="K159" s="13" t="str">
        <f>Raw_Data!K159</f>
        <v>2</v>
      </c>
      <c r="L159" s="17" t="str">
        <f>Raw_Data!L159</f>
        <v>Delhi-North</v>
      </c>
      <c r="M159" s="13" t="str">
        <f t="shared" si="3"/>
        <v>OK</v>
      </c>
      <c r="N159" s="18" t="str">
        <f t="shared" si="4"/>
        <v>VALID</v>
      </c>
    </row>
    <row r="160" ht="15.75" customHeight="1">
      <c r="A160" s="13" t="str">
        <f>Raw_Data!A160</f>
        <v>EMP0162</v>
      </c>
      <c r="B160" s="13" t="str">
        <f>TRIM(CLEAN(Raw_Data!B160))</f>
        <v>Marketing</v>
      </c>
      <c r="C160" s="18" t="s">
        <v>18</v>
      </c>
      <c r="D160" s="14" t="str">
        <f>IF(ISBLANK(Raw_Data!D160),AVERAGE(Raw_Data!D$2:D$5002),Raw_Data!D160)</f>
        <v>77602.51</v>
      </c>
      <c r="E160" s="15" t="str">
        <f>IF(ISBLANK(Raw_Data!E160),AVERAGE(Raw_Data!E$2:E$5002),Raw_Data!E160)</f>
        <v>23280.75</v>
      </c>
      <c r="F160" s="15" t="str">
        <f>IF(ISBLANK(Raw_Data!F160),AVERAGE(Raw_Data!F$2:F$5002),Raw_Data!F160)</f>
        <v>448.07</v>
      </c>
      <c r="G160" s="14" t="str">
        <f>IF(ISBLANK(Raw_Data!G160),AVERAGE(Raw_Data!G$2:G$5002),Raw_Data!G160)</f>
        <v>14667.39</v>
      </c>
      <c r="H160" s="15" t="str">
        <f t="shared" si="1"/>
        <v>101331.00</v>
      </c>
      <c r="I160" s="14" t="str">
        <f t="shared" si="2"/>
        <v>86664.00</v>
      </c>
      <c r="J160" s="16" t="str">
        <f>TEXT(Raw_Data!J160,"MMM-YYY")</f>
        <v>Apr-2025</v>
      </c>
      <c r="K160" s="13" t="str">
        <f>Raw_Data!K160</f>
        <v>18</v>
      </c>
      <c r="L160" s="17" t="str">
        <f>Raw_Data!L160</f>
        <v>Bangalore-South</v>
      </c>
      <c r="M160" s="13" t="str">
        <f t="shared" si="3"/>
        <v>OK</v>
      </c>
      <c r="N160" s="18" t="str">
        <f t="shared" si="4"/>
        <v>VALID</v>
      </c>
    </row>
    <row r="161" ht="15.75" customHeight="1">
      <c r="A161" s="13" t="str">
        <f>Raw_Data!A161</f>
        <v>EMP0163</v>
      </c>
      <c r="B161" s="13" t="str">
        <f>TRIM(CLEAN(Raw_Data!B161))</f>
        <v>Sales</v>
      </c>
      <c r="C161" s="18" t="s">
        <v>30</v>
      </c>
      <c r="D161" s="14" t="str">
        <f>IF(ISBLANK(Raw_Data!D161),AVERAGE(Raw_Data!D$2:D$5002),Raw_Data!D161)</f>
        <v>24734.60</v>
      </c>
      <c r="E161" s="15" t="str">
        <f>IF(ISBLANK(Raw_Data!E161),AVERAGE(Raw_Data!E$2:E$5002),Raw_Data!E161)</f>
        <v>7420.38</v>
      </c>
      <c r="F161" s="15" t="str">
        <f>IF(ISBLANK(Raw_Data!F161),AVERAGE(Raw_Data!F$2:F$5002),Raw_Data!F161)</f>
        <v>67.65</v>
      </c>
      <c r="G161" s="14" t="str">
        <f>IF(ISBLANK(Raw_Data!G161),AVERAGE(Raw_Data!G$2:G$5002),Raw_Data!G161)</f>
        <v>3027.45</v>
      </c>
      <c r="H161" s="15" t="str">
        <f t="shared" si="1"/>
        <v>32223.00</v>
      </c>
      <c r="I161" s="14" t="str">
        <f t="shared" si="2"/>
        <v>29196.00</v>
      </c>
      <c r="J161" s="16" t="str">
        <f>TEXT(Raw_Data!J161,"MMM-YYY")</f>
        <v>Apr-2025</v>
      </c>
      <c r="K161" s="13" t="str">
        <f>Raw_Data!K161</f>
        <v>13</v>
      </c>
      <c r="L161" s="17" t="str">
        <f>Raw_Data!L161</f>
        <v>Chennai-South</v>
      </c>
      <c r="M161" s="13" t="str">
        <f t="shared" si="3"/>
        <v>OK</v>
      </c>
      <c r="N161" s="18" t="str">
        <f t="shared" si="4"/>
        <v>VALID</v>
      </c>
    </row>
    <row r="162" ht="15.75" customHeight="1">
      <c r="A162" s="13" t="str">
        <f>Raw_Data!A162</f>
        <v>EMP0164</v>
      </c>
      <c r="B162" s="13" t="str">
        <f>TRIM(CLEAN(Raw_Data!B162))</f>
        <v>Customer Support</v>
      </c>
      <c r="C162" s="18" t="s">
        <v>14</v>
      </c>
      <c r="D162" s="14" t="str">
        <f>IF(ISBLANK(Raw_Data!D162),AVERAGE(Raw_Data!D$2:D$5002),Raw_Data!D162)</f>
        <v>21322.42</v>
      </c>
      <c r="E162" s="15" t="str">
        <f>IF(ISBLANK(Raw_Data!E162),AVERAGE(Raw_Data!E$2:E$5002),Raw_Data!E162)</f>
        <v>6396.73</v>
      </c>
      <c r="F162" s="15" t="str">
        <f>IF(ISBLANK(Raw_Data!F162),AVERAGE(Raw_Data!F$2:F$5002),Raw_Data!F162)</f>
        <v>500.93</v>
      </c>
      <c r="G162" s="14" t="str">
        <f>IF(ISBLANK(Raw_Data!G162),AVERAGE(Raw_Data!G$2:G$5002),Raw_Data!G162)</f>
        <v>5322.99</v>
      </c>
      <c r="H162" s="15" t="str">
        <f t="shared" si="1"/>
        <v>28220.00</v>
      </c>
      <c r="I162" s="14" t="str">
        <f t="shared" si="2"/>
        <v>22897.00</v>
      </c>
      <c r="J162" s="16" t="str">
        <f>TEXT(Raw_Data!J162,"MMM-YYY")</f>
        <v>Aug-2025</v>
      </c>
      <c r="K162" s="13" t="str">
        <f>Raw_Data!K162</f>
        <v>21</v>
      </c>
      <c r="L162" s="17" t="str">
        <f>Raw_Data!L162</f>
        <v>Kolkata-East</v>
      </c>
      <c r="M162" s="13" t="str">
        <f t="shared" si="3"/>
        <v>OK</v>
      </c>
      <c r="N162" s="18" t="str">
        <f t="shared" si="4"/>
        <v>VALID</v>
      </c>
    </row>
    <row r="163" ht="15.75" customHeight="1">
      <c r="A163" s="13" t="str">
        <f>Raw_Data!A163</f>
        <v>EMP0165</v>
      </c>
      <c r="B163" s="13" t="str">
        <f>TRIM(CLEAN(Raw_Data!B163))</f>
        <v>Sales</v>
      </c>
      <c r="C163" s="18" t="s">
        <v>33</v>
      </c>
      <c r="D163" s="14" t="str">
        <f>IF(ISBLANK(Raw_Data!D163),AVERAGE(Raw_Data!D$2:D$5002),Raw_Data!D163)</f>
        <v>30088.72</v>
      </c>
      <c r="E163" s="15" t="str">
        <f>IF(ISBLANK(Raw_Data!E163),AVERAGE(Raw_Data!E$2:E$5002),Raw_Data!E163)</f>
        <v>9026.62</v>
      </c>
      <c r="F163" s="15" t="str">
        <f>IF(ISBLANK(Raw_Data!F163),AVERAGE(Raw_Data!F$2:F$5002),Raw_Data!F163)</f>
        <v>1645.40</v>
      </c>
      <c r="G163" s="14" t="str">
        <f>IF(ISBLANK(Raw_Data!G163),AVERAGE(Raw_Data!G$2:G$5002),Raw_Data!G163)</f>
        <v>7534.73</v>
      </c>
      <c r="H163" s="15" t="str">
        <f t="shared" si="1"/>
        <v>40761.00</v>
      </c>
      <c r="I163" s="14" t="str">
        <f t="shared" si="2"/>
        <v>33226.00</v>
      </c>
      <c r="J163" s="16" t="str">
        <f>TEXT(Raw_Data!J163,"MMM-YYY")</f>
        <v>Aug-2025</v>
      </c>
      <c r="K163" s="13" t="str">
        <f>Raw_Data!K163</f>
        <v>16</v>
      </c>
      <c r="L163" s="17" t="str">
        <f>Raw_Data!L163</f>
        <v>Pune-West</v>
      </c>
      <c r="M163" s="13" t="str">
        <f t="shared" si="3"/>
        <v>OK</v>
      </c>
      <c r="N163" s="18" t="str">
        <f t="shared" si="4"/>
        <v>VALID</v>
      </c>
    </row>
    <row r="164" ht="15.75" customHeight="1">
      <c r="A164" s="13" t="str">
        <f>Raw_Data!A164</f>
        <v>EMP0166</v>
      </c>
      <c r="B164" s="13" t="str">
        <f>TRIM(CLEAN(Raw_Data!B164))</f>
        <v>Finance</v>
      </c>
      <c r="C164" s="18" t="s">
        <v>54</v>
      </c>
      <c r="D164" s="14" t="str">
        <f>IF(ISBLANK(Raw_Data!D164),AVERAGE(Raw_Data!D$2:D$5002),Raw_Data!D164)</f>
        <v>42717.71</v>
      </c>
      <c r="E164" s="15" t="str">
        <f>IF(ISBLANK(Raw_Data!E164),AVERAGE(Raw_Data!E$2:E$5002),Raw_Data!E164)</f>
        <v>12815.31</v>
      </c>
      <c r="F164" s="15" t="str">
        <f>IF(ISBLANK(Raw_Data!F164),AVERAGE(Raw_Data!F$2:F$5002),Raw_Data!F164)</f>
        <v>3277.18</v>
      </c>
      <c r="G164" s="14" t="str">
        <f>IF(ISBLANK(Raw_Data!G164),AVERAGE(Raw_Data!G$2:G$5002),Raw_Data!G164)</f>
        <v>11814.03</v>
      </c>
      <c r="H164" s="15" t="str">
        <f t="shared" si="1"/>
        <v>58810.00</v>
      </c>
      <c r="I164" s="14" t="str">
        <f t="shared" si="2"/>
        <v>46996.00</v>
      </c>
      <c r="J164" s="16" t="str">
        <f>TEXT(Raw_Data!J164,"MMM-YYY")</f>
        <v>Sep-2025</v>
      </c>
      <c r="K164" s="13" t="str">
        <f>Raw_Data!K164</f>
        <v>10</v>
      </c>
      <c r="L164" s="17" t="str">
        <f>Raw_Data!L164</f>
        <v>Hyderabad-South</v>
      </c>
      <c r="M164" s="13" t="str">
        <f t="shared" si="3"/>
        <v>OK</v>
      </c>
      <c r="N164" s="18" t="str">
        <f t="shared" si="4"/>
        <v>VALID</v>
      </c>
    </row>
    <row r="165" ht="15.75" customHeight="1">
      <c r="A165" s="13" t="str">
        <f>Raw_Data!A165</f>
        <v>EMP0167</v>
      </c>
      <c r="B165" s="13" t="str">
        <f>TRIM(CLEAN(Raw_Data!B165))</f>
        <v>Sales</v>
      </c>
      <c r="C165" s="18" t="s">
        <v>30</v>
      </c>
      <c r="D165" s="14" t="str">
        <f>IF(ISBLANK(Raw_Data!D165),AVERAGE(Raw_Data!D$2:D$5002),Raw_Data!D165)</f>
        <v>29603.44</v>
      </c>
      <c r="E165" s="15" t="str">
        <f>IF(ISBLANK(Raw_Data!E165),AVERAGE(Raw_Data!E$2:E$5002),Raw_Data!E165)</f>
        <v>8881.03</v>
      </c>
      <c r="F165" s="15" t="str">
        <f>IF(ISBLANK(Raw_Data!F165),AVERAGE(Raw_Data!F$2:F$5002),Raw_Data!F165)</f>
        <v>1635.57</v>
      </c>
      <c r="G165" s="14" t="str">
        <f>IF(ISBLANK(Raw_Data!G165),AVERAGE(Raw_Data!G$2:G$5002),Raw_Data!G165)</f>
        <v>7016.07</v>
      </c>
      <c r="H165" s="15" t="str">
        <f t="shared" si="1"/>
        <v>40120.00</v>
      </c>
      <c r="I165" s="14" t="str">
        <f t="shared" si="2"/>
        <v>33104.00</v>
      </c>
      <c r="J165" s="16" t="str">
        <f>TEXT(Raw_Data!J165,"MMM-YYY")</f>
        <v>Jul-2025</v>
      </c>
      <c r="K165" s="13" t="str">
        <f>Raw_Data!K165</f>
        <v>9</v>
      </c>
      <c r="L165" s="17" t="str">
        <f>Raw_Data!L165</f>
        <v>Chandigarh-North</v>
      </c>
      <c r="M165" s="13" t="str">
        <f t="shared" si="3"/>
        <v>OK</v>
      </c>
      <c r="N165" s="18" t="str">
        <f t="shared" si="4"/>
        <v>VALID</v>
      </c>
    </row>
    <row r="166" ht="15.75" customHeight="1">
      <c r="A166" s="13" t="str">
        <f>Raw_Data!A166</f>
        <v>EMP0168</v>
      </c>
      <c r="B166" s="13" t="str">
        <f>TRIM(CLEAN(Raw_Data!B166))</f>
        <v>IT</v>
      </c>
      <c r="C166" s="18" t="s">
        <v>26</v>
      </c>
      <c r="D166" s="14" t="str">
        <f>IF(ISBLANK(Raw_Data!D166),AVERAGE(Raw_Data!D$2:D$5002),Raw_Data!D166)</f>
        <v>108278.56</v>
      </c>
      <c r="E166" s="15" t="str">
        <f>IF(ISBLANK(Raw_Data!E166),AVERAGE(Raw_Data!E$2:E$5002),Raw_Data!E166)</f>
        <v>32483.57</v>
      </c>
      <c r="F166" s="15" t="str">
        <f>IF(ISBLANK(Raw_Data!F166),AVERAGE(Raw_Data!F$2:F$5002),Raw_Data!F166)</f>
        <v>17769.58</v>
      </c>
      <c r="G166" s="14" t="str">
        <f>IF(ISBLANK(Raw_Data!G166),AVERAGE(Raw_Data!G$2:G$5002),Raw_Data!G166)</f>
        <v>9187.62</v>
      </c>
      <c r="H166" s="15" t="str">
        <f t="shared" si="1"/>
        <v>158532.00</v>
      </c>
      <c r="I166" s="14" t="str">
        <f t="shared" si="2"/>
        <v>149344.00</v>
      </c>
      <c r="J166" s="16" t="str">
        <f>TEXT(Raw_Data!J166,"MMM-YYY")</f>
        <v>May-2025</v>
      </c>
      <c r="K166" s="13" t="str">
        <f>Raw_Data!K166</f>
        <v>6</v>
      </c>
      <c r="L166" s="17" t="str">
        <f>Raw_Data!L166</f>
        <v>Ahmedabad-West</v>
      </c>
      <c r="M166" s="13" t="str">
        <f t="shared" si="3"/>
        <v>OK</v>
      </c>
      <c r="N166" s="18" t="str">
        <f t="shared" si="4"/>
        <v>VALID</v>
      </c>
    </row>
    <row r="167" ht="15.75" customHeight="1">
      <c r="A167" s="13" t="str">
        <f>Raw_Data!A167</f>
        <v>EMP0169</v>
      </c>
      <c r="B167" s="13" t="str">
        <f>TRIM(CLEAN(Raw_Data!B167))</f>
        <v>Customer Support</v>
      </c>
      <c r="C167" s="18" t="s">
        <v>37</v>
      </c>
      <c r="D167" s="14" t="str">
        <f>IF(ISBLANK(Raw_Data!D167),AVERAGE(Raw_Data!D$2:D$5002),Raw_Data!D167)</f>
        <v>55438.62</v>
      </c>
      <c r="E167" s="15" t="str">
        <f>IF(ISBLANK(Raw_Data!E167),AVERAGE(Raw_Data!E$2:E$5002),Raw_Data!E167)</f>
        <v>16631.59</v>
      </c>
      <c r="F167" s="15" t="str">
        <f>IF(ISBLANK(Raw_Data!F167),AVERAGE(Raw_Data!F$2:F$5002),Raw_Data!F167)</f>
        <v>7317.24</v>
      </c>
      <c r="G167" s="14" t="str">
        <f>IF(ISBLANK(Raw_Data!G167),AVERAGE(Raw_Data!G$2:G$5002),Raw_Data!G167)</f>
        <v>14390.66</v>
      </c>
      <c r="H167" s="15" t="str">
        <f t="shared" si="1"/>
        <v>79387.00</v>
      </c>
      <c r="I167" s="14" t="str">
        <f t="shared" si="2"/>
        <v>64996.00</v>
      </c>
      <c r="J167" s="16" t="str">
        <f>TEXT(Raw_Data!J167,"MMM-YYY")</f>
        <v>Aug-2025</v>
      </c>
      <c r="K167" s="13" t="str">
        <f>Raw_Data!K167</f>
        <v>25</v>
      </c>
      <c r="L167" s="17" t="str">
        <f>Raw_Data!L167</f>
        <v>Jaipur-North</v>
      </c>
      <c r="M167" s="13" t="str">
        <f t="shared" si="3"/>
        <v>OK</v>
      </c>
      <c r="N167" s="18" t="str">
        <f t="shared" si="4"/>
        <v>VALID</v>
      </c>
    </row>
    <row r="168" ht="15.75" customHeight="1">
      <c r="A168" s="13" t="str">
        <f>Raw_Data!A168</f>
        <v>EMP0171</v>
      </c>
      <c r="B168" s="13" t="str">
        <f>TRIM(CLEAN(Raw_Data!B168))</f>
        <v>IT</v>
      </c>
      <c r="C168" s="18" t="s">
        <v>26</v>
      </c>
      <c r="D168" s="14" t="str">
        <f>IF(ISBLANK(Raw_Data!D168),AVERAGE(Raw_Data!D$2:D$5002),Raw_Data!D168)</f>
        <v>96791.49</v>
      </c>
      <c r="E168" s="15" t="str">
        <f>IF(ISBLANK(Raw_Data!E168),AVERAGE(Raw_Data!E$2:E$5002),Raw_Data!E168)</f>
        <v>29037.45</v>
      </c>
      <c r="F168" s="15" t="str">
        <f>IF(ISBLANK(Raw_Data!F168),AVERAGE(Raw_Data!F$2:F$5002),Raw_Data!F168)</f>
        <v>13502.38</v>
      </c>
      <c r="G168" s="14" t="str">
        <f>IF(ISBLANK(Raw_Data!G168),AVERAGE(Raw_Data!G$2:G$5002),Raw_Data!G168)</f>
        <v>16603.54</v>
      </c>
      <c r="H168" s="15" t="str">
        <f t="shared" si="1"/>
        <v>139331.00</v>
      </c>
      <c r="I168" s="14" t="str">
        <f t="shared" si="2"/>
        <v>122727.00</v>
      </c>
      <c r="J168" s="16" t="str">
        <f>TEXT(Raw_Data!J168,"MMM-YYY")</f>
        <v>Apr-2025</v>
      </c>
      <c r="K168" s="13" t="str">
        <f>Raw_Data!K168</f>
        <v>9</v>
      </c>
      <c r="L168" s="17" t="str">
        <f>Raw_Data!L168</f>
        <v>Delhi-North</v>
      </c>
      <c r="M168" s="13" t="str">
        <f t="shared" si="3"/>
        <v>OK</v>
      </c>
      <c r="N168" s="18" t="str">
        <f t="shared" si="4"/>
        <v>VALID</v>
      </c>
    </row>
    <row r="169" ht="15.75" customHeight="1">
      <c r="A169" s="13" t="str">
        <f>Raw_Data!A169</f>
        <v>EMP0172</v>
      </c>
      <c r="B169" s="13" t="str">
        <f>TRIM(CLEAN(Raw_Data!B169))</f>
        <v>Customer Support</v>
      </c>
      <c r="C169" s="18" t="s">
        <v>26</v>
      </c>
      <c r="D169" s="14" t="str">
        <f>IF(ISBLANK(Raw_Data!D169),AVERAGE(Raw_Data!D$2:D$5002),Raw_Data!D169)</f>
        <v>104787.90</v>
      </c>
      <c r="E169" s="15" t="str">
        <f>IF(ISBLANK(Raw_Data!E169),AVERAGE(Raw_Data!E$2:E$5002),Raw_Data!E169)</f>
        <v>31436.37</v>
      </c>
      <c r="F169" s="15" t="str">
        <f>IF(ISBLANK(Raw_Data!F169),AVERAGE(Raw_Data!F$2:F$5002),Raw_Data!F169)</f>
        <v>6668.21</v>
      </c>
      <c r="G169" s="14" t="str">
        <f>IF(ISBLANK(Raw_Data!G169),AVERAGE(Raw_Data!G$2:G$5002),Raw_Data!G169)</f>
        <v>14868.66</v>
      </c>
      <c r="H169" s="15" t="str">
        <f t="shared" si="1"/>
        <v>142892.00</v>
      </c>
      <c r="I169" s="14" t="str">
        <f t="shared" si="2"/>
        <v>128023.00</v>
      </c>
      <c r="J169" s="16" t="str">
        <f>TEXT(Raw_Data!J169,"MMM-YYY")</f>
        <v>Jul-2025</v>
      </c>
      <c r="K169" s="13" t="str">
        <f>Raw_Data!K169</f>
        <v>9</v>
      </c>
      <c r="L169" s="17" t="str">
        <f>Raw_Data!L169</f>
        <v>Bangalore-South</v>
      </c>
      <c r="M169" s="13" t="str">
        <f t="shared" si="3"/>
        <v>OK</v>
      </c>
      <c r="N169" s="18" t="str">
        <f t="shared" si="4"/>
        <v>VALID</v>
      </c>
    </row>
    <row r="170" ht="15.75" customHeight="1">
      <c r="A170" s="13" t="str">
        <f>Raw_Data!A170</f>
        <v>EMP0173</v>
      </c>
      <c r="B170" s="13" t="str">
        <f>TRIM(CLEAN(Raw_Data!B170))</f>
        <v>Marketing</v>
      </c>
      <c r="C170" s="18" t="s">
        <v>18</v>
      </c>
      <c r="D170" s="14" t="str">
        <f>IF(ISBLANK(Raw_Data!D170),AVERAGE(Raw_Data!D$2:D$5002),Raw_Data!D170)</f>
        <v>85602.24</v>
      </c>
      <c r="E170" s="15" t="str">
        <f>IF(ISBLANK(Raw_Data!E170),AVERAGE(Raw_Data!E$2:E$5002),Raw_Data!E170)</f>
        <v>25680.67</v>
      </c>
      <c r="F170" s="15" t="str">
        <f>IF(ISBLANK(Raw_Data!F170),AVERAGE(Raw_Data!F$2:F$5002),Raw_Data!F170)</f>
        <v>11162.86</v>
      </c>
      <c r="G170" s="14" t="str">
        <f>IF(ISBLANK(Raw_Data!G170),AVERAGE(Raw_Data!G$2:G$5002),Raw_Data!G170)</f>
        <v>3906.17</v>
      </c>
      <c r="H170" s="15" t="str">
        <f t="shared" si="1"/>
        <v>122446.00</v>
      </c>
      <c r="I170" s="14" t="str">
        <f t="shared" si="2"/>
        <v>118540.00</v>
      </c>
      <c r="J170" s="16" t="str">
        <f>TEXT(Raw_Data!J170,"MMM-YYY")</f>
        <v>Jan-2025</v>
      </c>
      <c r="K170" s="13" t="str">
        <f>Raw_Data!K170</f>
        <v>20</v>
      </c>
      <c r="L170" s="17" t="str">
        <f>Raw_Data!L170</f>
        <v>Chennai-South</v>
      </c>
      <c r="M170" s="13" t="str">
        <f t="shared" si="3"/>
        <v>OK</v>
      </c>
      <c r="N170" s="18" t="str">
        <f t="shared" si="4"/>
        <v>VALID</v>
      </c>
    </row>
    <row r="171" ht="15.75" customHeight="1">
      <c r="A171" s="13" t="str">
        <f>Raw_Data!A171</f>
        <v>EMP0174</v>
      </c>
      <c r="B171" s="13" t="str">
        <f>TRIM(CLEAN(Raw_Data!B171))</f>
        <v>Finance</v>
      </c>
      <c r="C171" s="18" t="s">
        <v>37</v>
      </c>
      <c r="D171" s="14" t="str">
        <f>IF(ISBLANK(Raw_Data!D171),AVERAGE(Raw_Data!D$2:D$5002),Raw_Data!D171)</f>
        <v>62376.36</v>
      </c>
      <c r="E171" s="15" t="str">
        <f>IF(ISBLANK(Raw_Data!E171),AVERAGE(Raw_Data!E$2:E$5002),Raw_Data!E171)</f>
        <v>18712.91</v>
      </c>
      <c r="F171" s="15" t="str">
        <f>IF(ISBLANK(Raw_Data!F171),AVERAGE(Raw_Data!F$2:F$5002),Raw_Data!F171)</f>
        <v>4141.72</v>
      </c>
      <c r="G171" s="14" t="str">
        <f>IF(ISBLANK(Raw_Data!G171),AVERAGE(Raw_Data!G$2:G$5002),Raw_Data!G171)</f>
        <v>1878.11</v>
      </c>
      <c r="H171" s="15" t="str">
        <f t="shared" si="1"/>
        <v>85231.00</v>
      </c>
      <c r="I171" s="14" t="str">
        <f t="shared" si="2"/>
        <v>83353.00</v>
      </c>
      <c r="J171" s="16" t="str">
        <f>TEXT(Raw_Data!J171,"MMM-YYY")</f>
        <v>Aug-2025</v>
      </c>
      <c r="K171" s="13" t="str">
        <f>Raw_Data!K171</f>
        <v>25</v>
      </c>
      <c r="L171" s="17" t="str">
        <f>Raw_Data!L171</f>
        <v>Kolkata-East</v>
      </c>
      <c r="M171" s="13" t="str">
        <f t="shared" si="3"/>
        <v>OK</v>
      </c>
      <c r="N171" s="18" t="str">
        <f t="shared" si="4"/>
        <v>VALID</v>
      </c>
    </row>
    <row r="172" ht="15.75" customHeight="1">
      <c r="A172" s="13" t="str">
        <f>Raw_Data!A172</f>
        <v>EMP0175</v>
      </c>
      <c r="B172" s="13" t="str">
        <f>TRIM(CLEAN(Raw_Data!B172))</f>
        <v>HR</v>
      </c>
      <c r="C172" s="18" t="s">
        <v>37</v>
      </c>
      <c r="D172" s="14" t="str">
        <f>IF(ISBLANK(Raw_Data!D172),AVERAGE(Raw_Data!D$2:D$5002),Raw_Data!D172)</f>
        <v>61387.95</v>
      </c>
      <c r="E172" s="15" t="str">
        <f>IF(ISBLANK(Raw_Data!E172),AVERAGE(Raw_Data!E$2:E$5002),Raw_Data!E172)</f>
        <v>18416.38</v>
      </c>
      <c r="F172" s="15" t="str">
        <f>IF(ISBLANK(Raw_Data!F172),AVERAGE(Raw_Data!F$2:F$5002),Raw_Data!F172)</f>
        <v>188.43</v>
      </c>
      <c r="G172" s="14" t="str">
        <f>IF(ISBLANK(Raw_Data!G172),AVERAGE(Raw_Data!G$2:G$5002),Raw_Data!G172)</f>
        <v>2654.82</v>
      </c>
      <c r="H172" s="15" t="str">
        <f t="shared" si="1"/>
        <v>79993.00</v>
      </c>
      <c r="I172" s="14" t="str">
        <f t="shared" si="2"/>
        <v>77338.00</v>
      </c>
      <c r="J172" s="16" t="str">
        <f>TEXT(Raw_Data!J172,"MMM-YYY")</f>
        <v>Nov-2025</v>
      </c>
      <c r="K172" s="13" t="str">
        <f>Raw_Data!K172</f>
        <v>8</v>
      </c>
      <c r="L172" s="17" t="str">
        <f>Raw_Data!L172</f>
        <v>Pune-West</v>
      </c>
      <c r="M172" s="13" t="str">
        <f t="shared" si="3"/>
        <v>OK</v>
      </c>
      <c r="N172" s="18" t="str">
        <f t="shared" si="4"/>
        <v>VALID</v>
      </c>
    </row>
    <row r="173" ht="15.75" customHeight="1">
      <c r="A173" s="13" t="str">
        <f>Raw_Data!A173</f>
        <v>EMP0176</v>
      </c>
      <c r="B173" s="13" t="str">
        <f>TRIM(CLEAN(Raw_Data!B173))</f>
        <v>Finance</v>
      </c>
      <c r="C173" s="18" t="s">
        <v>14</v>
      </c>
      <c r="D173" s="14" t="str">
        <f>IF(ISBLANK(Raw_Data!D173),AVERAGE(Raw_Data!D$2:D$5002),Raw_Data!D173)</f>
        <v>21380.33</v>
      </c>
      <c r="E173" s="15" t="str">
        <f>IF(ISBLANK(Raw_Data!E173),AVERAGE(Raw_Data!E$2:E$5002),Raw_Data!E173)</f>
        <v>6414.10</v>
      </c>
      <c r="F173" s="15" t="str">
        <f>IF(ISBLANK(Raw_Data!F173),AVERAGE(Raw_Data!F$2:F$5002),Raw_Data!F173)</f>
        <v>4144.38</v>
      </c>
      <c r="G173" s="14" t="str">
        <f>IF(ISBLANK(Raw_Data!G173),AVERAGE(Raw_Data!G$2:G$5002),Raw_Data!G173)</f>
        <v>2171.57</v>
      </c>
      <c r="H173" s="15" t="str">
        <f t="shared" si="1"/>
        <v>31939.00</v>
      </c>
      <c r="I173" s="14" t="str">
        <f t="shared" si="2"/>
        <v>29767.00</v>
      </c>
      <c r="J173" s="16" t="str">
        <f>TEXT(Raw_Data!J173,"MMM-YYY")</f>
        <v>Dec-2025</v>
      </c>
      <c r="K173" s="13" t="str">
        <f>Raw_Data!K173</f>
        <v>3</v>
      </c>
      <c r="L173" s="17" t="str">
        <f>Raw_Data!L173</f>
        <v>Hyderabad-South</v>
      </c>
      <c r="M173" s="13" t="str">
        <f t="shared" si="3"/>
        <v>OK</v>
      </c>
      <c r="N173" s="18" t="str">
        <f t="shared" si="4"/>
        <v>VALID</v>
      </c>
    </row>
    <row r="174" ht="15.75" customHeight="1">
      <c r="A174" s="13" t="str">
        <f>Raw_Data!A174</f>
        <v>EMP0177</v>
      </c>
      <c r="B174" s="13" t="str">
        <f>TRIM(CLEAN(Raw_Data!B174))</f>
        <v>Marketing</v>
      </c>
      <c r="C174" s="18" t="s">
        <v>18</v>
      </c>
      <c r="D174" s="14" t="str">
        <f>IF(ISBLANK(Raw_Data!D174),AVERAGE(Raw_Data!D$2:D$5002),Raw_Data!D174)</f>
        <v>67088.20</v>
      </c>
      <c r="E174" s="15" t="str">
        <f>IF(ISBLANK(Raw_Data!E174),AVERAGE(Raw_Data!E$2:E$5002),Raw_Data!E174)</f>
        <v>20126.46</v>
      </c>
      <c r="F174" s="15" t="str">
        <f>IF(ISBLANK(Raw_Data!F174),AVERAGE(Raw_Data!F$2:F$5002),Raw_Data!F174)</f>
        <v>4408.57</v>
      </c>
      <c r="G174" s="14" t="str">
        <f>IF(ISBLANK(Raw_Data!G174),AVERAGE(Raw_Data!G$2:G$5002),Raw_Data!G174)</f>
        <v>13572.43</v>
      </c>
      <c r="H174" s="15" t="str">
        <f t="shared" si="1"/>
        <v>91623.00</v>
      </c>
      <c r="I174" s="14" t="str">
        <f t="shared" si="2"/>
        <v>78051.00</v>
      </c>
      <c r="J174" s="16" t="str">
        <f>TEXT(Raw_Data!J174,"MMM-YYY")</f>
        <v>Sep-2025</v>
      </c>
      <c r="K174" s="13" t="str">
        <f>Raw_Data!K174</f>
        <v>3</v>
      </c>
      <c r="L174" s="17" t="str">
        <f>Raw_Data!L174</f>
        <v>Chandigarh-North</v>
      </c>
      <c r="M174" s="13" t="str">
        <f t="shared" si="3"/>
        <v>OK</v>
      </c>
      <c r="N174" s="18" t="str">
        <f t="shared" si="4"/>
        <v>VALID</v>
      </c>
    </row>
    <row r="175" ht="15.75" customHeight="1">
      <c r="A175" s="13" t="str">
        <f>Raw_Data!A175</f>
        <v>EMP0178</v>
      </c>
      <c r="B175" s="13" t="str">
        <f>TRIM(CLEAN(Raw_Data!B175))</f>
        <v>Marketing</v>
      </c>
      <c r="C175" s="18" t="s">
        <v>33</v>
      </c>
      <c r="D175" s="14" t="str">
        <f>IF(ISBLANK(Raw_Data!D175),AVERAGE(Raw_Data!D$2:D$5002),Raw_Data!D175)</f>
        <v>31267.99</v>
      </c>
      <c r="E175" s="15" t="str">
        <f>IF(ISBLANK(Raw_Data!E175),AVERAGE(Raw_Data!E$2:E$5002),Raw_Data!E175)</f>
        <v>9380.40</v>
      </c>
      <c r="F175" s="15" t="str">
        <f>IF(ISBLANK(Raw_Data!F175),AVERAGE(Raw_Data!F$2:F$5002),Raw_Data!F175)</f>
        <v>5549.68</v>
      </c>
      <c r="G175" s="14" t="str">
        <f>IF(ISBLANK(Raw_Data!G175),AVERAGE(Raw_Data!G$2:G$5002),Raw_Data!G175)</f>
        <v>4577.14</v>
      </c>
      <c r="H175" s="15" t="str">
        <f t="shared" si="1"/>
        <v>46198.00</v>
      </c>
      <c r="I175" s="14" t="str">
        <f t="shared" si="2"/>
        <v>41621.00</v>
      </c>
      <c r="J175" s="16" t="str">
        <f>TEXT(Raw_Data!J175,"MMM-YYY")</f>
        <v>Sep-2025</v>
      </c>
      <c r="K175" s="13" t="str">
        <f>Raw_Data!K175</f>
        <v>23</v>
      </c>
      <c r="L175" s="17" t="str">
        <f>Raw_Data!L175</f>
        <v>Ahmedabad-West</v>
      </c>
      <c r="M175" s="13" t="str">
        <f t="shared" si="3"/>
        <v>OK</v>
      </c>
      <c r="N175" s="18" t="str">
        <f t="shared" si="4"/>
        <v>VALID</v>
      </c>
    </row>
    <row r="176" ht="15.75" customHeight="1">
      <c r="A176" s="13" t="str">
        <f>Raw_Data!A176</f>
        <v>EMP0179</v>
      </c>
      <c r="B176" s="13" t="str">
        <f>TRIM(CLEAN(Raw_Data!B176))</f>
        <v>HR</v>
      </c>
      <c r="C176" s="18" t="s">
        <v>37</v>
      </c>
      <c r="D176" s="14" t="str">
        <f>IF(ISBLANK(Raw_Data!D176),AVERAGE(Raw_Data!D$2:D$5002),Raw_Data!D176)</f>
        <v>46231.57</v>
      </c>
      <c r="E176" s="15" t="str">
        <f>IF(ISBLANK(Raw_Data!E176),AVERAGE(Raw_Data!E$2:E$5002),Raw_Data!E176)</f>
        <v>13869.47</v>
      </c>
      <c r="F176" s="15" t="str">
        <f>IF(ISBLANK(Raw_Data!F176),AVERAGE(Raw_Data!F$2:F$5002),Raw_Data!F176)</f>
        <v>5835.91</v>
      </c>
      <c r="G176" s="14" t="str">
        <f>IF(ISBLANK(Raw_Data!G176),AVERAGE(Raw_Data!G$2:G$5002),Raw_Data!G176)</f>
        <v>12772.80</v>
      </c>
      <c r="H176" s="15" t="str">
        <f t="shared" si="1"/>
        <v>65937.00</v>
      </c>
      <c r="I176" s="14" t="str">
        <f t="shared" si="2"/>
        <v>53164.00</v>
      </c>
      <c r="J176" s="16" t="str">
        <f>TEXT(Raw_Data!J176,"MMM-YYY")</f>
        <v>Apr-2025</v>
      </c>
      <c r="K176" s="13" t="str">
        <f>Raw_Data!K176</f>
        <v>23</v>
      </c>
      <c r="L176" s="17" t="str">
        <f>Raw_Data!L176</f>
        <v>Jaipur-North</v>
      </c>
      <c r="M176" s="13" t="str">
        <f t="shared" si="3"/>
        <v>OK</v>
      </c>
      <c r="N176" s="18" t="str">
        <f t="shared" si="4"/>
        <v>VALID</v>
      </c>
    </row>
    <row r="177" ht="15.75" customHeight="1">
      <c r="A177" s="13" t="str">
        <f>Raw_Data!A177</f>
        <v>EMP0180</v>
      </c>
      <c r="B177" s="13" t="str">
        <f>TRIM(CLEAN(Raw_Data!B177))</f>
        <v>Sales</v>
      </c>
      <c r="C177" s="18" t="s">
        <v>14</v>
      </c>
      <c r="D177" s="14" t="str">
        <f>IF(ISBLANK(Raw_Data!D177),AVERAGE(Raw_Data!D$2:D$5002),Raw_Data!D177)</f>
        <v>21124.59</v>
      </c>
      <c r="E177" s="15" t="str">
        <f>IF(ISBLANK(Raw_Data!E177),AVERAGE(Raw_Data!E$2:E$5002),Raw_Data!E177)</f>
        <v>6337.38</v>
      </c>
      <c r="F177" s="15" t="str">
        <f>IF(ISBLANK(Raw_Data!F177),AVERAGE(Raw_Data!F$2:F$5002),Raw_Data!F177)</f>
        <v>415.91</v>
      </c>
      <c r="G177" s="14" t="str">
        <f>IF(ISBLANK(Raw_Data!G177),AVERAGE(Raw_Data!G$2:G$5002),Raw_Data!G177)</f>
        <v>4016.30</v>
      </c>
      <c r="H177" s="15" t="str">
        <f t="shared" si="1"/>
        <v>27878.00</v>
      </c>
      <c r="I177" s="14" t="str">
        <f t="shared" si="2"/>
        <v>23862.00</v>
      </c>
      <c r="J177" s="16" t="str">
        <f>TEXT(Raw_Data!J177,"MMM-YYY")</f>
        <v>Feb-2025</v>
      </c>
      <c r="K177" s="13" t="str">
        <f>Raw_Data!K177</f>
        <v>18</v>
      </c>
      <c r="L177" s="17" t="str">
        <f>Raw_Data!L177</f>
        <v>Mumbai-HO</v>
      </c>
      <c r="M177" s="13" t="str">
        <f t="shared" si="3"/>
        <v>OK</v>
      </c>
      <c r="N177" s="18" t="str">
        <f t="shared" si="4"/>
        <v>VALID</v>
      </c>
    </row>
    <row r="178" ht="15.75" customHeight="1">
      <c r="A178" s="13" t="str">
        <f>Raw_Data!A178</f>
        <v>EMP0181</v>
      </c>
      <c r="B178" s="13" t="str">
        <f>TRIM(CLEAN(Raw_Data!B178))</f>
        <v>Marketing</v>
      </c>
      <c r="C178" s="18" t="s">
        <v>30</v>
      </c>
      <c r="D178" s="14" t="str">
        <f>IF(ISBLANK(Raw_Data!D178),AVERAGE(Raw_Data!D$2:D$5002),Raw_Data!D178)</f>
        <v>28107.21</v>
      </c>
      <c r="E178" s="15" t="str">
        <f>IF(ISBLANK(Raw_Data!E178),AVERAGE(Raw_Data!E$2:E$5002),Raw_Data!E178)</f>
        <v>8432.16</v>
      </c>
      <c r="F178" s="15" t="str">
        <f>IF(ISBLANK(Raw_Data!F178),AVERAGE(Raw_Data!F$2:F$5002),Raw_Data!F178)</f>
        <v>5078.55</v>
      </c>
      <c r="G178" s="14" t="str">
        <f>IF(ISBLANK(Raw_Data!G178),AVERAGE(Raw_Data!G$2:G$5002),Raw_Data!G178)</f>
        <v>387.80</v>
      </c>
      <c r="H178" s="15" t="str">
        <f t="shared" si="1"/>
        <v>41618.00</v>
      </c>
      <c r="I178" s="14" t="str">
        <f t="shared" si="2"/>
        <v>41230.00</v>
      </c>
      <c r="J178" s="16" t="str">
        <f>TEXT(Raw_Data!J178,"MMM-YYY")</f>
        <v>Jan-2025</v>
      </c>
      <c r="K178" s="13" t="str">
        <f>Raw_Data!K178</f>
        <v>21</v>
      </c>
      <c r="L178" s="17" t="str">
        <f>Raw_Data!L178</f>
        <v>Delhi-North</v>
      </c>
      <c r="M178" s="13" t="str">
        <f t="shared" si="3"/>
        <v>OK</v>
      </c>
      <c r="N178" s="18" t="str">
        <f t="shared" si="4"/>
        <v>VALID</v>
      </c>
    </row>
    <row r="179" ht="15.75" customHeight="1">
      <c r="A179" s="13" t="str">
        <f>Raw_Data!A179</f>
        <v>EMP0183</v>
      </c>
      <c r="B179" s="13" t="str">
        <f>TRIM(CLEAN(Raw_Data!B179))</f>
        <v>Sales</v>
      </c>
      <c r="C179" s="18" t="s">
        <v>26</v>
      </c>
      <c r="D179" s="14" t="str">
        <f>IF(ISBLANK(Raw_Data!D179),AVERAGE(Raw_Data!D$2:D$5002),Raw_Data!D179)</f>
        <v>96482.05</v>
      </c>
      <c r="E179" s="15" t="str">
        <f>IF(ISBLANK(Raw_Data!E179),AVERAGE(Raw_Data!E$2:E$5002),Raw_Data!E179)</f>
        <v>28944.62</v>
      </c>
      <c r="F179" s="15" t="str">
        <f>IF(ISBLANK(Raw_Data!F179),AVERAGE(Raw_Data!F$2:F$5002),Raw_Data!F179)</f>
        <v>3378.21</v>
      </c>
      <c r="G179" s="14" t="str">
        <f>IF(ISBLANK(Raw_Data!G179),AVERAGE(Raw_Data!G$2:G$5002),Raw_Data!G179)</f>
        <v>17641.51</v>
      </c>
      <c r="H179" s="15" t="str">
        <f t="shared" si="1"/>
        <v>128805.00</v>
      </c>
      <c r="I179" s="14" t="str">
        <f t="shared" si="2"/>
        <v>111163.00</v>
      </c>
      <c r="J179" s="16" t="str">
        <f>TEXT(Raw_Data!J179,"MMM-YYY")</f>
        <v>Jul-2025</v>
      </c>
      <c r="K179" s="13" t="str">
        <f>Raw_Data!K179</f>
        <v>19</v>
      </c>
      <c r="L179" s="17" t="str">
        <f>Raw_Data!L179</f>
        <v>Chennai-South</v>
      </c>
      <c r="M179" s="13" t="str">
        <f t="shared" si="3"/>
        <v>OK</v>
      </c>
      <c r="N179" s="18" t="str">
        <f t="shared" si="4"/>
        <v>VALID</v>
      </c>
    </row>
    <row r="180" ht="15.75" customHeight="1">
      <c r="A180" s="13" t="str">
        <f>Raw_Data!A180</f>
        <v>EMP0184</v>
      </c>
      <c r="B180" s="13" t="str">
        <f>TRIM(CLEAN(Raw_Data!B180))</f>
        <v>Operations</v>
      </c>
      <c r="C180" s="18" t="s">
        <v>18</v>
      </c>
      <c r="D180" s="14" t="str">
        <f>IF(ISBLANK(Raw_Data!D180),AVERAGE(Raw_Data!D$2:D$5002),Raw_Data!D180)</f>
        <v>71261.57</v>
      </c>
      <c r="E180" s="15" t="str">
        <f>IF(ISBLANK(Raw_Data!E180),AVERAGE(Raw_Data!E$2:E$5002),Raw_Data!E180)</f>
        <v>21378.47</v>
      </c>
      <c r="F180" s="15" t="str">
        <f>IF(ISBLANK(Raw_Data!F180),AVERAGE(Raw_Data!F$2:F$5002),Raw_Data!F180)</f>
        <v>13009.93</v>
      </c>
      <c r="G180" s="14" t="str">
        <f>IF(ISBLANK(Raw_Data!G180),AVERAGE(Raw_Data!G$2:G$5002),Raw_Data!G180)</f>
        <v>3059.64</v>
      </c>
      <c r="H180" s="15" t="str">
        <f t="shared" si="1"/>
        <v>105650.00</v>
      </c>
      <c r="I180" s="14" t="str">
        <f t="shared" si="2"/>
        <v>102590.00</v>
      </c>
      <c r="J180" s="16" t="str">
        <f>TEXT(Raw_Data!J180,"MMM-YYY")</f>
        <v>Aug-2025</v>
      </c>
      <c r="K180" s="13" t="str">
        <f>Raw_Data!K180</f>
        <v>12</v>
      </c>
      <c r="L180" s="17" t="str">
        <f>Raw_Data!L180</f>
        <v>Kolkata-East</v>
      </c>
      <c r="M180" s="13" t="str">
        <f t="shared" si="3"/>
        <v>OK</v>
      </c>
      <c r="N180" s="18" t="str">
        <f t="shared" si="4"/>
        <v>VALID</v>
      </c>
    </row>
    <row r="181" ht="15.75" customHeight="1">
      <c r="A181" s="13" t="str">
        <f>Raw_Data!A181</f>
        <v>EMP0185</v>
      </c>
      <c r="B181" s="13" t="str">
        <f>TRIM(CLEAN(Raw_Data!B181))</f>
        <v>Sales</v>
      </c>
      <c r="C181" s="18" t="s">
        <v>33</v>
      </c>
      <c r="D181" s="14" t="str">
        <f>IF(ISBLANK(Raw_Data!D181),AVERAGE(Raw_Data!D$2:D$5002),Raw_Data!D181)</f>
        <v>29595.70</v>
      </c>
      <c r="E181" s="15" t="str">
        <f>IF(ISBLANK(Raw_Data!E181),AVERAGE(Raw_Data!E$2:E$5002),Raw_Data!E181)</f>
        <v>8878.71</v>
      </c>
      <c r="F181" s="15" t="str">
        <f>IF(ISBLANK(Raw_Data!F181),AVERAGE(Raw_Data!F$2:F$5002),Raw_Data!F181)</f>
        <v>3947.12</v>
      </c>
      <c r="G181" s="14" t="str">
        <f>IF(ISBLANK(Raw_Data!G181),AVERAGE(Raw_Data!G$2:G$5002),Raw_Data!G181)</f>
        <v>7981.15</v>
      </c>
      <c r="H181" s="15" t="str">
        <f t="shared" si="1"/>
        <v>42422.00</v>
      </c>
      <c r="I181" s="14" t="str">
        <f t="shared" si="2"/>
        <v>34441.00</v>
      </c>
      <c r="J181" s="16" t="str">
        <f>TEXT(Raw_Data!J181,"MMM-YYY")</f>
        <v>Aug-2025</v>
      </c>
      <c r="K181" s="13" t="str">
        <f>Raw_Data!K181</f>
        <v>15</v>
      </c>
      <c r="L181" s="17" t="str">
        <f>Raw_Data!L181</f>
        <v>Pune-West</v>
      </c>
      <c r="M181" s="13" t="str">
        <f t="shared" si="3"/>
        <v>OK</v>
      </c>
      <c r="N181" s="18" t="str">
        <f t="shared" si="4"/>
        <v>VALID</v>
      </c>
    </row>
    <row r="182" ht="15.75" customHeight="1">
      <c r="A182" s="13" t="str">
        <f>Raw_Data!A182</f>
        <v>EMP0186</v>
      </c>
      <c r="B182" s="13" t="str">
        <f>TRIM(CLEAN(Raw_Data!B182))</f>
        <v>IT</v>
      </c>
      <c r="C182" s="18" t="s">
        <v>18</v>
      </c>
      <c r="D182" s="14" t="str">
        <f>IF(ISBLANK(Raw_Data!D182),AVERAGE(Raw_Data!D$2:D$5002),Raw_Data!D182)</f>
        <v>79211.55</v>
      </c>
      <c r="E182" s="15" t="str">
        <f>IF(ISBLANK(Raw_Data!E182),AVERAGE(Raw_Data!E$2:E$5002),Raw_Data!E182)</f>
        <v>23763.47</v>
      </c>
      <c r="F182" s="15" t="str">
        <f>IF(ISBLANK(Raw_Data!F182),AVERAGE(Raw_Data!F$2:F$5002),Raw_Data!F182)</f>
        <v>1170.14</v>
      </c>
      <c r="G182" s="14" t="str">
        <f>IF(ISBLANK(Raw_Data!G182),AVERAGE(Raw_Data!G$2:G$5002),Raw_Data!G182)</f>
        <v>22462.07</v>
      </c>
      <c r="H182" s="15" t="str">
        <f t="shared" si="1"/>
        <v>104145.00</v>
      </c>
      <c r="I182" s="14" t="str">
        <f t="shared" si="2"/>
        <v>81683.00</v>
      </c>
      <c r="J182" s="16" t="str">
        <f>TEXT(Raw_Data!J182,"MMM-YYY")</f>
        <v>Oct-2025</v>
      </c>
      <c r="K182" s="13" t="str">
        <f>Raw_Data!K182</f>
        <v>22</v>
      </c>
      <c r="L182" s="17" t="str">
        <f>Raw_Data!L182</f>
        <v>Hyderabad-South</v>
      </c>
      <c r="M182" s="13" t="str">
        <f t="shared" si="3"/>
        <v>OK</v>
      </c>
      <c r="N182" s="18" t="str">
        <f t="shared" si="4"/>
        <v>VALID</v>
      </c>
    </row>
    <row r="183" ht="15.75" customHeight="1">
      <c r="A183" s="13" t="str">
        <f>Raw_Data!A183</f>
        <v>EMP0187</v>
      </c>
      <c r="B183" s="13" t="str">
        <f>TRIM(CLEAN(Raw_Data!B183))</f>
        <v>IT</v>
      </c>
      <c r="C183" s="18" t="s">
        <v>18</v>
      </c>
      <c r="D183" s="14" t="str">
        <f>IF(ISBLANK(Raw_Data!D183),AVERAGE(Raw_Data!D$2:D$5002),Raw_Data!D183)</f>
        <v>90012.76</v>
      </c>
      <c r="E183" s="15" t="str">
        <f>IF(ISBLANK(Raw_Data!E183),AVERAGE(Raw_Data!E$2:E$5002),Raw_Data!E183)</f>
        <v>27003.83</v>
      </c>
      <c r="F183" s="15" t="str">
        <f>IF(ISBLANK(Raw_Data!F183),AVERAGE(Raw_Data!F$2:F$5002),Raw_Data!F183)</f>
        <v>12427.40</v>
      </c>
      <c r="G183" s="14" t="str">
        <f>IF(ISBLANK(Raw_Data!G183),AVERAGE(Raw_Data!G$2:G$5002),Raw_Data!G183)</f>
        <v>12336.32</v>
      </c>
      <c r="H183" s="15" t="str">
        <f t="shared" si="1"/>
        <v>129444.00</v>
      </c>
      <c r="I183" s="14" t="str">
        <f t="shared" si="2"/>
        <v>117108.00</v>
      </c>
      <c r="J183" s="16" t="str">
        <f>TEXT(Raw_Data!J183,"MMM-YYY")</f>
        <v>May-2025</v>
      </c>
      <c r="K183" s="13" t="str">
        <f>Raw_Data!K183</f>
        <v>18</v>
      </c>
      <c r="L183" s="17" t="str">
        <f>Raw_Data!L183</f>
        <v>Chandigarh-North</v>
      </c>
      <c r="M183" s="13" t="str">
        <f t="shared" si="3"/>
        <v>OK</v>
      </c>
      <c r="N183" s="18" t="str">
        <f t="shared" si="4"/>
        <v>VALID</v>
      </c>
    </row>
    <row r="184" ht="15.75" customHeight="1">
      <c r="A184" s="13" t="str">
        <f>Raw_Data!A184</f>
        <v>EMP0188</v>
      </c>
      <c r="B184" s="13" t="str">
        <f>TRIM(CLEAN(Raw_Data!B184))</f>
        <v>Finance</v>
      </c>
      <c r="C184" s="18" t="s">
        <v>54</v>
      </c>
      <c r="D184" s="14" t="str">
        <f>IF(ISBLANK(Raw_Data!D184),AVERAGE(Raw_Data!D$2:D$5002),Raw_Data!D184)</f>
        <v>46946.70</v>
      </c>
      <c r="E184" s="15" t="str">
        <f>IF(ISBLANK(Raw_Data!E184),AVERAGE(Raw_Data!E$2:E$5002),Raw_Data!E184)</f>
        <v>14084.01</v>
      </c>
      <c r="F184" s="15" t="str">
        <f>IF(ISBLANK(Raw_Data!F184),AVERAGE(Raw_Data!F$2:F$5002),Raw_Data!F184)</f>
        <v>1001.40</v>
      </c>
      <c r="G184" s="14" t="str">
        <f>IF(ISBLANK(Raw_Data!G184),AVERAGE(Raw_Data!G$2:G$5002),Raw_Data!G184)</f>
        <v>5371.14</v>
      </c>
      <c r="H184" s="15" t="str">
        <f t="shared" si="1"/>
        <v>62032.00</v>
      </c>
      <c r="I184" s="14" t="str">
        <f t="shared" si="2"/>
        <v>56661.00</v>
      </c>
      <c r="J184" s="16" t="str">
        <f>TEXT(Raw_Data!J184,"MMM-YYY")</f>
        <v>Jun-2025</v>
      </c>
      <c r="K184" s="13" t="str">
        <f>Raw_Data!K184</f>
        <v>3</v>
      </c>
      <c r="L184" s="17" t="str">
        <f>Raw_Data!L184</f>
        <v>Ahmedabad-West</v>
      </c>
      <c r="M184" s="13" t="str">
        <f t="shared" si="3"/>
        <v>OK</v>
      </c>
      <c r="N184" s="18" t="str">
        <f t="shared" si="4"/>
        <v>VALID</v>
      </c>
    </row>
    <row r="185" ht="15.75" customHeight="1">
      <c r="A185" s="13" t="str">
        <f>Raw_Data!A185</f>
        <v>EMP0189</v>
      </c>
      <c r="B185" s="13" t="str">
        <f>TRIM(CLEAN(Raw_Data!B185))</f>
        <v>Operations</v>
      </c>
      <c r="C185" s="18" t="s">
        <v>33</v>
      </c>
      <c r="D185" s="14" t="str">
        <f>IF(ISBLANK(Raw_Data!D185),AVERAGE(Raw_Data!D$2:D$5002),Raw_Data!D185)</f>
        <v>34926.92</v>
      </c>
      <c r="E185" s="15" t="str">
        <f>IF(ISBLANK(Raw_Data!E185),AVERAGE(Raw_Data!E$2:E$5002),Raw_Data!E185)</f>
        <v>10478.08</v>
      </c>
      <c r="F185" s="15" t="str">
        <f>IF(ISBLANK(Raw_Data!F185),AVERAGE(Raw_Data!F$2:F$5002),Raw_Data!F185)</f>
        <v>2062.30</v>
      </c>
      <c r="G185" s="14" t="str">
        <f>IF(ISBLANK(Raw_Data!G185),AVERAGE(Raw_Data!G$2:G$5002),Raw_Data!G185)</f>
        <v>14562.73</v>
      </c>
      <c r="H185" s="15" t="str">
        <f t="shared" si="1"/>
        <v>47467.00</v>
      </c>
      <c r="I185" s="14" t="str">
        <f t="shared" si="2"/>
        <v>32904.00</v>
      </c>
      <c r="J185" s="16" t="str">
        <f>TEXT(Raw_Data!J185,"MMM-YYY")</f>
        <v>Nov-2025</v>
      </c>
      <c r="K185" s="13" t="str">
        <f>Raw_Data!K185</f>
        <v>3</v>
      </c>
      <c r="L185" s="17" t="str">
        <f>Raw_Data!L185</f>
        <v>Jaipur-North</v>
      </c>
      <c r="M185" s="13" t="str">
        <f t="shared" si="3"/>
        <v>OK</v>
      </c>
      <c r="N185" s="18" t="str">
        <f t="shared" si="4"/>
        <v>VALID</v>
      </c>
    </row>
    <row r="186" ht="15.75" customHeight="1">
      <c r="A186" s="13" t="str">
        <f>Raw_Data!A186</f>
        <v>EMP0190</v>
      </c>
      <c r="B186" s="13" t="str">
        <f>TRIM(CLEAN(Raw_Data!B186))</f>
        <v>Marketing</v>
      </c>
      <c r="C186" s="18" t="s">
        <v>33</v>
      </c>
      <c r="D186" s="14" t="str">
        <f>IF(ISBLANK(Raw_Data!D186),AVERAGE(Raw_Data!D$2:D$5002),Raw_Data!D186)</f>
        <v>25080.98</v>
      </c>
      <c r="E186" s="15" t="str">
        <f>IF(ISBLANK(Raw_Data!E186),AVERAGE(Raw_Data!E$2:E$5002),Raw_Data!E186)</f>
        <v>7524.29</v>
      </c>
      <c r="F186" s="15" t="str">
        <f>IF(ISBLANK(Raw_Data!F186),AVERAGE(Raw_Data!F$2:F$5002),Raw_Data!F186)</f>
        <v>4339.35</v>
      </c>
      <c r="G186" s="14" t="str">
        <f>IF(ISBLANK(Raw_Data!G186),AVERAGE(Raw_Data!G$2:G$5002),Raw_Data!G186)</f>
        <v>5856.25</v>
      </c>
      <c r="H186" s="15" t="str">
        <f t="shared" si="1"/>
        <v>36945.00</v>
      </c>
      <c r="I186" s="14" t="str">
        <f t="shared" si="2"/>
        <v>31089.00</v>
      </c>
      <c r="J186" s="16" t="str">
        <f>TEXT(Raw_Data!J186,"MMM-YYY")</f>
        <v>Jan-2025</v>
      </c>
      <c r="K186" s="13" t="str">
        <f>Raw_Data!K186</f>
        <v>3</v>
      </c>
      <c r="L186" s="17" t="str">
        <f>Raw_Data!L186</f>
        <v>Mumbai-HO</v>
      </c>
      <c r="M186" s="13" t="str">
        <f t="shared" si="3"/>
        <v>OK</v>
      </c>
      <c r="N186" s="18" t="str">
        <f t="shared" si="4"/>
        <v>VALID</v>
      </c>
    </row>
    <row r="187" ht="15.75" customHeight="1">
      <c r="A187" s="13" t="str">
        <f>Raw_Data!A187</f>
        <v>EMP0191</v>
      </c>
      <c r="B187" s="13" t="str">
        <f>TRIM(CLEAN(Raw_Data!B187))</f>
        <v>Operations</v>
      </c>
      <c r="C187" s="18" t="s">
        <v>18</v>
      </c>
      <c r="D187" s="14" t="str">
        <f>IF(ISBLANK(Raw_Data!D187),AVERAGE(Raw_Data!D$2:D$5002),Raw_Data!D187)</f>
        <v>77914.91</v>
      </c>
      <c r="E187" s="15" t="str">
        <f>IF(ISBLANK(Raw_Data!E187),AVERAGE(Raw_Data!E$2:E$5002),Raw_Data!E187)</f>
        <v>23374.47</v>
      </c>
      <c r="F187" s="15" t="str">
        <f>IF(ISBLANK(Raw_Data!F187),AVERAGE(Raw_Data!F$2:F$5002),Raw_Data!F187)</f>
        <v>14089.44</v>
      </c>
      <c r="G187" s="14" t="str">
        <f>IF(ISBLANK(Raw_Data!G187),AVERAGE(Raw_Data!G$2:G$5002),Raw_Data!G187)</f>
        <v>6689.64</v>
      </c>
      <c r="H187" s="15" t="str">
        <f t="shared" si="1"/>
        <v>115379.00</v>
      </c>
      <c r="I187" s="14" t="str">
        <f t="shared" si="2"/>
        <v>108689.00</v>
      </c>
      <c r="J187" s="16" t="str">
        <f>TEXT(Raw_Data!J187,"MMM-YYY")</f>
        <v>Apr-2025</v>
      </c>
      <c r="K187" s="13" t="str">
        <f>Raw_Data!K187</f>
        <v>18</v>
      </c>
      <c r="L187" s="17" t="str">
        <f>Raw_Data!L187</f>
        <v>Delhi-North</v>
      </c>
      <c r="M187" s="13" t="str">
        <f t="shared" si="3"/>
        <v>OK</v>
      </c>
      <c r="N187" s="18" t="str">
        <f t="shared" si="4"/>
        <v>VALID</v>
      </c>
    </row>
    <row r="188" ht="15.75" customHeight="1">
      <c r="A188" s="13" t="str">
        <f>Raw_Data!A188</f>
        <v>EMP0192</v>
      </c>
      <c r="B188" s="13" t="str">
        <f>TRIM(CLEAN(Raw_Data!B188))</f>
        <v>Operations</v>
      </c>
      <c r="C188" s="18" t="s">
        <v>26</v>
      </c>
      <c r="D188" s="14" t="str">
        <f>IF(ISBLANK(Raw_Data!D188),AVERAGE(Raw_Data!D$2:D$5002),Raw_Data!D188)</f>
        <v>102683.55</v>
      </c>
      <c r="E188" s="15" t="str">
        <f>IF(ISBLANK(Raw_Data!E188),AVERAGE(Raw_Data!E$2:E$5002),Raw_Data!E188)</f>
        <v>30805.06</v>
      </c>
      <c r="F188" s="15" t="str">
        <f>IF(ISBLANK(Raw_Data!F188),AVERAGE(Raw_Data!F$2:F$5002),Raw_Data!F188)</f>
        <v>13074.04</v>
      </c>
      <c r="G188" s="14" t="str">
        <f>IF(ISBLANK(Raw_Data!G188),AVERAGE(Raw_Data!G$2:G$5002),Raw_Data!G188)</f>
        <v>19126.59</v>
      </c>
      <c r="H188" s="15" t="str">
        <f t="shared" si="1"/>
        <v>146563.00</v>
      </c>
      <c r="I188" s="14" t="str">
        <f t="shared" si="2"/>
        <v>127436.00</v>
      </c>
      <c r="J188" s="16" t="str">
        <f>TEXT(Raw_Data!J188,"MMM-YYY")</f>
        <v>Nov-2025</v>
      </c>
      <c r="K188" s="13" t="str">
        <f>Raw_Data!K188</f>
        <v>21</v>
      </c>
      <c r="L188" s="17" t="str">
        <f>Raw_Data!L188</f>
        <v>Bangalore-South</v>
      </c>
      <c r="M188" s="13" t="str">
        <f t="shared" si="3"/>
        <v>OK</v>
      </c>
      <c r="N188" s="18" t="str">
        <f t="shared" si="4"/>
        <v>VALID</v>
      </c>
    </row>
    <row r="189" ht="15.75" customHeight="1">
      <c r="A189" s="13" t="str">
        <f>Raw_Data!A189</f>
        <v>EMP0193</v>
      </c>
      <c r="B189" s="13" t="str">
        <f>TRIM(CLEAN(Raw_Data!B189))</f>
        <v>Customer Support</v>
      </c>
      <c r="C189" s="18" t="s">
        <v>18</v>
      </c>
      <c r="D189" s="14" t="str">
        <f>IF(ISBLANK(Raw_Data!D189),AVERAGE(Raw_Data!D$2:D$5002),Raw_Data!D189)</f>
        <v>84954.24</v>
      </c>
      <c r="E189" s="15" t="str">
        <f>IF(ISBLANK(Raw_Data!E189),AVERAGE(Raw_Data!E$2:E$5002),Raw_Data!E189)</f>
        <v>25486.27</v>
      </c>
      <c r="F189" s="15" t="str">
        <f>IF(ISBLANK(Raw_Data!F189),AVERAGE(Raw_Data!F$2:F$5002),Raw_Data!F189)</f>
        <v>11568.31</v>
      </c>
      <c r="G189" s="14" t="str">
        <f>IF(ISBLANK(Raw_Data!G189),AVERAGE(Raw_Data!G$2:G$5002),Raw_Data!G189)</f>
        <v>3485.99</v>
      </c>
      <c r="H189" s="15" t="str">
        <f t="shared" si="1"/>
        <v>122009.00</v>
      </c>
      <c r="I189" s="14" t="str">
        <f t="shared" si="2"/>
        <v>118523.00</v>
      </c>
      <c r="J189" s="16" t="str">
        <f>TEXT(Raw_Data!J189,"MMM-YYY")</f>
        <v>Feb-2025</v>
      </c>
      <c r="K189" s="13" t="str">
        <f>Raw_Data!K189</f>
        <v>20</v>
      </c>
      <c r="L189" s="17" t="str">
        <f>Raw_Data!L189</f>
        <v>Chennai-South</v>
      </c>
      <c r="M189" s="13" t="str">
        <f t="shared" si="3"/>
        <v>OK</v>
      </c>
      <c r="N189" s="18" t="str">
        <f t="shared" si="4"/>
        <v>VALID</v>
      </c>
    </row>
    <row r="190" ht="15.75" customHeight="1">
      <c r="A190" s="13" t="str">
        <f>Raw_Data!A190</f>
        <v>EMP0194</v>
      </c>
      <c r="B190" s="13" t="str">
        <f>TRIM(CLEAN(Raw_Data!B190))</f>
        <v>Sales</v>
      </c>
      <c r="C190" s="18" t="s">
        <v>18</v>
      </c>
      <c r="D190" s="14" t="str">
        <f>IF(ISBLANK(Raw_Data!D190),AVERAGE(Raw_Data!D$2:D$5002),Raw_Data!D190)</f>
        <v>66024.99</v>
      </c>
      <c r="E190" s="15" t="str">
        <f>IF(ISBLANK(Raw_Data!E190),AVERAGE(Raw_Data!E$2:E$5002),Raw_Data!E190)</f>
        <v>19807.50</v>
      </c>
      <c r="F190" s="15" t="str">
        <f>IF(ISBLANK(Raw_Data!F190),AVERAGE(Raw_Data!F$2:F$5002),Raw_Data!F190)</f>
        <v>10413.60</v>
      </c>
      <c r="G190" s="14" t="str">
        <f>IF(ISBLANK(Raw_Data!G190),AVERAGE(Raw_Data!G$2:G$5002),Raw_Data!G190)</f>
        <v>660.87</v>
      </c>
      <c r="H190" s="15" t="str">
        <f t="shared" si="1"/>
        <v>96246.00</v>
      </c>
      <c r="I190" s="14" t="str">
        <f t="shared" si="2"/>
        <v>95585.00</v>
      </c>
      <c r="J190" s="16" t="str">
        <f>TEXT(Raw_Data!J190,"MMM-YYY")</f>
        <v>Jun-2025</v>
      </c>
      <c r="K190" s="13" t="str">
        <f>Raw_Data!K190</f>
        <v>16</v>
      </c>
      <c r="L190" s="17" t="str">
        <f>Raw_Data!L190</f>
        <v>Kolkata-East</v>
      </c>
      <c r="M190" s="13" t="str">
        <f t="shared" si="3"/>
        <v>OK</v>
      </c>
      <c r="N190" s="18" t="str">
        <f t="shared" si="4"/>
        <v>VALID</v>
      </c>
    </row>
    <row r="191" ht="15.75" customHeight="1">
      <c r="A191" s="13" t="str">
        <f>Raw_Data!A191</f>
        <v>EMP0195</v>
      </c>
      <c r="B191" s="13" t="str">
        <f>TRIM(CLEAN(Raw_Data!B191))</f>
        <v>Sales</v>
      </c>
      <c r="C191" s="18" t="s">
        <v>30</v>
      </c>
      <c r="D191" s="14" t="str">
        <f>IF(ISBLANK(Raw_Data!D191),AVERAGE(Raw_Data!D$2:D$5002),Raw_Data!D191)</f>
        <v>22793.17</v>
      </c>
      <c r="E191" s="15" t="str">
        <f>IF(ISBLANK(Raw_Data!E191),AVERAGE(Raw_Data!E$2:E$5002),Raw_Data!E191)</f>
        <v>6837.95</v>
      </c>
      <c r="F191" s="15" t="str">
        <f>IF(ISBLANK(Raw_Data!F191),AVERAGE(Raw_Data!F$2:F$5002),Raw_Data!F191)</f>
        <v>1345.30</v>
      </c>
      <c r="G191" s="14" t="str">
        <f>IF(ISBLANK(Raw_Data!G191),AVERAGE(Raw_Data!G$2:G$5002),Raw_Data!G191)</f>
        <v>5111.24</v>
      </c>
      <c r="H191" s="15" t="str">
        <f t="shared" si="1"/>
        <v>30976.00</v>
      </c>
      <c r="I191" s="14" t="str">
        <f t="shared" si="2"/>
        <v>25865.00</v>
      </c>
      <c r="J191" s="16" t="str">
        <f>TEXT(Raw_Data!J191,"MMM-YYY")</f>
        <v>Mar-2025</v>
      </c>
      <c r="K191" s="13" t="str">
        <f>Raw_Data!K191</f>
        <v>3</v>
      </c>
      <c r="L191" s="17" t="str">
        <f>Raw_Data!L191</f>
        <v>Pune-West</v>
      </c>
      <c r="M191" s="13" t="str">
        <f t="shared" si="3"/>
        <v>OK</v>
      </c>
      <c r="N191" s="18" t="str">
        <f t="shared" si="4"/>
        <v>VALID</v>
      </c>
    </row>
    <row r="192" ht="15.75" customHeight="1">
      <c r="A192" s="13" t="str">
        <f>Raw_Data!A192</f>
        <v>EMP0196</v>
      </c>
      <c r="B192" s="13" t="str">
        <f>TRIM(CLEAN(Raw_Data!B192))</f>
        <v>Finance</v>
      </c>
      <c r="C192" s="18" t="s">
        <v>30</v>
      </c>
      <c r="D192" s="14" t="str">
        <f>IF(ISBLANK(Raw_Data!D192),AVERAGE(Raw_Data!D$2:D$5002),Raw_Data!D192)</f>
        <v>28921.31</v>
      </c>
      <c r="E192" s="15" t="str">
        <f>IF(ISBLANK(Raw_Data!E192),AVERAGE(Raw_Data!E$2:E$5002),Raw_Data!E192)</f>
        <v>8676.39</v>
      </c>
      <c r="F192" s="15" t="str">
        <f>IF(ISBLANK(Raw_Data!F192),AVERAGE(Raw_Data!F$2:F$5002),Raw_Data!F192)</f>
        <v>5069.68</v>
      </c>
      <c r="G192" s="14" t="str">
        <f>IF(ISBLANK(Raw_Data!G192),AVERAGE(Raw_Data!G$2:G$5002),Raw_Data!G192)</f>
        <v>3174.32</v>
      </c>
      <c r="H192" s="15" t="str">
        <f t="shared" si="1"/>
        <v>42667.00</v>
      </c>
      <c r="I192" s="14" t="str">
        <f t="shared" si="2"/>
        <v>39493.00</v>
      </c>
      <c r="J192" s="16" t="str">
        <f>TEXT(Raw_Data!J192,"MMM-YYY")</f>
        <v>Sep-2025</v>
      </c>
      <c r="K192" s="13" t="str">
        <f>Raw_Data!K192</f>
        <v>23</v>
      </c>
      <c r="L192" s="17" t="str">
        <f>Raw_Data!L192</f>
        <v>Hyderabad-South</v>
      </c>
      <c r="M192" s="13" t="str">
        <f t="shared" si="3"/>
        <v>OK</v>
      </c>
      <c r="N192" s="18" t="str">
        <f t="shared" si="4"/>
        <v>VALID</v>
      </c>
    </row>
    <row r="193" ht="15.75" customHeight="1">
      <c r="A193" s="13" t="str">
        <f>Raw_Data!A193</f>
        <v>EMP0197</v>
      </c>
      <c r="B193" s="13" t="str">
        <f>TRIM(CLEAN(Raw_Data!B193))</f>
        <v>IT</v>
      </c>
      <c r="C193" s="18" t="s">
        <v>26</v>
      </c>
      <c r="D193" s="14" t="str">
        <f>IF(ISBLANK(Raw_Data!D193),AVERAGE(Raw_Data!D$2:D$5002),Raw_Data!D193)</f>
        <v>95923.60</v>
      </c>
      <c r="E193" s="15" t="str">
        <f>IF(ISBLANK(Raw_Data!E193),AVERAGE(Raw_Data!E$2:E$5002),Raw_Data!E193)</f>
        <v>28777.08</v>
      </c>
      <c r="F193" s="15" t="str">
        <f>IF(ISBLANK(Raw_Data!F193),AVERAGE(Raw_Data!F$2:F$5002),Raw_Data!F193)</f>
        <v>17535.77</v>
      </c>
      <c r="G193" s="14" t="str">
        <f>IF(ISBLANK(Raw_Data!G193),AVERAGE(Raw_Data!G$2:G$5002),Raw_Data!G193)</f>
        <v>27170.97</v>
      </c>
      <c r="H193" s="15" t="str">
        <f t="shared" si="1"/>
        <v>142236.00</v>
      </c>
      <c r="I193" s="14" t="str">
        <f t="shared" si="2"/>
        <v>115065.00</v>
      </c>
      <c r="J193" s="16" t="str">
        <f>TEXT(Raw_Data!J193,"MMM-YYY")</f>
        <v>May-2025</v>
      </c>
      <c r="K193" s="13" t="str">
        <f>Raw_Data!K193</f>
        <v>18</v>
      </c>
      <c r="L193" s="17" t="str">
        <f>Raw_Data!L193</f>
        <v>Chandigarh-North</v>
      </c>
      <c r="M193" s="13" t="str">
        <f t="shared" si="3"/>
        <v>OK</v>
      </c>
      <c r="N193" s="18" t="str">
        <f t="shared" si="4"/>
        <v>VALID</v>
      </c>
    </row>
    <row r="194" ht="15.75" customHeight="1">
      <c r="A194" s="13" t="str">
        <f>Raw_Data!A194</f>
        <v>EMP0198</v>
      </c>
      <c r="B194" s="13" t="str">
        <f>TRIM(CLEAN(Raw_Data!B194))</f>
        <v>Sales</v>
      </c>
      <c r="C194" s="18" t="s">
        <v>26</v>
      </c>
      <c r="D194" s="14" t="str">
        <f>IF(ISBLANK(Raw_Data!D194),AVERAGE(Raw_Data!D$2:D$5002),Raw_Data!D194)</f>
        <v>102193.75</v>
      </c>
      <c r="E194" s="15" t="str">
        <f>IF(ISBLANK(Raw_Data!E194),AVERAGE(Raw_Data!E$2:E$5002),Raw_Data!E194)</f>
        <v>30658.12</v>
      </c>
      <c r="F194" s="15" t="str">
        <f>IF(ISBLANK(Raw_Data!F194),AVERAGE(Raw_Data!F$2:F$5002),Raw_Data!F194)</f>
        <v>2353.92</v>
      </c>
      <c r="G194" s="14" t="str">
        <f>IF(ISBLANK(Raw_Data!G194),AVERAGE(Raw_Data!G$2:G$5002),Raw_Data!G194)</f>
        <v>29520.50</v>
      </c>
      <c r="H194" s="15" t="str">
        <f t="shared" si="1"/>
        <v>135206.00</v>
      </c>
      <c r="I194" s="14" t="str">
        <f t="shared" si="2"/>
        <v>105686.00</v>
      </c>
      <c r="J194" s="16" t="str">
        <f>TEXT(Raw_Data!J194,"MMM-YYY")</f>
        <v>Mar-2025</v>
      </c>
      <c r="K194" s="13" t="str">
        <f>Raw_Data!K194</f>
        <v>5</v>
      </c>
      <c r="L194" s="17" t="str">
        <f>Raw_Data!L194</f>
        <v>Ahmedabad-West</v>
      </c>
      <c r="M194" s="13" t="str">
        <f t="shared" si="3"/>
        <v>OK</v>
      </c>
      <c r="N194" s="18" t="str">
        <f t="shared" si="4"/>
        <v>VALID</v>
      </c>
    </row>
    <row r="195" ht="15.75" customHeight="1">
      <c r="A195" s="13" t="str">
        <f>Raw_Data!A195</f>
        <v>EMP0199</v>
      </c>
      <c r="B195" s="13" t="str">
        <f>TRIM(CLEAN(Raw_Data!B195))</f>
        <v>Customer Support</v>
      </c>
      <c r="C195" s="18" t="s">
        <v>30</v>
      </c>
      <c r="D195" s="14" t="str">
        <f>IF(ISBLANK(Raw_Data!D195),AVERAGE(Raw_Data!D$2:D$5002),Raw_Data!D195)</f>
        <v>29569.24</v>
      </c>
      <c r="E195" s="15" t="str">
        <f>IF(ISBLANK(Raw_Data!E195),AVERAGE(Raw_Data!E$2:E$5002),Raw_Data!E195)</f>
        <v>8870.77</v>
      </c>
      <c r="F195" s="15" t="str">
        <f>IF(ISBLANK(Raw_Data!F195),AVERAGE(Raw_Data!F$2:F$5002),Raw_Data!F195)</f>
        <v>4282.91</v>
      </c>
      <c r="G195" s="14" t="str">
        <f>IF(ISBLANK(Raw_Data!G195),AVERAGE(Raw_Data!G$2:G$5002),Raw_Data!G195)</f>
        <v>8692.84</v>
      </c>
      <c r="H195" s="15" t="str">
        <f t="shared" si="1"/>
        <v>42723.00</v>
      </c>
      <c r="I195" s="14" t="str">
        <f t="shared" si="2"/>
        <v>34030.00</v>
      </c>
      <c r="J195" s="16" t="str">
        <f>TEXT(Raw_Data!J195,"MMM-YYY")</f>
        <v>Sep-2025</v>
      </c>
      <c r="K195" s="13" t="str">
        <f>Raw_Data!K195</f>
        <v>25</v>
      </c>
      <c r="L195" s="17" t="str">
        <f>Raw_Data!L195</f>
        <v>Jaipur-North</v>
      </c>
      <c r="M195" s="13" t="str">
        <f t="shared" si="3"/>
        <v>OK</v>
      </c>
      <c r="N195" s="18" t="str">
        <f t="shared" si="4"/>
        <v>VALID</v>
      </c>
    </row>
    <row r="196" ht="15.75" customHeight="1">
      <c r="A196" s="13" t="str">
        <f>Raw_Data!A196</f>
        <v>EMP0200</v>
      </c>
      <c r="B196" s="13" t="str">
        <f>TRIM(CLEAN(Raw_Data!B196))</f>
        <v>IT</v>
      </c>
      <c r="C196" s="18" t="s">
        <v>14</v>
      </c>
      <c r="D196" s="14" t="str">
        <f>IF(ISBLANK(Raw_Data!D196),AVERAGE(Raw_Data!D$2:D$5002),Raw_Data!D196)</f>
        <v>23692.91</v>
      </c>
      <c r="E196" s="15" t="str">
        <f>IF(ISBLANK(Raw_Data!E196),AVERAGE(Raw_Data!E$2:E$5002),Raw_Data!E196)</f>
        <v>7107.87</v>
      </c>
      <c r="F196" s="15" t="str">
        <f>IF(ISBLANK(Raw_Data!F196),AVERAGE(Raw_Data!F$2:F$5002),Raw_Data!F196)</f>
        <v>65.95</v>
      </c>
      <c r="G196" s="14" t="str">
        <f>IF(ISBLANK(Raw_Data!G196),AVERAGE(Raw_Data!G$2:G$5002),Raw_Data!G196)</f>
        <v>3813.89</v>
      </c>
      <c r="H196" s="15" t="str">
        <f t="shared" si="1"/>
        <v>30867.00</v>
      </c>
      <c r="I196" s="14" t="str">
        <f t="shared" si="2"/>
        <v>27053.00</v>
      </c>
      <c r="J196" s="16" t="str">
        <f>TEXT(Raw_Data!J196,"MMM-YYY")</f>
        <v>Aug-2025</v>
      </c>
      <c r="K196" s="13" t="str">
        <f>Raw_Data!K196</f>
        <v>20</v>
      </c>
      <c r="L196" s="17" t="str">
        <f>Raw_Data!L196</f>
        <v>Mumbai-HO</v>
      </c>
      <c r="M196" s="13" t="str">
        <f t="shared" si="3"/>
        <v>OK</v>
      </c>
      <c r="N196" s="18" t="str">
        <f t="shared" si="4"/>
        <v>VALID</v>
      </c>
    </row>
    <row r="197" ht="15.75" customHeight="1">
      <c r="A197" s="13" t="str">
        <f>Raw_Data!A197</f>
        <v>EMP0201</v>
      </c>
      <c r="B197" s="13" t="str">
        <f>TRIM(CLEAN(Raw_Data!B197))</f>
        <v>IT</v>
      </c>
      <c r="C197" s="18" t="s">
        <v>18</v>
      </c>
      <c r="D197" s="14" t="str">
        <f>IF(ISBLANK(Raw_Data!D197),AVERAGE(Raw_Data!D$2:D$5002),Raw_Data!D197)</f>
        <v>84474.30</v>
      </c>
      <c r="E197" s="15" t="str">
        <f>IF(ISBLANK(Raw_Data!E197),AVERAGE(Raw_Data!E$2:E$5002),Raw_Data!E197)</f>
        <v>25342.29</v>
      </c>
      <c r="F197" s="15" t="str">
        <f>IF(ISBLANK(Raw_Data!F197),AVERAGE(Raw_Data!F$2:F$5002),Raw_Data!F197)</f>
        <v>4429.18</v>
      </c>
      <c r="G197" s="14" t="str">
        <f>IF(ISBLANK(Raw_Data!G197),AVERAGE(Raw_Data!G$2:G$5002),Raw_Data!G197)</f>
        <v>9656.06</v>
      </c>
      <c r="H197" s="15" t="str">
        <f t="shared" si="1"/>
        <v>114246.00</v>
      </c>
      <c r="I197" s="14" t="str">
        <f t="shared" si="2"/>
        <v>104590.00</v>
      </c>
      <c r="J197" s="16" t="str">
        <f>TEXT(Raw_Data!J197,"MMM-YYY")</f>
        <v>Nov-2025</v>
      </c>
      <c r="K197" s="13" t="str">
        <f>Raw_Data!K197</f>
        <v>13</v>
      </c>
      <c r="L197" s="17" t="str">
        <f>Raw_Data!L197</f>
        <v>Delhi-North</v>
      </c>
      <c r="M197" s="13" t="str">
        <f t="shared" si="3"/>
        <v>OK</v>
      </c>
      <c r="N197" s="18" t="str">
        <f t="shared" si="4"/>
        <v>VALID</v>
      </c>
    </row>
    <row r="198" ht="15.75" customHeight="1">
      <c r="A198" s="13" t="str">
        <f>Raw_Data!A198</f>
        <v>EMP0202</v>
      </c>
      <c r="B198" s="13" t="str">
        <f>TRIM(CLEAN(Raw_Data!B198))</f>
        <v>IT</v>
      </c>
      <c r="C198" s="18" t="s">
        <v>14</v>
      </c>
      <c r="D198" s="14" t="str">
        <f>IF(ISBLANK(Raw_Data!D198),AVERAGE(Raw_Data!D$2:D$5002),Raw_Data!D198)</f>
        <v>22858.82</v>
      </c>
      <c r="E198" s="15" t="str">
        <f>IF(ISBLANK(Raw_Data!E198),AVERAGE(Raw_Data!E$2:E$5002),Raw_Data!E198)</f>
        <v>6857.65</v>
      </c>
      <c r="F198" s="15" t="str">
        <f>IF(ISBLANK(Raw_Data!F198),AVERAGE(Raw_Data!F$2:F$5002),Raw_Data!F198)</f>
        <v>2155.48</v>
      </c>
      <c r="G198" s="14" t="str">
        <f>IF(ISBLANK(Raw_Data!G198),AVERAGE(Raw_Data!G$2:G$5002),Raw_Data!G198)</f>
        <v>4248.63</v>
      </c>
      <c r="H198" s="15" t="str">
        <f t="shared" si="1"/>
        <v>31872.00</v>
      </c>
      <c r="I198" s="14" t="str">
        <f t="shared" si="2"/>
        <v>27623.00</v>
      </c>
      <c r="J198" s="16" t="str">
        <f>TEXT(Raw_Data!J198,"MMM-YYY")</f>
        <v>Sep-2025</v>
      </c>
      <c r="K198" s="13" t="str">
        <f>Raw_Data!K198</f>
        <v>22</v>
      </c>
      <c r="L198" s="17" t="str">
        <f>Raw_Data!L198</f>
        <v>Bangalore-South</v>
      </c>
      <c r="M198" s="13" t="str">
        <f t="shared" si="3"/>
        <v>OK</v>
      </c>
      <c r="N198" s="18" t="str">
        <f t="shared" si="4"/>
        <v>VALID</v>
      </c>
    </row>
    <row r="199" ht="15.75" customHeight="1">
      <c r="A199" s="13" t="str">
        <f>Raw_Data!A199</f>
        <v>EMP0203</v>
      </c>
      <c r="B199" s="13" t="str">
        <f>TRIM(CLEAN(Raw_Data!B199))</f>
        <v>IT</v>
      </c>
      <c r="C199" s="18" t="s">
        <v>37</v>
      </c>
      <c r="D199" s="14" t="str">
        <f>IF(ISBLANK(Raw_Data!D199),AVERAGE(Raw_Data!D$2:D$5002),Raw_Data!D199)</f>
        <v>48984.61</v>
      </c>
      <c r="E199" s="15" t="str">
        <f>IF(ISBLANK(Raw_Data!E199),AVERAGE(Raw_Data!E$2:E$5002),Raw_Data!E199)</f>
        <v>14695.38</v>
      </c>
      <c r="F199" s="15" t="str">
        <f>IF(ISBLANK(Raw_Data!F199),AVERAGE(Raw_Data!F$2:F$5002),Raw_Data!F199)</f>
        <v>619.33</v>
      </c>
      <c r="G199" s="14" t="str">
        <f>IF(ISBLANK(Raw_Data!G199),AVERAGE(Raw_Data!G$2:G$5002),Raw_Data!G199)</f>
        <v>12106.87</v>
      </c>
      <c r="H199" s="15" t="str">
        <f t="shared" si="1"/>
        <v>64299.00</v>
      </c>
      <c r="I199" s="14" t="str">
        <f t="shared" si="2"/>
        <v>52192.00</v>
      </c>
      <c r="J199" s="16" t="str">
        <f>TEXT(Raw_Data!J199,"MMM-YYY")</f>
        <v>Dec-2025</v>
      </c>
      <c r="K199" s="13" t="str">
        <f>Raw_Data!K199</f>
        <v>20</v>
      </c>
      <c r="L199" s="17" t="str">
        <f>Raw_Data!L199</f>
        <v>Chennai-South</v>
      </c>
      <c r="M199" s="13" t="str">
        <f t="shared" si="3"/>
        <v>OK</v>
      </c>
      <c r="N199" s="18" t="str">
        <f t="shared" si="4"/>
        <v>VALID</v>
      </c>
    </row>
    <row r="200" ht="15.75" customHeight="1">
      <c r="A200" s="13" t="str">
        <f>Raw_Data!A200</f>
        <v>EMP0204</v>
      </c>
      <c r="B200" s="13" t="str">
        <f>TRIM(CLEAN(Raw_Data!B200))</f>
        <v>IT</v>
      </c>
      <c r="C200" s="18" t="s">
        <v>18</v>
      </c>
      <c r="D200" s="14" t="str">
        <f>IF(ISBLANK(Raw_Data!D200),AVERAGE(Raw_Data!D$2:D$5002),Raw_Data!D200)</f>
        <v>75615.69</v>
      </c>
      <c r="E200" s="15" t="str">
        <f>IF(ISBLANK(Raw_Data!E200),AVERAGE(Raw_Data!E$2:E$5002),Raw_Data!E200)</f>
        <v>22684.71</v>
      </c>
      <c r="F200" s="15" t="str">
        <f>IF(ISBLANK(Raw_Data!F200),AVERAGE(Raw_Data!F$2:F$5002),Raw_Data!F200)</f>
        <v>2113.87</v>
      </c>
      <c r="G200" s="14" t="str">
        <f>IF(ISBLANK(Raw_Data!G200),AVERAGE(Raw_Data!G$2:G$5002),Raw_Data!G200)</f>
        <v>21465.67</v>
      </c>
      <c r="H200" s="15" t="str">
        <f t="shared" si="1"/>
        <v>100414.00</v>
      </c>
      <c r="I200" s="14" t="str">
        <f t="shared" si="2"/>
        <v>78948.00</v>
      </c>
      <c r="J200" s="16" t="str">
        <f>TEXT(Raw_Data!J200,"MMM-YYY")</f>
        <v>May-2025</v>
      </c>
      <c r="K200" s="13" t="str">
        <f>Raw_Data!K200</f>
        <v>4</v>
      </c>
      <c r="L200" s="17" t="str">
        <f>Raw_Data!L200</f>
        <v>Kolkata-East</v>
      </c>
      <c r="M200" s="13" t="str">
        <f t="shared" si="3"/>
        <v>OK</v>
      </c>
      <c r="N200" s="18" t="str">
        <f t="shared" si="4"/>
        <v>VALID</v>
      </c>
    </row>
    <row r="201" ht="15.75" customHeight="1">
      <c r="A201" s="13" t="str">
        <f>Raw_Data!A201</f>
        <v>EMP0205</v>
      </c>
      <c r="B201" s="13" t="str">
        <f>TRIM(CLEAN(Raw_Data!B201))</f>
        <v>Marketing</v>
      </c>
      <c r="C201" s="18" t="s">
        <v>14</v>
      </c>
      <c r="D201" s="14" t="str">
        <f>IF(ISBLANK(Raw_Data!D201),AVERAGE(Raw_Data!D$2:D$5002),Raw_Data!D201)</f>
        <v>18699.78</v>
      </c>
      <c r="E201" s="15" t="str">
        <f>IF(ISBLANK(Raw_Data!E201),AVERAGE(Raw_Data!E$2:E$5002),Raw_Data!E201)</f>
        <v>5609.93</v>
      </c>
      <c r="F201" s="15" t="str">
        <f>IF(ISBLANK(Raw_Data!F201),AVERAGE(Raw_Data!F$2:F$5002),Raw_Data!F201)</f>
        <v>3318.31</v>
      </c>
      <c r="G201" s="14" t="str">
        <f>IF(ISBLANK(Raw_Data!G201),AVERAGE(Raw_Data!G$2:G$5002),Raw_Data!G201)</f>
        <v>761.07</v>
      </c>
      <c r="H201" s="15" t="str">
        <f t="shared" si="1"/>
        <v>27628.00</v>
      </c>
      <c r="I201" s="14" t="str">
        <f t="shared" si="2"/>
        <v>26867.00</v>
      </c>
      <c r="J201" s="16" t="str">
        <f>TEXT(Raw_Data!J201,"MMM-YYY")</f>
        <v>Aug-2025</v>
      </c>
      <c r="K201" s="13" t="str">
        <f>Raw_Data!K201</f>
        <v>2</v>
      </c>
      <c r="L201" s="17" t="str">
        <f>Raw_Data!L201</f>
        <v>Pune-West</v>
      </c>
      <c r="M201" s="13" t="str">
        <f t="shared" si="3"/>
        <v>OK</v>
      </c>
      <c r="N201" s="18" t="str">
        <f t="shared" si="4"/>
        <v>VALID</v>
      </c>
    </row>
    <row r="202" ht="15.75" customHeight="1">
      <c r="A202" s="13" t="str">
        <f>Raw_Data!A202</f>
        <v>EMP0206</v>
      </c>
      <c r="B202" s="13" t="str">
        <f>TRIM(CLEAN(Raw_Data!B202))</f>
        <v>IT</v>
      </c>
      <c r="C202" s="18" t="s">
        <v>18</v>
      </c>
      <c r="D202" s="14" t="str">
        <f>IF(ISBLANK(Raw_Data!D202),AVERAGE(Raw_Data!D$2:D$5002),Raw_Data!D202)</f>
        <v>89683.90</v>
      </c>
      <c r="E202" s="15" t="str">
        <f>IF(ISBLANK(Raw_Data!E202),AVERAGE(Raw_Data!E$2:E$5002),Raw_Data!E202)</f>
        <v>26905.17</v>
      </c>
      <c r="F202" s="15" t="str">
        <f>IF(ISBLANK(Raw_Data!F202),AVERAGE(Raw_Data!F$2:F$5002),Raw_Data!F202)</f>
        <v>12492.68</v>
      </c>
      <c r="G202" s="14" t="str">
        <f>IF(ISBLANK(Raw_Data!G202),AVERAGE(Raw_Data!G$2:G$5002),Raw_Data!G202)</f>
        <v>14533.97</v>
      </c>
      <c r="H202" s="15" t="str">
        <f t="shared" si="1"/>
        <v>129082.00</v>
      </c>
      <c r="I202" s="14" t="str">
        <f t="shared" si="2"/>
        <v>114548.00</v>
      </c>
      <c r="J202" s="16" t="str">
        <f>TEXT(Raw_Data!J202,"MMM-YYY")</f>
        <v>Oct-2025</v>
      </c>
      <c r="K202" s="13" t="str">
        <f>Raw_Data!K202</f>
        <v>21</v>
      </c>
      <c r="L202" s="17" t="str">
        <f>Raw_Data!L202</f>
        <v>Hyderabad-South</v>
      </c>
      <c r="M202" s="13" t="str">
        <f t="shared" si="3"/>
        <v>OK</v>
      </c>
      <c r="N202" s="18" t="str">
        <f t="shared" si="4"/>
        <v>VALID</v>
      </c>
    </row>
    <row r="203" ht="15.75" customHeight="1">
      <c r="A203" s="13" t="str">
        <f>Raw_Data!A203</f>
        <v>EMP0207</v>
      </c>
      <c r="B203" s="13" t="str">
        <f>TRIM(CLEAN(Raw_Data!B203))</f>
        <v>Sales</v>
      </c>
      <c r="C203" s="18" t="s">
        <v>18</v>
      </c>
      <c r="D203" s="14" t="str">
        <f>IF(ISBLANK(Raw_Data!D203),AVERAGE(Raw_Data!D$2:D$5002),Raw_Data!D203)</f>
        <v>69017.60</v>
      </c>
      <c r="E203" s="15" t="str">
        <f>IF(ISBLANK(Raw_Data!E203),AVERAGE(Raw_Data!E$2:E$5002),Raw_Data!E203)</f>
        <v>20705.28</v>
      </c>
      <c r="F203" s="15" t="str">
        <f>IF(ISBLANK(Raw_Data!F203),AVERAGE(Raw_Data!F$2:F$5002),Raw_Data!F203)</f>
        <v>5726.87</v>
      </c>
      <c r="G203" s="14" t="str">
        <f>IF(ISBLANK(Raw_Data!G203),AVERAGE(Raw_Data!G$2:G$5002),Raw_Data!G203)</f>
        <v>14562.73</v>
      </c>
      <c r="H203" s="15" t="str">
        <f t="shared" si="1"/>
        <v>95450.00</v>
      </c>
      <c r="I203" s="14" t="str">
        <f t="shared" si="2"/>
        <v>80887.00</v>
      </c>
      <c r="J203" s="16" t="str">
        <f>TEXT(Raw_Data!J203,"MMM-YYY")</f>
        <v>Aug-2025</v>
      </c>
      <c r="K203" s="13" t="str">
        <f>Raw_Data!K203</f>
        <v>23</v>
      </c>
      <c r="L203" s="17" t="str">
        <f>Raw_Data!L203</f>
        <v>Chandigarh-North</v>
      </c>
      <c r="M203" s="13" t="str">
        <f t="shared" si="3"/>
        <v>OK</v>
      </c>
      <c r="N203" s="18" t="str">
        <f t="shared" si="4"/>
        <v>VALID</v>
      </c>
    </row>
    <row r="204" ht="15.75" customHeight="1">
      <c r="A204" s="13" t="str">
        <f>Raw_Data!A204</f>
        <v>EMP0209</v>
      </c>
      <c r="B204" s="13" t="str">
        <f>TRIM(CLEAN(Raw_Data!B204))</f>
        <v>Marketing</v>
      </c>
      <c r="C204" s="18" t="s">
        <v>54</v>
      </c>
      <c r="D204" s="14" t="str">
        <f>IF(ISBLANK(Raw_Data!D204),AVERAGE(Raw_Data!D$2:D$5002),Raw_Data!D204)</f>
        <v>48307.77</v>
      </c>
      <c r="E204" s="15" t="str">
        <f>IF(ISBLANK(Raw_Data!E204),AVERAGE(Raw_Data!E$2:E$5002),Raw_Data!E204)</f>
        <v>14492.33</v>
      </c>
      <c r="F204" s="15" t="str">
        <f>IF(ISBLANK(Raw_Data!F204),AVERAGE(Raw_Data!F$2:F$5002),Raw_Data!F204)</f>
        <v>8264.98</v>
      </c>
      <c r="G204" s="14" t="str">
        <f>IF(ISBLANK(Raw_Data!G204),AVERAGE(Raw_Data!G$2:G$5002),Raw_Data!G204)</f>
        <v>1439.88</v>
      </c>
      <c r="H204" s="15" t="str">
        <f t="shared" si="1"/>
        <v>71065.00</v>
      </c>
      <c r="I204" s="14" t="str">
        <f t="shared" si="2"/>
        <v>69625.00</v>
      </c>
      <c r="J204" s="16" t="str">
        <f>TEXT(Raw_Data!J204,"MMM-YYY")</f>
        <v>Nov-2025</v>
      </c>
      <c r="K204" s="13" t="str">
        <f>Raw_Data!K204</f>
        <v>6</v>
      </c>
      <c r="L204" s="17" t="str">
        <f>Raw_Data!L204</f>
        <v>Jaipur-North</v>
      </c>
      <c r="M204" s="13" t="str">
        <f t="shared" si="3"/>
        <v>OK</v>
      </c>
      <c r="N204" s="18" t="str">
        <f t="shared" si="4"/>
        <v>VALID</v>
      </c>
    </row>
    <row r="205" ht="15.75" customHeight="1">
      <c r="A205" s="13" t="str">
        <f>Raw_Data!A205</f>
        <v>EMP0210</v>
      </c>
      <c r="B205" s="13" t="str">
        <f>TRIM(CLEAN(Raw_Data!B205))</f>
        <v>IT</v>
      </c>
      <c r="C205" s="18" t="s">
        <v>37</v>
      </c>
      <c r="D205" s="14" t="str">
        <f>IF(ISBLANK(Raw_Data!D205),AVERAGE(Raw_Data!D$2:D$5002),Raw_Data!D205)</f>
        <v>61230.53</v>
      </c>
      <c r="E205" s="15" t="str">
        <f>IF(ISBLANK(Raw_Data!E205),AVERAGE(Raw_Data!E$2:E$5002),Raw_Data!E205)</f>
        <v>18369.16</v>
      </c>
      <c r="F205" s="15" t="str">
        <f>IF(ISBLANK(Raw_Data!F205),AVERAGE(Raw_Data!F$2:F$5002),Raw_Data!F205)</f>
        <v>7896.62</v>
      </c>
      <c r="G205" s="14" t="str">
        <f>IF(ISBLANK(Raw_Data!G205),AVERAGE(Raw_Data!G$2:G$5002),Raw_Data!G205)</f>
        <v>1112.25</v>
      </c>
      <c r="H205" s="15" t="str">
        <f t="shared" si="1"/>
        <v>87496.00</v>
      </c>
      <c r="I205" s="14" t="str">
        <f t="shared" si="2"/>
        <v>86384.00</v>
      </c>
      <c r="J205" s="16" t="str">
        <f>TEXT(Raw_Data!J205,"MMM-YYY")</f>
        <v>May-2025</v>
      </c>
      <c r="K205" s="13" t="str">
        <f>Raw_Data!K205</f>
        <v>23</v>
      </c>
      <c r="L205" s="17" t="str">
        <f>Raw_Data!L205</f>
        <v>Mumbai-HO</v>
      </c>
      <c r="M205" s="13" t="str">
        <f t="shared" si="3"/>
        <v>OK</v>
      </c>
      <c r="N205" s="18" t="str">
        <f t="shared" si="4"/>
        <v>VALID</v>
      </c>
    </row>
    <row r="206" ht="15.75" customHeight="1">
      <c r="A206" s="13" t="str">
        <f>Raw_Data!A206</f>
        <v>EMP0212</v>
      </c>
      <c r="B206" s="13" t="str">
        <f>TRIM(CLEAN(Raw_Data!B206))</f>
        <v>Sales</v>
      </c>
      <c r="C206" s="18" t="s">
        <v>18</v>
      </c>
      <c r="D206" s="14" t="str">
        <f>IF(ISBLANK(Raw_Data!D206),AVERAGE(Raw_Data!D$2:D$5002),Raw_Data!D206)</f>
        <v>80525.79</v>
      </c>
      <c r="E206" s="15" t="str">
        <f>IF(ISBLANK(Raw_Data!E206),AVERAGE(Raw_Data!E$2:E$5002),Raw_Data!E206)</f>
        <v>24157.74</v>
      </c>
      <c r="F206" s="15" t="str">
        <f>IF(ISBLANK(Raw_Data!F206),AVERAGE(Raw_Data!F$2:F$5002),Raw_Data!F206)</f>
        <v>343.97</v>
      </c>
      <c r="G206" s="14" t="str">
        <f>IF(ISBLANK(Raw_Data!G206),AVERAGE(Raw_Data!G$2:G$5002),Raw_Data!G206)</f>
        <v>19007.18</v>
      </c>
      <c r="H206" s="15" t="str">
        <f t="shared" si="1"/>
        <v>105028.00</v>
      </c>
      <c r="I206" s="14" t="str">
        <f t="shared" si="2"/>
        <v>86021.00</v>
      </c>
      <c r="J206" s="16" t="str">
        <f>TEXT(Raw_Data!J206,"MMM-YYY")</f>
        <v>Apr-2025</v>
      </c>
      <c r="K206" s="13" t="str">
        <f>Raw_Data!K206</f>
        <v>8</v>
      </c>
      <c r="L206" s="17" t="str">
        <f>Raw_Data!L206</f>
        <v>Bangalore-South</v>
      </c>
      <c r="M206" s="13" t="str">
        <f t="shared" si="3"/>
        <v>OK</v>
      </c>
      <c r="N206" s="18" t="str">
        <f t="shared" si="4"/>
        <v>VALID</v>
      </c>
    </row>
    <row r="207" ht="15.75" customHeight="1">
      <c r="A207" s="13" t="str">
        <f>Raw_Data!A207</f>
        <v>EMP0213</v>
      </c>
      <c r="B207" s="13" t="str">
        <f>TRIM(CLEAN(Raw_Data!B207))</f>
        <v>Finance</v>
      </c>
      <c r="C207" s="18" t="s">
        <v>26</v>
      </c>
      <c r="D207" s="14" t="str">
        <f>IF(ISBLANK(Raw_Data!D207),AVERAGE(Raw_Data!D$2:D$5002),Raw_Data!D207)</f>
        <v>110324.81</v>
      </c>
      <c r="E207" s="15" t="str">
        <f>IF(ISBLANK(Raw_Data!E207),AVERAGE(Raw_Data!E$2:E$5002),Raw_Data!E207)</f>
        <v>33097.44</v>
      </c>
      <c r="F207" s="15" t="str">
        <f>IF(ISBLANK(Raw_Data!F207),AVERAGE(Raw_Data!F$2:F$5002),Raw_Data!F207)</f>
        <v>1513.88</v>
      </c>
      <c r="G207" s="14" t="str">
        <f>IF(ISBLANK(Raw_Data!G207),AVERAGE(Raw_Data!G$2:G$5002),Raw_Data!G207)</f>
        <v>25324.75</v>
      </c>
      <c r="H207" s="15" t="str">
        <f t="shared" si="1"/>
        <v>144936.00</v>
      </c>
      <c r="I207" s="14" t="str">
        <f t="shared" si="2"/>
        <v>119611.00</v>
      </c>
      <c r="J207" s="16" t="str">
        <f>TEXT(Raw_Data!J207,"MMM-YYY")</f>
        <v>Apr-2025</v>
      </c>
      <c r="K207" s="13" t="str">
        <f>Raw_Data!K207</f>
        <v>12</v>
      </c>
      <c r="L207" s="17" t="str">
        <f>Raw_Data!L207</f>
        <v>Chennai-South</v>
      </c>
      <c r="M207" s="13" t="str">
        <f t="shared" si="3"/>
        <v>OK</v>
      </c>
      <c r="N207" s="18" t="str">
        <f t="shared" si="4"/>
        <v>VALID</v>
      </c>
    </row>
    <row r="208" ht="15.75" customHeight="1">
      <c r="A208" s="13" t="str">
        <f>Raw_Data!A208</f>
        <v>EMP0214</v>
      </c>
      <c r="B208" s="13" t="str">
        <f>TRIM(CLEAN(Raw_Data!B208))</f>
        <v>Operations</v>
      </c>
      <c r="C208" s="18" t="s">
        <v>30</v>
      </c>
      <c r="D208" s="14" t="str">
        <f>IF(ISBLANK(Raw_Data!D208),AVERAGE(Raw_Data!D$2:D$5002),Raw_Data!D208)</f>
        <v>71831.17</v>
      </c>
      <c r="E208" s="15" t="str">
        <f>IF(ISBLANK(Raw_Data!E208),AVERAGE(Raw_Data!E$2:E$5002),Raw_Data!E208)</f>
        <v>8746.46</v>
      </c>
      <c r="F208" s="15" t="str">
        <f>IF(ISBLANK(Raw_Data!F208),AVERAGE(Raw_Data!F$2:F$5002),Raw_Data!F208)</f>
        <v>1358.61</v>
      </c>
      <c r="G208" s="14" t="str">
        <f>IF(ISBLANK(Raw_Data!G208),AVERAGE(Raw_Data!G$2:G$5002),Raw_Data!G208)</f>
        <v>6772.98</v>
      </c>
      <c r="H208" s="15" t="str">
        <f t="shared" si="1"/>
        <v>81936.00</v>
      </c>
      <c r="I208" s="14" t="str">
        <f t="shared" si="2"/>
        <v>75163.00</v>
      </c>
      <c r="J208" s="16" t="str">
        <f>TEXT(Raw_Data!J208,"MMM-YYY")</f>
        <v>Oct-2025</v>
      </c>
      <c r="K208" s="13" t="str">
        <f>Raw_Data!K208</f>
        <v>3</v>
      </c>
      <c r="L208" s="17" t="str">
        <f>Raw_Data!L208</f>
        <v>Kolkata-East</v>
      </c>
      <c r="M208" s="13" t="str">
        <f t="shared" si="3"/>
        <v>OK</v>
      </c>
      <c r="N208" s="18" t="str">
        <f t="shared" si="4"/>
        <v>VALID</v>
      </c>
    </row>
    <row r="209" ht="15.75" customHeight="1">
      <c r="A209" s="13" t="str">
        <f>Raw_Data!A209</f>
        <v>EMP0215</v>
      </c>
      <c r="B209" s="13" t="str">
        <f>TRIM(CLEAN(Raw_Data!B209))</f>
        <v>HR</v>
      </c>
      <c r="C209" s="18" t="s">
        <v>33</v>
      </c>
      <c r="D209" s="14" t="str">
        <f>IF(ISBLANK(Raw_Data!D209),AVERAGE(Raw_Data!D$2:D$5002),Raw_Data!D209)</f>
        <v>33584.06</v>
      </c>
      <c r="E209" s="15" t="str">
        <f>IF(ISBLANK(Raw_Data!E209),AVERAGE(Raw_Data!E$2:E$5002),Raw_Data!E209)</f>
        <v>10075.22</v>
      </c>
      <c r="F209" s="15" t="str">
        <f>IF(ISBLANK(Raw_Data!F209),AVERAGE(Raw_Data!F$2:F$5002),Raw_Data!F209)</f>
        <v>971.84</v>
      </c>
      <c r="G209" s="14" t="str">
        <f>IF(ISBLANK(Raw_Data!G209),AVERAGE(Raw_Data!G$2:G$5002),Raw_Data!G209)</f>
        <v>1309.70</v>
      </c>
      <c r="H209" s="15" t="str">
        <f t="shared" si="1"/>
        <v>44631.00</v>
      </c>
      <c r="I209" s="14" t="str">
        <f t="shared" si="2"/>
        <v>43321.00</v>
      </c>
      <c r="J209" s="16" t="str">
        <f>TEXT(Raw_Data!J209,"MMM-YYY")</f>
        <v>May-2025</v>
      </c>
      <c r="K209" s="13" t="str">
        <f>Raw_Data!K209</f>
        <v>24</v>
      </c>
      <c r="L209" s="17" t="str">
        <f>Raw_Data!L209</f>
        <v>Pune-West</v>
      </c>
      <c r="M209" s="13" t="str">
        <f t="shared" si="3"/>
        <v>OK</v>
      </c>
      <c r="N209" s="18" t="str">
        <f t="shared" si="4"/>
        <v>VALID</v>
      </c>
    </row>
    <row r="210" ht="15.75" customHeight="1">
      <c r="A210" s="13" t="str">
        <f>Raw_Data!A210</f>
        <v>EMP0216</v>
      </c>
      <c r="B210" s="13" t="str">
        <f>TRIM(CLEAN(Raw_Data!B210))</f>
        <v>Customer Support</v>
      </c>
      <c r="C210" s="18" t="s">
        <v>30</v>
      </c>
      <c r="D210" s="14" t="str">
        <f>IF(ISBLANK(Raw_Data!D210),AVERAGE(Raw_Data!D$2:D$5002),Raw_Data!D210)</f>
        <v>22967.35</v>
      </c>
      <c r="E210" s="15" t="str">
        <f>IF(ISBLANK(Raw_Data!E210),AVERAGE(Raw_Data!E$2:E$5002),Raw_Data!E210)</f>
        <v>6890.20</v>
      </c>
      <c r="F210" s="15" t="str">
        <f>IF(ISBLANK(Raw_Data!F210),AVERAGE(Raw_Data!F$2:F$5002),Raw_Data!F210)</f>
        <v>3980.00</v>
      </c>
      <c r="G210" s="14" t="str">
        <f>IF(ISBLANK(Raw_Data!G210),AVERAGE(Raw_Data!G$2:G$5002),Raw_Data!G210)</f>
        <v>908.15</v>
      </c>
      <c r="H210" s="15" t="str">
        <f t="shared" si="1"/>
        <v>33838.00</v>
      </c>
      <c r="I210" s="14" t="str">
        <f t="shared" si="2"/>
        <v>32930.00</v>
      </c>
      <c r="J210" s="16" t="str">
        <f>TEXT(Raw_Data!J210,"MMM-YYY")</f>
        <v>Jun-2025</v>
      </c>
      <c r="K210" s="13" t="str">
        <f>Raw_Data!K210</f>
        <v>4</v>
      </c>
      <c r="L210" s="17" t="str">
        <f>Raw_Data!L210</f>
        <v>Hyderabad-South</v>
      </c>
      <c r="M210" s="13" t="str">
        <f t="shared" si="3"/>
        <v>OK</v>
      </c>
      <c r="N210" s="18" t="str">
        <f t="shared" si="4"/>
        <v>VALID</v>
      </c>
    </row>
    <row r="211" ht="15.75" customHeight="1">
      <c r="A211" s="13" t="str">
        <f>Raw_Data!A211</f>
        <v>EMP0217</v>
      </c>
      <c r="B211" s="13" t="str">
        <f>TRIM(CLEAN(Raw_Data!B211))</f>
        <v>Customer Support</v>
      </c>
      <c r="C211" s="18" t="s">
        <v>26</v>
      </c>
      <c r="D211" s="14" t="str">
        <f>IF(ISBLANK(Raw_Data!D211),AVERAGE(Raw_Data!D$2:D$5002),Raw_Data!D211)</f>
        <v>98565.54</v>
      </c>
      <c r="E211" s="15" t="str">
        <f>IF(ISBLANK(Raw_Data!E211),AVERAGE(Raw_Data!E$2:E$5002),Raw_Data!E211)</f>
        <v>29569.66</v>
      </c>
      <c r="F211" s="15" t="str">
        <f>IF(ISBLANK(Raw_Data!F211),AVERAGE(Raw_Data!F$2:F$5002),Raw_Data!F211)</f>
        <v>6382.54</v>
      </c>
      <c r="G211" s="14" t="str">
        <f>IF(ISBLANK(Raw_Data!G211),AVERAGE(Raw_Data!G$2:G$5002),Raw_Data!G211)</f>
        <v>5152.40</v>
      </c>
      <c r="H211" s="15" t="str">
        <f t="shared" si="1"/>
        <v>134518.00</v>
      </c>
      <c r="I211" s="14" t="str">
        <f t="shared" si="2"/>
        <v>129366.00</v>
      </c>
      <c r="J211" s="16" t="str">
        <f>TEXT(Raw_Data!J211,"MMM-YYY")</f>
        <v>Jan-2025</v>
      </c>
      <c r="K211" s="13" t="str">
        <f>Raw_Data!K211</f>
        <v>17</v>
      </c>
      <c r="L211" s="17" t="str">
        <f>Raw_Data!L211</f>
        <v>Chandigarh-North</v>
      </c>
      <c r="M211" s="13" t="str">
        <f t="shared" si="3"/>
        <v>OK</v>
      </c>
      <c r="N211" s="18" t="str">
        <f t="shared" si="4"/>
        <v>VALID</v>
      </c>
    </row>
    <row r="212" ht="15.75" customHeight="1">
      <c r="A212" s="13" t="str">
        <f>Raw_Data!A212</f>
        <v>EMP0218</v>
      </c>
      <c r="B212" s="13" t="str">
        <f>TRIM(CLEAN(Raw_Data!B212))</f>
        <v>Finance</v>
      </c>
      <c r="C212" s="18" t="s">
        <v>18</v>
      </c>
      <c r="D212" s="14" t="str">
        <f>IF(ISBLANK(Raw_Data!D212),AVERAGE(Raw_Data!D$2:D$5002),Raw_Data!D212)</f>
        <v>75944.97</v>
      </c>
      <c r="E212" s="15" t="str">
        <f>IF(ISBLANK(Raw_Data!E212),AVERAGE(Raw_Data!E$2:E$5002),Raw_Data!E212)</f>
        <v>22783.49</v>
      </c>
      <c r="F212" s="15" t="str">
        <f>IF(ISBLANK(Raw_Data!F212),AVERAGE(Raw_Data!F$2:F$5002),Raw_Data!F212)</f>
        <v>1726.22</v>
      </c>
      <c r="G212" s="14" t="str">
        <f>IF(ISBLANK(Raw_Data!G212),AVERAGE(Raw_Data!G$2:G$5002),Raw_Data!G212)</f>
        <v>1448.07</v>
      </c>
      <c r="H212" s="15" t="str">
        <f t="shared" si="1"/>
        <v>100455.00</v>
      </c>
      <c r="I212" s="14" t="str">
        <f t="shared" si="2"/>
        <v>99007.00</v>
      </c>
      <c r="J212" s="16" t="str">
        <f>TEXT(Raw_Data!J212,"MMM-YYY")</f>
        <v>Aug-2025</v>
      </c>
      <c r="K212" s="13" t="str">
        <f>Raw_Data!K212</f>
        <v>1</v>
      </c>
      <c r="L212" s="17" t="str">
        <f>Raw_Data!L212</f>
        <v>Ahmedabad-West</v>
      </c>
      <c r="M212" s="13" t="str">
        <f t="shared" si="3"/>
        <v>OK</v>
      </c>
      <c r="N212" s="18" t="str">
        <f t="shared" si="4"/>
        <v>VALID</v>
      </c>
    </row>
    <row r="213" ht="15.75" customHeight="1">
      <c r="A213" s="13" t="str">
        <f>Raw_Data!A213</f>
        <v>EMP0219</v>
      </c>
      <c r="B213" s="13" t="str">
        <f>TRIM(CLEAN(Raw_Data!B213))</f>
        <v>Customer Support</v>
      </c>
      <c r="C213" s="18" t="s">
        <v>33</v>
      </c>
      <c r="D213" s="14" t="str">
        <f>IF(ISBLANK(Raw_Data!D213),AVERAGE(Raw_Data!D$2:D$5002),Raw_Data!D213)</f>
        <v>30132.38</v>
      </c>
      <c r="E213" s="15" t="str">
        <f>IF(ISBLANK(Raw_Data!E213),AVERAGE(Raw_Data!E$2:E$5002),Raw_Data!E213)</f>
        <v>9039.71</v>
      </c>
      <c r="F213" s="15" t="str">
        <f>IF(ISBLANK(Raw_Data!F213),AVERAGE(Raw_Data!F$2:F$5002),Raw_Data!F213)</f>
        <v>657.21</v>
      </c>
      <c r="G213" s="14" t="str">
        <f>IF(ISBLANK(Raw_Data!G213),AVERAGE(Raw_Data!G$2:G$5002),Raw_Data!G213)</f>
        <v>4554.56</v>
      </c>
      <c r="H213" s="15" t="str">
        <f t="shared" si="1"/>
        <v>39829.00</v>
      </c>
      <c r="I213" s="14" t="str">
        <f t="shared" si="2"/>
        <v>35274.00</v>
      </c>
      <c r="J213" s="16" t="str">
        <f>TEXT(Raw_Data!J213,"MMM-YYY")</f>
        <v>Oct-2025</v>
      </c>
      <c r="K213" s="13" t="str">
        <f>Raw_Data!K213</f>
        <v>4</v>
      </c>
      <c r="L213" s="17" t="str">
        <f>Raw_Data!L213</f>
        <v>Jaipur-North</v>
      </c>
      <c r="M213" s="13" t="str">
        <f t="shared" si="3"/>
        <v>OK</v>
      </c>
      <c r="N213" s="18" t="str">
        <f t="shared" si="4"/>
        <v>VALID</v>
      </c>
    </row>
    <row r="214" ht="15.75" customHeight="1">
      <c r="A214" s="13" t="str">
        <f>Raw_Data!A214</f>
        <v>EMP0220</v>
      </c>
      <c r="B214" s="13" t="str">
        <f>TRIM(CLEAN(Raw_Data!B214))</f>
        <v>HR</v>
      </c>
      <c r="C214" s="18" t="s">
        <v>18</v>
      </c>
      <c r="D214" s="14" t="str">
        <f>IF(ISBLANK(Raw_Data!D214),AVERAGE(Raw_Data!D$2:D$5002),Raw_Data!D214)</f>
        <v>85363.90</v>
      </c>
      <c r="E214" s="15" t="str">
        <f>IF(ISBLANK(Raw_Data!E214),AVERAGE(Raw_Data!E$2:E$5002),Raw_Data!E214)</f>
        <v>25609.17</v>
      </c>
      <c r="F214" s="15" t="str">
        <f>IF(ISBLANK(Raw_Data!F214),AVERAGE(Raw_Data!F$2:F$5002),Raw_Data!F214)</f>
        <v>14801.77</v>
      </c>
      <c r="G214" s="14" t="str">
        <f>IF(ISBLANK(Raw_Data!G214),AVERAGE(Raw_Data!G$2:G$5002),Raw_Data!G214)</f>
        <v>13353.93</v>
      </c>
      <c r="H214" s="15" t="str">
        <f t="shared" si="1"/>
        <v>125775.00</v>
      </c>
      <c r="I214" s="14" t="str">
        <f t="shared" si="2"/>
        <v>112421.00</v>
      </c>
      <c r="J214" s="16" t="str">
        <f>TEXT(Raw_Data!J214,"MMM-YYY")</f>
        <v>Aug-2025</v>
      </c>
      <c r="K214" s="13" t="str">
        <f>Raw_Data!K214</f>
        <v>11</v>
      </c>
      <c r="L214" s="17" t="str">
        <f>Raw_Data!L214</f>
        <v>Mumbai-HO</v>
      </c>
      <c r="M214" s="13" t="str">
        <f t="shared" si="3"/>
        <v>OK</v>
      </c>
      <c r="N214" s="18" t="str">
        <f t="shared" si="4"/>
        <v>VALID</v>
      </c>
    </row>
    <row r="215" ht="15.75" customHeight="1">
      <c r="A215" s="13" t="str">
        <f>Raw_Data!A215</f>
        <v>EMP0221</v>
      </c>
      <c r="B215" s="13" t="str">
        <f>TRIM(CLEAN(Raw_Data!B215))</f>
        <v>Sales</v>
      </c>
      <c r="C215" s="18" t="s">
        <v>14</v>
      </c>
      <c r="D215" s="14" t="str">
        <f>IF(ISBLANK(Raw_Data!D215),AVERAGE(Raw_Data!D$2:D$5002),Raw_Data!D215)</f>
        <v>18437.94</v>
      </c>
      <c r="E215" s="15" t="str">
        <f>IF(ISBLANK(Raw_Data!E215),AVERAGE(Raw_Data!E$2:E$5002),Raw_Data!E215)</f>
        <v>5531.38</v>
      </c>
      <c r="F215" s="15" t="str">
        <f>IF(ISBLANK(Raw_Data!F215),AVERAGE(Raw_Data!F$2:F$5002),Raw_Data!F215)</f>
        <v>1766.29</v>
      </c>
      <c r="G215" s="14" t="str">
        <f>IF(ISBLANK(Raw_Data!G215),AVERAGE(Raw_Data!G$2:G$5002),Raw_Data!G215)</f>
        <v>2221.50</v>
      </c>
      <c r="H215" s="15" t="str">
        <f t="shared" si="1"/>
        <v>25736.00</v>
      </c>
      <c r="I215" s="14" t="str">
        <f t="shared" si="2"/>
        <v>23515.00</v>
      </c>
      <c r="J215" s="16" t="str">
        <f>TEXT(Raw_Data!J215,"MMM-YYY")</f>
        <v>Nov-2025</v>
      </c>
      <c r="K215" s="13" t="str">
        <f>Raw_Data!K215</f>
        <v>10</v>
      </c>
      <c r="L215" s="17" t="str">
        <f>Raw_Data!L215</f>
        <v>Delhi-North</v>
      </c>
      <c r="M215" s="13" t="str">
        <f t="shared" si="3"/>
        <v>OK</v>
      </c>
      <c r="N215" s="18" t="str">
        <f t="shared" si="4"/>
        <v>VALID</v>
      </c>
    </row>
    <row r="216" ht="15.75" customHeight="1">
      <c r="A216" s="13" t="str">
        <f>Raw_Data!A216</f>
        <v>EMP0222</v>
      </c>
      <c r="B216" s="13" t="str">
        <f>TRIM(CLEAN(Raw_Data!B216))</f>
        <v>HR</v>
      </c>
      <c r="C216" s="18" t="s">
        <v>54</v>
      </c>
      <c r="D216" s="14" t="str">
        <f>IF(ISBLANK(Raw_Data!D216),AVERAGE(Raw_Data!D$2:D$5002),Raw_Data!D216)</f>
        <v>44973.62</v>
      </c>
      <c r="E216" s="15" t="str">
        <f>IF(ISBLANK(Raw_Data!E216),AVERAGE(Raw_Data!E$2:E$5002),Raw_Data!E216)</f>
        <v>13492.09</v>
      </c>
      <c r="F216" s="15" t="str">
        <f>IF(ISBLANK(Raw_Data!F216),AVERAGE(Raw_Data!F$2:F$5002),Raw_Data!F216)</f>
        <v>3989.72</v>
      </c>
      <c r="G216" s="14" t="str">
        <f>IF(ISBLANK(Raw_Data!G216),AVERAGE(Raw_Data!G$2:G$5002),Raw_Data!G216)</f>
        <v>12132.98</v>
      </c>
      <c r="H216" s="15" t="str">
        <f t="shared" si="1"/>
        <v>62455.00</v>
      </c>
      <c r="I216" s="14" t="str">
        <f t="shared" si="2"/>
        <v>50322.00</v>
      </c>
      <c r="J216" s="16" t="str">
        <f>TEXT(Raw_Data!J216,"MMM-YYY")</f>
        <v>Jun-2025</v>
      </c>
      <c r="K216" s="13" t="str">
        <f>Raw_Data!K216</f>
        <v>9</v>
      </c>
      <c r="L216" s="17" t="str">
        <f>Raw_Data!L216</f>
        <v>Bangalore-South</v>
      </c>
      <c r="M216" s="13" t="str">
        <f t="shared" si="3"/>
        <v>OK</v>
      </c>
      <c r="N216" s="18" t="str">
        <f t="shared" si="4"/>
        <v>VALID</v>
      </c>
    </row>
    <row r="217" ht="15.75" customHeight="1">
      <c r="A217" s="13" t="str">
        <f>Raw_Data!A217</f>
        <v>EMP0223</v>
      </c>
      <c r="B217" s="13" t="str">
        <f>TRIM(CLEAN(Raw_Data!B217))</f>
        <v>Operations</v>
      </c>
      <c r="C217" s="18" t="s">
        <v>30</v>
      </c>
      <c r="D217" s="14" t="str">
        <f>IF(ISBLANK(Raw_Data!D217),AVERAGE(Raw_Data!D$2:D$5002),Raw_Data!D217)</f>
        <v>22578.00</v>
      </c>
      <c r="E217" s="15" t="str">
        <f>IF(ISBLANK(Raw_Data!E217),AVERAGE(Raw_Data!E$2:E$5002),Raw_Data!E217)</f>
        <v>6773.40</v>
      </c>
      <c r="F217" s="15" t="str">
        <f>IF(ISBLANK(Raw_Data!F217),AVERAGE(Raw_Data!F$2:F$5002),Raw_Data!F217)</f>
        <v>1241.86</v>
      </c>
      <c r="G217" s="14" t="str">
        <f>IF(ISBLANK(Raw_Data!G217),AVERAGE(Raw_Data!G$2:G$5002),Raw_Data!G217)</f>
        <v>4288.08</v>
      </c>
      <c r="H217" s="15" t="str">
        <f t="shared" si="1"/>
        <v>30593.00</v>
      </c>
      <c r="I217" s="14" t="str">
        <f t="shared" si="2"/>
        <v>26305.00</v>
      </c>
      <c r="J217" s="16" t="str">
        <f>TEXT(Raw_Data!J217,"MMM-YYY")</f>
        <v>Sep-2025</v>
      </c>
      <c r="K217" s="13" t="str">
        <f>Raw_Data!K217</f>
        <v>21</v>
      </c>
      <c r="L217" s="17" t="str">
        <f>Raw_Data!L217</f>
        <v>Chennai-South</v>
      </c>
      <c r="M217" s="13" t="str">
        <f t="shared" si="3"/>
        <v>OK</v>
      </c>
      <c r="N217" s="18" t="str">
        <f t="shared" si="4"/>
        <v>VALID</v>
      </c>
    </row>
    <row r="218" ht="15.75" customHeight="1">
      <c r="A218" s="13" t="str">
        <f>Raw_Data!A218</f>
        <v>EMP0224</v>
      </c>
      <c r="B218" s="13" t="str">
        <f>TRIM(CLEAN(Raw_Data!B218))</f>
        <v>Sales</v>
      </c>
      <c r="C218" s="18" t="s">
        <v>33</v>
      </c>
      <c r="D218" s="14" t="str">
        <f>IF(ISBLANK(Raw_Data!D218),AVERAGE(Raw_Data!D$2:D$5002),Raw_Data!D218)</f>
        <v>28809.04</v>
      </c>
      <c r="E218" s="15" t="str">
        <f>IF(ISBLANK(Raw_Data!E218),AVERAGE(Raw_Data!E$2:E$5002),Raw_Data!E218)</f>
        <v>8642.71</v>
      </c>
      <c r="F218" s="15" t="str">
        <f>IF(ISBLANK(Raw_Data!F218),AVERAGE(Raw_Data!F$2:F$5002),Raw_Data!F218)</f>
        <v>3442.06</v>
      </c>
      <c r="G218" s="14" t="str">
        <f>IF(ISBLANK(Raw_Data!G218),AVERAGE(Raw_Data!G$2:G$5002),Raw_Data!G218)</f>
        <v>2548.72</v>
      </c>
      <c r="H218" s="15" t="str">
        <f t="shared" si="1"/>
        <v>40894.00</v>
      </c>
      <c r="I218" s="14" t="str">
        <f t="shared" si="2"/>
        <v>38345.00</v>
      </c>
      <c r="J218" s="16" t="str">
        <f>TEXT(Raw_Data!J218,"MMM-YYY")</f>
        <v>Sep-2025</v>
      </c>
      <c r="K218" s="13" t="str">
        <f>Raw_Data!K218</f>
        <v>13</v>
      </c>
      <c r="L218" s="17" t="str">
        <f>Raw_Data!L218</f>
        <v>Kolkata-East</v>
      </c>
      <c r="M218" s="13" t="str">
        <f t="shared" si="3"/>
        <v>OK</v>
      </c>
      <c r="N218" s="18" t="str">
        <f t="shared" si="4"/>
        <v>VALID</v>
      </c>
    </row>
    <row r="219" ht="15.75" customHeight="1">
      <c r="A219" s="13" t="str">
        <f>Raw_Data!A219</f>
        <v>EMP0225</v>
      </c>
      <c r="B219" s="13" t="str">
        <f>TRIM(CLEAN(Raw_Data!B219))</f>
        <v>Operations</v>
      </c>
      <c r="C219" s="18" t="s">
        <v>54</v>
      </c>
      <c r="D219" s="14" t="str">
        <f>IF(ISBLANK(Raw_Data!D219),AVERAGE(Raw_Data!D$2:D$5002),Raw_Data!D219)</f>
        <v>36388.50</v>
      </c>
      <c r="E219" s="15" t="str">
        <f>IF(ISBLANK(Raw_Data!E219),AVERAGE(Raw_Data!E$2:E$5002),Raw_Data!E219)</f>
        <v>10916.55</v>
      </c>
      <c r="F219" s="15" t="str">
        <f>IF(ISBLANK(Raw_Data!F219),AVERAGE(Raw_Data!F$2:F$5002),Raw_Data!F219)</f>
        <v>5107.34</v>
      </c>
      <c r="G219" s="14" t="str">
        <f>IF(ISBLANK(Raw_Data!G219),AVERAGE(Raw_Data!G$2:G$5002),Raw_Data!G219)</f>
        <v>9309.55</v>
      </c>
      <c r="H219" s="15" t="str">
        <f t="shared" si="1"/>
        <v>52412.00</v>
      </c>
      <c r="I219" s="14" t="str">
        <f t="shared" si="2"/>
        <v>43102.00</v>
      </c>
      <c r="J219" s="16" t="str">
        <f>TEXT(Raw_Data!J219,"MMM-YYY")</f>
        <v>Nov-2025</v>
      </c>
      <c r="K219" s="13" t="str">
        <f>Raw_Data!K219</f>
        <v>4</v>
      </c>
      <c r="L219" s="17" t="str">
        <f>Raw_Data!L219</f>
        <v>Pune-West</v>
      </c>
      <c r="M219" s="13" t="str">
        <f t="shared" si="3"/>
        <v>OK</v>
      </c>
      <c r="N219" s="18" t="str">
        <f t="shared" si="4"/>
        <v>VALID</v>
      </c>
    </row>
    <row r="220" ht="15.75" customHeight="1">
      <c r="A220" s="13" t="str">
        <f>Raw_Data!A220</f>
        <v>EMP0226</v>
      </c>
      <c r="B220" s="13" t="str">
        <f>TRIM(CLEAN(Raw_Data!B220))</f>
        <v>Customer Support</v>
      </c>
      <c r="C220" s="18" t="s">
        <v>37</v>
      </c>
      <c r="D220" s="14" t="str">
        <f>IF(ISBLANK(Raw_Data!D220),AVERAGE(Raw_Data!D$2:D$5002),Raw_Data!D220)</f>
        <v>57975.12</v>
      </c>
      <c r="E220" s="15" t="str">
        <f>IF(ISBLANK(Raw_Data!E220),AVERAGE(Raw_Data!E$2:E$5002),Raw_Data!E220)</f>
        <v>17392.54</v>
      </c>
      <c r="F220" s="15" t="str">
        <f>IF(ISBLANK(Raw_Data!F220),AVERAGE(Raw_Data!F$2:F$5002),Raw_Data!F220)</f>
        <v>2493.20</v>
      </c>
      <c r="G220" s="14" t="str">
        <f>IF(ISBLANK(Raw_Data!G220),AVERAGE(Raw_Data!G$2:G$5002),Raw_Data!G220)</f>
        <v>7853.69</v>
      </c>
      <c r="H220" s="15" t="str">
        <f t="shared" si="1"/>
        <v>77861.00</v>
      </c>
      <c r="I220" s="14" t="str">
        <f t="shared" si="2"/>
        <v>70007.00</v>
      </c>
      <c r="J220" s="16" t="str">
        <f>TEXT(Raw_Data!J220,"MMM-YYY")</f>
        <v>Apr-2025</v>
      </c>
      <c r="K220" s="13" t="str">
        <f>Raw_Data!K220</f>
        <v>21</v>
      </c>
      <c r="L220" s="17" t="str">
        <f>Raw_Data!L220</f>
        <v>Hyderabad-South</v>
      </c>
      <c r="M220" s="13" t="str">
        <f t="shared" si="3"/>
        <v>OK</v>
      </c>
      <c r="N220" s="18" t="str">
        <f t="shared" si="4"/>
        <v>VALID</v>
      </c>
    </row>
    <row r="221" ht="15.75" customHeight="1">
      <c r="A221" s="13" t="str">
        <f>Raw_Data!A221</f>
        <v>EMP0227</v>
      </c>
      <c r="B221" s="13" t="str">
        <f>TRIM(CLEAN(Raw_Data!B221))</f>
        <v>Marketing</v>
      </c>
      <c r="C221" s="18" t="s">
        <v>33</v>
      </c>
      <c r="D221" s="14" t="str">
        <f>IF(ISBLANK(Raw_Data!D221),AVERAGE(Raw_Data!D$2:D$5002),Raw_Data!D221)</f>
        <v>33274.19</v>
      </c>
      <c r="E221" s="15" t="str">
        <f>IF(ISBLANK(Raw_Data!E221),AVERAGE(Raw_Data!E$2:E$5002),Raw_Data!E221)</f>
        <v>9982.26</v>
      </c>
      <c r="F221" s="15" t="str">
        <f>IF(ISBLANK(Raw_Data!F221),AVERAGE(Raw_Data!F$2:F$5002),Raw_Data!F221)</f>
        <v>2653.48</v>
      </c>
      <c r="G221" s="14" t="str">
        <f>IF(ISBLANK(Raw_Data!G221),AVERAGE(Raw_Data!G$2:G$5002),Raw_Data!G221)</f>
        <v>7283.18</v>
      </c>
      <c r="H221" s="15" t="str">
        <f t="shared" si="1"/>
        <v>45910.00</v>
      </c>
      <c r="I221" s="14" t="str">
        <f t="shared" si="2"/>
        <v>38627.00</v>
      </c>
      <c r="J221" s="16" t="str">
        <f>TEXT(Raw_Data!J221,"MMM-YYY")</f>
        <v>Jun-2025</v>
      </c>
      <c r="K221" s="13" t="str">
        <f>Raw_Data!K221</f>
        <v>17</v>
      </c>
      <c r="L221" s="17" t="str">
        <f>Raw_Data!L221</f>
        <v>Chandigarh-North</v>
      </c>
      <c r="M221" s="13" t="str">
        <f t="shared" si="3"/>
        <v>OK</v>
      </c>
      <c r="N221" s="18" t="str">
        <f t="shared" si="4"/>
        <v>VALID</v>
      </c>
    </row>
    <row r="222" ht="15.75" customHeight="1">
      <c r="A222" s="13" t="str">
        <f>Raw_Data!A222</f>
        <v>EMP0228</v>
      </c>
      <c r="B222" s="13" t="str">
        <f>TRIM(CLEAN(Raw_Data!B222))</f>
        <v>Marketing</v>
      </c>
      <c r="C222" s="18" t="s">
        <v>33</v>
      </c>
      <c r="D222" s="14" t="str">
        <f>IF(ISBLANK(Raw_Data!D222),AVERAGE(Raw_Data!D$2:D$5002),Raw_Data!D222)</f>
        <v>31651.08</v>
      </c>
      <c r="E222" s="15" t="str">
        <f>IF(ISBLANK(Raw_Data!E222),AVERAGE(Raw_Data!E$2:E$5002),Raw_Data!E222)</f>
        <v>9495.32</v>
      </c>
      <c r="F222" s="15" t="str">
        <f>IF(ISBLANK(Raw_Data!F222),AVERAGE(Raw_Data!F$2:F$5002),Raw_Data!F222)</f>
        <v>2369.41</v>
      </c>
      <c r="G222" s="14" t="str">
        <f>IF(ISBLANK(Raw_Data!G222),AVERAGE(Raw_Data!G$2:G$5002),Raw_Data!G222)</f>
        <v>1449.36</v>
      </c>
      <c r="H222" s="15" t="str">
        <f t="shared" si="1"/>
        <v>43516.00</v>
      </c>
      <c r="I222" s="14" t="str">
        <f t="shared" si="2"/>
        <v>42067.00</v>
      </c>
      <c r="J222" s="16" t="str">
        <f>TEXT(Raw_Data!J222,"MMM-YYY")</f>
        <v>Aug-2025</v>
      </c>
      <c r="K222" s="13" t="str">
        <f>Raw_Data!K222</f>
        <v>2</v>
      </c>
      <c r="L222" s="17" t="str">
        <f>Raw_Data!L222</f>
        <v>Ahmedabad-West</v>
      </c>
      <c r="M222" s="13" t="str">
        <f t="shared" si="3"/>
        <v>OK</v>
      </c>
      <c r="N222" s="18" t="str">
        <f t="shared" si="4"/>
        <v>VALID</v>
      </c>
    </row>
    <row r="223" ht="15.75" customHeight="1">
      <c r="A223" s="13" t="str">
        <f>Raw_Data!A223</f>
        <v>EMP0229</v>
      </c>
      <c r="B223" s="13" t="str">
        <f>TRIM(CLEAN(Raw_Data!B223))</f>
        <v>HR</v>
      </c>
      <c r="C223" s="18" t="s">
        <v>14</v>
      </c>
      <c r="D223" s="14" t="str">
        <f>IF(ISBLANK(Raw_Data!D223),AVERAGE(Raw_Data!D$2:D$5002),Raw_Data!D223)</f>
        <v>23988.76</v>
      </c>
      <c r="E223" s="15" t="str">
        <f>IF(ISBLANK(Raw_Data!E223),AVERAGE(Raw_Data!E$2:E$5002),Raw_Data!E223)</f>
        <v>7196.63</v>
      </c>
      <c r="F223" s="15" t="str">
        <f>IF(ISBLANK(Raw_Data!F223),AVERAGE(Raw_Data!F$2:F$5002),Raw_Data!F223)</f>
        <v>447.29</v>
      </c>
      <c r="G223" s="14" t="str">
        <f>IF(ISBLANK(Raw_Data!G223),AVERAGE(Raw_Data!G$2:G$5002),Raw_Data!G223)</f>
        <v>694.94</v>
      </c>
      <c r="H223" s="15" t="str">
        <f t="shared" si="1"/>
        <v>31633.00</v>
      </c>
      <c r="I223" s="14" t="str">
        <f t="shared" si="2"/>
        <v>30938.00</v>
      </c>
      <c r="J223" s="16" t="str">
        <f>TEXT(Raw_Data!J223,"MMM-YYY")</f>
        <v>Dec-2025</v>
      </c>
      <c r="K223" s="13" t="str">
        <f>Raw_Data!K223</f>
        <v>7</v>
      </c>
      <c r="L223" s="17" t="str">
        <f>Raw_Data!L223</f>
        <v>Jaipur-North</v>
      </c>
      <c r="M223" s="13" t="str">
        <f t="shared" si="3"/>
        <v>OK</v>
      </c>
      <c r="N223" s="18" t="str">
        <f t="shared" si="4"/>
        <v>VALID</v>
      </c>
    </row>
    <row r="224" ht="15.75" customHeight="1">
      <c r="A224" s="13" t="str">
        <f>Raw_Data!A224</f>
        <v>EMP0230</v>
      </c>
      <c r="B224" s="13" t="str">
        <f>TRIM(CLEAN(Raw_Data!B224))</f>
        <v>IT</v>
      </c>
      <c r="C224" s="18" t="s">
        <v>26</v>
      </c>
      <c r="D224" s="14" t="str">
        <f>IF(ISBLANK(Raw_Data!D224),AVERAGE(Raw_Data!D$2:D$5002),Raw_Data!D224)</f>
        <v>94684.16</v>
      </c>
      <c r="E224" s="15" t="str">
        <f>IF(ISBLANK(Raw_Data!E224),AVERAGE(Raw_Data!E$2:E$5002),Raw_Data!E224)</f>
        <v>28405.25</v>
      </c>
      <c r="F224" s="15" t="str">
        <f>IF(ISBLANK(Raw_Data!F224),AVERAGE(Raw_Data!F$2:F$5002),Raw_Data!F224)</f>
        <v>1135.85</v>
      </c>
      <c r="G224" s="14" t="str">
        <f>IF(ISBLANK(Raw_Data!G224),AVERAGE(Raw_Data!G$2:G$5002),Raw_Data!G224)</f>
        <v>27173.16</v>
      </c>
      <c r="H224" s="15" t="str">
        <f t="shared" si="1"/>
        <v>124225.00</v>
      </c>
      <c r="I224" s="14" t="str">
        <f t="shared" si="2"/>
        <v>97052.00</v>
      </c>
      <c r="J224" s="16" t="str">
        <f>TEXT(Raw_Data!J224,"MMM-YYY")</f>
        <v>Sep-2025</v>
      </c>
      <c r="K224" s="13" t="str">
        <f>Raw_Data!K224</f>
        <v>11</v>
      </c>
      <c r="L224" s="17" t="str">
        <f>Raw_Data!L224</f>
        <v>Mumbai-HO</v>
      </c>
      <c r="M224" s="13" t="str">
        <f t="shared" si="3"/>
        <v>OK</v>
      </c>
      <c r="N224" s="18" t="str">
        <f t="shared" si="4"/>
        <v>VALID</v>
      </c>
    </row>
    <row r="225" ht="15.75" customHeight="1">
      <c r="A225" s="13" t="str">
        <f>Raw_Data!A225</f>
        <v>EMP0231</v>
      </c>
      <c r="B225" s="13" t="str">
        <f>TRIM(CLEAN(Raw_Data!B225))</f>
        <v>IT</v>
      </c>
      <c r="C225" s="18" t="s">
        <v>18</v>
      </c>
      <c r="D225" s="14" t="str">
        <f>IF(ISBLANK(Raw_Data!D225),AVERAGE(Raw_Data!D$2:D$5002),Raw_Data!D225)</f>
        <v>68178.01</v>
      </c>
      <c r="E225" s="15" t="str">
        <f>IF(ISBLANK(Raw_Data!E225),AVERAGE(Raw_Data!E$2:E$5002),Raw_Data!E225)</f>
        <v>20453.40</v>
      </c>
      <c r="F225" s="15" t="str">
        <f>IF(ISBLANK(Raw_Data!F225),AVERAGE(Raw_Data!F$2:F$5002),Raw_Data!F225)</f>
        <v>4821.52</v>
      </c>
      <c r="G225" s="14" t="str">
        <f>IF(ISBLANK(Raw_Data!G225),AVERAGE(Raw_Data!G$2:G$5002),Raw_Data!G225)</f>
        <v>13608.48</v>
      </c>
      <c r="H225" s="15" t="str">
        <f t="shared" si="1"/>
        <v>93453.00</v>
      </c>
      <c r="I225" s="14" t="str">
        <f t="shared" si="2"/>
        <v>79845.00</v>
      </c>
      <c r="J225" s="16" t="str">
        <f>TEXT(Raw_Data!J225,"MMM-YYY")</f>
        <v>Jul-2025</v>
      </c>
      <c r="K225" s="13" t="str">
        <f>Raw_Data!K225</f>
        <v>23</v>
      </c>
      <c r="L225" s="17" t="str">
        <f>Raw_Data!L225</f>
        <v>Delhi-North</v>
      </c>
      <c r="M225" s="13" t="str">
        <f t="shared" si="3"/>
        <v>OK</v>
      </c>
      <c r="N225" s="18" t="str">
        <f t="shared" si="4"/>
        <v>VALID</v>
      </c>
    </row>
    <row r="226" ht="15.75" customHeight="1">
      <c r="A226" s="13" t="str">
        <f>Raw_Data!A226</f>
        <v>EMP0232</v>
      </c>
      <c r="B226" s="13" t="str">
        <f>TRIM(CLEAN(Raw_Data!B226))</f>
        <v>Customer Support</v>
      </c>
      <c r="C226" s="18" t="s">
        <v>18</v>
      </c>
      <c r="D226" s="14" t="str">
        <f>IF(ISBLANK(Raw_Data!D226),AVERAGE(Raw_Data!D$2:D$5002),Raw_Data!D226)</f>
        <v>71831.17</v>
      </c>
      <c r="E226" s="15" t="str">
        <f>IF(ISBLANK(Raw_Data!E226),AVERAGE(Raw_Data!E$2:E$5002),Raw_Data!E226)</f>
        <v>19901.28</v>
      </c>
      <c r="F226" s="15" t="str">
        <f>IF(ISBLANK(Raw_Data!F226),AVERAGE(Raw_Data!F$2:F$5002),Raw_Data!F226)</f>
        <v>3816.13</v>
      </c>
      <c r="G226" s="14" t="str">
        <f>IF(ISBLANK(Raw_Data!G226),AVERAGE(Raw_Data!G$2:G$5002),Raw_Data!G226)</f>
        <v>6218.13</v>
      </c>
      <c r="H226" s="15" t="str">
        <f t="shared" si="1"/>
        <v>95549.00</v>
      </c>
      <c r="I226" s="14" t="str">
        <f t="shared" si="2"/>
        <v>89331.00</v>
      </c>
      <c r="J226" s="16" t="str">
        <f>TEXT(Raw_Data!J226,"MMM-YYY")</f>
        <v>Feb-2025</v>
      </c>
      <c r="K226" s="13" t="str">
        <f>Raw_Data!K226</f>
        <v>15</v>
      </c>
      <c r="L226" s="17" t="str">
        <f>Raw_Data!L226</f>
        <v>Bangalore-South</v>
      </c>
      <c r="M226" s="13" t="str">
        <f t="shared" si="3"/>
        <v>OK</v>
      </c>
      <c r="N226" s="18" t="str">
        <f t="shared" si="4"/>
        <v>VALID</v>
      </c>
    </row>
    <row r="227" ht="15.75" customHeight="1">
      <c r="A227" s="13" t="str">
        <f>Raw_Data!A227</f>
        <v>EMP0233</v>
      </c>
      <c r="B227" s="13" t="str">
        <f>TRIM(CLEAN(Raw_Data!B227))</f>
        <v>Operations</v>
      </c>
      <c r="C227" s="18" t="s">
        <v>37</v>
      </c>
      <c r="D227" s="14" t="str">
        <f>IF(ISBLANK(Raw_Data!D227),AVERAGE(Raw_Data!D$2:D$5002),Raw_Data!D227)</f>
        <v>48829.30</v>
      </c>
      <c r="E227" s="15" t="str">
        <f>IF(ISBLANK(Raw_Data!E227),AVERAGE(Raw_Data!E$2:E$5002),Raw_Data!E227)</f>
        <v>14648.79</v>
      </c>
      <c r="F227" s="15" t="str">
        <f>IF(ISBLANK(Raw_Data!F227),AVERAGE(Raw_Data!F$2:F$5002),Raw_Data!F227)</f>
        <v>6413.59</v>
      </c>
      <c r="G227" s="14" t="str">
        <f>IF(ISBLANK(Raw_Data!G227),AVERAGE(Raw_Data!G$2:G$5002),Raw_Data!G227)</f>
        <v>3284.92</v>
      </c>
      <c r="H227" s="15" t="str">
        <f t="shared" si="1"/>
        <v>69892.00</v>
      </c>
      <c r="I227" s="14" t="str">
        <f t="shared" si="2"/>
        <v>66607.00</v>
      </c>
      <c r="J227" s="16" t="str">
        <f>TEXT(Raw_Data!J227,"MMM-YYY")</f>
        <v>Feb-2025</v>
      </c>
      <c r="K227" s="13" t="str">
        <f>Raw_Data!K227</f>
        <v>15</v>
      </c>
      <c r="L227" s="17" t="str">
        <f>Raw_Data!L227</f>
        <v>Chennai-South</v>
      </c>
      <c r="M227" s="13" t="str">
        <f t="shared" si="3"/>
        <v>OK</v>
      </c>
      <c r="N227" s="18" t="str">
        <f t="shared" si="4"/>
        <v>VALID</v>
      </c>
    </row>
    <row r="228" ht="15.75" customHeight="1">
      <c r="A228" s="13" t="str">
        <f>Raw_Data!A228</f>
        <v>EMP0234</v>
      </c>
      <c r="B228" s="13" t="str">
        <f>TRIM(CLEAN(Raw_Data!B228))</f>
        <v>IT</v>
      </c>
      <c r="C228" s="18" t="s">
        <v>26</v>
      </c>
      <c r="D228" s="14" t="str">
        <f>IF(ISBLANK(Raw_Data!D228),AVERAGE(Raw_Data!D$2:D$5002),Raw_Data!D228)</f>
        <v>110025.56</v>
      </c>
      <c r="E228" s="15" t="str">
        <f>IF(ISBLANK(Raw_Data!E228),AVERAGE(Raw_Data!E$2:E$5002),Raw_Data!E228)</f>
        <v>33007.67</v>
      </c>
      <c r="F228" s="15" t="str">
        <f>IF(ISBLANK(Raw_Data!F228),AVERAGE(Raw_Data!F$2:F$5002),Raw_Data!F228)</f>
        <v>2528.06</v>
      </c>
      <c r="G228" s="14" t="str">
        <f>IF(ISBLANK(Raw_Data!G228),AVERAGE(Raw_Data!G$2:G$5002),Raw_Data!G228)</f>
        <v>9194.89</v>
      </c>
      <c r="H228" s="15" t="str">
        <f t="shared" si="1"/>
        <v>145561.00</v>
      </c>
      <c r="I228" s="14" t="str">
        <f t="shared" si="2"/>
        <v>136366.00</v>
      </c>
      <c r="J228" s="16" t="str">
        <f>TEXT(Raw_Data!J228,"MMM-YYY")</f>
        <v>Apr-2025</v>
      </c>
      <c r="K228" s="13" t="str">
        <f>Raw_Data!K228</f>
        <v>19</v>
      </c>
      <c r="L228" s="17" t="str">
        <f>Raw_Data!L228</f>
        <v>Kolkata-East</v>
      </c>
      <c r="M228" s="13" t="str">
        <f t="shared" si="3"/>
        <v>OK</v>
      </c>
      <c r="N228" s="18" t="str">
        <f t="shared" si="4"/>
        <v>VALID</v>
      </c>
    </row>
    <row r="229" ht="15.75" customHeight="1">
      <c r="A229" s="13" t="str">
        <f>Raw_Data!A229</f>
        <v>EMP0235</v>
      </c>
      <c r="B229" s="13" t="str">
        <f>TRIM(CLEAN(Raw_Data!B229))</f>
        <v>Customer Support</v>
      </c>
      <c r="C229" s="18" t="s">
        <v>54</v>
      </c>
      <c r="D229" s="14" t="str">
        <f>IF(ISBLANK(Raw_Data!D229),AVERAGE(Raw_Data!D$2:D$5002),Raw_Data!D229)</f>
        <v>46832.17</v>
      </c>
      <c r="E229" s="15" t="str">
        <f>IF(ISBLANK(Raw_Data!E229),AVERAGE(Raw_Data!E$2:E$5002),Raw_Data!E229)</f>
        <v>14049.65</v>
      </c>
      <c r="F229" s="15" t="str">
        <f>IF(ISBLANK(Raw_Data!F229),AVERAGE(Raw_Data!F$2:F$5002),Raw_Data!F229)</f>
        <v>9128.03</v>
      </c>
      <c r="G229" s="14" t="str">
        <f>IF(ISBLANK(Raw_Data!G229),AVERAGE(Raw_Data!G$2:G$5002),Raw_Data!G229)</f>
        <v>11498.61</v>
      </c>
      <c r="H229" s="15" t="str">
        <f t="shared" si="1"/>
        <v>70010.00</v>
      </c>
      <c r="I229" s="14" t="str">
        <f t="shared" si="2"/>
        <v>58511.00</v>
      </c>
      <c r="J229" s="16" t="str">
        <f>TEXT(Raw_Data!J229,"MMM-YYY")</f>
        <v>Oct-2025</v>
      </c>
      <c r="K229" s="13" t="str">
        <f>Raw_Data!K229</f>
        <v>8</v>
      </c>
      <c r="L229" s="17" t="str">
        <f>Raw_Data!L229</f>
        <v>Pune-West</v>
      </c>
      <c r="M229" s="13" t="str">
        <f t="shared" si="3"/>
        <v>OK</v>
      </c>
      <c r="N229" s="18" t="str">
        <f t="shared" si="4"/>
        <v>VALID</v>
      </c>
    </row>
    <row r="230" ht="15.75" customHeight="1">
      <c r="A230" s="13" t="str">
        <f>Raw_Data!A230</f>
        <v>EMP0236</v>
      </c>
      <c r="B230" s="13" t="str">
        <f>TRIM(CLEAN(Raw_Data!B230))</f>
        <v>Sales</v>
      </c>
      <c r="C230" s="18" t="s">
        <v>18</v>
      </c>
      <c r="D230" s="14" t="str">
        <f>IF(ISBLANK(Raw_Data!D230),AVERAGE(Raw_Data!D$2:D$5002),Raw_Data!D230)</f>
        <v>79475.23</v>
      </c>
      <c r="E230" s="15" t="str">
        <f>IF(ISBLANK(Raw_Data!E230),AVERAGE(Raw_Data!E$2:E$5002),Raw_Data!E230)</f>
        <v>23842.57</v>
      </c>
      <c r="F230" s="15" t="str">
        <f>IF(ISBLANK(Raw_Data!F230),AVERAGE(Raw_Data!F$2:F$5002),Raw_Data!F230)</f>
        <v>9680.00</v>
      </c>
      <c r="G230" s="14" t="str">
        <f>IF(ISBLANK(Raw_Data!G230),AVERAGE(Raw_Data!G$2:G$5002),Raw_Data!G230)</f>
        <v>15684.39</v>
      </c>
      <c r="H230" s="15" t="str">
        <f t="shared" si="1"/>
        <v>112998.00</v>
      </c>
      <c r="I230" s="14" t="str">
        <f t="shared" si="2"/>
        <v>97314.00</v>
      </c>
      <c r="J230" s="16" t="str">
        <f>TEXT(Raw_Data!J230,"MMM-YYY")</f>
        <v>Dec-2025</v>
      </c>
      <c r="K230" s="13" t="str">
        <f>Raw_Data!K230</f>
        <v>20</v>
      </c>
      <c r="L230" s="17" t="str">
        <f>Raw_Data!L230</f>
        <v>Hyderabad-South</v>
      </c>
      <c r="M230" s="13" t="str">
        <f t="shared" si="3"/>
        <v>OK</v>
      </c>
      <c r="N230" s="18" t="str">
        <f t="shared" si="4"/>
        <v>VALID</v>
      </c>
    </row>
    <row r="231" ht="15.75" customHeight="1">
      <c r="A231" s="13" t="str">
        <f>Raw_Data!A231</f>
        <v>EMP0237</v>
      </c>
      <c r="B231" s="13" t="str">
        <f>TRIM(CLEAN(Raw_Data!B231))</f>
        <v>IT</v>
      </c>
      <c r="C231" s="18" t="s">
        <v>14</v>
      </c>
      <c r="D231" s="14" t="str">
        <f>IF(ISBLANK(Raw_Data!D231),AVERAGE(Raw_Data!D$2:D$5002),Raw_Data!D231)</f>
        <v>19299.00</v>
      </c>
      <c r="E231" s="15" t="str">
        <f>IF(ISBLANK(Raw_Data!E231),AVERAGE(Raw_Data!E$2:E$5002),Raw_Data!E231)</f>
        <v>5789.70</v>
      </c>
      <c r="F231" s="15" t="str">
        <f>IF(ISBLANK(Raw_Data!F231),AVERAGE(Raw_Data!F$2:F$5002),Raw_Data!F231)</f>
        <v>2712.28</v>
      </c>
      <c r="G231" s="14" t="str">
        <f>IF(ISBLANK(Raw_Data!G231),AVERAGE(Raw_Data!G$2:G$5002),Raw_Data!G231)</f>
        <v>1788.93</v>
      </c>
      <c r="H231" s="15" t="str">
        <f t="shared" si="1"/>
        <v>27801.00</v>
      </c>
      <c r="I231" s="14" t="str">
        <f t="shared" si="2"/>
        <v>26012.00</v>
      </c>
      <c r="J231" s="16" t="str">
        <f>TEXT(Raw_Data!J231,"MMM-YYY")</f>
        <v>Jun-2025</v>
      </c>
      <c r="K231" s="13" t="str">
        <f>Raw_Data!K231</f>
        <v>14</v>
      </c>
      <c r="L231" s="17" t="str">
        <f>Raw_Data!L231</f>
        <v>Chandigarh-North</v>
      </c>
      <c r="M231" s="13" t="str">
        <f t="shared" si="3"/>
        <v>OK</v>
      </c>
      <c r="N231" s="18" t="str">
        <f t="shared" si="4"/>
        <v>VALID</v>
      </c>
    </row>
    <row r="232" ht="15.75" customHeight="1">
      <c r="A232" s="13" t="str">
        <f>Raw_Data!A232</f>
        <v>EMP0238</v>
      </c>
      <c r="B232" s="13" t="str">
        <f>TRIM(CLEAN(Raw_Data!B232))</f>
        <v>IT</v>
      </c>
      <c r="C232" s="18" t="s">
        <v>14</v>
      </c>
      <c r="D232" s="14" t="str">
        <f>IF(ISBLANK(Raw_Data!D232),AVERAGE(Raw_Data!D$2:D$5002),Raw_Data!D232)</f>
        <v>19306.12</v>
      </c>
      <c r="E232" s="15" t="str">
        <f>IF(ISBLANK(Raw_Data!E232),AVERAGE(Raw_Data!E$2:E$5002),Raw_Data!E232)</f>
        <v>5791.84</v>
      </c>
      <c r="F232" s="15" t="str">
        <f>IF(ISBLANK(Raw_Data!F232),AVERAGE(Raw_Data!F$2:F$5002),Raw_Data!F232)</f>
        <v>553.13</v>
      </c>
      <c r="G232" s="14" t="str">
        <f>IF(ISBLANK(Raw_Data!G232),AVERAGE(Raw_Data!G$2:G$5002),Raw_Data!G232)</f>
        <v>3807.23</v>
      </c>
      <c r="H232" s="15" t="str">
        <f t="shared" si="1"/>
        <v>25651.00</v>
      </c>
      <c r="I232" s="14" t="str">
        <f t="shared" si="2"/>
        <v>21844.00</v>
      </c>
      <c r="J232" s="16" t="str">
        <f>TEXT(Raw_Data!J232,"MMM-YYY")</f>
        <v>Feb-2025</v>
      </c>
      <c r="K232" s="13" t="str">
        <f>Raw_Data!K232</f>
        <v>6</v>
      </c>
      <c r="L232" s="17" t="str">
        <f>Raw_Data!L232</f>
        <v>Ahmedabad-West</v>
      </c>
      <c r="M232" s="13" t="str">
        <f t="shared" si="3"/>
        <v>OK</v>
      </c>
      <c r="N232" s="18" t="str">
        <f t="shared" si="4"/>
        <v>VALID</v>
      </c>
    </row>
    <row r="233" ht="15.75" customHeight="1">
      <c r="A233" s="13" t="str">
        <f>Raw_Data!A233</f>
        <v>EMP0239</v>
      </c>
      <c r="B233" s="13" t="str">
        <f>TRIM(CLEAN(Raw_Data!B233))</f>
        <v>Finance</v>
      </c>
      <c r="C233" s="18" t="s">
        <v>18</v>
      </c>
      <c r="D233" s="14" t="str">
        <f>IF(ISBLANK(Raw_Data!D233),AVERAGE(Raw_Data!D$2:D$5002),Raw_Data!D233)</f>
        <v>81462.47</v>
      </c>
      <c r="E233" s="15" t="str">
        <f>IF(ISBLANK(Raw_Data!E233),AVERAGE(Raw_Data!E$2:E$5002),Raw_Data!E233)</f>
        <v>24438.74</v>
      </c>
      <c r="F233" s="15" t="str">
        <f>IF(ISBLANK(Raw_Data!F233),AVERAGE(Raw_Data!F$2:F$5002),Raw_Data!F233)</f>
        <v>499.48</v>
      </c>
      <c r="G233" s="14" t="str">
        <f>IF(ISBLANK(Raw_Data!G233),AVERAGE(Raw_Data!G$2:G$5002),Raw_Data!G233)</f>
        <v>18234.03</v>
      </c>
      <c r="H233" s="15" t="str">
        <f t="shared" si="1"/>
        <v>106401.00</v>
      </c>
      <c r="I233" s="14" t="str">
        <f t="shared" si="2"/>
        <v>88167.00</v>
      </c>
      <c r="J233" s="16" t="str">
        <f>TEXT(Raw_Data!J233,"MMM-YYY")</f>
        <v>Apr-2025</v>
      </c>
      <c r="K233" s="13" t="str">
        <f>Raw_Data!K233</f>
        <v>16</v>
      </c>
      <c r="L233" s="17" t="str">
        <f>Raw_Data!L233</f>
        <v>Jaipur-North</v>
      </c>
      <c r="M233" s="13" t="str">
        <f t="shared" si="3"/>
        <v>OK</v>
      </c>
      <c r="N233" s="18" t="str">
        <f t="shared" si="4"/>
        <v>VALID</v>
      </c>
    </row>
    <row r="234" ht="15.75" customHeight="1">
      <c r="A234" s="13" t="str">
        <f>Raw_Data!A234</f>
        <v>EMP0240</v>
      </c>
      <c r="B234" s="13" t="str">
        <f>TRIM(CLEAN(Raw_Data!B234))</f>
        <v>Marketing</v>
      </c>
      <c r="C234" s="18" t="s">
        <v>54</v>
      </c>
      <c r="D234" s="14" t="str">
        <f>IF(ISBLANK(Raw_Data!D234),AVERAGE(Raw_Data!D$2:D$5002),Raw_Data!D234)</f>
        <v>41351.04</v>
      </c>
      <c r="E234" s="15" t="str">
        <f>IF(ISBLANK(Raw_Data!E234),AVERAGE(Raw_Data!E$2:E$5002),Raw_Data!E234)</f>
        <v>12405.31</v>
      </c>
      <c r="F234" s="15" t="str">
        <f>IF(ISBLANK(Raw_Data!F234),AVERAGE(Raw_Data!F$2:F$5002),Raw_Data!F234)</f>
        <v>1301.81</v>
      </c>
      <c r="G234" s="14" t="str">
        <f>IF(ISBLANK(Raw_Data!G234),AVERAGE(Raw_Data!G$2:G$5002),Raw_Data!G234)</f>
        <v>3865.96</v>
      </c>
      <c r="H234" s="15" t="str">
        <f t="shared" si="1"/>
        <v>55058.00</v>
      </c>
      <c r="I234" s="14" t="str">
        <f t="shared" si="2"/>
        <v>51192.00</v>
      </c>
      <c r="J234" s="16" t="str">
        <f>TEXT(Raw_Data!J234,"MMM-YYY")</f>
        <v>Jan-2025</v>
      </c>
      <c r="K234" s="13" t="str">
        <f>Raw_Data!K234</f>
        <v>6</v>
      </c>
      <c r="L234" s="17" t="str">
        <f>Raw_Data!L234</f>
        <v>Mumbai-HO</v>
      </c>
      <c r="M234" s="13" t="str">
        <f t="shared" si="3"/>
        <v>OK</v>
      </c>
      <c r="N234" s="18" t="str">
        <f t="shared" si="4"/>
        <v>VALID</v>
      </c>
    </row>
    <row r="235" ht="15.75" customHeight="1">
      <c r="A235" s="13" t="str">
        <f>Raw_Data!A235</f>
        <v>EMP0241</v>
      </c>
      <c r="B235" s="13" t="str">
        <f>TRIM(CLEAN(Raw_Data!B235))</f>
        <v>Customer Support</v>
      </c>
      <c r="C235" s="18" t="s">
        <v>37</v>
      </c>
      <c r="D235" s="14" t="str">
        <f>IF(ISBLANK(Raw_Data!D235),AVERAGE(Raw_Data!D$2:D$5002),Raw_Data!D235)</f>
        <v>55732.03</v>
      </c>
      <c r="E235" s="15" t="str">
        <f>IF(ISBLANK(Raw_Data!E235),AVERAGE(Raw_Data!E$2:E$5002),Raw_Data!E235)</f>
        <v>16719.61</v>
      </c>
      <c r="F235" s="15" t="str">
        <f>IF(ISBLANK(Raw_Data!F235),AVERAGE(Raw_Data!F$2:F$5002),Raw_Data!F235)</f>
        <v>9846.09</v>
      </c>
      <c r="G235" s="14" t="str">
        <f>IF(ISBLANK(Raw_Data!G235),AVERAGE(Raw_Data!G$2:G$5002),Raw_Data!G235)</f>
        <v>2601.24</v>
      </c>
      <c r="H235" s="15" t="str">
        <f t="shared" si="1"/>
        <v>82298.00</v>
      </c>
      <c r="I235" s="14" t="str">
        <f t="shared" si="2"/>
        <v>79697.00</v>
      </c>
      <c r="J235" s="16" t="str">
        <f>TEXT(Raw_Data!J235,"MMM-YYY")</f>
        <v>Oct-2025</v>
      </c>
      <c r="K235" s="13" t="str">
        <f>Raw_Data!K235</f>
        <v>7</v>
      </c>
      <c r="L235" s="17" t="str">
        <f>Raw_Data!L235</f>
        <v>Delhi-North</v>
      </c>
      <c r="M235" s="13" t="str">
        <f t="shared" si="3"/>
        <v>OK</v>
      </c>
      <c r="N235" s="18" t="str">
        <f t="shared" si="4"/>
        <v>VALID</v>
      </c>
    </row>
    <row r="236" ht="15.75" customHeight="1">
      <c r="A236" s="13" t="str">
        <f>Raw_Data!A236</f>
        <v>EMP0242</v>
      </c>
      <c r="B236" s="13" t="str">
        <f>TRIM(CLEAN(Raw_Data!B236))</f>
        <v>HR</v>
      </c>
      <c r="C236" s="18" t="s">
        <v>18</v>
      </c>
      <c r="D236" s="14" t="str">
        <f>IF(ISBLANK(Raw_Data!D236),AVERAGE(Raw_Data!D$2:D$5002),Raw_Data!D236)</f>
        <v>67121.12</v>
      </c>
      <c r="E236" s="15" t="str">
        <f>IF(ISBLANK(Raw_Data!E236),AVERAGE(Raw_Data!E$2:E$5002),Raw_Data!E236)</f>
        <v>20136.34</v>
      </c>
      <c r="F236" s="15" t="str">
        <f>IF(ISBLANK(Raw_Data!F236),AVERAGE(Raw_Data!F$2:F$5002),Raw_Data!F236)</f>
        <v>5948.45</v>
      </c>
      <c r="G236" s="14" t="str">
        <f>IF(ISBLANK(Raw_Data!G236),AVERAGE(Raw_Data!G$2:G$5002),Raw_Data!G236)</f>
        <v>8538.10</v>
      </c>
      <c r="H236" s="15" t="str">
        <f t="shared" si="1"/>
        <v>93206.00</v>
      </c>
      <c r="I236" s="14" t="str">
        <f t="shared" si="2"/>
        <v>84668.00</v>
      </c>
      <c r="J236" s="16" t="str">
        <f>TEXT(Raw_Data!J236,"MMM-YYY")</f>
        <v>Oct-2025</v>
      </c>
      <c r="K236" s="13" t="str">
        <f>Raw_Data!K236</f>
        <v>21</v>
      </c>
      <c r="L236" s="17" t="str">
        <f>Raw_Data!L236</f>
        <v>Bangalore-South</v>
      </c>
      <c r="M236" s="13" t="str">
        <f t="shared" si="3"/>
        <v>OK</v>
      </c>
      <c r="N236" s="18" t="str">
        <f t="shared" si="4"/>
        <v>VALID</v>
      </c>
    </row>
    <row r="237" ht="15.75" customHeight="1">
      <c r="A237" s="13" t="str">
        <f>Raw_Data!A237</f>
        <v>EMP0243</v>
      </c>
      <c r="B237" s="13" t="str">
        <f>TRIM(CLEAN(Raw_Data!B237))</f>
        <v>Marketing</v>
      </c>
      <c r="C237" s="18" t="s">
        <v>54</v>
      </c>
      <c r="D237" s="14" t="str">
        <f>IF(ISBLANK(Raw_Data!D237),AVERAGE(Raw_Data!D$2:D$5002),Raw_Data!D237)</f>
        <v>38824.34</v>
      </c>
      <c r="E237" s="15" t="str">
        <f>IF(ISBLANK(Raw_Data!E237),AVERAGE(Raw_Data!E$2:E$5002),Raw_Data!E237)</f>
        <v>11647.30</v>
      </c>
      <c r="F237" s="15" t="str">
        <f>IF(ISBLANK(Raw_Data!F237),AVERAGE(Raw_Data!F$2:F$5002),Raw_Data!F237)</f>
        <v>5862.03</v>
      </c>
      <c r="G237" s="14" t="str">
        <f>IF(ISBLANK(Raw_Data!G237),AVERAGE(Raw_Data!G$2:G$5002),Raw_Data!G237)</f>
        <v>1325.67</v>
      </c>
      <c r="H237" s="15" t="str">
        <f t="shared" si="1"/>
        <v>56334.00</v>
      </c>
      <c r="I237" s="14" t="str">
        <f t="shared" si="2"/>
        <v>55008.00</v>
      </c>
      <c r="J237" s="16" t="str">
        <f>TEXT(Raw_Data!J237,"MMM-YYY")</f>
        <v>Jul-2025</v>
      </c>
      <c r="K237" s="13" t="str">
        <f>Raw_Data!K237</f>
        <v>3</v>
      </c>
      <c r="L237" s="17" t="str">
        <f>Raw_Data!L237</f>
        <v>Chennai-South</v>
      </c>
      <c r="M237" s="13" t="str">
        <f t="shared" si="3"/>
        <v>OK</v>
      </c>
      <c r="N237" s="18" t="str">
        <f t="shared" si="4"/>
        <v>VALID</v>
      </c>
    </row>
    <row r="238" ht="15.75" customHeight="1">
      <c r="A238" s="13" t="str">
        <f>Raw_Data!A238</f>
        <v>EMP0244</v>
      </c>
      <c r="B238" s="13" t="str">
        <f>TRIM(CLEAN(Raw_Data!B238))</f>
        <v>HR</v>
      </c>
      <c r="C238" s="18" t="s">
        <v>33</v>
      </c>
      <c r="D238" s="14" t="str">
        <f>IF(ISBLANK(Raw_Data!D238),AVERAGE(Raw_Data!D$2:D$5002),Raw_Data!D238)</f>
        <v>31782.18</v>
      </c>
      <c r="E238" s="15" t="str">
        <f>IF(ISBLANK(Raw_Data!E238),AVERAGE(Raw_Data!E$2:E$5002),Raw_Data!E238)</f>
        <v>9534.65</v>
      </c>
      <c r="F238" s="15" t="str">
        <f>IF(ISBLANK(Raw_Data!F238),AVERAGE(Raw_Data!F$2:F$5002),Raw_Data!F238)</f>
        <v>3770.22</v>
      </c>
      <c r="G238" s="14" t="str">
        <f>IF(ISBLANK(Raw_Data!G238),AVERAGE(Raw_Data!G$2:G$5002),Raw_Data!G238)</f>
        <v>5024.13</v>
      </c>
      <c r="H238" s="15" t="str">
        <f t="shared" si="1"/>
        <v>45087.00</v>
      </c>
      <c r="I238" s="14" t="str">
        <f t="shared" si="2"/>
        <v>40063.00</v>
      </c>
      <c r="J238" s="16" t="str">
        <f>TEXT(Raw_Data!J238,"MMM-YYY")</f>
        <v>May-2025</v>
      </c>
      <c r="K238" s="13" t="str">
        <f>Raw_Data!K238</f>
        <v>3</v>
      </c>
      <c r="L238" s="17" t="str">
        <f>Raw_Data!L238</f>
        <v>Kolkata-East</v>
      </c>
      <c r="M238" s="13" t="str">
        <f t="shared" si="3"/>
        <v>OK</v>
      </c>
      <c r="N238" s="18" t="str">
        <f t="shared" si="4"/>
        <v>VALID</v>
      </c>
    </row>
    <row r="239" ht="15.75" customHeight="1">
      <c r="A239" s="13" t="str">
        <f>Raw_Data!A239</f>
        <v>EMP0245</v>
      </c>
      <c r="B239" s="13" t="s">
        <v>13</v>
      </c>
      <c r="C239" s="18" t="s">
        <v>30</v>
      </c>
      <c r="D239" s="14" t="str">
        <f>IF(ISBLANK(Raw_Data!D239),AVERAGE(Raw_Data!D$2:D$5002),Raw_Data!D239)</f>
        <v>25478.32</v>
      </c>
      <c r="E239" s="15" t="str">
        <f>IF(ISBLANK(Raw_Data!E239),AVERAGE(Raw_Data!E$2:E$5002),Raw_Data!E239)</f>
        <v>7643.50</v>
      </c>
      <c r="F239" s="15" t="str">
        <f>IF(ISBLANK(Raw_Data!F239),AVERAGE(Raw_Data!F$2:F$5002),Raw_Data!F239)</f>
        <v>3053.96</v>
      </c>
      <c r="G239" s="14" t="str">
        <f>IF(ISBLANK(Raw_Data!G239),AVERAGE(Raw_Data!G$2:G$5002),Raw_Data!G239)</f>
        <v>58.76</v>
      </c>
      <c r="H239" s="15" t="str">
        <f t="shared" si="1"/>
        <v>36176.00</v>
      </c>
      <c r="I239" s="14" t="str">
        <f t="shared" si="2"/>
        <v>36117.00</v>
      </c>
      <c r="J239" s="16" t="str">
        <f>TEXT(Raw_Data!J239,"MMM-YYY")</f>
        <v>May-2025</v>
      </c>
      <c r="K239" s="13" t="str">
        <f>Raw_Data!K239</f>
        <v>19</v>
      </c>
      <c r="L239" s="17" t="str">
        <f>Raw_Data!L239</f>
        <v>Pune-West</v>
      </c>
      <c r="M239" s="13" t="str">
        <f t="shared" si="3"/>
        <v>OK</v>
      </c>
      <c r="N239" s="18" t="str">
        <f t="shared" si="4"/>
        <v>VALID</v>
      </c>
    </row>
    <row r="240" ht="15.75" customHeight="1">
      <c r="A240" s="13" t="str">
        <f>Raw_Data!A240</f>
        <v>EMP0246</v>
      </c>
      <c r="B240" s="13" t="str">
        <f>TRIM(CLEAN(Raw_Data!B240))</f>
        <v>Finance</v>
      </c>
      <c r="C240" s="18" t="s">
        <v>26</v>
      </c>
      <c r="D240" s="14" t="str">
        <f>IF(ISBLANK(Raw_Data!D240),AVERAGE(Raw_Data!D$2:D$5002),Raw_Data!D240)</f>
        <v>94940.45</v>
      </c>
      <c r="E240" s="15" t="str">
        <f>IF(ISBLANK(Raw_Data!E240),AVERAGE(Raw_Data!E$2:E$5002),Raw_Data!E240)</f>
        <v>28482.13</v>
      </c>
      <c r="F240" s="15" t="str">
        <f>IF(ISBLANK(Raw_Data!F240),AVERAGE(Raw_Data!F$2:F$5002),Raw_Data!F240)</f>
        <v>4851.83</v>
      </c>
      <c r="G240" s="14" t="str">
        <f>IF(ISBLANK(Raw_Data!G240),AVERAGE(Raw_Data!G$2:G$5002),Raw_Data!G240)</f>
        <v>9345.63</v>
      </c>
      <c r="H240" s="15" t="str">
        <f t="shared" si="1"/>
        <v>128274.00</v>
      </c>
      <c r="I240" s="14" t="str">
        <f t="shared" si="2"/>
        <v>118928.00</v>
      </c>
      <c r="J240" s="16" t="str">
        <f>TEXT(Raw_Data!J240,"MMM-YYY")</f>
        <v>Jan-2025</v>
      </c>
      <c r="K240" s="13" t="str">
        <f>Raw_Data!K240</f>
        <v>22</v>
      </c>
      <c r="L240" s="17" t="str">
        <f>Raw_Data!L240</f>
        <v>Hyderabad-South</v>
      </c>
      <c r="M240" s="13" t="str">
        <f t="shared" si="3"/>
        <v>OK</v>
      </c>
      <c r="N240" s="18" t="str">
        <f t="shared" si="4"/>
        <v>VALID</v>
      </c>
    </row>
    <row r="241" ht="15.75" customHeight="1">
      <c r="A241" s="13" t="str">
        <f>Raw_Data!A241</f>
        <v>EMP0247</v>
      </c>
      <c r="B241" s="13" t="str">
        <f>TRIM(CLEAN(Raw_Data!B241))</f>
        <v>Marketing</v>
      </c>
      <c r="C241" s="18" t="s">
        <v>18</v>
      </c>
      <c r="D241" s="14" t="str">
        <f>IF(ISBLANK(Raw_Data!D241),AVERAGE(Raw_Data!D$2:D$5002),Raw_Data!D241)</f>
        <v>76197.03</v>
      </c>
      <c r="E241" s="15" t="str">
        <f>IF(ISBLANK(Raw_Data!E241),AVERAGE(Raw_Data!E$2:E$5002),Raw_Data!E241)</f>
        <v>22859.11</v>
      </c>
      <c r="F241" s="15" t="str">
        <f>IF(ISBLANK(Raw_Data!F241),AVERAGE(Raw_Data!F$2:F$5002),Raw_Data!F241)</f>
        <v>1968.71</v>
      </c>
      <c r="G241" s="14" t="str">
        <f>IF(ISBLANK(Raw_Data!G241),AVERAGE(Raw_Data!G$2:G$5002),Raw_Data!G241)</f>
        <v>12174.36</v>
      </c>
      <c r="H241" s="15" t="str">
        <f t="shared" si="1"/>
        <v>101025.00</v>
      </c>
      <c r="I241" s="14" t="str">
        <f t="shared" si="2"/>
        <v>88851.00</v>
      </c>
      <c r="J241" s="16" t="str">
        <f>TEXT(Raw_Data!J241,"MMM-YYY")</f>
        <v>Apr-2025</v>
      </c>
      <c r="K241" s="13" t="str">
        <f>Raw_Data!K241</f>
        <v>17</v>
      </c>
      <c r="L241" s="17" t="str">
        <f>Raw_Data!L241</f>
        <v>Chandigarh-North</v>
      </c>
      <c r="M241" s="13" t="str">
        <f t="shared" si="3"/>
        <v>OK</v>
      </c>
      <c r="N241" s="18" t="str">
        <f t="shared" si="4"/>
        <v>VALID</v>
      </c>
    </row>
    <row r="242" ht="15.75" customHeight="1">
      <c r="A242" s="13" t="str">
        <f>Raw_Data!A242</f>
        <v>EMP0248</v>
      </c>
      <c r="B242" s="13" t="str">
        <f>TRIM(CLEAN(Raw_Data!B242))</f>
        <v>Operations</v>
      </c>
      <c r="C242" s="18" t="s">
        <v>37</v>
      </c>
      <c r="D242" s="14" t="str">
        <f>IF(ISBLANK(Raw_Data!D242),AVERAGE(Raw_Data!D$2:D$5002),Raw_Data!D242)</f>
        <v>60000.38</v>
      </c>
      <c r="E242" s="15" t="str">
        <f>IF(ISBLANK(Raw_Data!E242),AVERAGE(Raw_Data!E$2:E$5002),Raw_Data!E242)</f>
        <v>18000.11</v>
      </c>
      <c r="F242" s="15" t="str">
        <f>IF(ISBLANK(Raw_Data!F242),AVERAGE(Raw_Data!F$2:F$5002),Raw_Data!F242)</f>
        <v>9674.46</v>
      </c>
      <c r="G242" s="14" t="str">
        <f>IF(ISBLANK(Raw_Data!G242),AVERAGE(Raw_Data!G$2:G$5002),Raw_Data!G242)</f>
        <v>1297.37</v>
      </c>
      <c r="H242" s="15" t="str">
        <f t="shared" si="1"/>
        <v>87675.00</v>
      </c>
      <c r="I242" s="14" t="str">
        <f t="shared" si="2"/>
        <v>86378.00</v>
      </c>
      <c r="J242" s="16" t="str">
        <f>TEXT(Raw_Data!J242,"MMM-YYY")</f>
        <v>Dec-2025</v>
      </c>
      <c r="K242" s="13" t="str">
        <f>Raw_Data!K242</f>
        <v>10</v>
      </c>
      <c r="L242" s="17" t="str">
        <f>Raw_Data!L242</f>
        <v>Ahmedabad-West</v>
      </c>
      <c r="M242" s="13" t="str">
        <f t="shared" si="3"/>
        <v>OK</v>
      </c>
      <c r="N242" s="18" t="str">
        <f t="shared" si="4"/>
        <v>VALID</v>
      </c>
    </row>
    <row r="243" ht="15.75" customHeight="1">
      <c r="A243" s="13" t="str">
        <f>Raw_Data!A243</f>
        <v>EMP0249</v>
      </c>
      <c r="B243" s="13" t="str">
        <f>TRIM(CLEAN(Raw_Data!B243))</f>
        <v>HR</v>
      </c>
      <c r="C243" s="18" t="s">
        <v>54</v>
      </c>
      <c r="D243" s="14" t="str">
        <f>IF(ISBLANK(Raw_Data!D243),AVERAGE(Raw_Data!D$2:D$5002),Raw_Data!D243)</f>
        <v>35262.38</v>
      </c>
      <c r="E243" s="15" t="str">
        <f>IF(ISBLANK(Raw_Data!E243),AVERAGE(Raw_Data!E$2:E$5002),Raw_Data!E243)</f>
        <v>10578.71</v>
      </c>
      <c r="F243" s="15" t="str">
        <f>IF(ISBLANK(Raw_Data!F243),AVERAGE(Raw_Data!F$2:F$5002),Raw_Data!F243)</f>
        <v>6496.48</v>
      </c>
      <c r="G243" s="14" t="str">
        <f>IF(ISBLANK(Raw_Data!G243),AVERAGE(Raw_Data!G$2:G$5002),Raw_Data!G243)</f>
        <v>9120.02</v>
      </c>
      <c r="H243" s="15" t="str">
        <f t="shared" si="1"/>
        <v>52338.00</v>
      </c>
      <c r="I243" s="14" t="str">
        <f t="shared" si="2"/>
        <v>43218.00</v>
      </c>
      <c r="J243" s="16" t="str">
        <f>TEXT(Raw_Data!J243,"MMM-YYY")</f>
        <v>Oct-2025</v>
      </c>
      <c r="K243" s="13" t="str">
        <f>Raw_Data!K243</f>
        <v>22</v>
      </c>
      <c r="L243" s="17" t="str">
        <f>Raw_Data!L243</f>
        <v>Jaipur-North</v>
      </c>
      <c r="M243" s="13" t="str">
        <f t="shared" si="3"/>
        <v>OK</v>
      </c>
      <c r="N243" s="18" t="str">
        <f t="shared" si="4"/>
        <v>VALID</v>
      </c>
    </row>
    <row r="244" ht="15.75" customHeight="1">
      <c r="A244" s="13" t="str">
        <f>Raw_Data!A244</f>
        <v>EMP0250</v>
      </c>
      <c r="B244" s="13" t="str">
        <f>TRIM(CLEAN(Raw_Data!B244))</f>
        <v>Marketing</v>
      </c>
      <c r="C244" s="18" t="s">
        <v>37</v>
      </c>
      <c r="D244" s="14" t="str">
        <f>IF(ISBLANK(Raw_Data!D244),AVERAGE(Raw_Data!D$2:D$5002),Raw_Data!D244)</f>
        <v>52279.61</v>
      </c>
      <c r="E244" s="15" t="str">
        <f>IF(ISBLANK(Raw_Data!E244),AVERAGE(Raw_Data!E$2:E$5002),Raw_Data!E244)</f>
        <v>15683.88</v>
      </c>
      <c r="F244" s="15" t="str">
        <f>IF(ISBLANK(Raw_Data!F244),AVERAGE(Raw_Data!F$2:F$5002),Raw_Data!F244)</f>
        <v>6693.27</v>
      </c>
      <c r="G244" s="14" t="str">
        <f>IF(ISBLANK(Raw_Data!G244),AVERAGE(Raw_Data!G$2:G$5002),Raw_Data!G244)</f>
        <v>4540.72</v>
      </c>
      <c r="H244" s="15" t="str">
        <f t="shared" si="1"/>
        <v>74657.00</v>
      </c>
      <c r="I244" s="14" t="str">
        <f t="shared" si="2"/>
        <v>70116.00</v>
      </c>
      <c r="J244" s="16" t="str">
        <f>TEXT(Raw_Data!J244,"MMM-YYY")</f>
        <v>Jul-2025</v>
      </c>
      <c r="K244" s="13" t="str">
        <f>Raw_Data!K244</f>
        <v>1</v>
      </c>
      <c r="L244" s="17" t="str">
        <f>Raw_Data!L244</f>
        <v>Mumbai-HO</v>
      </c>
      <c r="M244" s="13" t="str">
        <f t="shared" si="3"/>
        <v>OK</v>
      </c>
      <c r="N244" s="18" t="str">
        <f t="shared" si="4"/>
        <v>VALID</v>
      </c>
    </row>
    <row r="245" ht="15.75" customHeight="1">
      <c r="A245" s="13" t="str">
        <f>Raw_Data!A245</f>
        <v>EMP0251</v>
      </c>
      <c r="B245" s="13" t="str">
        <f>TRIM(CLEAN(Raw_Data!B245))</f>
        <v>HR</v>
      </c>
      <c r="C245" s="18" t="s">
        <v>33</v>
      </c>
      <c r="D245" s="14" t="str">
        <f>IF(ISBLANK(Raw_Data!D245),AVERAGE(Raw_Data!D$2:D$5002),Raw_Data!D245)</f>
        <v>26718.73</v>
      </c>
      <c r="E245" s="15" t="str">
        <f>IF(ISBLANK(Raw_Data!E245),AVERAGE(Raw_Data!E$2:E$5002),Raw_Data!E245)</f>
        <v>8015.62</v>
      </c>
      <c r="F245" s="15" t="str">
        <f>IF(ISBLANK(Raw_Data!F245),AVERAGE(Raw_Data!F$2:F$5002),Raw_Data!F245)</f>
        <v>5063.81</v>
      </c>
      <c r="G245" s="14" t="str">
        <f>IF(ISBLANK(Raw_Data!G245),AVERAGE(Raw_Data!G$2:G$5002),Raw_Data!G245)</f>
        <v>14562.73</v>
      </c>
      <c r="H245" s="15" t="str">
        <f t="shared" si="1"/>
        <v>39798.00</v>
      </c>
      <c r="I245" s="14" t="str">
        <f t="shared" si="2"/>
        <v>25235.00</v>
      </c>
      <c r="J245" s="16" t="str">
        <f>TEXT(Raw_Data!J245,"MMM-YYY")</f>
        <v>Dec-2025</v>
      </c>
      <c r="K245" s="13" t="str">
        <f>Raw_Data!K245</f>
        <v>22</v>
      </c>
      <c r="L245" s="17" t="str">
        <f>Raw_Data!L245</f>
        <v>Delhi-North</v>
      </c>
      <c r="M245" s="13" t="str">
        <f t="shared" si="3"/>
        <v>OK</v>
      </c>
      <c r="N245" s="18" t="str">
        <f t="shared" si="4"/>
        <v>VALID</v>
      </c>
    </row>
    <row r="246" ht="15.75" customHeight="1">
      <c r="A246" s="13" t="str">
        <f>Raw_Data!A246</f>
        <v>EMP0252</v>
      </c>
      <c r="B246" s="13" t="str">
        <f>TRIM(CLEAN(Raw_Data!B246))</f>
        <v>IT</v>
      </c>
      <c r="C246" s="18" t="s">
        <v>14</v>
      </c>
      <c r="D246" s="14" t="str">
        <f>IF(ISBLANK(Raw_Data!D246),AVERAGE(Raw_Data!D$2:D$5002),Raw_Data!D246)</f>
        <v>21144.32</v>
      </c>
      <c r="E246" s="15" t="str">
        <f>IF(ISBLANK(Raw_Data!E246),AVERAGE(Raw_Data!E$2:E$5002),Raw_Data!E246)</f>
        <v>6343.30</v>
      </c>
      <c r="F246" s="15" t="str">
        <f>IF(ISBLANK(Raw_Data!F246),AVERAGE(Raw_Data!F$2:F$5002),Raw_Data!F246)</f>
        <v>447.68</v>
      </c>
      <c r="G246" s="14" t="str">
        <f>IF(ISBLANK(Raw_Data!G246),AVERAGE(Raw_Data!G$2:G$5002),Raw_Data!G246)</f>
        <v>2763.63</v>
      </c>
      <c r="H246" s="15" t="str">
        <f t="shared" si="1"/>
        <v>27935.00</v>
      </c>
      <c r="I246" s="14" t="str">
        <f t="shared" si="2"/>
        <v>25171.00</v>
      </c>
      <c r="J246" s="16" t="str">
        <f>TEXT(Raw_Data!J246,"MMM-YYY")</f>
        <v>Jul-2025</v>
      </c>
      <c r="K246" s="13" t="str">
        <f>Raw_Data!K246</f>
        <v>14</v>
      </c>
      <c r="L246" s="17" t="str">
        <f>Raw_Data!L246</f>
        <v>Bangalore-South</v>
      </c>
      <c r="M246" s="13" t="str">
        <f t="shared" si="3"/>
        <v>OK</v>
      </c>
      <c r="N246" s="18" t="str">
        <f t="shared" si="4"/>
        <v>VALID</v>
      </c>
    </row>
    <row r="247" ht="15.75" customHeight="1">
      <c r="A247" s="13" t="str">
        <f>Raw_Data!A247</f>
        <v>EMP0253</v>
      </c>
      <c r="B247" s="13" t="str">
        <f>TRIM(CLEAN(Raw_Data!B247))</f>
        <v>Operations</v>
      </c>
      <c r="C247" s="18" t="s">
        <v>14</v>
      </c>
      <c r="D247" s="14" t="str">
        <f>IF(ISBLANK(Raw_Data!D247),AVERAGE(Raw_Data!D$2:D$5002),Raw_Data!D247)</f>
        <v>20849.52</v>
      </c>
      <c r="E247" s="15" t="str">
        <f>IF(ISBLANK(Raw_Data!E247),AVERAGE(Raw_Data!E$2:E$5002),Raw_Data!E247)</f>
        <v>6254.86</v>
      </c>
      <c r="F247" s="15" t="str">
        <f>IF(ISBLANK(Raw_Data!F247),AVERAGE(Raw_Data!F$2:F$5002),Raw_Data!F247)</f>
        <v>1293.82</v>
      </c>
      <c r="G247" s="14" t="str">
        <f>IF(ISBLANK(Raw_Data!G247),AVERAGE(Raw_Data!G$2:G$5002),Raw_Data!G247)</f>
        <v>14562.73</v>
      </c>
      <c r="H247" s="15" t="str">
        <f t="shared" si="1"/>
        <v>28398.00</v>
      </c>
      <c r="I247" s="14" t="str">
        <f t="shared" si="2"/>
        <v>13835.00</v>
      </c>
      <c r="J247" s="16" t="str">
        <f>TEXT(Raw_Data!J247,"MMM-YYY")</f>
        <v>Jun-2025</v>
      </c>
      <c r="K247" s="13" t="str">
        <f>Raw_Data!K247</f>
        <v>12</v>
      </c>
      <c r="L247" s="17" t="str">
        <f>Raw_Data!L247</f>
        <v>Chennai-South</v>
      </c>
      <c r="M247" s="13" t="str">
        <f t="shared" si="3"/>
        <v>OK</v>
      </c>
      <c r="N247" s="18" t="str">
        <f t="shared" si="4"/>
        <v>VALID</v>
      </c>
    </row>
    <row r="248" ht="15.75" customHeight="1">
      <c r="A248" s="13" t="str">
        <f>Raw_Data!A248</f>
        <v>EMP0254</v>
      </c>
      <c r="B248" s="13" t="str">
        <f>TRIM(CLEAN(Raw_Data!B248))</f>
        <v>Customer Support</v>
      </c>
      <c r="C248" s="18" t="s">
        <v>30</v>
      </c>
      <c r="D248" s="14" t="str">
        <f>IF(ISBLANK(Raw_Data!D248),AVERAGE(Raw_Data!D$2:D$5002),Raw_Data!D248)</f>
        <v>22672.14</v>
      </c>
      <c r="E248" s="15" t="str">
        <f>IF(ISBLANK(Raw_Data!E248),AVERAGE(Raw_Data!E$2:E$5002),Raw_Data!E248)</f>
        <v>6801.64</v>
      </c>
      <c r="F248" s="15" t="str">
        <f>IF(ISBLANK(Raw_Data!F248),AVERAGE(Raw_Data!F$2:F$5002),Raw_Data!F248)</f>
        <v>2871.31</v>
      </c>
      <c r="G248" s="14" t="str">
        <f>IF(ISBLANK(Raw_Data!G248),AVERAGE(Raw_Data!G$2:G$5002),Raw_Data!G248)</f>
        <v>3608.98</v>
      </c>
      <c r="H248" s="15" t="str">
        <f t="shared" si="1"/>
        <v>32345.00</v>
      </c>
      <c r="I248" s="14" t="str">
        <f t="shared" si="2"/>
        <v>28736.00</v>
      </c>
      <c r="J248" s="16" t="str">
        <f>TEXT(Raw_Data!J248,"MMM-YYY")</f>
        <v>Apr-2025</v>
      </c>
      <c r="K248" s="13" t="str">
        <f>Raw_Data!K248</f>
        <v>8</v>
      </c>
      <c r="L248" s="17" t="str">
        <f>Raw_Data!L248</f>
        <v>Kolkata-East</v>
      </c>
      <c r="M248" s="13" t="str">
        <f t="shared" si="3"/>
        <v>OK</v>
      </c>
      <c r="N248" s="18" t="str">
        <f t="shared" si="4"/>
        <v>VALID</v>
      </c>
    </row>
    <row r="249" ht="15.75" customHeight="1">
      <c r="A249" s="13" t="str">
        <f>Raw_Data!A249</f>
        <v>EMP0255</v>
      </c>
      <c r="B249" s="13" t="str">
        <f>TRIM(CLEAN(Raw_Data!B249))</f>
        <v>Customer Support</v>
      </c>
      <c r="C249" s="18" t="s">
        <v>33</v>
      </c>
      <c r="D249" s="14" t="str">
        <f>IF(ISBLANK(Raw_Data!D249),AVERAGE(Raw_Data!D$2:D$5002),Raw_Data!D249)</f>
        <v>28511.00</v>
      </c>
      <c r="E249" s="15" t="str">
        <f>IF(ISBLANK(Raw_Data!E249),AVERAGE(Raw_Data!E$2:E$5002),Raw_Data!E249)</f>
        <v>8553.30</v>
      </c>
      <c r="F249" s="15" t="str">
        <f>IF(ISBLANK(Raw_Data!F249),AVERAGE(Raw_Data!F$2:F$5002),Raw_Data!F249)</f>
        <v>5463.98</v>
      </c>
      <c r="G249" s="14" t="str">
        <f>IF(ISBLANK(Raw_Data!G249),AVERAGE(Raw_Data!G$2:G$5002),Raw_Data!G249)</f>
        <v>5520.67</v>
      </c>
      <c r="H249" s="15" t="str">
        <f t="shared" si="1"/>
        <v>42528.00</v>
      </c>
      <c r="I249" s="14" t="str">
        <f t="shared" si="2"/>
        <v>37007.00</v>
      </c>
      <c r="J249" s="16" t="str">
        <f>TEXT(Raw_Data!J249,"MMM-YYY")</f>
        <v>Mar-2025</v>
      </c>
      <c r="K249" s="13" t="str">
        <f>Raw_Data!K249</f>
        <v>15</v>
      </c>
      <c r="L249" s="17" t="str">
        <f>Raw_Data!L249</f>
        <v>Pune-West</v>
      </c>
      <c r="M249" s="13" t="str">
        <f t="shared" si="3"/>
        <v>OK</v>
      </c>
      <c r="N249" s="18" t="str">
        <f t="shared" si="4"/>
        <v>VALID</v>
      </c>
    </row>
    <row r="250" ht="15.75" customHeight="1">
      <c r="A250" s="13" t="str">
        <f>Raw_Data!A250</f>
        <v>EMP0256</v>
      </c>
      <c r="B250" s="13" t="str">
        <f>TRIM(CLEAN(Raw_Data!B250))</f>
        <v>Finance</v>
      </c>
      <c r="C250" s="18" t="s">
        <v>14</v>
      </c>
      <c r="D250" s="14" t="str">
        <f>IF(ISBLANK(Raw_Data!D250),AVERAGE(Raw_Data!D$2:D$5002),Raw_Data!D250)</f>
        <v>19054.40</v>
      </c>
      <c r="E250" s="15" t="str">
        <f>IF(ISBLANK(Raw_Data!E250),AVERAGE(Raw_Data!E$2:E$5002),Raw_Data!E250)</f>
        <v>5716.32</v>
      </c>
      <c r="F250" s="15" t="str">
        <f>IF(ISBLANK(Raw_Data!F250),AVERAGE(Raw_Data!F$2:F$5002),Raw_Data!F250)</f>
        <v>751.78</v>
      </c>
      <c r="G250" s="14" t="str">
        <f>IF(ISBLANK(Raw_Data!G250),AVERAGE(Raw_Data!G$2:G$5002),Raw_Data!G250)</f>
        <v>3443.51</v>
      </c>
      <c r="H250" s="15" t="str">
        <f t="shared" si="1"/>
        <v>25523.00</v>
      </c>
      <c r="I250" s="14" t="str">
        <f t="shared" si="2"/>
        <v>22079.00</v>
      </c>
      <c r="J250" s="16" t="str">
        <f>TEXT(Raw_Data!J250,"MMM-YYY")</f>
        <v>Nov-2025</v>
      </c>
      <c r="K250" s="13" t="str">
        <f>Raw_Data!K250</f>
        <v>2</v>
      </c>
      <c r="L250" s="17" t="str">
        <f>Raw_Data!L250</f>
        <v>Hyderabad-South</v>
      </c>
      <c r="M250" s="13" t="str">
        <f t="shared" si="3"/>
        <v>OK</v>
      </c>
      <c r="N250" s="18" t="str">
        <f t="shared" si="4"/>
        <v>VALID</v>
      </c>
    </row>
    <row r="251" ht="15.75" customHeight="1">
      <c r="A251" s="13" t="str">
        <f>Raw_Data!A251</f>
        <v>EMP0257</v>
      </c>
      <c r="B251" s="13" t="str">
        <f>TRIM(CLEAN(Raw_Data!B251))</f>
        <v>HR</v>
      </c>
      <c r="C251" s="18" t="s">
        <v>30</v>
      </c>
      <c r="D251" s="14" t="str">
        <f>IF(ISBLANK(Raw_Data!D251),AVERAGE(Raw_Data!D$2:D$5002),Raw_Data!D251)</f>
        <v>30371.37</v>
      </c>
      <c r="E251" s="15" t="str">
        <f>IF(ISBLANK(Raw_Data!E251),AVERAGE(Raw_Data!E$2:E$5002),Raw_Data!E251)</f>
        <v>9111.41</v>
      </c>
      <c r="F251" s="15" t="str">
        <f>IF(ISBLANK(Raw_Data!F251),AVERAGE(Raw_Data!F$2:F$5002),Raw_Data!F251)</f>
        <v>3814.33</v>
      </c>
      <c r="G251" s="14" t="str">
        <f>IF(ISBLANK(Raw_Data!G251),AVERAGE(Raw_Data!G$2:G$5002),Raw_Data!G251)</f>
        <v>4227.27</v>
      </c>
      <c r="H251" s="15" t="str">
        <f t="shared" si="1"/>
        <v>43297.00</v>
      </c>
      <c r="I251" s="14" t="str">
        <f t="shared" si="2"/>
        <v>39070.00</v>
      </c>
      <c r="J251" s="16" t="str">
        <f>TEXT(Raw_Data!J251,"MMM-YYY")</f>
        <v>Oct-2025</v>
      </c>
      <c r="K251" s="13" t="str">
        <f>Raw_Data!K251</f>
        <v>12</v>
      </c>
      <c r="L251" s="17" t="str">
        <f>Raw_Data!L251</f>
        <v>Chandigarh-North</v>
      </c>
      <c r="M251" s="13" t="str">
        <f t="shared" si="3"/>
        <v>OK</v>
      </c>
      <c r="N251" s="18" t="str">
        <f t="shared" si="4"/>
        <v>VALID</v>
      </c>
    </row>
    <row r="252" ht="15.75" customHeight="1">
      <c r="A252" s="13" t="str">
        <f>Raw_Data!A252</f>
        <v>EMP0258</v>
      </c>
      <c r="B252" s="13" t="str">
        <f>TRIM(CLEAN(Raw_Data!B252))</f>
        <v>Customer Support</v>
      </c>
      <c r="C252" s="18" t="s">
        <v>37</v>
      </c>
      <c r="D252" s="14" t="str">
        <f>IF(ISBLANK(Raw_Data!D252),AVERAGE(Raw_Data!D$2:D$5002),Raw_Data!D252)</f>
        <v>53080.29</v>
      </c>
      <c r="E252" s="15" t="str">
        <f>IF(ISBLANK(Raw_Data!E252),AVERAGE(Raw_Data!E$2:E$5002),Raw_Data!E252)</f>
        <v>15924.09</v>
      </c>
      <c r="F252" s="15" t="str">
        <f>IF(ISBLANK(Raw_Data!F252),AVERAGE(Raw_Data!F$2:F$5002),Raw_Data!F252)</f>
        <v>9810.88</v>
      </c>
      <c r="G252" s="14" t="str">
        <f>IF(ISBLANK(Raw_Data!G252),AVERAGE(Raw_Data!G$2:G$5002),Raw_Data!G252)</f>
        <v>8989.02</v>
      </c>
      <c r="H252" s="15" t="str">
        <f t="shared" si="1"/>
        <v>78815.00</v>
      </c>
      <c r="I252" s="14" t="str">
        <f t="shared" si="2"/>
        <v>69826.00</v>
      </c>
      <c r="J252" s="16" t="str">
        <f>TEXT(Raw_Data!J252,"MMM-YYY")</f>
        <v>Nov-2025</v>
      </c>
      <c r="K252" s="13" t="str">
        <f>Raw_Data!K252</f>
        <v>1</v>
      </c>
      <c r="L252" s="17" t="str">
        <f>Raw_Data!L252</f>
        <v>Ahmedabad-West</v>
      </c>
      <c r="M252" s="13" t="str">
        <f t="shared" si="3"/>
        <v>OK</v>
      </c>
      <c r="N252" s="18" t="str">
        <f t="shared" si="4"/>
        <v>VALID</v>
      </c>
    </row>
    <row r="253" ht="15.75" customHeight="1">
      <c r="A253" s="13" t="str">
        <f>Raw_Data!A253</f>
        <v>EMP0259</v>
      </c>
      <c r="B253" s="13" t="str">
        <f>TRIM(CLEAN(Raw_Data!B253))</f>
        <v>Operations</v>
      </c>
      <c r="C253" s="18" t="s">
        <v>33</v>
      </c>
      <c r="D253" s="14" t="str">
        <f>IF(ISBLANK(Raw_Data!D253),AVERAGE(Raw_Data!D$2:D$5002),Raw_Data!D253)</f>
        <v>33642.47</v>
      </c>
      <c r="E253" s="15" t="str">
        <f>IF(ISBLANK(Raw_Data!E253),AVERAGE(Raw_Data!E$2:E$5002),Raw_Data!E253)</f>
        <v>10092.74</v>
      </c>
      <c r="F253" s="15" t="str">
        <f>IF(ISBLANK(Raw_Data!F253),AVERAGE(Raw_Data!F$2:F$5002),Raw_Data!F253)</f>
        <v>4220.23</v>
      </c>
      <c r="G253" s="14" t="str">
        <f>IF(ISBLANK(Raw_Data!G253),AVERAGE(Raw_Data!G$2:G$5002),Raw_Data!G253)</f>
        <v>1523.57</v>
      </c>
      <c r="H253" s="15" t="str">
        <f t="shared" si="1"/>
        <v>47955.00</v>
      </c>
      <c r="I253" s="14" t="str">
        <f t="shared" si="2"/>
        <v>46431.00</v>
      </c>
      <c r="J253" s="16" t="str">
        <f>TEXT(Raw_Data!J253,"MMM-YYY")</f>
        <v>Feb-2025</v>
      </c>
      <c r="K253" s="13" t="str">
        <f>Raw_Data!K253</f>
        <v>24</v>
      </c>
      <c r="L253" s="17" t="str">
        <f>Raw_Data!L253</f>
        <v>Jaipur-North</v>
      </c>
      <c r="M253" s="13" t="str">
        <f t="shared" si="3"/>
        <v>OK</v>
      </c>
      <c r="N253" s="18" t="str">
        <f t="shared" si="4"/>
        <v>VALID</v>
      </c>
    </row>
    <row r="254" ht="15.75" customHeight="1">
      <c r="A254" s="13" t="str">
        <f>Raw_Data!A254</f>
        <v>EMP0260</v>
      </c>
      <c r="B254" s="13" t="str">
        <f>TRIM(CLEAN(Raw_Data!B254))</f>
        <v>Marketing</v>
      </c>
      <c r="C254" s="18" t="s">
        <v>54</v>
      </c>
      <c r="D254" s="14" t="str">
        <f>IF(ISBLANK(Raw_Data!D254),AVERAGE(Raw_Data!D$2:D$5002),Raw_Data!D254)</f>
        <v>43839.39</v>
      </c>
      <c r="E254" s="15" t="str">
        <f>IF(ISBLANK(Raw_Data!E254),AVERAGE(Raw_Data!E$2:E$5002),Raw_Data!E254)</f>
        <v>13151.82</v>
      </c>
      <c r="F254" s="15" t="str">
        <f>IF(ISBLANK(Raw_Data!F254),AVERAGE(Raw_Data!F$2:F$5002),Raw_Data!F254)</f>
        <v>6982.12</v>
      </c>
      <c r="G254" s="14" t="str">
        <f>IF(ISBLANK(Raw_Data!G254),AVERAGE(Raw_Data!G$2:G$5002),Raw_Data!G254)</f>
        <v>7778.24</v>
      </c>
      <c r="H254" s="15" t="str">
        <f t="shared" si="1"/>
        <v>63973.00</v>
      </c>
      <c r="I254" s="14" t="str">
        <f t="shared" si="2"/>
        <v>56195.00</v>
      </c>
      <c r="J254" s="16" t="str">
        <f>TEXT(Raw_Data!J254,"MMM-YYY")</f>
        <v>Jun-2025</v>
      </c>
      <c r="K254" s="13" t="str">
        <f>Raw_Data!K254</f>
        <v>24</v>
      </c>
      <c r="L254" s="17" t="str">
        <f>Raw_Data!L254</f>
        <v>Mumbai-HO</v>
      </c>
      <c r="M254" s="13" t="str">
        <f t="shared" si="3"/>
        <v>OK</v>
      </c>
      <c r="N254" s="18" t="str">
        <f t="shared" si="4"/>
        <v>VALID</v>
      </c>
    </row>
    <row r="255" ht="15.75" customHeight="1">
      <c r="A255" s="13" t="str">
        <f>Raw_Data!A255</f>
        <v>EMP0261</v>
      </c>
      <c r="B255" s="13" t="str">
        <f>TRIM(CLEAN(Raw_Data!B255))</f>
        <v>Operations</v>
      </c>
      <c r="C255" s="18" t="s">
        <v>14</v>
      </c>
      <c r="D255" s="14" t="str">
        <f>IF(ISBLANK(Raw_Data!D255),AVERAGE(Raw_Data!D$2:D$5002),Raw_Data!D255)</f>
        <v>20234.94</v>
      </c>
      <c r="E255" s="15" t="str">
        <f>IF(ISBLANK(Raw_Data!E255),AVERAGE(Raw_Data!E$2:E$5002),Raw_Data!E255)</f>
        <v>6070.48</v>
      </c>
      <c r="F255" s="15" t="str">
        <f>IF(ISBLANK(Raw_Data!F255),AVERAGE(Raw_Data!F$2:F$5002),Raw_Data!F255)</f>
        <v>1828.89</v>
      </c>
      <c r="G255" s="14" t="str">
        <f>IF(ISBLANK(Raw_Data!G255),AVERAGE(Raw_Data!G$2:G$5002),Raw_Data!G255)</f>
        <v>345.35</v>
      </c>
      <c r="H255" s="15" t="str">
        <f t="shared" si="1"/>
        <v>28134.00</v>
      </c>
      <c r="I255" s="14" t="str">
        <f t="shared" si="2"/>
        <v>27789.00</v>
      </c>
      <c r="J255" s="16" t="str">
        <f>TEXT(Raw_Data!J255,"MMM-YYY")</f>
        <v>May-2025</v>
      </c>
      <c r="K255" s="13" t="str">
        <f>Raw_Data!K255</f>
        <v>24</v>
      </c>
      <c r="L255" s="17" t="str">
        <f>Raw_Data!L255</f>
        <v>Delhi-North</v>
      </c>
      <c r="M255" s="13" t="str">
        <f t="shared" si="3"/>
        <v>OK</v>
      </c>
      <c r="N255" s="18" t="str">
        <f t="shared" si="4"/>
        <v>VALID</v>
      </c>
    </row>
    <row r="256" ht="15.75" customHeight="1">
      <c r="A256" s="13" t="str">
        <f>Raw_Data!A256</f>
        <v>EMP0262</v>
      </c>
      <c r="B256" s="13" t="str">
        <f>TRIM(CLEAN(Raw_Data!B256))</f>
        <v>HR</v>
      </c>
      <c r="C256" s="18" t="s">
        <v>18</v>
      </c>
      <c r="D256" s="14" t="str">
        <f>IF(ISBLANK(Raw_Data!D256),AVERAGE(Raw_Data!D$2:D$5002),Raw_Data!D256)</f>
        <v>87470.50</v>
      </c>
      <c r="E256" s="15" t="str">
        <f>IF(ISBLANK(Raw_Data!E256),AVERAGE(Raw_Data!E$2:E$5002),Raw_Data!E256)</f>
        <v>26241.15</v>
      </c>
      <c r="F256" s="15" t="str">
        <f>IF(ISBLANK(Raw_Data!F256),AVERAGE(Raw_Data!F$2:F$5002),Raw_Data!F256)</f>
        <v>14962.59</v>
      </c>
      <c r="G256" s="14" t="str">
        <f>IF(ISBLANK(Raw_Data!G256),AVERAGE(Raw_Data!G$2:G$5002),Raw_Data!G256)</f>
        <v>16138.53</v>
      </c>
      <c r="H256" s="15" t="str">
        <f t="shared" si="1"/>
        <v>128674.00</v>
      </c>
      <c r="I256" s="14" t="str">
        <f t="shared" si="2"/>
        <v>112535.00</v>
      </c>
      <c r="J256" s="16" t="str">
        <f>TEXT(Raw_Data!J256,"MMM-YYY")</f>
        <v>Sep-2025</v>
      </c>
      <c r="K256" s="13" t="str">
        <f>Raw_Data!K256</f>
        <v>1</v>
      </c>
      <c r="L256" s="17" t="str">
        <f>Raw_Data!L256</f>
        <v>Bangalore-South</v>
      </c>
      <c r="M256" s="13" t="str">
        <f t="shared" si="3"/>
        <v>OK</v>
      </c>
      <c r="N256" s="18" t="str">
        <f t="shared" si="4"/>
        <v>VALID</v>
      </c>
    </row>
    <row r="257" ht="15.75" customHeight="1">
      <c r="A257" s="13" t="str">
        <f>Raw_Data!A257</f>
        <v>EMP0263</v>
      </c>
      <c r="B257" s="13" t="str">
        <f>TRIM(CLEAN(Raw_Data!B257))</f>
        <v>Marketing</v>
      </c>
      <c r="C257" s="18" t="s">
        <v>54</v>
      </c>
      <c r="D257" s="14" t="str">
        <f>IF(ISBLANK(Raw_Data!D257),AVERAGE(Raw_Data!D$2:D$5002),Raw_Data!D257)</f>
        <v>43124.61</v>
      </c>
      <c r="E257" s="15" t="str">
        <f>IF(ISBLANK(Raw_Data!E257),AVERAGE(Raw_Data!E$2:E$5002),Raw_Data!E257)</f>
        <v>12937.38</v>
      </c>
      <c r="F257" s="15" t="str">
        <f>IF(ISBLANK(Raw_Data!F257),AVERAGE(Raw_Data!F$2:F$5002),Raw_Data!F257)</f>
        <v>8230.17</v>
      </c>
      <c r="G257" s="14" t="str">
        <f>IF(ISBLANK(Raw_Data!G257),AVERAGE(Raw_Data!G$2:G$5002),Raw_Data!G257)</f>
        <v>9559.70</v>
      </c>
      <c r="H257" s="15" t="str">
        <f t="shared" si="1"/>
        <v>64292.00</v>
      </c>
      <c r="I257" s="14" t="str">
        <f t="shared" si="2"/>
        <v>54732.00</v>
      </c>
      <c r="J257" s="16" t="str">
        <f>TEXT(Raw_Data!J257,"MMM-YYY")</f>
        <v>Jan-2025</v>
      </c>
      <c r="K257" s="13" t="str">
        <f>Raw_Data!K257</f>
        <v>10</v>
      </c>
      <c r="L257" s="17" t="str">
        <f>Raw_Data!L257</f>
        <v>Chennai-South</v>
      </c>
      <c r="M257" s="13" t="str">
        <f t="shared" si="3"/>
        <v>OK</v>
      </c>
      <c r="N257" s="18" t="str">
        <f t="shared" si="4"/>
        <v>VALID</v>
      </c>
    </row>
    <row r="258" ht="15.75" customHeight="1">
      <c r="A258" s="13" t="str">
        <f>Raw_Data!A258</f>
        <v>EMP0264</v>
      </c>
      <c r="B258" s="13" t="str">
        <f>TRIM(CLEAN(Raw_Data!B258))</f>
        <v>Marketing</v>
      </c>
      <c r="C258" s="18" t="s">
        <v>26</v>
      </c>
      <c r="D258" s="14" t="str">
        <f>IF(ISBLANK(Raw_Data!D258),AVERAGE(Raw_Data!D$2:D$5002),Raw_Data!D258)</f>
        <v>110579.64</v>
      </c>
      <c r="E258" s="15" t="str">
        <f>IF(ISBLANK(Raw_Data!E258),AVERAGE(Raw_Data!E$2:E$5002),Raw_Data!E258)</f>
        <v>33173.89</v>
      </c>
      <c r="F258" s="15" t="str">
        <f>IF(ISBLANK(Raw_Data!F258),AVERAGE(Raw_Data!F$2:F$5002),Raw_Data!F258)</f>
        <v>4163.09</v>
      </c>
      <c r="G258" s="14" t="str">
        <f>IF(ISBLANK(Raw_Data!G258),AVERAGE(Raw_Data!G$2:G$5002),Raw_Data!G258)</f>
        <v>20070.40</v>
      </c>
      <c r="H258" s="15" t="str">
        <f t="shared" si="1"/>
        <v>147917.00</v>
      </c>
      <c r="I258" s="14" t="str">
        <f t="shared" si="2"/>
        <v>127847.00</v>
      </c>
      <c r="J258" s="16" t="str">
        <f>TEXT(Raw_Data!J258,"MMM-YYY")</f>
        <v>Sep-2025</v>
      </c>
      <c r="K258" s="13" t="str">
        <f>Raw_Data!K258</f>
        <v>2</v>
      </c>
      <c r="L258" s="17" t="str">
        <f>Raw_Data!L258</f>
        <v>Kolkata-East</v>
      </c>
      <c r="M258" s="13" t="str">
        <f t="shared" si="3"/>
        <v>OK</v>
      </c>
      <c r="N258" s="18" t="str">
        <f t="shared" si="4"/>
        <v>VALID</v>
      </c>
    </row>
    <row r="259" ht="15.75" customHeight="1">
      <c r="A259" s="13" t="str">
        <f>Raw_Data!A259</f>
        <v>EMP0265</v>
      </c>
      <c r="B259" s="13" t="str">
        <f>TRIM(CLEAN(Raw_Data!B259))</f>
        <v>Finance</v>
      </c>
      <c r="C259" s="18" t="s">
        <v>14</v>
      </c>
      <c r="D259" s="14" t="str">
        <f>IF(ISBLANK(Raw_Data!D259),AVERAGE(Raw_Data!D$2:D$5002),Raw_Data!D259)</f>
        <v>21243.77</v>
      </c>
      <c r="E259" s="15" t="str">
        <f>IF(ISBLANK(Raw_Data!E259),AVERAGE(Raw_Data!E$2:E$5002),Raw_Data!E259)</f>
        <v>6373.13</v>
      </c>
      <c r="F259" s="15" t="str">
        <f>IF(ISBLANK(Raw_Data!F259),AVERAGE(Raw_Data!F$2:F$5002),Raw_Data!F259)</f>
        <v>3445.60</v>
      </c>
      <c r="G259" s="14" t="str">
        <f>IF(ISBLANK(Raw_Data!G259),AVERAGE(Raw_Data!G$2:G$5002),Raw_Data!G259)</f>
        <v>5336.71</v>
      </c>
      <c r="H259" s="15" t="str">
        <f t="shared" si="1"/>
        <v>31063.00</v>
      </c>
      <c r="I259" s="14" t="str">
        <f t="shared" si="2"/>
        <v>25726.00</v>
      </c>
      <c r="J259" s="16" t="str">
        <f>TEXT(Raw_Data!J259,"MMM-YYY")</f>
        <v>Dec-2025</v>
      </c>
      <c r="K259" s="13" t="str">
        <f>Raw_Data!K259</f>
        <v>8</v>
      </c>
      <c r="L259" s="17" t="str">
        <f>Raw_Data!L259</f>
        <v>Pune-West</v>
      </c>
      <c r="M259" s="13" t="str">
        <f t="shared" si="3"/>
        <v>OK</v>
      </c>
      <c r="N259" s="18" t="str">
        <f t="shared" si="4"/>
        <v>VALID</v>
      </c>
    </row>
    <row r="260" ht="15.75" customHeight="1">
      <c r="A260" s="13" t="str">
        <f>Raw_Data!A260</f>
        <v>EMP0266</v>
      </c>
      <c r="B260" s="13" t="str">
        <f>TRIM(CLEAN(Raw_Data!B260))</f>
        <v>HR</v>
      </c>
      <c r="C260" s="18" t="s">
        <v>37</v>
      </c>
      <c r="D260" s="14" t="str">
        <f>IF(ISBLANK(Raw_Data!D260),AVERAGE(Raw_Data!D$2:D$5002),Raw_Data!D260)</f>
        <v>56630.29</v>
      </c>
      <c r="E260" s="15" t="str">
        <f>IF(ISBLANK(Raw_Data!E260),AVERAGE(Raw_Data!E$2:E$5002),Raw_Data!E260)</f>
        <v>16989.09</v>
      </c>
      <c r="F260" s="15" t="str">
        <f>IF(ISBLANK(Raw_Data!F260),AVERAGE(Raw_Data!F$2:F$5002),Raw_Data!F260)</f>
        <v>443.33</v>
      </c>
      <c r="G260" s="14" t="str">
        <f>IF(ISBLANK(Raw_Data!G260),AVERAGE(Raw_Data!G$2:G$5002),Raw_Data!G260)</f>
        <v>12021.85</v>
      </c>
      <c r="H260" s="15" t="str">
        <f t="shared" si="1"/>
        <v>74063.00</v>
      </c>
      <c r="I260" s="14" t="str">
        <f t="shared" si="2"/>
        <v>62041.00</v>
      </c>
      <c r="J260" s="16" t="str">
        <f>TEXT(Raw_Data!J260,"MMM-YYY")</f>
        <v>Aug-2025</v>
      </c>
      <c r="K260" s="13" t="str">
        <f>Raw_Data!K260</f>
        <v>3</v>
      </c>
      <c r="L260" s="17" t="str">
        <f>Raw_Data!L260</f>
        <v>Hyderabad-South</v>
      </c>
      <c r="M260" s="13" t="str">
        <f t="shared" si="3"/>
        <v>OK</v>
      </c>
      <c r="N260" s="18" t="str">
        <f t="shared" si="4"/>
        <v>VALID</v>
      </c>
    </row>
    <row r="261" ht="15.75" customHeight="1">
      <c r="A261" s="13" t="str">
        <f>Raw_Data!A261</f>
        <v>EMP0267</v>
      </c>
      <c r="B261" s="13" t="str">
        <f>TRIM(CLEAN(Raw_Data!B261))</f>
        <v>Operations</v>
      </c>
      <c r="C261" s="18" t="s">
        <v>37</v>
      </c>
      <c r="D261" s="14" t="str">
        <f>IF(ISBLANK(Raw_Data!D261),AVERAGE(Raw_Data!D$2:D$5002),Raw_Data!D261)</f>
        <v>55976.50</v>
      </c>
      <c r="E261" s="15" t="str">
        <f>IF(ISBLANK(Raw_Data!E261),AVERAGE(Raw_Data!E$2:E$5002),Raw_Data!E261)</f>
        <v>16792.95</v>
      </c>
      <c r="F261" s="15" t="str">
        <f>IF(ISBLANK(Raw_Data!F261),AVERAGE(Raw_Data!F$2:F$5002),Raw_Data!F261)</f>
        <v>4073.95</v>
      </c>
      <c r="G261" s="14" t="str">
        <f>IF(ISBLANK(Raw_Data!G261),AVERAGE(Raw_Data!G$2:G$5002),Raw_Data!G261)</f>
        <v>15414.87</v>
      </c>
      <c r="H261" s="15" t="str">
        <f t="shared" si="1"/>
        <v>76843.00</v>
      </c>
      <c r="I261" s="14" t="str">
        <f t="shared" si="2"/>
        <v>61428.00</v>
      </c>
      <c r="J261" s="16" t="str">
        <f>TEXT(Raw_Data!J261,"MMM-YYY")</f>
        <v>Jul-2025</v>
      </c>
      <c r="K261" s="13" t="str">
        <f>Raw_Data!K261</f>
        <v>10</v>
      </c>
      <c r="L261" s="17" t="str">
        <f>Raw_Data!L261</f>
        <v>Chandigarh-North</v>
      </c>
      <c r="M261" s="13" t="str">
        <f t="shared" si="3"/>
        <v>OK</v>
      </c>
      <c r="N261" s="18" t="str">
        <f t="shared" si="4"/>
        <v>VALID</v>
      </c>
    </row>
    <row r="262" ht="15.75" customHeight="1">
      <c r="A262" s="13" t="str">
        <f>Raw_Data!A262</f>
        <v>EMP0268</v>
      </c>
      <c r="B262" s="13" t="str">
        <f>TRIM(CLEAN(Raw_Data!B262))</f>
        <v>Marketing</v>
      </c>
      <c r="C262" s="18" t="s">
        <v>26</v>
      </c>
      <c r="D262" s="14" t="str">
        <f>IF(ISBLANK(Raw_Data!D262),AVERAGE(Raw_Data!D$2:D$5002),Raw_Data!D262)</f>
        <v>102181.22</v>
      </c>
      <c r="E262" s="15" t="str">
        <f>IF(ISBLANK(Raw_Data!E262),AVERAGE(Raw_Data!E$2:E$5002),Raw_Data!E262)</f>
        <v>30654.37</v>
      </c>
      <c r="F262" s="15" t="str">
        <f>IF(ISBLANK(Raw_Data!F262),AVERAGE(Raw_Data!F$2:F$5002),Raw_Data!F262)</f>
        <v>12218.54</v>
      </c>
      <c r="G262" s="14" t="str">
        <f>IF(ISBLANK(Raw_Data!G262),AVERAGE(Raw_Data!G$2:G$5002),Raw_Data!G262)</f>
        <v>24193.25</v>
      </c>
      <c r="H262" s="15" t="str">
        <f t="shared" si="1"/>
        <v>145054.00</v>
      </c>
      <c r="I262" s="14" t="str">
        <f t="shared" si="2"/>
        <v>120861.00</v>
      </c>
      <c r="J262" s="16" t="str">
        <f>TEXT(Raw_Data!J262,"MMM-YYY")</f>
        <v>Nov-2025</v>
      </c>
      <c r="K262" s="13" t="str">
        <f>Raw_Data!K262</f>
        <v>24</v>
      </c>
      <c r="L262" s="17" t="str">
        <f>Raw_Data!L262</f>
        <v>Ahmedabad-West</v>
      </c>
      <c r="M262" s="13" t="str">
        <f t="shared" si="3"/>
        <v>OK</v>
      </c>
      <c r="N262" s="18" t="str">
        <f t="shared" si="4"/>
        <v>VALID</v>
      </c>
    </row>
    <row r="263" ht="15.75" customHeight="1">
      <c r="A263" s="13" t="str">
        <f>Raw_Data!A263</f>
        <v>EMP0269</v>
      </c>
      <c r="B263" s="13" t="str">
        <f>TRIM(CLEAN(Raw_Data!B263))</f>
        <v>IT</v>
      </c>
      <c r="C263" s="18" t="s">
        <v>14</v>
      </c>
      <c r="D263" s="14" t="str">
        <f>IF(ISBLANK(Raw_Data!D263),AVERAGE(Raw_Data!D$2:D$5002),Raw_Data!D263)</f>
        <v>20373.77</v>
      </c>
      <c r="E263" s="15" t="str">
        <f>IF(ISBLANK(Raw_Data!E263),AVERAGE(Raw_Data!E$2:E$5002),Raw_Data!E263)</f>
        <v>6112.13</v>
      </c>
      <c r="F263" s="15" t="str">
        <f>IF(ISBLANK(Raw_Data!F263),AVERAGE(Raw_Data!F$2:F$5002),Raw_Data!F263)</f>
        <v>2273.56</v>
      </c>
      <c r="G263" s="14" t="str">
        <f>IF(ISBLANK(Raw_Data!G263),AVERAGE(Raw_Data!G$2:G$5002),Raw_Data!G263)</f>
        <v>2362.73</v>
      </c>
      <c r="H263" s="15" t="str">
        <f t="shared" si="1"/>
        <v>28759.00</v>
      </c>
      <c r="I263" s="14" t="str">
        <f t="shared" si="2"/>
        <v>26396.00</v>
      </c>
      <c r="J263" s="16" t="str">
        <f>TEXT(Raw_Data!J263,"MMM-YYY")</f>
        <v>May-2025</v>
      </c>
      <c r="K263" s="13" t="str">
        <f>Raw_Data!K263</f>
        <v>4</v>
      </c>
      <c r="L263" s="17" t="str">
        <f>Raw_Data!L263</f>
        <v>Jaipur-North</v>
      </c>
      <c r="M263" s="13" t="str">
        <f t="shared" si="3"/>
        <v>OK</v>
      </c>
      <c r="N263" s="18" t="str">
        <f t="shared" si="4"/>
        <v>VALID</v>
      </c>
    </row>
    <row r="264" ht="15.75" customHeight="1">
      <c r="A264" s="13" t="str">
        <f>Raw_Data!A264</f>
        <v>EMP0270</v>
      </c>
      <c r="B264" s="13" t="str">
        <f>TRIM(CLEAN(Raw_Data!B264))</f>
        <v>Sales</v>
      </c>
      <c r="C264" s="18" t="s">
        <v>26</v>
      </c>
      <c r="D264" s="14" t="str">
        <f>IF(ISBLANK(Raw_Data!D264),AVERAGE(Raw_Data!D$2:D$5002),Raw_Data!D264)</f>
        <v>113636.31</v>
      </c>
      <c r="E264" s="15" t="str">
        <f>IF(ISBLANK(Raw_Data!E264),AVERAGE(Raw_Data!E$2:E$5002),Raw_Data!E264)</f>
        <v>34090.89</v>
      </c>
      <c r="F264" s="15" t="str">
        <f>IF(ISBLANK(Raw_Data!F264),AVERAGE(Raw_Data!F$2:F$5002),Raw_Data!F264)</f>
        <v>20598.69</v>
      </c>
      <c r="G264" s="14" t="str">
        <f>IF(ISBLANK(Raw_Data!G264),AVERAGE(Raw_Data!G$2:G$5002),Raw_Data!G264)</f>
        <v>29770.88</v>
      </c>
      <c r="H264" s="15" t="str">
        <f t="shared" si="1"/>
        <v>168326.00</v>
      </c>
      <c r="I264" s="14" t="str">
        <f t="shared" si="2"/>
        <v>138555.00</v>
      </c>
      <c r="J264" s="16" t="str">
        <f>TEXT(Raw_Data!J264,"MMM-YYY")</f>
        <v>Jun-2025</v>
      </c>
      <c r="K264" s="13" t="str">
        <f>Raw_Data!K264</f>
        <v>11</v>
      </c>
      <c r="L264" s="17" t="str">
        <f>Raw_Data!L264</f>
        <v>Mumbai-HO</v>
      </c>
      <c r="M264" s="13" t="str">
        <f t="shared" si="3"/>
        <v>OK</v>
      </c>
      <c r="N264" s="18" t="str">
        <f t="shared" si="4"/>
        <v>VALID</v>
      </c>
    </row>
    <row r="265" ht="15.75" customHeight="1">
      <c r="A265" s="13" t="str">
        <f>Raw_Data!A265</f>
        <v>EMP0271</v>
      </c>
      <c r="B265" s="13" t="str">
        <f>TRIM(CLEAN(Raw_Data!B265))</f>
        <v>HR</v>
      </c>
      <c r="C265" s="18" t="s">
        <v>37</v>
      </c>
      <c r="D265" s="14" t="str">
        <f>IF(ISBLANK(Raw_Data!D265),AVERAGE(Raw_Data!D$2:D$5002),Raw_Data!D265)</f>
        <v>56945.02</v>
      </c>
      <c r="E265" s="15" t="str">
        <f>IF(ISBLANK(Raw_Data!E265),AVERAGE(Raw_Data!E$2:E$5002),Raw_Data!E265)</f>
        <v>17083.51</v>
      </c>
      <c r="F265" s="15" t="str">
        <f>IF(ISBLANK(Raw_Data!F265),AVERAGE(Raw_Data!F$2:F$5002),Raw_Data!F265)</f>
        <v>10440.83</v>
      </c>
      <c r="G265" s="14" t="str">
        <f>IF(ISBLANK(Raw_Data!G265),AVERAGE(Raw_Data!G$2:G$5002),Raw_Data!G265)</f>
        <v>5299.85</v>
      </c>
      <c r="H265" s="15" t="str">
        <f t="shared" si="1"/>
        <v>84469.00</v>
      </c>
      <c r="I265" s="14" t="str">
        <f t="shared" si="2"/>
        <v>79169.00</v>
      </c>
      <c r="J265" s="16" t="str">
        <f>TEXT(Raw_Data!J265,"MMM-YYY")</f>
        <v>Nov-2025</v>
      </c>
      <c r="K265" s="13" t="str">
        <f>Raw_Data!K265</f>
        <v>24</v>
      </c>
      <c r="L265" s="17" t="str">
        <f>Raw_Data!L265</f>
        <v>Delhi-North</v>
      </c>
      <c r="M265" s="13" t="str">
        <f t="shared" si="3"/>
        <v>OK</v>
      </c>
      <c r="N265" s="18" t="str">
        <f t="shared" si="4"/>
        <v>VALID</v>
      </c>
    </row>
    <row r="266" ht="15.75" customHeight="1">
      <c r="A266" s="13" t="str">
        <f>Raw_Data!A266</f>
        <v>EMP0272</v>
      </c>
      <c r="B266" s="13" t="str">
        <f>TRIM(CLEAN(Raw_Data!B266))</f>
        <v>Sales</v>
      </c>
      <c r="C266" s="18" t="s">
        <v>18</v>
      </c>
      <c r="D266" s="14" t="str">
        <f>IF(ISBLANK(Raw_Data!D266),AVERAGE(Raw_Data!D$2:D$5002),Raw_Data!D266)</f>
        <v>75190.91</v>
      </c>
      <c r="E266" s="15" t="str">
        <f>IF(ISBLANK(Raw_Data!E266),AVERAGE(Raw_Data!E$2:E$5002),Raw_Data!E266)</f>
        <v>22557.27</v>
      </c>
      <c r="F266" s="15" t="str">
        <f>IF(ISBLANK(Raw_Data!F266),AVERAGE(Raw_Data!F$2:F$5002),Raw_Data!F266)</f>
        <v>8948.34</v>
      </c>
      <c r="G266" s="14" t="str">
        <f>IF(ISBLANK(Raw_Data!G266),AVERAGE(Raw_Data!G$2:G$5002),Raw_Data!G266)</f>
        <v>21158.77</v>
      </c>
      <c r="H266" s="15" t="str">
        <f t="shared" si="1"/>
        <v>106697.00</v>
      </c>
      <c r="I266" s="14" t="str">
        <f t="shared" si="2"/>
        <v>85538.00</v>
      </c>
      <c r="J266" s="16" t="str">
        <f>TEXT(Raw_Data!J266,"MMM-YYY")</f>
        <v>May-2025</v>
      </c>
      <c r="K266" s="13" t="str">
        <f>Raw_Data!K266</f>
        <v>19</v>
      </c>
      <c r="L266" s="17" t="str">
        <f>Raw_Data!L266</f>
        <v>Bangalore-South</v>
      </c>
      <c r="M266" s="13" t="str">
        <f t="shared" si="3"/>
        <v>OK</v>
      </c>
      <c r="N266" s="18" t="str">
        <f t="shared" si="4"/>
        <v>VALID</v>
      </c>
    </row>
    <row r="267" ht="15.75" customHeight="1">
      <c r="A267" s="13" t="str">
        <f>Raw_Data!A267</f>
        <v>EMP0273</v>
      </c>
      <c r="B267" s="13" t="str">
        <f>TRIM(CLEAN(Raw_Data!B267))</f>
        <v>Operations</v>
      </c>
      <c r="C267" s="18" t="s">
        <v>54</v>
      </c>
      <c r="D267" s="14" t="str">
        <f>IF(ISBLANK(Raw_Data!D267),AVERAGE(Raw_Data!D$2:D$5002),Raw_Data!D267)</f>
        <v>44008.91</v>
      </c>
      <c r="E267" s="15" t="str">
        <f>IF(ISBLANK(Raw_Data!E267),AVERAGE(Raw_Data!E$2:E$5002),Raw_Data!E267)</f>
        <v>13202.67</v>
      </c>
      <c r="F267" s="15" t="str">
        <f>IF(ISBLANK(Raw_Data!F267),AVERAGE(Raw_Data!F$2:F$5002),Raw_Data!F267)</f>
        <v>2891.18</v>
      </c>
      <c r="G267" s="14" t="str">
        <f>IF(ISBLANK(Raw_Data!G267),AVERAGE(Raw_Data!G$2:G$5002),Raw_Data!G267)</f>
        <v>1687.22</v>
      </c>
      <c r="H267" s="15" t="str">
        <f t="shared" si="1"/>
        <v>60103.00</v>
      </c>
      <c r="I267" s="14" t="str">
        <f t="shared" si="2"/>
        <v>58416.00</v>
      </c>
      <c r="J267" s="16" t="str">
        <f>TEXT(Raw_Data!J267,"MMM-YYY")</f>
        <v>Dec-2025</v>
      </c>
      <c r="K267" s="13" t="str">
        <f>Raw_Data!K267</f>
        <v>8</v>
      </c>
      <c r="L267" s="17" t="str">
        <f>Raw_Data!L267</f>
        <v>Chennai-South</v>
      </c>
      <c r="M267" s="13" t="str">
        <f t="shared" si="3"/>
        <v>OK</v>
      </c>
      <c r="N267" s="18" t="str">
        <f t="shared" si="4"/>
        <v>VALID</v>
      </c>
    </row>
    <row r="268" ht="15.75" customHeight="1">
      <c r="A268" s="13" t="str">
        <f>Raw_Data!A268</f>
        <v>EMP0274</v>
      </c>
      <c r="B268" s="13" t="str">
        <f>TRIM(CLEAN(Raw_Data!B268))</f>
        <v>Customer Support</v>
      </c>
      <c r="C268" s="18" t="s">
        <v>18</v>
      </c>
      <c r="D268" s="14" t="str">
        <f>IF(ISBLANK(Raw_Data!D268),AVERAGE(Raw_Data!D$2:D$5002),Raw_Data!D268)</f>
        <v>90926.27</v>
      </c>
      <c r="E268" s="15" t="str">
        <f>IF(ISBLANK(Raw_Data!E268),AVERAGE(Raw_Data!E$2:E$5002),Raw_Data!E268)</f>
        <v>27277.88</v>
      </c>
      <c r="F268" s="15" t="str">
        <f>IF(ISBLANK(Raw_Data!F268),AVERAGE(Raw_Data!F$2:F$5002),Raw_Data!F268)</f>
        <v>16593.10</v>
      </c>
      <c r="G268" s="14" t="str">
        <f>IF(ISBLANK(Raw_Data!G268),AVERAGE(Raw_Data!G$2:G$5002),Raw_Data!G268)</f>
        <v>2549.20</v>
      </c>
      <c r="H268" s="15" t="str">
        <f t="shared" si="1"/>
        <v>134797.00</v>
      </c>
      <c r="I268" s="14" t="str">
        <f t="shared" si="2"/>
        <v>132248.00</v>
      </c>
      <c r="J268" s="16" t="str">
        <f>TEXT(Raw_Data!J268,"MMM-YYY")</f>
        <v>Nov-2025</v>
      </c>
      <c r="K268" s="13" t="str">
        <f>Raw_Data!K268</f>
        <v>3</v>
      </c>
      <c r="L268" s="17" t="str">
        <f>Raw_Data!L268</f>
        <v>Kolkata-East</v>
      </c>
      <c r="M268" s="13" t="str">
        <f t="shared" si="3"/>
        <v>OK</v>
      </c>
      <c r="N268" s="18" t="str">
        <f t="shared" si="4"/>
        <v>VALID</v>
      </c>
    </row>
    <row r="269" ht="15.75" customHeight="1">
      <c r="A269" s="13" t="str">
        <f>Raw_Data!A269</f>
        <v>EMP0275</v>
      </c>
      <c r="B269" s="13" t="str">
        <f>TRIM(CLEAN(Raw_Data!B269))</f>
        <v>Marketing</v>
      </c>
      <c r="C269" s="18" t="s">
        <v>37</v>
      </c>
      <c r="D269" s="14" t="str">
        <f>IF(ISBLANK(Raw_Data!D269),AVERAGE(Raw_Data!D$2:D$5002),Raw_Data!D269)</f>
        <v>51512.91</v>
      </c>
      <c r="E269" s="15" t="str">
        <f>IF(ISBLANK(Raw_Data!E269),AVERAGE(Raw_Data!E$2:E$5002),Raw_Data!E269)</f>
        <v>15453.87</v>
      </c>
      <c r="F269" s="15" t="str">
        <f>IF(ISBLANK(Raw_Data!F269),AVERAGE(Raw_Data!F$2:F$5002),Raw_Data!F269)</f>
        <v>3735.69</v>
      </c>
      <c r="G269" s="14" t="str">
        <f>IF(ISBLANK(Raw_Data!G269),AVERAGE(Raw_Data!G$2:G$5002),Raw_Data!G269)</f>
        <v>2785.76</v>
      </c>
      <c r="H269" s="15" t="str">
        <f t="shared" si="1"/>
        <v>70702.00</v>
      </c>
      <c r="I269" s="14" t="str">
        <f t="shared" si="2"/>
        <v>67916.00</v>
      </c>
      <c r="J269" s="16" t="str">
        <f>TEXT(Raw_Data!J269,"MMM-YYY")</f>
        <v>Apr-2025</v>
      </c>
      <c r="K269" s="13" t="str">
        <f>Raw_Data!K269</f>
        <v>14</v>
      </c>
      <c r="L269" s="17" t="str">
        <f>Raw_Data!L269</f>
        <v>Pune-West</v>
      </c>
      <c r="M269" s="13" t="str">
        <f t="shared" si="3"/>
        <v>OK</v>
      </c>
      <c r="N269" s="18" t="str">
        <f t="shared" si="4"/>
        <v>VALID</v>
      </c>
    </row>
    <row r="270" ht="15.75" customHeight="1">
      <c r="A270" s="13" t="str">
        <f>Raw_Data!A270</f>
        <v>EMP0276</v>
      </c>
      <c r="B270" s="13" t="str">
        <f>TRIM(CLEAN(Raw_Data!B270))</f>
        <v>IT</v>
      </c>
      <c r="C270" s="18" t="s">
        <v>26</v>
      </c>
      <c r="D270" s="14" t="str">
        <f>IF(ISBLANK(Raw_Data!D270),AVERAGE(Raw_Data!D$2:D$5002),Raw_Data!D270)</f>
        <v>107505.75</v>
      </c>
      <c r="E270" s="15" t="str">
        <f>IF(ISBLANK(Raw_Data!E270),AVERAGE(Raw_Data!E$2:E$5002),Raw_Data!E270)</f>
        <v>32251.72</v>
      </c>
      <c r="F270" s="15" t="str">
        <f>IF(ISBLANK(Raw_Data!F270),AVERAGE(Raw_Data!F$2:F$5002),Raw_Data!F270)</f>
        <v>4870.94</v>
      </c>
      <c r="G270" s="14" t="str">
        <f>IF(ISBLANK(Raw_Data!G270),AVERAGE(Raw_Data!G$2:G$5002),Raw_Data!G270)</f>
        <v>4436.72</v>
      </c>
      <c r="H270" s="15" t="str">
        <f t="shared" si="1"/>
        <v>144628.00</v>
      </c>
      <c r="I270" s="14" t="str">
        <f t="shared" si="2"/>
        <v>140191.00</v>
      </c>
      <c r="J270" s="16" t="str">
        <f>TEXT(Raw_Data!J270,"MMM-YYY")</f>
        <v>Feb-2025</v>
      </c>
      <c r="K270" s="13" t="str">
        <f>Raw_Data!K270</f>
        <v>2</v>
      </c>
      <c r="L270" s="17" t="str">
        <f>Raw_Data!L270</f>
        <v>Hyderabad-South</v>
      </c>
      <c r="M270" s="13" t="str">
        <f t="shared" si="3"/>
        <v>OK</v>
      </c>
      <c r="N270" s="18" t="str">
        <f t="shared" si="4"/>
        <v>VALID</v>
      </c>
    </row>
    <row r="271" ht="15.75" customHeight="1">
      <c r="A271" s="13" t="str">
        <f>Raw_Data!A271</f>
        <v>EMP0277</v>
      </c>
      <c r="B271" s="13" t="str">
        <f>TRIM(CLEAN(Raw_Data!B271))</f>
        <v>IT</v>
      </c>
      <c r="C271" s="18" t="s">
        <v>26</v>
      </c>
      <c r="D271" s="14" t="str">
        <f>IF(ISBLANK(Raw_Data!D271),AVERAGE(Raw_Data!D$2:D$5002),Raw_Data!D271)</f>
        <v>118372.33</v>
      </c>
      <c r="E271" s="15" t="str">
        <f>IF(ISBLANK(Raw_Data!E271),AVERAGE(Raw_Data!E$2:E$5002),Raw_Data!E271)</f>
        <v>35511.70</v>
      </c>
      <c r="F271" s="15" t="str">
        <f>IF(ISBLANK(Raw_Data!F271),AVERAGE(Raw_Data!F$2:F$5002),Raw_Data!F271)</f>
        <v>12019.28</v>
      </c>
      <c r="G271" s="14" t="str">
        <f>IF(ISBLANK(Raw_Data!G271),AVERAGE(Raw_Data!G$2:G$5002),Raw_Data!G271)</f>
        <v>19168.18</v>
      </c>
      <c r="H271" s="15" t="str">
        <f t="shared" si="1"/>
        <v>165903.00</v>
      </c>
      <c r="I271" s="14" t="str">
        <f t="shared" si="2"/>
        <v>146735.00</v>
      </c>
      <c r="J271" s="16" t="str">
        <f>TEXT(Raw_Data!J271,"MMM-YYY")</f>
        <v>Dec-2025</v>
      </c>
      <c r="K271" s="13" t="str">
        <f>Raw_Data!K271</f>
        <v>18</v>
      </c>
      <c r="L271" s="17" t="str">
        <f>Raw_Data!L271</f>
        <v>Chandigarh-North</v>
      </c>
      <c r="M271" s="13" t="str">
        <f t="shared" si="3"/>
        <v>OK</v>
      </c>
      <c r="N271" s="18" t="str">
        <f t="shared" si="4"/>
        <v>VALID</v>
      </c>
    </row>
    <row r="272" ht="15.75" customHeight="1">
      <c r="A272" s="13" t="str">
        <f>Raw_Data!A272</f>
        <v>EMP0278</v>
      </c>
      <c r="B272" s="13" t="str">
        <f>TRIM(CLEAN(Raw_Data!B272))</f>
        <v>Operations</v>
      </c>
      <c r="C272" s="18" t="s">
        <v>14</v>
      </c>
      <c r="D272" s="14" t="str">
        <f>IF(ISBLANK(Raw_Data!D272),AVERAGE(Raw_Data!D$2:D$5002),Raw_Data!D272)</f>
        <v>22765.89</v>
      </c>
      <c r="E272" s="15" t="str">
        <f>IF(ISBLANK(Raw_Data!E272),AVERAGE(Raw_Data!E$2:E$5002),Raw_Data!E272)</f>
        <v>6829.77</v>
      </c>
      <c r="F272" s="15" t="str">
        <f>IF(ISBLANK(Raw_Data!F272),AVERAGE(Raw_Data!F$2:F$5002),Raw_Data!F272)</f>
        <v>3990.37</v>
      </c>
      <c r="G272" s="14" t="str">
        <f>IF(ISBLANK(Raw_Data!G272),AVERAGE(Raw_Data!G$2:G$5002),Raw_Data!G272)</f>
        <v>4221.01</v>
      </c>
      <c r="H272" s="15" t="str">
        <f t="shared" si="1"/>
        <v>33586.00</v>
      </c>
      <c r="I272" s="14" t="str">
        <f t="shared" si="2"/>
        <v>29365.00</v>
      </c>
      <c r="J272" s="16" t="str">
        <f>TEXT(Raw_Data!J272,"MMM-YYY")</f>
        <v>Oct-2025</v>
      </c>
      <c r="K272" s="13" t="str">
        <f>Raw_Data!K272</f>
        <v>2</v>
      </c>
      <c r="L272" s="17" t="str">
        <f>Raw_Data!L272</f>
        <v>Ahmedabad-West</v>
      </c>
      <c r="M272" s="13" t="str">
        <f t="shared" si="3"/>
        <v>OK</v>
      </c>
      <c r="N272" s="18" t="str">
        <f t="shared" si="4"/>
        <v>VALID</v>
      </c>
    </row>
    <row r="273" ht="15.75" customHeight="1">
      <c r="A273" s="13" t="str">
        <f>Raw_Data!A273</f>
        <v>EMP0279</v>
      </c>
      <c r="B273" s="13" t="str">
        <f>TRIM(CLEAN(Raw_Data!B273))</f>
        <v>Marketing</v>
      </c>
      <c r="C273" s="18" t="s">
        <v>30</v>
      </c>
      <c r="D273" s="14" t="str">
        <f>IF(ISBLANK(Raw_Data!D273),AVERAGE(Raw_Data!D$2:D$5002),Raw_Data!D273)</f>
        <v>23427.78</v>
      </c>
      <c r="E273" s="15" t="str">
        <f>IF(ISBLANK(Raw_Data!E273),AVERAGE(Raw_Data!E$2:E$5002),Raw_Data!E273)</f>
        <v>7028.33</v>
      </c>
      <c r="F273" s="15" t="str">
        <f>IF(ISBLANK(Raw_Data!F273),AVERAGE(Raw_Data!F$2:F$5002),Raw_Data!F273)</f>
        <v>3895.31</v>
      </c>
      <c r="G273" s="14" t="str">
        <f>IF(ISBLANK(Raw_Data!G273),AVERAGE(Raw_Data!G$2:G$5002),Raw_Data!G273)</f>
        <v>5419.53</v>
      </c>
      <c r="H273" s="15" t="str">
        <f t="shared" si="1"/>
        <v>34351.00</v>
      </c>
      <c r="I273" s="14" t="str">
        <f t="shared" si="2"/>
        <v>28931.00</v>
      </c>
      <c r="J273" s="16" t="str">
        <f>TEXT(Raw_Data!J273,"MMM-YYY")</f>
        <v>Mar-2025</v>
      </c>
      <c r="K273" s="13" t="str">
        <f>Raw_Data!K273</f>
        <v>23</v>
      </c>
      <c r="L273" s="17" t="str">
        <f>Raw_Data!L273</f>
        <v>Jaipur-North</v>
      </c>
      <c r="M273" s="13" t="str">
        <f t="shared" si="3"/>
        <v>OK</v>
      </c>
      <c r="N273" s="18" t="str">
        <f t="shared" si="4"/>
        <v>VALID</v>
      </c>
    </row>
    <row r="274" ht="15.75" customHeight="1">
      <c r="A274" s="13" t="str">
        <f>Raw_Data!A274</f>
        <v>EMP0280</v>
      </c>
      <c r="B274" s="13" t="str">
        <f>TRIM(CLEAN(Raw_Data!B274))</f>
        <v>Sales</v>
      </c>
      <c r="C274" s="18" t="s">
        <v>54</v>
      </c>
      <c r="D274" s="14" t="str">
        <f>IF(ISBLANK(Raw_Data!D274),AVERAGE(Raw_Data!D$2:D$5002),Raw_Data!D274)</f>
        <v>35611.69</v>
      </c>
      <c r="E274" s="15" t="str">
        <f>IF(ISBLANK(Raw_Data!E274),AVERAGE(Raw_Data!E$2:E$5002),Raw_Data!E274)</f>
        <v>10683.51</v>
      </c>
      <c r="F274" s="15" t="str">
        <f>IF(ISBLANK(Raw_Data!F274),AVERAGE(Raw_Data!F$2:F$5002),Raw_Data!F274)</f>
        <v>2594.66</v>
      </c>
      <c r="G274" s="14" t="str">
        <f>IF(ISBLANK(Raw_Data!G274),AVERAGE(Raw_Data!G$2:G$5002),Raw_Data!G274)</f>
        <v>7687.70</v>
      </c>
      <c r="H274" s="15" t="str">
        <f t="shared" si="1"/>
        <v>48890.00</v>
      </c>
      <c r="I274" s="14" t="str">
        <f t="shared" si="2"/>
        <v>41202.00</v>
      </c>
      <c r="J274" s="16" t="str">
        <f>TEXT(Raw_Data!J274,"MMM-YYY")</f>
        <v>Aug-2025</v>
      </c>
      <c r="K274" s="13" t="str">
        <f>Raw_Data!K274</f>
        <v>11</v>
      </c>
      <c r="L274" s="17" t="str">
        <f>Raw_Data!L274</f>
        <v>Mumbai-HO</v>
      </c>
      <c r="M274" s="13" t="str">
        <f t="shared" si="3"/>
        <v>OK</v>
      </c>
      <c r="N274" s="18" t="str">
        <f t="shared" si="4"/>
        <v>VALID</v>
      </c>
    </row>
    <row r="275" ht="15.75" customHeight="1">
      <c r="A275" s="13" t="str">
        <f>Raw_Data!A275</f>
        <v>EMP0281</v>
      </c>
      <c r="B275" s="13" t="str">
        <f>TRIM(CLEAN(Raw_Data!B275))</f>
        <v>Operations</v>
      </c>
      <c r="C275" s="18" t="s">
        <v>33</v>
      </c>
      <c r="D275" s="14" t="str">
        <f>IF(ISBLANK(Raw_Data!D275),AVERAGE(Raw_Data!D$2:D$5002),Raw_Data!D275)</f>
        <v>32523.91</v>
      </c>
      <c r="E275" s="15" t="str">
        <f>IF(ISBLANK(Raw_Data!E275),AVERAGE(Raw_Data!E$2:E$5002),Raw_Data!E275)</f>
        <v>9757.17</v>
      </c>
      <c r="F275" s="15" t="str">
        <f>IF(ISBLANK(Raw_Data!F275),AVERAGE(Raw_Data!F$2:F$5002),Raw_Data!F275)</f>
        <v>5098.45</v>
      </c>
      <c r="G275" s="14" t="str">
        <f>IF(ISBLANK(Raw_Data!G275),AVERAGE(Raw_Data!G$2:G$5002),Raw_Data!G275)</f>
        <v>14562.73</v>
      </c>
      <c r="H275" s="15" t="str">
        <f t="shared" si="1"/>
        <v>47380.00</v>
      </c>
      <c r="I275" s="14" t="str">
        <f t="shared" si="2"/>
        <v>32817.00</v>
      </c>
      <c r="J275" s="16" t="str">
        <f>TEXT(Raw_Data!J275,"MMM-YYY")</f>
        <v>Apr-2025</v>
      </c>
      <c r="K275" s="13" t="str">
        <f>Raw_Data!K275</f>
        <v>12</v>
      </c>
      <c r="L275" s="17" t="str">
        <f>Raw_Data!L275</f>
        <v>Delhi-North</v>
      </c>
      <c r="M275" s="13" t="str">
        <f t="shared" si="3"/>
        <v>OK</v>
      </c>
      <c r="N275" s="18" t="str">
        <f t="shared" si="4"/>
        <v>VALID</v>
      </c>
    </row>
    <row r="276" ht="15.75" customHeight="1">
      <c r="A276" s="13" t="str">
        <f>Raw_Data!A276</f>
        <v>EMP0282</v>
      </c>
      <c r="B276" s="13" t="str">
        <f>TRIM(CLEAN(Raw_Data!B276))</f>
        <v>IT</v>
      </c>
      <c r="C276" s="18" t="s">
        <v>26</v>
      </c>
      <c r="D276" s="14" t="str">
        <f>IF(ISBLANK(Raw_Data!D276),AVERAGE(Raw_Data!D$2:D$5002),Raw_Data!D276)</f>
        <v>71831.17</v>
      </c>
      <c r="E276" s="15" t="str">
        <f>IF(ISBLANK(Raw_Data!E276),AVERAGE(Raw_Data!E$2:E$5002),Raw_Data!E276)</f>
        <v>35471.20</v>
      </c>
      <c r="F276" s="15" t="str">
        <f>IF(ISBLANK(Raw_Data!F276),AVERAGE(Raw_Data!F$2:F$5002),Raw_Data!F276)</f>
        <v>21376.70</v>
      </c>
      <c r="G276" s="14" t="str">
        <f>IF(ISBLANK(Raw_Data!G276),AVERAGE(Raw_Data!G$2:G$5002),Raw_Data!G276)</f>
        <v>6881.99</v>
      </c>
      <c r="H276" s="15" t="str">
        <f t="shared" si="1"/>
        <v>128679.00</v>
      </c>
      <c r="I276" s="14" t="str">
        <f t="shared" si="2"/>
        <v>121797.00</v>
      </c>
      <c r="J276" s="16" t="str">
        <f>TEXT(Raw_Data!J276,"MMM-YYY")</f>
        <v>Nov-2025</v>
      </c>
      <c r="K276" s="13" t="str">
        <f>Raw_Data!K276</f>
        <v>21</v>
      </c>
      <c r="L276" s="17" t="str">
        <f>Raw_Data!L276</f>
        <v>Bangalore-South</v>
      </c>
      <c r="M276" s="13" t="str">
        <f t="shared" si="3"/>
        <v>OK</v>
      </c>
      <c r="N276" s="18" t="str">
        <f t="shared" si="4"/>
        <v>VALID</v>
      </c>
    </row>
    <row r="277" ht="15.75" customHeight="1">
      <c r="A277" s="13" t="str">
        <f>Raw_Data!A277</f>
        <v>EMP0283</v>
      </c>
      <c r="B277" s="13" t="str">
        <f>TRIM(CLEAN(Raw_Data!B277))</f>
        <v>Operations</v>
      </c>
      <c r="C277" s="18" t="s">
        <v>54</v>
      </c>
      <c r="D277" s="14" t="str">
        <f>IF(ISBLANK(Raw_Data!D277),AVERAGE(Raw_Data!D$2:D$5002),Raw_Data!D277)</f>
        <v>41463.52</v>
      </c>
      <c r="E277" s="15" t="str">
        <f>IF(ISBLANK(Raw_Data!E277),AVERAGE(Raw_Data!E$2:E$5002),Raw_Data!E277)</f>
        <v>12439.06</v>
      </c>
      <c r="F277" s="15" t="str">
        <f>IF(ISBLANK(Raw_Data!F277),AVERAGE(Raw_Data!F$2:F$5002),Raw_Data!F277)</f>
        <v>2336.65</v>
      </c>
      <c r="G277" s="14" t="str">
        <f>IF(ISBLANK(Raw_Data!G277),AVERAGE(Raw_Data!G$2:G$5002),Raw_Data!G277)</f>
        <v>4750.13</v>
      </c>
      <c r="H277" s="15" t="str">
        <f t="shared" si="1"/>
        <v>56239.00</v>
      </c>
      <c r="I277" s="14" t="str">
        <f t="shared" si="2"/>
        <v>51489.00</v>
      </c>
      <c r="J277" s="16" t="str">
        <f>TEXT(Raw_Data!J277,"MMM-YYY")</f>
        <v>Sep-2025</v>
      </c>
      <c r="K277" s="13" t="str">
        <f>Raw_Data!K277</f>
        <v>2</v>
      </c>
      <c r="L277" s="17" t="str">
        <f>Raw_Data!L277</f>
        <v>Chennai-South</v>
      </c>
      <c r="M277" s="13" t="str">
        <f t="shared" si="3"/>
        <v>OK</v>
      </c>
      <c r="N277" s="18" t="str">
        <f t="shared" si="4"/>
        <v>VALID</v>
      </c>
    </row>
    <row r="278" ht="15.75" customHeight="1">
      <c r="A278" s="13" t="str">
        <f>Raw_Data!A278</f>
        <v>EMP0284</v>
      </c>
      <c r="B278" s="13" t="str">
        <f>TRIM(CLEAN(Raw_Data!B278))</f>
        <v>Marketing</v>
      </c>
      <c r="C278" s="18" t="s">
        <v>30</v>
      </c>
      <c r="D278" s="14" t="str">
        <f>IF(ISBLANK(Raw_Data!D278),AVERAGE(Raw_Data!D$2:D$5002),Raw_Data!D278)</f>
        <v>29188.64</v>
      </c>
      <c r="E278" s="15" t="str">
        <f>IF(ISBLANK(Raw_Data!E278),AVERAGE(Raw_Data!E$2:E$5002),Raw_Data!E278)</f>
        <v>8756.59</v>
      </c>
      <c r="F278" s="15" t="str">
        <f>IF(ISBLANK(Raw_Data!F278),AVERAGE(Raw_Data!F$2:F$5002),Raw_Data!F278)</f>
        <v>4677.53</v>
      </c>
      <c r="G278" s="14" t="str">
        <f>IF(ISBLANK(Raw_Data!G278),AVERAGE(Raw_Data!G$2:G$5002),Raw_Data!G278)</f>
        <v>1211.90</v>
      </c>
      <c r="H278" s="15" t="str">
        <f t="shared" si="1"/>
        <v>42623.00</v>
      </c>
      <c r="I278" s="14" t="str">
        <f t="shared" si="2"/>
        <v>41411.00</v>
      </c>
      <c r="J278" s="16" t="str">
        <f>TEXT(Raw_Data!J278,"MMM-YYY")</f>
        <v>May-2025</v>
      </c>
      <c r="K278" s="13" t="str">
        <f>Raw_Data!K278</f>
        <v>1</v>
      </c>
      <c r="L278" s="17" t="str">
        <f>Raw_Data!L278</f>
        <v>Kolkata-East</v>
      </c>
      <c r="M278" s="13" t="str">
        <f t="shared" si="3"/>
        <v>OK</v>
      </c>
      <c r="N278" s="18" t="str">
        <f t="shared" si="4"/>
        <v>VALID</v>
      </c>
    </row>
    <row r="279" ht="15.75" customHeight="1">
      <c r="A279" s="13" t="str">
        <f>Raw_Data!A279</f>
        <v>EMP0285</v>
      </c>
      <c r="B279" s="13" t="str">
        <f>TRIM(CLEAN(Raw_Data!B279))</f>
        <v>HR</v>
      </c>
      <c r="C279" s="18" t="s">
        <v>18</v>
      </c>
      <c r="D279" s="14" t="str">
        <f>IF(ISBLANK(Raw_Data!D279),AVERAGE(Raw_Data!D$2:D$5002),Raw_Data!D279)</f>
        <v>77495.36</v>
      </c>
      <c r="E279" s="15" t="str">
        <f>IF(ISBLANK(Raw_Data!E279),AVERAGE(Raw_Data!E$2:E$5002),Raw_Data!E279)</f>
        <v>23248.61</v>
      </c>
      <c r="F279" s="15" t="str">
        <f>IF(ISBLANK(Raw_Data!F279),AVERAGE(Raw_Data!F$2:F$5002),Raw_Data!F279)</f>
        <v>5753.44</v>
      </c>
      <c r="G279" s="14" t="str">
        <f>IF(ISBLANK(Raw_Data!G279),AVERAGE(Raw_Data!G$2:G$5002),Raw_Data!G279)</f>
        <v>21721.02</v>
      </c>
      <c r="H279" s="15" t="str">
        <f t="shared" si="1"/>
        <v>106497.00</v>
      </c>
      <c r="I279" s="14" t="str">
        <f t="shared" si="2"/>
        <v>84776.00</v>
      </c>
      <c r="J279" s="16" t="str">
        <f>TEXT(Raw_Data!J279,"MMM-YYY")</f>
        <v>Dec-2025</v>
      </c>
      <c r="K279" s="13" t="str">
        <f>Raw_Data!K279</f>
        <v>16</v>
      </c>
      <c r="L279" s="17" t="str">
        <f>Raw_Data!L279</f>
        <v>Pune-West</v>
      </c>
      <c r="M279" s="13" t="str">
        <f t="shared" si="3"/>
        <v>OK</v>
      </c>
      <c r="N279" s="18" t="str">
        <f t="shared" si="4"/>
        <v>VALID</v>
      </c>
    </row>
    <row r="280" ht="15.75" customHeight="1">
      <c r="A280" s="13" t="str">
        <f>Raw_Data!A280</f>
        <v>EMP0287</v>
      </c>
      <c r="B280" s="13" t="str">
        <f>TRIM(CLEAN(Raw_Data!B280))</f>
        <v>Marketing</v>
      </c>
      <c r="C280" s="18" t="s">
        <v>37</v>
      </c>
      <c r="D280" s="14" t="str">
        <f>IF(ISBLANK(Raw_Data!D280),AVERAGE(Raw_Data!D$2:D$5002),Raw_Data!D280)</f>
        <v>47652.28</v>
      </c>
      <c r="E280" s="15" t="str">
        <f>IF(ISBLANK(Raw_Data!E280),AVERAGE(Raw_Data!E$2:E$5002),Raw_Data!E280)</f>
        <v>14295.68</v>
      </c>
      <c r="F280" s="15" t="str">
        <f>IF(ISBLANK(Raw_Data!F280),AVERAGE(Raw_Data!F$2:F$5002),Raw_Data!F280)</f>
        <v>4169.31</v>
      </c>
      <c r="G280" s="14" t="str">
        <f>IF(ISBLANK(Raw_Data!G280),AVERAGE(Raw_Data!G$2:G$5002),Raw_Data!G280)</f>
        <v>13529.62</v>
      </c>
      <c r="H280" s="15" t="str">
        <f t="shared" si="1"/>
        <v>66117.00</v>
      </c>
      <c r="I280" s="14" t="str">
        <f t="shared" si="2"/>
        <v>52587.00</v>
      </c>
      <c r="J280" s="16" t="str">
        <f>TEXT(Raw_Data!J280,"MMM-YYY")</f>
        <v>Apr-2025</v>
      </c>
      <c r="K280" s="13" t="str">
        <f>Raw_Data!K280</f>
        <v>17</v>
      </c>
      <c r="L280" s="17" t="str">
        <f>Raw_Data!L280</f>
        <v>Chandigarh-North</v>
      </c>
      <c r="M280" s="13" t="str">
        <f t="shared" si="3"/>
        <v>OK</v>
      </c>
      <c r="N280" s="18" t="str">
        <f t="shared" si="4"/>
        <v>VALID</v>
      </c>
    </row>
    <row r="281" ht="15.75" customHeight="1">
      <c r="A281" s="13" t="str">
        <f>Raw_Data!A281</f>
        <v>EMP0288</v>
      </c>
      <c r="B281" s="13" t="str">
        <f>TRIM(CLEAN(Raw_Data!B281))</f>
        <v>Customer Support</v>
      </c>
      <c r="C281" s="18" t="s">
        <v>54</v>
      </c>
      <c r="D281" s="14" t="str">
        <f>IF(ISBLANK(Raw_Data!D281),AVERAGE(Raw_Data!D$2:D$5002),Raw_Data!D281)</f>
        <v>47384.82</v>
      </c>
      <c r="E281" s="15" t="str">
        <f>IF(ISBLANK(Raw_Data!E281),AVERAGE(Raw_Data!E$2:E$5002),Raw_Data!E281)</f>
        <v>14215.45</v>
      </c>
      <c r="F281" s="15" t="str">
        <f>IF(ISBLANK(Raw_Data!F281),AVERAGE(Raw_Data!F$2:F$5002),Raw_Data!F281)</f>
        <v>8818.05</v>
      </c>
      <c r="G281" s="14" t="str">
        <f>IF(ISBLANK(Raw_Data!G281),AVERAGE(Raw_Data!G$2:G$5002),Raw_Data!G281)</f>
        <v>5897.94</v>
      </c>
      <c r="H281" s="15" t="str">
        <f t="shared" si="1"/>
        <v>70418.00</v>
      </c>
      <c r="I281" s="14" t="str">
        <f t="shared" si="2"/>
        <v>64520.00</v>
      </c>
      <c r="J281" s="16" t="str">
        <f>TEXT(Raw_Data!J281,"MMM-YYY")</f>
        <v>Jul-2025</v>
      </c>
      <c r="K281" s="13" t="str">
        <f>Raw_Data!K281</f>
        <v>17</v>
      </c>
      <c r="L281" s="17" t="str">
        <f>Raw_Data!L281</f>
        <v>Ahmedabad-West</v>
      </c>
      <c r="M281" s="13" t="str">
        <f t="shared" si="3"/>
        <v>OK</v>
      </c>
      <c r="N281" s="18" t="str">
        <f t="shared" si="4"/>
        <v>VALID</v>
      </c>
    </row>
    <row r="282" ht="15.75" customHeight="1">
      <c r="A282" s="13" t="str">
        <f>Raw_Data!A282</f>
        <v>EMP0289</v>
      </c>
      <c r="B282" s="13" t="str">
        <f>TRIM(CLEAN(Raw_Data!B282))</f>
        <v>Operations</v>
      </c>
      <c r="C282" s="18" t="s">
        <v>33</v>
      </c>
      <c r="D282" s="14" t="str">
        <f>IF(ISBLANK(Raw_Data!D282),AVERAGE(Raw_Data!D$2:D$5002),Raw_Data!D282)</f>
        <v>27357.78</v>
      </c>
      <c r="E282" s="15" t="str">
        <f>IF(ISBLANK(Raw_Data!E282),AVERAGE(Raw_Data!E$2:E$5002),Raw_Data!E282)</f>
        <v>8207.33</v>
      </c>
      <c r="F282" s="15" t="str">
        <f>IF(ISBLANK(Raw_Data!F282),AVERAGE(Raw_Data!F$2:F$5002),Raw_Data!F282)</f>
        <v>5441.60</v>
      </c>
      <c r="G282" s="14" t="str">
        <f>IF(ISBLANK(Raw_Data!G282),AVERAGE(Raw_Data!G$2:G$5002),Raw_Data!G282)</f>
        <v>3077.03</v>
      </c>
      <c r="H282" s="15" t="str">
        <f t="shared" si="1"/>
        <v>41007.00</v>
      </c>
      <c r="I282" s="14" t="str">
        <f t="shared" si="2"/>
        <v>37930.00</v>
      </c>
      <c r="J282" s="16" t="str">
        <f>TEXT(Raw_Data!J282,"MMM-YYY")</f>
        <v>Jan-2025</v>
      </c>
      <c r="K282" s="13" t="str">
        <f>Raw_Data!K282</f>
        <v>19</v>
      </c>
      <c r="L282" s="17" t="str">
        <f>Raw_Data!L282</f>
        <v>Jaipur-North</v>
      </c>
      <c r="M282" s="13" t="str">
        <f t="shared" si="3"/>
        <v>OK</v>
      </c>
      <c r="N282" s="18" t="str">
        <f t="shared" si="4"/>
        <v>VALID</v>
      </c>
    </row>
    <row r="283" ht="15.75" customHeight="1">
      <c r="A283" s="13" t="str">
        <f>Raw_Data!A283</f>
        <v>EMP0290</v>
      </c>
      <c r="B283" s="13" t="str">
        <f>TRIM(CLEAN(Raw_Data!B283))</f>
        <v>IT</v>
      </c>
      <c r="C283" s="18" t="s">
        <v>14</v>
      </c>
      <c r="D283" s="14" t="str">
        <f>IF(ISBLANK(Raw_Data!D283),AVERAGE(Raw_Data!D$2:D$5002),Raw_Data!D283)</f>
        <v>24042.07</v>
      </c>
      <c r="E283" s="15" t="str">
        <f>IF(ISBLANK(Raw_Data!E283),AVERAGE(Raw_Data!E$2:E$5002),Raw_Data!E283)</f>
        <v>7212.62</v>
      </c>
      <c r="F283" s="15" t="str">
        <f>IF(ISBLANK(Raw_Data!F283),AVERAGE(Raw_Data!F$2:F$5002),Raw_Data!F283)</f>
        <v>3125.28</v>
      </c>
      <c r="G283" s="14" t="str">
        <f>IF(ISBLANK(Raw_Data!G283),AVERAGE(Raw_Data!G$2:G$5002),Raw_Data!G283)</f>
        <v>5707.93</v>
      </c>
      <c r="H283" s="15" t="str">
        <f t="shared" si="1"/>
        <v>34380.00</v>
      </c>
      <c r="I283" s="14" t="str">
        <f t="shared" si="2"/>
        <v>28672.00</v>
      </c>
      <c r="J283" s="16" t="str">
        <f>TEXT(Raw_Data!J283,"MMM-YYY")</f>
        <v>Mar-2025</v>
      </c>
      <c r="K283" s="13" t="str">
        <f>Raw_Data!K283</f>
        <v>1</v>
      </c>
      <c r="L283" s="17" t="str">
        <f>Raw_Data!L283</f>
        <v>Mumbai-HO</v>
      </c>
      <c r="M283" s="13" t="str">
        <f t="shared" si="3"/>
        <v>OK</v>
      </c>
      <c r="N283" s="18" t="str">
        <f t="shared" si="4"/>
        <v>VALID</v>
      </c>
    </row>
    <row r="284" ht="15.75" customHeight="1">
      <c r="A284" s="13" t="str">
        <f>Raw_Data!A284</f>
        <v>EMP0291</v>
      </c>
      <c r="B284" s="13" t="str">
        <f>TRIM(CLEAN(Raw_Data!B284))</f>
        <v>HR</v>
      </c>
      <c r="C284" s="18" t="s">
        <v>33</v>
      </c>
      <c r="D284" s="14" t="str">
        <f>IF(ISBLANK(Raw_Data!D284),AVERAGE(Raw_Data!D$2:D$5002),Raw_Data!D284)</f>
        <v>34173.96</v>
      </c>
      <c r="E284" s="15" t="str">
        <f>IF(ISBLANK(Raw_Data!E284),AVERAGE(Raw_Data!E$2:E$5002),Raw_Data!E284)</f>
        <v>10252.19</v>
      </c>
      <c r="F284" s="15" t="str">
        <f>IF(ISBLANK(Raw_Data!F284),AVERAGE(Raw_Data!F$2:F$5002),Raw_Data!F284)</f>
        <v>3229.13</v>
      </c>
      <c r="G284" s="14" t="str">
        <f>IF(ISBLANK(Raw_Data!G284),AVERAGE(Raw_Data!G$2:G$5002),Raw_Data!G284)</f>
        <v>8520.70</v>
      </c>
      <c r="H284" s="15" t="str">
        <f t="shared" si="1"/>
        <v>47655.00</v>
      </c>
      <c r="I284" s="14" t="str">
        <f t="shared" si="2"/>
        <v>39134.00</v>
      </c>
      <c r="J284" s="16" t="str">
        <f>TEXT(Raw_Data!J284,"MMM-YYY")</f>
        <v>Dec-2025</v>
      </c>
      <c r="K284" s="13" t="str">
        <f>Raw_Data!K284</f>
        <v>20</v>
      </c>
      <c r="L284" s="17" t="str">
        <f>Raw_Data!L284</f>
        <v>Delhi-North</v>
      </c>
      <c r="M284" s="13" t="str">
        <f t="shared" si="3"/>
        <v>OK</v>
      </c>
      <c r="N284" s="18" t="str">
        <f t="shared" si="4"/>
        <v>VALID</v>
      </c>
    </row>
    <row r="285" ht="15.75" customHeight="1">
      <c r="A285" s="13" t="str">
        <f>Raw_Data!A285</f>
        <v>EMP0292</v>
      </c>
      <c r="B285" s="13" t="str">
        <f>TRIM(CLEAN(Raw_Data!B285))</f>
        <v>Marketing</v>
      </c>
      <c r="C285" s="18" t="s">
        <v>54</v>
      </c>
      <c r="D285" s="14" t="str">
        <f>IF(ISBLANK(Raw_Data!D285),AVERAGE(Raw_Data!D$2:D$5002),Raw_Data!D285)</f>
        <v>43614.88</v>
      </c>
      <c r="E285" s="15" t="str">
        <f>IF(ISBLANK(Raw_Data!E285),AVERAGE(Raw_Data!E$2:E$5002),Raw_Data!E285)</f>
        <v>13084.46</v>
      </c>
      <c r="F285" s="15" t="str">
        <f>IF(ISBLANK(Raw_Data!F285),AVERAGE(Raw_Data!F$2:F$5002),Raw_Data!F285)</f>
        <v>7901.77</v>
      </c>
      <c r="G285" s="14" t="str">
        <f>IF(ISBLANK(Raw_Data!G285),AVERAGE(Raw_Data!G$2:G$5002),Raw_Data!G285)</f>
        <v>248.66</v>
      </c>
      <c r="H285" s="15" t="str">
        <f t="shared" si="1"/>
        <v>64601.00</v>
      </c>
      <c r="I285" s="14" t="str">
        <f t="shared" si="2"/>
        <v>64352.00</v>
      </c>
      <c r="J285" s="16" t="str">
        <f>TEXT(Raw_Data!J285,"MMM-YYY")</f>
        <v>Apr-2025</v>
      </c>
      <c r="K285" s="13" t="str">
        <f>Raw_Data!K285</f>
        <v>4</v>
      </c>
      <c r="L285" s="17" t="str">
        <f>Raw_Data!L285</f>
        <v>Bangalore-South</v>
      </c>
      <c r="M285" s="13" t="str">
        <f t="shared" si="3"/>
        <v>OK</v>
      </c>
      <c r="N285" s="18" t="str">
        <f t="shared" si="4"/>
        <v>VALID</v>
      </c>
    </row>
    <row r="286" ht="15.75" customHeight="1">
      <c r="A286" s="13" t="str">
        <f>Raw_Data!A286</f>
        <v>EMP0293</v>
      </c>
      <c r="B286" s="13" t="str">
        <f>TRIM(CLEAN(Raw_Data!B286))</f>
        <v>Customer Support</v>
      </c>
      <c r="C286" s="18" t="s">
        <v>30</v>
      </c>
      <c r="D286" s="14" t="str">
        <f>IF(ISBLANK(Raw_Data!D286),AVERAGE(Raw_Data!D$2:D$5002),Raw_Data!D286)</f>
        <v>26829.48</v>
      </c>
      <c r="E286" s="15" t="str">
        <f>IF(ISBLANK(Raw_Data!E286),AVERAGE(Raw_Data!E$2:E$5002),Raw_Data!E286)</f>
        <v>8048.84</v>
      </c>
      <c r="F286" s="15" t="str">
        <f>IF(ISBLANK(Raw_Data!F286),AVERAGE(Raw_Data!F$2:F$5002),Raw_Data!F286)</f>
        <v>3902.27</v>
      </c>
      <c r="G286" s="14" t="str">
        <f>IF(ISBLANK(Raw_Data!G286),AVERAGE(Raw_Data!G$2:G$5002),Raw_Data!G286)</f>
        <v>4247.95</v>
      </c>
      <c r="H286" s="15" t="str">
        <f t="shared" si="1"/>
        <v>38781.00</v>
      </c>
      <c r="I286" s="14" t="str">
        <f t="shared" si="2"/>
        <v>34533.00</v>
      </c>
      <c r="J286" s="16" t="str">
        <f>TEXT(Raw_Data!J286,"MMM-YYY")</f>
        <v>Feb-2025</v>
      </c>
      <c r="K286" s="13" t="str">
        <f>Raw_Data!K286</f>
        <v>16</v>
      </c>
      <c r="L286" s="17" t="str">
        <f>Raw_Data!L286</f>
        <v>Chennai-South</v>
      </c>
      <c r="M286" s="13" t="str">
        <f t="shared" si="3"/>
        <v>OK</v>
      </c>
      <c r="N286" s="18" t="str">
        <f t="shared" si="4"/>
        <v>VALID</v>
      </c>
    </row>
    <row r="287" ht="15.75" customHeight="1">
      <c r="A287" s="13" t="str">
        <f>Raw_Data!A287</f>
        <v>EMP0294</v>
      </c>
      <c r="B287" s="13" t="str">
        <f>TRIM(CLEAN(Raw_Data!B287))</f>
        <v>Customer Support</v>
      </c>
      <c r="C287" s="18" t="s">
        <v>33</v>
      </c>
      <c r="D287" s="14" t="str">
        <f>IF(ISBLANK(Raw_Data!D287),AVERAGE(Raw_Data!D$2:D$5002),Raw_Data!D287)</f>
        <v>27376.40</v>
      </c>
      <c r="E287" s="15" t="str">
        <f>IF(ISBLANK(Raw_Data!E287),AVERAGE(Raw_Data!E$2:E$5002),Raw_Data!E287)</f>
        <v>8212.92</v>
      </c>
      <c r="F287" s="15" t="str">
        <f>IF(ISBLANK(Raw_Data!F287),AVERAGE(Raw_Data!F$2:F$5002),Raw_Data!F287)</f>
        <v>667.15</v>
      </c>
      <c r="G287" s="14" t="str">
        <f>IF(ISBLANK(Raw_Data!G287),AVERAGE(Raw_Data!G$2:G$5002),Raw_Data!G287)</f>
        <v>1958.28</v>
      </c>
      <c r="H287" s="15" t="str">
        <f t="shared" si="1"/>
        <v>36256.00</v>
      </c>
      <c r="I287" s="14" t="str">
        <f t="shared" si="2"/>
        <v>34298.00</v>
      </c>
      <c r="J287" s="16" t="str">
        <f>TEXT(Raw_Data!J287,"MMM-YYY")</f>
        <v>Nov-2025</v>
      </c>
      <c r="K287" s="13" t="str">
        <f>Raw_Data!K287</f>
        <v>17</v>
      </c>
      <c r="L287" s="17" t="str">
        <f>Raw_Data!L287</f>
        <v>Kolkata-East</v>
      </c>
      <c r="M287" s="13" t="str">
        <f t="shared" si="3"/>
        <v>OK</v>
      </c>
      <c r="N287" s="18" t="str">
        <f t="shared" si="4"/>
        <v>VALID</v>
      </c>
    </row>
    <row r="288" ht="15.75" customHeight="1">
      <c r="A288" s="13" t="str">
        <f>Raw_Data!A288</f>
        <v>EMP0295</v>
      </c>
      <c r="B288" s="13" t="str">
        <f>TRIM(CLEAN(Raw_Data!B288))</f>
        <v>Customer Support</v>
      </c>
      <c r="C288" s="18" t="s">
        <v>37</v>
      </c>
      <c r="D288" s="14" t="str">
        <f>IF(ISBLANK(Raw_Data!D288),AVERAGE(Raw_Data!D$2:D$5002),Raw_Data!D288)</f>
        <v>53228.05</v>
      </c>
      <c r="E288" s="15" t="str">
        <f>IF(ISBLANK(Raw_Data!E288),AVERAGE(Raw_Data!E$2:E$5002),Raw_Data!E288)</f>
        <v>15968.42</v>
      </c>
      <c r="F288" s="15" t="str">
        <f>IF(ISBLANK(Raw_Data!F288),AVERAGE(Raw_Data!F$2:F$5002),Raw_Data!F288)</f>
        <v>1180.15</v>
      </c>
      <c r="G288" s="14" t="str">
        <f>IF(ISBLANK(Raw_Data!G288),AVERAGE(Raw_Data!G$2:G$5002),Raw_Data!G288)</f>
        <v>14453.76</v>
      </c>
      <c r="H288" s="15" t="str">
        <f t="shared" si="1"/>
        <v>70377.00</v>
      </c>
      <c r="I288" s="14" t="str">
        <f t="shared" si="2"/>
        <v>55923.00</v>
      </c>
      <c r="J288" s="16" t="str">
        <f>TEXT(Raw_Data!J288,"MMM-YYY")</f>
        <v>Oct-2025</v>
      </c>
      <c r="K288" s="13" t="str">
        <f>Raw_Data!K288</f>
        <v>21</v>
      </c>
      <c r="L288" s="17" t="str">
        <f>Raw_Data!L288</f>
        <v>Pune-West</v>
      </c>
      <c r="M288" s="13" t="str">
        <f t="shared" si="3"/>
        <v>OK</v>
      </c>
      <c r="N288" s="18" t="str">
        <f t="shared" si="4"/>
        <v>VALID</v>
      </c>
    </row>
    <row r="289" ht="15.75" customHeight="1">
      <c r="A289" s="13" t="str">
        <f>Raw_Data!A289</f>
        <v>EMP0296</v>
      </c>
      <c r="B289" s="13" t="str">
        <f>TRIM(CLEAN(Raw_Data!B289))</f>
        <v>Operations</v>
      </c>
      <c r="C289" s="18" t="s">
        <v>14</v>
      </c>
      <c r="D289" s="14" t="str">
        <f>IF(ISBLANK(Raw_Data!D289),AVERAGE(Raw_Data!D$2:D$5002),Raw_Data!D289)</f>
        <v>22550.08</v>
      </c>
      <c r="E289" s="15" t="str">
        <f>IF(ISBLANK(Raw_Data!E289),AVERAGE(Raw_Data!E$2:E$5002),Raw_Data!E289)</f>
        <v>6765.02</v>
      </c>
      <c r="F289" s="15" t="str">
        <f>IF(ISBLANK(Raw_Data!F289),AVERAGE(Raw_Data!F$2:F$5002),Raw_Data!F289)</f>
        <v>2593.47</v>
      </c>
      <c r="G289" s="14" t="str">
        <f>IF(ISBLANK(Raw_Data!G289),AVERAGE(Raw_Data!G$2:G$5002),Raw_Data!G289)</f>
        <v>4860.97</v>
      </c>
      <c r="H289" s="15" t="str">
        <f t="shared" si="1"/>
        <v>31909.00</v>
      </c>
      <c r="I289" s="14" t="str">
        <f t="shared" si="2"/>
        <v>27048.00</v>
      </c>
      <c r="J289" s="16" t="str">
        <f>TEXT(Raw_Data!J289,"MMM-YYY")</f>
        <v>May-2025</v>
      </c>
      <c r="K289" s="13" t="str">
        <f>Raw_Data!K289</f>
        <v>22</v>
      </c>
      <c r="L289" s="17" t="str">
        <f>Raw_Data!L289</f>
        <v>Hyderabad-South</v>
      </c>
      <c r="M289" s="13" t="str">
        <f t="shared" si="3"/>
        <v>OK</v>
      </c>
      <c r="N289" s="18" t="str">
        <f t="shared" si="4"/>
        <v>VALID</v>
      </c>
    </row>
    <row r="290" ht="15.75" customHeight="1">
      <c r="A290" s="13" t="str">
        <f>Raw_Data!A290</f>
        <v>EMP0297</v>
      </c>
      <c r="B290" s="13" t="str">
        <f>TRIM(CLEAN(Raw_Data!B290))</f>
        <v>Marketing</v>
      </c>
      <c r="C290" s="18" t="s">
        <v>14</v>
      </c>
      <c r="D290" s="14" t="str">
        <f>IF(ISBLANK(Raw_Data!D290),AVERAGE(Raw_Data!D$2:D$5002),Raw_Data!D290)</f>
        <v>22426.63</v>
      </c>
      <c r="E290" s="15" t="str">
        <f>IF(ISBLANK(Raw_Data!E290),AVERAGE(Raw_Data!E$2:E$5002),Raw_Data!E290)</f>
        <v>6727.99</v>
      </c>
      <c r="F290" s="15" t="str">
        <f>IF(ISBLANK(Raw_Data!F290),AVERAGE(Raw_Data!F$2:F$5002),Raw_Data!F290)</f>
        <v>1079.01</v>
      </c>
      <c r="G290" s="14" t="str">
        <f>IF(ISBLANK(Raw_Data!G290),AVERAGE(Raw_Data!G$2:G$5002),Raw_Data!G290)</f>
        <v>2802.66</v>
      </c>
      <c r="H290" s="15" t="str">
        <f t="shared" si="1"/>
        <v>30234.00</v>
      </c>
      <c r="I290" s="14" t="str">
        <f t="shared" si="2"/>
        <v>27431.00</v>
      </c>
      <c r="J290" s="16" t="str">
        <f>TEXT(Raw_Data!J290,"MMM-YYY")</f>
        <v>Nov-2025</v>
      </c>
      <c r="K290" s="13" t="str">
        <f>Raw_Data!K290</f>
        <v>6</v>
      </c>
      <c r="L290" s="17" t="str">
        <f>Raw_Data!L290</f>
        <v>Chandigarh-North</v>
      </c>
      <c r="M290" s="13" t="str">
        <f t="shared" si="3"/>
        <v>OK</v>
      </c>
      <c r="N290" s="18" t="str">
        <f t="shared" si="4"/>
        <v>VALID</v>
      </c>
    </row>
    <row r="291" ht="15.75" customHeight="1">
      <c r="A291" s="13" t="str">
        <f>Raw_Data!A291</f>
        <v>EMP0298</v>
      </c>
      <c r="B291" s="13" t="str">
        <f>TRIM(CLEAN(Raw_Data!B291))</f>
        <v>Sales</v>
      </c>
      <c r="C291" s="18" t="s">
        <v>14</v>
      </c>
      <c r="D291" s="14" t="str">
        <f>IF(ISBLANK(Raw_Data!D291),AVERAGE(Raw_Data!D$2:D$5002),Raw_Data!D291)</f>
        <v>21769.09</v>
      </c>
      <c r="E291" s="15" t="str">
        <f>IF(ISBLANK(Raw_Data!E291),AVERAGE(Raw_Data!E$2:E$5002),Raw_Data!E291)</f>
        <v>6530.73</v>
      </c>
      <c r="F291" s="15" t="str">
        <f>IF(ISBLANK(Raw_Data!F291),AVERAGE(Raw_Data!F$2:F$5002),Raw_Data!F291)</f>
        <v>1570.00</v>
      </c>
      <c r="G291" s="14" t="str">
        <f>IF(ISBLANK(Raw_Data!G291),AVERAGE(Raw_Data!G$2:G$5002),Raw_Data!G291)</f>
        <v>6226.42</v>
      </c>
      <c r="H291" s="15" t="str">
        <f t="shared" si="1"/>
        <v>29870.00</v>
      </c>
      <c r="I291" s="14" t="str">
        <f t="shared" si="2"/>
        <v>23644.00</v>
      </c>
      <c r="J291" s="16" t="str">
        <f>TEXT(Raw_Data!J291,"MMM-YYY")</f>
        <v>Sep-2025</v>
      </c>
      <c r="K291" s="13" t="str">
        <f>Raw_Data!K291</f>
        <v>5</v>
      </c>
      <c r="L291" s="17" t="str">
        <f>Raw_Data!L291</f>
        <v>Ahmedabad-West</v>
      </c>
      <c r="M291" s="13" t="str">
        <f t="shared" si="3"/>
        <v>OK</v>
      </c>
      <c r="N291" s="18" t="str">
        <f t="shared" si="4"/>
        <v>VALID</v>
      </c>
    </row>
    <row r="292" ht="15.75" customHeight="1">
      <c r="A292" s="13" t="str">
        <f>Raw_Data!A292</f>
        <v>EMP0299</v>
      </c>
      <c r="B292" s="13" t="str">
        <f>TRIM(CLEAN(Raw_Data!B292))</f>
        <v>Operations</v>
      </c>
      <c r="C292" s="18" t="s">
        <v>26</v>
      </c>
      <c r="D292" s="14" t="str">
        <f>IF(ISBLANK(Raw_Data!D292),AVERAGE(Raw_Data!D$2:D$5002),Raw_Data!D292)</f>
        <v>125579.93</v>
      </c>
      <c r="E292" s="15" t="str">
        <f>IF(ISBLANK(Raw_Data!E292),AVERAGE(Raw_Data!E$2:E$5002),Raw_Data!E292)</f>
        <v>37673.98</v>
      </c>
      <c r="F292" s="15" t="str">
        <f>IF(ISBLANK(Raw_Data!F292),AVERAGE(Raw_Data!F$2:F$5002),Raw_Data!F292)</f>
        <v>13918.07</v>
      </c>
      <c r="G292" s="14" t="str">
        <f>IF(ISBLANK(Raw_Data!G292),AVERAGE(Raw_Data!G$2:G$5002),Raw_Data!G292)</f>
        <v>14709.95</v>
      </c>
      <c r="H292" s="15" t="str">
        <f t="shared" si="1"/>
        <v>177172.00</v>
      </c>
      <c r="I292" s="14" t="str">
        <f t="shared" si="2"/>
        <v>162462.00</v>
      </c>
      <c r="J292" s="16" t="str">
        <f>TEXT(Raw_Data!J292,"MMM-YYY")</f>
        <v>Aug-2025</v>
      </c>
      <c r="K292" s="13" t="str">
        <f>Raw_Data!K292</f>
        <v>4</v>
      </c>
      <c r="L292" s="17" t="str">
        <f>Raw_Data!L292</f>
        <v>Jaipur-North</v>
      </c>
      <c r="M292" s="13" t="str">
        <f t="shared" si="3"/>
        <v>OK</v>
      </c>
      <c r="N292" s="18" t="str">
        <f t="shared" si="4"/>
        <v>VALID</v>
      </c>
    </row>
    <row r="293" ht="15.75" customHeight="1">
      <c r="A293" s="13" t="str">
        <f>Raw_Data!A293</f>
        <v>EMP0300</v>
      </c>
      <c r="B293" s="13" t="str">
        <f>TRIM(CLEAN(Raw_Data!B293))</f>
        <v>HR</v>
      </c>
      <c r="C293" s="18" t="s">
        <v>18</v>
      </c>
      <c r="D293" s="14" t="str">
        <f>IF(ISBLANK(Raw_Data!D293),AVERAGE(Raw_Data!D$2:D$5002),Raw_Data!D293)</f>
        <v>75058.91</v>
      </c>
      <c r="E293" s="15" t="str">
        <f>IF(ISBLANK(Raw_Data!E293),AVERAGE(Raw_Data!E$2:E$5002),Raw_Data!E293)</f>
        <v>22517.67</v>
      </c>
      <c r="F293" s="15" t="str">
        <f>IF(ISBLANK(Raw_Data!F293),AVERAGE(Raw_Data!F$2:F$5002),Raw_Data!F293)</f>
        <v>5603.93</v>
      </c>
      <c r="G293" s="14" t="str">
        <f>IF(ISBLANK(Raw_Data!G293),AVERAGE(Raw_Data!G$2:G$5002),Raw_Data!G293)</f>
        <v>16827.83</v>
      </c>
      <c r="H293" s="15" t="str">
        <f t="shared" si="1"/>
        <v>103181.00</v>
      </c>
      <c r="I293" s="14" t="str">
        <f t="shared" si="2"/>
        <v>86353.00</v>
      </c>
      <c r="J293" s="16" t="str">
        <f>TEXT(Raw_Data!J293,"MMM-YYY")</f>
        <v>Jun-2025</v>
      </c>
      <c r="K293" s="13" t="str">
        <f>Raw_Data!K293</f>
        <v>5</v>
      </c>
      <c r="L293" s="17" t="str">
        <f>Raw_Data!L293</f>
        <v>Mumbai-HO</v>
      </c>
      <c r="M293" s="13" t="str">
        <f t="shared" si="3"/>
        <v>OK</v>
      </c>
      <c r="N293" s="18" t="str">
        <f t="shared" si="4"/>
        <v>VALID</v>
      </c>
    </row>
    <row r="294" ht="15.75" customHeight="1">
      <c r="A294" s="13" t="str">
        <f>Raw_Data!A294</f>
        <v>EMP0301</v>
      </c>
      <c r="B294" s="13" t="str">
        <f>TRIM(CLEAN(Raw_Data!B294))</f>
        <v>Customer Support</v>
      </c>
      <c r="C294" s="18" t="s">
        <v>14</v>
      </c>
      <c r="D294" s="14" t="str">
        <f>IF(ISBLANK(Raw_Data!D294),AVERAGE(Raw_Data!D$2:D$5002),Raw_Data!D294)</f>
        <v>20482.58</v>
      </c>
      <c r="E294" s="15" t="str">
        <f>IF(ISBLANK(Raw_Data!E294),AVERAGE(Raw_Data!E$2:E$5002),Raw_Data!E294)</f>
        <v>6144.77</v>
      </c>
      <c r="F294" s="15" t="str">
        <f>IF(ISBLANK(Raw_Data!F294),AVERAGE(Raw_Data!F$2:F$5002),Raw_Data!F294)</f>
        <v>3002.50</v>
      </c>
      <c r="G294" s="14" t="str">
        <f>IF(ISBLANK(Raw_Data!G294),AVERAGE(Raw_Data!G$2:G$5002),Raw_Data!G294)</f>
        <v>3860.50</v>
      </c>
      <c r="H294" s="15" t="str">
        <f t="shared" si="1"/>
        <v>29630.00</v>
      </c>
      <c r="I294" s="14" t="str">
        <f t="shared" si="2"/>
        <v>25770.00</v>
      </c>
      <c r="J294" s="16" t="str">
        <f>TEXT(Raw_Data!J294,"MMM-YYY")</f>
        <v>Oct-2025</v>
      </c>
      <c r="K294" s="13" t="str">
        <f>Raw_Data!K294</f>
        <v>7</v>
      </c>
      <c r="L294" s="17" t="str">
        <f>Raw_Data!L294</f>
        <v>Delhi-North</v>
      </c>
      <c r="M294" s="13" t="str">
        <f t="shared" si="3"/>
        <v>OK</v>
      </c>
      <c r="N294" s="18" t="str">
        <f t="shared" si="4"/>
        <v>VALID</v>
      </c>
    </row>
    <row r="295" ht="15.75" customHeight="1">
      <c r="A295" s="13" t="str">
        <f>Raw_Data!A295</f>
        <v>EMP0302</v>
      </c>
      <c r="B295" s="13" t="str">
        <f>TRIM(CLEAN(Raw_Data!B295))</f>
        <v>Sales</v>
      </c>
      <c r="C295" s="18" t="s">
        <v>26</v>
      </c>
      <c r="D295" s="14" t="str">
        <f>IF(ISBLANK(Raw_Data!D295),AVERAGE(Raw_Data!D$2:D$5002),Raw_Data!D295)</f>
        <v>101970.67</v>
      </c>
      <c r="E295" s="15" t="str">
        <f>IF(ISBLANK(Raw_Data!E295),AVERAGE(Raw_Data!E$2:E$5002),Raw_Data!E295)</f>
        <v>30591.20</v>
      </c>
      <c r="F295" s="15" t="str">
        <f>IF(ISBLANK(Raw_Data!F295),AVERAGE(Raw_Data!F$2:F$5002),Raw_Data!F295)</f>
        <v>904.19</v>
      </c>
      <c r="G295" s="14" t="str">
        <f>IF(ISBLANK(Raw_Data!G295),AVERAGE(Raw_Data!G$2:G$5002),Raw_Data!G295)</f>
        <v>16703.22</v>
      </c>
      <c r="H295" s="15" t="str">
        <f t="shared" si="1"/>
        <v>133466.00</v>
      </c>
      <c r="I295" s="14" t="str">
        <f t="shared" si="2"/>
        <v>116763.00</v>
      </c>
      <c r="J295" s="16" t="str">
        <f>TEXT(Raw_Data!J295,"MMM-YYY")</f>
        <v>Nov-2025</v>
      </c>
      <c r="K295" s="13" t="str">
        <f>Raw_Data!K295</f>
        <v>8</v>
      </c>
      <c r="L295" s="17" t="str">
        <f>Raw_Data!L295</f>
        <v>Bangalore-South</v>
      </c>
      <c r="M295" s="13" t="str">
        <f t="shared" si="3"/>
        <v>OK</v>
      </c>
      <c r="N295" s="18" t="str">
        <f t="shared" si="4"/>
        <v>VALID</v>
      </c>
    </row>
    <row r="296" ht="15.75" customHeight="1">
      <c r="A296" s="13" t="str">
        <f>Raw_Data!A296</f>
        <v>EMP0303</v>
      </c>
      <c r="B296" s="13" t="str">
        <f>TRIM(CLEAN(Raw_Data!B296))</f>
        <v>Finance</v>
      </c>
      <c r="C296" s="18" t="s">
        <v>26</v>
      </c>
      <c r="D296" s="14" t="str">
        <f>IF(ISBLANK(Raw_Data!D296),AVERAGE(Raw_Data!D$2:D$5002),Raw_Data!D296)</f>
        <v>118049.13</v>
      </c>
      <c r="E296" s="15" t="str">
        <f>IF(ISBLANK(Raw_Data!E296),AVERAGE(Raw_Data!E$2:E$5002),Raw_Data!E296)</f>
        <v>35414.74</v>
      </c>
      <c r="F296" s="15" t="str">
        <f>IF(ISBLANK(Raw_Data!F296),AVERAGE(Raw_Data!F$2:F$5002),Raw_Data!F296)</f>
        <v>10969.67</v>
      </c>
      <c r="G296" s="14" t="str">
        <f>IF(ISBLANK(Raw_Data!G296),AVERAGE(Raw_Data!G$2:G$5002),Raw_Data!G296)</f>
        <v>24627.03</v>
      </c>
      <c r="H296" s="15" t="str">
        <f t="shared" si="1"/>
        <v>164434.00</v>
      </c>
      <c r="I296" s="14" t="str">
        <f t="shared" si="2"/>
        <v>139807.00</v>
      </c>
      <c r="J296" s="16" t="str">
        <f>TEXT(Raw_Data!J296,"MMM-YYY")</f>
        <v>Nov-2025</v>
      </c>
      <c r="K296" s="13" t="str">
        <f>Raw_Data!K296</f>
        <v>25</v>
      </c>
      <c r="L296" s="17" t="str">
        <f>Raw_Data!L296</f>
        <v>Chennai-South</v>
      </c>
      <c r="M296" s="13" t="str">
        <f t="shared" si="3"/>
        <v>OK</v>
      </c>
      <c r="N296" s="18" t="str">
        <f t="shared" si="4"/>
        <v>VALID</v>
      </c>
    </row>
    <row r="297" ht="15.75" customHeight="1">
      <c r="A297" s="13" t="str">
        <f>Raw_Data!A297</f>
        <v>EMP0304</v>
      </c>
      <c r="B297" s="13" t="str">
        <f>TRIM(CLEAN(Raw_Data!B297))</f>
        <v>Finance</v>
      </c>
      <c r="C297" s="18" t="s">
        <v>26</v>
      </c>
      <c r="D297" s="14" t="str">
        <f>IF(ISBLANK(Raw_Data!D297),AVERAGE(Raw_Data!D$2:D$5002),Raw_Data!D297)</f>
        <v>94854.69</v>
      </c>
      <c r="E297" s="15" t="str">
        <f>IF(ISBLANK(Raw_Data!E297),AVERAGE(Raw_Data!E$2:E$5002),Raw_Data!E297)</f>
        <v>28456.41</v>
      </c>
      <c r="F297" s="15" t="str">
        <f>IF(ISBLANK(Raw_Data!F297),AVERAGE(Raw_Data!F$2:F$5002),Raw_Data!F297)</f>
        <v>13584.05</v>
      </c>
      <c r="G297" s="14" t="str">
        <f>IF(ISBLANK(Raw_Data!G297),AVERAGE(Raw_Data!G$2:G$5002),Raw_Data!G297)</f>
        <v>26851.61</v>
      </c>
      <c r="H297" s="15" t="str">
        <f t="shared" si="1"/>
        <v>136895.00</v>
      </c>
      <c r="I297" s="14" t="str">
        <f t="shared" si="2"/>
        <v>110043.00</v>
      </c>
      <c r="J297" s="16" t="str">
        <f>TEXT(Raw_Data!J297,"MMM-YYY")</f>
        <v>Jan-2025</v>
      </c>
      <c r="K297" s="13" t="str">
        <f>Raw_Data!K297</f>
        <v>25</v>
      </c>
      <c r="L297" s="17" t="str">
        <f>Raw_Data!L297</f>
        <v>Kolkata-East</v>
      </c>
      <c r="M297" s="13" t="str">
        <f t="shared" si="3"/>
        <v>OK</v>
      </c>
      <c r="N297" s="18" t="str">
        <f t="shared" si="4"/>
        <v>VALID</v>
      </c>
    </row>
    <row r="298" ht="15.75" customHeight="1">
      <c r="A298" s="13" t="str">
        <f>Raw_Data!A298</f>
        <v>EMP0305</v>
      </c>
      <c r="B298" s="13" t="str">
        <f>TRIM(CLEAN(Raw_Data!B298))</f>
        <v>IT</v>
      </c>
      <c r="C298" s="18" t="s">
        <v>30</v>
      </c>
      <c r="D298" s="14" t="str">
        <f>IF(ISBLANK(Raw_Data!D298),AVERAGE(Raw_Data!D$2:D$5002),Raw_Data!D298)</f>
        <v>22385.50</v>
      </c>
      <c r="E298" s="15" t="str">
        <f>IF(ISBLANK(Raw_Data!E298),AVERAGE(Raw_Data!E$2:E$5002),Raw_Data!E298)</f>
        <v>6715.65</v>
      </c>
      <c r="F298" s="15" t="str">
        <f>IF(ISBLANK(Raw_Data!F298),AVERAGE(Raw_Data!F$2:F$5002),Raw_Data!F298)</f>
        <v>893.05</v>
      </c>
      <c r="G298" s="14" t="str">
        <f>IF(ISBLANK(Raw_Data!G298),AVERAGE(Raw_Data!G$2:G$5002),Raw_Data!G298)</f>
        <v>281.43</v>
      </c>
      <c r="H298" s="15" t="str">
        <f t="shared" si="1"/>
        <v>29994.00</v>
      </c>
      <c r="I298" s="14" t="str">
        <f t="shared" si="2"/>
        <v>29713.00</v>
      </c>
      <c r="J298" s="16" t="str">
        <f>TEXT(Raw_Data!J298,"MMM-YYY")</f>
        <v>May-2025</v>
      </c>
      <c r="K298" s="13" t="str">
        <f>Raw_Data!K298</f>
        <v>8</v>
      </c>
      <c r="L298" s="17" t="str">
        <f>Raw_Data!L298</f>
        <v>Pune-West</v>
      </c>
      <c r="M298" s="13" t="str">
        <f t="shared" si="3"/>
        <v>OK</v>
      </c>
      <c r="N298" s="18" t="str">
        <f t="shared" si="4"/>
        <v>VALID</v>
      </c>
    </row>
    <row r="299" ht="15.75" customHeight="1">
      <c r="A299" s="13" t="str">
        <f>Raw_Data!A299</f>
        <v>EMP0307</v>
      </c>
      <c r="B299" s="13" t="str">
        <f>TRIM(CLEAN(Raw_Data!B299))</f>
        <v>Finance</v>
      </c>
      <c r="C299" s="18" t="s">
        <v>33</v>
      </c>
      <c r="D299" s="14" t="str">
        <f>IF(ISBLANK(Raw_Data!D299),AVERAGE(Raw_Data!D$2:D$5002),Raw_Data!D299)</f>
        <v>28569.74</v>
      </c>
      <c r="E299" s="15" t="str">
        <f>IF(ISBLANK(Raw_Data!E299),AVERAGE(Raw_Data!E$2:E$5002),Raw_Data!E299)</f>
        <v>8570.92</v>
      </c>
      <c r="F299" s="15" t="str">
        <f>IF(ISBLANK(Raw_Data!F299),AVERAGE(Raw_Data!F$2:F$5002),Raw_Data!F299)</f>
        <v>4461.69</v>
      </c>
      <c r="G299" s="14" t="str">
        <f>IF(ISBLANK(Raw_Data!G299),AVERAGE(Raw_Data!G$2:G$5002),Raw_Data!G299)</f>
        <v>7420.69</v>
      </c>
      <c r="H299" s="15" t="str">
        <f t="shared" si="1"/>
        <v>41602.00</v>
      </c>
      <c r="I299" s="14" t="str">
        <f t="shared" si="2"/>
        <v>34181.00</v>
      </c>
      <c r="J299" s="16" t="str">
        <f>TEXT(Raw_Data!J299,"MMM-YYY")</f>
        <v>Jun-2025</v>
      </c>
      <c r="K299" s="13" t="str">
        <f>Raw_Data!K299</f>
        <v>25</v>
      </c>
      <c r="L299" s="17" t="str">
        <f>Raw_Data!L299</f>
        <v>Chandigarh-North</v>
      </c>
      <c r="M299" s="13" t="str">
        <f t="shared" si="3"/>
        <v>OK</v>
      </c>
      <c r="N299" s="18" t="str">
        <f t="shared" si="4"/>
        <v>VALID</v>
      </c>
    </row>
    <row r="300" ht="15.75" customHeight="1">
      <c r="A300" s="13" t="str">
        <f>Raw_Data!A300</f>
        <v>EMP0308</v>
      </c>
      <c r="B300" s="13" t="str">
        <f>TRIM(CLEAN(Raw_Data!B300))</f>
        <v>IT</v>
      </c>
      <c r="C300" s="18" t="s">
        <v>14</v>
      </c>
      <c r="D300" s="14" t="str">
        <f>IF(ISBLANK(Raw_Data!D300),AVERAGE(Raw_Data!D$2:D$5002),Raw_Data!D300)</f>
        <v>23755.27</v>
      </c>
      <c r="E300" s="15" t="str">
        <f>IF(ISBLANK(Raw_Data!E300),AVERAGE(Raw_Data!E$2:E$5002),Raw_Data!E300)</f>
        <v>7126.58</v>
      </c>
      <c r="F300" s="15" t="str">
        <f>IF(ISBLANK(Raw_Data!F300),AVERAGE(Raw_Data!F$2:F$5002),Raw_Data!F300)</f>
        <v>2075.98</v>
      </c>
      <c r="G300" s="14" t="str">
        <f>IF(ISBLANK(Raw_Data!G300),AVERAGE(Raw_Data!G$2:G$5002),Raw_Data!G300)</f>
        <v>2850.79</v>
      </c>
      <c r="H300" s="15" t="str">
        <f t="shared" si="1"/>
        <v>32958.00</v>
      </c>
      <c r="I300" s="14" t="str">
        <f t="shared" si="2"/>
        <v>30107.00</v>
      </c>
      <c r="J300" s="16" t="str">
        <f>TEXT(Raw_Data!J300,"MMM-YYY")</f>
        <v>Aug-2025</v>
      </c>
      <c r="K300" s="13" t="str">
        <f>Raw_Data!K300</f>
        <v>11</v>
      </c>
      <c r="L300" s="17" t="str">
        <f>Raw_Data!L300</f>
        <v>Ahmedabad-West</v>
      </c>
      <c r="M300" s="13" t="str">
        <f t="shared" si="3"/>
        <v>OK</v>
      </c>
      <c r="N300" s="18" t="str">
        <f t="shared" si="4"/>
        <v>VALID</v>
      </c>
    </row>
    <row r="301" ht="15.75" customHeight="1">
      <c r="A301" s="13" t="str">
        <f>Raw_Data!A301</f>
        <v>EMP0309</v>
      </c>
      <c r="B301" s="13" t="str">
        <f>TRIM(CLEAN(Raw_Data!B301))</f>
        <v>Marketing</v>
      </c>
      <c r="C301" s="18" t="s">
        <v>33</v>
      </c>
      <c r="D301" s="14" t="str">
        <f>IF(ISBLANK(Raw_Data!D301),AVERAGE(Raw_Data!D$2:D$5002),Raw_Data!D301)</f>
        <v>34737.24</v>
      </c>
      <c r="E301" s="15" t="str">
        <f>IF(ISBLANK(Raw_Data!E301),AVERAGE(Raw_Data!E$2:E$5002),Raw_Data!E301)</f>
        <v>10421.17</v>
      </c>
      <c r="F301" s="15" t="str">
        <f>IF(ISBLANK(Raw_Data!F301),AVERAGE(Raw_Data!F$2:F$5002),Raw_Data!F301)</f>
        <v>3447.35</v>
      </c>
      <c r="G301" s="14" t="str">
        <f>IF(ISBLANK(Raw_Data!G301),AVERAGE(Raw_Data!G$2:G$5002),Raw_Data!G301)</f>
        <v>5184.78</v>
      </c>
      <c r="H301" s="15" t="str">
        <f t="shared" si="1"/>
        <v>48606.00</v>
      </c>
      <c r="I301" s="14" t="str">
        <f t="shared" si="2"/>
        <v>43421.00</v>
      </c>
      <c r="J301" s="16" t="str">
        <f>TEXT(Raw_Data!J301,"MMM-YYY")</f>
        <v>Sep-2025</v>
      </c>
      <c r="K301" s="13" t="str">
        <f>Raw_Data!K301</f>
        <v>8</v>
      </c>
      <c r="L301" s="17" t="str">
        <f>Raw_Data!L301</f>
        <v>Jaipur-North</v>
      </c>
      <c r="M301" s="13" t="str">
        <f t="shared" si="3"/>
        <v>OK</v>
      </c>
      <c r="N301" s="18" t="str">
        <f t="shared" si="4"/>
        <v>VALID</v>
      </c>
    </row>
    <row r="302" ht="15.75" customHeight="1">
      <c r="A302" s="13" t="str">
        <f>Raw_Data!A302</f>
        <v>EMP0310</v>
      </c>
      <c r="B302" s="13" t="str">
        <f>TRIM(CLEAN(Raw_Data!B302))</f>
        <v>IT</v>
      </c>
      <c r="C302" s="18" t="s">
        <v>26</v>
      </c>
      <c r="D302" s="14" t="str">
        <f>IF(ISBLANK(Raw_Data!D302),AVERAGE(Raw_Data!D$2:D$5002),Raw_Data!D302)</f>
        <v>92974.01</v>
      </c>
      <c r="E302" s="15" t="str">
        <f>IF(ISBLANK(Raw_Data!E302),AVERAGE(Raw_Data!E$2:E$5002),Raw_Data!E302)</f>
        <v>27892.20</v>
      </c>
      <c r="F302" s="15" t="str">
        <f>IF(ISBLANK(Raw_Data!F302),AVERAGE(Raw_Data!F$2:F$5002),Raw_Data!F302)</f>
        <v>7893.49</v>
      </c>
      <c r="G302" s="14" t="str">
        <f>IF(ISBLANK(Raw_Data!G302),AVERAGE(Raw_Data!G$2:G$5002),Raw_Data!G302)</f>
        <v>12010.58</v>
      </c>
      <c r="H302" s="15" t="str">
        <f t="shared" si="1"/>
        <v>128760.00</v>
      </c>
      <c r="I302" s="14" t="str">
        <f t="shared" si="2"/>
        <v>116749.00</v>
      </c>
      <c r="J302" s="16" t="str">
        <f>TEXT(Raw_Data!J302,"MMM-YYY")</f>
        <v>Mar-2025</v>
      </c>
      <c r="K302" s="13" t="str">
        <f>Raw_Data!K302</f>
        <v>21</v>
      </c>
      <c r="L302" s="17" t="str">
        <f>Raw_Data!L302</f>
        <v>Mumbai-HO</v>
      </c>
      <c r="M302" s="13" t="str">
        <f t="shared" si="3"/>
        <v>OK</v>
      </c>
      <c r="N302" s="18" t="str">
        <f t="shared" si="4"/>
        <v>VALID</v>
      </c>
    </row>
    <row r="303" ht="15.75" customHeight="1">
      <c r="A303" s="13" t="str">
        <f>Raw_Data!A303</f>
        <v>EMP0311</v>
      </c>
      <c r="B303" s="13" t="str">
        <f>TRIM(CLEAN(Raw_Data!B303))</f>
        <v>Operations</v>
      </c>
      <c r="C303" s="18" t="s">
        <v>33</v>
      </c>
      <c r="D303" s="14" t="str">
        <f>IF(ISBLANK(Raw_Data!D303),AVERAGE(Raw_Data!D$2:D$5002),Raw_Data!D303)</f>
        <v>28212.11</v>
      </c>
      <c r="E303" s="15" t="str">
        <f>IF(ISBLANK(Raw_Data!E303),AVERAGE(Raw_Data!E$2:E$5002),Raw_Data!E303)</f>
        <v>8463.63</v>
      </c>
      <c r="F303" s="15" t="str">
        <f>IF(ISBLANK(Raw_Data!F303),AVERAGE(Raw_Data!F$2:F$5002),Raw_Data!F303)</f>
        <v>451.78</v>
      </c>
      <c r="G303" s="14" t="str">
        <f>IF(ISBLANK(Raw_Data!G303),AVERAGE(Raw_Data!G$2:G$5002),Raw_Data!G303)</f>
        <v>5593.78</v>
      </c>
      <c r="H303" s="15" t="str">
        <f t="shared" si="1"/>
        <v>37128.00</v>
      </c>
      <c r="I303" s="14" t="str">
        <f t="shared" si="2"/>
        <v>31534.00</v>
      </c>
      <c r="J303" s="16" t="str">
        <f>TEXT(Raw_Data!J303,"MMM-YYY")</f>
        <v>May-2025</v>
      </c>
      <c r="K303" s="13" t="str">
        <f>Raw_Data!K303</f>
        <v>15</v>
      </c>
      <c r="L303" s="17" t="str">
        <f>Raw_Data!L303</f>
        <v>Delhi-North</v>
      </c>
      <c r="M303" s="13" t="str">
        <f t="shared" si="3"/>
        <v>OK</v>
      </c>
      <c r="N303" s="18" t="str">
        <f t="shared" si="4"/>
        <v>VALID</v>
      </c>
    </row>
    <row r="304" ht="15.75" customHeight="1">
      <c r="A304" s="13" t="str">
        <f>Raw_Data!A304</f>
        <v>EMP0312</v>
      </c>
      <c r="B304" s="13" t="str">
        <f>TRIM(CLEAN(Raw_Data!B304))</f>
        <v>Marketing</v>
      </c>
      <c r="C304" s="18" t="s">
        <v>37</v>
      </c>
      <c r="D304" s="14" t="str">
        <f>IF(ISBLANK(Raw_Data!D304),AVERAGE(Raw_Data!D$2:D$5002),Raw_Data!D304)</f>
        <v>57917.93</v>
      </c>
      <c r="E304" s="15" t="str">
        <f>IF(ISBLANK(Raw_Data!E304),AVERAGE(Raw_Data!E$2:E$5002),Raw_Data!E304)</f>
        <v>17375.38</v>
      </c>
      <c r="F304" s="15" t="str">
        <f>IF(ISBLANK(Raw_Data!F304),AVERAGE(Raw_Data!F$2:F$5002),Raw_Data!F304)</f>
        <v>1930.34</v>
      </c>
      <c r="G304" s="14" t="str">
        <f>IF(ISBLANK(Raw_Data!G304),AVERAGE(Raw_Data!G$2:G$5002),Raw_Data!G304)</f>
        <v>7713.08</v>
      </c>
      <c r="H304" s="15" t="str">
        <f t="shared" si="1"/>
        <v>77224.00</v>
      </c>
      <c r="I304" s="14" t="str">
        <f t="shared" si="2"/>
        <v>69511.00</v>
      </c>
      <c r="J304" s="16" t="str">
        <f>TEXT(Raw_Data!J304,"MMM-YYY")</f>
        <v>Aug-2025</v>
      </c>
      <c r="K304" s="13" t="str">
        <f>Raw_Data!K304</f>
        <v>23</v>
      </c>
      <c r="L304" s="17" t="str">
        <f>Raw_Data!L304</f>
        <v>Bangalore-South</v>
      </c>
      <c r="M304" s="13" t="str">
        <f t="shared" si="3"/>
        <v>OK</v>
      </c>
      <c r="N304" s="18" t="str">
        <f t="shared" si="4"/>
        <v>VALID</v>
      </c>
    </row>
    <row r="305" ht="15.75" customHeight="1">
      <c r="A305" s="13" t="str">
        <f>Raw_Data!A305</f>
        <v>EMP0313</v>
      </c>
      <c r="B305" s="13" t="str">
        <f>TRIM(CLEAN(Raw_Data!B305))</f>
        <v>HR</v>
      </c>
      <c r="C305" s="18" t="s">
        <v>18</v>
      </c>
      <c r="D305" s="14" t="str">
        <f>IF(ISBLANK(Raw_Data!D305),AVERAGE(Raw_Data!D$2:D$5002),Raw_Data!D305)</f>
        <v>87620.97</v>
      </c>
      <c r="E305" s="15" t="str">
        <f>IF(ISBLANK(Raw_Data!E305),AVERAGE(Raw_Data!E$2:E$5002),Raw_Data!E305)</f>
        <v>26286.29</v>
      </c>
      <c r="F305" s="15" t="str">
        <f>IF(ISBLANK(Raw_Data!F305),AVERAGE(Raw_Data!F$2:F$5002),Raw_Data!F305)</f>
        <v>6178.32</v>
      </c>
      <c r="G305" s="14" t="str">
        <f>IF(ISBLANK(Raw_Data!G305),AVERAGE(Raw_Data!G$2:G$5002),Raw_Data!G305)</f>
        <v>26237.68</v>
      </c>
      <c r="H305" s="15" t="str">
        <f t="shared" si="1"/>
        <v>120086.00</v>
      </c>
      <c r="I305" s="14" t="str">
        <f t="shared" si="2"/>
        <v>93848.00</v>
      </c>
      <c r="J305" s="16" t="str">
        <f>TEXT(Raw_Data!J305,"MMM-YYY")</f>
        <v>May-2025</v>
      </c>
      <c r="K305" s="13" t="str">
        <f>Raw_Data!K305</f>
        <v>12</v>
      </c>
      <c r="L305" s="17" t="str">
        <f>Raw_Data!L305</f>
        <v>Chennai-South</v>
      </c>
      <c r="M305" s="13" t="str">
        <f t="shared" si="3"/>
        <v>OK</v>
      </c>
      <c r="N305" s="18" t="str">
        <f t="shared" si="4"/>
        <v>VALID</v>
      </c>
    </row>
    <row r="306" ht="15.75" customHeight="1">
      <c r="A306" s="13" t="str">
        <f>Raw_Data!A306</f>
        <v>EMP0314</v>
      </c>
      <c r="B306" s="13" t="str">
        <f>TRIM(CLEAN(Raw_Data!B306))</f>
        <v>Sales</v>
      </c>
      <c r="C306" s="18" t="s">
        <v>26</v>
      </c>
      <c r="D306" s="14" t="str">
        <f>IF(ISBLANK(Raw_Data!D306),AVERAGE(Raw_Data!D$2:D$5002),Raw_Data!D306)</f>
        <v>124124.56</v>
      </c>
      <c r="E306" s="15" t="str">
        <f>IF(ISBLANK(Raw_Data!E306),AVERAGE(Raw_Data!E$2:E$5002),Raw_Data!E306)</f>
        <v>37237.37</v>
      </c>
      <c r="F306" s="15" t="str">
        <f>IF(ISBLANK(Raw_Data!F306),AVERAGE(Raw_Data!F$2:F$5002),Raw_Data!F306)</f>
        <v>1862.89</v>
      </c>
      <c r="G306" s="14" t="str">
        <f>IF(ISBLANK(Raw_Data!G306),AVERAGE(Raw_Data!G$2:G$5002),Raw_Data!G306)</f>
        <v>23739.29</v>
      </c>
      <c r="H306" s="15" t="str">
        <f t="shared" si="1"/>
        <v>163225.00</v>
      </c>
      <c r="I306" s="14" t="str">
        <f t="shared" si="2"/>
        <v>139486.00</v>
      </c>
      <c r="J306" s="16" t="str">
        <f>TEXT(Raw_Data!J306,"MMM-YYY")</f>
        <v>Jun-2025</v>
      </c>
      <c r="K306" s="13" t="str">
        <f>Raw_Data!K306</f>
        <v>17</v>
      </c>
      <c r="L306" s="17" t="str">
        <f>Raw_Data!L306</f>
        <v>Kolkata-East</v>
      </c>
      <c r="M306" s="13" t="str">
        <f t="shared" si="3"/>
        <v>OK</v>
      </c>
      <c r="N306" s="18" t="str">
        <f t="shared" si="4"/>
        <v>VALID</v>
      </c>
    </row>
    <row r="307" ht="15.75" customHeight="1">
      <c r="A307" s="13" t="str">
        <f>Raw_Data!A307</f>
        <v>EMP0315</v>
      </c>
      <c r="B307" s="13" t="str">
        <f>TRIM(CLEAN(Raw_Data!B307))</f>
        <v>Operations</v>
      </c>
      <c r="C307" s="18" t="s">
        <v>26</v>
      </c>
      <c r="D307" s="14" t="str">
        <f>IF(ISBLANK(Raw_Data!D307),AVERAGE(Raw_Data!D$2:D$5002),Raw_Data!D307)</f>
        <v>116996.33</v>
      </c>
      <c r="E307" s="15" t="str">
        <f>IF(ISBLANK(Raw_Data!E307),AVERAGE(Raw_Data!E$2:E$5002),Raw_Data!E307)</f>
        <v>35098.90</v>
      </c>
      <c r="F307" s="15" t="str">
        <f>IF(ISBLANK(Raw_Data!F307),AVERAGE(Raw_Data!F$2:F$5002),Raw_Data!F307)</f>
        <v>3743.57</v>
      </c>
      <c r="G307" s="14" t="str">
        <f>IF(ISBLANK(Raw_Data!G307),AVERAGE(Raw_Data!G$2:G$5002),Raw_Data!G307)</f>
        <v>1093.00</v>
      </c>
      <c r="H307" s="15" t="str">
        <f t="shared" si="1"/>
        <v>155839.00</v>
      </c>
      <c r="I307" s="14" t="str">
        <f t="shared" si="2"/>
        <v>154746.00</v>
      </c>
      <c r="J307" s="16" t="str">
        <f>TEXT(Raw_Data!J307,"MMM-YYY")</f>
        <v>Oct-2025</v>
      </c>
      <c r="K307" s="13" t="str">
        <f>Raw_Data!K307</f>
        <v>17</v>
      </c>
      <c r="L307" s="17" t="str">
        <f>Raw_Data!L307</f>
        <v>Pune-West</v>
      </c>
      <c r="M307" s="13" t="str">
        <f t="shared" si="3"/>
        <v>OK</v>
      </c>
      <c r="N307" s="18" t="str">
        <f t="shared" si="4"/>
        <v>VALID</v>
      </c>
    </row>
    <row r="308" ht="15.75" customHeight="1">
      <c r="A308" s="13" t="str">
        <f>Raw_Data!A308</f>
        <v>EMP0316</v>
      </c>
      <c r="B308" s="13" t="str">
        <f>TRIM(CLEAN(Raw_Data!B308))</f>
        <v>Sales</v>
      </c>
      <c r="C308" s="18" t="s">
        <v>26</v>
      </c>
      <c r="D308" s="14" t="str">
        <f>IF(ISBLANK(Raw_Data!D308),AVERAGE(Raw_Data!D$2:D$5002),Raw_Data!D308)</f>
        <v>105774.22</v>
      </c>
      <c r="E308" s="15" t="str">
        <f>IF(ISBLANK(Raw_Data!E308),AVERAGE(Raw_Data!E$2:E$5002),Raw_Data!E308)</f>
        <v>31732.27</v>
      </c>
      <c r="F308" s="15" t="str">
        <f>IF(ISBLANK(Raw_Data!F308),AVERAGE(Raw_Data!F$2:F$5002),Raw_Data!F308)</f>
        <v>2670.38</v>
      </c>
      <c r="G308" s="14" t="str">
        <f>IF(ISBLANK(Raw_Data!G308),AVERAGE(Raw_Data!G$2:G$5002),Raw_Data!G308)</f>
        <v>7488.67</v>
      </c>
      <c r="H308" s="15" t="str">
        <f t="shared" si="1"/>
        <v>140177.00</v>
      </c>
      <c r="I308" s="14" t="str">
        <f t="shared" si="2"/>
        <v>132688.00</v>
      </c>
      <c r="J308" s="16" t="str">
        <f>TEXT(Raw_Data!J308,"MMM-YYY")</f>
        <v>Nov-2025</v>
      </c>
      <c r="K308" s="13" t="str">
        <f>Raw_Data!K308</f>
        <v>10</v>
      </c>
      <c r="L308" s="17" t="str">
        <f>Raw_Data!L308</f>
        <v>Hyderabad-South</v>
      </c>
      <c r="M308" s="13" t="str">
        <f t="shared" si="3"/>
        <v>OK</v>
      </c>
      <c r="N308" s="18" t="str">
        <f t="shared" si="4"/>
        <v>VALID</v>
      </c>
    </row>
    <row r="309" ht="15.75" customHeight="1">
      <c r="A309" s="13" t="str">
        <f>Raw_Data!A309</f>
        <v>EMP0317</v>
      </c>
      <c r="B309" s="13" t="str">
        <f>TRIM(CLEAN(Raw_Data!B309))</f>
        <v>IT</v>
      </c>
      <c r="C309" s="18" t="s">
        <v>33</v>
      </c>
      <c r="D309" s="14" t="str">
        <f>IF(ISBLANK(Raw_Data!D309),AVERAGE(Raw_Data!D$2:D$5002),Raw_Data!D309)</f>
        <v>28828.54</v>
      </c>
      <c r="E309" s="15" t="str">
        <f>IF(ISBLANK(Raw_Data!E309),AVERAGE(Raw_Data!E$2:E$5002),Raw_Data!E309)</f>
        <v>8648.56</v>
      </c>
      <c r="F309" s="15" t="str">
        <f>IF(ISBLANK(Raw_Data!F309),AVERAGE(Raw_Data!F$2:F$5002),Raw_Data!F309)</f>
        <v>3270.57</v>
      </c>
      <c r="G309" s="14" t="str">
        <f>IF(ISBLANK(Raw_Data!G309),AVERAGE(Raw_Data!G$2:G$5002),Raw_Data!G309)</f>
        <v>5233.20</v>
      </c>
      <c r="H309" s="15" t="str">
        <f t="shared" si="1"/>
        <v>40748.00</v>
      </c>
      <c r="I309" s="14" t="str">
        <f t="shared" si="2"/>
        <v>35515.00</v>
      </c>
      <c r="J309" s="16" t="str">
        <f>TEXT(Raw_Data!J309,"MMM-YYY")</f>
        <v>Nov-2025</v>
      </c>
      <c r="K309" s="13" t="str">
        <f>Raw_Data!K309</f>
        <v>8</v>
      </c>
      <c r="L309" s="17" t="str">
        <f>Raw_Data!L309</f>
        <v>Chandigarh-North</v>
      </c>
      <c r="M309" s="13" t="str">
        <f t="shared" si="3"/>
        <v>OK</v>
      </c>
      <c r="N309" s="18" t="str">
        <f t="shared" si="4"/>
        <v>VALID</v>
      </c>
    </row>
    <row r="310" ht="15.75" customHeight="1">
      <c r="A310" s="13" t="str">
        <f>Raw_Data!A310</f>
        <v>EMP0318</v>
      </c>
      <c r="B310" s="13" t="str">
        <f>TRIM(CLEAN(Raw_Data!B310))</f>
        <v>Marketing</v>
      </c>
      <c r="C310" s="18" t="s">
        <v>33</v>
      </c>
      <c r="D310" s="14" t="str">
        <f>IF(ISBLANK(Raw_Data!D310),AVERAGE(Raw_Data!D$2:D$5002),Raw_Data!D310)</f>
        <v>28720.13</v>
      </c>
      <c r="E310" s="15" t="str">
        <f>IF(ISBLANK(Raw_Data!E310),AVERAGE(Raw_Data!E$2:E$5002),Raw_Data!E310)</f>
        <v>8616.04</v>
      </c>
      <c r="F310" s="15" t="str">
        <f>IF(ISBLANK(Raw_Data!F310),AVERAGE(Raw_Data!F$2:F$5002),Raw_Data!F310)</f>
        <v>4383.18</v>
      </c>
      <c r="G310" s="14" t="str">
        <f>IF(ISBLANK(Raw_Data!G310),AVERAGE(Raw_Data!G$2:G$5002),Raw_Data!G310)</f>
        <v>4944.93</v>
      </c>
      <c r="H310" s="15" t="str">
        <f t="shared" si="1"/>
        <v>41719.00</v>
      </c>
      <c r="I310" s="14" t="str">
        <f t="shared" si="2"/>
        <v>36774.00</v>
      </c>
      <c r="J310" s="16" t="str">
        <f>TEXT(Raw_Data!J310,"MMM-YYY")</f>
        <v>Sep-2025</v>
      </c>
      <c r="K310" s="13" t="str">
        <f>Raw_Data!K310</f>
        <v>6</v>
      </c>
      <c r="L310" s="17" t="str">
        <f>Raw_Data!L310</f>
        <v>Ahmedabad-West</v>
      </c>
      <c r="M310" s="13" t="str">
        <f t="shared" si="3"/>
        <v>OK</v>
      </c>
      <c r="N310" s="18" t="str">
        <f t="shared" si="4"/>
        <v>VALID</v>
      </c>
    </row>
    <row r="311" ht="15.75" customHeight="1">
      <c r="A311" s="13" t="str">
        <f>Raw_Data!A311</f>
        <v>EMP0319</v>
      </c>
      <c r="B311" s="13" t="str">
        <f>TRIM(CLEAN(Raw_Data!B311))</f>
        <v>IT</v>
      </c>
      <c r="C311" s="18" t="s">
        <v>54</v>
      </c>
      <c r="D311" s="14" t="str">
        <f>IF(ISBLANK(Raw_Data!D311),AVERAGE(Raw_Data!D$2:D$5002),Raw_Data!D311)</f>
        <v>39401.40</v>
      </c>
      <c r="E311" s="15" t="str">
        <f>IF(ISBLANK(Raw_Data!E311),AVERAGE(Raw_Data!E$2:E$5002),Raw_Data!E311)</f>
        <v>11820.42</v>
      </c>
      <c r="F311" s="15" t="str">
        <f>IF(ISBLANK(Raw_Data!F311),AVERAGE(Raw_Data!F$2:F$5002),Raw_Data!F311)</f>
        <v>2196.15</v>
      </c>
      <c r="G311" s="14" t="str">
        <f>IF(ISBLANK(Raw_Data!G311),AVERAGE(Raw_Data!G$2:G$5002),Raw_Data!G311)</f>
        <v>11353.75</v>
      </c>
      <c r="H311" s="15" t="str">
        <f t="shared" si="1"/>
        <v>53418.00</v>
      </c>
      <c r="I311" s="14" t="str">
        <f t="shared" si="2"/>
        <v>42064.00</v>
      </c>
      <c r="J311" s="16" t="str">
        <f>TEXT(Raw_Data!J311,"MMM-YYY")</f>
        <v>Jan-2025</v>
      </c>
      <c r="K311" s="13" t="str">
        <f>Raw_Data!K311</f>
        <v>15</v>
      </c>
      <c r="L311" s="17" t="str">
        <f>Raw_Data!L311</f>
        <v>Jaipur-North</v>
      </c>
      <c r="M311" s="13" t="str">
        <f t="shared" si="3"/>
        <v>OK</v>
      </c>
      <c r="N311" s="18" t="str">
        <f t="shared" si="4"/>
        <v>VALID</v>
      </c>
    </row>
    <row r="312" ht="15.75" customHeight="1">
      <c r="A312" s="13" t="str">
        <f>Raw_Data!A312</f>
        <v>EMP0320</v>
      </c>
      <c r="B312" s="13" t="str">
        <f>TRIM(CLEAN(Raw_Data!B312))</f>
        <v>Sales</v>
      </c>
      <c r="C312" s="18" t="s">
        <v>30</v>
      </c>
      <c r="D312" s="14" t="str">
        <f>IF(ISBLANK(Raw_Data!D312),AVERAGE(Raw_Data!D$2:D$5002),Raw_Data!D312)</f>
        <v>26391.59</v>
      </c>
      <c r="E312" s="15" t="str">
        <f>IF(ISBLANK(Raw_Data!E312),AVERAGE(Raw_Data!E$2:E$5002),Raw_Data!E312)</f>
        <v>7917.48</v>
      </c>
      <c r="F312" s="15" t="str">
        <f>IF(ISBLANK(Raw_Data!F312),AVERAGE(Raw_Data!F$2:F$5002),Raw_Data!F312)</f>
        <v>2042.64</v>
      </c>
      <c r="G312" s="14" t="str">
        <f>IF(ISBLANK(Raw_Data!G312),AVERAGE(Raw_Data!G$2:G$5002),Raw_Data!G312)</f>
        <v>4447.03</v>
      </c>
      <c r="H312" s="15" t="str">
        <f t="shared" si="1"/>
        <v>36352.00</v>
      </c>
      <c r="I312" s="14" t="str">
        <f t="shared" si="2"/>
        <v>31905.00</v>
      </c>
      <c r="J312" s="16" t="str">
        <f>TEXT(Raw_Data!J312,"MMM-YYY")</f>
        <v>May-2025</v>
      </c>
      <c r="K312" s="13" t="str">
        <f>Raw_Data!K312</f>
        <v>1</v>
      </c>
      <c r="L312" s="17" t="str">
        <f>Raw_Data!L312</f>
        <v>Mumbai-HO</v>
      </c>
      <c r="M312" s="13" t="str">
        <f t="shared" si="3"/>
        <v>OK</v>
      </c>
      <c r="N312" s="18" t="str">
        <f t="shared" si="4"/>
        <v>VALID</v>
      </c>
    </row>
    <row r="313" ht="15.75" customHeight="1">
      <c r="A313" s="13" t="str">
        <f>Raw_Data!A313</f>
        <v>EMP0321</v>
      </c>
      <c r="B313" s="13" t="str">
        <f>TRIM(CLEAN(Raw_Data!B313))</f>
        <v>Customer Support</v>
      </c>
      <c r="C313" s="18" t="s">
        <v>33</v>
      </c>
      <c r="D313" s="14" t="str">
        <f>IF(ISBLANK(Raw_Data!D313),AVERAGE(Raw_Data!D$2:D$5002),Raw_Data!D313)</f>
        <v>32040.38</v>
      </c>
      <c r="E313" s="15" t="str">
        <f>IF(ISBLANK(Raw_Data!E313),AVERAGE(Raw_Data!E$2:E$5002),Raw_Data!E313)</f>
        <v>9612.11</v>
      </c>
      <c r="F313" s="15" t="str">
        <f>IF(ISBLANK(Raw_Data!F313),AVERAGE(Raw_Data!F$2:F$5002),Raw_Data!F313)</f>
        <v>1374.98</v>
      </c>
      <c r="G313" s="14" t="str">
        <f>IF(ISBLANK(Raw_Data!G313),AVERAGE(Raw_Data!G$2:G$5002),Raw_Data!G313)</f>
        <v>5881.43</v>
      </c>
      <c r="H313" s="15" t="str">
        <f t="shared" si="1"/>
        <v>43027.00</v>
      </c>
      <c r="I313" s="14" t="str">
        <f t="shared" si="2"/>
        <v>37146.00</v>
      </c>
      <c r="J313" s="16" t="str">
        <f>TEXT(Raw_Data!J313,"MMM-YYY")</f>
        <v>Dec-2025</v>
      </c>
      <c r="K313" s="13" t="str">
        <f>Raw_Data!K313</f>
        <v>23</v>
      </c>
      <c r="L313" s="17" t="str">
        <f>Raw_Data!L313</f>
        <v>Delhi-North</v>
      </c>
      <c r="M313" s="13" t="str">
        <f t="shared" si="3"/>
        <v>OK</v>
      </c>
      <c r="N313" s="18" t="str">
        <f t="shared" si="4"/>
        <v>VALID</v>
      </c>
    </row>
    <row r="314" ht="15.75" customHeight="1">
      <c r="A314" s="13" t="str">
        <f>Raw_Data!A314</f>
        <v>EMP0322</v>
      </c>
      <c r="B314" s="13" t="str">
        <f>TRIM(CLEAN(Raw_Data!B314))</f>
        <v>Marketing</v>
      </c>
      <c r="C314" s="18" t="s">
        <v>30</v>
      </c>
      <c r="D314" s="14" t="str">
        <f>IF(ISBLANK(Raw_Data!D314),AVERAGE(Raw_Data!D$2:D$5002),Raw_Data!D314)</f>
        <v>23079.21</v>
      </c>
      <c r="E314" s="15" t="str">
        <f>IF(ISBLANK(Raw_Data!E314),AVERAGE(Raw_Data!E$2:E$5002),Raw_Data!E314)</f>
        <v>6923.76</v>
      </c>
      <c r="F314" s="15" t="str">
        <f>IF(ISBLANK(Raw_Data!F314),AVERAGE(Raw_Data!F$2:F$5002),Raw_Data!F314)</f>
        <v>3936.51</v>
      </c>
      <c r="G314" s="14" t="str">
        <f>IF(ISBLANK(Raw_Data!G314),AVERAGE(Raw_Data!G$2:G$5002),Raw_Data!G314)</f>
        <v>3129.84</v>
      </c>
      <c r="H314" s="15" t="str">
        <f t="shared" si="1"/>
        <v>33939.00</v>
      </c>
      <c r="I314" s="14" t="str">
        <f t="shared" si="2"/>
        <v>30809.00</v>
      </c>
      <c r="J314" s="16" t="str">
        <f>TEXT(Raw_Data!J314,"MMM-YYY")</f>
        <v>Dec-2025</v>
      </c>
      <c r="K314" s="13" t="str">
        <f>Raw_Data!K314</f>
        <v>8</v>
      </c>
      <c r="L314" s="17" t="str">
        <f>Raw_Data!L314</f>
        <v>Bangalore-South</v>
      </c>
      <c r="M314" s="13" t="str">
        <f t="shared" si="3"/>
        <v>OK</v>
      </c>
      <c r="N314" s="18" t="str">
        <f t="shared" si="4"/>
        <v>VALID</v>
      </c>
    </row>
    <row r="315" ht="15.75" customHeight="1">
      <c r="A315" s="13" t="str">
        <f>Raw_Data!A315</f>
        <v>EMP0323</v>
      </c>
      <c r="B315" s="13" t="str">
        <f>TRIM(CLEAN(Raw_Data!B315))</f>
        <v>Marketing</v>
      </c>
      <c r="C315" s="18" t="s">
        <v>14</v>
      </c>
      <c r="D315" s="14" t="str">
        <f>IF(ISBLANK(Raw_Data!D315),AVERAGE(Raw_Data!D$2:D$5002),Raw_Data!D315)</f>
        <v>23835.70</v>
      </c>
      <c r="E315" s="15" t="str">
        <f>IF(ISBLANK(Raw_Data!E315),AVERAGE(Raw_Data!E$2:E$5002),Raw_Data!E315)</f>
        <v>7150.71</v>
      </c>
      <c r="F315" s="15" t="str">
        <f>IF(ISBLANK(Raw_Data!F315),AVERAGE(Raw_Data!F$2:F$5002),Raw_Data!F315)</f>
        <v>4612.50</v>
      </c>
      <c r="G315" s="14" t="str">
        <f>IF(ISBLANK(Raw_Data!G315),AVERAGE(Raw_Data!G$2:G$5002),Raw_Data!G315)</f>
        <v>7054.71</v>
      </c>
      <c r="H315" s="15" t="str">
        <f t="shared" si="1"/>
        <v>35599.00</v>
      </c>
      <c r="I315" s="14" t="str">
        <f t="shared" si="2"/>
        <v>28544.00</v>
      </c>
      <c r="J315" s="16" t="str">
        <f>TEXT(Raw_Data!J315,"MMM-YYY")</f>
        <v>Nov-2025</v>
      </c>
      <c r="K315" s="13" t="str">
        <f>Raw_Data!K315</f>
        <v>21</v>
      </c>
      <c r="L315" s="17" t="str">
        <f>Raw_Data!L315</f>
        <v>Chennai-South</v>
      </c>
      <c r="M315" s="13" t="str">
        <f t="shared" si="3"/>
        <v>OK</v>
      </c>
      <c r="N315" s="18" t="str">
        <f t="shared" si="4"/>
        <v>VALID</v>
      </c>
    </row>
    <row r="316" ht="15.75" customHeight="1">
      <c r="A316" s="13" t="str">
        <f>Raw_Data!A316</f>
        <v>EMP0324</v>
      </c>
      <c r="B316" s="13" t="str">
        <f>TRIM(CLEAN(Raw_Data!B316))</f>
        <v>IT</v>
      </c>
      <c r="C316" s="18" t="s">
        <v>18</v>
      </c>
      <c r="D316" s="14" t="str">
        <f>IF(ISBLANK(Raw_Data!D316),AVERAGE(Raw_Data!D$2:D$5002),Raw_Data!D316)</f>
        <v>66688.42</v>
      </c>
      <c r="E316" s="15" t="str">
        <f>IF(ISBLANK(Raw_Data!E316),AVERAGE(Raw_Data!E$2:E$5002),Raw_Data!E316)</f>
        <v>20006.53</v>
      </c>
      <c r="F316" s="15" t="str">
        <f>IF(ISBLANK(Raw_Data!F316),AVERAGE(Raw_Data!F$2:F$5002),Raw_Data!F316)</f>
        <v>7231.31</v>
      </c>
      <c r="G316" s="14" t="str">
        <f>IF(ISBLANK(Raw_Data!G316),AVERAGE(Raw_Data!G$2:G$5002),Raw_Data!G316)</f>
        <v>17832.45</v>
      </c>
      <c r="H316" s="15" t="str">
        <f t="shared" si="1"/>
        <v>93926.00</v>
      </c>
      <c r="I316" s="14" t="str">
        <f t="shared" si="2"/>
        <v>76094.00</v>
      </c>
      <c r="J316" s="16" t="str">
        <f>TEXT(Raw_Data!J316,"MMM-YYY")</f>
        <v>Mar-2025</v>
      </c>
      <c r="K316" s="13" t="str">
        <f>Raw_Data!K316</f>
        <v>12</v>
      </c>
      <c r="L316" s="17" t="str">
        <f>Raw_Data!L316</f>
        <v>Kolkata-East</v>
      </c>
      <c r="M316" s="13" t="str">
        <f t="shared" si="3"/>
        <v>OK</v>
      </c>
      <c r="N316" s="18" t="str">
        <f t="shared" si="4"/>
        <v>VALID</v>
      </c>
    </row>
    <row r="317" ht="15.75" customHeight="1">
      <c r="A317" s="13" t="str">
        <f>Raw_Data!A317</f>
        <v>EMP0325</v>
      </c>
      <c r="B317" s="13" t="str">
        <f>TRIM(CLEAN(Raw_Data!B317))</f>
        <v>Sales</v>
      </c>
      <c r="C317" s="18" t="s">
        <v>18</v>
      </c>
      <c r="D317" s="14" t="str">
        <f>IF(ISBLANK(Raw_Data!D317),AVERAGE(Raw_Data!D$2:D$5002),Raw_Data!D317)</f>
        <v>89110.44</v>
      </c>
      <c r="E317" s="15" t="str">
        <f>IF(ISBLANK(Raw_Data!E317),AVERAGE(Raw_Data!E$2:E$5002),Raw_Data!E317)</f>
        <v>26733.13</v>
      </c>
      <c r="F317" s="15" t="str">
        <f>IF(ISBLANK(Raw_Data!F317),AVERAGE(Raw_Data!F$2:F$5002),Raw_Data!F317)</f>
        <v>11365.15</v>
      </c>
      <c r="G317" s="14" t="str">
        <f>IF(ISBLANK(Raw_Data!G317),AVERAGE(Raw_Data!G$2:G$5002),Raw_Data!G317)</f>
        <v>21217.99</v>
      </c>
      <c r="H317" s="15" t="str">
        <f t="shared" si="1"/>
        <v>127209.00</v>
      </c>
      <c r="I317" s="14" t="str">
        <f t="shared" si="2"/>
        <v>105991.00</v>
      </c>
      <c r="J317" s="16" t="str">
        <f>TEXT(Raw_Data!J317,"MMM-YYY")</f>
        <v>Sep-2025</v>
      </c>
      <c r="K317" s="13" t="str">
        <f>Raw_Data!K317</f>
        <v>18</v>
      </c>
      <c r="L317" s="17" t="str">
        <f>Raw_Data!L317</f>
        <v>Pune-West</v>
      </c>
      <c r="M317" s="13" t="str">
        <f t="shared" si="3"/>
        <v>OK</v>
      </c>
      <c r="N317" s="18" t="str">
        <f t="shared" si="4"/>
        <v>VALID</v>
      </c>
    </row>
    <row r="318" ht="15.75" customHeight="1">
      <c r="A318" s="13" t="str">
        <f>Raw_Data!A318</f>
        <v>EMP0327</v>
      </c>
      <c r="B318" s="13" t="str">
        <f>TRIM(CLEAN(Raw_Data!B318))</f>
        <v>HR</v>
      </c>
      <c r="C318" s="18" t="s">
        <v>33</v>
      </c>
      <c r="D318" s="14" t="str">
        <f>IF(ISBLANK(Raw_Data!D318),AVERAGE(Raw_Data!D$2:D$5002),Raw_Data!D318)</f>
        <v>30540.21</v>
      </c>
      <c r="E318" s="15" t="str">
        <f>IF(ISBLANK(Raw_Data!E318),AVERAGE(Raw_Data!E$2:E$5002),Raw_Data!E318)</f>
        <v>9162.06</v>
      </c>
      <c r="F318" s="15" t="str">
        <f>IF(ISBLANK(Raw_Data!F318),AVERAGE(Raw_Data!F$2:F$5002),Raw_Data!F318)</f>
        <v>2253.32</v>
      </c>
      <c r="G318" s="14" t="str">
        <f>IF(ISBLANK(Raw_Data!G318),AVERAGE(Raw_Data!G$2:G$5002),Raw_Data!G318)</f>
        <v>7363.20</v>
      </c>
      <c r="H318" s="15" t="str">
        <f t="shared" si="1"/>
        <v>41956.00</v>
      </c>
      <c r="I318" s="14" t="str">
        <f t="shared" si="2"/>
        <v>34593.00</v>
      </c>
      <c r="J318" s="16" t="str">
        <f>TEXT(Raw_Data!J318,"MMM-YYY")</f>
        <v>Sep-2025</v>
      </c>
      <c r="K318" s="13" t="str">
        <f>Raw_Data!K318</f>
        <v>24</v>
      </c>
      <c r="L318" s="17" t="str">
        <f>Raw_Data!L318</f>
        <v>Chandigarh-North</v>
      </c>
      <c r="M318" s="13" t="str">
        <f t="shared" si="3"/>
        <v>OK</v>
      </c>
      <c r="N318" s="18" t="str">
        <f t="shared" si="4"/>
        <v>VALID</v>
      </c>
    </row>
    <row r="319" ht="15.75" customHeight="1">
      <c r="A319" s="13" t="str">
        <f>Raw_Data!A319</f>
        <v>EMP0328</v>
      </c>
      <c r="B319" s="13" t="str">
        <f>TRIM(CLEAN(Raw_Data!B319))</f>
        <v>Finance</v>
      </c>
      <c r="C319" s="18" t="s">
        <v>37</v>
      </c>
      <c r="D319" s="14" t="str">
        <f>IF(ISBLANK(Raw_Data!D319),AVERAGE(Raw_Data!D$2:D$5002),Raw_Data!D319)</f>
        <v>60916.44</v>
      </c>
      <c r="E319" s="15" t="str">
        <f>IF(ISBLANK(Raw_Data!E319),AVERAGE(Raw_Data!E$2:E$5002),Raw_Data!E319)</f>
        <v>18274.93</v>
      </c>
      <c r="F319" s="15" t="str">
        <f>IF(ISBLANK(Raw_Data!F319),AVERAGE(Raw_Data!F$2:F$5002),Raw_Data!F319)</f>
        <v>801.03</v>
      </c>
      <c r="G319" s="14" t="str">
        <f>IF(ISBLANK(Raw_Data!G319),AVERAGE(Raw_Data!G$2:G$5002),Raw_Data!G319)</f>
        <v>7276.35</v>
      </c>
      <c r="H319" s="15" t="str">
        <f t="shared" si="1"/>
        <v>79992.00</v>
      </c>
      <c r="I319" s="14" t="str">
        <f t="shared" si="2"/>
        <v>72716.00</v>
      </c>
      <c r="J319" s="16" t="str">
        <f>TEXT(Raw_Data!J319,"MMM-YYY")</f>
        <v>Dec-2025</v>
      </c>
      <c r="K319" s="13" t="str">
        <f>Raw_Data!K319</f>
        <v>17</v>
      </c>
      <c r="L319" s="17" t="str">
        <f>Raw_Data!L319</f>
        <v>Ahmedabad-West</v>
      </c>
      <c r="M319" s="13" t="str">
        <f t="shared" si="3"/>
        <v>OK</v>
      </c>
      <c r="N319" s="18" t="str">
        <f t="shared" si="4"/>
        <v>VALID</v>
      </c>
    </row>
    <row r="320" ht="15.75" customHeight="1">
      <c r="A320" s="13" t="str">
        <f>Raw_Data!A320</f>
        <v>EMP0329</v>
      </c>
      <c r="B320" s="13" t="str">
        <f>TRIM(CLEAN(Raw_Data!B320))</f>
        <v>Sales</v>
      </c>
      <c r="C320" s="18" t="s">
        <v>54</v>
      </c>
      <c r="D320" s="14" t="str">
        <f>IF(ISBLANK(Raw_Data!D320),AVERAGE(Raw_Data!D$2:D$5002),Raw_Data!D320)</f>
        <v>42359.74</v>
      </c>
      <c r="E320" s="15" t="str">
        <f>IF(ISBLANK(Raw_Data!E320),AVERAGE(Raw_Data!E$2:E$5002),Raw_Data!E320)</f>
        <v>12707.92</v>
      </c>
      <c r="F320" s="15" t="str">
        <f>IF(ISBLANK(Raw_Data!F320),AVERAGE(Raw_Data!F$2:F$5002),Raw_Data!F320)</f>
        <v>6516.32</v>
      </c>
      <c r="G320" s="14" t="str">
        <f>IF(ISBLANK(Raw_Data!G320),AVERAGE(Raw_Data!G$2:G$5002),Raw_Data!G320)</f>
        <v>10462.93</v>
      </c>
      <c r="H320" s="15" t="str">
        <f t="shared" si="1"/>
        <v>61584.00</v>
      </c>
      <c r="I320" s="14" t="str">
        <f t="shared" si="2"/>
        <v>51121.00</v>
      </c>
      <c r="J320" s="16" t="str">
        <f>TEXT(Raw_Data!J320,"MMM-YYY")</f>
        <v>Feb-2025</v>
      </c>
      <c r="K320" s="13" t="str">
        <f>Raw_Data!K320</f>
        <v>21</v>
      </c>
      <c r="L320" s="17" t="str">
        <f>Raw_Data!L320</f>
        <v>Jaipur-North</v>
      </c>
      <c r="M320" s="13" t="str">
        <f t="shared" si="3"/>
        <v>OK</v>
      </c>
      <c r="N320" s="18" t="str">
        <f t="shared" si="4"/>
        <v>VALID</v>
      </c>
    </row>
    <row r="321" ht="15.75" customHeight="1">
      <c r="A321" s="13" t="str">
        <f>Raw_Data!A321</f>
        <v>EMP0330</v>
      </c>
      <c r="B321" s="13" t="str">
        <f>TRIM(CLEAN(Raw_Data!B321))</f>
        <v>Finance</v>
      </c>
      <c r="C321" s="18" t="s">
        <v>33</v>
      </c>
      <c r="D321" s="14" t="str">
        <f>IF(ISBLANK(Raw_Data!D321),AVERAGE(Raw_Data!D$2:D$5002),Raw_Data!D321)</f>
        <v>31423.39</v>
      </c>
      <c r="E321" s="15" t="str">
        <f>IF(ISBLANK(Raw_Data!E321),AVERAGE(Raw_Data!E$2:E$5002),Raw_Data!E321)</f>
        <v>9427.02</v>
      </c>
      <c r="F321" s="15" t="str">
        <f>IF(ISBLANK(Raw_Data!F321),AVERAGE(Raw_Data!F$2:F$5002),Raw_Data!F321)</f>
        <v>2827.94</v>
      </c>
      <c r="G321" s="14" t="str">
        <f>IF(ISBLANK(Raw_Data!G321),AVERAGE(Raw_Data!G$2:G$5002),Raw_Data!G321)</f>
        <v>6411.40</v>
      </c>
      <c r="H321" s="15" t="str">
        <f t="shared" si="1"/>
        <v>43678.00</v>
      </c>
      <c r="I321" s="14" t="str">
        <f t="shared" si="2"/>
        <v>37267.00</v>
      </c>
      <c r="J321" s="16" t="str">
        <f>TEXT(Raw_Data!J321,"MMM-YYY")</f>
        <v>Jun-2025</v>
      </c>
      <c r="K321" s="13" t="str">
        <f>Raw_Data!K321</f>
        <v>1</v>
      </c>
      <c r="L321" s="17" t="str">
        <f>Raw_Data!L321</f>
        <v>Mumbai-HO</v>
      </c>
      <c r="M321" s="13" t="str">
        <f t="shared" si="3"/>
        <v>OK</v>
      </c>
      <c r="N321" s="18" t="str">
        <f t="shared" si="4"/>
        <v>VALID</v>
      </c>
    </row>
    <row r="322" ht="15.75" customHeight="1">
      <c r="A322" s="13" t="str">
        <f>Raw_Data!A322</f>
        <v>EMP0331</v>
      </c>
      <c r="B322" s="13" t="str">
        <f>TRIM(CLEAN(Raw_Data!B322))</f>
        <v>Finance</v>
      </c>
      <c r="C322" s="18" t="s">
        <v>26</v>
      </c>
      <c r="D322" s="14" t="str">
        <f>IF(ISBLANK(Raw_Data!D322),AVERAGE(Raw_Data!D$2:D$5002),Raw_Data!D322)</f>
        <v>118089.47</v>
      </c>
      <c r="E322" s="15" t="str">
        <f>IF(ISBLANK(Raw_Data!E322),AVERAGE(Raw_Data!E$2:E$5002),Raw_Data!E322)</f>
        <v>35426.84</v>
      </c>
      <c r="F322" s="15" t="str">
        <f>IF(ISBLANK(Raw_Data!F322),AVERAGE(Raw_Data!F$2:F$5002),Raw_Data!F322)</f>
        <v>15110.59</v>
      </c>
      <c r="G322" s="14" t="str">
        <f>IF(ISBLANK(Raw_Data!G322),AVERAGE(Raw_Data!G$2:G$5002),Raw_Data!G322)</f>
        <v>6446.38</v>
      </c>
      <c r="H322" s="15" t="str">
        <f t="shared" si="1"/>
        <v>168627.00</v>
      </c>
      <c r="I322" s="14" t="str">
        <f t="shared" si="2"/>
        <v>162181.00</v>
      </c>
      <c r="J322" s="16" t="str">
        <f>TEXT(Raw_Data!J322,"MMM-YYY")</f>
        <v>Mar-2025</v>
      </c>
      <c r="K322" s="13" t="str">
        <f>Raw_Data!K322</f>
        <v>14</v>
      </c>
      <c r="L322" s="17" t="str">
        <f>Raw_Data!L322</f>
        <v>Delhi-North</v>
      </c>
      <c r="M322" s="13" t="str">
        <f t="shared" si="3"/>
        <v>OK</v>
      </c>
      <c r="N322" s="18" t="str">
        <f t="shared" si="4"/>
        <v>VALID</v>
      </c>
    </row>
    <row r="323" ht="15.75" customHeight="1">
      <c r="A323" s="13" t="str">
        <f>Raw_Data!A323</f>
        <v>EMP0332</v>
      </c>
      <c r="B323" s="13" t="str">
        <f>TRIM(CLEAN(Raw_Data!B323))</f>
        <v>Marketing</v>
      </c>
      <c r="C323" s="18" t="s">
        <v>37</v>
      </c>
      <c r="D323" s="14" t="str">
        <f>IF(ISBLANK(Raw_Data!D323),AVERAGE(Raw_Data!D$2:D$5002),Raw_Data!D323)</f>
        <v>61392.82</v>
      </c>
      <c r="E323" s="15" t="str">
        <f>IF(ISBLANK(Raw_Data!E323),AVERAGE(Raw_Data!E$2:E$5002),Raw_Data!E323)</f>
        <v>18417.85</v>
      </c>
      <c r="F323" s="15" t="str">
        <f>IF(ISBLANK(Raw_Data!F323),AVERAGE(Raw_Data!F$2:F$5002),Raw_Data!F323)</f>
        <v>680.39</v>
      </c>
      <c r="G323" s="14" t="str">
        <f>IF(ISBLANK(Raw_Data!G323),AVERAGE(Raw_Data!G$2:G$5002),Raw_Data!G323)</f>
        <v>2286.78</v>
      </c>
      <c r="H323" s="15" t="str">
        <f t="shared" si="1"/>
        <v>80491.00</v>
      </c>
      <c r="I323" s="14" t="str">
        <f t="shared" si="2"/>
        <v>78204.00</v>
      </c>
      <c r="J323" s="16" t="str">
        <f>TEXT(Raw_Data!J323,"MMM-YYY")</f>
        <v>Mar-2025</v>
      </c>
      <c r="K323" s="13" t="str">
        <f>Raw_Data!K323</f>
        <v>21</v>
      </c>
      <c r="L323" s="17" t="str">
        <f>Raw_Data!L323</f>
        <v>Bangalore-South</v>
      </c>
      <c r="M323" s="13" t="str">
        <f t="shared" si="3"/>
        <v>OK</v>
      </c>
      <c r="N323" s="18" t="str">
        <f t="shared" si="4"/>
        <v>VALID</v>
      </c>
    </row>
    <row r="324" ht="15.75" customHeight="1">
      <c r="A324" s="13" t="str">
        <f>Raw_Data!A324</f>
        <v>EMP0333</v>
      </c>
      <c r="B324" s="13" t="str">
        <f>TRIM(CLEAN(Raw_Data!B324))</f>
        <v>IT</v>
      </c>
      <c r="C324" s="18" t="s">
        <v>30</v>
      </c>
      <c r="D324" s="14" t="str">
        <f>IF(ISBLANK(Raw_Data!D324),AVERAGE(Raw_Data!D$2:D$5002),Raw_Data!D324)</f>
        <v>23425.31</v>
      </c>
      <c r="E324" s="15" t="str">
        <f>IF(ISBLANK(Raw_Data!E324),AVERAGE(Raw_Data!E$2:E$5002),Raw_Data!E324)</f>
        <v>7027.59</v>
      </c>
      <c r="F324" s="15" t="str">
        <f>IF(ISBLANK(Raw_Data!F324),AVERAGE(Raw_Data!F$2:F$5002),Raw_Data!F324)</f>
        <v>4379.30</v>
      </c>
      <c r="G324" s="14" t="str">
        <f>IF(ISBLANK(Raw_Data!G324),AVERAGE(Raw_Data!G$2:G$5002),Raw_Data!G324)</f>
        <v>1584.51</v>
      </c>
      <c r="H324" s="15" t="str">
        <f t="shared" si="1"/>
        <v>34832.00</v>
      </c>
      <c r="I324" s="14" t="str">
        <f t="shared" si="2"/>
        <v>33247.00</v>
      </c>
      <c r="J324" s="16" t="str">
        <f>TEXT(Raw_Data!J324,"MMM-YYY")</f>
        <v>Sep-2025</v>
      </c>
      <c r="K324" s="13" t="str">
        <f>Raw_Data!K324</f>
        <v>13</v>
      </c>
      <c r="L324" s="17" t="str">
        <f>Raw_Data!L324</f>
        <v>Chennai-South</v>
      </c>
      <c r="M324" s="13" t="str">
        <f t="shared" si="3"/>
        <v>OK</v>
      </c>
      <c r="N324" s="18" t="str">
        <f t="shared" si="4"/>
        <v>VALID</v>
      </c>
    </row>
    <row r="325" ht="15.75" customHeight="1">
      <c r="A325" s="13" t="str">
        <f>Raw_Data!A325</f>
        <v>EMP0334</v>
      </c>
      <c r="B325" s="13" t="str">
        <f>TRIM(CLEAN(Raw_Data!B325))</f>
        <v>IT</v>
      </c>
      <c r="C325" s="18" t="s">
        <v>26</v>
      </c>
      <c r="D325" s="14" t="str">
        <f>IF(ISBLANK(Raw_Data!D325),AVERAGE(Raw_Data!D$2:D$5002),Raw_Data!D325)</f>
        <v>92838.96</v>
      </c>
      <c r="E325" s="15" t="str">
        <f>IF(ISBLANK(Raw_Data!E325),AVERAGE(Raw_Data!E$2:E$5002),Raw_Data!E325)</f>
        <v>27851.69</v>
      </c>
      <c r="F325" s="15" t="str">
        <f>IF(ISBLANK(Raw_Data!F325),AVERAGE(Raw_Data!F$2:F$5002),Raw_Data!F325)</f>
        <v>3644.89</v>
      </c>
      <c r="G325" s="14" t="str">
        <f>IF(ISBLANK(Raw_Data!G325),AVERAGE(Raw_Data!G$2:G$5002),Raw_Data!G325)</f>
        <v>26636.01</v>
      </c>
      <c r="H325" s="15" t="str">
        <f t="shared" si="1"/>
        <v>124336.00</v>
      </c>
      <c r="I325" s="14" t="str">
        <f t="shared" si="2"/>
        <v>97700.00</v>
      </c>
      <c r="J325" s="16" t="str">
        <f>TEXT(Raw_Data!J325,"MMM-YYY")</f>
        <v>May-2025</v>
      </c>
      <c r="K325" s="13" t="str">
        <f>Raw_Data!K325</f>
        <v>8</v>
      </c>
      <c r="L325" s="17" t="str">
        <f>Raw_Data!L325</f>
        <v>Kolkata-East</v>
      </c>
      <c r="M325" s="13" t="str">
        <f t="shared" si="3"/>
        <v>OK</v>
      </c>
      <c r="N325" s="18" t="str">
        <f t="shared" si="4"/>
        <v>VALID</v>
      </c>
    </row>
    <row r="326" ht="15.75" customHeight="1">
      <c r="A326" s="13" t="str">
        <f>Raw_Data!A326</f>
        <v>EMP0335</v>
      </c>
      <c r="B326" s="13" t="str">
        <f>TRIM(CLEAN(Raw_Data!B326))</f>
        <v>Finance</v>
      </c>
      <c r="C326" s="18" t="s">
        <v>18</v>
      </c>
      <c r="D326" s="14" t="str">
        <f>IF(ISBLANK(Raw_Data!D326),AVERAGE(Raw_Data!D$2:D$5002),Raw_Data!D326)</f>
        <v>72873.44</v>
      </c>
      <c r="E326" s="15" t="str">
        <f>IF(ISBLANK(Raw_Data!E326),AVERAGE(Raw_Data!E$2:E$5002),Raw_Data!E326)</f>
        <v>21862.03</v>
      </c>
      <c r="F326" s="15" t="str">
        <f>IF(ISBLANK(Raw_Data!F326),AVERAGE(Raw_Data!F$2:F$5002),Raw_Data!F326)</f>
        <v>7775.28</v>
      </c>
      <c r="G326" s="14" t="str">
        <f>IF(ISBLANK(Raw_Data!G326),AVERAGE(Raw_Data!G$2:G$5002),Raw_Data!G326)</f>
        <v>10987.27</v>
      </c>
      <c r="H326" s="15" t="str">
        <f t="shared" si="1"/>
        <v>102511.00</v>
      </c>
      <c r="I326" s="14" t="str">
        <f t="shared" si="2"/>
        <v>91524.00</v>
      </c>
      <c r="J326" s="16" t="str">
        <f>TEXT(Raw_Data!J326,"MMM-YYY")</f>
        <v>Mar-2025</v>
      </c>
      <c r="K326" s="13" t="str">
        <f>Raw_Data!K326</f>
        <v>22</v>
      </c>
      <c r="L326" s="17" t="str">
        <f>Raw_Data!L326</f>
        <v>Pune-West</v>
      </c>
      <c r="M326" s="13" t="str">
        <f t="shared" si="3"/>
        <v>OK</v>
      </c>
      <c r="N326" s="18" t="str">
        <f t="shared" si="4"/>
        <v>VALID</v>
      </c>
    </row>
    <row r="327" ht="15.75" customHeight="1">
      <c r="A327" s="13" t="str">
        <f>Raw_Data!A327</f>
        <v>EMP0336</v>
      </c>
      <c r="B327" s="13" t="str">
        <f>TRIM(CLEAN(Raw_Data!B327))</f>
        <v>Operations</v>
      </c>
      <c r="C327" s="18" t="s">
        <v>37</v>
      </c>
      <c r="D327" s="14" t="str">
        <f>IF(ISBLANK(Raw_Data!D327),AVERAGE(Raw_Data!D$2:D$5002),Raw_Data!D327)</f>
        <v>47775.50</v>
      </c>
      <c r="E327" s="15" t="str">
        <f>IF(ISBLANK(Raw_Data!E327),AVERAGE(Raw_Data!E$2:E$5002),Raw_Data!E327)</f>
        <v>14332.65</v>
      </c>
      <c r="F327" s="15" t="str">
        <f>IF(ISBLANK(Raw_Data!F327),AVERAGE(Raw_Data!F$2:F$5002),Raw_Data!F327)</f>
        <v>6294.26</v>
      </c>
      <c r="G327" s="14" t="str">
        <f>IF(ISBLANK(Raw_Data!G327),AVERAGE(Raw_Data!G$2:G$5002),Raw_Data!G327)</f>
        <v>10328.58</v>
      </c>
      <c r="H327" s="15" t="str">
        <f t="shared" si="1"/>
        <v>68402.00</v>
      </c>
      <c r="I327" s="14" t="str">
        <f t="shared" si="2"/>
        <v>58073.00</v>
      </c>
      <c r="J327" s="16" t="str">
        <f>TEXT(Raw_Data!J327,"MMM-YYY")</f>
        <v>Oct-2025</v>
      </c>
      <c r="K327" s="13" t="str">
        <f>Raw_Data!K327</f>
        <v>15</v>
      </c>
      <c r="L327" s="17" t="str">
        <f>Raw_Data!L327</f>
        <v>Hyderabad-South</v>
      </c>
      <c r="M327" s="13" t="str">
        <f t="shared" si="3"/>
        <v>OK</v>
      </c>
      <c r="N327" s="18" t="str">
        <f t="shared" si="4"/>
        <v>VALID</v>
      </c>
    </row>
    <row r="328" ht="15.75" customHeight="1">
      <c r="A328" s="13" t="str">
        <f>Raw_Data!A328</f>
        <v>EMP0337</v>
      </c>
      <c r="B328" s="13" t="str">
        <f>TRIM(CLEAN(Raw_Data!B328))</f>
        <v>IT</v>
      </c>
      <c r="C328" s="18" t="s">
        <v>26</v>
      </c>
      <c r="D328" s="14" t="str">
        <f>IF(ISBLANK(Raw_Data!D328),AVERAGE(Raw_Data!D$2:D$5002),Raw_Data!D328)</f>
        <v>123261.47</v>
      </c>
      <c r="E328" s="15" t="str">
        <f>IF(ISBLANK(Raw_Data!E328),AVERAGE(Raw_Data!E$2:E$5002),Raw_Data!E328)</f>
        <v>36978.44</v>
      </c>
      <c r="F328" s="15" t="str">
        <f>IF(ISBLANK(Raw_Data!F328),AVERAGE(Raw_Data!F$2:F$5002),Raw_Data!F328)</f>
        <v>1015.53</v>
      </c>
      <c r="G328" s="14" t="str">
        <f>IF(ISBLANK(Raw_Data!G328),AVERAGE(Raw_Data!G$2:G$5002),Raw_Data!G328)</f>
        <v>31941.28</v>
      </c>
      <c r="H328" s="15" t="str">
        <f t="shared" si="1"/>
        <v>161255.00</v>
      </c>
      <c r="I328" s="14" t="str">
        <f t="shared" si="2"/>
        <v>129314.00</v>
      </c>
      <c r="J328" s="16" t="str">
        <f>TEXT(Raw_Data!J328,"MMM-YYY")</f>
        <v>Feb-2025</v>
      </c>
      <c r="K328" s="13" t="str">
        <f>Raw_Data!K328</f>
        <v>11</v>
      </c>
      <c r="L328" s="17" t="str">
        <f>Raw_Data!L328</f>
        <v>Chandigarh-North</v>
      </c>
      <c r="M328" s="13" t="str">
        <f t="shared" si="3"/>
        <v>OK</v>
      </c>
      <c r="N328" s="18" t="str">
        <f t="shared" si="4"/>
        <v>VALID</v>
      </c>
    </row>
    <row r="329" ht="15.75" customHeight="1">
      <c r="A329" s="13" t="str">
        <f>Raw_Data!A329</f>
        <v>EMP0338</v>
      </c>
      <c r="B329" s="13" t="str">
        <f>TRIM(CLEAN(Raw_Data!B329))</f>
        <v>HR</v>
      </c>
      <c r="C329" s="18" t="s">
        <v>18</v>
      </c>
      <c r="D329" s="14" t="str">
        <f>IF(ISBLANK(Raw_Data!D329),AVERAGE(Raw_Data!D$2:D$5002),Raw_Data!D329)</f>
        <v>85046.58</v>
      </c>
      <c r="E329" s="15" t="str">
        <f>IF(ISBLANK(Raw_Data!E329),AVERAGE(Raw_Data!E$2:E$5002),Raw_Data!E329)</f>
        <v>25513.97</v>
      </c>
      <c r="F329" s="15" t="str">
        <f>IF(ISBLANK(Raw_Data!F329),AVERAGE(Raw_Data!F$2:F$5002),Raw_Data!F329)</f>
        <v>4501.62</v>
      </c>
      <c r="G329" s="14" t="str">
        <f>IF(ISBLANK(Raw_Data!G329),AVERAGE(Raw_Data!G$2:G$5002),Raw_Data!G329)</f>
        <v>5378.56</v>
      </c>
      <c r="H329" s="15" t="str">
        <f t="shared" si="1"/>
        <v>115062.00</v>
      </c>
      <c r="I329" s="14" t="str">
        <f t="shared" si="2"/>
        <v>109683.00</v>
      </c>
      <c r="J329" s="16" t="str">
        <f>TEXT(Raw_Data!J329,"MMM-YYY")</f>
        <v>Oct-2025</v>
      </c>
      <c r="K329" s="13" t="str">
        <f>Raw_Data!K329</f>
        <v>9</v>
      </c>
      <c r="L329" s="17" t="str">
        <f>Raw_Data!L329</f>
        <v>Ahmedabad-West</v>
      </c>
      <c r="M329" s="13" t="str">
        <f t="shared" si="3"/>
        <v>OK</v>
      </c>
      <c r="N329" s="18" t="str">
        <f t="shared" si="4"/>
        <v>VALID</v>
      </c>
    </row>
    <row r="330" ht="15.75" customHeight="1">
      <c r="A330" s="13" t="str">
        <f>Raw_Data!A330</f>
        <v>EMP0339</v>
      </c>
      <c r="B330" s="13" t="str">
        <f>TRIM(CLEAN(Raw_Data!B330))</f>
        <v>Marketing</v>
      </c>
      <c r="C330" s="18" t="s">
        <v>37</v>
      </c>
      <c r="D330" s="14" t="str">
        <f>IF(ISBLANK(Raw_Data!D330),AVERAGE(Raw_Data!D$2:D$5002),Raw_Data!D330)</f>
        <v>71831.17</v>
      </c>
      <c r="E330" s="15" t="str">
        <f>IF(ISBLANK(Raw_Data!E330),AVERAGE(Raw_Data!E$2:E$5002),Raw_Data!E330)</f>
        <v>16950.55</v>
      </c>
      <c r="F330" s="15" t="str">
        <f>IF(ISBLANK(Raw_Data!F330),AVERAGE(Raw_Data!F$2:F$5002),Raw_Data!F330)</f>
        <v>5628.01</v>
      </c>
      <c r="G330" s="14" t="str">
        <f>IF(ISBLANK(Raw_Data!G330),AVERAGE(Raw_Data!G$2:G$5002),Raw_Data!G330)</f>
        <v>10630.78</v>
      </c>
      <c r="H330" s="15" t="str">
        <f t="shared" si="1"/>
        <v>94410.00</v>
      </c>
      <c r="I330" s="14" t="str">
        <f t="shared" si="2"/>
        <v>83779.00</v>
      </c>
      <c r="J330" s="16" t="str">
        <f>TEXT(Raw_Data!J330,"MMM-YYY")</f>
        <v>May-2025</v>
      </c>
      <c r="K330" s="13" t="str">
        <f>Raw_Data!K330</f>
        <v>2</v>
      </c>
      <c r="L330" s="17" t="str">
        <f>Raw_Data!L330</f>
        <v>Jaipur-North</v>
      </c>
      <c r="M330" s="13" t="str">
        <f t="shared" si="3"/>
        <v>OK</v>
      </c>
      <c r="N330" s="18" t="str">
        <f t="shared" si="4"/>
        <v>VALID</v>
      </c>
    </row>
    <row r="331" ht="15.75" customHeight="1">
      <c r="A331" s="13" t="str">
        <f>Raw_Data!A331</f>
        <v>EMP0340</v>
      </c>
      <c r="B331" s="13" t="str">
        <f>TRIM(CLEAN(Raw_Data!B331))</f>
        <v>Sales</v>
      </c>
      <c r="C331" s="18" t="s">
        <v>33</v>
      </c>
      <c r="D331" s="14" t="str">
        <f>IF(ISBLANK(Raw_Data!D331),AVERAGE(Raw_Data!D$2:D$5002),Raw_Data!D331)</f>
        <v>29829.45</v>
      </c>
      <c r="E331" s="15" t="str">
        <f>IF(ISBLANK(Raw_Data!E331),AVERAGE(Raw_Data!E$2:E$5002),Raw_Data!E331)</f>
        <v>8948.83</v>
      </c>
      <c r="F331" s="15" t="str">
        <f>IF(ISBLANK(Raw_Data!F331),AVERAGE(Raw_Data!F$2:F$5002),Raw_Data!F331)</f>
        <v>4800.68</v>
      </c>
      <c r="G331" s="14" t="str">
        <f>IF(ISBLANK(Raw_Data!G331),AVERAGE(Raw_Data!G$2:G$5002),Raw_Data!G331)</f>
        <v>6129.87</v>
      </c>
      <c r="H331" s="15" t="str">
        <f t="shared" si="1"/>
        <v>43579.00</v>
      </c>
      <c r="I331" s="14" t="str">
        <f t="shared" si="2"/>
        <v>37449.00</v>
      </c>
      <c r="J331" s="16" t="str">
        <f>TEXT(Raw_Data!J331,"MMM-YYY")</f>
        <v>May-2025</v>
      </c>
      <c r="K331" s="13" t="str">
        <f>Raw_Data!K331</f>
        <v>4</v>
      </c>
      <c r="L331" s="17" t="str">
        <f>Raw_Data!L331</f>
        <v>Mumbai-HO</v>
      </c>
      <c r="M331" s="13" t="str">
        <f t="shared" si="3"/>
        <v>OK</v>
      </c>
      <c r="N331" s="18" t="str">
        <f t="shared" si="4"/>
        <v>VALID</v>
      </c>
    </row>
    <row r="332" ht="15.75" customHeight="1">
      <c r="A332" s="13" t="str">
        <f>Raw_Data!A332</f>
        <v>EMP0341</v>
      </c>
      <c r="B332" s="13" t="str">
        <f>TRIM(CLEAN(Raw_Data!B332))</f>
        <v>Marketing</v>
      </c>
      <c r="C332" s="18" t="s">
        <v>14</v>
      </c>
      <c r="D332" s="14" t="str">
        <f>IF(ISBLANK(Raw_Data!D332),AVERAGE(Raw_Data!D$2:D$5002),Raw_Data!D332)</f>
        <v>22958.02</v>
      </c>
      <c r="E332" s="15" t="str">
        <f>IF(ISBLANK(Raw_Data!E332),AVERAGE(Raw_Data!E$2:E$5002),Raw_Data!E332)</f>
        <v>6887.41</v>
      </c>
      <c r="F332" s="15" t="str">
        <f>IF(ISBLANK(Raw_Data!F332),AVERAGE(Raw_Data!F$2:F$5002),Raw_Data!F332)</f>
        <v>725.84</v>
      </c>
      <c r="G332" s="14" t="str">
        <f>IF(ISBLANK(Raw_Data!G332),AVERAGE(Raw_Data!G$2:G$5002),Raw_Data!G332)</f>
        <v>2862.56</v>
      </c>
      <c r="H332" s="15" t="str">
        <f t="shared" si="1"/>
        <v>30571.00</v>
      </c>
      <c r="I332" s="14" t="str">
        <f t="shared" si="2"/>
        <v>27708.00</v>
      </c>
      <c r="J332" s="16" t="str">
        <f>TEXT(Raw_Data!J332,"MMM-YYY")</f>
        <v>Aug-2025</v>
      </c>
      <c r="K332" s="13" t="str">
        <f>Raw_Data!K332</f>
        <v>5</v>
      </c>
      <c r="L332" s="17" t="str">
        <f>Raw_Data!L332</f>
        <v>Delhi-North</v>
      </c>
      <c r="M332" s="13" t="str">
        <f t="shared" si="3"/>
        <v>OK</v>
      </c>
      <c r="N332" s="18" t="str">
        <f t="shared" si="4"/>
        <v>VALID</v>
      </c>
    </row>
    <row r="333" ht="15.75" customHeight="1">
      <c r="A333" s="13" t="str">
        <f>Raw_Data!A333</f>
        <v>EMP0342</v>
      </c>
      <c r="B333" s="13" t="str">
        <f>TRIM(CLEAN(Raw_Data!B333))</f>
        <v>Finance</v>
      </c>
      <c r="C333" s="18" t="s">
        <v>33</v>
      </c>
      <c r="D333" s="14" t="str">
        <f>IF(ISBLANK(Raw_Data!D333),AVERAGE(Raw_Data!D$2:D$5002),Raw_Data!D333)</f>
        <v>31066.60</v>
      </c>
      <c r="E333" s="15" t="str">
        <f>IF(ISBLANK(Raw_Data!E333),AVERAGE(Raw_Data!E$2:E$5002),Raw_Data!E333)</f>
        <v>9319.98</v>
      </c>
      <c r="F333" s="15" t="str">
        <f>IF(ISBLANK(Raw_Data!F333),AVERAGE(Raw_Data!F$2:F$5002),Raw_Data!F333)</f>
        <v>1942.18</v>
      </c>
      <c r="G333" s="14" t="str">
        <f>IF(ISBLANK(Raw_Data!G333),AVERAGE(Raw_Data!G$2:G$5002),Raw_Data!G333)</f>
        <v>6695.13</v>
      </c>
      <c r="H333" s="15" t="str">
        <f t="shared" si="1"/>
        <v>42329.00</v>
      </c>
      <c r="I333" s="14" t="str">
        <f t="shared" si="2"/>
        <v>35634.00</v>
      </c>
      <c r="J333" s="16" t="str">
        <f>TEXT(Raw_Data!J333,"MMM-YYY")</f>
        <v>Dec-2025</v>
      </c>
      <c r="K333" s="13" t="str">
        <f>Raw_Data!K333</f>
        <v>3</v>
      </c>
      <c r="L333" s="17" t="str">
        <f>Raw_Data!L333</f>
        <v>Bangalore-South</v>
      </c>
      <c r="M333" s="13" t="str">
        <f t="shared" si="3"/>
        <v>OK</v>
      </c>
      <c r="N333" s="18" t="str">
        <f t="shared" si="4"/>
        <v>VALID</v>
      </c>
    </row>
    <row r="334" ht="15.75" customHeight="1">
      <c r="A334" s="13" t="str">
        <f>Raw_Data!A334</f>
        <v>EMP0343</v>
      </c>
      <c r="B334" s="13" t="str">
        <f>TRIM(CLEAN(Raw_Data!B334))</f>
        <v>Customer Support</v>
      </c>
      <c r="C334" s="18" t="s">
        <v>33</v>
      </c>
      <c r="D334" s="14" t="str">
        <f>IF(ISBLANK(Raw_Data!D334),AVERAGE(Raw_Data!D$2:D$5002),Raw_Data!D334)</f>
        <v>34753.74</v>
      </c>
      <c r="E334" s="15" t="str">
        <f>IF(ISBLANK(Raw_Data!E334),AVERAGE(Raw_Data!E$2:E$5002),Raw_Data!E334)</f>
        <v>10426.12</v>
      </c>
      <c r="F334" s="15" t="str">
        <f>IF(ISBLANK(Raw_Data!F334),AVERAGE(Raw_Data!F$2:F$5002),Raw_Data!F334)</f>
        <v>908.92</v>
      </c>
      <c r="G334" s="14" t="str">
        <f>IF(ISBLANK(Raw_Data!G334),AVERAGE(Raw_Data!G$2:G$5002),Raw_Data!G334)</f>
        <v>3863.30</v>
      </c>
      <c r="H334" s="15" t="str">
        <f t="shared" si="1"/>
        <v>46089.00</v>
      </c>
      <c r="I334" s="14" t="str">
        <f t="shared" si="2"/>
        <v>42226.00</v>
      </c>
      <c r="J334" s="16" t="str">
        <f>TEXT(Raw_Data!J334,"MMM-YYY")</f>
        <v>Sep-2025</v>
      </c>
      <c r="K334" s="13" t="str">
        <f>Raw_Data!K334</f>
        <v>6</v>
      </c>
      <c r="L334" s="17" t="str">
        <f>Raw_Data!L334</f>
        <v>Chennai-South</v>
      </c>
      <c r="M334" s="13" t="str">
        <f t="shared" si="3"/>
        <v>OK</v>
      </c>
      <c r="N334" s="18" t="str">
        <f t="shared" si="4"/>
        <v>VALID</v>
      </c>
    </row>
    <row r="335" ht="15.75" customHeight="1">
      <c r="A335" s="13" t="str">
        <f>Raw_Data!A335</f>
        <v>EMP0344</v>
      </c>
      <c r="B335" s="13" t="str">
        <f>TRIM(CLEAN(Raw_Data!B335))</f>
        <v>HR</v>
      </c>
      <c r="C335" s="18" t="s">
        <v>33</v>
      </c>
      <c r="D335" s="14" t="str">
        <f>IF(ISBLANK(Raw_Data!D335),AVERAGE(Raw_Data!D$2:D$5002),Raw_Data!D335)</f>
        <v>27417.38</v>
      </c>
      <c r="E335" s="15" t="str">
        <f>IF(ISBLANK(Raw_Data!E335),AVERAGE(Raw_Data!E$2:E$5002),Raw_Data!E335)</f>
        <v>8225.21</v>
      </c>
      <c r="F335" s="15" t="str">
        <f>IF(ISBLANK(Raw_Data!F335),AVERAGE(Raw_Data!F$2:F$5002),Raw_Data!F335)</f>
        <v>671.85</v>
      </c>
      <c r="G335" s="14" t="str">
        <f>IF(ISBLANK(Raw_Data!G335),AVERAGE(Raw_Data!G$2:G$5002),Raw_Data!G335)</f>
        <v>3698.02</v>
      </c>
      <c r="H335" s="15" t="str">
        <f t="shared" si="1"/>
        <v>36314.00</v>
      </c>
      <c r="I335" s="14" t="str">
        <f t="shared" si="2"/>
        <v>32616.00</v>
      </c>
      <c r="J335" s="16" t="str">
        <f>TEXT(Raw_Data!J335,"MMM-YYY")</f>
        <v>Mar-2025</v>
      </c>
      <c r="K335" s="13" t="str">
        <f>Raw_Data!K335</f>
        <v>10</v>
      </c>
      <c r="L335" s="17" t="str">
        <f>Raw_Data!L335</f>
        <v>Kolkata-East</v>
      </c>
      <c r="M335" s="13" t="str">
        <f t="shared" si="3"/>
        <v>OK</v>
      </c>
      <c r="N335" s="18" t="str">
        <f t="shared" si="4"/>
        <v>VALID</v>
      </c>
    </row>
    <row r="336" ht="15.75" customHeight="1">
      <c r="A336" s="13" t="str">
        <f>Raw_Data!A336</f>
        <v>EMP0345</v>
      </c>
      <c r="B336" s="13" t="str">
        <f>TRIM(CLEAN(Raw_Data!B336))</f>
        <v>HR</v>
      </c>
      <c r="C336" s="18" t="s">
        <v>14</v>
      </c>
      <c r="D336" s="14" t="str">
        <f>IF(ISBLANK(Raw_Data!D336),AVERAGE(Raw_Data!D$2:D$5002),Raw_Data!D336)</f>
        <v>20089.53</v>
      </c>
      <c r="E336" s="15" t="str">
        <f>IF(ISBLANK(Raw_Data!E336),AVERAGE(Raw_Data!E$2:E$5002),Raw_Data!E336)</f>
        <v>6026.86</v>
      </c>
      <c r="F336" s="15" t="str">
        <f>IF(ISBLANK(Raw_Data!F336),AVERAGE(Raw_Data!F$2:F$5002),Raw_Data!F336)</f>
        <v>1543.48</v>
      </c>
      <c r="G336" s="14" t="str">
        <f>IF(ISBLANK(Raw_Data!G336),AVERAGE(Raw_Data!G$2:G$5002),Raw_Data!G336)</f>
        <v>3708.79</v>
      </c>
      <c r="H336" s="15" t="str">
        <f t="shared" si="1"/>
        <v>27660.00</v>
      </c>
      <c r="I336" s="14" t="str">
        <f t="shared" si="2"/>
        <v>23951.00</v>
      </c>
      <c r="J336" s="16" t="str">
        <f>TEXT(Raw_Data!J336,"MMM-YYY")</f>
        <v>Apr-2025</v>
      </c>
      <c r="K336" s="13" t="str">
        <f>Raw_Data!K336</f>
        <v>22</v>
      </c>
      <c r="L336" s="17" t="str">
        <f>Raw_Data!L336</f>
        <v>Pune-West</v>
      </c>
      <c r="M336" s="13" t="str">
        <f t="shared" si="3"/>
        <v>OK</v>
      </c>
      <c r="N336" s="18" t="str">
        <f t="shared" si="4"/>
        <v>VALID</v>
      </c>
    </row>
    <row r="337" ht="15.75" customHeight="1">
      <c r="A337" s="13" t="str">
        <f>Raw_Data!A337</f>
        <v>EMP0346</v>
      </c>
      <c r="B337" s="13" t="str">
        <f>TRIM(CLEAN(Raw_Data!B337))</f>
        <v>Customer Support</v>
      </c>
      <c r="C337" s="18" t="s">
        <v>30</v>
      </c>
      <c r="D337" s="14" t="str">
        <f>IF(ISBLANK(Raw_Data!D337),AVERAGE(Raw_Data!D$2:D$5002),Raw_Data!D337)</f>
        <v>29158.61</v>
      </c>
      <c r="E337" s="15" t="str">
        <f>IF(ISBLANK(Raw_Data!E337),AVERAGE(Raw_Data!E$2:E$5002),Raw_Data!E337)</f>
        <v>8747.58</v>
      </c>
      <c r="F337" s="15" t="str">
        <f>IF(ISBLANK(Raw_Data!F337),AVERAGE(Raw_Data!F$2:F$5002),Raw_Data!F337)</f>
        <v>5445.38</v>
      </c>
      <c r="G337" s="14" t="str">
        <f>IF(ISBLANK(Raw_Data!G337),AVERAGE(Raw_Data!G$2:G$5002),Raw_Data!G337)</f>
        <v>6308.13</v>
      </c>
      <c r="H337" s="15" t="str">
        <f t="shared" si="1"/>
        <v>43352.00</v>
      </c>
      <c r="I337" s="14" t="str">
        <f t="shared" si="2"/>
        <v>37044.00</v>
      </c>
      <c r="J337" s="16" t="str">
        <f>TEXT(Raw_Data!J337,"MMM-YYY")</f>
        <v>Apr-2025</v>
      </c>
      <c r="K337" s="13" t="str">
        <f>Raw_Data!K337</f>
        <v>16</v>
      </c>
      <c r="L337" s="17" t="str">
        <f>Raw_Data!L337</f>
        <v>Hyderabad-South</v>
      </c>
      <c r="M337" s="13" t="str">
        <f t="shared" si="3"/>
        <v>OK</v>
      </c>
      <c r="N337" s="18" t="str">
        <f t="shared" si="4"/>
        <v>VALID</v>
      </c>
    </row>
    <row r="338" ht="15.75" customHeight="1">
      <c r="A338" s="13" t="str">
        <f>Raw_Data!A338</f>
        <v>EMP0347</v>
      </c>
      <c r="B338" s="13" t="str">
        <f>TRIM(CLEAN(Raw_Data!B338))</f>
        <v>Customer Support</v>
      </c>
      <c r="C338" s="18" t="s">
        <v>30</v>
      </c>
      <c r="D338" s="14" t="str">
        <f>IF(ISBLANK(Raw_Data!D338),AVERAGE(Raw_Data!D$2:D$5002),Raw_Data!D338)</f>
        <v>26384.74</v>
      </c>
      <c r="E338" s="15" t="str">
        <f>IF(ISBLANK(Raw_Data!E338),AVERAGE(Raw_Data!E$2:E$5002),Raw_Data!E338)</f>
        <v>7915.42</v>
      </c>
      <c r="F338" s="15" t="str">
        <f>IF(ISBLANK(Raw_Data!F338),AVERAGE(Raw_Data!F$2:F$5002),Raw_Data!F338)</f>
        <v>2716.18</v>
      </c>
      <c r="G338" s="14" t="str">
        <f>IF(ISBLANK(Raw_Data!G338),AVERAGE(Raw_Data!G$2:G$5002),Raw_Data!G338)</f>
        <v>3947.89</v>
      </c>
      <c r="H338" s="15" t="str">
        <f t="shared" si="1"/>
        <v>37016.00</v>
      </c>
      <c r="I338" s="14" t="str">
        <f t="shared" si="2"/>
        <v>33068.00</v>
      </c>
      <c r="J338" s="16" t="str">
        <f>TEXT(Raw_Data!J338,"MMM-YYY")</f>
        <v>May-2025</v>
      </c>
      <c r="K338" s="13" t="str">
        <f>Raw_Data!K338</f>
        <v>13</v>
      </c>
      <c r="L338" s="17" t="str">
        <f>Raw_Data!L338</f>
        <v>Chandigarh-North</v>
      </c>
      <c r="M338" s="13" t="str">
        <f t="shared" si="3"/>
        <v>OK</v>
      </c>
      <c r="N338" s="18" t="str">
        <f t="shared" si="4"/>
        <v>VALID</v>
      </c>
    </row>
    <row r="339" ht="15.75" customHeight="1">
      <c r="A339" s="13" t="str">
        <f>Raw_Data!A339</f>
        <v>EMP0348</v>
      </c>
      <c r="B339" s="13" t="str">
        <f>TRIM(CLEAN(Raw_Data!B339))</f>
        <v>Marketing</v>
      </c>
      <c r="C339" s="18" t="s">
        <v>14</v>
      </c>
      <c r="D339" s="14" t="str">
        <f>IF(ISBLANK(Raw_Data!D339),AVERAGE(Raw_Data!D$2:D$5002),Raw_Data!D339)</f>
        <v>18648.35</v>
      </c>
      <c r="E339" s="15" t="str">
        <f>IF(ISBLANK(Raw_Data!E339),AVERAGE(Raw_Data!E$2:E$5002),Raw_Data!E339)</f>
        <v>5594.50</v>
      </c>
      <c r="F339" s="15" t="str">
        <f>IF(ISBLANK(Raw_Data!F339),AVERAGE(Raw_Data!F$2:F$5002),Raw_Data!F339)</f>
        <v>1466.66</v>
      </c>
      <c r="G339" s="14" t="str">
        <f>IF(ISBLANK(Raw_Data!G339),AVERAGE(Raw_Data!G$2:G$5002),Raw_Data!G339)</f>
        <v>2557.98</v>
      </c>
      <c r="H339" s="15" t="str">
        <f t="shared" si="1"/>
        <v>25710.00</v>
      </c>
      <c r="I339" s="14" t="str">
        <f t="shared" si="2"/>
        <v>23152.00</v>
      </c>
      <c r="J339" s="16" t="str">
        <f>TEXT(Raw_Data!J339,"MMM-YYY")</f>
        <v>Apr-2025</v>
      </c>
      <c r="K339" s="13" t="str">
        <f>Raw_Data!K339</f>
        <v>8</v>
      </c>
      <c r="L339" s="17" t="str">
        <f>Raw_Data!L339</f>
        <v>Ahmedabad-West</v>
      </c>
      <c r="M339" s="13" t="str">
        <f t="shared" si="3"/>
        <v>OK</v>
      </c>
      <c r="N339" s="18" t="str">
        <f t="shared" si="4"/>
        <v>VALID</v>
      </c>
    </row>
    <row r="340" ht="15.75" customHeight="1">
      <c r="A340" s="13" t="str">
        <f>Raw_Data!A340</f>
        <v>EMP0349</v>
      </c>
      <c r="B340" s="13" t="str">
        <f>TRIM(CLEAN(Raw_Data!B340))</f>
        <v>Finance</v>
      </c>
      <c r="C340" s="18" t="s">
        <v>37</v>
      </c>
      <c r="D340" s="14" t="str">
        <f>IF(ISBLANK(Raw_Data!D340),AVERAGE(Raw_Data!D$2:D$5002),Raw_Data!D340)</f>
        <v>51352.11</v>
      </c>
      <c r="E340" s="15" t="str">
        <f>IF(ISBLANK(Raw_Data!E340),AVERAGE(Raw_Data!E$2:E$5002),Raw_Data!E340)</f>
        <v>15405.63</v>
      </c>
      <c r="F340" s="15" t="str">
        <f>IF(ISBLANK(Raw_Data!F340),AVERAGE(Raw_Data!F$2:F$5002),Raw_Data!F340)</f>
        <v>519.07</v>
      </c>
      <c r="G340" s="14" t="str">
        <f>IF(ISBLANK(Raw_Data!G340),AVERAGE(Raw_Data!G$2:G$5002),Raw_Data!G340)</f>
        <v>7624.16</v>
      </c>
      <c r="H340" s="15" t="str">
        <f t="shared" si="1"/>
        <v>67277.00</v>
      </c>
      <c r="I340" s="14" t="str">
        <f t="shared" si="2"/>
        <v>59653.00</v>
      </c>
      <c r="J340" s="16" t="str">
        <f>TEXT(Raw_Data!J340,"MMM-YYY")</f>
        <v>Nov-2025</v>
      </c>
      <c r="K340" s="13" t="str">
        <f>Raw_Data!K340</f>
        <v>7</v>
      </c>
      <c r="L340" s="17" t="str">
        <f>Raw_Data!L340</f>
        <v>Jaipur-North</v>
      </c>
      <c r="M340" s="13" t="str">
        <f t="shared" si="3"/>
        <v>OK</v>
      </c>
      <c r="N340" s="18" t="str">
        <f t="shared" si="4"/>
        <v>VALID</v>
      </c>
    </row>
    <row r="341" ht="15.75" customHeight="1">
      <c r="A341" s="13" t="str">
        <f>Raw_Data!A341</f>
        <v>EMP0350</v>
      </c>
      <c r="B341" s="13" t="str">
        <f>TRIM(CLEAN(Raw_Data!B341))</f>
        <v>Sales</v>
      </c>
      <c r="C341" s="18" t="s">
        <v>54</v>
      </c>
      <c r="D341" s="14" t="str">
        <f>IF(ISBLANK(Raw_Data!D341),AVERAGE(Raw_Data!D$2:D$5002),Raw_Data!D341)</f>
        <v>39000.48</v>
      </c>
      <c r="E341" s="15" t="str">
        <f>IF(ISBLANK(Raw_Data!E341),AVERAGE(Raw_Data!E$2:E$5002),Raw_Data!E341)</f>
        <v>11700.14</v>
      </c>
      <c r="F341" s="15" t="str">
        <f>IF(ISBLANK(Raw_Data!F341),AVERAGE(Raw_Data!F$2:F$5002),Raw_Data!F341)</f>
        <v>63.78</v>
      </c>
      <c r="G341" s="14" t="str">
        <f>IF(ISBLANK(Raw_Data!G341),AVERAGE(Raw_Data!G$2:G$5002),Raw_Data!G341)</f>
        <v>1257.73</v>
      </c>
      <c r="H341" s="15" t="str">
        <f t="shared" si="1"/>
        <v>50764.00</v>
      </c>
      <c r="I341" s="14" t="str">
        <f t="shared" si="2"/>
        <v>49506.00</v>
      </c>
      <c r="J341" s="16" t="str">
        <f>TEXT(Raw_Data!J341,"MMM-YYY")</f>
        <v>Mar-2025</v>
      </c>
      <c r="K341" s="13" t="str">
        <f>Raw_Data!K341</f>
        <v>6</v>
      </c>
      <c r="L341" s="17" t="str">
        <f>Raw_Data!L341</f>
        <v>Mumbai-HO</v>
      </c>
      <c r="M341" s="13" t="str">
        <f t="shared" si="3"/>
        <v>OK</v>
      </c>
      <c r="N341" s="18" t="str">
        <f t="shared" si="4"/>
        <v>VALID</v>
      </c>
    </row>
    <row r="342" ht="15.75" customHeight="1">
      <c r="A342" s="13" t="str">
        <f>Raw_Data!A342</f>
        <v>EMP0351</v>
      </c>
      <c r="B342" s="13" t="s">
        <v>17</v>
      </c>
      <c r="C342" s="18" t="s">
        <v>18</v>
      </c>
      <c r="D342" s="14" t="str">
        <f>IF(ISBLANK(Raw_Data!D342),AVERAGE(Raw_Data!D$2:D$5002),Raw_Data!D342)</f>
        <v>74510.22</v>
      </c>
      <c r="E342" s="15" t="str">
        <f>IF(ISBLANK(Raw_Data!E342),AVERAGE(Raw_Data!E$2:E$5002),Raw_Data!E342)</f>
        <v>22353.07</v>
      </c>
      <c r="F342" s="15" t="str">
        <f>IF(ISBLANK(Raw_Data!F342),AVERAGE(Raw_Data!F$2:F$5002),Raw_Data!F342)</f>
        <v>6009.31</v>
      </c>
      <c r="G342" s="14" t="str">
        <f>IF(ISBLANK(Raw_Data!G342),AVERAGE(Raw_Data!G$2:G$5002),Raw_Data!G342)</f>
        <v>1011.31</v>
      </c>
      <c r="H342" s="15" t="str">
        <f t="shared" si="1"/>
        <v>102873.00</v>
      </c>
      <c r="I342" s="14" t="str">
        <f t="shared" si="2"/>
        <v>101862.00</v>
      </c>
      <c r="J342" s="16" t="str">
        <f>TEXT(Raw_Data!J342,"MMM-YYY")</f>
        <v>Jan-2025</v>
      </c>
      <c r="K342" s="13" t="str">
        <f>Raw_Data!K342</f>
        <v>18</v>
      </c>
      <c r="L342" s="17" t="str">
        <f>Raw_Data!L342</f>
        <v>Delhi-North</v>
      </c>
      <c r="M342" s="13" t="str">
        <f t="shared" si="3"/>
        <v>OK</v>
      </c>
      <c r="N342" s="18" t="str">
        <f t="shared" si="4"/>
        <v>VALID</v>
      </c>
    </row>
    <row r="343" ht="15.75" customHeight="1">
      <c r="A343" s="13" t="str">
        <f>Raw_Data!A343</f>
        <v>EMP0352</v>
      </c>
      <c r="B343" s="13" t="str">
        <f>TRIM(CLEAN(Raw_Data!B343))</f>
        <v>Operations</v>
      </c>
      <c r="C343" s="18" t="s">
        <v>37</v>
      </c>
      <c r="D343" s="14" t="str">
        <f>IF(ISBLANK(Raw_Data!D343),AVERAGE(Raw_Data!D$2:D$5002),Raw_Data!D343)</f>
        <v>48503.80</v>
      </c>
      <c r="E343" s="15" t="str">
        <f>IF(ISBLANK(Raw_Data!E343),AVERAGE(Raw_Data!E$2:E$5002),Raw_Data!E343)</f>
        <v>14551.14</v>
      </c>
      <c r="F343" s="15" t="str">
        <f>IF(ISBLANK(Raw_Data!F343),AVERAGE(Raw_Data!F$2:F$5002),Raw_Data!F343)</f>
        <v>5366.68</v>
      </c>
      <c r="G343" s="14" t="str">
        <f>IF(ISBLANK(Raw_Data!G343),AVERAGE(Raw_Data!G$2:G$5002),Raw_Data!G343)</f>
        <v>1069.97</v>
      </c>
      <c r="H343" s="15" t="str">
        <f t="shared" si="1"/>
        <v>68422.00</v>
      </c>
      <c r="I343" s="14" t="str">
        <f t="shared" si="2"/>
        <v>67352.00</v>
      </c>
      <c r="J343" s="16" t="str">
        <f>TEXT(Raw_Data!J343,"MMM-YYY")</f>
        <v>Sep-2025</v>
      </c>
      <c r="K343" s="13" t="str">
        <f>Raw_Data!K343</f>
        <v>23</v>
      </c>
      <c r="L343" s="17" t="str">
        <f>Raw_Data!L343</f>
        <v>Bangalore-South</v>
      </c>
      <c r="M343" s="13" t="str">
        <f t="shared" si="3"/>
        <v>OK</v>
      </c>
      <c r="N343" s="18" t="str">
        <f t="shared" si="4"/>
        <v>VALID</v>
      </c>
    </row>
    <row r="344" ht="15.75" customHeight="1">
      <c r="A344" s="13" t="str">
        <f>Raw_Data!A344</f>
        <v>EMP0353</v>
      </c>
      <c r="B344" s="13" t="str">
        <f>TRIM(CLEAN(Raw_Data!B344))</f>
        <v>Marketing</v>
      </c>
      <c r="C344" s="18" t="s">
        <v>26</v>
      </c>
      <c r="D344" s="14" t="str">
        <f>IF(ISBLANK(Raw_Data!D344),AVERAGE(Raw_Data!D$2:D$5002),Raw_Data!D344)</f>
        <v>109794.86</v>
      </c>
      <c r="E344" s="15" t="str">
        <f>IF(ISBLANK(Raw_Data!E344),AVERAGE(Raw_Data!E$2:E$5002),Raw_Data!E344)</f>
        <v>32938.46</v>
      </c>
      <c r="F344" s="15" t="str">
        <f>IF(ISBLANK(Raw_Data!F344),AVERAGE(Raw_Data!F$2:F$5002),Raw_Data!F344)</f>
        <v>18122.99</v>
      </c>
      <c r="G344" s="14" t="str">
        <f>IF(ISBLANK(Raw_Data!G344),AVERAGE(Raw_Data!G$2:G$5002),Raw_Data!G344)</f>
        <v>20528.62</v>
      </c>
      <c r="H344" s="15" t="str">
        <f t="shared" si="1"/>
        <v>160856.00</v>
      </c>
      <c r="I344" s="14" t="str">
        <f t="shared" si="2"/>
        <v>140327.00</v>
      </c>
      <c r="J344" s="16" t="str">
        <f>TEXT(Raw_Data!J344,"MMM-YYY")</f>
        <v>Oct-2025</v>
      </c>
      <c r="K344" s="13" t="str">
        <f>Raw_Data!K344</f>
        <v>11</v>
      </c>
      <c r="L344" s="17" t="str">
        <f>Raw_Data!L344</f>
        <v>Chennai-South</v>
      </c>
      <c r="M344" s="13" t="str">
        <f t="shared" si="3"/>
        <v>OK</v>
      </c>
      <c r="N344" s="18" t="str">
        <f t="shared" si="4"/>
        <v>VALID</v>
      </c>
    </row>
    <row r="345" ht="15.75" customHeight="1">
      <c r="A345" s="13" t="str">
        <f>Raw_Data!A345</f>
        <v>EMP0354</v>
      </c>
      <c r="B345" s="13" t="str">
        <f>TRIM(CLEAN(Raw_Data!B345))</f>
        <v>HR</v>
      </c>
      <c r="C345" s="18" t="s">
        <v>30</v>
      </c>
      <c r="D345" s="14" t="str">
        <f>IF(ISBLANK(Raw_Data!D345),AVERAGE(Raw_Data!D$2:D$5002),Raw_Data!D345)</f>
        <v>30580.73</v>
      </c>
      <c r="E345" s="15" t="str">
        <f>IF(ISBLANK(Raw_Data!E345),AVERAGE(Raw_Data!E$2:E$5002),Raw_Data!E345)</f>
        <v>9174.22</v>
      </c>
      <c r="F345" s="15" t="str">
        <f>IF(ISBLANK(Raw_Data!F345),AVERAGE(Raw_Data!F$2:F$5002),Raw_Data!F345)</f>
        <v>2409.17</v>
      </c>
      <c r="G345" s="14" t="str">
        <f>IF(ISBLANK(Raw_Data!G345),AVERAGE(Raw_Data!G$2:G$5002),Raw_Data!G345)</f>
        <v>7292.56</v>
      </c>
      <c r="H345" s="15" t="str">
        <f t="shared" si="1"/>
        <v>42164.00</v>
      </c>
      <c r="I345" s="14" t="str">
        <f t="shared" si="2"/>
        <v>34871.00</v>
      </c>
      <c r="J345" s="16" t="str">
        <f>TEXT(Raw_Data!J345,"MMM-YYY")</f>
        <v>Jun-2025</v>
      </c>
      <c r="K345" s="13" t="str">
        <f>Raw_Data!K345</f>
        <v>18</v>
      </c>
      <c r="L345" s="17" t="str">
        <f>Raw_Data!L345</f>
        <v>Kolkata-East</v>
      </c>
      <c r="M345" s="13" t="str">
        <f t="shared" si="3"/>
        <v>OK</v>
      </c>
      <c r="N345" s="18" t="str">
        <f t="shared" si="4"/>
        <v>VALID</v>
      </c>
    </row>
    <row r="346" ht="15.75" customHeight="1">
      <c r="A346" s="13" t="str">
        <f>Raw_Data!A346</f>
        <v>EMP0355</v>
      </c>
      <c r="B346" s="13" t="str">
        <f>TRIM(CLEAN(Raw_Data!B346))</f>
        <v>Operations</v>
      </c>
      <c r="C346" s="18" t="s">
        <v>33</v>
      </c>
      <c r="D346" s="14" t="str">
        <f>IF(ISBLANK(Raw_Data!D346),AVERAGE(Raw_Data!D$2:D$5002),Raw_Data!D346)</f>
        <v>32549.65</v>
      </c>
      <c r="E346" s="15" t="str">
        <f>IF(ISBLANK(Raw_Data!E346),AVERAGE(Raw_Data!E$2:E$5002),Raw_Data!E346)</f>
        <v>9764.90</v>
      </c>
      <c r="F346" s="15" t="str">
        <f>IF(ISBLANK(Raw_Data!F346),AVERAGE(Raw_Data!F$2:F$5002),Raw_Data!F346)</f>
        <v>1295.85</v>
      </c>
      <c r="G346" s="14" t="str">
        <f>IF(ISBLANK(Raw_Data!G346),AVERAGE(Raw_Data!G$2:G$5002),Raw_Data!G346)</f>
        <v>4971.53</v>
      </c>
      <c r="H346" s="15" t="str">
        <f t="shared" si="1"/>
        <v>43610.00</v>
      </c>
      <c r="I346" s="14" t="str">
        <f t="shared" si="2"/>
        <v>38638.00</v>
      </c>
      <c r="J346" s="16" t="str">
        <f>TEXT(Raw_Data!J346,"MMM-YYY")</f>
        <v>Sep-2025</v>
      </c>
      <c r="K346" s="13" t="str">
        <f>Raw_Data!K346</f>
        <v>18</v>
      </c>
      <c r="L346" s="17" t="str">
        <f>Raw_Data!L346</f>
        <v>Pune-West</v>
      </c>
      <c r="M346" s="13" t="str">
        <f t="shared" si="3"/>
        <v>OK</v>
      </c>
      <c r="N346" s="18" t="str">
        <f t="shared" si="4"/>
        <v>VALID</v>
      </c>
    </row>
    <row r="347" ht="15.75" customHeight="1">
      <c r="A347" s="13" t="str">
        <f>Raw_Data!A347</f>
        <v>EMP0356</v>
      </c>
      <c r="B347" s="13" t="str">
        <f>TRIM(CLEAN(Raw_Data!B347))</f>
        <v>HR</v>
      </c>
      <c r="C347" s="18" t="s">
        <v>14</v>
      </c>
      <c r="D347" s="14" t="str">
        <f>IF(ISBLANK(Raw_Data!D347),AVERAGE(Raw_Data!D$2:D$5002),Raw_Data!D347)</f>
        <v>18280.18</v>
      </c>
      <c r="E347" s="15" t="str">
        <f>IF(ISBLANK(Raw_Data!E347),AVERAGE(Raw_Data!E$2:E$5002),Raw_Data!E347)</f>
        <v>5484.05</v>
      </c>
      <c r="F347" s="15" t="str">
        <f>IF(ISBLANK(Raw_Data!F347),AVERAGE(Raw_Data!F$2:F$5002),Raw_Data!F347)</f>
        <v>2608.92</v>
      </c>
      <c r="G347" s="14" t="str">
        <f>IF(ISBLANK(Raw_Data!G347),AVERAGE(Raw_Data!G$2:G$5002),Raw_Data!G347)</f>
        <v>4408.99</v>
      </c>
      <c r="H347" s="15" t="str">
        <f t="shared" si="1"/>
        <v>26373.00</v>
      </c>
      <c r="I347" s="14" t="str">
        <f t="shared" si="2"/>
        <v>21964.00</v>
      </c>
      <c r="J347" s="16" t="str">
        <f>TEXT(Raw_Data!J347,"MMM-YYY")</f>
        <v>Sep-2025</v>
      </c>
      <c r="K347" s="13" t="str">
        <f>Raw_Data!K347</f>
        <v>10</v>
      </c>
      <c r="L347" s="17" t="str">
        <f>Raw_Data!L347</f>
        <v>Hyderabad-South</v>
      </c>
      <c r="M347" s="13" t="str">
        <f t="shared" si="3"/>
        <v>OK</v>
      </c>
      <c r="N347" s="18" t="str">
        <f t="shared" si="4"/>
        <v>VALID</v>
      </c>
    </row>
    <row r="348" ht="15.75" customHeight="1">
      <c r="A348" s="13" t="str">
        <f>Raw_Data!A348</f>
        <v>EMP0357</v>
      </c>
      <c r="B348" s="13" t="str">
        <f>TRIM(CLEAN(Raw_Data!B348))</f>
        <v>Marketing</v>
      </c>
      <c r="C348" s="18" t="s">
        <v>30</v>
      </c>
      <c r="D348" s="14" t="str">
        <f>IF(ISBLANK(Raw_Data!D348),AVERAGE(Raw_Data!D$2:D$5002),Raw_Data!D348)</f>
        <v>27335.09</v>
      </c>
      <c r="E348" s="15" t="str">
        <f>IF(ISBLANK(Raw_Data!E348),AVERAGE(Raw_Data!E$2:E$5002),Raw_Data!E348)</f>
        <v>8200.53</v>
      </c>
      <c r="F348" s="15" t="str">
        <f>IF(ISBLANK(Raw_Data!F348),AVERAGE(Raw_Data!F$2:F$5002),Raw_Data!F348)</f>
        <v>2818.28</v>
      </c>
      <c r="G348" s="14" t="str">
        <f>IF(ISBLANK(Raw_Data!G348),AVERAGE(Raw_Data!G$2:G$5002),Raw_Data!G348)</f>
        <v>2689.49</v>
      </c>
      <c r="H348" s="15" t="str">
        <f t="shared" si="1"/>
        <v>38354.00</v>
      </c>
      <c r="I348" s="14" t="str">
        <f t="shared" si="2"/>
        <v>35665.00</v>
      </c>
      <c r="J348" s="16" t="str">
        <f>TEXT(Raw_Data!J348,"MMM-YYY")</f>
        <v>Oct-2025</v>
      </c>
      <c r="K348" s="13" t="str">
        <f>Raw_Data!K348</f>
        <v>15</v>
      </c>
      <c r="L348" s="17" t="str">
        <f>Raw_Data!L348</f>
        <v>Chandigarh-North</v>
      </c>
      <c r="M348" s="13" t="str">
        <f t="shared" si="3"/>
        <v>OK</v>
      </c>
      <c r="N348" s="18" t="str">
        <f t="shared" si="4"/>
        <v>VALID</v>
      </c>
    </row>
    <row r="349" ht="15.75" customHeight="1">
      <c r="A349" s="13" t="str">
        <f>Raw_Data!A349</f>
        <v>EMP0358</v>
      </c>
      <c r="B349" s="13" t="str">
        <f>TRIM(CLEAN(Raw_Data!B349))</f>
        <v>IT</v>
      </c>
      <c r="C349" s="18" t="s">
        <v>30</v>
      </c>
      <c r="D349" s="14" t="str">
        <f>IF(ISBLANK(Raw_Data!D349),AVERAGE(Raw_Data!D$2:D$5002),Raw_Data!D349)</f>
        <v>25458.00</v>
      </c>
      <c r="E349" s="15" t="str">
        <f>IF(ISBLANK(Raw_Data!E349),AVERAGE(Raw_Data!E$2:E$5002),Raw_Data!E349)</f>
        <v>7637.40</v>
      </c>
      <c r="F349" s="15" t="str">
        <f>IF(ISBLANK(Raw_Data!F349),AVERAGE(Raw_Data!F$2:F$5002),Raw_Data!F349)</f>
        <v>3138.97</v>
      </c>
      <c r="G349" s="14" t="str">
        <f>IF(ISBLANK(Raw_Data!G349),AVERAGE(Raw_Data!G$2:G$5002),Raw_Data!G349)</f>
        <v>6435.29</v>
      </c>
      <c r="H349" s="15" t="str">
        <f t="shared" si="1"/>
        <v>36234.00</v>
      </c>
      <c r="I349" s="14" t="str">
        <f t="shared" si="2"/>
        <v>29799.00</v>
      </c>
      <c r="J349" s="16" t="str">
        <f>TEXT(Raw_Data!J349,"MMM-YYY")</f>
        <v>Oct-2025</v>
      </c>
      <c r="K349" s="13" t="str">
        <f>Raw_Data!K349</f>
        <v>6</v>
      </c>
      <c r="L349" s="17" t="str">
        <f>Raw_Data!L349</f>
        <v>Ahmedabad-West</v>
      </c>
      <c r="M349" s="13" t="str">
        <f t="shared" si="3"/>
        <v>OK</v>
      </c>
      <c r="N349" s="18" t="str">
        <f t="shared" si="4"/>
        <v>VALID</v>
      </c>
    </row>
    <row r="350" ht="15.75" customHeight="1">
      <c r="A350" s="13" t="str">
        <f>Raw_Data!A350</f>
        <v>EMP0359</v>
      </c>
      <c r="B350" s="13" t="str">
        <f>TRIM(CLEAN(Raw_Data!B350))</f>
        <v>IT</v>
      </c>
      <c r="C350" s="18" t="s">
        <v>37</v>
      </c>
      <c r="D350" s="14" t="str">
        <f>IF(ISBLANK(Raw_Data!D350),AVERAGE(Raw_Data!D$2:D$5002),Raw_Data!D350)</f>
        <v>59909.21</v>
      </c>
      <c r="E350" s="15" t="str">
        <f>IF(ISBLANK(Raw_Data!E350),AVERAGE(Raw_Data!E$2:E$5002),Raw_Data!E350)</f>
        <v>17972.76</v>
      </c>
      <c r="F350" s="15" t="str">
        <f>IF(ISBLANK(Raw_Data!F350),AVERAGE(Raw_Data!F$2:F$5002),Raw_Data!F350)</f>
        <v>6378.41</v>
      </c>
      <c r="G350" s="14" t="str">
        <f>IF(ISBLANK(Raw_Data!G350),AVERAGE(Raw_Data!G$2:G$5002),Raw_Data!G350)</f>
        <v>12738.01</v>
      </c>
      <c r="H350" s="15" t="str">
        <f t="shared" si="1"/>
        <v>84260.00</v>
      </c>
      <c r="I350" s="14" t="str">
        <f t="shared" si="2"/>
        <v>71522.00</v>
      </c>
      <c r="J350" s="16" t="str">
        <f>TEXT(Raw_Data!J350,"MMM-YYY")</f>
        <v>May-2025</v>
      </c>
      <c r="K350" s="13" t="str">
        <f>Raw_Data!K350</f>
        <v>18</v>
      </c>
      <c r="L350" s="17" t="str">
        <f>Raw_Data!L350</f>
        <v>Jaipur-North</v>
      </c>
      <c r="M350" s="13" t="str">
        <f t="shared" si="3"/>
        <v>OK</v>
      </c>
      <c r="N350" s="18" t="str">
        <f t="shared" si="4"/>
        <v>VALID</v>
      </c>
    </row>
    <row r="351" ht="15.75" customHeight="1">
      <c r="A351" s="13" t="str">
        <f>Raw_Data!A351</f>
        <v>EMP0360</v>
      </c>
      <c r="B351" s="13" t="str">
        <f>TRIM(CLEAN(Raw_Data!B351))</f>
        <v>Marketing</v>
      </c>
      <c r="C351" s="18" t="s">
        <v>26</v>
      </c>
      <c r="D351" s="14" t="str">
        <f>IF(ISBLANK(Raw_Data!D351),AVERAGE(Raw_Data!D$2:D$5002),Raw_Data!D351)</f>
        <v>90598.93</v>
      </c>
      <c r="E351" s="15" t="str">
        <f>IF(ISBLANK(Raw_Data!E351),AVERAGE(Raw_Data!E$2:E$5002),Raw_Data!E351)</f>
        <v>27179.68</v>
      </c>
      <c r="F351" s="15" t="str">
        <f>IF(ISBLANK(Raw_Data!F351),AVERAGE(Raw_Data!F$2:F$5002),Raw_Data!F351)</f>
        <v>6001.99</v>
      </c>
      <c r="G351" s="14" t="str">
        <f>IF(ISBLANK(Raw_Data!G351),AVERAGE(Raw_Data!G$2:G$5002),Raw_Data!G351)</f>
        <v>2979.02</v>
      </c>
      <c r="H351" s="15" t="str">
        <f t="shared" si="1"/>
        <v>123781.00</v>
      </c>
      <c r="I351" s="14" t="str">
        <f t="shared" si="2"/>
        <v>120802.00</v>
      </c>
      <c r="J351" s="16" t="str">
        <f>TEXT(Raw_Data!J351,"MMM-YYY")</f>
        <v>Jul-2025</v>
      </c>
      <c r="K351" s="13" t="str">
        <f>Raw_Data!K351</f>
        <v>18</v>
      </c>
      <c r="L351" s="17" t="str">
        <f>Raw_Data!L351</f>
        <v>Mumbai-HO</v>
      </c>
      <c r="M351" s="13" t="str">
        <f t="shared" si="3"/>
        <v>OK</v>
      </c>
      <c r="N351" s="18" t="str">
        <f t="shared" si="4"/>
        <v>VALID</v>
      </c>
    </row>
    <row r="352" ht="15.75" customHeight="1">
      <c r="A352" s="13" t="str">
        <f>Raw_Data!A352</f>
        <v>EMP0361</v>
      </c>
      <c r="B352" s="13" t="str">
        <f>TRIM(CLEAN(Raw_Data!B352))</f>
        <v>Operations</v>
      </c>
      <c r="C352" s="18" t="s">
        <v>33</v>
      </c>
      <c r="D352" s="14" t="str">
        <f>IF(ISBLANK(Raw_Data!D352),AVERAGE(Raw_Data!D$2:D$5002),Raw_Data!D352)</f>
        <v>32967.55</v>
      </c>
      <c r="E352" s="15" t="str">
        <f>IF(ISBLANK(Raw_Data!E352),AVERAGE(Raw_Data!E$2:E$5002),Raw_Data!E352)</f>
        <v>9890.27</v>
      </c>
      <c r="F352" s="15" t="str">
        <f>IF(ISBLANK(Raw_Data!F352),AVERAGE(Raw_Data!F$2:F$5002),Raw_Data!F352)</f>
        <v>4782.43</v>
      </c>
      <c r="G352" s="14" t="str">
        <f>IF(ISBLANK(Raw_Data!G352),AVERAGE(Raw_Data!G$2:G$5002),Raw_Data!G352)</f>
        <v>6804.93</v>
      </c>
      <c r="H352" s="15" t="str">
        <f t="shared" si="1"/>
        <v>47640.00</v>
      </c>
      <c r="I352" s="14" t="str">
        <f t="shared" si="2"/>
        <v>40835.00</v>
      </c>
      <c r="J352" s="16" t="str">
        <f>TEXT(Raw_Data!J352,"MMM-YYY")</f>
        <v>Jan-2025</v>
      </c>
      <c r="K352" s="13" t="str">
        <f>Raw_Data!K352</f>
        <v>23</v>
      </c>
      <c r="L352" s="17" t="str">
        <f>Raw_Data!L352</f>
        <v>Delhi-North</v>
      </c>
      <c r="M352" s="13" t="str">
        <f t="shared" si="3"/>
        <v>OK</v>
      </c>
      <c r="N352" s="18" t="str">
        <f t="shared" si="4"/>
        <v>VALID</v>
      </c>
    </row>
    <row r="353" ht="15.75" customHeight="1">
      <c r="A353" s="13" t="str">
        <f>Raw_Data!A353</f>
        <v>EMP0362</v>
      </c>
      <c r="B353" s="13" t="str">
        <f>TRIM(CLEAN(Raw_Data!B353))</f>
        <v>Operations</v>
      </c>
      <c r="C353" s="18" t="s">
        <v>54</v>
      </c>
      <c r="D353" s="14" t="str">
        <f>IF(ISBLANK(Raw_Data!D353),AVERAGE(Raw_Data!D$2:D$5002),Raw_Data!D353)</f>
        <v>38717.43</v>
      </c>
      <c r="E353" s="15" t="str">
        <f>IF(ISBLANK(Raw_Data!E353),AVERAGE(Raw_Data!E$2:E$5002),Raw_Data!E353)</f>
        <v>11615.23</v>
      </c>
      <c r="F353" s="15" t="str">
        <f>IF(ISBLANK(Raw_Data!F353),AVERAGE(Raw_Data!F$2:F$5002),Raw_Data!F353)</f>
        <v>5076.56</v>
      </c>
      <c r="G353" s="14" t="str">
        <f>IF(ISBLANK(Raw_Data!G353),AVERAGE(Raw_Data!G$2:G$5002),Raw_Data!G353)</f>
        <v>11290.66</v>
      </c>
      <c r="H353" s="15" t="str">
        <f t="shared" si="1"/>
        <v>55409.00</v>
      </c>
      <c r="I353" s="14" t="str">
        <f t="shared" si="2"/>
        <v>44118.00</v>
      </c>
      <c r="J353" s="16" t="str">
        <f>TEXT(Raw_Data!J353,"MMM-YYY")</f>
        <v>Oct-2025</v>
      </c>
      <c r="K353" s="13" t="str">
        <f>Raw_Data!K353</f>
        <v>8</v>
      </c>
      <c r="L353" s="17" t="str">
        <f>Raw_Data!L353</f>
        <v>Bangalore-South</v>
      </c>
      <c r="M353" s="13" t="str">
        <f t="shared" si="3"/>
        <v>OK</v>
      </c>
      <c r="N353" s="18" t="str">
        <f t="shared" si="4"/>
        <v>VALID</v>
      </c>
    </row>
    <row r="354" ht="15.75" customHeight="1">
      <c r="A354" s="13" t="str">
        <f>Raw_Data!A354</f>
        <v>EMP0363</v>
      </c>
      <c r="B354" s="13" t="str">
        <f>TRIM(CLEAN(Raw_Data!B354))</f>
        <v>Operations</v>
      </c>
      <c r="C354" s="18" t="s">
        <v>30</v>
      </c>
      <c r="D354" s="14" t="str">
        <f>IF(ISBLANK(Raw_Data!D354),AVERAGE(Raw_Data!D$2:D$5002),Raw_Data!D354)</f>
        <v>28348.32</v>
      </c>
      <c r="E354" s="15" t="str">
        <f>IF(ISBLANK(Raw_Data!E354),AVERAGE(Raw_Data!E$2:E$5002),Raw_Data!E354)</f>
        <v>8504.50</v>
      </c>
      <c r="F354" s="15" t="str">
        <f>IF(ISBLANK(Raw_Data!F354),AVERAGE(Raw_Data!F$2:F$5002),Raw_Data!F354)</f>
        <v>3308.38</v>
      </c>
      <c r="G354" s="14" t="str">
        <f>IF(ISBLANK(Raw_Data!G354),AVERAGE(Raw_Data!G$2:G$5002),Raw_Data!G354)</f>
        <v>1450.12</v>
      </c>
      <c r="H354" s="15" t="str">
        <f t="shared" si="1"/>
        <v>40161.00</v>
      </c>
      <c r="I354" s="14" t="str">
        <f t="shared" si="2"/>
        <v>38711.00</v>
      </c>
      <c r="J354" s="16" t="str">
        <f>TEXT(Raw_Data!J354,"MMM-YYY")</f>
        <v>Nov-2025</v>
      </c>
      <c r="K354" s="13" t="str">
        <f>Raw_Data!K354</f>
        <v>14</v>
      </c>
      <c r="L354" s="17" t="str">
        <f>Raw_Data!L354</f>
        <v>Chennai-South</v>
      </c>
      <c r="M354" s="13" t="str">
        <f t="shared" si="3"/>
        <v>OK</v>
      </c>
      <c r="N354" s="18" t="str">
        <f t="shared" si="4"/>
        <v>VALID</v>
      </c>
    </row>
    <row r="355" ht="15.75" customHeight="1">
      <c r="A355" s="13" t="str">
        <f>Raw_Data!A355</f>
        <v>EMP0364</v>
      </c>
      <c r="B355" s="13" t="str">
        <f>TRIM(CLEAN(Raw_Data!B355))</f>
        <v>Sales</v>
      </c>
      <c r="C355" s="18" t="s">
        <v>37</v>
      </c>
      <c r="D355" s="14" t="str">
        <f>IF(ISBLANK(Raw_Data!D355),AVERAGE(Raw_Data!D$2:D$5002),Raw_Data!D355)</f>
        <v>58942.91</v>
      </c>
      <c r="E355" s="15" t="str">
        <f>IF(ISBLANK(Raw_Data!E355),AVERAGE(Raw_Data!E$2:E$5002),Raw_Data!E355)</f>
        <v>17682.87</v>
      </c>
      <c r="F355" s="15" t="str">
        <f>IF(ISBLANK(Raw_Data!F355),AVERAGE(Raw_Data!F$2:F$5002),Raw_Data!F355)</f>
        <v>4481.90</v>
      </c>
      <c r="G355" s="14" t="str">
        <f>IF(ISBLANK(Raw_Data!G355),AVERAGE(Raw_Data!G$2:G$5002),Raw_Data!G355)</f>
        <v>14529.33</v>
      </c>
      <c r="H355" s="15" t="str">
        <f t="shared" si="1"/>
        <v>81108.00</v>
      </c>
      <c r="I355" s="14" t="str">
        <f t="shared" si="2"/>
        <v>66579.00</v>
      </c>
      <c r="J355" s="16" t="str">
        <f>TEXT(Raw_Data!J355,"MMM-YYY")</f>
        <v>Apr-2025</v>
      </c>
      <c r="K355" s="13" t="str">
        <f>Raw_Data!K355</f>
        <v>3</v>
      </c>
      <c r="L355" s="17" t="str">
        <f>Raw_Data!L355</f>
        <v>Kolkata-East</v>
      </c>
      <c r="M355" s="13" t="str">
        <f t="shared" si="3"/>
        <v>OK</v>
      </c>
      <c r="N355" s="18" t="str">
        <f t="shared" si="4"/>
        <v>VALID</v>
      </c>
    </row>
    <row r="356" ht="15.75" customHeight="1">
      <c r="A356" s="13" t="str">
        <f>Raw_Data!A356</f>
        <v>EMP0365</v>
      </c>
      <c r="B356" s="13" t="str">
        <f>TRIM(CLEAN(Raw_Data!B356))</f>
        <v>HR</v>
      </c>
      <c r="C356" s="18" t="s">
        <v>37</v>
      </c>
      <c r="D356" s="14" t="str">
        <f>IF(ISBLANK(Raw_Data!D356),AVERAGE(Raw_Data!D$2:D$5002),Raw_Data!D356)</f>
        <v>62067.69</v>
      </c>
      <c r="E356" s="15" t="str">
        <f>IF(ISBLANK(Raw_Data!E356),AVERAGE(Raw_Data!E$2:E$5002),Raw_Data!E356)</f>
        <v>18620.31</v>
      </c>
      <c r="F356" s="15" t="str">
        <f>IF(ISBLANK(Raw_Data!F356),AVERAGE(Raw_Data!F$2:F$5002),Raw_Data!F356)</f>
        <v>1364.19</v>
      </c>
      <c r="G356" s="14" t="str">
        <f>IF(ISBLANK(Raw_Data!G356),AVERAGE(Raw_Data!G$2:G$5002),Raw_Data!G356)</f>
        <v>352.62</v>
      </c>
      <c r="H356" s="15" t="str">
        <f t="shared" si="1"/>
        <v>82052.00</v>
      </c>
      <c r="I356" s="14" t="str">
        <f t="shared" si="2"/>
        <v>81699.00</v>
      </c>
      <c r="J356" s="16" t="str">
        <f>TEXT(Raw_Data!J356,"MMM-YYY")</f>
        <v>Jun-2025</v>
      </c>
      <c r="K356" s="13" t="str">
        <f>Raw_Data!K356</f>
        <v>20</v>
      </c>
      <c r="L356" s="17" t="str">
        <f>Raw_Data!L356</f>
        <v>Pune-West</v>
      </c>
      <c r="M356" s="13" t="str">
        <f t="shared" si="3"/>
        <v>OK</v>
      </c>
      <c r="N356" s="18" t="str">
        <f t="shared" si="4"/>
        <v>VALID</v>
      </c>
    </row>
    <row r="357" ht="15.75" customHeight="1">
      <c r="A357" s="13" t="str">
        <f>Raw_Data!A357</f>
        <v>EMP0366</v>
      </c>
      <c r="B357" s="13" t="str">
        <f>TRIM(CLEAN(Raw_Data!B357))</f>
        <v>Marketing</v>
      </c>
      <c r="C357" s="18" t="s">
        <v>30</v>
      </c>
      <c r="D357" s="14" t="str">
        <f>IF(ISBLANK(Raw_Data!D357),AVERAGE(Raw_Data!D$2:D$5002),Raw_Data!D357)</f>
        <v>25634.05</v>
      </c>
      <c r="E357" s="15" t="str">
        <f>IF(ISBLANK(Raw_Data!E357),AVERAGE(Raw_Data!E$2:E$5002),Raw_Data!E357)</f>
        <v>7690.21</v>
      </c>
      <c r="F357" s="15" t="str">
        <f>IF(ISBLANK(Raw_Data!F357),AVERAGE(Raw_Data!F$2:F$5002),Raw_Data!F357)</f>
        <v>1045.31</v>
      </c>
      <c r="G357" s="14" t="str">
        <f>IF(ISBLANK(Raw_Data!G357),AVERAGE(Raw_Data!G$2:G$5002),Raw_Data!G357)</f>
        <v>3859.10</v>
      </c>
      <c r="H357" s="15" t="str">
        <f t="shared" si="1"/>
        <v>34370.00</v>
      </c>
      <c r="I357" s="14" t="str">
        <f t="shared" si="2"/>
        <v>30511.00</v>
      </c>
      <c r="J357" s="16" t="str">
        <f>TEXT(Raw_Data!J357,"MMM-YYY")</f>
        <v>Oct-2025</v>
      </c>
      <c r="K357" s="13" t="str">
        <f>Raw_Data!K357</f>
        <v>14</v>
      </c>
      <c r="L357" s="17" t="str">
        <f>Raw_Data!L357</f>
        <v>Hyderabad-South</v>
      </c>
      <c r="M357" s="13" t="str">
        <f t="shared" si="3"/>
        <v>OK</v>
      </c>
      <c r="N357" s="18" t="str">
        <f t="shared" si="4"/>
        <v>VALID</v>
      </c>
    </row>
    <row r="358" ht="15.75" customHeight="1">
      <c r="A358" s="13" t="str">
        <f>Raw_Data!A358</f>
        <v>EMP0367</v>
      </c>
      <c r="B358" s="13" t="str">
        <f>TRIM(CLEAN(Raw_Data!B358))</f>
        <v>Marketing</v>
      </c>
      <c r="C358" s="18" t="s">
        <v>26</v>
      </c>
      <c r="D358" s="14" t="str">
        <f>IF(ISBLANK(Raw_Data!D358),AVERAGE(Raw_Data!D$2:D$5002),Raw_Data!D358)</f>
        <v>120541.57</v>
      </c>
      <c r="E358" s="15" t="str">
        <f>IF(ISBLANK(Raw_Data!E358),AVERAGE(Raw_Data!E$2:E$5002),Raw_Data!E358)</f>
        <v>36162.47</v>
      </c>
      <c r="F358" s="15" t="str">
        <f>IF(ISBLANK(Raw_Data!F358),AVERAGE(Raw_Data!F$2:F$5002),Raw_Data!F358)</f>
        <v>17536.44</v>
      </c>
      <c r="G358" s="14" t="str">
        <f>IF(ISBLANK(Raw_Data!G358),AVERAGE(Raw_Data!G$2:G$5002),Raw_Data!G358)</f>
        <v>25522.58</v>
      </c>
      <c r="H358" s="15" t="str">
        <f t="shared" si="1"/>
        <v>174240.00</v>
      </c>
      <c r="I358" s="14" t="str">
        <f t="shared" si="2"/>
        <v>148717.00</v>
      </c>
      <c r="J358" s="16" t="str">
        <f>TEXT(Raw_Data!J358,"MMM-YYY")</f>
        <v>Sep-2025</v>
      </c>
      <c r="K358" s="13" t="str">
        <f>Raw_Data!K358</f>
        <v>14</v>
      </c>
      <c r="L358" s="17" t="str">
        <f>Raw_Data!L358</f>
        <v>Chandigarh-North</v>
      </c>
      <c r="M358" s="13" t="str">
        <f t="shared" si="3"/>
        <v>OK</v>
      </c>
      <c r="N358" s="18" t="str">
        <f t="shared" si="4"/>
        <v>VALID</v>
      </c>
    </row>
    <row r="359" ht="15.75" customHeight="1">
      <c r="A359" s="13" t="str">
        <f>Raw_Data!A359</f>
        <v>EMP0369</v>
      </c>
      <c r="B359" s="13" t="str">
        <f>TRIM(CLEAN(Raw_Data!B359))</f>
        <v>Finance</v>
      </c>
      <c r="C359" s="18" t="s">
        <v>54</v>
      </c>
      <c r="D359" s="14" t="str">
        <f>IF(ISBLANK(Raw_Data!D359),AVERAGE(Raw_Data!D$2:D$5002),Raw_Data!D359)</f>
        <v>47769.74</v>
      </c>
      <c r="E359" s="15" t="str">
        <f>IF(ISBLANK(Raw_Data!E359),AVERAGE(Raw_Data!E$2:E$5002),Raw_Data!E359)</f>
        <v>14330.92</v>
      </c>
      <c r="F359" s="15" t="str">
        <f>IF(ISBLANK(Raw_Data!F359),AVERAGE(Raw_Data!F$2:F$5002),Raw_Data!F359)</f>
        <v>3270.57</v>
      </c>
      <c r="G359" s="14" t="str">
        <f>IF(ISBLANK(Raw_Data!G359),AVERAGE(Raw_Data!G$2:G$5002),Raw_Data!G359)</f>
        <v>5077.26</v>
      </c>
      <c r="H359" s="15" t="str">
        <f t="shared" si="1"/>
        <v>65371.00</v>
      </c>
      <c r="I359" s="14" t="str">
        <f t="shared" si="2"/>
        <v>60294.00</v>
      </c>
      <c r="J359" s="16" t="str">
        <f>TEXT(Raw_Data!J359,"MMM-YYY")</f>
        <v>Dec-2025</v>
      </c>
      <c r="K359" s="13" t="str">
        <f>Raw_Data!K359</f>
        <v>14</v>
      </c>
      <c r="L359" s="17" t="str">
        <f>Raw_Data!L359</f>
        <v>Jaipur-North</v>
      </c>
      <c r="M359" s="13" t="str">
        <f t="shared" si="3"/>
        <v>OK</v>
      </c>
      <c r="N359" s="18" t="str">
        <f t="shared" si="4"/>
        <v>VALID</v>
      </c>
    </row>
    <row r="360" ht="15.75" customHeight="1">
      <c r="A360" s="13" t="str">
        <f>Raw_Data!A360</f>
        <v>EMP0370</v>
      </c>
      <c r="B360" s="13" t="str">
        <f>TRIM(CLEAN(Raw_Data!B360))</f>
        <v>Sales</v>
      </c>
      <c r="C360" s="18" t="s">
        <v>18</v>
      </c>
      <c r="D360" s="14" t="str">
        <f>IF(ISBLANK(Raw_Data!D360),AVERAGE(Raw_Data!D$2:D$5002),Raw_Data!D360)</f>
        <v>85894.97</v>
      </c>
      <c r="E360" s="15" t="str">
        <f>IF(ISBLANK(Raw_Data!E360),AVERAGE(Raw_Data!E$2:E$5002),Raw_Data!E360)</f>
        <v>25768.49</v>
      </c>
      <c r="F360" s="15" t="str">
        <f>IF(ISBLANK(Raw_Data!F360),AVERAGE(Raw_Data!F$2:F$5002),Raw_Data!F360)</f>
        <v>4541.48</v>
      </c>
      <c r="G360" s="14" t="str">
        <f>IF(ISBLANK(Raw_Data!G360),AVERAGE(Raw_Data!G$2:G$5002),Raw_Data!G360)</f>
        <v>12476.59</v>
      </c>
      <c r="H360" s="15" t="str">
        <f t="shared" si="1"/>
        <v>116205.00</v>
      </c>
      <c r="I360" s="14" t="str">
        <f t="shared" si="2"/>
        <v>103728.00</v>
      </c>
      <c r="J360" s="16" t="str">
        <f>TEXT(Raw_Data!J360,"MMM-YYY")</f>
        <v>Apr-2025</v>
      </c>
      <c r="K360" s="13" t="str">
        <f>Raw_Data!K360</f>
        <v>1</v>
      </c>
      <c r="L360" s="17" t="str">
        <f>Raw_Data!L360</f>
        <v>Mumbai-HO</v>
      </c>
      <c r="M360" s="13" t="str">
        <f t="shared" si="3"/>
        <v>OK</v>
      </c>
      <c r="N360" s="18" t="str">
        <f t="shared" si="4"/>
        <v>VALID</v>
      </c>
    </row>
    <row r="361" ht="15.75" customHeight="1">
      <c r="A361" s="13" t="str">
        <f>Raw_Data!A361</f>
        <v>EMP0371</v>
      </c>
      <c r="B361" s="13" t="str">
        <f>TRIM(CLEAN(Raw_Data!B361))</f>
        <v>IT</v>
      </c>
      <c r="C361" s="18" t="s">
        <v>37</v>
      </c>
      <c r="D361" s="14" t="str">
        <f>IF(ISBLANK(Raw_Data!D361),AVERAGE(Raw_Data!D$2:D$5002),Raw_Data!D361)</f>
        <v>50372.98</v>
      </c>
      <c r="E361" s="15" t="str">
        <f>IF(ISBLANK(Raw_Data!E361),AVERAGE(Raw_Data!E$2:E$5002),Raw_Data!E361)</f>
        <v>15111.89</v>
      </c>
      <c r="F361" s="15" t="str">
        <f>IF(ISBLANK(Raw_Data!F361),AVERAGE(Raw_Data!F$2:F$5002),Raw_Data!F361)</f>
        <v>9485.09</v>
      </c>
      <c r="G361" s="14" t="str">
        <f>IF(ISBLANK(Raw_Data!G361),AVERAGE(Raw_Data!G$2:G$5002),Raw_Data!G361)</f>
        <v>14843.81</v>
      </c>
      <c r="H361" s="15" t="str">
        <f t="shared" si="1"/>
        <v>74970.00</v>
      </c>
      <c r="I361" s="14" t="str">
        <f t="shared" si="2"/>
        <v>60126.00</v>
      </c>
      <c r="J361" s="16" t="str">
        <f>TEXT(Raw_Data!J361,"MMM-YYY")</f>
        <v>May-2025</v>
      </c>
      <c r="K361" s="13" t="str">
        <f>Raw_Data!K361</f>
        <v>5</v>
      </c>
      <c r="L361" s="17" t="str">
        <f>Raw_Data!L361</f>
        <v>Delhi-North</v>
      </c>
      <c r="M361" s="13" t="str">
        <f t="shared" si="3"/>
        <v>OK</v>
      </c>
      <c r="N361" s="18" t="str">
        <f t="shared" si="4"/>
        <v>VALID</v>
      </c>
    </row>
    <row r="362" ht="15.75" customHeight="1">
      <c r="A362" s="13" t="str">
        <f>Raw_Data!A362</f>
        <v>EMP0372</v>
      </c>
      <c r="B362" s="13" t="str">
        <f>TRIM(CLEAN(Raw_Data!B362))</f>
        <v>Sales</v>
      </c>
      <c r="C362" s="18" t="s">
        <v>30</v>
      </c>
      <c r="D362" s="14" t="str">
        <f>IF(ISBLANK(Raw_Data!D362),AVERAGE(Raw_Data!D$2:D$5002),Raw_Data!D362)</f>
        <v>28074.11</v>
      </c>
      <c r="E362" s="15" t="str">
        <f>IF(ISBLANK(Raw_Data!E362),AVERAGE(Raw_Data!E$2:E$5002),Raw_Data!E362)</f>
        <v>8422.23</v>
      </c>
      <c r="F362" s="15" t="str">
        <f>IF(ISBLANK(Raw_Data!F362),AVERAGE(Raw_Data!F$2:F$5002),Raw_Data!F362)</f>
        <v>2745.67</v>
      </c>
      <c r="G362" s="14" t="str">
        <f>IF(ISBLANK(Raw_Data!G362),AVERAGE(Raw_Data!G$2:G$5002),Raw_Data!G362)</f>
        <v>4041.02</v>
      </c>
      <c r="H362" s="15" t="str">
        <f t="shared" si="1"/>
        <v>39242.00</v>
      </c>
      <c r="I362" s="14" t="str">
        <f t="shared" si="2"/>
        <v>35201.00</v>
      </c>
      <c r="J362" s="16" t="str">
        <f>TEXT(Raw_Data!J362,"MMM-YYY")</f>
        <v>Sep-2025</v>
      </c>
      <c r="K362" s="13" t="str">
        <f>Raw_Data!K362</f>
        <v>15</v>
      </c>
      <c r="L362" s="17" t="str">
        <f>Raw_Data!L362</f>
        <v>Bangalore-South</v>
      </c>
      <c r="M362" s="13" t="str">
        <f t="shared" si="3"/>
        <v>OK</v>
      </c>
      <c r="N362" s="18" t="str">
        <f t="shared" si="4"/>
        <v>VALID</v>
      </c>
    </row>
    <row r="363" ht="15.75" customHeight="1">
      <c r="A363" s="13" t="str">
        <f>Raw_Data!A363</f>
        <v>EMP0373</v>
      </c>
      <c r="B363" s="13" t="str">
        <f>TRIM(CLEAN(Raw_Data!B363))</f>
        <v>Customer Support</v>
      </c>
      <c r="C363" s="18" t="s">
        <v>18</v>
      </c>
      <c r="D363" s="14" t="str">
        <f>IF(ISBLANK(Raw_Data!D363),AVERAGE(Raw_Data!D$2:D$5002),Raw_Data!D363)</f>
        <v>72109.90</v>
      </c>
      <c r="E363" s="15" t="str">
        <f>IF(ISBLANK(Raw_Data!E363),AVERAGE(Raw_Data!E$2:E$5002),Raw_Data!E363)</f>
        <v>21632.97</v>
      </c>
      <c r="F363" s="15" t="str">
        <f>IF(ISBLANK(Raw_Data!F363),AVERAGE(Raw_Data!F$2:F$5002),Raw_Data!F363)</f>
        <v>1757.67</v>
      </c>
      <c r="G363" s="14" t="str">
        <f>IF(ISBLANK(Raw_Data!G363),AVERAGE(Raw_Data!G$2:G$5002),Raw_Data!G363)</f>
        <v>14637.35</v>
      </c>
      <c r="H363" s="15" t="str">
        <f t="shared" si="1"/>
        <v>95501.00</v>
      </c>
      <c r="I363" s="14" t="str">
        <f t="shared" si="2"/>
        <v>80864.00</v>
      </c>
      <c r="J363" s="16" t="str">
        <f>TEXT(Raw_Data!J363,"MMM-YYY")</f>
        <v>Jul-2025</v>
      </c>
      <c r="K363" s="13" t="str">
        <f>Raw_Data!K363</f>
        <v>21</v>
      </c>
      <c r="L363" s="17" t="str">
        <f>Raw_Data!L363</f>
        <v>Chennai-South</v>
      </c>
      <c r="M363" s="13" t="str">
        <f t="shared" si="3"/>
        <v>OK</v>
      </c>
      <c r="N363" s="18" t="str">
        <f t="shared" si="4"/>
        <v>VALID</v>
      </c>
    </row>
    <row r="364" ht="15.75" customHeight="1">
      <c r="A364" s="13" t="str">
        <f>Raw_Data!A364</f>
        <v>EMP0374</v>
      </c>
      <c r="B364" s="13" t="str">
        <f>TRIM(CLEAN(Raw_Data!B364))</f>
        <v>Marketing</v>
      </c>
      <c r="C364" s="18" t="s">
        <v>26</v>
      </c>
      <c r="D364" s="14" t="str">
        <f>IF(ISBLANK(Raw_Data!D364),AVERAGE(Raw_Data!D$2:D$5002),Raw_Data!D364)</f>
        <v>102424.85</v>
      </c>
      <c r="E364" s="15" t="str">
        <f>IF(ISBLANK(Raw_Data!E364),AVERAGE(Raw_Data!E$2:E$5002),Raw_Data!E364)</f>
        <v>30727.46</v>
      </c>
      <c r="F364" s="15" t="str">
        <f>IF(ISBLANK(Raw_Data!F364),AVERAGE(Raw_Data!F$2:F$5002),Raw_Data!F364)</f>
        <v>15836.20</v>
      </c>
      <c r="G364" s="14" t="str">
        <f>IF(ISBLANK(Raw_Data!G364),AVERAGE(Raw_Data!G$2:G$5002),Raw_Data!G364)</f>
        <v>4500.84</v>
      </c>
      <c r="H364" s="15" t="str">
        <f t="shared" si="1"/>
        <v>148989.00</v>
      </c>
      <c r="I364" s="14" t="str">
        <f t="shared" si="2"/>
        <v>144488.00</v>
      </c>
      <c r="J364" s="16" t="str">
        <f>TEXT(Raw_Data!J364,"MMM-YYY")</f>
        <v>Jan-2025</v>
      </c>
      <c r="K364" s="13" t="str">
        <f>Raw_Data!K364</f>
        <v>19</v>
      </c>
      <c r="L364" s="17" t="str">
        <f>Raw_Data!L364</f>
        <v>Kolkata-East</v>
      </c>
      <c r="M364" s="13" t="str">
        <f t="shared" si="3"/>
        <v>OK</v>
      </c>
      <c r="N364" s="18" t="str">
        <f t="shared" si="4"/>
        <v>VALID</v>
      </c>
    </row>
    <row r="365" ht="15.75" customHeight="1">
      <c r="A365" s="13" t="str">
        <f>Raw_Data!A365</f>
        <v>EMP0375</v>
      </c>
      <c r="B365" s="13" t="str">
        <f>TRIM(CLEAN(Raw_Data!B365))</f>
        <v>IT</v>
      </c>
      <c r="C365" s="18" t="s">
        <v>18</v>
      </c>
      <c r="D365" s="14" t="str">
        <f>IF(ISBLANK(Raw_Data!D365),AVERAGE(Raw_Data!D$2:D$5002),Raw_Data!D365)</f>
        <v>67054.77</v>
      </c>
      <c r="E365" s="15" t="str">
        <f>IF(ISBLANK(Raw_Data!E365),AVERAGE(Raw_Data!E$2:E$5002),Raw_Data!E365)</f>
        <v>20116.43</v>
      </c>
      <c r="F365" s="15" t="str">
        <f>IF(ISBLANK(Raw_Data!F365),AVERAGE(Raw_Data!F$2:F$5002),Raw_Data!F365)</f>
        <v>12391.85</v>
      </c>
      <c r="G365" s="14" t="str">
        <f>IF(ISBLANK(Raw_Data!G365),AVERAGE(Raw_Data!G$2:G$5002),Raw_Data!G365)</f>
        <v>13195.82</v>
      </c>
      <c r="H365" s="15" t="str">
        <f t="shared" si="1"/>
        <v>99563.00</v>
      </c>
      <c r="I365" s="14" t="str">
        <f t="shared" si="2"/>
        <v>86367.00</v>
      </c>
      <c r="J365" s="16" t="str">
        <f>TEXT(Raw_Data!J365,"MMM-YYY")</f>
        <v>Dec-2025</v>
      </c>
      <c r="K365" s="13" t="str">
        <f>Raw_Data!K365</f>
        <v>8</v>
      </c>
      <c r="L365" s="17" t="str">
        <f>Raw_Data!L365</f>
        <v>Pune-West</v>
      </c>
      <c r="M365" s="13" t="str">
        <f t="shared" si="3"/>
        <v>OK</v>
      </c>
      <c r="N365" s="18" t="str">
        <f t="shared" si="4"/>
        <v>VALID</v>
      </c>
    </row>
    <row r="366" ht="15.75" customHeight="1">
      <c r="A366" s="13" t="str">
        <f>Raw_Data!A366</f>
        <v>EMP0376</v>
      </c>
      <c r="B366" s="13" t="str">
        <f>TRIM(CLEAN(Raw_Data!B366))</f>
        <v>Marketing</v>
      </c>
      <c r="C366" s="18" t="s">
        <v>30</v>
      </c>
      <c r="D366" s="14" t="str">
        <f>IF(ISBLANK(Raw_Data!D366),AVERAGE(Raw_Data!D$2:D$5002),Raw_Data!D366)</f>
        <v>23778.20</v>
      </c>
      <c r="E366" s="15" t="str">
        <f>IF(ISBLANK(Raw_Data!E366),AVERAGE(Raw_Data!E$2:E$5002),Raw_Data!E366)</f>
        <v>7133.46</v>
      </c>
      <c r="F366" s="15" t="str">
        <f>IF(ISBLANK(Raw_Data!F366),AVERAGE(Raw_Data!F$2:F$5002),Raw_Data!F366)</f>
        <v>2561.28</v>
      </c>
      <c r="G366" s="14" t="str">
        <f>IF(ISBLANK(Raw_Data!G366),AVERAGE(Raw_Data!G$2:G$5002),Raw_Data!G366)</f>
        <v>6655.69</v>
      </c>
      <c r="H366" s="15" t="str">
        <f t="shared" si="1"/>
        <v>33473.00</v>
      </c>
      <c r="I366" s="14" t="str">
        <f t="shared" si="2"/>
        <v>26817.00</v>
      </c>
      <c r="J366" s="16" t="str">
        <f>TEXT(Raw_Data!J366,"MMM-YYY")</f>
        <v>Dec-2025</v>
      </c>
      <c r="K366" s="13" t="str">
        <f>Raw_Data!K366</f>
        <v>10</v>
      </c>
      <c r="L366" s="17" t="str">
        <f>Raw_Data!L366</f>
        <v>Hyderabad-South</v>
      </c>
      <c r="M366" s="13" t="str">
        <f t="shared" si="3"/>
        <v>OK</v>
      </c>
      <c r="N366" s="18" t="str">
        <f t="shared" si="4"/>
        <v>VALID</v>
      </c>
    </row>
    <row r="367" ht="15.75" customHeight="1">
      <c r="A367" s="13" t="str">
        <f>Raw_Data!A367</f>
        <v>EMP0377</v>
      </c>
      <c r="B367" s="13" t="str">
        <f>TRIM(CLEAN(Raw_Data!B367))</f>
        <v>IT</v>
      </c>
      <c r="C367" s="18" t="s">
        <v>30</v>
      </c>
      <c r="D367" s="14" t="str">
        <f>IF(ISBLANK(Raw_Data!D367),AVERAGE(Raw_Data!D$2:D$5002),Raw_Data!D367)</f>
        <v>22961.19</v>
      </c>
      <c r="E367" s="15" t="str">
        <f>IF(ISBLANK(Raw_Data!E367),AVERAGE(Raw_Data!E$2:E$5002),Raw_Data!E367)</f>
        <v>6888.36</v>
      </c>
      <c r="F367" s="15" t="str">
        <f>IF(ISBLANK(Raw_Data!F367),AVERAGE(Raw_Data!F$2:F$5002),Raw_Data!F367)</f>
        <v>3402.35</v>
      </c>
      <c r="G367" s="14" t="str">
        <f>IF(ISBLANK(Raw_Data!G367),AVERAGE(Raw_Data!G$2:G$5002),Raw_Data!G367)</f>
        <v>14562.73</v>
      </c>
      <c r="H367" s="15" t="str">
        <f t="shared" si="1"/>
        <v>33252.00</v>
      </c>
      <c r="I367" s="14" t="str">
        <f t="shared" si="2"/>
        <v>18689.00</v>
      </c>
      <c r="J367" s="16" t="str">
        <f>TEXT(Raw_Data!J367,"MMM-YYY")</f>
        <v>Jan-2025</v>
      </c>
      <c r="K367" s="13" t="str">
        <f>Raw_Data!K367</f>
        <v>13</v>
      </c>
      <c r="L367" s="17" t="str">
        <f>Raw_Data!L367</f>
        <v>Chandigarh-North</v>
      </c>
      <c r="M367" s="13" t="str">
        <f t="shared" si="3"/>
        <v>OK</v>
      </c>
      <c r="N367" s="18" t="str">
        <f t="shared" si="4"/>
        <v>VALID</v>
      </c>
    </row>
    <row r="368" ht="15.75" customHeight="1">
      <c r="A368" s="13" t="str">
        <f>Raw_Data!A368</f>
        <v>EMP0378</v>
      </c>
      <c r="B368" s="13" t="str">
        <f>TRIM(CLEAN(Raw_Data!B368))</f>
        <v>Sales</v>
      </c>
      <c r="C368" s="18" t="s">
        <v>37</v>
      </c>
      <c r="D368" s="14" t="str">
        <f>IF(ISBLANK(Raw_Data!D368),AVERAGE(Raw_Data!D$2:D$5002),Raw_Data!D368)</f>
        <v>49062.09</v>
      </c>
      <c r="E368" s="15" t="str">
        <f>IF(ISBLANK(Raw_Data!E368),AVERAGE(Raw_Data!E$2:E$5002),Raw_Data!E368)</f>
        <v>14718.63</v>
      </c>
      <c r="F368" s="15" t="str">
        <f>IF(ISBLANK(Raw_Data!F368),AVERAGE(Raw_Data!F$2:F$5002),Raw_Data!F368)</f>
        <v>2284.69</v>
      </c>
      <c r="G368" s="14" t="str">
        <f>IF(ISBLANK(Raw_Data!G368),AVERAGE(Raw_Data!G$2:G$5002),Raw_Data!G368)</f>
        <v>1474.78</v>
      </c>
      <c r="H368" s="15" t="str">
        <f t="shared" si="1"/>
        <v>66065.00</v>
      </c>
      <c r="I368" s="14" t="str">
        <f t="shared" si="2"/>
        <v>64590.00</v>
      </c>
      <c r="J368" s="16" t="str">
        <f>TEXT(Raw_Data!J368,"MMM-YYY")</f>
        <v>Jun-2025</v>
      </c>
      <c r="K368" s="13" t="str">
        <f>Raw_Data!K368</f>
        <v>18</v>
      </c>
      <c r="L368" s="17" t="str">
        <f>Raw_Data!L368</f>
        <v>Ahmedabad-West</v>
      </c>
      <c r="M368" s="13" t="str">
        <f t="shared" si="3"/>
        <v>OK</v>
      </c>
      <c r="N368" s="18" t="str">
        <f t="shared" si="4"/>
        <v>VALID</v>
      </c>
    </row>
    <row r="369" ht="15.75" customHeight="1">
      <c r="A369" s="13" t="str">
        <f>Raw_Data!A369</f>
        <v>EMP0379</v>
      </c>
      <c r="B369" s="13" t="str">
        <f>TRIM(CLEAN(Raw_Data!B369))</f>
        <v>Sales</v>
      </c>
      <c r="C369" s="18" t="s">
        <v>54</v>
      </c>
      <c r="D369" s="14" t="str">
        <f>IF(ISBLANK(Raw_Data!D369),AVERAGE(Raw_Data!D$2:D$5002),Raw_Data!D369)</f>
        <v>36407.63</v>
      </c>
      <c r="E369" s="15" t="str">
        <f>IF(ISBLANK(Raw_Data!E369),AVERAGE(Raw_Data!E$2:E$5002),Raw_Data!E369)</f>
        <v>10922.29</v>
      </c>
      <c r="F369" s="15" t="str">
        <f>IF(ISBLANK(Raw_Data!F369),AVERAGE(Raw_Data!F$2:F$5002),Raw_Data!F369)</f>
        <v>5612.35</v>
      </c>
      <c r="G369" s="14" t="str">
        <f>IF(ISBLANK(Raw_Data!G369),AVERAGE(Raw_Data!G$2:G$5002),Raw_Data!G369)</f>
        <v>14562.73</v>
      </c>
      <c r="H369" s="15" t="str">
        <f t="shared" si="1"/>
        <v>52942.00</v>
      </c>
      <c r="I369" s="14" t="str">
        <f t="shared" si="2"/>
        <v>38379.00</v>
      </c>
      <c r="J369" s="16" t="str">
        <f>TEXT(Raw_Data!J369,"MMM-YYY")</f>
        <v>Sep-2025</v>
      </c>
      <c r="K369" s="13" t="str">
        <f>Raw_Data!K369</f>
        <v>12</v>
      </c>
      <c r="L369" s="17" t="str">
        <f>Raw_Data!L369</f>
        <v>Jaipur-North</v>
      </c>
      <c r="M369" s="13" t="str">
        <f t="shared" si="3"/>
        <v>OK</v>
      </c>
      <c r="N369" s="18" t="str">
        <f t="shared" si="4"/>
        <v>VALID</v>
      </c>
    </row>
    <row r="370" ht="15.75" customHeight="1">
      <c r="A370" s="13" t="str">
        <f>Raw_Data!A370</f>
        <v>EMP0380</v>
      </c>
      <c r="B370" s="13" t="str">
        <f>TRIM(CLEAN(Raw_Data!B370))</f>
        <v>Finance</v>
      </c>
      <c r="C370" s="18" t="s">
        <v>54</v>
      </c>
      <c r="D370" s="14" t="str">
        <f>IF(ISBLANK(Raw_Data!D370),AVERAGE(Raw_Data!D$2:D$5002),Raw_Data!D370)</f>
        <v>44140.50</v>
      </c>
      <c r="E370" s="15" t="str">
        <f>IF(ISBLANK(Raw_Data!E370),AVERAGE(Raw_Data!E$2:E$5002),Raw_Data!E370)</f>
        <v>13242.15</v>
      </c>
      <c r="F370" s="15" t="str">
        <f>IF(ISBLANK(Raw_Data!F370),AVERAGE(Raw_Data!F$2:F$5002),Raw_Data!F370)</f>
        <v>7774.44</v>
      </c>
      <c r="G370" s="14" t="str">
        <f>IF(ISBLANK(Raw_Data!G370),AVERAGE(Raw_Data!G$2:G$5002),Raw_Data!G370)</f>
        <v>6299.29</v>
      </c>
      <c r="H370" s="15" t="str">
        <f t="shared" si="1"/>
        <v>65157.00</v>
      </c>
      <c r="I370" s="14" t="str">
        <f t="shared" si="2"/>
        <v>58858.00</v>
      </c>
      <c r="J370" s="16" t="str">
        <f>TEXT(Raw_Data!J370,"MMM-YYY")</f>
        <v>Nov-2025</v>
      </c>
      <c r="K370" s="13" t="str">
        <f>Raw_Data!K370</f>
        <v>16</v>
      </c>
      <c r="L370" s="17" t="str">
        <f>Raw_Data!L370</f>
        <v>Mumbai-HO</v>
      </c>
      <c r="M370" s="13" t="str">
        <f t="shared" si="3"/>
        <v>OK</v>
      </c>
      <c r="N370" s="18" t="str">
        <f t="shared" si="4"/>
        <v>VALID</v>
      </c>
    </row>
    <row r="371" ht="15.75" customHeight="1">
      <c r="A371" s="13" t="str">
        <f>Raw_Data!A371</f>
        <v>EMP0381</v>
      </c>
      <c r="B371" s="13" t="str">
        <f>TRIM(CLEAN(Raw_Data!B371))</f>
        <v>Finance</v>
      </c>
      <c r="C371" s="18" t="s">
        <v>26</v>
      </c>
      <c r="D371" s="14" t="str">
        <f>IF(ISBLANK(Raw_Data!D371),AVERAGE(Raw_Data!D$2:D$5002),Raw_Data!D371)</f>
        <v>124700.91</v>
      </c>
      <c r="E371" s="15" t="str">
        <f>IF(ISBLANK(Raw_Data!E371),AVERAGE(Raw_Data!E$2:E$5002),Raw_Data!E371)</f>
        <v>37410.27</v>
      </c>
      <c r="F371" s="15" t="str">
        <f>IF(ISBLANK(Raw_Data!F371),AVERAGE(Raw_Data!F$2:F$5002),Raw_Data!F371)</f>
        <v>8009.98</v>
      </c>
      <c r="G371" s="14" t="str">
        <f>IF(ISBLANK(Raw_Data!G371),AVERAGE(Raw_Data!G$2:G$5002),Raw_Data!G371)</f>
        <v>24163.22</v>
      </c>
      <c r="H371" s="15" t="str">
        <f t="shared" si="1"/>
        <v>170121.00</v>
      </c>
      <c r="I371" s="14" t="str">
        <f t="shared" si="2"/>
        <v>145958.00</v>
      </c>
      <c r="J371" s="16" t="str">
        <f>TEXT(Raw_Data!J371,"MMM-YYY")</f>
        <v>Feb-2025</v>
      </c>
      <c r="K371" s="13" t="str">
        <f>Raw_Data!K371</f>
        <v>19</v>
      </c>
      <c r="L371" s="17" t="str">
        <f>Raw_Data!L371</f>
        <v>Delhi-North</v>
      </c>
      <c r="M371" s="13" t="str">
        <f t="shared" si="3"/>
        <v>OK</v>
      </c>
      <c r="N371" s="18" t="str">
        <f t="shared" si="4"/>
        <v>VALID</v>
      </c>
    </row>
    <row r="372" ht="15.75" customHeight="1">
      <c r="A372" s="13" t="str">
        <f>Raw_Data!A372</f>
        <v>EMP0382</v>
      </c>
      <c r="B372" s="13" t="str">
        <f>TRIM(CLEAN(Raw_Data!B372))</f>
        <v>Sales</v>
      </c>
      <c r="C372" s="18" t="s">
        <v>37</v>
      </c>
      <c r="D372" s="14" t="str">
        <f>IF(ISBLANK(Raw_Data!D372),AVERAGE(Raw_Data!D$2:D$5002),Raw_Data!D372)</f>
        <v>49179.96</v>
      </c>
      <c r="E372" s="15" t="str">
        <f>IF(ISBLANK(Raw_Data!E372),AVERAGE(Raw_Data!E$2:E$5002),Raw_Data!E372)</f>
        <v>14753.99</v>
      </c>
      <c r="F372" s="15" t="str">
        <f>IF(ISBLANK(Raw_Data!F372),AVERAGE(Raw_Data!F$2:F$5002),Raw_Data!F372)</f>
        <v>7265.71</v>
      </c>
      <c r="G372" s="14" t="str">
        <f>IF(ISBLANK(Raw_Data!G372),AVERAGE(Raw_Data!G$2:G$5002),Raw_Data!G372)</f>
        <v>12545.80</v>
      </c>
      <c r="H372" s="15" t="str">
        <f t="shared" si="1"/>
        <v>71200.00</v>
      </c>
      <c r="I372" s="14" t="str">
        <f t="shared" si="2"/>
        <v>58654.00</v>
      </c>
      <c r="J372" s="16" t="str">
        <f>TEXT(Raw_Data!J372,"MMM-YYY")</f>
        <v>Jan-2025</v>
      </c>
      <c r="K372" s="13" t="str">
        <f>Raw_Data!K372</f>
        <v>6</v>
      </c>
      <c r="L372" s="17" t="str">
        <f>Raw_Data!L372</f>
        <v>Bangalore-South</v>
      </c>
      <c r="M372" s="13" t="str">
        <f t="shared" si="3"/>
        <v>OK</v>
      </c>
      <c r="N372" s="18" t="str">
        <f t="shared" si="4"/>
        <v>VALID</v>
      </c>
    </row>
    <row r="373" ht="15.75" customHeight="1">
      <c r="A373" s="13" t="str">
        <f>Raw_Data!A373</f>
        <v>EMP0383</v>
      </c>
      <c r="B373" s="13" t="str">
        <f>TRIM(CLEAN(Raw_Data!B373))</f>
        <v>Finance</v>
      </c>
      <c r="C373" s="18" t="s">
        <v>54</v>
      </c>
      <c r="D373" s="14" t="str">
        <f>IF(ISBLANK(Raw_Data!D373),AVERAGE(Raw_Data!D$2:D$5002),Raw_Data!D373)</f>
        <v>47351.43</v>
      </c>
      <c r="E373" s="15" t="str">
        <f>IF(ISBLANK(Raw_Data!E373),AVERAGE(Raw_Data!E$2:E$5002),Raw_Data!E373)</f>
        <v>14205.43</v>
      </c>
      <c r="F373" s="15" t="str">
        <f>IF(ISBLANK(Raw_Data!F373),AVERAGE(Raw_Data!F$2:F$5002),Raw_Data!F373)</f>
        <v>1664.77</v>
      </c>
      <c r="G373" s="14" t="str">
        <f>IF(ISBLANK(Raw_Data!G373),AVERAGE(Raw_Data!G$2:G$5002),Raw_Data!G373)</f>
        <v>13063.81</v>
      </c>
      <c r="H373" s="15" t="str">
        <f t="shared" si="1"/>
        <v>63222.00</v>
      </c>
      <c r="I373" s="14" t="str">
        <f t="shared" si="2"/>
        <v>50158.00</v>
      </c>
      <c r="J373" s="16" t="str">
        <f>TEXT(Raw_Data!J373,"MMM-YYY")</f>
        <v>Jul-2025</v>
      </c>
      <c r="K373" s="13" t="str">
        <f>Raw_Data!K373</f>
        <v>17</v>
      </c>
      <c r="L373" s="17" t="str">
        <f>Raw_Data!L373</f>
        <v>Chennai-South</v>
      </c>
      <c r="M373" s="13" t="str">
        <f t="shared" si="3"/>
        <v>OK</v>
      </c>
      <c r="N373" s="18" t="str">
        <f t="shared" si="4"/>
        <v>VALID</v>
      </c>
    </row>
    <row r="374" ht="15.75" customHeight="1">
      <c r="A374" s="13" t="str">
        <f>Raw_Data!A374</f>
        <v>EMP0384</v>
      </c>
      <c r="B374" s="13" t="str">
        <f>TRIM(CLEAN(Raw_Data!B374))</f>
        <v>Customer Support</v>
      </c>
      <c r="C374" s="18" t="s">
        <v>54</v>
      </c>
      <c r="D374" s="14" t="str">
        <f>IF(ISBLANK(Raw_Data!D374),AVERAGE(Raw_Data!D$2:D$5002),Raw_Data!D374)</f>
        <v>37608.36</v>
      </c>
      <c r="E374" s="15" t="str">
        <f>IF(ISBLANK(Raw_Data!E374),AVERAGE(Raw_Data!E$2:E$5002),Raw_Data!E374)</f>
        <v>11282.51</v>
      </c>
      <c r="F374" s="15" t="str">
        <f>IF(ISBLANK(Raw_Data!F374),AVERAGE(Raw_Data!F$2:F$5002),Raw_Data!F374)</f>
        <v>5633.76</v>
      </c>
      <c r="G374" s="14" t="str">
        <f>IF(ISBLANK(Raw_Data!G374),AVERAGE(Raw_Data!G$2:G$5002),Raw_Data!G374)</f>
        <v>9841.63</v>
      </c>
      <c r="H374" s="15" t="str">
        <f t="shared" si="1"/>
        <v>54525.00</v>
      </c>
      <c r="I374" s="14" t="str">
        <f t="shared" si="2"/>
        <v>44683.00</v>
      </c>
      <c r="J374" s="16" t="str">
        <f>TEXT(Raw_Data!J374,"MMM-YYY")</f>
        <v>May-2025</v>
      </c>
      <c r="K374" s="13" t="str">
        <f>Raw_Data!K374</f>
        <v>13</v>
      </c>
      <c r="L374" s="17" t="str">
        <f>Raw_Data!L374</f>
        <v>Kolkata-East</v>
      </c>
      <c r="M374" s="13" t="str">
        <f t="shared" si="3"/>
        <v>OK</v>
      </c>
      <c r="N374" s="18" t="str">
        <f t="shared" si="4"/>
        <v>VALID</v>
      </c>
    </row>
    <row r="375" ht="15.75" customHeight="1">
      <c r="A375" s="13" t="str">
        <f>Raw_Data!A375</f>
        <v>EMP0385</v>
      </c>
      <c r="B375" s="13" t="str">
        <f>TRIM(CLEAN(Raw_Data!B375))</f>
        <v>HR</v>
      </c>
      <c r="C375" s="18" t="s">
        <v>14</v>
      </c>
      <c r="D375" s="14" t="str">
        <f>IF(ISBLANK(Raw_Data!D375),AVERAGE(Raw_Data!D$2:D$5002),Raw_Data!D375)</f>
        <v>20148.42</v>
      </c>
      <c r="E375" s="15" t="str">
        <f>IF(ISBLANK(Raw_Data!E375),AVERAGE(Raw_Data!E$2:E$5002),Raw_Data!E375)</f>
        <v>6044.53</v>
      </c>
      <c r="F375" s="15" t="str">
        <f>IF(ISBLANK(Raw_Data!F375),AVERAGE(Raw_Data!F$2:F$5002),Raw_Data!F375)</f>
        <v>2429.02</v>
      </c>
      <c r="G375" s="14" t="str">
        <f>IF(ISBLANK(Raw_Data!G375),AVERAGE(Raw_Data!G$2:G$5002),Raw_Data!G375)</f>
        <v>5612.07</v>
      </c>
      <c r="H375" s="15" t="str">
        <f t="shared" si="1"/>
        <v>28622.00</v>
      </c>
      <c r="I375" s="14" t="str">
        <f t="shared" si="2"/>
        <v>23010.00</v>
      </c>
      <c r="J375" s="16" t="str">
        <f>TEXT(Raw_Data!J375,"MMM-YYY")</f>
        <v>Jun-2025</v>
      </c>
      <c r="K375" s="13" t="str">
        <f>Raw_Data!K375</f>
        <v>23</v>
      </c>
      <c r="L375" s="17" t="str">
        <f>Raw_Data!L375</f>
        <v>Pune-West</v>
      </c>
      <c r="M375" s="13" t="str">
        <f t="shared" si="3"/>
        <v>OK</v>
      </c>
      <c r="N375" s="18" t="str">
        <f t="shared" si="4"/>
        <v>VALID</v>
      </c>
    </row>
    <row r="376" ht="15.75" customHeight="1">
      <c r="A376" s="13" t="str">
        <f>Raw_Data!A376</f>
        <v>EMP0387</v>
      </c>
      <c r="B376" s="13" t="str">
        <f>TRIM(CLEAN(Raw_Data!B376))</f>
        <v>Customer Support</v>
      </c>
      <c r="C376" s="18" t="s">
        <v>37</v>
      </c>
      <c r="D376" s="14" t="str">
        <f>IF(ISBLANK(Raw_Data!D376),AVERAGE(Raw_Data!D$2:D$5002),Raw_Data!D376)</f>
        <v>53424.37</v>
      </c>
      <c r="E376" s="15" t="str">
        <f>IF(ISBLANK(Raw_Data!E376),AVERAGE(Raw_Data!E$2:E$5002),Raw_Data!E376)</f>
        <v>16027.31</v>
      </c>
      <c r="F376" s="15" t="str">
        <f>IF(ISBLANK(Raw_Data!F376),AVERAGE(Raw_Data!F$2:F$5002),Raw_Data!F376)</f>
        <v>2060.17</v>
      </c>
      <c r="G376" s="14" t="str">
        <f>IF(ISBLANK(Raw_Data!G376),AVERAGE(Raw_Data!G$2:G$5002),Raw_Data!G376)</f>
        <v>1805.42</v>
      </c>
      <c r="H376" s="15" t="str">
        <f t="shared" si="1"/>
        <v>71512.00</v>
      </c>
      <c r="I376" s="14" t="str">
        <f t="shared" si="2"/>
        <v>69707.00</v>
      </c>
      <c r="J376" s="16" t="str">
        <f>TEXT(Raw_Data!J376,"MMM-YYY")</f>
        <v>Mar-2025</v>
      </c>
      <c r="K376" s="13" t="str">
        <f>Raw_Data!K376</f>
        <v>14</v>
      </c>
      <c r="L376" s="17" t="str">
        <f>Raw_Data!L376</f>
        <v>Chandigarh-North</v>
      </c>
      <c r="M376" s="13" t="str">
        <f t="shared" si="3"/>
        <v>OK</v>
      </c>
      <c r="N376" s="18" t="str">
        <f t="shared" si="4"/>
        <v>VALID</v>
      </c>
    </row>
    <row r="377" ht="15.75" customHeight="1">
      <c r="A377" s="13" t="str">
        <f>Raw_Data!A377</f>
        <v>EMP0388</v>
      </c>
      <c r="B377" s="13" t="str">
        <f>TRIM(CLEAN(Raw_Data!B377))</f>
        <v>Sales</v>
      </c>
      <c r="C377" s="18" t="s">
        <v>54</v>
      </c>
      <c r="D377" s="14" t="str">
        <f>IF(ISBLANK(Raw_Data!D377),AVERAGE(Raw_Data!D$2:D$5002),Raw_Data!D377)</f>
        <v>44075.99</v>
      </c>
      <c r="E377" s="15" t="str">
        <f>IF(ISBLANK(Raw_Data!E377),AVERAGE(Raw_Data!E$2:E$5002),Raw_Data!E377)</f>
        <v>13222.80</v>
      </c>
      <c r="F377" s="15" t="str">
        <f>IF(ISBLANK(Raw_Data!F377),AVERAGE(Raw_Data!F$2:F$5002),Raw_Data!F377)</f>
        <v>6334.59</v>
      </c>
      <c r="G377" s="14" t="str">
        <f>IF(ISBLANK(Raw_Data!G377),AVERAGE(Raw_Data!G$2:G$5002),Raw_Data!G377)</f>
        <v>186.23</v>
      </c>
      <c r="H377" s="15" t="str">
        <f t="shared" si="1"/>
        <v>63633.00</v>
      </c>
      <c r="I377" s="14" t="str">
        <f t="shared" si="2"/>
        <v>63447.00</v>
      </c>
      <c r="J377" s="16" t="str">
        <f>TEXT(Raw_Data!J377,"MMM-YYY")</f>
        <v>Jun-2025</v>
      </c>
      <c r="K377" s="13" t="str">
        <f>Raw_Data!K377</f>
        <v>3</v>
      </c>
      <c r="L377" s="17" t="str">
        <f>Raw_Data!L377</f>
        <v>Ahmedabad-West</v>
      </c>
      <c r="M377" s="13" t="str">
        <f t="shared" si="3"/>
        <v>OK</v>
      </c>
      <c r="N377" s="18" t="str">
        <f t="shared" si="4"/>
        <v>VALID</v>
      </c>
    </row>
    <row r="378" ht="15.75" customHeight="1">
      <c r="A378" s="13" t="str">
        <f>Raw_Data!A378</f>
        <v>EMP0389</v>
      </c>
      <c r="B378" s="13" t="str">
        <f>TRIM(CLEAN(Raw_Data!B378))</f>
        <v>Customer Support</v>
      </c>
      <c r="C378" s="18" t="s">
        <v>33</v>
      </c>
      <c r="D378" s="14" t="str">
        <f>IF(ISBLANK(Raw_Data!D378),AVERAGE(Raw_Data!D$2:D$5002),Raw_Data!D378)</f>
        <v>30677.81</v>
      </c>
      <c r="E378" s="15" t="str">
        <f>IF(ISBLANK(Raw_Data!E378),AVERAGE(Raw_Data!E$2:E$5002),Raw_Data!E378)</f>
        <v>9203.34</v>
      </c>
      <c r="F378" s="15" t="str">
        <f>IF(ISBLANK(Raw_Data!F378),AVERAGE(Raw_Data!F$2:F$5002),Raw_Data!F378)</f>
        <v>4646.36</v>
      </c>
      <c r="G378" s="14" t="str">
        <f>IF(ISBLANK(Raw_Data!G378),AVERAGE(Raw_Data!G$2:G$5002),Raw_Data!G378)</f>
        <v>1615.14</v>
      </c>
      <c r="H378" s="15" t="str">
        <f t="shared" si="1"/>
        <v>44528.00</v>
      </c>
      <c r="I378" s="14" t="str">
        <f t="shared" si="2"/>
        <v>42913.00</v>
      </c>
      <c r="J378" s="16" t="str">
        <f>TEXT(Raw_Data!J378,"MMM-YYY")</f>
        <v>Nov-2025</v>
      </c>
      <c r="K378" s="13" t="str">
        <f>Raw_Data!K378</f>
        <v>17</v>
      </c>
      <c r="L378" s="17" t="str">
        <f>Raw_Data!L378</f>
        <v>Jaipur-North</v>
      </c>
      <c r="M378" s="13" t="str">
        <f t="shared" si="3"/>
        <v>OK</v>
      </c>
      <c r="N378" s="18" t="str">
        <f t="shared" si="4"/>
        <v>VALID</v>
      </c>
    </row>
    <row r="379" ht="15.75" customHeight="1">
      <c r="A379" s="13" t="str">
        <f>Raw_Data!A379</f>
        <v>EMP0390</v>
      </c>
      <c r="B379" s="13" t="str">
        <f>TRIM(CLEAN(Raw_Data!B379))</f>
        <v>Marketing</v>
      </c>
      <c r="C379" s="18" t="s">
        <v>26</v>
      </c>
      <c r="D379" s="14" t="str">
        <f>IF(ISBLANK(Raw_Data!D379),AVERAGE(Raw_Data!D$2:D$5002),Raw_Data!D379)</f>
        <v>105397.32</v>
      </c>
      <c r="E379" s="15" t="str">
        <f>IF(ISBLANK(Raw_Data!E379),AVERAGE(Raw_Data!E$2:E$5002),Raw_Data!E379)</f>
        <v>31619.20</v>
      </c>
      <c r="F379" s="15" t="str">
        <f>IF(ISBLANK(Raw_Data!F379),AVERAGE(Raw_Data!F$2:F$5002),Raw_Data!F379)</f>
        <v>6912.52</v>
      </c>
      <c r="G379" s="14" t="str">
        <f>IF(ISBLANK(Raw_Data!G379),AVERAGE(Raw_Data!G$2:G$5002),Raw_Data!G379)</f>
        <v>12674.02</v>
      </c>
      <c r="H379" s="15" t="str">
        <f t="shared" si="1"/>
        <v>143929.00</v>
      </c>
      <c r="I379" s="14" t="str">
        <f t="shared" si="2"/>
        <v>131255.00</v>
      </c>
      <c r="J379" s="16" t="str">
        <f>TEXT(Raw_Data!J379,"MMM-YYY")</f>
        <v>Feb-2025</v>
      </c>
      <c r="K379" s="13" t="str">
        <f>Raw_Data!K379</f>
        <v>11</v>
      </c>
      <c r="L379" s="17" t="str">
        <f>Raw_Data!L379</f>
        <v>Mumbai-HO</v>
      </c>
      <c r="M379" s="13" t="str">
        <f t="shared" si="3"/>
        <v>OK</v>
      </c>
      <c r="N379" s="18" t="str">
        <f t="shared" si="4"/>
        <v>VALID</v>
      </c>
    </row>
    <row r="380" ht="15.75" customHeight="1">
      <c r="A380" s="13" t="str">
        <f>Raw_Data!A380</f>
        <v>EMP0391</v>
      </c>
      <c r="B380" s="13" t="str">
        <f>TRIM(CLEAN(Raw_Data!B380))</f>
        <v>Finance</v>
      </c>
      <c r="C380" s="18" t="s">
        <v>30</v>
      </c>
      <c r="D380" s="14" t="str">
        <f>IF(ISBLANK(Raw_Data!D380),AVERAGE(Raw_Data!D$2:D$5002),Raw_Data!D380)</f>
        <v>26201.60</v>
      </c>
      <c r="E380" s="15" t="str">
        <f>IF(ISBLANK(Raw_Data!E380),AVERAGE(Raw_Data!E$2:E$5002),Raw_Data!E380)</f>
        <v>7860.48</v>
      </c>
      <c r="F380" s="15" t="str">
        <f>IF(ISBLANK(Raw_Data!F380),AVERAGE(Raw_Data!F$2:F$5002),Raw_Data!F380)</f>
        <v>4904.02</v>
      </c>
      <c r="G380" s="14" t="str">
        <f>IF(ISBLANK(Raw_Data!G380),AVERAGE(Raw_Data!G$2:G$5002),Raw_Data!G380)</f>
        <v>53.69</v>
      </c>
      <c r="H380" s="15" t="str">
        <f t="shared" si="1"/>
        <v>38966.00</v>
      </c>
      <c r="I380" s="14" t="str">
        <f t="shared" si="2"/>
        <v>38912.00</v>
      </c>
      <c r="J380" s="16" t="str">
        <f>TEXT(Raw_Data!J380,"MMM-YYY")</f>
        <v>Jul-2025</v>
      </c>
      <c r="K380" s="13" t="str">
        <f>Raw_Data!K380</f>
        <v>21</v>
      </c>
      <c r="L380" s="17" t="str">
        <f>Raw_Data!L380</f>
        <v>Delhi-North</v>
      </c>
      <c r="M380" s="13" t="str">
        <f t="shared" si="3"/>
        <v>OK</v>
      </c>
      <c r="N380" s="18" t="str">
        <f t="shared" si="4"/>
        <v>VALID</v>
      </c>
    </row>
    <row r="381" ht="15.75" customHeight="1">
      <c r="A381" s="13" t="str">
        <f>Raw_Data!A381</f>
        <v>EMP0392</v>
      </c>
      <c r="B381" s="13" t="str">
        <f>TRIM(CLEAN(Raw_Data!B381))</f>
        <v>Finance</v>
      </c>
      <c r="C381" s="18" t="s">
        <v>54</v>
      </c>
      <c r="D381" s="14" t="str">
        <f>IF(ISBLANK(Raw_Data!D381),AVERAGE(Raw_Data!D$2:D$5002),Raw_Data!D381)</f>
        <v>71831.17</v>
      </c>
      <c r="E381" s="15" t="str">
        <f>IF(ISBLANK(Raw_Data!E381),AVERAGE(Raw_Data!E$2:E$5002),Raw_Data!E381)</f>
        <v>13665.78</v>
      </c>
      <c r="F381" s="15" t="str">
        <f>IF(ISBLANK(Raw_Data!F381),AVERAGE(Raw_Data!F$2:F$5002),Raw_Data!F381)</f>
        <v>8691.75</v>
      </c>
      <c r="G381" s="14" t="str">
        <f>IF(ISBLANK(Raw_Data!G381),AVERAGE(Raw_Data!G$2:G$5002),Raw_Data!G381)</f>
        <v>4126.32</v>
      </c>
      <c r="H381" s="15" t="str">
        <f t="shared" si="1"/>
        <v>94189.00</v>
      </c>
      <c r="I381" s="14" t="str">
        <f t="shared" si="2"/>
        <v>90063.00</v>
      </c>
      <c r="J381" s="16" t="str">
        <f>TEXT(Raw_Data!J381,"MMM-YYY")</f>
        <v>Dec-2025</v>
      </c>
      <c r="K381" s="13" t="str">
        <f>Raw_Data!K381</f>
        <v>5</v>
      </c>
      <c r="L381" s="17" t="str">
        <f>Raw_Data!L381</f>
        <v>Bangalore-South</v>
      </c>
      <c r="M381" s="13" t="str">
        <f t="shared" si="3"/>
        <v>OK</v>
      </c>
      <c r="N381" s="18" t="str">
        <f t="shared" si="4"/>
        <v>VALID</v>
      </c>
    </row>
    <row r="382" ht="15.75" customHeight="1">
      <c r="A382" s="13" t="str">
        <f>Raw_Data!A382</f>
        <v>EMP0393</v>
      </c>
      <c r="B382" s="13" t="str">
        <f>TRIM(CLEAN(Raw_Data!B382))</f>
        <v>Operations</v>
      </c>
      <c r="C382" s="18" t="s">
        <v>14</v>
      </c>
      <c r="D382" s="14" t="str">
        <f>IF(ISBLANK(Raw_Data!D382),AVERAGE(Raw_Data!D$2:D$5002),Raw_Data!D382)</f>
        <v>19883.18</v>
      </c>
      <c r="E382" s="15" t="str">
        <f>IF(ISBLANK(Raw_Data!E382),AVERAGE(Raw_Data!E$2:E$5002),Raw_Data!E382)</f>
        <v>5964.95</v>
      </c>
      <c r="F382" s="15" t="str">
        <f>IF(ISBLANK(Raw_Data!F382),AVERAGE(Raw_Data!F$2:F$5002),Raw_Data!F382)</f>
        <v>1429.81</v>
      </c>
      <c r="G382" s="14" t="str">
        <f>IF(ISBLANK(Raw_Data!G382),AVERAGE(Raw_Data!G$2:G$5002),Raw_Data!G382)</f>
        <v>1409.53</v>
      </c>
      <c r="H382" s="15" t="str">
        <f t="shared" si="1"/>
        <v>27278.00</v>
      </c>
      <c r="I382" s="14" t="str">
        <f t="shared" si="2"/>
        <v>25868.00</v>
      </c>
      <c r="J382" s="16" t="str">
        <f>TEXT(Raw_Data!J382,"MMM-YYY")</f>
        <v>Nov-2025</v>
      </c>
      <c r="K382" s="13" t="str">
        <f>Raw_Data!K382</f>
        <v>12</v>
      </c>
      <c r="L382" s="17" t="str">
        <f>Raw_Data!L382</f>
        <v>Chennai-South</v>
      </c>
      <c r="M382" s="13" t="str">
        <f t="shared" si="3"/>
        <v>OK</v>
      </c>
      <c r="N382" s="18" t="str">
        <f t="shared" si="4"/>
        <v>VALID</v>
      </c>
    </row>
    <row r="383" ht="15.75" customHeight="1">
      <c r="A383" s="13" t="str">
        <f>Raw_Data!A383</f>
        <v>EMP0395</v>
      </c>
      <c r="B383" s="13" t="str">
        <f>TRIM(CLEAN(Raw_Data!B383))</f>
        <v>Customer Support</v>
      </c>
      <c r="C383" s="18" t="s">
        <v>33</v>
      </c>
      <c r="D383" s="14" t="str">
        <f>IF(ISBLANK(Raw_Data!D383),AVERAGE(Raw_Data!D$2:D$5002),Raw_Data!D383)</f>
        <v>31902.90</v>
      </c>
      <c r="E383" s="15" t="str">
        <f>IF(ISBLANK(Raw_Data!E383),AVERAGE(Raw_Data!E$2:E$5002),Raw_Data!E383)</f>
        <v>9570.87</v>
      </c>
      <c r="F383" s="15" t="str">
        <f>IF(ISBLANK(Raw_Data!F383),AVERAGE(Raw_Data!F$2:F$5002),Raw_Data!F383)</f>
        <v>4075.35</v>
      </c>
      <c r="G383" s="14" t="str">
        <f>IF(ISBLANK(Raw_Data!G383),AVERAGE(Raw_Data!G$2:G$5002),Raw_Data!G383)</f>
        <v>9002.70</v>
      </c>
      <c r="H383" s="15" t="str">
        <f t="shared" si="1"/>
        <v>45549.00</v>
      </c>
      <c r="I383" s="14" t="str">
        <f t="shared" si="2"/>
        <v>36546.00</v>
      </c>
      <c r="J383" s="16" t="str">
        <f>TEXT(Raw_Data!J383,"MMM-YYY")</f>
        <v>Jun-2025</v>
      </c>
      <c r="K383" s="13" t="str">
        <f>Raw_Data!K383</f>
        <v>12</v>
      </c>
      <c r="L383" s="17" t="str">
        <f>Raw_Data!L383</f>
        <v>Pune-West</v>
      </c>
      <c r="M383" s="13" t="str">
        <f t="shared" si="3"/>
        <v>OK</v>
      </c>
      <c r="N383" s="18" t="str">
        <f t="shared" si="4"/>
        <v>VALID</v>
      </c>
    </row>
    <row r="384" ht="15.75" customHeight="1">
      <c r="A384" s="13" t="str">
        <f>Raw_Data!A384</f>
        <v>EMP0396</v>
      </c>
      <c r="B384" s="13" t="str">
        <f>TRIM(CLEAN(Raw_Data!B384))</f>
        <v>Operations</v>
      </c>
      <c r="C384" s="18" t="s">
        <v>30</v>
      </c>
      <c r="D384" s="14" t="str">
        <f>IF(ISBLANK(Raw_Data!D384),AVERAGE(Raw_Data!D$2:D$5002),Raw_Data!D384)</f>
        <v>71831.17</v>
      </c>
      <c r="E384" s="15" t="str">
        <f>IF(ISBLANK(Raw_Data!E384),AVERAGE(Raw_Data!E$2:E$5002),Raw_Data!E384)</f>
        <v>7178.50</v>
      </c>
      <c r="F384" s="15" t="str">
        <f>IF(ISBLANK(Raw_Data!F384),AVERAGE(Raw_Data!F$2:F$5002),Raw_Data!F384)</f>
        <v>639.22</v>
      </c>
      <c r="G384" s="14" t="str">
        <f>IF(ISBLANK(Raw_Data!G384),AVERAGE(Raw_Data!G$2:G$5002),Raw_Data!G384)</f>
        <v>1099.64</v>
      </c>
      <c r="H384" s="15" t="str">
        <f t="shared" si="1"/>
        <v>79649.00</v>
      </c>
      <c r="I384" s="14" t="str">
        <f t="shared" si="2"/>
        <v>78549.00</v>
      </c>
      <c r="J384" s="16" t="str">
        <f>TEXT(Raw_Data!J384,"MMM-YYY")</f>
        <v>Dec-2025</v>
      </c>
      <c r="K384" s="13" t="str">
        <f>Raw_Data!K384</f>
        <v>13</v>
      </c>
      <c r="L384" s="17" t="str">
        <f>Raw_Data!L384</f>
        <v>Hyderabad-South</v>
      </c>
      <c r="M384" s="13" t="str">
        <f t="shared" si="3"/>
        <v>OK</v>
      </c>
      <c r="N384" s="18" t="str">
        <f t="shared" si="4"/>
        <v>VALID</v>
      </c>
    </row>
    <row r="385" ht="15.75" customHeight="1">
      <c r="A385" s="13" t="str">
        <f>Raw_Data!A385</f>
        <v>EMP0397</v>
      </c>
      <c r="B385" s="13" t="str">
        <f>TRIM(CLEAN(Raw_Data!B385))</f>
        <v>Operations</v>
      </c>
      <c r="C385" s="18" t="s">
        <v>33</v>
      </c>
      <c r="D385" s="14" t="str">
        <f>IF(ISBLANK(Raw_Data!D385),AVERAGE(Raw_Data!D$2:D$5002),Raw_Data!D385)</f>
        <v>29158.46</v>
      </c>
      <c r="E385" s="15" t="str">
        <f>IF(ISBLANK(Raw_Data!E385),AVERAGE(Raw_Data!E$2:E$5002),Raw_Data!E385)</f>
        <v>8747.54</v>
      </c>
      <c r="F385" s="15" t="str">
        <f>IF(ISBLANK(Raw_Data!F385),AVERAGE(Raw_Data!F$2:F$5002),Raw_Data!F385)</f>
        <v>3202.97</v>
      </c>
      <c r="G385" s="14" t="str">
        <f>IF(ISBLANK(Raw_Data!G385),AVERAGE(Raw_Data!G$2:G$5002),Raw_Data!G385)</f>
        <v>4118.59</v>
      </c>
      <c r="H385" s="15" t="str">
        <f t="shared" si="1"/>
        <v>41109.00</v>
      </c>
      <c r="I385" s="14" t="str">
        <f t="shared" si="2"/>
        <v>36990.00</v>
      </c>
      <c r="J385" s="16" t="str">
        <f>TEXT(Raw_Data!J385,"MMM-YYY")</f>
        <v>Sep-2025</v>
      </c>
      <c r="K385" s="13" t="str">
        <f>Raw_Data!K385</f>
        <v>20</v>
      </c>
      <c r="L385" s="17" t="str">
        <f>Raw_Data!L385</f>
        <v>Chandigarh-North</v>
      </c>
      <c r="M385" s="13" t="str">
        <f t="shared" si="3"/>
        <v>OK</v>
      </c>
      <c r="N385" s="18" t="str">
        <f t="shared" si="4"/>
        <v>VALID</v>
      </c>
    </row>
    <row r="386" ht="15.75" customHeight="1">
      <c r="A386" s="13" t="str">
        <f>Raw_Data!A386</f>
        <v>EMP0398</v>
      </c>
      <c r="B386" s="13" t="str">
        <f>TRIM(CLEAN(Raw_Data!B386))</f>
        <v>Customer Support</v>
      </c>
      <c r="C386" s="18" t="s">
        <v>18</v>
      </c>
      <c r="D386" s="14" t="str">
        <f>IF(ISBLANK(Raw_Data!D386),AVERAGE(Raw_Data!D$2:D$5002),Raw_Data!D386)</f>
        <v>86465.69</v>
      </c>
      <c r="E386" s="15" t="str">
        <f>IF(ISBLANK(Raw_Data!E386),AVERAGE(Raw_Data!E$2:E$5002),Raw_Data!E386)</f>
        <v>25939.71</v>
      </c>
      <c r="F386" s="15" t="str">
        <f>IF(ISBLANK(Raw_Data!F386),AVERAGE(Raw_Data!F$2:F$5002),Raw_Data!F386)</f>
        <v>13174.94</v>
      </c>
      <c r="G386" s="14" t="str">
        <f>IF(ISBLANK(Raw_Data!G386),AVERAGE(Raw_Data!G$2:G$5002),Raw_Data!G386)</f>
        <v>17647.87</v>
      </c>
      <c r="H386" s="15" t="str">
        <f t="shared" si="1"/>
        <v>125580.00</v>
      </c>
      <c r="I386" s="14" t="str">
        <f t="shared" si="2"/>
        <v>107932.00</v>
      </c>
      <c r="J386" s="16" t="str">
        <f>TEXT(Raw_Data!J386,"MMM-YYY")</f>
        <v>Oct-2025</v>
      </c>
      <c r="K386" s="13" t="str">
        <f>Raw_Data!K386</f>
        <v>7</v>
      </c>
      <c r="L386" s="17" t="str">
        <f>Raw_Data!L386</f>
        <v>Ahmedabad-West</v>
      </c>
      <c r="M386" s="13" t="str">
        <f t="shared" si="3"/>
        <v>OK</v>
      </c>
      <c r="N386" s="18" t="str">
        <f t="shared" si="4"/>
        <v>VALID</v>
      </c>
    </row>
    <row r="387" ht="15.75" customHeight="1">
      <c r="A387" s="13" t="str">
        <f>Raw_Data!A387</f>
        <v>EMP0399</v>
      </c>
      <c r="B387" s="13" t="str">
        <f>TRIM(CLEAN(Raw_Data!B387))</f>
        <v>Customer Support</v>
      </c>
      <c r="C387" s="18" t="s">
        <v>26</v>
      </c>
      <c r="D387" s="14" t="str">
        <f>IF(ISBLANK(Raw_Data!D387),AVERAGE(Raw_Data!D$2:D$5002),Raw_Data!D387)</f>
        <v>92947.33</v>
      </c>
      <c r="E387" s="15" t="str">
        <f>IF(ISBLANK(Raw_Data!E387),AVERAGE(Raw_Data!E$2:E$5002),Raw_Data!E387)</f>
        <v>27884.20</v>
      </c>
      <c r="F387" s="15" t="str">
        <f>IF(ISBLANK(Raw_Data!F387),AVERAGE(Raw_Data!F$2:F$5002),Raw_Data!F387)</f>
        <v>8304.81</v>
      </c>
      <c r="G387" s="14" t="str">
        <f>IF(ISBLANK(Raw_Data!G387),AVERAGE(Raw_Data!G$2:G$5002),Raw_Data!G387)</f>
        <v>19623.95</v>
      </c>
      <c r="H387" s="15" t="str">
        <f t="shared" si="1"/>
        <v>129136.00</v>
      </c>
      <c r="I387" s="14" t="str">
        <f t="shared" si="2"/>
        <v>109512.00</v>
      </c>
      <c r="J387" s="16" t="str">
        <f>TEXT(Raw_Data!J387,"MMM-YYY")</f>
        <v>Feb-2025</v>
      </c>
      <c r="K387" s="13" t="str">
        <f>Raw_Data!K387</f>
        <v>17</v>
      </c>
      <c r="L387" s="17" t="str">
        <f>Raw_Data!L387</f>
        <v>Jaipur-North</v>
      </c>
      <c r="M387" s="13" t="str">
        <f t="shared" si="3"/>
        <v>OK</v>
      </c>
      <c r="N387" s="18" t="str">
        <f t="shared" si="4"/>
        <v>VALID</v>
      </c>
    </row>
    <row r="388" ht="15.75" customHeight="1">
      <c r="A388" s="13" t="str">
        <f>Raw_Data!A388</f>
        <v>EMP0400</v>
      </c>
      <c r="B388" s="13" t="str">
        <f>TRIM(CLEAN(Raw_Data!B388))</f>
        <v>Operations</v>
      </c>
      <c r="C388" s="18" t="s">
        <v>14</v>
      </c>
      <c r="D388" s="14" t="str">
        <f>IF(ISBLANK(Raw_Data!D388),AVERAGE(Raw_Data!D$2:D$5002),Raw_Data!D388)</f>
        <v>18444.66</v>
      </c>
      <c r="E388" s="15" t="str">
        <f>IF(ISBLANK(Raw_Data!E388),AVERAGE(Raw_Data!E$2:E$5002),Raw_Data!E388)</f>
        <v>5533.40</v>
      </c>
      <c r="F388" s="15" t="str">
        <f>IF(ISBLANK(Raw_Data!F388),AVERAGE(Raw_Data!F$2:F$5002),Raw_Data!F388)</f>
        <v>2020.24</v>
      </c>
      <c r="G388" s="14" t="str">
        <f>IF(ISBLANK(Raw_Data!G388),AVERAGE(Raw_Data!G$2:G$5002),Raw_Data!G388)</f>
        <v>2797.06</v>
      </c>
      <c r="H388" s="15" t="str">
        <f t="shared" si="1"/>
        <v>25998.00</v>
      </c>
      <c r="I388" s="14" t="str">
        <f t="shared" si="2"/>
        <v>23201.00</v>
      </c>
      <c r="J388" s="16" t="str">
        <f>TEXT(Raw_Data!J388,"MMM-YYY")</f>
        <v>Oct-2025</v>
      </c>
      <c r="K388" s="13" t="str">
        <f>Raw_Data!K388</f>
        <v>21</v>
      </c>
      <c r="L388" s="17" t="str">
        <f>Raw_Data!L388</f>
        <v>Mumbai-HO</v>
      </c>
      <c r="M388" s="13" t="str">
        <f t="shared" si="3"/>
        <v>OK</v>
      </c>
      <c r="N388" s="18" t="str">
        <f t="shared" si="4"/>
        <v>VALID</v>
      </c>
    </row>
    <row r="389" ht="15.75" customHeight="1">
      <c r="A389" s="13" t="str">
        <f>Raw_Data!A389</f>
        <v>EMP0401</v>
      </c>
      <c r="B389" s="13" t="str">
        <f>TRIM(CLEAN(Raw_Data!B389))</f>
        <v>Operations</v>
      </c>
      <c r="C389" s="18" t="s">
        <v>30</v>
      </c>
      <c r="D389" s="14" t="str">
        <f>IF(ISBLANK(Raw_Data!D389),AVERAGE(Raw_Data!D$2:D$5002),Raw_Data!D389)</f>
        <v>23447.93</v>
      </c>
      <c r="E389" s="15" t="str">
        <f>IF(ISBLANK(Raw_Data!E389),AVERAGE(Raw_Data!E$2:E$5002),Raw_Data!E389)</f>
        <v>7034.38</v>
      </c>
      <c r="F389" s="15" t="str">
        <f>IF(ISBLANK(Raw_Data!F389),AVERAGE(Raw_Data!F$2:F$5002),Raw_Data!F389)</f>
        <v>4007.19</v>
      </c>
      <c r="G389" s="14" t="str">
        <f>IF(ISBLANK(Raw_Data!G389),AVERAGE(Raw_Data!G$2:G$5002),Raw_Data!G389)</f>
        <v>3108.07</v>
      </c>
      <c r="H389" s="15" t="str">
        <f t="shared" si="1"/>
        <v>34490.00</v>
      </c>
      <c r="I389" s="14" t="str">
        <f t="shared" si="2"/>
        <v>31382.00</v>
      </c>
      <c r="J389" s="16" t="str">
        <f>TEXT(Raw_Data!J389,"MMM-YYY")</f>
        <v>Nov-2025</v>
      </c>
      <c r="K389" s="13" t="str">
        <f>Raw_Data!K389</f>
        <v>8</v>
      </c>
      <c r="L389" s="17" t="str">
        <f>Raw_Data!L389</f>
        <v>Delhi-North</v>
      </c>
      <c r="M389" s="13" t="str">
        <f t="shared" si="3"/>
        <v>OK</v>
      </c>
      <c r="N389" s="18" t="str">
        <f t="shared" si="4"/>
        <v>VALID</v>
      </c>
    </row>
    <row r="390" ht="15.75" customHeight="1">
      <c r="A390" s="13" t="str">
        <f>Raw_Data!A390</f>
        <v>EMP0402</v>
      </c>
      <c r="B390" s="13" t="str">
        <f>TRIM(CLEAN(Raw_Data!B390))</f>
        <v>Finance</v>
      </c>
      <c r="C390" s="18" t="s">
        <v>18</v>
      </c>
      <c r="D390" s="14" t="str">
        <f>IF(ISBLANK(Raw_Data!D390),AVERAGE(Raw_Data!D$2:D$5002),Raw_Data!D390)</f>
        <v>80161.84</v>
      </c>
      <c r="E390" s="15" t="str">
        <f>IF(ISBLANK(Raw_Data!E390),AVERAGE(Raw_Data!E$2:E$5002),Raw_Data!E390)</f>
        <v>24048.55</v>
      </c>
      <c r="F390" s="15" t="str">
        <f>IF(ISBLANK(Raw_Data!F390),AVERAGE(Raw_Data!F$2:F$5002),Raw_Data!F390)</f>
        <v>1458.01</v>
      </c>
      <c r="G390" s="14" t="str">
        <f>IF(ISBLANK(Raw_Data!G390),AVERAGE(Raw_Data!G$2:G$5002),Raw_Data!G390)</f>
        <v>12273.79</v>
      </c>
      <c r="H390" s="15" t="str">
        <f t="shared" si="1"/>
        <v>105668.00</v>
      </c>
      <c r="I390" s="14" t="str">
        <f t="shared" si="2"/>
        <v>93394.00</v>
      </c>
      <c r="J390" s="16" t="str">
        <f>TEXT(Raw_Data!J390,"MMM-YYY")</f>
        <v>Jan-2025</v>
      </c>
      <c r="K390" s="13" t="str">
        <f>Raw_Data!K390</f>
        <v>12</v>
      </c>
      <c r="L390" s="17" t="str">
        <f>Raw_Data!L390</f>
        <v>Bangalore-South</v>
      </c>
      <c r="M390" s="13" t="str">
        <f t="shared" si="3"/>
        <v>OK</v>
      </c>
      <c r="N390" s="18" t="str">
        <f t="shared" si="4"/>
        <v>VALID</v>
      </c>
    </row>
    <row r="391" ht="15.75" customHeight="1">
      <c r="A391" s="13" t="str">
        <f>Raw_Data!A391</f>
        <v>EMP0403</v>
      </c>
      <c r="B391" s="13" t="str">
        <f>TRIM(CLEAN(Raw_Data!B391))</f>
        <v>Marketing</v>
      </c>
      <c r="C391" s="18" t="s">
        <v>30</v>
      </c>
      <c r="D391" s="14" t="str">
        <f>IF(ISBLANK(Raw_Data!D391),AVERAGE(Raw_Data!D$2:D$5002),Raw_Data!D391)</f>
        <v>26516.58</v>
      </c>
      <c r="E391" s="15" t="str">
        <f>IF(ISBLANK(Raw_Data!E391),AVERAGE(Raw_Data!E$2:E$5002),Raw_Data!E391)</f>
        <v>7954.97</v>
      </c>
      <c r="F391" s="15" t="str">
        <f>IF(ISBLANK(Raw_Data!F391),AVERAGE(Raw_Data!F$2:F$5002),Raw_Data!F391)</f>
        <v>2422.55</v>
      </c>
      <c r="G391" s="14" t="str">
        <f>IF(ISBLANK(Raw_Data!G391),AVERAGE(Raw_Data!G$2:G$5002),Raw_Data!G391)</f>
        <v>459.29</v>
      </c>
      <c r="H391" s="15" t="str">
        <f t="shared" si="1"/>
        <v>36894.00</v>
      </c>
      <c r="I391" s="14" t="str">
        <f t="shared" si="2"/>
        <v>36435.00</v>
      </c>
      <c r="J391" s="16" t="str">
        <f>TEXT(Raw_Data!J391,"MMM-YYY")</f>
        <v>Aug-2025</v>
      </c>
      <c r="K391" s="13" t="str">
        <f>Raw_Data!K391</f>
        <v>20</v>
      </c>
      <c r="L391" s="17" t="str">
        <f>Raw_Data!L391</f>
        <v>Chennai-South</v>
      </c>
      <c r="M391" s="13" t="str">
        <f t="shared" si="3"/>
        <v>OK</v>
      </c>
      <c r="N391" s="18" t="str">
        <f t="shared" si="4"/>
        <v>VALID</v>
      </c>
    </row>
    <row r="392" ht="15.75" customHeight="1">
      <c r="A392" s="13" t="str">
        <f>Raw_Data!A392</f>
        <v>EMP0404</v>
      </c>
      <c r="B392" s="13" t="str">
        <f>TRIM(CLEAN(Raw_Data!B392))</f>
        <v>Sales</v>
      </c>
      <c r="C392" s="18" t="s">
        <v>26</v>
      </c>
      <c r="D392" s="14" t="str">
        <f>IF(ISBLANK(Raw_Data!D392),AVERAGE(Raw_Data!D$2:D$5002),Raw_Data!D392)</f>
        <v>101094.10</v>
      </c>
      <c r="E392" s="15" t="str">
        <f>IF(ISBLANK(Raw_Data!E392),AVERAGE(Raw_Data!E$2:E$5002),Raw_Data!E392)</f>
        <v>30328.23</v>
      </c>
      <c r="F392" s="15" t="str">
        <f>IF(ISBLANK(Raw_Data!F392),AVERAGE(Raw_Data!F$2:F$5002),Raw_Data!F392)</f>
        <v>440.17</v>
      </c>
      <c r="G392" s="14" t="str">
        <f>IF(ISBLANK(Raw_Data!G392),AVERAGE(Raw_Data!G$2:G$5002),Raw_Data!G392)</f>
        <v>7717.24</v>
      </c>
      <c r="H392" s="15" t="str">
        <f t="shared" si="1"/>
        <v>131863.00</v>
      </c>
      <c r="I392" s="14" t="str">
        <f t="shared" si="2"/>
        <v>124146.00</v>
      </c>
      <c r="J392" s="16" t="str">
        <f>TEXT(Raw_Data!J392,"MMM-YYY")</f>
        <v>Jan-2025</v>
      </c>
      <c r="K392" s="13" t="str">
        <f>Raw_Data!K392</f>
        <v>11</v>
      </c>
      <c r="L392" s="17" t="str">
        <f>Raw_Data!L392</f>
        <v>Kolkata-East</v>
      </c>
      <c r="M392" s="13" t="str">
        <f t="shared" si="3"/>
        <v>OK</v>
      </c>
      <c r="N392" s="18" t="str">
        <f t="shared" si="4"/>
        <v>VALID</v>
      </c>
    </row>
    <row r="393" ht="15.75" customHeight="1">
      <c r="A393" s="13" t="str">
        <f>Raw_Data!A393</f>
        <v>EMP0405</v>
      </c>
      <c r="B393" s="13" t="str">
        <f>TRIM(CLEAN(Raw_Data!B393))</f>
        <v>Sales</v>
      </c>
      <c r="C393" s="18" t="s">
        <v>30</v>
      </c>
      <c r="D393" s="14" t="str">
        <f>IF(ISBLANK(Raw_Data!D393),AVERAGE(Raw_Data!D$2:D$5002),Raw_Data!D393)</f>
        <v>27089.14</v>
      </c>
      <c r="E393" s="15" t="str">
        <f>IF(ISBLANK(Raw_Data!E393),AVERAGE(Raw_Data!E$2:E$5002),Raw_Data!E393)</f>
        <v>8126.74</v>
      </c>
      <c r="F393" s="15" t="str">
        <f>IF(ISBLANK(Raw_Data!F393),AVERAGE(Raw_Data!F$2:F$5002),Raw_Data!F393)</f>
        <v>245.37</v>
      </c>
      <c r="G393" s="14" t="str">
        <f>IF(ISBLANK(Raw_Data!G393),AVERAGE(Raw_Data!G$2:G$5002),Raw_Data!G393)</f>
        <v>2799.90</v>
      </c>
      <c r="H393" s="15" t="str">
        <f t="shared" si="1"/>
        <v>35461.00</v>
      </c>
      <c r="I393" s="14" t="str">
        <f t="shared" si="2"/>
        <v>32661.00</v>
      </c>
      <c r="J393" s="16" t="str">
        <f>TEXT(Raw_Data!J393,"MMM-YYY")</f>
        <v>Feb-2025</v>
      </c>
      <c r="K393" s="13" t="str">
        <f>Raw_Data!K393</f>
        <v>5</v>
      </c>
      <c r="L393" s="17" t="str">
        <f>Raw_Data!L393</f>
        <v>Pune-West</v>
      </c>
      <c r="M393" s="13" t="str">
        <f t="shared" si="3"/>
        <v>OK</v>
      </c>
      <c r="N393" s="18" t="str">
        <f t="shared" si="4"/>
        <v>VALID</v>
      </c>
    </row>
    <row r="394" ht="15.75" customHeight="1">
      <c r="A394" s="13" t="str">
        <f>Raw_Data!A394</f>
        <v>EMP0406</v>
      </c>
      <c r="B394" s="13" t="str">
        <f>TRIM(CLEAN(Raw_Data!B394))</f>
        <v>Operations</v>
      </c>
      <c r="C394" s="18" t="s">
        <v>14</v>
      </c>
      <c r="D394" s="14" t="str">
        <f>IF(ISBLANK(Raw_Data!D394),AVERAGE(Raw_Data!D$2:D$5002),Raw_Data!D394)</f>
        <v>24729.00</v>
      </c>
      <c r="E394" s="15" t="str">
        <f>IF(ISBLANK(Raw_Data!E394),AVERAGE(Raw_Data!E$2:E$5002),Raw_Data!E394)</f>
        <v>7418.70</v>
      </c>
      <c r="F394" s="15" t="str">
        <f>IF(ISBLANK(Raw_Data!F394),AVERAGE(Raw_Data!F$2:F$5002),Raw_Data!F394)</f>
        <v>341.35</v>
      </c>
      <c r="G394" s="14" t="str">
        <f>IF(ISBLANK(Raw_Data!G394),AVERAGE(Raw_Data!G$2:G$5002),Raw_Data!G394)</f>
        <v>6927.40</v>
      </c>
      <c r="H394" s="15" t="str">
        <f t="shared" si="1"/>
        <v>32489.00</v>
      </c>
      <c r="I394" s="14" t="str">
        <f t="shared" si="2"/>
        <v>25562.00</v>
      </c>
      <c r="J394" s="16" t="str">
        <f>TEXT(Raw_Data!J394,"MMM-YYY")</f>
        <v>Jan-2025</v>
      </c>
      <c r="K394" s="13" t="str">
        <f>Raw_Data!K394</f>
        <v>24</v>
      </c>
      <c r="L394" s="17" t="str">
        <f>Raw_Data!L394</f>
        <v>Hyderabad-South</v>
      </c>
      <c r="M394" s="13" t="str">
        <f t="shared" si="3"/>
        <v>OK</v>
      </c>
      <c r="N394" s="18" t="str">
        <f t="shared" si="4"/>
        <v>VALID</v>
      </c>
    </row>
    <row r="395" ht="15.75" customHeight="1">
      <c r="A395" s="13" t="str">
        <f>Raw_Data!A395</f>
        <v>EMP0407</v>
      </c>
      <c r="B395" s="13" t="str">
        <f>TRIM(CLEAN(Raw_Data!B395))</f>
        <v>IT</v>
      </c>
      <c r="C395" s="18" t="s">
        <v>54</v>
      </c>
      <c r="D395" s="14" t="str">
        <f>IF(ISBLANK(Raw_Data!D395),AVERAGE(Raw_Data!D$2:D$5002),Raw_Data!D395)</f>
        <v>37519.74</v>
      </c>
      <c r="E395" s="15" t="str">
        <f>IF(ISBLANK(Raw_Data!E395),AVERAGE(Raw_Data!E$2:E$5002),Raw_Data!E395)</f>
        <v>11255.92</v>
      </c>
      <c r="F395" s="15" t="str">
        <f>IF(ISBLANK(Raw_Data!F395),AVERAGE(Raw_Data!F$2:F$5002),Raw_Data!F395)</f>
        <v>1016.25</v>
      </c>
      <c r="G395" s="14" t="str">
        <f>IF(ISBLANK(Raw_Data!G395),AVERAGE(Raw_Data!G$2:G$5002),Raw_Data!G395)</f>
        <v>7220.96</v>
      </c>
      <c r="H395" s="15" t="str">
        <f t="shared" si="1"/>
        <v>49792.00</v>
      </c>
      <c r="I395" s="14" t="str">
        <f t="shared" si="2"/>
        <v>42571.00</v>
      </c>
      <c r="J395" s="16" t="str">
        <f>TEXT(Raw_Data!J395,"MMM-YYY")</f>
        <v>Dec-2025</v>
      </c>
      <c r="K395" s="13" t="str">
        <f>Raw_Data!K395</f>
        <v>23</v>
      </c>
      <c r="L395" s="17" t="str">
        <f>Raw_Data!L395</f>
        <v>Chandigarh-North</v>
      </c>
      <c r="M395" s="13" t="str">
        <f t="shared" si="3"/>
        <v>OK</v>
      </c>
      <c r="N395" s="18" t="str">
        <f t="shared" si="4"/>
        <v>VALID</v>
      </c>
    </row>
    <row r="396" ht="15.75" customHeight="1">
      <c r="A396" s="13" t="str">
        <f>Raw_Data!A396</f>
        <v>EMP0408</v>
      </c>
      <c r="B396" s="13" t="str">
        <f>TRIM(CLEAN(Raw_Data!B396))</f>
        <v>Sales</v>
      </c>
      <c r="C396" s="18" t="s">
        <v>54</v>
      </c>
      <c r="D396" s="14" t="str">
        <f>IF(ISBLANK(Raw_Data!D396),AVERAGE(Raw_Data!D$2:D$5002),Raw_Data!D396)</f>
        <v>40242.45</v>
      </c>
      <c r="E396" s="15" t="str">
        <f>IF(ISBLANK(Raw_Data!E396),AVERAGE(Raw_Data!E$2:E$5002),Raw_Data!E396)</f>
        <v>12072.73</v>
      </c>
      <c r="F396" s="15" t="str">
        <f>IF(ISBLANK(Raw_Data!F396),AVERAGE(Raw_Data!F$2:F$5002),Raw_Data!F396)</f>
        <v>7173.89</v>
      </c>
      <c r="G396" s="14" t="str">
        <f>IF(ISBLANK(Raw_Data!G396),AVERAGE(Raw_Data!G$2:G$5002),Raw_Data!G396)</f>
        <v>5415.07</v>
      </c>
      <c r="H396" s="15" t="str">
        <f t="shared" si="1"/>
        <v>59489.00</v>
      </c>
      <c r="I396" s="14" t="str">
        <f t="shared" si="2"/>
        <v>54074.00</v>
      </c>
      <c r="J396" s="16" t="str">
        <f>TEXT(Raw_Data!J396,"MMM-YYY")</f>
        <v>Jul-2025</v>
      </c>
      <c r="K396" s="13" t="str">
        <f>Raw_Data!K396</f>
        <v>18</v>
      </c>
      <c r="L396" s="17" t="str">
        <f>Raw_Data!L396</f>
        <v>Ahmedabad-West</v>
      </c>
      <c r="M396" s="13" t="str">
        <f t="shared" si="3"/>
        <v>OK</v>
      </c>
      <c r="N396" s="18" t="str">
        <f t="shared" si="4"/>
        <v>VALID</v>
      </c>
    </row>
    <row r="397" ht="15.75" customHeight="1">
      <c r="A397" s="13" t="str">
        <f>Raw_Data!A397</f>
        <v>EMP0410</v>
      </c>
      <c r="B397" s="13" t="str">
        <f>TRIM(CLEAN(Raw_Data!B397))</f>
        <v>Customer Support</v>
      </c>
      <c r="C397" s="18" t="s">
        <v>33</v>
      </c>
      <c r="D397" s="14" t="str">
        <f>IF(ISBLANK(Raw_Data!D397),AVERAGE(Raw_Data!D$2:D$5002),Raw_Data!D397)</f>
        <v>26186.33</v>
      </c>
      <c r="E397" s="15" t="str">
        <f>IF(ISBLANK(Raw_Data!E397),AVERAGE(Raw_Data!E$2:E$5002),Raw_Data!E397)</f>
        <v>7855.90</v>
      </c>
      <c r="F397" s="15" t="str">
        <f>IF(ISBLANK(Raw_Data!F397),AVERAGE(Raw_Data!F$2:F$5002),Raw_Data!F397)</f>
        <v>5199.80</v>
      </c>
      <c r="G397" s="14" t="str">
        <f>IF(ISBLANK(Raw_Data!G397),AVERAGE(Raw_Data!G$2:G$5002),Raw_Data!G397)</f>
        <v>3087.83</v>
      </c>
      <c r="H397" s="15" t="str">
        <f t="shared" si="1"/>
        <v>39242.00</v>
      </c>
      <c r="I397" s="14" t="str">
        <f t="shared" si="2"/>
        <v>36154.00</v>
      </c>
      <c r="J397" s="16" t="str">
        <f>TEXT(Raw_Data!J397,"MMM-YYY")</f>
        <v>Mar-2025</v>
      </c>
      <c r="K397" s="13" t="str">
        <f>Raw_Data!K397</f>
        <v>25</v>
      </c>
      <c r="L397" s="17" t="str">
        <f>Raw_Data!L397</f>
        <v>Mumbai-HO</v>
      </c>
      <c r="M397" s="13" t="str">
        <f t="shared" si="3"/>
        <v>OK</v>
      </c>
      <c r="N397" s="18" t="str">
        <f t="shared" si="4"/>
        <v>VALID</v>
      </c>
    </row>
    <row r="398" ht="15.75" customHeight="1">
      <c r="A398" s="13" t="str">
        <f>Raw_Data!A398</f>
        <v>EMP0411</v>
      </c>
      <c r="B398" s="13" t="str">
        <f>TRIM(CLEAN(Raw_Data!B398))</f>
        <v>Sales</v>
      </c>
      <c r="C398" s="18" t="s">
        <v>30</v>
      </c>
      <c r="D398" s="14" t="str">
        <f>IF(ISBLANK(Raw_Data!D398),AVERAGE(Raw_Data!D$2:D$5002),Raw_Data!D398)</f>
        <v>29346.43</v>
      </c>
      <c r="E398" s="15" t="str">
        <f>IF(ISBLANK(Raw_Data!E398),AVERAGE(Raw_Data!E$2:E$5002),Raw_Data!E398)</f>
        <v>8803.93</v>
      </c>
      <c r="F398" s="15" t="str">
        <f>IF(ISBLANK(Raw_Data!F398),AVERAGE(Raw_Data!F$2:F$5002),Raw_Data!F398)</f>
        <v>4438.23</v>
      </c>
      <c r="G398" s="14" t="str">
        <f>IF(ISBLANK(Raw_Data!G398),AVERAGE(Raw_Data!G$2:G$5002),Raw_Data!G398)</f>
        <v>8614.56</v>
      </c>
      <c r="H398" s="15" t="str">
        <f t="shared" si="1"/>
        <v>42589.00</v>
      </c>
      <c r="I398" s="14" t="str">
        <f t="shared" si="2"/>
        <v>33974.00</v>
      </c>
      <c r="J398" s="16" t="str">
        <f>TEXT(Raw_Data!J398,"MMM-YYY")</f>
        <v>Aug-2025</v>
      </c>
      <c r="K398" s="13" t="str">
        <f>Raw_Data!K398</f>
        <v>5</v>
      </c>
      <c r="L398" s="17" t="str">
        <f>Raw_Data!L398</f>
        <v>Delhi-North</v>
      </c>
      <c r="M398" s="13" t="str">
        <f t="shared" si="3"/>
        <v>OK</v>
      </c>
      <c r="N398" s="18" t="str">
        <f t="shared" si="4"/>
        <v>VALID</v>
      </c>
    </row>
    <row r="399" ht="15.75" customHeight="1">
      <c r="A399" s="13" t="str">
        <f>Raw_Data!A399</f>
        <v>EMP0412</v>
      </c>
      <c r="B399" s="13" t="str">
        <f>TRIM(CLEAN(Raw_Data!B399))</f>
        <v>Sales</v>
      </c>
      <c r="C399" s="18" t="s">
        <v>18</v>
      </c>
      <c r="D399" s="14" t="str">
        <f>IF(ISBLANK(Raw_Data!D399),AVERAGE(Raw_Data!D$2:D$5002),Raw_Data!D399)</f>
        <v>79155.58</v>
      </c>
      <c r="E399" s="15" t="str">
        <f>IF(ISBLANK(Raw_Data!E399),AVERAGE(Raw_Data!E$2:E$5002),Raw_Data!E399)</f>
        <v>23746.67</v>
      </c>
      <c r="F399" s="15" t="str">
        <f>IF(ISBLANK(Raw_Data!F399),AVERAGE(Raw_Data!F$2:F$5002),Raw_Data!F399)</f>
        <v>8421.10</v>
      </c>
      <c r="G399" s="14" t="str">
        <f>IF(ISBLANK(Raw_Data!G399),AVERAGE(Raw_Data!G$2:G$5002),Raw_Data!G399)</f>
        <v>19552.07</v>
      </c>
      <c r="H399" s="15" t="str">
        <f t="shared" si="1"/>
        <v>111323.00</v>
      </c>
      <c r="I399" s="14" t="str">
        <f t="shared" si="2"/>
        <v>91771.00</v>
      </c>
      <c r="J399" s="16" t="str">
        <f>TEXT(Raw_Data!J399,"MMM-YYY")</f>
        <v>Apr-2025</v>
      </c>
      <c r="K399" s="13" t="str">
        <f>Raw_Data!K399</f>
        <v>3</v>
      </c>
      <c r="L399" s="17" t="str">
        <f>Raw_Data!L399</f>
        <v>Bangalore-South</v>
      </c>
      <c r="M399" s="13" t="str">
        <f t="shared" si="3"/>
        <v>OK</v>
      </c>
      <c r="N399" s="18" t="str">
        <f t="shared" si="4"/>
        <v>VALID</v>
      </c>
    </row>
    <row r="400" ht="15.75" customHeight="1">
      <c r="A400" s="13" t="str">
        <f>Raw_Data!A400</f>
        <v>EMP0413</v>
      </c>
      <c r="B400" s="13" t="str">
        <f>TRIM(CLEAN(Raw_Data!B400))</f>
        <v>Marketing</v>
      </c>
      <c r="C400" s="18" t="s">
        <v>33</v>
      </c>
      <c r="D400" s="14" t="str">
        <f>IF(ISBLANK(Raw_Data!D400),AVERAGE(Raw_Data!D$2:D$5002),Raw_Data!D400)</f>
        <v>26551.21</v>
      </c>
      <c r="E400" s="15" t="str">
        <f>IF(ISBLANK(Raw_Data!E400),AVERAGE(Raw_Data!E$2:E$5002),Raw_Data!E400)</f>
        <v>7965.36</v>
      </c>
      <c r="F400" s="15" t="str">
        <f>IF(ISBLANK(Raw_Data!F400),AVERAGE(Raw_Data!F$2:F$5002),Raw_Data!F400)</f>
        <v>1000.88</v>
      </c>
      <c r="G400" s="14" t="str">
        <f>IF(ISBLANK(Raw_Data!G400),AVERAGE(Raw_Data!G$2:G$5002),Raw_Data!G400)</f>
        <v>6971.35</v>
      </c>
      <c r="H400" s="15" t="str">
        <f t="shared" si="1"/>
        <v>35517.00</v>
      </c>
      <c r="I400" s="14" t="str">
        <f t="shared" si="2"/>
        <v>28546.00</v>
      </c>
      <c r="J400" s="16" t="str">
        <f>TEXT(Raw_Data!J400,"MMM-YYY")</f>
        <v>Feb-2025</v>
      </c>
      <c r="K400" s="13" t="str">
        <f>Raw_Data!K400</f>
        <v>23</v>
      </c>
      <c r="L400" s="17" t="str">
        <f>Raw_Data!L400</f>
        <v>Chennai-South</v>
      </c>
      <c r="M400" s="13" t="str">
        <f t="shared" si="3"/>
        <v>OK</v>
      </c>
      <c r="N400" s="18" t="str">
        <f t="shared" si="4"/>
        <v>VALID</v>
      </c>
    </row>
    <row r="401" ht="15.75" customHeight="1">
      <c r="A401" s="13" t="str">
        <f>Raw_Data!A401</f>
        <v>EMP0414</v>
      </c>
      <c r="B401" s="13" t="str">
        <f>TRIM(CLEAN(Raw_Data!B401))</f>
        <v>HR</v>
      </c>
      <c r="C401" s="18" t="s">
        <v>26</v>
      </c>
      <c r="D401" s="14" t="str">
        <f>IF(ISBLANK(Raw_Data!D401),AVERAGE(Raw_Data!D$2:D$5002),Raw_Data!D401)</f>
        <v>71831.17</v>
      </c>
      <c r="E401" s="15" t="str">
        <f>IF(ISBLANK(Raw_Data!E401),AVERAGE(Raw_Data!E$2:E$5002),Raw_Data!E401)</f>
        <v>34130.14</v>
      </c>
      <c r="F401" s="15" t="str">
        <f>IF(ISBLANK(Raw_Data!F401),AVERAGE(Raw_Data!F$2:F$5002),Raw_Data!F401)</f>
        <v>13991.61</v>
      </c>
      <c r="G401" s="14" t="str">
        <f>IF(ISBLANK(Raw_Data!G401),AVERAGE(Raw_Data!G$2:G$5002),Raw_Data!G401)</f>
        <v>31953.93</v>
      </c>
      <c r="H401" s="15" t="str">
        <f t="shared" si="1"/>
        <v>119953.00</v>
      </c>
      <c r="I401" s="14" t="str">
        <f t="shared" si="2"/>
        <v>87999.00</v>
      </c>
      <c r="J401" s="16" t="str">
        <f>TEXT(Raw_Data!J401,"MMM-YYY")</f>
        <v>Jan-2025</v>
      </c>
      <c r="K401" s="13" t="str">
        <f>Raw_Data!K401</f>
        <v>5</v>
      </c>
      <c r="L401" s="17" t="str">
        <f>Raw_Data!L401</f>
        <v>Kolkata-East</v>
      </c>
      <c r="M401" s="13" t="str">
        <f t="shared" si="3"/>
        <v>OK</v>
      </c>
      <c r="N401" s="18" t="str">
        <f t="shared" si="4"/>
        <v>VALID</v>
      </c>
    </row>
    <row r="402" ht="15.75" customHeight="1">
      <c r="A402" s="13" t="str">
        <f>Raw_Data!A402</f>
        <v>EMP0415</v>
      </c>
      <c r="B402" s="13" t="str">
        <f>TRIM(CLEAN(Raw_Data!B402))</f>
        <v>Finance</v>
      </c>
      <c r="C402" s="18" t="s">
        <v>30</v>
      </c>
      <c r="D402" s="14" t="str">
        <f>IF(ISBLANK(Raw_Data!D402),AVERAGE(Raw_Data!D$2:D$5002),Raw_Data!D402)</f>
        <v>22592.16</v>
      </c>
      <c r="E402" s="15" t="str">
        <f>IF(ISBLANK(Raw_Data!E402),AVERAGE(Raw_Data!E$2:E$5002),Raw_Data!E402)</f>
        <v>6777.65</v>
      </c>
      <c r="F402" s="15" t="str">
        <f>IF(ISBLANK(Raw_Data!F402),AVERAGE(Raw_Data!F$2:F$5002),Raw_Data!F402)</f>
        <v>2683.70</v>
      </c>
      <c r="G402" s="14" t="str">
        <f>IF(ISBLANK(Raw_Data!G402),AVERAGE(Raw_Data!G$2:G$5002),Raw_Data!G402)</f>
        <v>3025.82</v>
      </c>
      <c r="H402" s="15" t="str">
        <f t="shared" si="1"/>
        <v>32054.00</v>
      </c>
      <c r="I402" s="14" t="str">
        <f t="shared" si="2"/>
        <v>29028.00</v>
      </c>
      <c r="J402" s="16" t="str">
        <f>TEXT(Raw_Data!J402,"MMM-YYY")</f>
        <v>Nov-2025</v>
      </c>
      <c r="K402" s="13" t="str">
        <f>Raw_Data!K402</f>
        <v>21</v>
      </c>
      <c r="L402" s="17" t="str">
        <f>Raw_Data!L402</f>
        <v>Pune-West</v>
      </c>
      <c r="M402" s="13" t="str">
        <f t="shared" si="3"/>
        <v>OK</v>
      </c>
      <c r="N402" s="18" t="str">
        <f t="shared" si="4"/>
        <v>VALID</v>
      </c>
    </row>
    <row r="403" ht="15.75" customHeight="1">
      <c r="A403" s="13" t="str">
        <f>Raw_Data!A403</f>
        <v>EMP0416</v>
      </c>
      <c r="B403" s="13" t="str">
        <f>TRIM(CLEAN(Raw_Data!B403))</f>
        <v>Sales</v>
      </c>
      <c r="C403" s="18" t="s">
        <v>26</v>
      </c>
      <c r="D403" s="14" t="str">
        <f>IF(ISBLANK(Raw_Data!D403),AVERAGE(Raw_Data!D$2:D$5002),Raw_Data!D403)</f>
        <v>91752.35</v>
      </c>
      <c r="E403" s="15" t="str">
        <f>IF(ISBLANK(Raw_Data!E403),AVERAGE(Raw_Data!E$2:E$5002),Raw_Data!E403)</f>
        <v>27525.71</v>
      </c>
      <c r="F403" s="15" t="str">
        <f>IF(ISBLANK(Raw_Data!F403),AVERAGE(Raw_Data!F$2:F$5002),Raw_Data!F403)</f>
        <v>13589.28</v>
      </c>
      <c r="G403" s="14" t="str">
        <f>IF(ISBLANK(Raw_Data!G403),AVERAGE(Raw_Data!G$2:G$5002),Raw_Data!G403)</f>
        <v>11072.64</v>
      </c>
      <c r="H403" s="15" t="str">
        <f t="shared" si="1"/>
        <v>132867.00</v>
      </c>
      <c r="I403" s="14" t="str">
        <f t="shared" si="2"/>
        <v>121794.00</v>
      </c>
      <c r="J403" s="16" t="str">
        <f>TEXT(Raw_Data!J403,"MMM-YYY")</f>
        <v>Apr-2025</v>
      </c>
      <c r="K403" s="13" t="str">
        <f>Raw_Data!K403</f>
        <v>3</v>
      </c>
      <c r="L403" s="17" t="str">
        <f>Raw_Data!L403</f>
        <v>Hyderabad-South</v>
      </c>
      <c r="M403" s="13" t="str">
        <f t="shared" si="3"/>
        <v>OK</v>
      </c>
      <c r="N403" s="18" t="str">
        <f t="shared" si="4"/>
        <v>VALID</v>
      </c>
    </row>
    <row r="404" ht="15.75" customHeight="1">
      <c r="A404" s="13" t="str">
        <f>Raw_Data!A404</f>
        <v>EMP0417</v>
      </c>
      <c r="B404" s="13" t="str">
        <f>TRIM(CLEAN(Raw_Data!B404))</f>
        <v>Operations</v>
      </c>
      <c r="C404" s="18" t="s">
        <v>30</v>
      </c>
      <c r="D404" s="14" t="str">
        <f>IF(ISBLANK(Raw_Data!D404),AVERAGE(Raw_Data!D$2:D$5002),Raw_Data!D404)</f>
        <v>28638.59</v>
      </c>
      <c r="E404" s="15" t="str">
        <f>IF(ISBLANK(Raw_Data!E404),AVERAGE(Raw_Data!E$2:E$5002),Raw_Data!E404)</f>
        <v>8591.58</v>
      </c>
      <c r="F404" s="15" t="str">
        <f>IF(ISBLANK(Raw_Data!F404),AVERAGE(Raw_Data!F$2:F$5002),Raw_Data!F404)</f>
        <v>4445.07</v>
      </c>
      <c r="G404" s="14" t="str">
        <f>IF(ISBLANK(Raw_Data!G404),AVERAGE(Raw_Data!G$2:G$5002),Raw_Data!G404)</f>
        <v>1203.99</v>
      </c>
      <c r="H404" s="15" t="str">
        <f t="shared" si="1"/>
        <v>41675.00</v>
      </c>
      <c r="I404" s="14" t="str">
        <f t="shared" si="2"/>
        <v>40471.00</v>
      </c>
      <c r="J404" s="16" t="str">
        <f>TEXT(Raw_Data!J404,"MMM-YYY")</f>
        <v>May-2025</v>
      </c>
      <c r="K404" s="13" t="str">
        <f>Raw_Data!K404</f>
        <v>6</v>
      </c>
      <c r="L404" s="17" t="str">
        <f>Raw_Data!L404</f>
        <v>Chandigarh-North</v>
      </c>
      <c r="M404" s="13" t="str">
        <f t="shared" si="3"/>
        <v>OK</v>
      </c>
      <c r="N404" s="18" t="str">
        <f t="shared" si="4"/>
        <v>VALID</v>
      </c>
    </row>
    <row r="405" ht="15.75" customHeight="1">
      <c r="A405" s="13" t="str">
        <f>Raw_Data!A405</f>
        <v>EMP0418</v>
      </c>
      <c r="B405" s="13" t="str">
        <f>TRIM(CLEAN(Raw_Data!B405))</f>
        <v>Finance</v>
      </c>
      <c r="C405" s="18" t="s">
        <v>26</v>
      </c>
      <c r="D405" s="14" t="str">
        <f>IF(ISBLANK(Raw_Data!D405),AVERAGE(Raw_Data!D$2:D$5002),Raw_Data!D405)</f>
        <v>122990.29</v>
      </c>
      <c r="E405" s="15" t="str">
        <f>IF(ISBLANK(Raw_Data!E405),AVERAGE(Raw_Data!E$2:E$5002),Raw_Data!E405)</f>
        <v>36897.09</v>
      </c>
      <c r="F405" s="15" t="str">
        <f>IF(ISBLANK(Raw_Data!F405),AVERAGE(Raw_Data!F$2:F$5002),Raw_Data!F405)</f>
        <v>14171.20</v>
      </c>
      <c r="G405" s="14" t="str">
        <f>IF(ISBLANK(Raw_Data!G405),AVERAGE(Raw_Data!G$2:G$5002),Raw_Data!G405)</f>
        <v>21307.14</v>
      </c>
      <c r="H405" s="15" t="str">
        <f t="shared" si="1"/>
        <v>174059.00</v>
      </c>
      <c r="I405" s="14" t="str">
        <f t="shared" si="2"/>
        <v>152752.00</v>
      </c>
      <c r="J405" s="16" t="str">
        <f>TEXT(Raw_Data!J405,"MMM-YYY")</f>
        <v>Nov-2025</v>
      </c>
      <c r="K405" s="13" t="str">
        <f>Raw_Data!K405</f>
        <v>6</v>
      </c>
      <c r="L405" s="17" t="str">
        <f>Raw_Data!L405</f>
        <v>Ahmedabad-West</v>
      </c>
      <c r="M405" s="13" t="str">
        <f t="shared" si="3"/>
        <v>OK</v>
      </c>
      <c r="N405" s="18" t="str">
        <f t="shared" si="4"/>
        <v>VALID</v>
      </c>
    </row>
    <row r="406" ht="15.75" customHeight="1">
      <c r="A406" s="13" t="str">
        <f>Raw_Data!A406</f>
        <v>EMP0419</v>
      </c>
      <c r="B406" s="13" t="str">
        <f>TRIM(CLEAN(Raw_Data!B406))</f>
        <v>Customer Support</v>
      </c>
      <c r="C406" s="18" t="s">
        <v>33</v>
      </c>
      <c r="D406" s="14" t="str">
        <f>IF(ISBLANK(Raw_Data!D406),AVERAGE(Raw_Data!D$2:D$5002),Raw_Data!D406)</f>
        <v>27369.04</v>
      </c>
      <c r="E406" s="15" t="str">
        <f>IF(ISBLANK(Raw_Data!E406),AVERAGE(Raw_Data!E$2:E$5002),Raw_Data!E406)</f>
        <v>8210.71</v>
      </c>
      <c r="F406" s="15" t="str">
        <f>IF(ISBLANK(Raw_Data!F406),AVERAGE(Raw_Data!F$2:F$5002),Raw_Data!F406)</f>
        <v>4796.47</v>
      </c>
      <c r="G406" s="14" t="str">
        <f>IF(ISBLANK(Raw_Data!G406),AVERAGE(Raw_Data!G$2:G$5002),Raw_Data!G406)</f>
        <v>8093.26</v>
      </c>
      <c r="H406" s="15" t="str">
        <f t="shared" si="1"/>
        <v>40376.00</v>
      </c>
      <c r="I406" s="14" t="str">
        <f t="shared" si="2"/>
        <v>32283.00</v>
      </c>
      <c r="J406" s="16" t="str">
        <f>TEXT(Raw_Data!J406,"MMM-YYY")</f>
        <v>Sep-2025</v>
      </c>
      <c r="K406" s="13" t="str">
        <f>Raw_Data!K406</f>
        <v>12</v>
      </c>
      <c r="L406" s="17" t="str">
        <f>Raw_Data!L406</f>
        <v>Jaipur-North</v>
      </c>
      <c r="M406" s="13" t="str">
        <f t="shared" si="3"/>
        <v>OK</v>
      </c>
      <c r="N406" s="18" t="str">
        <f t="shared" si="4"/>
        <v>VALID</v>
      </c>
    </row>
    <row r="407" ht="15.75" customHeight="1">
      <c r="A407" s="13" t="str">
        <f>Raw_Data!A407</f>
        <v>EMP0420</v>
      </c>
      <c r="B407" s="13" t="str">
        <f>TRIM(CLEAN(Raw_Data!B407))</f>
        <v>Finance</v>
      </c>
      <c r="C407" s="18" t="s">
        <v>54</v>
      </c>
      <c r="D407" s="14" t="str">
        <f>IF(ISBLANK(Raw_Data!D407),AVERAGE(Raw_Data!D$2:D$5002),Raw_Data!D407)</f>
        <v>39207.01</v>
      </c>
      <c r="E407" s="15" t="str">
        <f>IF(ISBLANK(Raw_Data!E407),AVERAGE(Raw_Data!E$2:E$5002),Raw_Data!E407)</f>
        <v>11762.10</v>
      </c>
      <c r="F407" s="15" t="str">
        <f>IF(ISBLANK(Raw_Data!F407),AVERAGE(Raw_Data!F$2:F$5002),Raw_Data!F407)</f>
        <v>477.99</v>
      </c>
      <c r="G407" s="14" t="str">
        <f>IF(ISBLANK(Raw_Data!G407),AVERAGE(Raw_Data!G$2:G$5002),Raw_Data!G407)</f>
        <v>11156.59</v>
      </c>
      <c r="H407" s="15" t="str">
        <f t="shared" si="1"/>
        <v>51447.00</v>
      </c>
      <c r="I407" s="14" t="str">
        <f t="shared" si="2"/>
        <v>40290.00</v>
      </c>
      <c r="J407" s="16" t="str">
        <f>TEXT(Raw_Data!J407,"MMM-YYY")</f>
        <v>Dec-2025</v>
      </c>
      <c r="K407" s="13" t="str">
        <f>Raw_Data!K407</f>
        <v>8</v>
      </c>
      <c r="L407" s="17" t="str">
        <f>Raw_Data!L407</f>
        <v>Mumbai-HO</v>
      </c>
      <c r="M407" s="13" t="str">
        <f t="shared" si="3"/>
        <v>OK</v>
      </c>
      <c r="N407" s="18" t="str">
        <f t="shared" si="4"/>
        <v>VALID</v>
      </c>
    </row>
    <row r="408" ht="15.75" customHeight="1">
      <c r="A408" s="13" t="str">
        <f>Raw_Data!A408</f>
        <v>EMP0421</v>
      </c>
      <c r="B408" s="13" t="str">
        <f>TRIM(CLEAN(Raw_Data!B408))</f>
        <v>Finance</v>
      </c>
      <c r="C408" s="18" t="s">
        <v>18</v>
      </c>
      <c r="D408" s="14" t="str">
        <f>IF(ISBLANK(Raw_Data!D408),AVERAGE(Raw_Data!D$2:D$5002),Raw_Data!D408)</f>
        <v>82647.50</v>
      </c>
      <c r="E408" s="15" t="str">
        <f>IF(ISBLANK(Raw_Data!E408),AVERAGE(Raw_Data!E$2:E$5002),Raw_Data!E408)</f>
        <v>24794.25</v>
      </c>
      <c r="F408" s="15" t="str">
        <f>IF(ISBLANK(Raw_Data!F408),AVERAGE(Raw_Data!F$2:F$5002),Raw_Data!F408)</f>
        <v>9187.93</v>
      </c>
      <c r="G408" s="14" t="str">
        <f>IF(ISBLANK(Raw_Data!G408),AVERAGE(Raw_Data!G$2:G$5002),Raw_Data!G408)</f>
        <v>1162.46</v>
      </c>
      <c r="H408" s="15" t="str">
        <f t="shared" si="1"/>
        <v>116630.00</v>
      </c>
      <c r="I408" s="14" t="str">
        <f t="shared" si="2"/>
        <v>115468.00</v>
      </c>
      <c r="J408" s="16" t="str">
        <f>TEXT(Raw_Data!J408,"MMM-YYY")</f>
        <v>Jun-2025</v>
      </c>
      <c r="K408" s="13" t="str">
        <f>Raw_Data!K408</f>
        <v>22</v>
      </c>
      <c r="L408" s="17" t="str">
        <f>Raw_Data!L408</f>
        <v>Delhi-North</v>
      </c>
      <c r="M408" s="13" t="str">
        <f t="shared" si="3"/>
        <v>OK</v>
      </c>
      <c r="N408" s="18" t="str">
        <f t="shared" si="4"/>
        <v>VALID</v>
      </c>
    </row>
    <row r="409" ht="15.75" customHeight="1">
      <c r="A409" s="13" t="str">
        <f>Raw_Data!A409</f>
        <v>EMP0423</v>
      </c>
      <c r="B409" s="13" t="str">
        <f>TRIM(CLEAN(Raw_Data!B409))</f>
        <v>Finance</v>
      </c>
      <c r="C409" s="18" t="s">
        <v>33</v>
      </c>
      <c r="D409" s="14" t="str">
        <f>IF(ISBLANK(Raw_Data!D409),AVERAGE(Raw_Data!D$2:D$5002),Raw_Data!D409)</f>
        <v>28764.60</v>
      </c>
      <c r="E409" s="15" t="str">
        <f>IF(ISBLANK(Raw_Data!E409),AVERAGE(Raw_Data!E$2:E$5002),Raw_Data!E409)</f>
        <v>8629.38</v>
      </c>
      <c r="F409" s="15" t="str">
        <f>IF(ISBLANK(Raw_Data!F409),AVERAGE(Raw_Data!F$2:F$5002),Raw_Data!F409)</f>
        <v>4340.10</v>
      </c>
      <c r="G409" s="14" t="str">
        <f>IF(ISBLANK(Raw_Data!G409),AVERAGE(Raw_Data!G$2:G$5002),Raw_Data!G409)</f>
        <v>4086.17</v>
      </c>
      <c r="H409" s="15" t="str">
        <f t="shared" si="1"/>
        <v>41734.00</v>
      </c>
      <c r="I409" s="14" t="str">
        <f t="shared" si="2"/>
        <v>37648.00</v>
      </c>
      <c r="J409" s="16" t="str">
        <f>TEXT(Raw_Data!J409,"MMM-YYY")</f>
        <v>Apr-2025</v>
      </c>
      <c r="K409" s="13" t="str">
        <f>Raw_Data!K409</f>
        <v>11</v>
      </c>
      <c r="L409" s="17" t="str">
        <f>Raw_Data!L409</f>
        <v>Chennai-South</v>
      </c>
      <c r="M409" s="13" t="str">
        <f t="shared" si="3"/>
        <v>OK</v>
      </c>
      <c r="N409" s="18" t="str">
        <f t="shared" si="4"/>
        <v>VALID</v>
      </c>
    </row>
    <row r="410" ht="15.75" customHeight="1">
      <c r="A410" s="13" t="str">
        <f>Raw_Data!A410</f>
        <v>EMP0425</v>
      </c>
      <c r="B410" s="13" t="str">
        <f>TRIM(CLEAN(Raw_Data!B410))</f>
        <v>Marketing</v>
      </c>
      <c r="C410" s="18" t="s">
        <v>54</v>
      </c>
      <c r="D410" s="14" t="str">
        <f>IF(ISBLANK(Raw_Data!D410),AVERAGE(Raw_Data!D$2:D$5002),Raw_Data!D410)</f>
        <v>42802.01</v>
      </c>
      <c r="E410" s="15" t="str">
        <f>IF(ISBLANK(Raw_Data!E410),AVERAGE(Raw_Data!E$2:E$5002),Raw_Data!E410)</f>
        <v>12840.60</v>
      </c>
      <c r="F410" s="15" t="str">
        <f>IF(ISBLANK(Raw_Data!F410),AVERAGE(Raw_Data!F$2:F$5002),Raw_Data!F410)</f>
        <v>1147.89</v>
      </c>
      <c r="G410" s="14" t="str">
        <f>IF(ISBLANK(Raw_Data!G410),AVERAGE(Raw_Data!G$2:G$5002),Raw_Data!G410)</f>
        <v>3118.45</v>
      </c>
      <c r="H410" s="15" t="str">
        <f t="shared" si="1"/>
        <v>56791.00</v>
      </c>
      <c r="I410" s="14" t="str">
        <f t="shared" si="2"/>
        <v>53673.00</v>
      </c>
      <c r="J410" s="16" t="str">
        <f>TEXT(Raw_Data!J410,"MMM-YYY")</f>
        <v>Apr-2025</v>
      </c>
      <c r="K410" s="13" t="str">
        <f>Raw_Data!K410</f>
        <v>20</v>
      </c>
      <c r="L410" s="17" t="str">
        <f>Raw_Data!L410</f>
        <v>Pune-West</v>
      </c>
      <c r="M410" s="13" t="str">
        <f t="shared" si="3"/>
        <v>OK</v>
      </c>
      <c r="N410" s="18" t="str">
        <f t="shared" si="4"/>
        <v>VALID</v>
      </c>
    </row>
    <row r="411" ht="15.75" customHeight="1">
      <c r="A411" s="13" t="str">
        <f>Raw_Data!A411</f>
        <v>EMP0426</v>
      </c>
      <c r="B411" s="13" t="str">
        <f>TRIM(CLEAN(Raw_Data!B411))</f>
        <v>IT</v>
      </c>
      <c r="C411" s="18" t="s">
        <v>18</v>
      </c>
      <c r="D411" s="14" t="str">
        <f>IF(ISBLANK(Raw_Data!D411),AVERAGE(Raw_Data!D$2:D$5002),Raw_Data!D411)</f>
        <v>67055.83</v>
      </c>
      <c r="E411" s="15" t="str">
        <f>IF(ISBLANK(Raw_Data!E411),AVERAGE(Raw_Data!E$2:E$5002),Raw_Data!E411)</f>
        <v>20116.75</v>
      </c>
      <c r="F411" s="15" t="str">
        <f>IF(ISBLANK(Raw_Data!F411),AVERAGE(Raw_Data!F$2:F$5002),Raw_Data!F411)</f>
        <v>6032.17</v>
      </c>
      <c r="G411" s="14" t="str">
        <f>IF(ISBLANK(Raw_Data!G411),AVERAGE(Raw_Data!G$2:G$5002),Raw_Data!G411)</f>
        <v>7464.87</v>
      </c>
      <c r="H411" s="15" t="str">
        <f t="shared" si="1"/>
        <v>93205.00</v>
      </c>
      <c r="I411" s="14" t="str">
        <f t="shared" si="2"/>
        <v>85740.00</v>
      </c>
      <c r="J411" s="16" t="str">
        <f>TEXT(Raw_Data!J411,"MMM-YYY")</f>
        <v>Sep-2025</v>
      </c>
      <c r="K411" s="13" t="str">
        <f>Raw_Data!K411</f>
        <v>16</v>
      </c>
      <c r="L411" s="17" t="str">
        <f>Raw_Data!L411</f>
        <v>Hyderabad-South</v>
      </c>
      <c r="M411" s="13" t="str">
        <f t="shared" si="3"/>
        <v>OK</v>
      </c>
      <c r="N411" s="18" t="str">
        <f t="shared" si="4"/>
        <v>VALID</v>
      </c>
    </row>
    <row r="412" ht="15.75" customHeight="1">
      <c r="A412" s="13" t="str">
        <f>Raw_Data!A412</f>
        <v>EMP0427</v>
      </c>
      <c r="B412" s="13" t="str">
        <f>TRIM(CLEAN(Raw_Data!B412))</f>
        <v>Sales</v>
      </c>
      <c r="C412" s="18" t="s">
        <v>26</v>
      </c>
      <c r="D412" s="14" t="str">
        <f>IF(ISBLANK(Raw_Data!D412),AVERAGE(Raw_Data!D$2:D$5002),Raw_Data!D412)</f>
        <v>96857.34</v>
      </c>
      <c r="E412" s="15" t="str">
        <f>IF(ISBLANK(Raw_Data!E412),AVERAGE(Raw_Data!E$2:E$5002),Raw_Data!E412)</f>
        <v>29057.20</v>
      </c>
      <c r="F412" s="15" t="str">
        <f>IF(ISBLANK(Raw_Data!F412),AVERAGE(Raw_Data!F$2:F$5002),Raw_Data!F412)</f>
        <v>5200.50</v>
      </c>
      <c r="G412" s="14" t="str">
        <f>IF(ISBLANK(Raw_Data!G412),AVERAGE(Raw_Data!G$2:G$5002),Raw_Data!G412)</f>
        <v>19575.02</v>
      </c>
      <c r="H412" s="15" t="str">
        <f t="shared" si="1"/>
        <v>131115.00</v>
      </c>
      <c r="I412" s="14" t="str">
        <f t="shared" si="2"/>
        <v>111540.00</v>
      </c>
      <c r="J412" s="16" t="str">
        <f>TEXT(Raw_Data!J412,"MMM-YYY")</f>
        <v>Oct-2025</v>
      </c>
      <c r="K412" s="13" t="str">
        <f>Raw_Data!K412</f>
        <v>18</v>
      </c>
      <c r="L412" s="17" t="str">
        <f>Raw_Data!L412</f>
        <v>Chandigarh-North</v>
      </c>
      <c r="M412" s="13" t="str">
        <f t="shared" si="3"/>
        <v>OK</v>
      </c>
      <c r="N412" s="18" t="str">
        <f t="shared" si="4"/>
        <v>VALID</v>
      </c>
    </row>
    <row r="413" ht="15.75" customHeight="1">
      <c r="A413" s="13" t="str">
        <f>Raw_Data!A413</f>
        <v>EMP0428</v>
      </c>
      <c r="B413" s="13" t="str">
        <f>TRIM(CLEAN(Raw_Data!B413))</f>
        <v>HR</v>
      </c>
      <c r="C413" s="18" t="s">
        <v>26</v>
      </c>
      <c r="D413" s="14" t="str">
        <f>IF(ISBLANK(Raw_Data!D413),AVERAGE(Raw_Data!D$2:D$5002),Raw_Data!D413)</f>
        <v>92620.24</v>
      </c>
      <c r="E413" s="15" t="str">
        <f>IF(ISBLANK(Raw_Data!E413),AVERAGE(Raw_Data!E$2:E$5002),Raw_Data!E413)</f>
        <v>27786.07</v>
      </c>
      <c r="F413" s="15" t="str">
        <f>IF(ISBLANK(Raw_Data!F413),AVERAGE(Raw_Data!F$2:F$5002),Raw_Data!F413)</f>
        <v>14905.39</v>
      </c>
      <c r="G413" s="14" t="str">
        <f>IF(ISBLANK(Raw_Data!G413),AVERAGE(Raw_Data!G$2:G$5002),Raw_Data!G413)</f>
        <v>16326.64</v>
      </c>
      <c r="H413" s="15" t="str">
        <f t="shared" si="1"/>
        <v>135312.00</v>
      </c>
      <c r="I413" s="14" t="str">
        <f t="shared" si="2"/>
        <v>118985.00</v>
      </c>
      <c r="J413" s="16" t="str">
        <f>TEXT(Raw_Data!J413,"MMM-YYY")</f>
        <v>Nov-2025</v>
      </c>
      <c r="K413" s="13" t="str">
        <f>Raw_Data!K413</f>
        <v>8</v>
      </c>
      <c r="L413" s="17" t="str">
        <f>Raw_Data!L413</f>
        <v>Ahmedabad-West</v>
      </c>
      <c r="M413" s="13" t="str">
        <f t="shared" si="3"/>
        <v>OK</v>
      </c>
      <c r="N413" s="18" t="str">
        <f t="shared" si="4"/>
        <v>VALID</v>
      </c>
    </row>
    <row r="414" ht="15.75" customHeight="1">
      <c r="A414" s="13" t="str">
        <f>Raw_Data!A414</f>
        <v>EMP0429</v>
      </c>
      <c r="B414" s="13" t="str">
        <f>TRIM(CLEAN(Raw_Data!B414))</f>
        <v>Operations</v>
      </c>
      <c r="C414" s="18" t="s">
        <v>30</v>
      </c>
      <c r="D414" s="14" t="str">
        <f>IF(ISBLANK(Raw_Data!D414),AVERAGE(Raw_Data!D$2:D$5002),Raw_Data!D414)</f>
        <v>26218.67</v>
      </c>
      <c r="E414" s="15" t="str">
        <f>IF(ISBLANK(Raw_Data!E414),AVERAGE(Raw_Data!E$2:E$5002),Raw_Data!E414)</f>
        <v>7865.60</v>
      </c>
      <c r="F414" s="15" t="str">
        <f>IF(ISBLANK(Raw_Data!F414),AVERAGE(Raw_Data!F$2:F$5002),Raw_Data!F414)</f>
        <v>4559.29</v>
      </c>
      <c r="G414" s="14" t="str">
        <f>IF(ISBLANK(Raw_Data!G414),AVERAGE(Raw_Data!G$2:G$5002),Raw_Data!G414)</f>
        <v>2618.96</v>
      </c>
      <c r="H414" s="15" t="str">
        <f t="shared" si="1"/>
        <v>38644.00</v>
      </c>
      <c r="I414" s="14" t="str">
        <f t="shared" si="2"/>
        <v>36025.00</v>
      </c>
      <c r="J414" s="16" t="str">
        <f>TEXT(Raw_Data!J414,"MMM-YYY")</f>
        <v>Jan-2025</v>
      </c>
      <c r="K414" s="13" t="str">
        <f>Raw_Data!K414</f>
        <v>11</v>
      </c>
      <c r="L414" s="17" t="str">
        <f>Raw_Data!L414</f>
        <v>Jaipur-North</v>
      </c>
      <c r="M414" s="13" t="str">
        <f t="shared" si="3"/>
        <v>OK</v>
      </c>
      <c r="N414" s="18" t="str">
        <f t="shared" si="4"/>
        <v>VALID</v>
      </c>
    </row>
    <row r="415" ht="15.75" customHeight="1">
      <c r="A415" s="13" t="str">
        <f>Raw_Data!A415</f>
        <v>EMP0430</v>
      </c>
      <c r="B415" s="13" t="str">
        <f>TRIM(CLEAN(Raw_Data!B415))</f>
        <v>Finance</v>
      </c>
      <c r="C415" s="18" t="s">
        <v>30</v>
      </c>
      <c r="D415" s="14" t="str">
        <f>IF(ISBLANK(Raw_Data!D415),AVERAGE(Raw_Data!D$2:D$5002),Raw_Data!D415)</f>
        <v>30466.28</v>
      </c>
      <c r="E415" s="15" t="str">
        <f>IF(ISBLANK(Raw_Data!E415),AVERAGE(Raw_Data!E$2:E$5002),Raw_Data!E415)</f>
        <v>9139.88</v>
      </c>
      <c r="F415" s="15" t="str">
        <f>IF(ISBLANK(Raw_Data!F415),AVERAGE(Raw_Data!F$2:F$5002),Raw_Data!F415)</f>
        <v>714.84</v>
      </c>
      <c r="G415" s="14" t="str">
        <f>IF(ISBLANK(Raw_Data!G415),AVERAGE(Raw_Data!G$2:G$5002),Raw_Data!G415)</f>
        <v>9135.97</v>
      </c>
      <c r="H415" s="15" t="str">
        <f t="shared" si="1"/>
        <v>40321.00</v>
      </c>
      <c r="I415" s="14" t="str">
        <f t="shared" si="2"/>
        <v>31185.00</v>
      </c>
      <c r="J415" s="16" t="str">
        <f>TEXT(Raw_Data!J415,"MMM-YYY")</f>
        <v>Aug-2025</v>
      </c>
      <c r="K415" s="13" t="str">
        <f>Raw_Data!K415</f>
        <v>6</v>
      </c>
      <c r="L415" s="17" t="str">
        <f>Raw_Data!L415</f>
        <v>Mumbai-HO</v>
      </c>
      <c r="M415" s="13" t="str">
        <f t="shared" si="3"/>
        <v>OK</v>
      </c>
      <c r="N415" s="18" t="str">
        <f t="shared" si="4"/>
        <v>VALID</v>
      </c>
    </row>
    <row r="416" ht="15.75" customHeight="1">
      <c r="A416" s="13" t="str">
        <f>Raw_Data!A416</f>
        <v>EMP0431</v>
      </c>
      <c r="B416" s="13" t="str">
        <f>TRIM(CLEAN(Raw_Data!B416))</f>
        <v>Finance</v>
      </c>
      <c r="C416" s="18" t="s">
        <v>18</v>
      </c>
      <c r="D416" s="14" t="str">
        <f>IF(ISBLANK(Raw_Data!D416),AVERAGE(Raw_Data!D$2:D$5002),Raw_Data!D416)</f>
        <v>80714.44</v>
      </c>
      <c r="E416" s="15" t="str">
        <f>IF(ISBLANK(Raw_Data!E416),AVERAGE(Raw_Data!E$2:E$5002),Raw_Data!E416)</f>
        <v>24214.33</v>
      </c>
      <c r="F416" s="15" t="str">
        <f>IF(ISBLANK(Raw_Data!F416),AVERAGE(Raw_Data!F$2:F$5002),Raw_Data!F416)</f>
        <v>3301.43</v>
      </c>
      <c r="G416" s="14" t="str">
        <f>IF(ISBLANK(Raw_Data!G416),AVERAGE(Raw_Data!G$2:G$5002),Raw_Data!G416)</f>
        <v>22159.18</v>
      </c>
      <c r="H416" s="15" t="str">
        <f t="shared" si="1"/>
        <v>108230.00</v>
      </c>
      <c r="I416" s="14" t="str">
        <f t="shared" si="2"/>
        <v>86071.00</v>
      </c>
      <c r="J416" s="16" t="str">
        <f>TEXT(Raw_Data!J416,"MMM-YYY")</f>
        <v>Sep-2025</v>
      </c>
      <c r="K416" s="13" t="str">
        <f>Raw_Data!K416</f>
        <v>25</v>
      </c>
      <c r="L416" s="17" t="str">
        <f>Raw_Data!L416</f>
        <v>Delhi-North</v>
      </c>
      <c r="M416" s="13" t="str">
        <f t="shared" si="3"/>
        <v>OK</v>
      </c>
      <c r="N416" s="18" t="str">
        <f t="shared" si="4"/>
        <v>VALID</v>
      </c>
    </row>
    <row r="417" ht="15.75" customHeight="1">
      <c r="A417" s="13" t="str">
        <f>Raw_Data!A417</f>
        <v>EMP0432</v>
      </c>
      <c r="B417" s="13" t="str">
        <f>TRIM(CLEAN(Raw_Data!B417))</f>
        <v>IT</v>
      </c>
      <c r="C417" s="18" t="s">
        <v>26</v>
      </c>
      <c r="D417" s="14" t="str">
        <f>IF(ISBLANK(Raw_Data!D417),AVERAGE(Raw_Data!D$2:D$5002),Raw_Data!D417)</f>
        <v>100190.13</v>
      </c>
      <c r="E417" s="15" t="str">
        <f>IF(ISBLANK(Raw_Data!E417),AVERAGE(Raw_Data!E$2:E$5002),Raw_Data!E417)</f>
        <v>30057.04</v>
      </c>
      <c r="F417" s="15" t="str">
        <f>IF(ISBLANK(Raw_Data!F417),AVERAGE(Raw_Data!F$2:F$5002),Raw_Data!F417)</f>
        <v>9342.74</v>
      </c>
      <c r="G417" s="14" t="str">
        <f>IF(ISBLANK(Raw_Data!G417),AVERAGE(Raw_Data!G$2:G$5002),Raw_Data!G417)</f>
        <v>19498.64</v>
      </c>
      <c r="H417" s="15" t="str">
        <f t="shared" si="1"/>
        <v>139590.00</v>
      </c>
      <c r="I417" s="14" t="str">
        <f t="shared" si="2"/>
        <v>120091.00</v>
      </c>
      <c r="J417" s="16" t="str">
        <f>TEXT(Raw_Data!J417,"MMM-YYY")</f>
        <v>May-2025</v>
      </c>
      <c r="K417" s="13" t="str">
        <f>Raw_Data!K417</f>
        <v>11</v>
      </c>
      <c r="L417" s="17" t="str">
        <f>Raw_Data!L417</f>
        <v>Bangalore-South</v>
      </c>
      <c r="M417" s="13" t="str">
        <f t="shared" si="3"/>
        <v>OK</v>
      </c>
      <c r="N417" s="18" t="str">
        <f t="shared" si="4"/>
        <v>VALID</v>
      </c>
    </row>
    <row r="418" ht="15.75" customHeight="1">
      <c r="A418" s="13" t="str">
        <f>Raw_Data!A418</f>
        <v>EMP0434</v>
      </c>
      <c r="B418" s="13" t="str">
        <f>TRIM(CLEAN(Raw_Data!B418))</f>
        <v>Marketing</v>
      </c>
      <c r="C418" s="18" t="s">
        <v>26</v>
      </c>
      <c r="D418" s="14" t="str">
        <f>IF(ISBLANK(Raw_Data!D418),AVERAGE(Raw_Data!D$2:D$5002),Raw_Data!D418)</f>
        <v>120230.32</v>
      </c>
      <c r="E418" s="15" t="str">
        <f>IF(ISBLANK(Raw_Data!E418),AVERAGE(Raw_Data!E$2:E$5002),Raw_Data!E418)</f>
        <v>36069.10</v>
      </c>
      <c r="F418" s="15" t="str">
        <f>IF(ISBLANK(Raw_Data!F418),AVERAGE(Raw_Data!F$2:F$5002),Raw_Data!F418)</f>
        <v>21986.05</v>
      </c>
      <c r="G418" s="14" t="str">
        <f>IF(ISBLANK(Raw_Data!G418),AVERAGE(Raw_Data!G$2:G$5002),Raw_Data!G418)</f>
        <v>13370.99</v>
      </c>
      <c r="H418" s="15" t="str">
        <f t="shared" si="1"/>
        <v>178285.00</v>
      </c>
      <c r="I418" s="14" t="str">
        <f t="shared" si="2"/>
        <v>164914.00</v>
      </c>
      <c r="J418" s="16" t="str">
        <f>TEXT(Raw_Data!J418,"MMM-YYY")</f>
        <v>Jul-2025</v>
      </c>
      <c r="K418" s="13" t="str">
        <f>Raw_Data!K418</f>
        <v>4</v>
      </c>
      <c r="L418" s="17" t="str">
        <f>Raw_Data!L418</f>
        <v>Kolkata-East</v>
      </c>
      <c r="M418" s="13" t="str">
        <f t="shared" si="3"/>
        <v>OK</v>
      </c>
      <c r="N418" s="18" t="str">
        <f t="shared" si="4"/>
        <v>VALID</v>
      </c>
    </row>
    <row r="419" ht="15.75" customHeight="1">
      <c r="A419" s="13" t="str">
        <f>Raw_Data!A419</f>
        <v>EMP0435</v>
      </c>
      <c r="B419" s="13" t="str">
        <f>TRIM(CLEAN(Raw_Data!B419))</f>
        <v>HR</v>
      </c>
      <c r="C419" s="18" t="s">
        <v>37</v>
      </c>
      <c r="D419" s="14" t="str">
        <f>IF(ISBLANK(Raw_Data!D419),AVERAGE(Raw_Data!D$2:D$5002),Raw_Data!D419)</f>
        <v>60553.53</v>
      </c>
      <c r="E419" s="15" t="str">
        <f>IF(ISBLANK(Raw_Data!E419),AVERAGE(Raw_Data!E$2:E$5002),Raw_Data!E419)</f>
        <v>18166.06</v>
      </c>
      <c r="F419" s="15" t="str">
        <f>IF(ISBLANK(Raw_Data!F419),AVERAGE(Raw_Data!F$2:F$5002),Raw_Data!F419)</f>
        <v>8977.09</v>
      </c>
      <c r="G419" s="14" t="str">
        <f>IF(ISBLANK(Raw_Data!G419),AVERAGE(Raw_Data!G$2:G$5002),Raw_Data!G419)</f>
        <v>294.65</v>
      </c>
      <c r="H419" s="15" t="str">
        <f t="shared" si="1"/>
        <v>87697.00</v>
      </c>
      <c r="I419" s="14" t="str">
        <f t="shared" si="2"/>
        <v>87402.00</v>
      </c>
      <c r="J419" s="16" t="str">
        <f>TEXT(Raw_Data!J419,"MMM-YYY")</f>
        <v>Sep-2025</v>
      </c>
      <c r="K419" s="13" t="str">
        <f>Raw_Data!K419</f>
        <v>7</v>
      </c>
      <c r="L419" s="17" t="str">
        <f>Raw_Data!L419</f>
        <v>Pune-West</v>
      </c>
      <c r="M419" s="13" t="str">
        <f t="shared" si="3"/>
        <v>OK</v>
      </c>
      <c r="N419" s="18" t="str">
        <f t="shared" si="4"/>
        <v>VALID</v>
      </c>
    </row>
    <row r="420" ht="15.75" customHeight="1">
      <c r="A420" s="13" t="str">
        <f>Raw_Data!A420</f>
        <v>EMP0436</v>
      </c>
      <c r="B420" s="13" t="str">
        <f>TRIM(CLEAN(Raw_Data!B420))</f>
        <v>Operations</v>
      </c>
      <c r="C420" s="18" t="s">
        <v>37</v>
      </c>
      <c r="D420" s="14" t="str">
        <f>IF(ISBLANK(Raw_Data!D420),AVERAGE(Raw_Data!D$2:D$5002),Raw_Data!D420)</f>
        <v>57960.21</v>
      </c>
      <c r="E420" s="15" t="str">
        <f>IF(ISBLANK(Raw_Data!E420),AVERAGE(Raw_Data!E$2:E$5002),Raw_Data!E420)</f>
        <v>17388.06</v>
      </c>
      <c r="F420" s="15" t="str">
        <f>IF(ISBLANK(Raw_Data!F420),AVERAGE(Raw_Data!F$2:F$5002),Raw_Data!F420)</f>
        <v>3421.88</v>
      </c>
      <c r="G420" s="14" t="str">
        <f>IF(ISBLANK(Raw_Data!G420),AVERAGE(Raw_Data!G$2:G$5002),Raw_Data!G420)</f>
        <v>3411.40</v>
      </c>
      <c r="H420" s="15" t="str">
        <f t="shared" si="1"/>
        <v>78770.00</v>
      </c>
      <c r="I420" s="14" t="str">
        <f t="shared" si="2"/>
        <v>75359.00</v>
      </c>
      <c r="J420" s="16" t="str">
        <f>TEXT(Raw_Data!J420,"MMM-YYY")</f>
        <v>Apr-2025</v>
      </c>
      <c r="K420" s="13" t="str">
        <f>Raw_Data!K420</f>
        <v>19</v>
      </c>
      <c r="L420" s="17" t="str">
        <f>Raw_Data!L420</f>
        <v>Hyderabad-South</v>
      </c>
      <c r="M420" s="13" t="str">
        <f t="shared" si="3"/>
        <v>OK</v>
      </c>
      <c r="N420" s="18" t="str">
        <f t="shared" si="4"/>
        <v>VALID</v>
      </c>
    </row>
    <row r="421" ht="15.75" customHeight="1">
      <c r="A421" s="13" t="str">
        <f>Raw_Data!A421</f>
        <v>EMP0437</v>
      </c>
      <c r="B421" s="13" t="str">
        <f>TRIM(CLEAN(Raw_Data!B421))</f>
        <v>Marketing</v>
      </c>
      <c r="C421" s="18" t="s">
        <v>37</v>
      </c>
      <c r="D421" s="14" t="str">
        <f>IF(ISBLANK(Raw_Data!D421),AVERAGE(Raw_Data!D$2:D$5002),Raw_Data!D421)</f>
        <v>60000.53</v>
      </c>
      <c r="E421" s="15" t="str">
        <f>IF(ISBLANK(Raw_Data!E421),AVERAGE(Raw_Data!E$2:E$5002),Raw_Data!E421)</f>
        <v>18000.16</v>
      </c>
      <c r="F421" s="15" t="str">
        <f>IF(ISBLANK(Raw_Data!F421),AVERAGE(Raw_Data!F$2:F$5002),Raw_Data!F421)</f>
        <v>5991.67</v>
      </c>
      <c r="G421" s="14" t="str">
        <f>IF(ISBLANK(Raw_Data!G421),AVERAGE(Raw_Data!G$2:G$5002),Raw_Data!G421)</f>
        <v>11783.05</v>
      </c>
      <c r="H421" s="15" t="str">
        <f t="shared" si="1"/>
        <v>83992.00</v>
      </c>
      <c r="I421" s="14" t="str">
        <f t="shared" si="2"/>
        <v>72209.00</v>
      </c>
      <c r="J421" s="16" t="str">
        <f>TEXT(Raw_Data!J421,"MMM-YYY")</f>
        <v>Nov-2025</v>
      </c>
      <c r="K421" s="13" t="str">
        <f>Raw_Data!K421</f>
        <v>25</v>
      </c>
      <c r="L421" s="17" t="str">
        <f>Raw_Data!L421</f>
        <v>Chandigarh-North</v>
      </c>
      <c r="M421" s="13" t="str">
        <f t="shared" si="3"/>
        <v>OK</v>
      </c>
      <c r="N421" s="18" t="str">
        <f t="shared" si="4"/>
        <v>VALID</v>
      </c>
    </row>
    <row r="422" ht="15.75" customHeight="1">
      <c r="A422" s="13" t="str">
        <f>Raw_Data!A422</f>
        <v>EMP0438</v>
      </c>
      <c r="B422" s="13" t="str">
        <f>TRIM(CLEAN(Raw_Data!B422))</f>
        <v>IT</v>
      </c>
      <c r="C422" s="18" t="s">
        <v>33</v>
      </c>
      <c r="D422" s="14" t="str">
        <f>IF(ISBLANK(Raw_Data!D422),AVERAGE(Raw_Data!D$2:D$5002),Raw_Data!D422)</f>
        <v>32633.61</v>
      </c>
      <c r="E422" s="15" t="str">
        <f>IF(ISBLANK(Raw_Data!E422),AVERAGE(Raw_Data!E$2:E$5002),Raw_Data!E422)</f>
        <v>9790.08</v>
      </c>
      <c r="F422" s="15" t="str">
        <f>IF(ISBLANK(Raw_Data!F422),AVERAGE(Raw_Data!F$2:F$5002),Raw_Data!F422)</f>
        <v>3189.09</v>
      </c>
      <c r="G422" s="14" t="str">
        <f>IF(ISBLANK(Raw_Data!G422),AVERAGE(Raw_Data!G$2:G$5002),Raw_Data!G422)</f>
        <v>7083.69</v>
      </c>
      <c r="H422" s="15" t="str">
        <f t="shared" si="1"/>
        <v>45613.00</v>
      </c>
      <c r="I422" s="14" t="str">
        <f t="shared" si="2"/>
        <v>38529.00</v>
      </c>
      <c r="J422" s="16" t="str">
        <f>TEXT(Raw_Data!J422,"MMM-YYY")</f>
        <v>Dec-2025</v>
      </c>
      <c r="K422" s="13" t="str">
        <f>Raw_Data!K422</f>
        <v>1</v>
      </c>
      <c r="L422" s="17" t="str">
        <f>Raw_Data!L422</f>
        <v>Ahmedabad-West</v>
      </c>
      <c r="M422" s="13" t="str">
        <f t="shared" si="3"/>
        <v>OK</v>
      </c>
      <c r="N422" s="18" t="str">
        <f t="shared" si="4"/>
        <v>VALID</v>
      </c>
    </row>
    <row r="423" ht="15.75" customHeight="1">
      <c r="A423" s="13" t="str">
        <f>Raw_Data!A423</f>
        <v>EMP0439</v>
      </c>
      <c r="B423" s="13" t="str">
        <f>TRIM(CLEAN(Raw_Data!B423))</f>
        <v>Marketing</v>
      </c>
      <c r="C423" s="18" t="s">
        <v>54</v>
      </c>
      <c r="D423" s="14" t="str">
        <f>IF(ISBLANK(Raw_Data!D423),AVERAGE(Raw_Data!D$2:D$5002),Raw_Data!D423)</f>
        <v>37355.27</v>
      </c>
      <c r="E423" s="15" t="str">
        <f>IF(ISBLANK(Raw_Data!E423),AVERAGE(Raw_Data!E$2:E$5002),Raw_Data!E423)</f>
        <v>11206.58</v>
      </c>
      <c r="F423" s="15" t="str">
        <f>IF(ISBLANK(Raw_Data!F423),AVERAGE(Raw_Data!F$2:F$5002),Raw_Data!F423)</f>
        <v>5939.30</v>
      </c>
      <c r="G423" s="14" t="str">
        <f>IF(ISBLANK(Raw_Data!G423),AVERAGE(Raw_Data!G$2:G$5002),Raw_Data!G423)</f>
        <v>1896.89</v>
      </c>
      <c r="H423" s="15" t="str">
        <f t="shared" si="1"/>
        <v>54501.00</v>
      </c>
      <c r="I423" s="14" t="str">
        <f t="shared" si="2"/>
        <v>52604.00</v>
      </c>
      <c r="J423" s="16" t="str">
        <f>TEXT(Raw_Data!J423,"MMM-YYY")</f>
        <v>Dec-2025</v>
      </c>
      <c r="K423" s="13" t="str">
        <f>Raw_Data!K423</f>
        <v>12</v>
      </c>
      <c r="L423" s="17" t="str">
        <f>Raw_Data!L423</f>
        <v>Jaipur-North</v>
      </c>
      <c r="M423" s="13" t="str">
        <f t="shared" si="3"/>
        <v>OK</v>
      </c>
      <c r="N423" s="18" t="str">
        <f t="shared" si="4"/>
        <v>VALID</v>
      </c>
    </row>
    <row r="424" ht="15.75" customHeight="1">
      <c r="A424" s="13" t="str">
        <f>Raw_Data!A424</f>
        <v>EMP0440</v>
      </c>
      <c r="B424" s="13" t="str">
        <f>TRIM(CLEAN(Raw_Data!B424))</f>
        <v>Operations</v>
      </c>
      <c r="C424" s="18" t="s">
        <v>54</v>
      </c>
      <c r="D424" s="14" t="str">
        <f>IF(ISBLANK(Raw_Data!D424),AVERAGE(Raw_Data!D$2:D$5002),Raw_Data!D424)</f>
        <v>37576.67</v>
      </c>
      <c r="E424" s="15" t="str">
        <f>IF(ISBLANK(Raw_Data!E424),AVERAGE(Raw_Data!E$2:E$5002),Raw_Data!E424)</f>
        <v>11273.00</v>
      </c>
      <c r="F424" s="15" t="str">
        <f>IF(ISBLANK(Raw_Data!F424),AVERAGE(Raw_Data!F$2:F$5002),Raw_Data!F424)</f>
        <v>6683.87</v>
      </c>
      <c r="G424" s="14" t="str">
        <f>IF(ISBLANK(Raw_Data!G424),AVERAGE(Raw_Data!G$2:G$5002),Raw_Data!G424)</f>
        <v>11163.92</v>
      </c>
      <c r="H424" s="15" t="str">
        <f t="shared" si="1"/>
        <v>55534.00</v>
      </c>
      <c r="I424" s="14" t="str">
        <f t="shared" si="2"/>
        <v>44370.00</v>
      </c>
      <c r="J424" s="16" t="str">
        <f>TEXT(Raw_Data!J424,"MMM-YYY")</f>
        <v>Jan-2025</v>
      </c>
      <c r="K424" s="13" t="str">
        <f>Raw_Data!K424</f>
        <v>17</v>
      </c>
      <c r="L424" s="17" t="str">
        <f>Raw_Data!L424</f>
        <v>Mumbai-HO</v>
      </c>
      <c r="M424" s="13" t="str">
        <f t="shared" si="3"/>
        <v>OK</v>
      </c>
      <c r="N424" s="18" t="str">
        <f t="shared" si="4"/>
        <v>VALID</v>
      </c>
    </row>
    <row r="425" ht="15.75" customHeight="1">
      <c r="A425" s="13" t="str">
        <f>Raw_Data!A425</f>
        <v>EMP0444</v>
      </c>
      <c r="B425" s="13" t="str">
        <f>TRIM(CLEAN(Raw_Data!B425))</f>
        <v>Sales</v>
      </c>
      <c r="C425" s="18" t="s">
        <v>37</v>
      </c>
      <c r="D425" s="14" t="str">
        <f>IF(ISBLANK(Raw_Data!D425),AVERAGE(Raw_Data!D$2:D$5002),Raw_Data!D425)</f>
        <v>61429.53</v>
      </c>
      <c r="E425" s="15" t="str">
        <f>IF(ISBLANK(Raw_Data!E425),AVERAGE(Raw_Data!E$2:E$5002),Raw_Data!E425)</f>
        <v>18428.86</v>
      </c>
      <c r="F425" s="15" t="str">
        <f>IF(ISBLANK(Raw_Data!F425),AVERAGE(Raw_Data!F$2:F$5002),Raw_Data!F425)</f>
        <v>8099.91</v>
      </c>
      <c r="G425" s="14" t="str">
        <f>IF(ISBLANK(Raw_Data!G425),AVERAGE(Raw_Data!G$2:G$5002),Raw_Data!G425)</f>
        <v>14562.73</v>
      </c>
      <c r="H425" s="15" t="str">
        <f t="shared" si="1"/>
        <v>87958.00</v>
      </c>
      <c r="I425" s="14" t="str">
        <f t="shared" si="2"/>
        <v>73395.00</v>
      </c>
      <c r="J425" s="16" t="str">
        <f>TEXT(Raw_Data!J425,"MMM-YYY")</f>
        <v>Sep-2025</v>
      </c>
      <c r="K425" s="13" t="str">
        <f>Raw_Data!K425</f>
        <v>23</v>
      </c>
      <c r="L425" s="17" t="str">
        <f>Raw_Data!L425</f>
        <v>Kolkata-East</v>
      </c>
      <c r="M425" s="13" t="str">
        <f t="shared" si="3"/>
        <v>OK</v>
      </c>
      <c r="N425" s="18" t="str">
        <f t="shared" si="4"/>
        <v>VALID</v>
      </c>
    </row>
    <row r="426" ht="15.75" customHeight="1">
      <c r="A426" s="13" t="str">
        <f>Raw_Data!A426</f>
        <v>EMP0445</v>
      </c>
      <c r="B426" s="13" t="str">
        <f>TRIM(CLEAN(Raw_Data!B426))</f>
        <v>Operations</v>
      </c>
      <c r="C426" s="18" t="s">
        <v>54</v>
      </c>
      <c r="D426" s="14" t="str">
        <f>IF(ISBLANK(Raw_Data!D426),AVERAGE(Raw_Data!D$2:D$5002),Raw_Data!D426)</f>
        <v>35165.91</v>
      </c>
      <c r="E426" s="15" t="str">
        <f>IF(ISBLANK(Raw_Data!E426),AVERAGE(Raw_Data!E$2:E$5002),Raw_Data!E426)</f>
        <v>10549.77</v>
      </c>
      <c r="F426" s="15" t="str">
        <f>IF(ISBLANK(Raw_Data!F426),AVERAGE(Raw_Data!F$2:F$5002),Raw_Data!F426)</f>
        <v>3723.49</v>
      </c>
      <c r="G426" s="14" t="str">
        <f>IF(ISBLANK(Raw_Data!G426),AVERAGE(Raw_Data!G$2:G$5002),Raw_Data!G426)</f>
        <v>2898.45</v>
      </c>
      <c r="H426" s="15" t="str">
        <f t="shared" si="1"/>
        <v>49439.00</v>
      </c>
      <c r="I426" s="14" t="str">
        <f t="shared" si="2"/>
        <v>46541.00</v>
      </c>
      <c r="J426" s="16" t="str">
        <f>TEXT(Raw_Data!J426,"MMM-YYY")</f>
        <v>May-2025</v>
      </c>
      <c r="K426" s="13" t="str">
        <f>Raw_Data!K426</f>
        <v>16</v>
      </c>
      <c r="L426" s="17" t="str">
        <f>Raw_Data!L426</f>
        <v>Pune-West</v>
      </c>
      <c r="M426" s="13" t="str">
        <f t="shared" si="3"/>
        <v>OK</v>
      </c>
      <c r="N426" s="18" t="str">
        <f t="shared" si="4"/>
        <v>VALID</v>
      </c>
    </row>
    <row r="427" ht="15.75" customHeight="1">
      <c r="A427" s="13" t="str">
        <f>Raw_Data!A427</f>
        <v>EMP0446</v>
      </c>
      <c r="B427" s="13" t="str">
        <f>TRIM(CLEAN(Raw_Data!B427))</f>
        <v>HR</v>
      </c>
      <c r="C427" s="18" t="s">
        <v>37</v>
      </c>
      <c r="D427" s="14" t="str">
        <f>IF(ISBLANK(Raw_Data!D427),AVERAGE(Raw_Data!D$2:D$5002),Raw_Data!D427)</f>
        <v>59636.83</v>
      </c>
      <c r="E427" s="15" t="str">
        <f>IF(ISBLANK(Raw_Data!E427),AVERAGE(Raw_Data!E$2:E$5002),Raw_Data!E427)</f>
        <v>17891.05</v>
      </c>
      <c r="F427" s="15" t="str">
        <f>IF(ISBLANK(Raw_Data!F427),AVERAGE(Raw_Data!F$2:F$5002),Raw_Data!F427)</f>
        <v>8039.44</v>
      </c>
      <c r="G427" s="14" t="str">
        <f>IF(ISBLANK(Raw_Data!G427),AVERAGE(Raw_Data!G$2:G$5002),Raw_Data!G427)</f>
        <v>14423.19</v>
      </c>
      <c r="H427" s="15" t="str">
        <f t="shared" si="1"/>
        <v>85567.00</v>
      </c>
      <c r="I427" s="14" t="str">
        <f t="shared" si="2"/>
        <v>71144.00</v>
      </c>
      <c r="J427" s="16" t="str">
        <f>TEXT(Raw_Data!J427,"MMM-YYY")</f>
        <v>Mar-2025</v>
      </c>
      <c r="K427" s="13" t="str">
        <f>Raw_Data!K427</f>
        <v>6</v>
      </c>
      <c r="L427" s="17" t="str">
        <f>Raw_Data!L427</f>
        <v>Hyderabad-South</v>
      </c>
      <c r="M427" s="13" t="str">
        <f t="shared" si="3"/>
        <v>OK</v>
      </c>
      <c r="N427" s="18" t="str">
        <f t="shared" si="4"/>
        <v>VALID</v>
      </c>
    </row>
    <row r="428" ht="15.75" customHeight="1">
      <c r="A428" s="13" t="str">
        <f>Raw_Data!A428</f>
        <v>EMP0447</v>
      </c>
      <c r="B428" s="13" t="str">
        <f>TRIM(CLEAN(Raw_Data!B428))</f>
        <v>HR</v>
      </c>
      <c r="C428" s="18" t="s">
        <v>14</v>
      </c>
      <c r="D428" s="14" t="str">
        <f>IF(ISBLANK(Raw_Data!D428),AVERAGE(Raw_Data!D$2:D$5002),Raw_Data!D428)</f>
        <v>21775.57</v>
      </c>
      <c r="E428" s="15" t="str">
        <f>IF(ISBLANK(Raw_Data!E428),AVERAGE(Raw_Data!E$2:E$5002),Raw_Data!E428)</f>
        <v>6532.67</v>
      </c>
      <c r="F428" s="15" t="str">
        <f>IF(ISBLANK(Raw_Data!F428),AVERAGE(Raw_Data!F$2:F$5002),Raw_Data!F428)</f>
        <v>1049.45</v>
      </c>
      <c r="G428" s="14" t="str">
        <f>IF(ISBLANK(Raw_Data!G428),AVERAGE(Raw_Data!G$2:G$5002),Raw_Data!G428)</f>
        <v>4048.82</v>
      </c>
      <c r="H428" s="15" t="str">
        <f t="shared" si="1"/>
        <v>29358.00</v>
      </c>
      <c r="I428" s="14" t="str">
        <f t="shared" si="2"/>
        <v>25309.00</v>
      </c>
      <c r="J428" s="16" t="str">
        <f>TEXT(Raw_Data!J428,"MMM-YYY")</f>
        <v>May-2025</v>
      </c>
      <c r="K428" s="13" t="str">
        <f>Raw_Data!K428</f>
        <v>11</v>
      </c>
      <c r="L428" s="17" t="str">
        <f>Raw_Data!L428</f>
        <v>Chandigarh-North</v>
      </c>
      <c r="M428" s="13" t="str">
        <f t="shared" si="3"/>
        <v>OK</v>
      </c>
      <c r="N428" s="18" t="str">
        <f t="shared" si="4"/>
        <v>VALID</v>
      </c>
    </row>
    <row r="429" ht="15.75" customHeight="1">
      <c r="A429" s="13" t="str">
        <f>Raw_Data!A429</f>
        <v>EMP0449</v>
      </c>
      <c r="B429" s="13" t="str">
        <f>TRIM(CLEAN(Raw_Data!B429))</f>
        <v>Marketing</v>
      </c>
      <c r="C429" s="18" t="s">
        <v>37</v>
      </c>
      <c r="D429" s="14" t="str">
        <f>IF(ISBLANK(Raw_Data!D429),AVERAGE(Raw_Data!D$2:D$5002),Raw_Data!D429)</f>
        <v>49377.74</v>
      </c>
      <c r="E429" s="15" t="str">
        <f>IF(ISBLANK(Raw_Data!E429),AVERAGE(Raw_Data!E$2:E$5002),Raw_Data!E429)</f>
        <v>14813.32</v>
      </c>
      <c r="F429" s="15" t="str">
        <f>IF(ISBLANK(Raw_Data!F429),AVERAGE(Raw_Data!F$2:F$5002),Raw_Data!F429)</f>
        <v>6885.59</v>
      </c>
      <c r="G429" s="14" t="str">
        <f>IF(ISBLANK(Raw_Data!G429),AVERAGE(Raw_Data!G$2:G$5002),Raw_Data!G429)</f>
        <v>4443.62</v>
      </c>
      <c r="H429" s="15" t="str">
        <f t="shared" si="1"/>
        <v>71077.00</v>
      </c>
      <c r="I429" s="14" t="str">
        <f t="shared" si="2"/>
        <v>66633.00</v>
      </c>
      <c r="J429" s="16" t="str">
        <f>TEXT(Raw_Data!J429,"MMM-YYY")</f>
        <v>Feb-2025</v>
      </c>
      <c r="K429" s="13" t="str">
        <f>Raw_Data!K429</f>
        <v>18</v>
      </c>
      <c r="L429" s="17" t="str">
        <f>Raw_Data!L429</f>
        <v>Jaipur-North</v>
      </c>
      <c r="M429" s="13" t="str">
        <f t="shared" si="3"/>
        <v>OK</v>
      </c>
      <c r="N429" s="18" t="str">
        <f t="shared" si="4"/>
        <v>VALID</v>
      </c>
    </row>
    <row r="430" ht="15.75" customHeight="1">
      <c r="A430" s="13" t="str">
        <f>Raw_Data!A430</f>
        <v>EMP0450</v>
      </c>
      <c r="B430" s="13" t="str">
        <f>TRIM(CLEAN(Raw_Data!B430))</f>
        <v>Sales</v>
      </c>
      <c r="C430" s="18" t="s">
        <v>26</v>
      </c>
      <c r="D430" s="14" t="str">
        <f>IF(ISBLANK(Raw_Data!D430),AVERAGE(Raw_Data!D$2:D$5002),Raw_Data!D430)</f>
        <v>113396.20</v>
      </c>
      <c r="E430" s="15" t="str">
        <f>IF(ISBLANK(Raw_Data!E430),AVERAGE(Raw_Data!E$2:E$5002),Raw_Data!E430)</f>
        <v>34018.86</v>
      </c>
      <c r="F430" s="15" t="str">
        <f>IF(ISBLANK(Raw_Data!F430),AVERAGE(Raw_Data!F$2:F$5002),Raw_Data!F430)</f>
        <v>718.58</v>
      </c>
      <c r="G430" s="14" t="str">
        <f>IF(ISBLANK(Raw_Data!G430),AVERAGE(Raw_Data!G$2:G$5002),Raw_Data!G430)</f>
        <v>13787.11</v>
      </c>
      <c r="H430" s="15" t="str">
        <f t="shared" si="1"/>
        <v>148134.00</v>
      </c>
      <c r="I430" s="14" t="str">
        <f t="shared" si="2"/>
        <v>134347.00</v>
      </c>
      <c r="J430" s="16" t="str">
        <f>TEXT(Raw_Data!J430,"MMM-YYY")</f>
        <v>Jul-2025</v>
      </c>
      <c r="K430" s="13" t="str">
        <f>Raw_Data!K430</f>
        <v>22</v>
      </c>
      <c r="L430" s="17" t="str">
        <f>Raw_Data!L430</f>
        <v>Mumbai-HO</v>
      </c>
      <c r="M430" s="13" t="str">
        <f t="shared" si="3"/>
        <v>OK</v>
      </c>
      <c r="N430" s="18" t="str">
        <f t="shared" si="4"/>
        <v>VALID</v>
      </c>
    </row>
    <row r="431" ht="15.75" customHeight="1">
      <c r="A431" s="13" t="str">
        <f>Raw_Data!A431</f>
        <v>EMP0451</v>
      </c>
      <c r="B431" s="13" t="str">
        <f>TRIM(CLEAN(Raw_Data!B431))</f>
        <v>Operations</v>
      </c>
      <c r="C431" s="18" t="s">
        <v>54</v>
      </c>
      <c r="D431" s="14" t="str">
        <f>IF(ISBLANK(Raw_Data!D431),AVERAGE(Raw_Data!D$2:D$5002),Raw_Data!D431)</f>
        <v>35785.61</v>
      </c>
      <c r="E431" s="15" t="str">
        <f>IF(ISBLANK(Raw_Data!E431),AVERAGE(Raw_Data!E$2:E$5002),Raw_Data!E431)</f>
        <v>10735.68</v>
      </c>
      <c r="F431" s="15" t="str">
        <f>IF(ISBLANK(Raw_Data!F431),AVERAGE(Raw_Data!F$2:F$5002),Raw_Data!F431)</f>
        <v>67.64</v>
      </c>
      <c r="G431" s="14" t="str">
        <f>IF(ISBLANK(Raw_Data!G431),AVERAGE(Raw_Data!G$2:G$5002),Raw_Data!G431)</f>
        <v>1839.92</v>
      </c>
      <c r="H431" s="15" t="str">
        <f t="shared" si="1"/>
        <v>46589.00</v>
      </c>
      <c r="I431" s="14" t="str">
        <f t="shared" si="2"/>
        <v>44749.00</v>
      </c>
      <c r="J431" s="16" t="str">
        <f>TEXT(Raw_Data!J431,"MMM-YYY")</f>
        <v>Aug-2025</v>
      </c>
      <c r="K431" s="13" t="str">
        <f>Raw_Data!K431</f>
        <v>12</v>
      </c>
      <c r="L431" s="17" t="str">
        <f>Raw_Data!L431</f>
        <v>Delhi-North</v>
      </c>
      <c r="M431" s="13" t="str">
        <f t="shared" si="3"/>
        <v>OK</v>
      </c>
      <c r="N431" s="18" t="str">
        <f t="shared" si="4"/>
        <v>VALID</v>
      </c>
    </row>
    <row r="432" ht="15.75" customHeight="1">
      <c r="A432" s="13" t="str">
        <f>Raw_Data!A432</f>
        <v>EMP0452</v>
      </c>
      <c r="B432" s="13" t="str">
        <f>TRIM(CLEAN(Raw_Data!B432))</f>
        <v>Customer Support</v>
      </c>
      <c r="C432" s="18" t="s">
        <v>54</v>
      </c>
      <c r="D432" s="14" t="str">
        <f>IF(ISBLANK(Raw_Data!D432),AVERAGE(Raw_Data!D$2:D$5002),Raw_Data!D432)</f>
        <v>44028.70</v>
      </c>
      <c r="E432" s="15" t="str">
        <f>IF(ISBLANK(Raw_Data!E432),AVERAGE(Raw_Data!E$2:E$5002),Raw_Data!E432)</f>
        <v>13208.61</v>
      </c>
      <c r="F432" s="15" t="str">
        <f>IF(ISBLANK(Raw_Data!F432),AVERAGE(Raw_Data!F$2:F$5002),Raw_Data!F432)</f>
        <v>2917.08</v>
      </c>
      <c r="G432" s="14" t="str">
        <f>IF(ISBLANK(Raw_Data!G432),AVERAGE(Raw_Data!G$2:G$5002),Raw_Data!G432)</f>
        <v>12909.16</v>
      </c>
      <c r="H432" s="15" t="str">
        <f t="shared" si="1"/>
        <v>60154.00</v>
      </c>
      <c r="I432" s="14" t="str">
        <f t="shared" si="2"/>
        <v>47245.00</v>
      </c>
      <c r="J432" s="16" t="str">
        <f>TEXT(Raw_Data!J432,"MMM-YYY")</f>
        <v>Feb-2025</v>
      </c>
      <c r="K432" s="13" t="str">
        <f>Raw_Data!K432</f>
        <v>18</v>
      </c>
      <c r="L432" s="17" t="str">
        <f>Raw_Data!L432</f>
        <v>Bangalore-South</v>
      </c>
      <c r="M432" s="13" t="str">
        <f t="shared" si="3"/>
        <v>OK</v>
      </c>
      <c r="N432" s="18" t="str">
        <f t="shared" si="4"/>
        <v>VALID</v>
      </c>
    </row>
    <row r="433" ht="15.75" customHeight="1">
      <c r="A433" s="13" t="str">
        <f>Raw_Data!A433</f>
        <v>EMP0453</v>
      </c>
      <c r="B433" s="13" t="str">
        <f>TRIM(CLEAN(Raw_Data!B433))</f>
        <v>Operations</v>
      </c>
      <c r="C433" s="18" t="s">
        <v>14</v>
      </c>
      <c r="D433" s="14" t="str">
        <f>IF(ISBLANK(Raw_Data!D433),AVERAGE(Raw_Data!D$2:D$5002),Raw_Data!D433)</f>
        <v>19654.32</v>
      </c>
      <c r="E433" s="15" t="str">
        <f>IF(ISBLANK(Raw_Data!E433),AVERAGE(Raw_Data!E$2:E$5002),Raw_Data!E433)</f>
        <v>5896.30</v>
      </c>
      <c r="F433" s="15" t="str">
        <f>IF(ISBLANK(Raw_Data!F433),AVERAGE(Raw_Data!F$2:F$5002),Raw_Data!F433)</f>
        <v>3542.78</v>
      </c>
      <c r="G433" s="14" t="str">
        <f>IF(ISBLANK(Raw_Data!G433),AVERAGE(Raw_Data!G$2:G$5002),Raw_Data!G433)</f>
        <v>4081.93</v>
      </c>
      <c r="H433" s="15" t="str">
        <f t="shared" si="1"/>
        <v>29093.00</v>
      </c>
      <c r="I433" s="14" t="str">
        <f t="shared" si="2"/>
        <v>25011.00</v>
      </c>
      <c r="J433" s="16" t="str">
        <f>TEXT(Raw_Data!J433,"MMM-YYY")</f>
        <v>Oct-2025</v>
      </c>
      <c r="K433" s="13" t="str">
        <f>Raw_Data!K433</f>
        <v>15</v>
      </c>
      <c r="L433" s="17" t="str">
        <f>Raw_Data!L433</f>
        <v>Chennai-South</v>
      </c>
      <c r="M433" s="13" t="str">
        <f t="shared" si="3"/>
        <v>OK</v>
      </c>
      <c r="N433" s="18" t="str">
        <f t="shared" si="4"/>
        <v>VALID</v>
      </c>
    </row>
    <row r="434" ht="15.75" customHeight="1">
      <c r="A434" s="13" t="str">
        <f>Raw_Data!A434</f>
        <v>EMP0454</v>
      </c>
      <c r="B434" s="13" t="str">
        <f>TRIM(CLEAN(Raw_Data!B434))</f>
        <v>Marketing</v>
      </c>
      <c r="C434" s="18" t="s">
        <v>33</v>
      </c>
      <c r="D434" s="14" t="str">
        <f>IF(ISBLANK(Raw_Data!D434),AVERAGE(Raw_Data!D$2:D$5002),Raw_Data!D434)</f>
        <v>25465.62</v>
      </c>
      <c r="E434" s="15" t="str">
        <f>IF(ISBLANK(Raw_Data!E434),AVERAGE(Raw_Data!E$2:E$5002),Raw_Data!E434)</f>
        <v>7639.69</v>
      </c>
      <c r="F434" s="15" t="str">
        <f>IF(ISBLANK(Raw_Data!F434),AVERAGE(Raw_Data!F$2:F$5002),Raw_Data!F434)</f>
        <v>378.66</v>
      </c>
      <c r="G434" s="14" t="str">
        <f>IF(ISBLANK(Raw_Data!G434),AVERAGE(Raw_Data!G$2:G$5002),Raw_Data!G434)</f>
        <v>7071.18</v>
      </c>
      <c r="H434" s="15" t="str">
        <f t="shared" si="1"/>
        <v>33484.00</v>
      </c>
      <c r="I434" s="14" t="str">
        <f t="shared" si="2"/>
        <v>26413.00</v>
      </c>
      <c r="J434" s="16" t="str">
        <f>TEXT(Raw_Data!J434,"MMM-YYY")</f>
        <v>Sep-2025</v>
      </c>
      <c r="K434" s="13" t="str">
        <f>Raw_Data!K434</f>
        <v>18</v>
      </c>
      <c r="L434" s="17" t="str">
        <f>Raw_Data!L434</f>
        <v>Kolkata-East</v>
      </c>
      <c r="M434" s="13" t="str">
        <f t="shared" si="3"/>
        <v>OK</v>
      </c>
      <c r="N434" s="18" t="str">
        <f t="shared" si="4"/>
        <v>VALID</v>
      </c>
    </row>
    <row r="435" ht="15.75" customHeight="1">
      <c r="A435" s="13" t="str">
        <f>Raw_Data!A435</f>
        <v>EMP0455</v>
      </c>
      <c r="B435" s="13" t="str">
        <f>TRIM(CLEAN(Raw_Data!B435))</f>
        <v>Operations</v>
      </c>
      <c r="C435" s="18" t="s">
        <v>18</v>
      </c>
      <c r="D435" s="14" t="str">
        <f>IF(ISBLANK(Raw_Data!D435),AVERAGE(Raw_Data!D$2:D$5002),Raw_Data!D435)</f>
        <v>65855.45</v>
      </c>
      <c r="E435" s="15" t="str">
        <f>IF(ISBLANK(Raw_Data!E435),AVERAGE(Raw_Data!E$2:E$5002),Raw_Data!E435)</f>
        <v>19756.63</v>
      </c>
      <c r="F435" s="15" t="str">
        <f>IF(ISBLANK(Raw_Data!F435),AVERAGE(Raw_Data!F$2:F$5002),Raw_Data!F435)</f>
        <v>12232.87</v>
      </c>
      <c r="G435" s="14" t="str">
        <f>IF(ISBLANK(Raw_Data!G435),AVERAGE(Raw_Data!G$2:G$5002),Raw_Data!G435)</f>
        <v>6213.16</v>
      </c>
      <c r="H435" s="15" t="str">
        <f t="shared" si="1"/>
        <v>97845.00</v>
      </c>
      <c r="I435" s="14" t="str">
        <f t="shared" si="2"/>
        <v>91632.00</v>
      </c>
      <c r="J435" s="16" t="str">
        <f>TEXT(Raw_Data!J435,"MMM-YYY")</f>
        <v>Apr-2025</v>
      </c>
      <c r="K435" s="13" t="str">
        <f>Raw_Data!K435</f>
        <v>25</v>
      </c>
      <c r="L435" s="17" t="str">
        <f>Raw_Data!L435</f>
        <v>Pune-West</v>
      </c>
      <c r="M435" s="13" t="str">
        <f t="shared" si="3"/>
        <v>OK</v>
      </c>
      <c r="N435" s="18" t="str">
        <f t="shared" si="4"/>
        <v>VALID</v>
      </c>
    </row>
    <row r="436" ht="15.75" customHeight="1">
      <c r="A436" s="13" t="str">
        <f>Raw_Data!A436</f>
        <v>EMP0456</v>
      </c>
      <c r="B436" s="13" t="str">
        <f>TRIM(CLEAN(Raw_Data!B436))</f>
        <v>Operations</v>
      </c>
      <c r="C436" s="18" t="s">
        <v>30</v>
      </c>
      <c r="D436" s="14" t="str">
        <f>IF(ISBLANK(Raw_Data!D436),AVERAGE(Raw_Data!D$2:D$5002),Raw_Data!D436)</f>
        <v>28619.84</v>
      </c>
      <c r="E436" s="15" t="str">
        <f>IF(ISBLANK(Raw_Data!E436),AVERAGE(Raw_Data!E$2:E$5002),Raw_Data!E436)</f>
        <v>8585.95</v>
      </c>
      <c r="F436" s="15" t="str">
        <f>IF(ISBLANK(Raw_Data!F436),AVERAGE(Raw_Data!F$2:F$5002),Raw_Data!F436)</f>
        <v>4079.54</v>
      </c>
      <c r="G436" s="14" t="str">
        <f>IF(ISBLANK(Raw_Data!G436),AVERAGE(Raw_Data!G$2:G$5002),Raw_Data!G436)</f>
        <v>3419.75</v>
      </c>
      <c r="H436" s="15" t="str">
        <f t="shared" si="1"/>
        <v>41285.00</v>
      </c>
      <c r="I436" s="14" t="str">
        <f t="shared" si="2"/>
        <v>37865.00</v>
      </c>
      <c r="J436" s="16" t="str">
        <f>TEXT(Raw_Data!J436,"MMM-YYY")</f>
        <v>Feb-2025</v>
      </c>
      <c r="K436" s="13" t="str">
        <f>Raw_Data!K436</f>
        <v>25</v>
      </c>
      <c r="L436" s="17" t="str">
        <f>Raw_Data!L436</f>
        <v>Hyderabad-South</v>
      </c>
      <c r="M436" s="13" t="str">
        <f t="shared" si="3"/>
        <v>OK</v>
      </c>
      <c r="N436" s="18" t="str">
        <f t="shared" si="4"/>
        <v>VALID</v>
      </c>
    </row>
    <row r="437" ht="15.75" customHeight="1">
      <c r="A437" s="13" t="str">
        <f>Raw_Data!A437</f>
        <v>EMP0457</v>
      </c>
      <c r="B437" s="13" t="str">
        <f>TRIM(CLEAN(Raw_Data!B437))</f>
        <v>IT</v>
      </c>
      <c r="C437" s="18" t="s">
        <v>30</v>
      </c>
      <c r="D437" s="14" t="str">
        <f>IF(ISBLANK(Raw_Data!D437),AVERAGE(Raw_Data!D$2:D$5002),Raw_Data!D437)</f>
        <v>26962.83</v>
      </c>
      <c r="E437" s="15" t="str">
        <f>IF(ISBLANK(Raw_Data!E437),AVERAGE(Raw_Data!E$2:E$5002),Raw_Data!E437)</f>
        <v>8088.85</v>
      </c>
      <c r="F437" s="15" t="str">
        <f>IF(ISBLANK(Raw_Data!F437),AVERAGE(Raw_Data!F$2:F$5002),Raw_Data!F437)</f>
        <v>3055.95</v>
      </c>
      <c r="G437" s="14" t="str">
        <f>IF(ISBLANK(Raw_Data!G437),AVERAGE(Raw_Data!G$2:G$5002),Raw_Data!G437)</f>
        <v>6871.01</v>
      </c>
      <c r="H437" s="15" t="str">
        <f t="shared" si="1"/>
        <v>38108.00</v>
      </c>
      <c r="I437" s="14" t="str">
        <f t="shared" si="2"/>
        <v>31237.00</v>
      </c>
      <c r="J437" s="16" t="str">
        <f>TEXT(Raw_Data!J437,"MMM-YYY")</f>
        <v>Nov-2025</v>
      </c>
      <c r="K437" s="13" t="str">
        <f>Raw_Data!K437</f>
        <v>15</v>
      </c>
      <c r="L437" s="17" t="str">
        <f>Raw_Data!L437</f>
        <v>Chandigarh-North</v>
      </c>
      <c r="M437" s="13" t="str">
        <f t="shared" si="3"/>
        <v>OK</v>
      </c>
      <c r="N437" s="18" t="str">
        <f t="shared" si="4"/>
        <v>VALID</v>
      </c>
    </row>
    <row r="438" ht="15.75" customHeight="1">
      <c r="A438" s="13" t="str">
        <f>Raw_Data!A438</f>
        <v>EMP0458</v>
      </c>
      <c r="B438" s="13" t="str">
        <f>TRIM(CLEAN(Raw_Data!B438))</f>
        <v>Operations</v>
      </c>
      <c r="C438" s="18" t="s">
        <v>33</v>
      </c>
      <c r="D438" s="14" t="str">
        <f>IF(ISBLANK(Raw_Data!D438),AVERAGE(Raw_Data!D$2:D$5002),Raw_Data!D438)</f>
        <v>28838.46</v>
      </c>
      <c r="E438" s="15" t="str">
        <f>IF(ISBLANK(Raw_Data!E438),AVERAGE(Raw_Data!E$2:E$5002),Raw_Data!E438)</f>
        <v>8651.54</v>
      </c>
      <c r="F438" s="15" t="str">
        <f>IF(ISBLANK(Raw_Data!F438),AVERAGE(Raw_Data!F$2:F$5002),Raw_Data!F438)</f>
        <v>4266.62</v>
      </c>
      <c r="G438" s="14" t="str">
        <f>IF(ISBLANK(Raw_Data!G438),AVERAGE(Raw_Data!G$2:G$5002),Raw_Data!G438)</f>
        <v>6839.02</v>
      </c>
      <c r="H438" s="15" t="str">
        <f t="shared" si="1"/>
        <v>41757.00</v>
      </c>
      <c r="I438" s="14" t="str">
        <f t="shared" si="2"/>
        <v>34918.00</v>
      </c>
      <c r="J438" s="16" t="str">
        <f>TEXT(Raw_Data!J438,"MMM-YYY")</f>
        <v>Dec-2025</v>
      </c>
      <c r="K438" s="13" t="str">
        <f>Raw_Data!K438</f>
        <v>4</v>
      </c>
      <c r="L438" s="17" t="str">
        <f>Raw_Data!L438</f>
        <v>Ahmedabad-West</v>
      </c>
      <c r="M438" s="13" t="str">
        <f t="shared" si="3"/>
        <v>OK</v>
      </c>
      <c r="N438" s="18" t="str">
        <f t="shared" si="4"/>
        <v>VALID</v>
      </c>
    </row>
    <row r="439" ht="15.75" customHeight="1">
      <c r="A439" s="13" t="str">
        <f>Raw_Data!A439</f>
        <v>EMP0459</v>
      </c>
      <c r="B439" s="13" t="str">
        <f>TRIM(CLEAN(Raw_Data!B439))</f>
        <v>Sales</v>
      </c>
      <c r="C439" s="18" t="s">
        <v>14</v>
      </c>
      <c r="D439" s="14" t="str">
        <f>IF(ISBLANK(Raw_Data!D439),AVERAGE(Raw_Data!D$2:D$5002),Raw_Data!D439)</f>
        <v>21605.71</v>
      </c>
      <c r="E439" s="15" t="str">
        <f>IF(ISBLANK(Raw_Data!E439),AVERAGE(Raw_Data!E$2:E$5002),Raw_Data!E439)</f>
        <v>6481.71</v>
      </c>
      <c r="F439" s="15" t="str">
        <f>IF(ISBLANK(Raw_Data!F439),AVERAGE(Raw_Data!F$2:F$5002),Raw_Data!F439)</f>
        <v>4210.19</v>
      </c>
      <c r="G439" s="14" t="str">
        <f>IF(ISBLANK(Raw_Data!G439),AVERAGE(Raw_Data!G$2:G$5002),Raw_Data!G439)</f>
        <v>348.04</v>
      </c>
      <c r="H439" s="15" t="str">
        <f t="shared" si="1"/>
        <v>32298.00</v>
      </c>
      <c r="I439" s="14" t="str">
        <f t="shared" si="2"/>
        <v>31950.00</v>
      </c>
      <c r="J439" s="16" t="str">
        <f>TEXT(Raw_Data!J439,"MMM-YYY")</f>
        <v>Jul-2025</v>
      </c>
      <c r="K439" s="13" t="str">
        <f>Raw_Data!K439</f>
        <v>19</v>
      </c>
      <c r="L439" s="17" t="str">
        <f>Raw_Data!L439</f>
        <v>Jaipur-North</v>
      </c>
      <c r="M439" s="13" t="str">
        <f t="shared" si="3"/>
        <v>OK</v>
      </c>
      <c r="N439" s="18" t="str">
        <f t="shared" si="4"/>
        <v>VALID</v>
      </c>
    </row>
    <row r="440" ht="15.75" customHeight="1">
      <c r="A440" s="13" t="str">
        <f>Raw_Data!A440</f>
        <v>EMP0460</v>
      </c>
      <c r="B440" s="13" t="str">
        <f>TRIM(CLEAN(Raw_Data!B440))</f>
        <v>Finance</v>
      </c>
      <c r="C440" s="18" t="s">
        <v>26</v>
      </c>
      <c r="D440" s="14" t="str">
        <f>IF(ISBLANK(Raw_Data!D440),AVERAGE(Raw_Data!D$2:D$5002),Raw_Data!D440)</f>
        <v>92736.66</v>
      </c>
      <c r="E440" s="15" t="str">
        <f>IF(ISBLANK(Raw_Data!E440),AVERAGE(Raw_Data!E$2:E$5002),Raw_Data!E440)</f>
        <v>27821.00</v>
      </c>
      <c r="F440" s="15" t="str">
        <f>IF(ISBLANK(Raw_Data!F440),AVERAGE(Raw_Data!F$2:F$5002),Raw_Data!F440)</f>
        <v>11224.27</v>
      </c>
      <c r="G440" s="14" t="str">
        <f>IF(ISBLANK(Raw_Data!G440),AVERAGE(Raw_Data!G$2:G$5002),Raw_Data!G440)</f>
        <v>17078.34</v>
      </c>
      <c r="H440" s="15" t="str">
        <f t="shared" si="1"/>
        <v>131782.00</v>
      </c>
      <c r="I440" s="14" t="str">
        <f t="shared" si="2"/>
        <v>114704.00</v>
      </c>
      <c r="J440" s="16" t="str">
        <f>TEXT(Raw_Data!J440,"MMM-YYY")</f>
        <v>Oct-2025</v>
      </c>
      <c r="K440" s="13" t="str">
        <f>Raw_Data!K440</f>
        <v>14</v>
      </c>
      <c r="L440" s="17" t="str">
        <f>Raw_Data!L440</f>
        <v>Mumbai-HO</v>
      </c>
      <c r="M440" s="13" t="str">
        <f t="shared" si="3"/>
        <v>OK</v>
      </c>
      <c r="N440" s="18" t="str">
        <f t="shared" si="4"/>
        <v>VALID</v>
      </c>
    </row>
    <row r="441" ht="15.75" customHeight="1">
      <c r="A441" s="13" t="str">
        <f>Raw_Data!A441</f>
        <v>EMP0461</v>
      </c>
      <c r="B441" s="13" t="str">
        <f>TRIM(CLEAN(Raw_Data!B441))</f>
        <v>Marketing</v>
      </c>
      <c r="C441" s="18" t="s">
        <v>26</v>
      </c>
      <c r="D441" s="14" t="str">
        <f>IF(ISBLANK(Raw_Data!D441),AVERAGE(Raw_Data!D$2:D$5002),Raw_Data!D441)</f>
        <v>101749.56</v>
      </c>
      <c r="E441" s="15" t="str">
        <f>IF(ISBLANK(Raw_Data!E441),AVERAGE(Raw_Data!E$2:E$5002),Raw_Data!E441)</f>
        <v>30524.87</v>
      </c>
      <c r="F441" s="15" t="str">
        <f>IF(ISBLANK(Raw_Data!F441),AVERAGE(Raw_Data!F$2:F$5002),Raw_Data!F441)</f>
        <v>12904.35</v>
      </c>
      <c r="G441" s="14" t="str">
        <f>IF(ISBLANK(Raw_Data!G441),AVERAGE(Raw_Data!G$2:G$5002),Raw_Data!G441)</f>
        <v>23917.70</v>
      </c>
      <c r="H441" s="15" t="str">
        <f t="shared" si="1"/>
        <v>145179.00</v>
      </c>
      <c r="I441" s="14" t="str">
        <f t="shared" si="2"/>
        <v>121261.00</v>
      </c>
      <c r="J441" s="16" t="str">
        <f>TEXT(Raw_Data!J441,"MMM-YYY")</f>
        <v>Aug-2025</v>
      </c>
      <c r="K441" s="13" t="str">
        <f>Raw_Data!K441</f>
        <v>17</v>
      </c>
      <c r="L441" s="17" t="str">
        <f>Raw_Data!L441</f>
        <v>Delhi-North</v>
      </c>
      <c r="M441" s="13" t="str">
        <f t="shared" si="3"/>
        <v>OK</v>
      </c>
      <c r="N441" s="18" t="str">
        <f t="shared" si="4"/>
        <v>VALID</v>
      </c>
    </row>
    <row r="442" ht="15.75" customHeight="1">
      <c r="A442" s="13" t="str">
        <f>Raw_Data!A442</f>
        <v>EMP0462</v>
      </c>
      <c r="B442" s="13" t="str">
        <f>TRIM(CLEAN(Raw_Data!B442))</f>
        <v>Marketing</v>
      </c>
      <c r="C442" s="18" t="s">
        <v>30</v>
      </c>
      <c r="D442" s="14" t="str">
        <f>IF(ISBLANK(Raw_Data!D442),AVERAGE(Raw_Data!D$2:D$5002),Raw_Data!D442)</f>
        <v>25131.14</v>
      </c>
      <c r="E442" s="15" t="str">
        <f>IF(ISBLANK(Raw_Data!E442),AVERAGE(Raw_Data!E$2:E$5002),Raw_Data!E442)</f>
        <v>7539.34</v>
      </c>
      <c r="F442" s="15" t="str">
        <f>IF(ISBLANK(Raw_Data!F442),AVERAGE(Raw_Data!F$2:F$5002),Raw_Data!F442)</f>
        <v>4730.40</v>
      </c>
      <c r="G442" s="14" t="str">
        <f>IF(ISBLANK(Raw_Data!G442),AVERAGE(Raw_Data!G$2:G$5002),Raw_Data!G442)</f>
        <v>3255.85</v>
      </c>
      <c r="H442" s="15" t="str">
        <f t="shared" si="1"/>
        <v>37401.00</v>
      </c>
      <c r="I442" s="14" t="str">
        <f t="shared" si="2"/>
        <v>34145.00</v>
      </c>
      <c r="J442" s="16" t="str">
        <f>TEXT(Raw_Data!J442,"MMM-YYY")</f>
        <v>Nov-2025</v>
      </c>
      <c r="K442" s="13" t="str">
        <f>Raw_Data!K442</f>
        <v>1</v>
      </c>
      <c r="L442" s="17" t="str">
        <f>Raw_Data!L442</f>
        <v>Bangalore-South</v>
      </c>
      <c r="M442" s="13" t="str">
        <f t="shared" si="3"/>
        <v>OK</v>
      </c>
      <c r="N442" s="18" t="str">
        <f t="shared" si="4"/>
        <v>VALID</v>
      </c>
    </row>
    <row r="443" ht="15.75" customHeight="1">
      <c r="A443" s="13" t="str">
        <f>Raw_Data!A443</f>
        <v>EMP0463</v>
      </c>
      <c r="B443" s="13" t="str">
        <f>TRIM(CLEAN(Raw_Data!B443))</f>
        <v>Operations</v>
      </c>
      <c r="C443" s="18" t="s">
        <v>18</v>
      </c>
      <c r="D443" s="14" t="str">
        <f>IF(ISBLANK(Raw_Data!D443),AVERAGE(Raw_Data!D$2:D$5002),Raw_Data!D443)</f>
        <v>74881.89</v>
      </c>
      <c r="E443" s="15" t="str">
        <f>IF(ISBLANK(Raw_Data!E443),AVERAGE(Raw_Data!E$2:E$5002),Raw_Data!E443)</f>
        <v>22464.57</v>
      </c>
      <c r="F443" s="15" t="str">
        <f>IF(ISBLANK(Raw_Data!F443),AVERAGE(Raw_Data!F$2:F$5002),Raw_Data!F443)</f>
        <v>11564.27</v>
      </c>
      <c r="G443" s="14" t="str">
        <f>IF(ISBLANK(Raw_Data!G443),AVERAGE(Raw_Data!G$2:G$5002),Raw_Data!G443)</f>
        <v>6635.57</v>
      </c>
      <c r="H443" s="15" t="str">
        <f t="shared" si="1"/>
        <v>108911.00</v>
      </c>
      <c r="I443" s="14" t="str">
        <f t="shared" si="2"/>
        <v>102275.00</v>
      </c>
      <c r="J443" s="16" t="str">
        <f>TEXT(Raw_Data!J443,"MMM-YYY")</f>
        <v>Apr-2025</v>
      </c>
      <c r="K443" s="13" t="str">
        <f>Raw_Data!K443</f>
        <v>14</v>
      </c>
      <c r="L443" s="17" t="str">
        <f>Raw_Data!L443</f>
        <v>Chennai-South</v>
      </c>
      <c r="M443" s="13" t="str">
        <f t="shared" si="3"/>
        <v>OK</v>
      </c>
      <c r="N443" s="18" t="str">
        <f t="shared" si="4"/>
        <v>VALID</v>
      </c>
    </row>
    <row r="444" ht="15.75" customHeight="1">
      <c r="A444" s="13" t="str">
        <f>Raw_Data!A444</f>
        <v>EMP0464</v>
      </c>
      <c r="B444" s="13" t="str">
        <f>TRIM(CLEAN(Raw_Data!B444))</f>
        <v>Sales</v>
      </c>
      <c r="C444" s="18" t="s">
        <v>14</v>
      </c>
      <c r="D444" s="14" t="str">
        <f>IF(ISBLANK(Raw_Data!D444),AVERAGE(Raw_Data!D$2:D$5002),Raw_Data!D444)</f>
        <v>18590.67</v>
      </c>
      <c r="E444" s="15" t="str">
        <f>IF(ISBLANK(Raw_Data!E444),AVERAGE(Raw_Data!E$2:E$5002),Raw_Data!E444)</f>
        <v>5577.20</v>
      </c>
      <c r="F444" s="15" t="str">
        <f>IF(ISBLANK(Raw_Data!F444),AVERAGE(Raw_Data!F$2:F$5002),Raw_Data!F444)</f>
        <v>573.41</v>
      </c>
      <c r="G444" s="14" t="str">
        <f>IF(ISBLANK(Raw_Data!G444),AVERAGE(Raw_Data!G$2:G$5002),Raw_Data!G444)</f>
        <v>3969.17</v>
      </c>
      <c r="H444" s="15" t="str">
        <f t="shared" si="1"/>
        <v>24741.00</v>
      </c>
      <c r="I444" s="14" t="str">
        <f t="shared" si="2"/>
        <v>20772.00</v>
      </c>
      <c r="J444" s="16" t="str">
        <f>TEXT(Raw_Data!J444,"MMM-YYY")</f>
        <v>Nov-2025</v>
      </c>
      <c r="K444" s="13" t="str">
        <f>Raw_Data!K444</f>
        <v>11</v>
      </c>
      <c r="L444" s="17" t="str">
        <f>Raw_Data!L444</f>
        <v>Kolkata-East</v>
      </c>
      <c r="M444" s="13" t="str">
        <f t="shared" si="3"/>
        <v>OK</v>
      </c>
      <c r="N444" s="18" t="str">
        <f t="shared" si="4"/>
        <v>VALID</v>
      </c>
    </row>
    <row r="445" ht="15.75" customHeight="1">
      <c r="A445" s="13" t="str">
        <f>Raw_Data!A445</f>
        <v>EMP0465</v>
      </c>
      <c r="B445" s="13" t="str">
        <f>TRIM(CLEAN(Raw_Data!B445))</f>
        <v>Finance</v>
      </c>
      <c r="C445" s="18" t="s">
        <v>18</v>
      </c>
      <c r="D445" s="14" t="str">
        <f>IF(ISBLANK(Raw_Data!D445),AVERAGE(Raw_Data!D$2:D$5002),Raw_Data!D445)</f>
        <v>75130.17</v>
      </c>
      <c r="E445" s="15" t="str">
        <f>IF(ISBLANK(Raw_Data!E445),AVERAGE(Raw_Data!E$2:E$5002),Raw_Data!E445)</f>
        <v>22539.05</v>
      </c>
      <c r="F445" s="15" t="str">
        <f>IF(ISBLANK(Raw_Data!F445),AVERAGE(Raw_Data!F$2:F$5002),Raw_Data!F445)</f>
        <v>5419.89</v>
      </c>
      <c r="G445" s="14" t="str">
        <f>IF(ISBLANK(Raw_Data!G445),AVERAGE(Raw_Data!G$2:G$5002),Raw_Data!G445)</f>
        <v>2062.78</v>
      </c>
      <c r="H445" s="15" t="str">
        <f t="shared" si="1"/>
        <v>103089.00</v>
      </c>
      <c r="I445" s="14" t="str">
        <f t="shared" si="2"/>
        <v>101026.00</v>
      </c>
      <c r="J445" s="16" t="str">
        <f>TEXT(Raw_Data!J445,"MMM-YYY")</f>
        <v>May-2025</v>
      </c>
      <c r="K445" s="13" t="str">
        <f>Raw_Data!K445</f>
        <v>11</v>
      </c>
      <c r="L445" s="17" t="str">
        <f>Raw_Data!L445</f>
        <v>Pune-West</v>
      </c>
      <c r="M445" s="13" t="str">
        <f t="shared" si="3"/>
        <v>OK</v>
      </c>
      <c r="N445" s="18" t="str">
        <f t="shared" si="4"/>
        <v>VALID</v>
      </c>
    </row>
    <row r="446" ht="15.75" customHeight="1">
      <c r="A446" s="13" t="str">
        <f>Raw_Data!A446</f>
        <v>EMP0466</v>
      </c>
      <c r="B446" s="13" t="str">
        <f>TRIM(CLEAN(Raw_Data!B446))</f>
        <v>Marketing</v>
      </c>
      <c r="C446" s="18" t="s">
        <v>33</v>
      </c>
      <c r="D446" s="14" t="str">
        <f>IF(ISBLANK(Raw_Data!D446),AVERAGE(Raw_Data!D$2:D$5002),Raw_Data!D446)</f>
        <v>32613.46</v>
      </c>
      <c r="E446" s="15" t="str">
        <f>IF(ISBLANK(Raw_Data!E446),AVERAGE(Raw_Data!E$2:E$5002),Raw_Data!E446)</f>
        <v>9784.04</v>
      </c>
      <c r="F446" s="15" t="str">
        <f>IF(ISBLANK(Raw_Data!F446),AVERAGE(Raw_Data!F$2:F$5002),Raw_Data!F446)</f>
        <v>666.82</v>
      </c>
      <c r="G446" s="14" t="str">
        <f>IF(ISBLANK(Raw_Data!G446),AVERAGE(Raw_Data!G$2:G$5002),Raw_Data!G446)</f>
        <v>854.12</v>
      </c>
      <c r="H446" s="15" t="str">
        <f t="shared" si="1"/>
        <v>43064.00</v>
      </c>
      <c r="I446" s="14" t="str">
        <f t="shared" si="2"/>
        <v>42210.00</v>
      </c>
      <c r="J446" s="16" t="str">
        <f>TEXT(Raw_Data!J446,"MMM-YYY")</f>
        <v>Jul-2025</v>
      </c>
      <c r="K446" s="13" t="str">
        <f>Raw_Data!K446</f>
        <v>12</v>
      </c>
      <c r="L446" s="17" t="str">
        <f>Raw_Data!L446</f>
        <v>Hyderabad-South</v>
      </c>
      <c r="M446" s="13" t="str">
        <f t="shared" si="3"/>
        <v>OK</v>
      </c>
      <c r="N446" s="18" t="str">
        <f t="shared" si="4"/>
        <v>VALID</v>
      </c>
    </row>
    <row r="447" ht="15.75" customHeight="1">
      <c r="A447" s="13" t="str">
        <f>Raw_Data!A447</f>
        <v>EMP0467</v>
      </c>
      <c r="B447" s="13" t="str">
        <f>TRIM(CLEAN(Raw_Data!B447))</f>
        <v>Marketing</v>
      </c>
      <c r="C447" s="18" t="s">
        <v>37</v>
      </c>
      <c r="D447" s="14" t="str">
        <f>IF(ISBLANK(Raw_Data!D447),AVERAGE(Raw_Data!D$2:D$5002),Raw_Data!D447)</f>
        <v>54985.32</v>
      </c>
      <c r="E447" s="15" t="str">
        <f>IF(ISBLANK(Raw_Data!E447),AVERAGE(Raw_Data!E$2:E$5002),Raw_Data!E447)</f>
        <v>16495.60</v>
      </c>
      <c r="F447" s="15" t="str">
        <f>IF(ISBLANK(Raw_Data!F447),AVERAGE(Raw_Data!F$2:F$5002),Raw_Data!F447)</f>
        <v>4487.29</v>
      </c>
      <c r="G447" s="14" t="str">
        <f>IF(ISBLANK(Raw_Data!G447),AVERAGE(Raw_Data!G$2:G$5002),Raw_Data!G447)</f>
        <v>433.21</v>
      </c>
      <c r="H447" s="15" t="str">
        <f t="shared" si="1"/>
        <v>75968.00</v>
      </c>
      <c r="I447" s="14" t="str">
        <f t="shared" si="2"/>
        <v>75535.00</v>
      </c>
      <c r="J447" s="16" t="str">
        <f>TEXT(Raw_Data!J447,"MMM-YYY")</f>
        <v>Jun-2025</v>
      </c>
      <c r="K447" s="13" t="str">
        <f>Raw_Data!K447</f>
        <v>2</v>
      </c>
      <c r="L447" s="17" t="str">
        <f>Raw_Data!L447</f>
        <v>Chandigarh-North</v>
      </c>
      <c r="M447" s="13" t="str">
        <f t="shared" si="3"/>
        <v>OK</v>
      </c>
      <c r="N447" s="18" t="str">
        <f t="shared" si="4"/>
        <v>VALID</v>
      </c>
    </row>
    <row r="448" ht="15.75" customHeight="1">
      <c r="A448" s="13" t="str">
        <f>Raw_Data!A448</f>
        <v>EMP0468</v>
      </c>
      <c r="B448" s="13" t="str">
        <f>TRIM(CLEAN(Raw_Data!B448))</f>
        <v>Operations</v>
      </c>
      <c r="C448" s="18" t="s">
        <v>14</v>
      </c>
      <c r="D448" s="14" t="str">
        <f>IF(ISBLANK(Raw_Data!D448),AVERAGE(Raw_Data!D$2:D$5002),Raw_Data!D448)</f>
        <v>22297.86</v>
      </c>
      <c r="E448" s="15" t="str">
        <f>IF(ISBLANK(Raw_Data!E448),AVERAGE(Raw_Data!E$2:E$5002),Raw_Data!E448)</f>
        <v>6689.36</v>
      </c>
      <c r="F448" s="15" t="str">
        <f>IF(ISBLANK(Raw_Data!F448),AVERAGE(Raw_Data!F$2:F$5002),Raw_Data!F448)</f>
        <v>3498.26</v>
      </c>
      <c r="G448" s="14" t="str">
        <f>IF(ISBLANK(Raw_Data!G448),AVERAGE(Raw_Data!G$2:G$5002),Raw_Data!G448)</f>
        <v>5777.72</v>
      </c>
      <c r="H448" s="15" t="str">
        <f t="shared" si="1"/>
        <v>32485.00</v>
      </c>
      <c r="I448" s="14" t="str">
        <f t="shared" si="2"/>
        <v>26707.00</v>
      </c>
      <c r="J448" s="16" t="str">
        <f>TEXT(Raw_Data!J448,"MMM-YYY")</f>
        <v>Jan-2025</v>
      </c>
      <c r="K448" s="13" t="str">
        <f>Raw_Data!K448</f>
        <v>17</v>
      </c>
      <c r="L448" s="17" t="str">
        <f>Raw_Data!L448</f>
        <v>Ahmedabad-West</v>
      </c>
      <c r="M448" s="13" t="str">
        <f t="shared" si="3"/>
        <v>OK</v>
      </c>
      <c r="N448" s="18" t="str">
        <f t="shared" si="4"/>
        <v>VALID</v>
      </c>
    </row>
    <row r="449" ht="15.75" customHeight="1">
      <c r="A449" s="13" t="str">
        <f>Raw_Data!A449</f>
        <v>EMP0469</v>
      </c>
      <c r="B449" s="13" t="str">
        <f>TRIM(CLEAN(Raw_Data!B449))</f>
        <v>IT</v>
      </c>
      <c r="C449" s="18" t="s">
        <v>54</v>
      </c>
      <c r="D449" s="14" t="str">
        <f>IF(ISBLANK(Raw_Data!D449),AVERAGE(Raw_Data!D$2:D$5002),Raw_Data!D449)</f>
        <v>40429.19</v>
      </c>
      <c r="E449" s="15" t="str">
        <f>IF(ISBLANK(Raw_Data!E449),AVERAGE(Raw_Data!E$2:E$5002),Raw_Data!E449)</f>
        <v>12128.76</v>
      </c>
      <c r="F449" s="15" t="str">
        <f>IF(ISBLANK(Raw_Data!F449),AVERAGE(Raw_Data!F$2:F$5002),Raw_Data!F449)</f>
        <v>684.87</v>
      </c>
      <c r="G449" s="14" t="str">
        <f>IF(ISBLANK(Raw_Data!G449),AVERAGE(Raw_Data!G$2:G$5002),Raw_Data!G449)</f>
        <v>10929.66</v>
      </c>
      <c r="H449" s="15" t="str">
        <f t="shared" si="1"/>
        <v>53243.00</v>
      </c>
      <c r="I449" s="14" t="str">
        <f t="shared" si="2"/>
        <v>42313.00</v>
      </c>
      <c r="J449" s="16" t="str">
        <f>TEXT(Raw_Data!J449,"MMM-YYY")</f>
        <v>Apr-2025</v>
      </c>
      <c r="K449" s="13" t="str">
        <f>Raw_Data!K449</f>
        <v>24</v>
      </c>
      <c r="L449" s="17" t="str">
        <f>Raw_Data!L449</f>
        <v>Jaipur-North</v>
      </c>
      <c r="M449" s="13" t="str">
        <f t="shared" si="3"/>
        <v>OK</v>
      </c>
      <c r="N449" s="18" t="str">
        <f t="shared" si="4"/>
        <v>VALID</v>
      </c>
    </row>
    <row r="450" ht="15.75" customHeight="1">
      <c r="A450" s="13" t="str">
        <f>Raw_Data!A450</f>
        <v>EMP0471</v>
      </c>
      <c r="B450" s="13" t="str">
        <f>TRIM(CLEAN(Raw_Data!B450))</f>
        <v>IT</v>
      </c>
      <c r="C450" s="18" t="s">
        <v>54</v>
      </c>
      <c r="D450" s="14" t="str">
        <f>IF(ISBLANK(Raw_Data!D450),AVERAGE(Raw_Data!D$2:D$5002),Raw_Data!D450)</f>
        <v>37043.09</v>
      </c>
      <c r="E450" s="15" t="str">
        <f>IF(ISBLANK(Raw_Data!E450),AVERAGE(Raw_Data!E$2:E$5002),Raw_Data!E450)</f>
        <v>11112.93</v>
      </c>
      <c r="F450" s="15" t="str">
        <f>IF(ISBLANK(Raw_Data!F450),AVERAGE(Raw_Data!F$2:F$5002),Raw_Data!F450)</f>
        <v>1238.78</v>
      </c>
      <c r="G450" s="14" t="str">
        <f>IF(ISBLANK(Raw_Data!G450),AVERAGE(Raw_Data!G$2:G$5002),Raw_Data!G450)</f>
        <v>3066.74</v>
      </c>
      <c r="H450" s="15" t="str">
        <f t="shared" si="1"/>
        <v>49395.00</v>
      </c>
      <c r="I450" s="14" t="str">
        <f t="shared" si="2"/>
        <v>46328.00</v>
      </c>
      <c r="J450" s="16" t="str">
        <f>TEXT(Raw_Data!J450,"MMM-YYY")</f>
        <v>May-2025</v>
      </c>
      <c r="K450" s="13" t="str">
        <f>Raw_Data!K450</f>
        <v>20</v>
      </c>
      <c r="L450" s="17" t="str">
        <f>Raw_Data!L450</f>
        <v>Delhi-North</v>
      </c>
      <c r="M450" s="13" t="str">
        <f t="shared" si="3"/>
        <v>OK</v>
      </c>
      <c r="N450" s="18" t="str">
        <f t="shared" si="4"/>
        <v>VALID</v>
      </c>
    </row>
    <row r="451" ht="15.75" customHeight="1">
      <c r="A451" s="13" t="str">
        <f>Raw_Data!A451</f>
        <v>EMP0472</v>
      </c>
      <c r="B451" s="13" t="str">
        <f>TRIM(CLEAN(Raw_Data!B451))</f>
        <v>Marketing</v>
      </c>
      <c r="C451" s="18" t="s">
        <v>26</v>
      </c>
      <c r="D451" s="14" t="str">
        <f>IF(ISBLANK(Raw_Data!D451),AVERAGE(Raw_Data!D$2:D$5002),Raw_Data!D451)</f>
        <v>92769.17</v>
      </c>
      <c r="E451" s="15" t="str">
        <f>IF(ISBLANK(Raw_Data!E451),AVERAGE(Raw_Data!E$2:E$5002),Raw_Data!E451)</f>
        <v>27830.75</v>
      </c>
      <c r="F451" s="15" t="str">
        <f>IF(ISBLANK(Raw_Data!F451),AVERAGE(Raw_Data!F$2:F$5002),Raw_Data!F451)</f>
        <v>4670.00</v>
      </c>
      <c r="G451" s="14" t="str">
        <f>IF(ISBLANK(Raw_Data!G451),AVERAGE(Raw_Data!G$2:G$5002),Raw_Data!G451)</f>
        <v>6862.79</v>
      </c>
      <c r="H451" s="15" t="str">
        <f t="shared" si="1"/>
        <v>125270.00</v>
      </c>
      <c r="I451" s="14" t="str">
        <f t="shared" si="2"/>
        <v>118407.00</v>
      </c>
      <c r="J451" s="16" t="str">
        <f>TEXT(Raw_Data!J451,"MMM-YYY")</f>
        <v>Nov-2025</v>
      </c>
      <c r="K451" s="13" t="str">
        <f>Raw_Data!K451</f>
        <v>2</v>
      </c>
      <c r="L451" s="17" t="str">
        <f>Raw_Data!L451</f>
        <v>Bangalore-South</v>
      </c>
      <c r="M451" s="13" t="str">
        <f t="shared" si="3"/>
        <v>OK</v>
      </c>
      <c r="N451" s="18" t="str">
        <f t="shared" si="4"/>
        <v>VALID</v>
      </c>
    </row>
    <row r="452" ht="15.75" customHeight="1">
      <c r="A452" s="13" t="str">
        <f>Raw_Data!A452</f>
        <v>EMP0474</v>
      </c>
      <c r="B452" s="13" t="str">
        <f>TRIM(CLEAN(Raw_Data!B452))</f>
        <v>Marketing</v>
      </c>
      <c r="C452" s="18" t="s">
        <v>33</v>
      </c>
      <c r="D452" s="14" t="str">
        <f>IF(ISBLANK(Raw_Data!D452),AVERAGE(Raw_Data!D$2:D$5002),Raw_Data!D452)</f>
        <v>33416.13</v>
      </c>
      <c r="E452" s="15" t="str">
        <f>IF(ISBLANK(Raw_Data!E452),AVERAGE(Raw_Data!E$2:E$5002),Raw_Data!E452)</f>
        <v>10024.84</v>
      </c>
      <c r="F452" s="15" t="str">
        <f>IF(ISBLANK(Raw_Data!F452),AVERAGE(Raw_Data!F$2:F$5002),Raw_Data!F452)</f>
        <v>2538.89</v>
      </c>
      <c r="G452" s="14" t="str">
        <f>IF(ISBLANK(Raw_Data!G452),AVERAGE(Raw_Data!G$2:G$5002),Raw_Data!G452)</f>
        <v>8643.40</v>
      </c>
      <c r="H452" s="15" t="str">
        <f t="shared" si="1"/>
        <v>45980.00</v>
      </c>
      <c r="I452" s="14" t="str">
        <f t="shared" si="2"/>
        <v>37337.00</v>
      </c>
      <c r="J452" s="16" t="str">
        <f>TEXT(Raw_Data!J452,"MMM-YYY")</f>
        <v>Aug-2025</v>
      </c>
      <c r="K452" s="13" t="str">
        <f>Raw_Data!K452</f>
        <v>25</v>
      </c>
      <c r="L452" s="17" t="str">
        <f>Raw_Data!L452</f>
        <v>Kolkata-East</v>
      </c>
      <c r="M452" s="13" t="str">
        <f t="shared" si="3"/>
        <v>OK</v>
      </c>
      <c r="N452" s="18" t="str">
        <f t="shared" si="4"/>
        <v>VALID</v>
      </c>
    </row>
    <row r="453" ht="15.75" customHeight="1">
      <c r="A453" s="13" t="str">
        <f>Raw_Data!A453</f>
        <v>EMP0475</v>
      </c>
      <c r="B453" s="13" t="str">
        <f>TRIM(CLEAN(Raw_Data!B453))</f>
        <v>IT</v>
      </c>
      <c r="C453" s="18" t="s">
        <v>54</v>
      </c>
      <c r="D453" s="14" t="str">
        <f>IF(ISBLANK(Raw_Data!D453),AVERAGE(Raw_Data!D$2:D$5002),Raw_Data!D453)</f>
        <v>46416.66</v>
      </c>
      <c r="E453" s="15" t="str">
        <f>IF(ISBLANK(Raw_Data!E453),AVERAGE(Raw_Data!E$2:E$5002),Raw_Data!E453)</f>
        <v>13925.00</v>
      </c>
      <c r="F453" s="15" t="str">
        <f>IF(ISBLANK(Raw_Data!F453),AVERAGE(Raw_Data!F$2:F$5002),Raw_Data!F453)</f>
        <v>7979.10</v>
      </c>
      <c r="G453" s="14" t="str">
        <f>IF(ISBLANK(Raw_Data!G453),AVERAGE(Raw_Data!G$2:G$5002),Raw_Data!G453)</f>
        <v>13566.09</v>
      </c>
      <c r="H453" s="15" t="str">
        <f t="shared" si="1"/>
        <v>68321.00</v>
      </c>
      <c r="I453" s="14" t="str">
        <f t="shared" si="2"/>
        <v>54755.00</v>
      </c>
      <c r="J453" s="16" t="str">
        <f>TEXT(Raw_Data!J453,"MMM-YYY")</f>
        <v>Mar-2025</v>
      </c>
      <c r="K453" s="13" t="str">
        <f>Raw_Data!K453</f>
        <v>9</v>
      </c>
      <c r="L453" s="17" t="str">
        <f>Raw_Data!L453</f>
        <v>Pune-West</v>
      </c>
      <c r="M453" s="13" t="str">
        <f t="shared" si="3"/>
        <v>OK</v>
      </c>
      <c r="N453" s="18" t="str">
        <f t="shared" si="4"/>
        <v>VALID</v>
      </c>
    </row>
    <row r="454" ht="15.75" customHeight="1">
      <c r="A454" s="13" t="str">
        <f>Raw_Data!A454</f>
        <v>EMP0476</v>
      </c>
      <c r="B454" s="13" t="str">
        <f>TRIM(CLEAN(Raw_Data!B454))</f>
        <v>IT</v>
      </c>
      <c r="C454" s="18" t="s">
        <v>33</v>
      </c>
      <c r="D454" s="14" t="str">
        <f>IF(ISBLANK(Raw_Data!D454),AVERAGE(Raw_Data!D$2:D$5002),Raw_Data!D454)</f>
        <v>31032.11</v>
      </c>
      <c r="E454" s="15" t="str">
        <f>IF(ISBLANK(Raw_Data!E454),AVERAGE(Raw_Data!E$2:E$5002),Raw_Data!E454)</f>
        <v>9309.63</v>
      </c>
      <c r="F454" s="15" t="str">
        <f>IF(ISBLANK(Raw_Data!F454),AVERAGE(Raw_Data!F$2:F$5002),Raw_Data!F454)</f>
        <v>4315.28</v>
      </c>
      <c r="G454" s="14" t="str">
        <f>IF(ISBLANK(Raw_Data!G454),AVERAGE(Raw_Data!G$2:G$5002),Raw_Data!G454)</f>
        <v>4459.40</v>
      </c>
      <c r="H454" s="15" t="str">
        <f t="shared" si="1"/>
        <v>44657.00</v>
      </c>
      <c r="I454" s="14" t="str">
        <f t="shared" si="2"/>
        <v>40198.00</v>
      </c>
      <c r="J454" s="16" t="str">
        <f>TEXT(Raw_Data!J454,"MMM-YYY")</f>
        <v>Mar-2025</v>
      </c>
      <c r="K454" s="13" t="str">
        <f>Raw_Data!K454</f>
        <v>17</v>
      </c>
      <c r="L454" s="17" t="str">
        <f>Raw_Data!L454</f>
        <v>Hyderabad-South</v>
      </c>
      <c r="M454" s="13" t="str">
        <f t="shared" si="3"/>
        <v>OK</v>
      </c>
      <c r="N454" s="18" t="str">
        <f t="shared" si="4"/>
        <v>VALID</v>
      </c>
    </row>
    <row r="455" ht="15.75" customHeight="1">
      <c r="A455" s="13" t="str">
        <f>Raw_Data!A455</f>
        <v>EMP0477</v>
      </c>
      <c r="B455" s="13" t="str">
        <f>TRIM(CLEAN(Raw_Data!B455))</f>
        <v>Marketing</v>
      </c>
      <c r="C455" s="18" t="s">
        <v>33</v>
      </c>
      <c r="D455" s="14" t="str">
        <f>IF(ISBLANK(Raw_Data!D455),AVERAGE(Raw_Data!D$2:D$5002),Raw_Data!D455)</f>
        <v>27914.48</v>
      </c>
      <c r="E455" s="15" t="str">
        <f>IF(ISBLANK(Raw_Data!E455),AVERAGE(Raw_Data!E$2:E$5002),Raw_Data!E455)</f>
        <v>8374.34</v>
      </c>
      <c r="F455" s="15" t="str">
        <f>IF(ISBLANK(Raw_Data!F455),AVERAGE(Raw_Data!F$2:F$5002),Raw_Data!F455)</f>
        <v>3879.88</v>
      </c>
      <c r="G455" s="14" t="str">
        <f>IF(ISBLANK(Raw_Data!G455),AVERAGE(Raw_Data!G$2:G$5002),Raw_Data!G455)</f>
        <v>4111.86</v>
      </c>
      <c r="H455" s="15" t="str">
        <f t="shared" si="1"/>
        <v>40169.00</v>
      </c>
      <c r="I455" s="14" t="str">
        <f t="shared" si="2"/>
        <v>36057.00</v>
      </c>
      <c r="J455" s="16" t="str">
        <f>TEXT(Raw_Data!J455,"MMM-YYY")</f>
        <v>Jan-2025</v>
      </c>
      <c r="K455" s="13" t="str">
        <f>Raw_Data!K455</f>
        <v>9</v>
      </c>
      <c r="L455" s="17" t="str">
        <f>Raw_Data!L455</f>
        <v>Chandigarh-North</v>
      </c>
      <c r="M455" s="13" t="str">
        <f t="shared" si="3"/>
        <v>OK</v>
      </c>
      <c r="N455" s="18" t="str">
        <f t="shared" si="4"/>
        <v>VALID</v>
      </c>
    </row>
    <row r="456" ht="15.75" customHeight="1">
      <c r="A456" s="13" t="str">
        <f>Raw_Data!A456</f>
        <v>EMP0478</v>
      </c>
      <c r="B456" s="13" t="str">
        <f>TRIM(CLEAN(Raw_Data!B456))</f>
        <v>Customer Support</v>
      </c>
      <c r="C456" s="18" t="s">
        <v>30</v>
      </c>
      <c r="D456" s="14" t="str">
        <f>IF(ISBLANK(Raw_Data!D456),AVERAGE(Raw_Data!D$2:D$5002),Raw_Data!D456)</f>
        <v>24867.80</v>
      </c>
      <c r="E456" s="15" t="str">
        <f>IF(ISBLANK(Raw_Data!E456),AVERAGE(Raw_Data!E$2:E$5002),Raw_Data!E456)</f>
        <v>7460.34</v>
      </c>
      <c r="F456" s="15" t="str">
        <f>IF(ISBLANK(Raw_Data!F456),AVERAGE(Raw_Data!F$2:F$5002),Raw_Data!F456)</f>
        <v>1394.09</v>
      </c>
      <c r="G456" s="14" t="str">
        <f>IF(ISBLANK(Raw_Data!G456),AVERAGE(Raw_Data!G$2:G$5002),Raw_Data!G456)</f>
        <v>5862.83</v>
      </c>
      <c r="H456" s="15" t="str">
        <f t="shared" si="1"/>
        <v>33722.00</v>
      </c>
      <c r="I456" s="14" t="str">
        <f t="shared" si="2"/>
        <v>27859.00</v>
      </c>
      <c r="J456" s="16" t="str">
        <f>TEXT(Raw_Data!J456,"MMM-YYY")</f>
        <v>Jun-2025</v>
      </c>
      <c r="K456" s="13" t="str">
        <f>Raw_Data!K456</f>
        <v>13</v>
      </c>
      <c r="L456" s="17" t="str">
        <f>Raw_Data!L456</f>
        <v>Ahmedabad-West</v>
      </c>
      <c r="M456" s="13" t="str">
        <f t="shared" si="3"/>
        <v>OK</v>
      </c>
      <c r="N456" s="18" t="str">
        <f t="shared" si="4"/>
        <v>VALID</v>
      </c>
    </row>
    <row r="457" ht="15.75" customHeight="1">
      <c r="A457" s="13" t="str">
        <f>Raw_Data!A457</f>
        <v>EMP0480</v>
      </c>
      <c r="B457" s="13" t="str">
        <f>TRIM(CLEAN(Raw_Data!B457))</f>
        <v>HR</v>
      </c>
      <c r="C457" s="18" t="s">
        <v>18</v>
      </c>
      <c r="D457" s="14" t="str">
        <f>IF(ISBLANK(Raw_Data!D457),AVERAGE(Raw_Data!D$2:D$5002),Raw_Data!D457)</f>
        <v>77002.18</v>
      </c>
      <c r="E457" s="15" t="str">
        <f>IF(ISBLANK(Raw_Data!E457),AVERAGE(Raw_Data!E$2:E$5002),Raw_Data!E457)</f>
        <v>23100.65</v>
      </c>
      <c r="F457" s="15" t="str">
        <f>IF(ISBLANK(Raw_Data!F457),AVERAGE(Raw_Data!F$2:F$5002),Raw_Data!F457)</f>
        <v>10909.16</v>
      </c>
      <c r="G457" s="14" t="str">
        <f>IF(ISBLANK(Raw_Data!G457),AVERAGE(Raw_Data!G$2:G$5002),Raw_Data!G457)</f>
        <v>10128.60</v>
      </c>
      <c r="H457" s="15" t="str">
        <f t="shared" si="1"/>
        <v>111012.00</v>
      </c>
      <c r="I457" s="14" t="str">
        <f t="shared" si="2"/>
        <v>100883.00</v>
      </c>
      <c r="J457" s="16" t="str">
        <f>TEXT(Raw_Data!J457,"MMM-YYY")</f>
        <v>May-2025</v>
      </c>
      <c r="K457" s="13" t="str">
        <f>Raw_Data!K457</f>
        <v>10</v>
      </c>
      <c r="L457" s="17" t="str">
        <f>Raw_Data!L457</f>
        <v>Mumbai-HO</v>
      </c>
      <c r="M457" s="13" t="str">
        <f t="shared" si="3"/>
        <v>OK</v>
      </c>
      <c r="N457" s="18" t="str">
        <f t="shared" si="4"/>
        <v>VALID</v>
      </c>
    </row>
    <row r="458" ht="15.75" customHeight="1">
      <c r="A458" s="13" t="str">
        <f>Raw_Data!A458</f>
        <v>EMP0481</v>
      </c>
      <c r="B458" s="13" t="str">
        <f>TRIM(CLEAN(Raw_Data!B458))</f>
        <v>Customer Support</v>
      </c>
      <c r="C458" s="18" t="s">
        <v>18</v>
      </c>
      <c r="D458" s="14" t="str">
        <f>IF(ISBLANK(Raw_Data!D458),AVERAGE(Raw_Data!D$2:D$5002),Raw_Data!D458)</f>
        <v>66798.13</v>
      </c>
      <c r="E458" s="15" t="str">
        <f>IF(ISBLANK(Raw_Data!E458),AVERAGE(Raw_Data!E$2:E$5002),Raw_Data!E458)</f>
        <v>20039.44</v>
      </c>
      <c r="F458" s="15" t="str">
        <f>IF(ISBLANK(Raw_Data!F458),AVERAGE(Raw_Data!F$2:F$5002),Raw_Data!F458)</f>
        <v>11326.13</v>
      </c>
      <c r="G458" s="14" t="str">
        <f>IF(ISBLANK(Raw_Data!G458),AVERAGE(Raw_Data!G$2:G$5002),Raw_Data!G458)</f>
        <v>15932.27</v>
      </c>
      <c r="H458" s="15" t="str">
        <f t="shared" si="1"/>
        <v>98164.00</v>
      </c>
      <c r="I458" s="14" t="str">
        <f t="shared" si="2"/>
        <v>82232.00</v>
      </c>
      <c r="J458" s="16" t="str">
        <f>TEXT(Raw_Data!J458,"MMM-YYY")</f>
        <v>Nov-2025</v>
      </c>
      <c r="K458" s="13" t="str">
        <f>Raw_Data!K458</f>
        <v>13</v>
      </c>
      <c r="L458" s="17" t="str">
        <f>Raw_Data!L458</f>
        <v>Delhi-North</v>
      </c>
      <c r="M458" s="13" t="str">
        <f t="shared" si="3"/>
        <v>OK</v>
      </c>
      <c r="N458" s="18" t="str">
        <f t="shared" si="4"/>
        <v>VALID</v>
      </c>
    </row>
    <row r="459" ht="15.75" customHeight="1">
      <c r="A459" s="13" t="str">
        <f>Raw_Data!A459</f>
        <v>EMP0482</v>
      </c>
      <c r="B459" s="13" t="str">
        <f>TRIM(CLEAN(Raw_Data!B459))</f>
        <v>Marketing</v>
      </c>
      <c r="C459" s="18" t="s">
        <v>30</v>
      </c>
      <c r="D459" s="14" t="str">
        <f>IF(ISBLANK(Raw_Data!D459),AVERAGE(Raw_Data!D$2:D$5002),Raw_Data!D459)</f>
        <v>27573.36</v>
      </c>
      <c r="E459" s="15" t="str">
        <f>IF(ISBLANK(Raw_Data!E459),AVERAGE(Raw_Data!E$2:E$5002),Raw_Data!E459)</f>
        <v>8272.01</v>
      </c>
      <c r="F459" s="15" t="str">
        <f>IF(ISBLANK(Raw_Data!F459),AVERAGE(Raw_Data!F$2:F$5002),Raw_Data!F459)</f>
        <v>1334.67</v>
      </c>
      <c r="G459" s="14" t="str">
        <f>IF(ISBLANK(Raw_Data!G459),AVERAGE(Raw_Data!G$2:G$5002),Raw_Data!G459)</f>
        <v>5448.47</v>
      </c>
      <c r="H459" s="15" t="str">
        <f t="shared" si="1"/>
        <v>37180.00</v>
      </c>
      <c r="I459" s="14" t="str">
        <f t="shared" si="2"/>
        <v>31732.00</v>
      </c>
      <c r="J459" s="16" t="str">
        <f>TEXT(Raw_Data!J459,"MMM-YYY")</f>
        <v>Dec-2025</v>
      </c>
      <c r="K459" s="13" t="str">
        <f>Raw_Data!K459</f>
        <v>24</v>
      </c>
      <c r="L459" s="17" t="str">
        <f>Raw_Data!L459</f>
        <v>Bangalore-South</v>
      </c>
      <c r="M459" s="13" t="str">
        <f t="shared" si="3"/>
        <v>OK</v>
      </c>
      <c r="N459" s="18" t="str">
        <f t="shared" si="4"/>
        <v>VALID</v>
      </c>
    </row>
    <row r="460" ht="15.75" customHeight="1">
      <c r="A460" s="13" t="str">
        <f>Raw_Data!A460</f>
        <v>EMP0483</v>
      </c>
      <c r="B460" s="13" t="str">
        <f>TRIM(CLEAN(Raw_Data!B460))</f>
        <v>Marketing</v>
      </c>
      <c r="C460" s="18" t="s">
        <v>26</v>
      </c>
      <c r="D460" s="14" t="str">
        <f>IF(ISBLANK(Raw_Data!D460),AVERAGE(Raw_Data!D$2:D$5002),Raw_Data!D460)</f>
        <v>103571.67</v>
      </c>
      <c r="E460" s="15" t="str">
        <f>IF(ISBLANK(Raw_Data!E460),AVERAGE(Raw_Data!E$2:E$5002),Raw_Data!E460)</f>
        <v>31071.50</v>
      </c>
      <c r="F460" s="15" t="str">
        <f>IF(ISBLANK(Raw_Data!F460),AVERAGE(Raw_Data!F$2:F$5002),Raw_Data!F460)</f>
        <v>9302.12</v>
      </c>
      <c r="G460" s="14" t="str">
        <f>IF(ISBLANK(Raw_Data!G460),AVERAGE(Raw_Data!G$2:G$5002),Raw_Data!G460)</f>
        <v>18578.70</v>
      </c>
      <c r="H460" s="15" t="str">
        <f t="shared" si="1"/>
        <v>143945.00</v>
      </c>
      <c r="I460" s="14" t="str">
        <f t="shared" si="2"/>
        <v>125366.00</v>
      </c>
      <c r="J460" s="16" t="str">
        <f>TEXT(Raw_Data!J460,"MMM-YYY")</f>
        <v>Oct-2025</v>
      </c>
      <c r="K460" s="13" t="str">
        <f>Raw_Data!K460</f>
        <v>15</v>
      </c>
      <c r="L460" s="17" t="str">
        <f>Raw_Data!L460</f>
        <v>Chennai-South</v>
      </c>
      <c r="M460" s="13" t="str">
        <f t="shared" si="3"/>
        <v>OK</v>
      </c>
      <c r="N460" s="18" t="str">
        <f t="shared" si="4"/>
        <v>VALID</v>
      </c>
    </row>
    <row r="461" ht="15.75" customHeight="1">
      <c r="A461" s="13" t="str">
        <f>Raw_Data!A461</f>
        <v>EMP0484</v>
      </c>
      <c r="B461" s="13" t="str">
        <f>TRIM(CLEAN(Raw_Data!B461))</f>
        <v>Marketing</v>
      </c>
      <c r="C461" s="18" t="s">
        <v>37</v>
      </c>
      <c r="D461" s="14" t="str">
        <f>IF(ISBLANK(Raw_Data!D461),AVERAGE(Raw_Data!D$2:D$5002),Raw_Data!D461)</f>
        <v>54119.03</v>
      </c>
      <c r="E461" s="15" t="str">
        <f>IF(ISBLANK(Raw_Data!E461),AVERAGE(Raw_Data!E$2:E$5002),Raw_Data!E461)</f>
        <v>16235.71</v>
      </c>
      <c r="F461" s="15" t="str">
        <f>IF(ISBLANK(Raw_Data!F461),AVERAGE(Raw_Data!F$2:F$5002),Raw_Data!F461)</f>
        <v>9962.15</v>
      </c>
      <c r="G461" s="14" t="str">
        <f>IF(ISBLANK(Raw_Data!G461),AVERAGE(Raw_Data!G$2:G$5002),Raw_Data!G461)</f>
        <v>11230.38</v>
      </c>
      <c r="H461" s="15" t="str">
        <f t="shared" si="1"/>
        <v>80317.00</v>
      </c>
      <c r="I461" s="14" t="str">
        <f t="shared" si="2"/>
        <v>69087.00</v>
      </c>
      <c r="J461" s="16" t="str">
        <f>TEXT(Raw_Data!J461,"MMM-YYY")</f>
        <v>Sep-2025</v>
      </c>
      <c r="K461" s="13" t="str">
        <f>Raw_Data!K461</f>
        <v>9</v>
      </c>
      <c r="L461" s="17" t="str">
        <f>Raw_Data!L461</f>
        <v>Kolkata-East</v>
      </c>
      <c r="M461" s="13" t="str">
        <f t="shared" si="3"/>
        <v>OK</v>
      </c>
      <c r="N461" s="18" t="str">
        <f t="shared" si="4"/>
        <v>VALID</v>
      </c>
    </row>
    <row r="462" ht="15.75" customHeight="1">
      <c r="A462" s="13" t="str">
        <f>Raw_Data!A462</f>
        <v>EMP0485</v>
      </c>
      <c r="B462" s="13" t="str">
        <f>TRIM(CLEAN(Raw_Data!B462))</f>
        <v>HR</v>
      </c>
      <c r="C462" s="18" t="s">
        <v>26</v>
      </c>
      <c r="D462" s="14" t="str">
        <f>IF(ISBLANK(Raw_Data!D462),AVERAGE(Raw_Data!D$2:D$5002),Raw_Data!D462)</f>
        <v>124863.41</v>
      </c>
      <c r="E462" s="15" t="str">
        <f>IF(ISBLANK(Raw_Data!E462),AVERAGE(Raw_Data!E$2:E$5002),Raw_Data!E462)</f>
        <v>37459.02</v>
      </c>
      <c r="F462" s="15" t="str">
        <f>IF(ISBLANK(Raw_Data!F462),AVERAGE(Raw_Data!F$2:F$5002),Raw_Data!F462)</f>
        <v>17521.69</v>
      </c>
      <c r="G462" s="14" t="str">
        <f>IF(ISBLANK(Raw_Data!G462),AVERAGE(Raw_Data!G$2:G$5002),Raw_Data!G462)</f>
        <v>30427.85</v>
      </c>
      <c r="H462" s="15" t="str">
        <f t="shared" si="1"/>
        <v>179844.00</v>
      </c>
      <c r="I462" s="14" t="str">
        <f t="shared" si="2"/>
        <v>149416.00</v>
      </c>
      <c r="J462" s="16" t="str">
        <f>TEXT(Raw_Data!J462,"MMM-YYY")</f>
        <v>Oct-2025</v>
      </c>
      <c r="K462" s="13" t="str">
        <f>Raw_Data!K462</f>
        <v>15</v>
      </c>
      <c r="L462" s="17" t="str">
        <f>Raw_Data!L462</f>
        <v>Pune-West</v>
      </c>
      <c r="M462" s="13" t="str">
        <f t="shared" si="3"/>
        <v>OK</v>
      </c>
      <c r="N462" s="18" t="str">
        <f t="shared" si="4"/>
        <v>VALID</v>
      </c>
    </row>
    <row r="463" ht="15.75" customHeight="1">
      <c r="A463" s="13" t="str">
        <f>Raw_Data!A463</f>
        <v>EMP0486</v>
      </c>
      <c r="B463" s="13" t="str">
        <f>TRIM(CLEAN(Raw_Data!B463))</f>
        <v>Sales</v>
      </c>
      <c r="C463" s="18" t="s">
        <v>14</v>
      </c>
      <c r="D463" s="14" t="str">
        <f>IF(ISBLANK(Raw_Data!D463),AVERAGE(Raw_Data!D$2:D$5002),Raw_Data!D463)</f>
        <v>18787.46</v>
      </c>
      <c r="E463" s="15" t="str">
        <f>IF(ISBLANK(Raw_Data!E463),AVERAGE(Raw_Data!E$2:E$5002),Raw_Data!E463)</f>
        <v>5636.24</v>
      </c>
      <c r="F463" s="15" t="str">
        <f>IF(ISBLANK(Raw_Data!F463),AVERAGE(Raw_Data!F$2:F$5002),Raw_Data!F463)</f>
        <v>932.73</v>
      </c>
      <c r="G463" s="14" t="str">
        <f>IF(ISBLANK(Raw_Data!G463),AVERAGE(Raw_Data!G$2:G$5002),Raw_Data!G463)</f>
        <v>3746.37</v>
      </c>
      <c r="H463" s="15" t="str">
        <f t="shared" si="1"/>
        <v>25356.00</v>
      </c>
      <c r="I463" s="14" t="str">
        <f t="shared" si="2"/>
        <v>21610.00</v>
      </c>
      <c r="J463" s="16" t="str">
        <f>TEXT(Raw_Data!J463,"MMM-YYY")</f>
        <v>Mar-2025</v>
      </c>
      <c r="K463" s="13" t="str">
        <f>Raw_Data!K463</f>
        <v>17</v>
      </c>
      <c r="L463" s="17" t="str">
        <f>Raw_Data!L463</f>
        <v>Hyderabad-South</v>
      </c>
      <c r="M463" s="13" t="str">
        <f t="shared" si="3"/>
        <v>OK</v>
      </c>
      <c r="N463" s="18" t="str">
        <f t="shared" si="4"/>
        <v>VALID</v>
      </c>
    </row>
    <row r="464" ht="15.75" customHeight="1">
      <c r="A464" s="13" t="str">
        <f>Raw_Data!A464</f>
        <v>EMP0487</v>
      </c>
      <c r="B464" s="13" t="str">
        <f>TRIM(CLEAN(Raw_Data!B464))</f>
        <v>Sales</v>
      </c>
      <c r="C464" s="18" t="s">
        <v>37</v>
      </c>
      <c r="D464" s="14" t="str">
        <f>IF(ISBLANK(Raw_Data!D464),AVERAGE(Raw_Data!D$2:D$5002),Raw_Data!D464)</f>
        <v>45797.34</v>
      </c>
      <c r="E464" s="15" t="str">
        <f>IF(ISBLANK(Raw_Data!E464),AVERAGE(Raw_Data!E$2:E$5002),Raw_Data!E464)</f>
        <v>13739.20</v>
      </c>
      <c r="F464" s="15" t="str">
        <f>IF(ISBLANK(Raw_Data!F464),AVERAGE(Raw_Data!F$2:F$5002),Raw_Data!F464)</f>
        <v>9009.33</v>
      </c>
      <c r="G464" s="14" t="str">
        <f>IF(ISBLANK(Raw_Data!G464),AVERAGE(Raw_Data!G$2:G$5002),Raw_Data!G464)</f>
        <v>9307.92</v>
      </c>
      <c r="H464" s="15" t="str">
        <f t="shared" si="1"/>
        <v>68546.00</v>
      </c>
      <c r="I464" s="14" t="str">
        <f t="shared" si="2"/>
        <v>59238.00</v>
      </c>
      <c r="J464" s="16" t="str">
        <f>TEXT(Raw_Data!J464,"MMM-YYY")</f>
        <v>Jul-2025</v>
      </c>
      <c r="K464" s="13" t="str">
        <f>Raw_Data!K464</f>
        <v>11</v>
      </c>
      <c r="L464" s="17" t="str">
        <f>Raw_Data!L464</f>
        <v>Chandigarh-North</v>
      </c>
      <c r="M464" s="13" t="str">
        <f t="shared" si="3"/>
        <v>OK</v>
      </c>
      <c r="N464" s="18" t="str">
        <f t="shared" si="4"/>
        <v>VALID</v>
      </c>
    </row>
    <row r="465" ht="15.75" customHeight="1">
      <c r="A465" s="13" t="str">
        <f>Raw_Data!A465</f>
        <v>EMP0488</v>
      </c>
      <c r="B465" s="13" t="str">
        <f>TRIM(CLEAN(Raw_Data!B465))</f>
        <v>Customer Support</v>
      </c>
      <c r="C465" s="18" t="s">
        <v>33</v>
      </c>
      <c r="D465" s="14" t="str">
        <f>IF(ISBLANK(Raw_Data!D465),AVERAGE(Raw_Data!D$2:D$5002),Raw_Data!D465)</f>
        <v>34657.17</v>
      </c>
      <c r="E465" s="15" t="str">
        <f>IF(ISBLANK(Raw_Data!E465),AVERAGE(Raw_Data!E$2:E$5002),Raw_Data!E465)</f>
        <v>10397.15</v>
      </c>
      <c r="F465" s="15" t="str">
        <f>IF(ISBLANK(Raw_Data!F465),AVERAGE(Raw_Data!F$2:F$5002),Raw_Data!F465)</f>
        <v>2983.67</v>
      </c>
      <c r="G465" s="14" t="str">
        <f>IF(ISBLANK(Raw_Data!G465),AVERAGE(Raw_Data!G$2:G$5002),Raw_Data!G465)</f>
        <v>109.67</v>
      </c>
      <c r="H465" s="15" t="str">
        <f t="shared" si="1"/>
        <v>48038.00</v>
      </c>
      <c r="I465" s="14" t="str">
        <f t="shared" si="2"/>
        <v>47928.00</v>
      </c>
      <c r="J465" s="16" t="str">
        <f>TEXT(Raw_Data!J465,"MMM-YYY")</f>
        <v>May-2025</v>
      </c>
      <c r="K465" s="13" t="str">
        <f>Raw_Data!K465</f>
        <v>19</v>
      </c>
      <c r="L465" s="17" t="str">
        <f>Raw_Data!L465</f>
        <v>Ahmedabad-West</v>
      </c>
      <c r="M465" s="13" t="str">
        <f t="shared" si="3"/>
        <v>OK</v>
      </c>
      <c r="N465" s="18" t="str">
        <f t="shared" si="4"/>
        <v>VALID</v>
      </c>
    </row>
    <row r="466" ht="15.75" customHeight="1">
      <c r="A466" s="13" t="str">
        <f>Raw_Data!A466</f>
        <v>EMP0489</v>
      </c>
      <c r="B466" s="13" t="str">
        <f>TRIM(CLEAN(Raw_Data!B466))</f>
        <v>Finance</v>
      </c>
      <c r="C466" s="18" t="s">
        <v>37</v>
      </c>
      <c r="D466" s="14" t="str">
        <f>IF(ISBLANK(Raw_Data!D466),AVERAGE(Raw_Data!D$2:D$5002),Raw_Data!D466)</f>
        <v>58443.35</v>
      </c>
      <c r="E466" s="15" t="str">
        <f>IF(ISBLANK(Raw_Data!E466),AVERAGE(Raw_Data!E$2:E$5002),Raw_Data!E466)</f>
        <v>17533.00</v>
      </c>
      <c r="F466" s="15" t="str">
        <f>IF(ISBLANK(Raw_Data!F466),AVERAGE(Raw_Data!F$2:F$5002),Raw_Data!F466)</f>
        <v>6522.20</v>
      </c>
      <c r="G466" s="14" t="str">
        <f>IF(ISBLANK(Raw_Data!G466),AVERAGE(Raw_Data!G$2:G$5002),Raw_Data!G466)</f>
        <v>12056.82</v>
      </c>
      <c r="H466" s="15" t="str">
        <f t="shared" si="1"/>
        <v>82499.00</v>
      </c>
      <c r="I466" s="14" t="str">
        <f t="shared" si="2"/>
        <v>70442.00</v>
      </c>
      <c r="J466" s="16" t="str">
        <f>TEXT(Raw_Data!J466,"MMM-YYY")</f>
        <v>Apr-2025</v>
      </c>
      <c r="K466" s="13" t="str">
        <f>Raw_Data!K466</f>
        <v>19</v>
      </c>
      <c r="L466" s="17" t="str">
        <f>Raw_Data!L466</f>
        <v>Jaipur-North</v>
      </c>
      <c r="M466" s="13" t="str">
        <f t="shared" si="3"/>
        <v>OK</v>
      </c>
      <c r="N466" s="18" t="str">
        <f t="shared" si="4"/>
        <v>VALID</v>
      </c>
    </row>
    <row r="467" ht="15.75" customHeight="1">
      <c r="A467" s="13" t="str">
        <f>Raw_Data!A467</f>
        <v>EMP0490</v>
      </c>
      <c r="B467" s="13" t="str">
        <f>TRIM(CLEAN(Raw_Data!B467))</f>
        <v>Marketing</v>
      </c>
      <c r="C467" s="18" t="s">
        <v>33</v>
      </c>
      <c r="D467" s="14" t="str">
        <f>IF(ISBLANK(Raw_Data!D467),AVERAGE(Raw_Data!D$2:D$5002),Raw_Data!D467)</f>
        <v>28911.34</v>
      </c>
      <c r="E467" s="15" t="str">
        <f>IF(ISBLANK(Raw_Data!E467),AVERAGE(Raw_Data!E$2:E$5002),Raw_Data!E467)</f>
        <v>8673.40</v>
      </c>
      <c r="F467" s="15" t="str">
        <f>IF(ISBLANK(Raw_Data!F467),AVERAGE(Raw_Data!F$2:F$5002),Raw_Data!F467)</f>
        <v>4465.89</v>
      </c>
      <c r="G467" s="14" t="str">
        <f>IF(ISBLANK(Raw_Data!G467),AVERAGE(Raw_Data!G$2:G$5002),Raw_Data!G467)</f>
        <v>5105.08</v>
      </c>
      <c r="H467" s="15" t="str">
        <f t="shared" si="1"/>
        <v>42051.00</v>
      </c>
      <c r="I467" s="14" t="str">
        <f t="shared" si="2"/>
        <v>36946.00</v>
      </c>
      <c r="J467" s="16" t="str">
        <f>TEXT(Raw_Data!J467,"MMM-YYY")</f>
        <v>Sep-2025</v>
      </c>
      <c r="K467" s="13" t="str">
        <f>Raw_Data!K467</f>
        <v>11</v>
      </c>
      <c r="L467" s="17" t="str">
        <f>Raw_Data!L467</f>
        <v>Mumbai-HO</v>
      </c>
      <c r="M467" s="13" t="str">
        <f t="shared" si="3"/>
        <v>OK</v>
      </c>
      <c r="N467" s="18" t="str">
        <f t="shared" si="4"/>
        <v>VALID</v>
      </c>
    </row>
    <row r="468" ht="15.75" customHeight="1">
      <c r="A468" s="13" t="str">
        <f>Raw_Data!A468</f>
        <v>EMP0491</v>
      </c>
      <c r="B468" s="13" t="str">
        <f>TRIM(CLEAN(Raw_Data!B468))</f>
        <v>Finance</v>
      </c>
      <c r="C468" s="18" t="s">
        <v>33</v>
      </c>
      <c r="D468" s="14" t="str">
        <f>IF(ISBLANK(Raw_Data!D468),AVERAGE(Raw_Data!D$2:D$5002),Raw_Data!D468)</f>
        <v>34977.03</v>
      </c>
      <c r="E468" s="15" t="str">
        <f>IF(ISBLANK(Raw_Data!E468),AVERAGE(Raw_Data!E$2:E$5002),Raw_Data!E468)</f>
        <v>10493.11</v>
      </c>
      <c r="F468" s="15" t="str">
        <f>IF(ISBLANK(Raw_Data!F468),AVERAGE(Raw_Data!F$2:F$5002),Raw_Data!F468)</f>
        <v>3377.18</v>
      </c>
      <c r="G468" s="14" t="str">
        <f>IF(ISBLANK(Raw_Data!G468),AVERAGE(Raw_Data!G$2:G$5002),Raw_Data!G468)</f>
        <v>3100.00</v>
      </c>
      <c r="H468" s="15" t="str">
        <f t="shared" si="1"/>
        <v>48847.00</v>
      </c>
      <c r="I468" s="14" t="str">
        <f t="shared" si="2"/>
        <v>45747.00</v>
      </c>
      <c r="J468" s="16" t="str">
        <f>TEXT(Raw_Data!J468,"MMM-YYY")</f>
        <v>Feb-2025</v>
      </c>
      <c r="K468" s="13" t="str">
        <f>Raw_Data!K468</f>
        <v>9</v>
      </c>
      <c r="L468" s="17" t="str">
        <f>Raw_Data!L468</f>
        <v>Delhi-North</v>
      </c>
      <c r="M468" s="13" t="str">
        <f t="shared" si="3"/>
        <v>OK</v>
      </c>
      <c r="N468" s="18" t="str">
        <f t="shared" si="4"/>
        <v>VALID</v>
      </c>
    </row>
    <row r="469" ht="15.75" customHeight="1">
      <c r="A469" s="13" t="str">
        <f>Raw_Data!A469</f>
        <v>EMP0492</v>
      </c>
      <c r="B469" s="13" t="str">
        <f>TRIM(CLEAN(Raw_Data!B469))</f>
        <v>HR</v>
      </c>
      <c r="C469" s="18" t="s">
        <v>26</v>
      </c>
      <c r="D469" s="14" t="str">
        <f>IF(ISBLANK(Raw_Data!D469),AVERAGE(Raw_Data!D$2:D$5002),Raw_Data!D469)</f>
        <v>123864.34</v>
      </c>
      <c r="E469" s="15" t="str">
        <f>IF(ISBLANK(Raw_Data!E469),AVERAGE(Raw_Data!E$2:E$5002),Raw_Data!E469)</f>
        <v>37159.30</v>
      </c>
      <c r="F469" s="15" t="str">
        <f>IF(ISBLANK(Raw_Data!F469),AVERAGE(Raw_Data!F$2:F$5002),Raw_Data!F469)</f>
        <v>3509.70</v>
      </c>
      <c r="G469" s="14" t="str">
        <f>IF(ISBLANK(Raw_Data!G469),AVERAGE(Raw_Data!G$2:G$5002),Raw_Data!G469)</f>
        <v>11589.63</v>
      </c>
      <c r="H469" s="15" t="str">
        <f t="shared" si="1"/>
        <v>164533.00</v>
      </c>
      <c r="I469" s="14" t="str">
        <f t="shared" si="2"/>
        <v>152943.00</v>
      </c>
      <c r="J469" s="16" t="str">
        <f>TEXT(Raw_Data!J469,"MMM-YYY")</f>
        <v>Aug-2025</v>
      </c>
      <c r="K469" s="13" t="str">
        <f>Raw_Data!K469</f>
        <v>4</v>
      </c>
      <c r="L469" s="17" t="str">
        <f>Raw_Data!L469</f>
        <v>Bangalore-South</v>
      </c>
      <c r="M469" s="13" t="str">
        <f t="shared" si="3"/>
        <v>OK</v>
      </c>
      <c r="N469" s="18" t="str">
        <f t="shared" si="4"/>
        <v>VALID</v>
      </c>
    </row>
    <row r="470" ht="15.75" customHeight="1">
      <c r="A470" s="13" t="str">
        <f>Raw_Data!A470</f>
        <v>EMP0493</v>
      </c>
      <c r="B470" s="13" t="str">
        <f>TRIM(CLEAN(Raw_Data!B470))</f>
        <v>Customer Support</v>
      </c>
      <c r="C470" s="18" t="s">
        <v>30</v>
      </c>
      <c r="D470" s="14" t="str">
        <f>IF(ISBLANK(Raw_Data!D470),AVERAGE(Raw_Data!D$2:D$5002),Raw_Data!D470)</f>
        <v>26585.81</v>
      </c>
      <c r="E470" s="15" t="str">
        <f>IF(ISBLANK(Raw_Data!E470),AVERAGE(Raw_Data!E$2:E$5002),Raw_Data!E470)</f>
        <v>7975.74</v>
      </c>
      <c r="F470" s="15" t="str">
        <f>IF(ISBLANK(Raw_Data!F470),AVERAGE(Raw_Data!F$2:F$5002),Raw_Data!F470)</f>
        <v>1851.97</v>
      </c>
      <c r="G470" s="14" t="str">
        <f>IF(ISBLANK(Raw_Data!G470),AVERAGE(Raw_Data!G$2:G$5002),Raw_Data!G470)</f>
        <v>778.62</v>
      </c>
      <c r="H470" s="15" t="str">
        <f t="shared" si="1"/>
        <v>36414.00</v>
      </c>
      <c r="I470" s="14" t="str">
        <f t="shared" si="2"/>
        <v>35635.00</v>
      </c>
      <c r="J470" s="16" t="str">
        <f>TEXT(Raw_Data!J470,"MMM-YYY")</f>
        <v>Dec-2025</v>
      </c>
      <c r="K470" s="13" t="str">
        <f>Raw_Data!K470</f>
        <v>17</v>
      </c>
      <c r="L470" s="17" t="str">
        <f>Raw_Data!L470</f>
        <v>Chennai-South</v>
      </c>
      <c r="M470" s="13" t="str">
        <f t="shared" si="3"/>
        <v>OK</v>
      </c>
      <c r="N470" s="18" t="str">
        <f t="shared" si="4"/>
        <v>VALID</v>
      </c>
    </row>
    <row r="471" ht="15.75" customHeight="1">
      <c r="A471" s="13" t="str">
        <f>Raw_Data!A471</f>
        <v>EMP0494</v>
      </c>
      <c r="B471" s="13" t="str">
        <f>TRIM(CLEAN(Raw_Data!B471))</f>
        <v>Sales</v>
      </c>
      <c r="C471" s="18" t="s">
        <v>54</v>
      </c>
      <c r="D471" s="14" t="str">
        <f>IF(ISBLANK(Raw_Data!D471),AVERAGE(Raw_Data!D$2:D$5002),Raw_Data!D471)</f>
        <v>39464.73</v>
      </c>
      <c r="E471" s="15" t="str">
        <f>IF(ISBLANK(Raw_Data!E471),AVERAGE(Raw_Data!E$2:E$5002),Raw_Data!E471)</f>
        <v>11839.42</v>
      </c>
      <c r="F471" s="15" t="str">
        <f>IF(ISBLANK(Raw_Data!F471),AVERAGE(Raw_Data!F$2:F$5002),Raw_Data!F471)</f>
        <v>2369.97</v>
      </c>
      <c r="G471" s="14" t="str">
        <f>IF(ISBLANK(Raw_Data!G471),AVERAGE(Raw_Data!G$2:G$5002),Raw_Data!G471)</f>
        <v>9592.13</v>
      </c>
      <c r="H471" s="15" t="str">
        <f t="shared" si="1"/>
        <v>53674.00</v>
      </c>
      <c r="I471" s="14" t="str">
        <f t="shared" si="2"/>
        <v>44082.00</v>
      </c>
      <c r="J471" s="16" t="str">
        <f>TEXT(Raw_Data!J471,"MMM-YYY")</f>
        <v>Feb-2025</v>
      </c>
      <c r="K471" s="13" t="str">
        <f>Raw_Data!K471</f>
        <v>16</v>
      </c>
      <c r="L471" s="17" t="str">
        <f>Raw_Data!L471</f>
        <v>Kolkata-East</v>
      </c>
      <c r="M471" s="13" t="str">
        <f t="shared" si="3"/>
        <v>OK</v>
      </c>
      <c r="N471" s="18" t="str">
        <f t="shared" si="4"/>
        <v>VALID</v>
      </c>
    </row>
    <row r="472" ht="15.75" customHeight="1">
      <c r="A472" s="13" t="str">
        <f>Raw_Data!A472</f>
        <v>EMP0495</v>
      </c>
      <c r="B472" s="13" t="str">
        <f>TRIM(CLEAN(Raw_Data!B472))</f>
        <v>HR</v>
      </c>
      <c r="C472" s="18" t="s">
        <v>26</v>
      </c>
      <c r="D472" s="14" t="str">
        <f>IF(ISBLANK(Raw_Data!D472),AVERAGE(Raw_Data!D$2:D$5002),Raw_Data!D472)</f>
        <v>102350.81</v>
      </c>
      <c r="E472" s="15" t="str">
        <f>IF(ISBLANK(Raw_Data!E472),AVERAGE(Raw_Data!E$2:E$5002),Raw_Data!E472)</f>
        <v>30705.24</v>
      </c>
      <c r="F472" s="15" t="str">
        <f>IF(ISBLANK(Raw_Data!F472),AVERAGE(Raw_Data!F$2:F$5002),Raw_Data!F472)</f>
        <v>2238.67</v>
      </c>
      <c r="G472" s="14" t="str">
        <f>IF(ISBLANK(Raw_Data!G472),AVERAGE(Raw_Data!G$2:G$5002),Raw_Data!G472)</f>
        <v>24565.73</v>
      </c>
      <c r="H472" s="15" t="str">
        <f t="shared" si="1"/>
        <v>135295.00</v>
      </c>
      <c r="I472" s="14" t="str">
        <f t="shared" si="2"/>
        <v>110729.00</v>
      </c>
      <c r="J472" s="16" t="str">
        <f>TEXT(Raw_Data!J472,"MMM-YYY")</f>
        <v>Dec-2025</v>
      </c>
      <c r="K472" s="13" t="str">
        <f>Raw_Data!K472</f>
        <v>20</v>
      </c>
      <c r="L472" s="17" t="str">
        <f>Raw_Data!L472</f>
        <v>Pune-West</v>
      </c>
      <c r="M472" s="13" t="str">
        <f t="shared" si="3"/>
        <v>OK</v>
      </c>
      <c r="N472" s="18" t="str">
        <f t="shared" si="4"/>
        <v>VALID</v>
      </c>
    </row>
    <row r="473" ht="15.75" customHeight="1">
      <c r="A473" s="13" t="str">
        <f>Raw_Data!A473</f>
        <v>EMP0496</v>
      </c>
      <c r="B473" s="13" t="str">
        <f>TRIM(CLEAN(Raw_Data!B473))</f>
        <v>Finance</v>
      </c>
      <c r="C473" s="18" t="s">
        <v>37</v>
      </c>
      <c r="D473" s="14" t="str">
        <f>IF(ISBLANK(Raw_Data!D473),AVERAGE(Raw_Data!D$2:D$5002),Raw_Data!D473)</f>
        <v>48140.16</v>
      </c>
      <c r="E473" s="15" t="str">
        <f>IF(ISBLANK(Raw_Data!E473),AVERAGE(Raw_Data!E$2:E$5002),Raw_Data!E473)</f>
        <v>14442.05</v>
      </c>
      <c r="F473" s="15" t="str">
        <f>IF(ISBLANK(Raw_Data!F473),AVERAGE(Raw_Data!F$2:F$5002),Raw_Data!F473)</f>
        <v>1541.79</v>
      </c>
      <c r="G473" s="14" t="str">
        <f>IF(ISBLANK(Raw_Data!G473),AVERAGE(Raw_Data!G$2:G$5002),Raw_Data!G473)</f>
        <v>8085.37</v>
      </c>
      <c r="H473" s="15" t="str">
        <f t="shared" si="1"/>
        <v>64124.00</v>
      </c>
      <c r="I473" s="14" t="str">
        <f t="shared" si="2"/>
        <v>56039.00</v>
      </c>
      <c r="J473" s="16" t="str">
        <f>TEXT(Raw_Data!J473,"MMM-YYY")</f>
        <v>Aug-2025</v>
      </c>
      <c r="K473" s="13" t="str">
        <f>Raw_Data!K473</f>
        <v>7</v>
      </c>
      <c r="L473" s="17" t="str">
        <f>Raw_Data!L473</f>
        <v>Hyderabad-South</v>
      </c>
      <c r="M473" s="13" t="str">
        <f t="shared" si="3"/>
        <v>OK</v>
      </c>
      <c r="N473" s="18" t="str">
        <f t="shared" si="4"/>
        <v>VALID</v>
      </c>
    </row>
    <row r="474" ht="15.75" customHeight="1">
      <c r="A474" s="13" t="str">
        <f>Raw_Data!A474</f>
        <v>EMP0497</v>
      </c>
      <c r="B474" s="13" t="str">
        <f>TRIM(CLEAN(Raw_Data!B474))</f>
        <v>Finance</v>
      </c>
      <c r="C474" s="18" t="s">
        <v>26</v>
      </c>
      <c r="D474" s="14" t="str">
        <f>IF(ISBLANK(Raw_Data!D474),AVERAGE(Raw_Data!D$2:D$5002),Raw_Data!D474)</f>
        <v>104581.71</v>
      </c>
      <c r="E474" s="15" t="str">
        <f>IF(ISBLANK(Raw_Data!E474),AVERAGE(Raw_Data!E$2:E$5002),Raw_Data!E474)</f>
        <v>31374.51</v>
      </c>
      <c r="F474" s="15" t="str">
        <f>IF(ISBLANK(Raw_Data!F474),AVERAGE(Raw_Data!F$2:F$5002),Raw_Data!F474)</f>
        <v>3858.06</v>
      </c>
      <c r="G474" s="14" t="str">
        <f>IF(ISBLANK(Raw_Data!G474),AVERAGE(Raw_Data!G$2:G$5002),Raw_Data!G474)</f>
        <v>20094.71</v>
      </c>
      <c r="H474" s="15" t="str">
        <f t="shared" si="1"/>
        <v>139814.00</v>
      </c>
      <c r="I474" s="14" t="str">
        <f t="shared" si="2"/>
        <v>119719.00</v>
      </c>
      <c r="J474" s="16" t="str">
        <f>TEXT(Raw_Data!J474,"MMM-YYY")</f>
        <v>Jul-2025</v>
      </c>
      <c r="K474" s="13" t="str">
        <f>Raw_Data!K474</f>
        <v>18</v>
      </c>
      <c r="L474" s="17" t="str">
        <f>Raw_Data!L474</f>
        <v>Chandigarh-North</v>
      </c>
      <c r="M474" s="13" t="str">
        <f t="shared" si="3"/>
        <v>OK</v>
      </c>
      <c r="N474" s="18" t="str">
        <f t="shared" si="4"/>
        <v>VALID</v>
      </c>
    </row>
    <row r="475" ht="15.75" customHeight="1">
      <c r="A475" s="13" t="str">
        <f>Raw_Data!A475</f>
        <v>EMP0498</v>
      </c>
      <c r="B475" s="13" t="str">
        <f>TRIM(CLEAN(Raw_Data!B475))</f>
        <v>Marketing</v>
      </c>
      <c r="C475" s="18" t="s">
        <v>14</v>
      </c>
      <c r="D475" s="14" t="str">
        <f>IF(ISBLANK(Raw_Data!D475),AVERAGE(Raw_Data!D$2:D$5002),Raw_Data!D475)</f>
        <v>23309.20</v>
      </c>
      <c r="E475" s="15" t="str">
        <f>IF(ISBLANK(Raw_Data!E475),AVERAGE(Raw_Data!E$2:E$5002),Raw_Data!E475)</f>
        <v>6992.76</v>
      </c>
      <c r="F475" s="15" t="str">
        <f>IF(ISBLANK(Raw_Data!F475),AVERAGE(Raw_Data!F$2:F$5002),Raw_Data!F475)</f>
        <v>4116.86</v>
      </c>
      <c r="G475" s="14" t="str">
        <f>IF(ISBLANK(Raw_Data!G475),AVERAGE(Raw_Data!G$2:G$5002),Raw_Data!G475)</f>
        <v>3143.77</v>
      </c>
      <c r="H475" s="15" t="str">
        <f t="shared" si="1"/>
        <v>34419.00</v>
      </c>
      <c r="I475" s="14" t="str">
        <f t="shared" si="2"/>
        <v>31275.00</v>
      </c>
      <c r="J475" s="16" t="str">
        <f>TEXT(Raw_Data!J475,"MMM-YYY")</f>
        <v>Jul-2025</v>
      </c>
      <c r="K475" s="13" t="str">
        <f>Raw_Data!K475</f>
        <v>2</v>
      </c>
      <c r="L475" s="17" t="str">
        <f>Raw_Data!L475</f>
        <v>Ahmedabad-West</v>
      </c>
      <c r="M475" s="13" t="str">
        <f t="shared" si="3"/>
        <v>OK</v>
      </c>
      <c r="N475" s="18" t="str">
        <f t="shared" si="4"/>
        <v>VALID</v>
      </c>
    </row>
    <row r="476" ht="15.75" customHeight="1">
      <c r="A476" s="13" t="str">
        <f>Raw_Data!A476</f>
        <v>EMP0499</v>
      </c>
      <c r="B476" s="13" t="str">
        <f>TRIM(CLEAN(Raw_Data!B476))</f>
        <v>Marketing</v>
      </c>
      <c r="C476" s="18" t="s">
        <v>14</v>
      </c>
      <c r="D476" s="14" t="str">
        <f>IF(ISBLANK(Raw_Data!D476),AVERAGE(Raw_Data!D$2:D$5002),Raw_Data!D476)</f>
        <v>23074.10</v>
      </c>
      <c r="E476" s="15" t="str">
        <f>IF(ISBLANK(Raw_Data!E476),AVERAGE(Raw_Data!E$2:E$5002),Raw_Data!E476)</f>
        <v>6922.23</v>
      </c>
      <c r="F476" s="15" t="str">
        <f>IF(ISBLANK(Raw_Data!F476),AVERAGE(Raw_Data!F$2:F$5002),Raw_Data!F476)</f>
        <v>949.66</v>
      </c>
      <c r="G476" s="14" t="str">
        <f>IF(ISBLANK(Raw_Data!G476),AVERAGE(Raw_Data!G$2:G$5002),Raw_Data!G476)</f>
        <v>5207.77</v>
      </c>
      <c r="H476" s="15" t="str">
        <f t="shared" si="1"/>
        <v>30946.00</v>
      </c>
      <c r="I476" s="14" t="str">
        <f t="shared" si="2"/>
        <v>25738.00</v>
      </c>
      <c r="J476" s="16" t="str">
        <f>TEXT(Raw_Data!J476,"MMM-YYY")</f>
        <v>Feb-2025</v>
      </c>
      <c r="K476" s="13" t="str">
        <f>Raw_Data!K476</f>
        <v>21</v>
      </c>
      <c r="L476" s="17" t="str">
        <f>Raw_Data!L476</f>
        <v>Jaipur-North</v>
      </c>
      <c r="M476" s="13" t="str">
        <f t="shared" si="3"/>
        <v>OK</v>
      </c>
      <c r="N476" s="18" t="str">
        <f t="shared" si="4"/>
        <v>VALID</v>
      </c>
    </row>
    <row r="477" ht="15.75" customHeight="1">
      <c r="A477" s="13" t="str">
        <f>Raw_Data!A477</f>
        <v>EMP0500</v>
      </c>
      <c r="B477" s="13" t="str">
        <f>TRIM(CLEAN(Raw_Data!B477))</f>
        <v>Operations</v>
      </c>
      <c r="C477" s="18" t="s">
        <v>14</v>
      </c>
      <c r="D477" s="14" t="str">
        <f>IF(ISBLANK(Raw_Data!D477),AVERAGE(Raw_Data!D$2:D$5002),Raw_Data!D477)</f>
        <v>23756.42</v>
      </c>
      <c r="E477" s="15" t="str">
        <f>IF(ISBLANK(Raw_Data!E477),AVERAGE(Raw_Data!E$2:E$5002),Raw_Data!E477)</f>
        <v>7126.93</v>
      </c>
      <c r="F477" s="15" t="str">
        <f>IF(ISBLANK(Raw_Data!F477),AVERAGE(Raw_Data!F$2:F$5002),Raw_Data!F477)</f>
        <v>2550.91</v>
      </c>
      <c r="G477" s="14" t="str">
        <f>IF(ISBLANK(Raw_Data!G477),AVERAGE(Raw_Data!G$2:G$5002),Raw_Data!G477)</f>
        <v>2606.98</v>
      </c>
      <c r="H477" s="15" t="str">
        <f t="shared" si="1"/>
        <v>33434.00</v>
      </c>
      <c r="I477" s="14" t="str">
        <f t="shared" si="2"/>
        <v>30827.00</v>
      </c>
      <c r="J477" s="16" t="str">
        <f>TEXT(Raw_Data!J477,"MMM-YYY")</f>
        <v>Apr-2025</v>
      </c>
      <c r="K477" s="13" t="str">
        <f>Raw_Data!K477</f>
        <v>20</v>
      </c>
      <c r="L477" s="17" t="str">
        <f>Raw_Data!L477</f>
        <v>Mumbai-HO</v>
      </c>
      <c r="M477" s="13" t="str">
        <f t="shared" si="3"/>
        <v>OK</v>
      </c>
      <c r="N477" s="18" t="str">
        <f t="shared" si="4"/>
        <v>VALID</v>
      </c>
    </row>
    <row r="478" ht="15.75" customHeight="1">
      <c r="A478" s="13" t="str">
        <f>Raw_Data!A478</f>
        <v>EMP0501</v>
      </c>
      <c r="B478" s="13" t="str">
        <f>TRIM(CLEAN(Raw_Data!B478))</f>
        <v>Marketing</v>
      </c>
      <c r="C478" s="18" t="s">
        <v>14</v>
      </c>
      <c r="D478" s="14" t="str">
        <f>IF(ISBLANK(Raw_Data!D478),AVERAGE(Raw_Data!D$2:D$5002),Raw_Data!D478)</f>
        <v>19888.94</v>
      </c>
      <c r="E478" s="15" t="str">
        <f>IF(ISBLANK(Raw_Data!E478),AVERAGE(Raw_Data!E$2:E$5002),Raw_Data!E478)</f>
        <v>5966.68</v>
      </c>
      <c r="F478" s="15" t="str">
        <f>IF(ISBLANK(Raw_Data!F478),AVERAGE(Raw_Data!F$2:F$5002),Raw_Data!F478)</f>
        <v>3431.39</v>
      </c>
      <c r="G478" s="14" t="str">
        <f>IF(ISBLANK(Raw_Data!G478),AVERAGE(Raw_Data!G$2:G$5002),Raw_Data!G478)</f>
        <v>3148.71</v>
      </c>
      <c r="H478" s="15" t="str">
        <f t="shared" si="1"/>
        <v>29287.00</v>
      </c>
      <c r="I478" s="14" t="str">
        <f t="shared" si="2"/>
        <v>26138.00</v>
      </c>
      <c r="J478" s="16" t="str">
        <f>TEXT(Raw_Data!J478,"MMM-YYY")</f>
        <v>Nov-2025</v>
      </c>
      <c r="K478" s="13" t="str">
        <f>Raw_Data!K478</f>
        <v>17</v>
      </c>
      <c r="L478" s="17" t="str">
        <f>Raw_Data!L478</f>
        <v>Delhi-North</v>
      </c>
      <c r="M478" s="13" t="str">
        <f t="shared" si="3"/>
        <v>OK</v>
      </c>
      <c r="N478" s="18" t="str">
        <f t="shared" si="4"/>
        <v>VALID</v>
      </c>
    </row>
    <row r="479" ht="15.75" customHeight="1">
      <c r="A479" s="13" t="str">
        <f>Raw_Data!A479</f>
        <v>EMP0502</v>
      </c>
      <c r="B479" s="13" t="str">
        <f>TRIM(CLEAN(Raw_Data!B479))</f>
        <v>IT</v>
      </c>
      <c r="C479" s="18" t="s">
        <v>37</v>
      </c>
      <c r="D479" s="14" t="str">
        <f>IF(ISBLANK(Raw_Data!D479),AVERAGE(Raw_Data!D$2:D$5002),Raw_Data!D479)</f>
        <v>51995.51</v>
      </c>
      <c r="E479" s="15" t="str">
        <f>IF(ISBLANK(Raw_Data!E479),AVERAGE(Raw_Data!E$2:E$5002),Raw_Data!E479)</f>
        <v>15598.65</v>
      </c>
      <c r="F479" s="15" t="str">
        <f>IF(ISBLANK(Raw_Data!F479),AVERAGE(Raw_Data!F$2:F$5002),Raw_Data!F479)</f>
        <v>4082.11</v>
      </c>
      <c r="G479" s="14" t="str">
        <f>IF(ISBLANK(Raw_Data!G479),AVERAGE(Raw_Data!G$2:G$5002),Raw_Data!G479)</f>
        <v>1781.87</v>
      </c>
      <c r="H479" s="15" t="str">
        <f t="shared" si="1"/>
        <v>71676.00</v>
      </c>
      <c r="I479" s="14" t="str">
        <f t="shared" si="2"/>
        <v>69894.00</v>
      </c>
      <c r="J479" s="16" t="str">
        <f>TEXT(Raw_Data!J479,"MMM-YYY")</f>
        <v>Jun-2025</v>
      </c>
      <c r="K479" s="13" t="str">
        <f>Raw_Data!K479</f>
        <v>6</v>
      </c>
      <c r="L479" s="17" t="str">
        <f>Raw_Data!L479</f>
        <v>Bangalore-South</v>
      </c>
      <c r="M479" s="13" t="str">
        <f t="shared" si="3"/>
        <v>OK</v>
      </c>
      <c r="N479" s="18" t="str">
        <f t="shared" si="4"/>
        <v>VALID</v>
      </c>
    </row>
    <row r="480" ht="15.75" customHeight="1">
      <c r="A480" s="13" t="str">
        <f>Raw_Data!A480</f>
        <v>EMP0503</v>
      </c>
      <c r="B480" s="13" t="str">
        <f>TRIM(CLEAN(Raw_Data!B480))</f>
        <v>Customer Support</v>
      </c>
      <c r="C480" s="18" t="s">
        <v>54</v>
      </c>
      <c r="D480" s="14" t="str">
        <f>IF(ISBLANK(Raw_Data!D480),AVERAGE(Raw_Data!D$2:D$5002),Raw_Data!D480)</f>
        <v>43643.08</v>
      </c>
      <c r="E480" s="15" t="str">
        <f>IF(ISBLANK(Raw_Data!E480),AVERAGE(Raw_Data!E$2:E$5002),Raw_Data!E480)</f>
        <v>13092.92</v>
      </c>
      <c r="F480" s="15" t="str">
        <f>IF(ISBLANK(Raw_Data!F480),AVERAGE(Raw_Data!F$2:F$5002),Raw_Data!F480)</f>
        <v>7102.81</v>
      </c>
      <c r="G480" s="14" t="str">
        <f>IF(ISBLANK(Raw_Data!G480),AVERAGE(Raw_Data!G$2:G$5002),Raw_Data!G480)</f>
        <v>9243.45</v>
      </c>
      <c r="H480" s="15" t="str">
        <f t="shared" si="1"/>
        <v>63839.00</v>
      </c>
      <c r="I480" s="14" t="str">
        <f t="shared" si="2"/>
        <v>54596.00</v>
      </c>
      <c r="J480" s="16" t="str">
        <f>TEXT(Raw_Data!J480,"MMM-YYY")</f>
        <v>May-2025</v>
      </c>
      <c r="K480" s="13" t="str">
        <f>Raw_Data!K480</f>
        <v>8</v>
      </c>
      <c r="L480" s="17" t="str">
        <f>Raw_Data!L480</f>
        <v>Chennai-South</v>
      </c>
      <c r="M480" s="13" t="str">
        <f t="shared" si="3"/>
        <v>OK</v>
      </c>
      <c r="N480" s="18" t="str">
        <f t="shared" si="4"/>
        <v>VALID</v>
      </c>
    </row>
    <row r="481" ht="15.75" customHeight="1">
      <c r="A481" s="13" t="str">
        <f>Raw_Data!A481</f>
        <v>EMP0504</v>
      </c>
      <c r="B481" s="13" t="str">
        <f>TRIM(CLEAN(Raw_Data!B481))</f>
        <v>Operations</v>
      </c>
      <c r="C481" s="18" t="s">
        <v>37</v>
      </c>
      <c r="D481" s="14" t="str">
        <f>IF(ISBLANK(Raw_Data!D481),AVERAGE(Raw_Data!D$2:D$5002),Raw_Data!D481)</f>
        <v>46525.54</v>
      </c>
      <c r="E481" s="15" t="str">
        <f>IF(ISBLANK(Raw_Data!E481),AVERAGE(Raw_Data!E$2:E$5002),Raw_Data!E481)</f>
        <v>13957.66</v>
      </c>
      <c r="F481" s="15" t="str">
        <f>IF(ISBLANK(Raw_Data!F481),AVERAGE(Raw_Data!F$2:F$5002),Raw_Data!F481)</f>
        <v>1246.40</v>
      </c>
      <c r="G481" s="14" t="str">
        <f>IF(ISBLANK(Raw_Data!G481),AVERAGE(Raw_Data!G$2:G$5002),Raw_Data!G481)</f>
        <v>1645.07</v>
      </c>
      <c r="H481" s="15" t="str">
        <f t="shared" si="1"/>
        <v>61730.00</v>
      </c>
      <c r="I481" s="14" t="str">
        <f t="shared" si="2"/>
        <v>60085.00</v>
      </c>
      <c r="J481" s="16" t="str">
        <f>TEXT(Raw_Data!J481,"MMM-YYY")</f>
        <v>May-2025</v>
      </c>
      <c r="K481" s="13" t="str">
        <f>Raw_Data!K481</f>
        <v>22</v>
      </c>
      <c r="L481" s="17" t="str">
        <f>Raw_Data!L481</f>
        <v>Kolkata-East</v>
      </c>
      <c r="M481" s="13" t="str">
        <f t="shared" si="3"/>
        <v>OK</v>
      </c>
      <c r="N481" s="18" t="str">
        <f t="shared" si="4"/>
        <v>VALID</v>
      </c>
    </row>
    <row r="482" ht="15.75" customHeight="1">
      <c r="A482" s="13" t="str">
        <f>Raw_Data!A482</f>
        <v>EMP0505</v>
      </c>
      <c r="B482" s="13" t="str">
        <f>TRIM(CLEAN(Raw_Data!B482))</f>
        <v>HR</v>
      </c>
      <c r="C482" s="18" t="s">
        <v>30</v>
      </c>
      <c r="D482" s="14" t="str">
        <f>IF(ISBLANK(Raw_Data!D482),AVERAGE(Raw_Data!D$2:D$5002),Raw_Data!D482)</f>
        <v>25285.09</v>
      </c>
      <c r="E482" s="15" t="str">
        <f>IF(ISBLANK(Raw_Data!E482),AVERAGE(Raw_Data!E$2:E$5002),Raw_Data!E482)</f>
        <v>7585.53</v>
      </c>
      <c r="F482" s="15" t="str">
        <f>IF(ISBLANK(Raw_Data!F482),AVERAGE(Raw_Data!F$2:F$5002),Raw_Data!F482)</f>
        <v>714.85</v>
      </c>
      <c r="G482" s="14" t="str">
        <f>IF(ISBLANK(Raw_Data!G482),AVERAGE(Raw_Data!G$2:G$5002),Raw_Data!G482)</f>
        <v>2946.70</v>
      </c>
      <c r="H482" s="15" t="str">
        <f t="shared" si="1"/>
        <v>33585.00</v>
      </c>
      <c r="I482" s="14" t="str">
        <f t="shared" si="2"/>
        <v>30638.00</v>
      </c>
      <c r="J482" s="16" t="str">
        <f>TEXT(Raw_Data!J482,"MMM-YYY")</f>
        <v>Oct-2025</v>
      </c>
      <c r="K482" s="13" t="str">
        <f>Raw_Data!K482</f>
        <v>8</v>
      </c>
      <c r="L482" s="17" t="str">
        <f>Raw_Data!L482</f>
        <v>Pune-West</v>
      </c>
      <c r="M482" s="13" t="str">
        <f t="shared" si="3"/>
        <v>OK</v>
      </c>
      <c r="N482" s="18" t="str">
        <f t="shared" si="4"/>
        <v>VALID</v>
      </c>
    </row>
    <row r="483" ht="15.75" customHeight="1">
      <c r="A483" s="13" t="str">
        <f>Raw_Data!A483</f>
        <v>EMP0506</v>
      </c>
      <c r="B483" s="13" t="str">
        <f>TRIM(CLEAN(Raw_Data!B483))</f>
        <v>Finance</v>
      </c>
      <c r="C483" s="18" t="s">
        <v>37</v>
      </c>
      <c r="D483" s="14" t="str">
        <f>IF(ISBLANK(Raw_Data!D483),AVERAGE(Raw_Data!D$2:D$5002),Raw_Data!D483)</f>
        <v>51906.78</v>
      </c>
      <c r="E483" s="15" t="str">
        <f>IF(ISBLANK(Raw_Data!E483),AVERAGE(Raw_Data!E$2:E$5002),Raw_Data!E483)</f>
        <v>15572.03</v>
      </c>
      <c r="F483" s="15" t="str">
        <f>IF(ISBLANK(Raw_Data!F483),AVERAGE(Raw_Data!F$2:F$5002),Raw_Data!F483)</f>
        <v>1928.38</v>
      </c>
      <c r="G483" s="14" t="str">
        <f>IF(ISBLANK(Raw_Data!G483),AVERAGE(Raw_Data!G$2:G$5002),Raw_Data!G483)</f>
        <v>9896.05</v>
      </c>
      <c r="H483" s="15" t="str">
        <f t="shared" si="1"/>
        <v>69407.00</v>
      </c>
      <c r="I483" s="14" t="str">
        <f t="shared" si="2"/>
        <v>59511.00</v>
      </c>
      <c r="J483" s="16" t="str">
        <f>TEXT(Raw_Data!J483,"MMM-YYY")</f>
        <v>Dec-2025</v>
      </c>
      <c r="K483" s="13" t="str">
        <f>Raw_Data!K483</f>
        <v>20</v>
      </c>
      <c r="L483" s="17" t="str">
        <f>Raw_Data!L483</f>
        <v>Hyderabad-South</v>
      </c>
      <c r="M483" s="13" t="str">
        <f t="shared" si="3"/>
        <v>OK</v>
      </c>
      <c r="N483" s="18" t="str">
        <f t="shared" si="4"/>
        <v>VALID</v>
      </c>
    </row>
    <row r="484" ht="15.75" customHeight="1">
      <c r="A484" s="13" t="str">
        <f>Raw_Data!A484</f>
        <v>EMP0507</v>
      </c>
      <c r="B484" s="13" t="str">
        <f>TRIM(CLEAN(Raw_Data!B484))</f>
        <v>Sales</v>
      </c>
      <c r="C484" s="18" t="s">
        <v>30</v>
      </c>
      <c r="D484" s="14" t="str">
        <f>IF(ISBLANK(Raw_Data!D484),AVERAGE(Raw_Data!D$2:D$5002),Raw_Data!D484)</f>
        <v>26883.23</v>
      </c>
      <c r="E484" s="15" t="str">
        <f>IF(ISBLANK(Raw_Data!E484),AVERAGE(Raw_Data!E$2:E$5002),Raw_Data!E484)</f>
        <v>8064.97</v>
      </c>
      <c r="F484" s="15" t="str">
        <f>IF(ISBLANK(Raw_Data!F484),AVERAGE(Raw_Data!F$2:F$5002),Raw_Data!F484)</f>
        <v>2632.63</v>
      </c>
      <c r="G484" s="14" t="str">
        <f>IF(ISBLANK(Raw_Data!G484),AVERAGE(Raw_Data!G$2:G$5002),Raw_Data!G484)</f>
        <v>1131.49</v>
      </c>
      <c r="H484" s="15" t="str">
        <f t="shared" si="1"/>
        <v>37581.00</v>
      </c>
      <c r="I484" s="14" t="str">
        <f t="shared" si="2"/>
        <v>36450.00</v>
      </c>
      <c r="J484" s="16" t="str">
        <f>TEXT(Raw_Data!J484,"MMM-YYY")</f>
        <v>Jun-2025</v>
      </c>
      <c r="K484" s="13" t="str">
        <f>Raw_Data!K484</f>
        <v>10</v>
      </c>
      <c r="L484" s="17" t="str">
        <f>Raw_Data!L484</f>
        <v>Chandigarh-North</v>
      </c>
      <c r="M484" s="13" t="str">
        <f t="shared" si="3"/>
        <v>OK</v>
      </c>
      <c r="N484" s="18" t="str">
        <f t="shared" si="4"/>
        <v>VALID</v>
      </c>
    </row>
    <row r="485" ht="15.75" customHeight="1">
      <c r="A485" s="13" t="str">
        <f>Raw_Data!A485</f>
        <v>EMP0508</v>
      </c>
      <c r="B485" s="13" t="str">
        <f>TRIM(CLEAN(Raw_Data!B485))</f>
        <v>Customer Support</v>
      </c>
      <c r="C485" s="18" t="s">
        <v>54</v>
      </c>
      <c r="D485" s="14" t="str">
        <f>IF(ISBLANK(Raw_Data!D485),AVERAGE(Raw_Data!D$2:D$5002),Raw_Data!D485)</f>
        <v>43671.74</v>
      </c>
      <c r="E485" s="15" t="str">
        <f>IF(ISBLANK(Raw_Data!E485),AVERAGE(Raw_Data!E$2:E$5002),Raw_Data!E485)</f>
        <v>13101.52</v>
      </c>
      <c r="F485" s="15" t="str">
        <f>IF(ISBLANK(Raw_Data!F485),AVERAGE(Raw_Data!F$2:F$5002),Raw_Data!F485)</f>
        <v>7559.77</v>
      </c>
      <c r="G485" s="14" t="str">
        <f>IF(ISBLANK(Raw_Data!G485),AVERAGE(Raw_Data!G$2:G$5002),Raw_Data!G485)</f>
        <v>12470.58</v>
      </c>
      <c r="H485" s="15" t="str">
        <f t="shared" si="1"/>
        <v>64333.00</v>
      </c>
      <c r="I485" s="14" t="str">
        <f t="shared" si="2"/>
        <v>51862.00</v>
      </c>
      <c r="J485" s="16" t="str">
        <f>TEXT(Raw_Data!J485,"MMM-YYY")</f>
        <v>Aug-2025</v>
      </c>
      <c r="K485" s="13" t="str">
        <f>Raw_Data!K485</f>
        <v>20</v>
      </c>
      <c r="L485" s="17" t="str">
        <f>Raw_Data!L485</f>
        <v>Ahmedabad-West</v>
      </c>
      <c r="M485" s="13" t="str">
        <f t="shared" si="3"/>
        <v>OK</v>
      </c>
      <c r="N485" s="18" t="str">
        <f t="shared" si="4"/>
        <v>VALID</v>
      </c>
    </row>
    <row r="486" ht="15.75" customHeight="1">
      <c r="A486" s="13" t="str">
        <f>Raw_Data!A486</f>
        <v>EMP0509</v>
      </c>
      <c r="B486" s="13" t="str">
        <f>TRIM(CLEAN(Raw_Data!B486))</f>
        <v>Finance</v>
      </c>
      <c r="C486" s="18" t="s">
        <v>30</v>
      </c>
      <c r="D486" s="14" t="str">
        <f>IF(ISBLANK(Raw_Data!D486),AVERAGE(Raw_Data!D$2:D$5002),Raw_Data!D486)</f>
        <v>29173.90</v>
      </c>
      <c r="E486" s="15" t="str">
        <f>IF(ISBLANK(Raw_Data!E486),AVERAGE(Raw_Data!E$2:E$5002),Raw_Data!E486)</f>
        <v>8752.17</v>
      </c>
      <c r="F486" s="15" t="str">
        <f>IF(ISBLANK(Raw_Data!F486),AVERAGE(Raw_Data!F$2:F$5002),Raw_Data!F486)</f>
        <v>5623.73</v>
      </c>
      <c r="G486" s="14" t="str">
        <f>IF(ISBLANK(Raw_Data!G486),AVERAGE(Raw_Data!G$2:G$5002),Raw_Data!G486)</f>
        <v>4423.68</v>
      </c>
      <c r="H486" s="15" t="str">
        <f t="shared" si="1"/>
        <v>43550.00</v>
      </c>
      <c r="I486" s="14" t="str">
        <f t="shared" si="2"/>
        <v>39126.00</v>
      </c>
      <c r="J486" s="16" t="str">
        <f>TEXT(Raw_Data!J486,"MMM-YYY")</f>
        <v>Aug-2025</v>
      </c>
      <c r="K486" s="13" t="str">
        <f>Raw_Data!K486</f>
        <v>8</v>
      </c>
      <c r="L486" s="17" t="str">
        <f>Raw_Data!L486</f>
        <v>Jaipur-North</v>
      </c>
      <c r="M486" s="13" t="str">
        <f t="shared" si="3"/>
        <v>OK</v>
      </c>
      <c r="N486" s="18" t="str">
        <f t="shared" si="4"/>
        <v>VALID</v>
      </c>
    </row>
    <row r="487" ht="15.75" customHeight="1">
      <c r="A487" s="13" t="str">
        <f>Raw_Data!A487</f>
        <v>EMP0510</v>
      </c>
      <c r="B487" s="13" t="str">
        <f>TRIM(CLEAN(Raw_Data!B487))</f>
        <v>Marketing</v>
      </c>
      <c r="C487" s="18" t="s">
        <v>18</v>
      </c>
      <c r="D487" s="14" t="str">
        <f>IF(ISBLANK(Raw_Data!D487),AVERAGE(Raw_Data!D$2:D$5002),Raw_Data!D487)</f>
        <v>77784.87</v>
      </c>
      <c r="E487" s="15" t="str">
        <f>IF(ISBLANK(Raw_Data!E487),AVERAGE(Raw_Data!E$2:E$5002),Raw_Data!E487)</f>
        <v>23335.46</v>
      </c>
      <c r="F487" s="15" t="str">
        <f>IF(ISBLANK(Raw_Data!F487),AVERAGE(Raw_Data!F$2:F$5002),Raw_Data!F487)</f>
        <v>11047.67</v>
      </c>
      <c r="G487" s="14" t="str">
        <f>IF(ISBLANK(Raw_Data!G487),AVERAGE(Raw_Data!G$2:G$5002),Raw_Data!G487)</f>
        <v>10357.49</v>
      </c>
      <c r="H487" s="15" t="str">
        <f t="shared" si="1"/>
        <v>112168.00</v>
      </c>
      <c r="I487" s="14" t="str">
        <f t="shared" si="2"/>
        <v>101811.00</v>
      </c>
      <c r="J487" s="16" t="str">
        <f>TEXT(Raw_Data!J487,"MMM-YYY")</f>
        <v>Mar-2025</v>
      </c>
      <c r="K487" s="13" t="str">
        <f>Raw_Data!K487</f>
        <v>16</v>
      </c>
      <c r="L487" s="17" t="str">
        <f>Raw_Data!L487</f>
        <v>Mumbai-HO</v>
      </c>
      <c r="M487" s="13" t="str">
        <f t="shared" si="3"/>
        <v>OK</v>
      </c>
      <c r="N487" s="18" t="str">
        <f t="shared" si="4"/>
        <v>VALID</v>
      </c>
    </row>
    <row r="488" ht="15.75" customHeight="1">
      <c r="A488" s="13" t="str">
        <f>Raw_Data!A488</f>
        <v>EMP0511</v>
      </c>
      <c r="B488" s="13" t="str">
        <f>TRIM(CLEAN(Raw_Data!B488))</f>
        <v>HR</v>
      </c>
      <c r="C488" s="18" t="s">
        <v>37</v>
      </c>
      <c r="D488" s="14" t="str">
        <f>IF(ISBLANK(Raw_Data!D488),AVERAGE(Raw_Data!D$2:D$5002),Raw_Data!D488)</f>
        <v>45555.49</v>
      </c>
      <c r="E488" s="15" t="str">
        <f>IF(ISBLANK(Raw_Data!E488),AVERAGE(Raw_Data!E$2:E$5002),Raw_Data!E488)</f>
        <v>13666.65</v>
      </c>
      <c r="F488" s="15" t="str">
        <f>IF(ISBLANK(Raw_Data!F488),AVERAGE(Raw_Data!F$2:F$5002),Raw_Data!F488)</f>
        <v>6934.06</v>
      </c>
      <c r="G488" s="14" t="str">
        <f>IF(ISBLANK(Raw_Data!G488),AVERAGE(Raw_Data!G$2:G$5002),Raw_Data!G488)</f>
        <v>3991.89</v>
      </c>
      <c r="H488" s="15" t="str">
        <f t="shared" si="1"/>
        <v>66156.00</v>
      </c>
      <c r="I488" s="14" t="str">
        <f t="shared" si="2"/>
        <v>62164.00</v>
      </c>
      <c r="J488" s="16" t="str">
        <f>TEXT(Raw_Data!J488,"MMM-YYY")</f>
        <v>May-2025</v>
      </c>
      <c r="K488" s="13" t="str">
        <f>Raw_Data!K488</f>
        <v>19</v>
      </c>
      <c r="L488" s="17" t="str">
        <f>Raw_Data!L488</f>
        <v>Delhi-North</v>
      </c>
      <c r="M488" s="13" t="str">
        <f t="shared" si="3"/>
        <v>OK</v>
      </c>
      <c r="N488" s="18" t="str">
        <f t="shared" si="4"/>
        <v>VALID</v>
      </c>
    </row>
    <row r="489" ht="15.75" customHeight="1">
      <c r="A489" s="13" t="str">
        <f>Raw_Data!A489</f>
        <v>EMP0512</v>
      </c>
      <c r="B489" s="13" t="str">
        <f>TRIM(CLEAN(Raw_Data!B489))</f>
        <v>Finance</v>
      </c>
      <c r="C489" s="18" t="s">
        <v>37</v>
      </c>
      <c r="D489" s="14" t="str">
        <f>IF(ISBLANK(Raw_Data!D489),AVERAGE(Raw_Data!D$2:D$5002),Raw_Data!D489)</f>
        <v>50196.07</v>
      </c>
      <c r="E489" s="15" t="str">
        <f>IF(ISBLANK(Raw_Data!E489),AVERAGE(Raw_Data!E$2:E$5002),Raw_Data!E489)</f>
        <v>15058.82</v>
      </c>
      <c r="F489" s="15" t="str">
        <f>IF(ISBLANK(Raw_Data!F489),AVERAGE(Raw_Data!F$2:F$5002),Raw_Data!F489)</f>
        <v>7838.02</v>
      </c>
      <c r="G489" s="14" t="str">
        <f>IF(ISBLANK(Raw_Data!G489),AVERAGE(Raw_Data!G$2:G$5002),Raw_Data!G489)</f>
        <v>8518.03</v>
      </c>
      <c r="H489" s="15" t="str">
        <f t="shared" si="1"/>
        <v>73093.00</v>
      </c>
      <c r="I489" s="14" t="str">
        <f t="shared" si="2"/>
        <v>64575.00</v>
      </c>
      <c r="J489" s="16" t="str">
        <f>TEXT(Raw_Data!J489,"MMM-YYY")</f>
        <v>Aug-2025</v>
      </c>
      <c r="K489" s="13" t="str">
        <f>Raw_Data!K489</f>
        <v>6</v>
      </c>
      <c r="L489" s="17" t="str">
        <f>Raw_Data!L489</f>
        <v>Bangalore-South</v>
      </c>
      <c r="M489" s="13" t="str">
        <f t="shared" si="3"/>
        <v>OK</v>
      </c>
      <c r="N489" s="18" t="str">
        <f t="shared" si="4"/>
        <v>VALID</v>
      </c>
    </row>
    <row r="490" ht="15.75" customHeight="1">
      <c r="A490" s="13" t="str">
        <f>Raw_Data!A490</f>
        <v>EMP0513</v>
      </c>
      <c r="B490" s="13" t="str">
        <f>TRIM(CLEAN(Raw_Data!B490))</f>
        <v>Operations</v>
      </c>
      <c r="C490" s="18" t="s">
        <v>37</v>
      </c>
      <c r="D490" s="14" t="str">
        <f>IF(ISBLANK(Raw_Data!D490),AVERAGE(Raw_Data!D$2:D$5002),Raw_Data!D490)</f>
        <v>47037.80</v>
      </c>
      <c r="E490" s="15" t="str">
        <f>IF(ISBLANK(Raw_Data!E490),AVERAGE(Raw_Data!E$2:E$5002),Raw_Data!E490)</f>
        <v>14111.34</v>
      </c>
      <c r="F490" s="15" t="str">
        <f>IF(ISBLANK(Raw_Data!F490),AVERAGE(Raw_Data!F$2:F$5002),Raw_Data!F490)</f>
        <v>1074.41</v>
      </c>
      <c r="G490" s="14" t="str">
        <f>IF(ISBLANK(Raw_Data!G490),AVERAGE(Raw_Data!G$2:G$5002),Raw_Data!G490)</f>
        <v>10937.88</v>
      </c>
      <c r="H490" s="15" t="str">
        <f t="shared" si="1"/>
        <v>62224.00</v>
      </c>
      <c r="I490" s="14" t="str">
        <f t="shared" si="2"/>
        <v>51286.00</v>
      </c>
      <c r="J490" s="16" t="str">
        <f>TEXT(Raw_Data!J490,"MMM-YYY")</f>
        <v>Jun-2025</v>
      </c>
      <c r="K490" s="13" t="str">
        <f>Raw_Data!K490</f>
        <v>16</v>
      </c>
      <c r="L490" s="17" t="str">
        <f>Raw_Data!L490</f>
        <v>Chennai-South</v>
      </c>
      <c r="M490" s="13" t="str">
        <f t="shared" si="3"/>
        <v>OK</v>
      </c>
      <c r="N490" s="18" t="str">
        <f t="shared" si="4"/>
        <v>VALID</v>
      </c>
    </row>
    <row r="491" ht="15.75" customHeight="1">
      <c r="A491" s="13" t="str">
        <f>Raw_Data!A491</f>
        <v>EMP0514</v>
      </c>
      <c r="B491" s="13" t="str">
        <f>TRIM(CLEAN(Raw_Data!B491))</f>
        <v>Operations</v>
      </c>
      <c r="C491" s="18" t="s">
        <v>26</v>
      </c>
      <c r="D491" s="14" t="str">
        <f>IF(ISBLANK(Raw_Data!D491),AVERAGE(Raw_Data!D$2:D$5002),Raw_Data!D491)</f>
        <v>117244.30</v>
      </c>
      <c r="E491" s="15" t="str">
        <f>IF(ISBLANK(Raw_Data!E491),AVERAGE(Raw_Data!E$2:E$5002),Raw_Data!E491)</f>
        <v>35173.29</v>
      </c>
      <c r="F491" s="15" t="str">
        <f>IF(ISBLANK(Raw_Data!F491),AVERAGE(Raw_Data!F$2:F$5002),Raw_Data!F491)</f>
        <v>17821.23</v>
      </c>
      <c r="G491" s="14" t="str">
        <f>IF(ISBLANK(Raw_Data!G491),AVERAGE(Raw_Data!G$2:G$5002),Raw_Data!G491)</f>
        <v>15524.31</v>
      </c>
      <c r="H491" s="15" t="str">
        <f t="shared" si="1"/>
        <v>170239.00</v>
      </c>
      <c r="I491" s="14" t="str">
        <f t="shared" si="2"/>
        <v>154715.00</v>
      </c>
      <c r="J491" s="16" t="str">
        <f>TEXT(Raw_Data!J491,"MMM-YYY")</f>
        <v>Apr-2025</v>
      </c>
      <c r="K491" s="13" t="str">
        <f>Raw_Data!K491</f>
        <v>4</v>
      </c>
      <c r="L491" s="17" t="str">
        <f>Raw_Data!L491</f>
        <v>Kolkata-East</v>
      </c>
      <c r="M491" s="13" t="str">
        <f t="shared" si="3"/>
        <v>OK</v>
      </c>
      <c r="N491" s="18" t="str">
        <f t="shared" si="4"/>
        <v>VALID</v>
      </c>
    </row>
    <row r="492" ht="15.75" customHeight="1">
      <c r="A492" s="13" t="str">
        <f>Raw_Data!A492</f>
        <v>EMP0515</v>
      </c>
      <c r="B492" s="13" t="str">
        <f>TRIM(CLEAN(Raw_Data!B492))</f>
        <v>Marketing</v>
      </c>
      <c r="C492" s="18" t="s">
        <v>14</v>
      </c>
      <c r="D492" s="14" t="str">
        <f>IF(ISBLANK(Raw_Data!D492),AVERAGE(Raw_Data!D$2:D$5002),Raw_Data!D492)</f>
        <v>23299.12</v>
      </c>
      <c r="E492" s="15" t="str">
        <f>IF(ISBLANK(Raw_Data!E492),AVERAGE(Raw_Data!E$2:E$5002),Raw_Data!E492)</f>
        <v>6989.74</v>
      </c>
      <c r="F492" s="15" t="str">
        <f>IF(ISBLANK(Raw_Data!F492),AVERAGE(Raw_Data!F$2:F$5002),Raw_Data!F492)</f>
        <v>3046.00</v>
      </c>
      <c r="G492" s="14" t="str">
        <f>IF(ISBLANK(Raw_Data!G492),AVERAGE(Raw_Data!G$2:G$5002),Raw_Data!G492)</f>
        <v>1730.18</v>
      </c>
      <c r="H492" s="15" t="str">
        <f t="shared" si="1"/>
        <v>33335.00</v>
      </c>
      <c r="I492" s="14" t="str">
        <f t="shared" si="2"/>
        <v>31605.00</v>
      </c>
      <c r="J492" s="16" t="str">
        <f>TEXT(Raw_Data!J492,"MMM-YYY")</f>
        <v>Jan-2025</v>
      </c>
      <c r="K492" s="13" t="str">
        <f>Raw_Data!K492</f>
        <v>11</v>
      </c>
      <c r="L492" s="17" t="str">
        <f>Raw_Data!L492</f>
        <v>Pune-West</v>
      </c>
      <c r="M492" s="13" t="str">
        <f t="shared" si="3"/>
        <v>OK</v>
      </c>
      <c r="N492" s="18" t="str">
        <f t="shared" si="4"/>
        <v>VALID</v>
      </c>
    </row>
    <row r="493" ht="15.75" customHeight="1">
      <c r="A493" s="13" t="str">
        <f>Raw_Data!A493</f>
        <v>EMP0516</v>
      </c>
      <c r="B493" s="13" t="str">
        <f>TRIM(CLEAN(Raw_Data!B493))</f>
        <v>Marketing</v>
      </c>
      <c r="C493" s="18" t="s">
        <v>33</v>
      </c>
      <c r="D493" s="14" t="str">
        <f>IF(ISBLANK(Raw_Data!D493),AVERAGE(Raw_Data!D$2:D$5002),Raw_Data!D493)</f>
        <v>28485.77</v>
      </c>
      <c r="E493" s="15" t="str">
        <f>IF(ISBLANK(Raw_Data!E493),AVERAGE(Raw_Data!E$2:E$5002),Raw_Data!E493)</f>
        <v>8545.73</v>
      </c>
      <c r="F493" s="15" t="str">
        <f>IF(ISBLANK(Raw_Data!F493),AVERAGE(Raw_Data!F$2:F$5002),Raw_Data!F493)</f>
        <v>4653.03</v>
      </c>
      <c r="G493" s="14" t="str">
        <f>IF(ISBLANK(Raw_Data!G493),AVERAGE(Raw_Data!G$2:G$5002),Raw_Data!G493)</f>
        <v>3752.17</v>
      </c>
      <c r="H493" s="15" t="str">
        <f t="shared" si="1"/>
        <v>41685.00</v>
      </c>
      <c r="I493" s="14" t="str">
        <f t="shared" si="2"/>
        <v>37933.00</v>
      </c>
      <c r="J493" s="16" t="str">
        <f>TEXT(Raw_Data!J493,"MMM-YYY")</f>
        <v>Feb-2025</v>
      </c>
      <c r="K493" s="13" t="str">
        <f>Raw_Data!K493</f>
        <v>17</v>
      </c>
      <c r="L493" s="17" t="str">
        <f>Raw_Data!L493</f>
        <v>Hyderabad-South</v>
      </c>
      <c r="M493" s="13" t="str">
        <f t="shared" si="3"/>
        <v>OK</v>
      </c>
      <c r="N493" s="18" t="str">
        <f t="shared" si="4"/>
        <v>VALID</v>
      </c>
    </row>
    <row r="494" ht="15.75" customHeight="1">
      <c r="A494" s="13" t="str">
        <f>Raw_Data!A494</f>
        <v>EMP0517</v>
      </c>
      <c r="B494" s="13" t="str">
        <f>TRIM(CLEAN(Raw_Data!B494))</f>
        <v>Customer Support</v>
      </c>
      <c r="C494" s="18" t="s">
        <v>26</v>
      </c>
      <c r="D494" s="14" t="str">
        <f>IF(ISBLANK(Raw_Data!D494),AVERAGE(Raw_Data!D$2:D$5002),Raw_Data!D494)</f>
        <v>98530.06</v>
      </c>
      <c r="E494" s="15" t="str">
        <f>IF(ISBLANK(Raw_Data!E494),AVERAGE(Raw_Data!E$2:E$5002),Raw_Data!E494)</f>
        <v>29559.02</v>
      </c>
      <c r="F494" s="15" t="str">
        <f>IF(ISBLANK(Raw_Data!F494),AVERAGE(Raw_Data!F$2:F$5002),Raw_Data!F494)</f>
        <v>15975.72</v>
      </c>
      <c r="G494" s="14" t="str">
        <f>IF(ISBLANK(Raw_Data!G494),AVERAGE(Raw_Data!G$2:G$5002),Raw_Data!G494)</f>
        <v>17378.45</v>
      </c>
      <c r="H494" s="15" t="str">
        <f t="shared" si="1"/>
        <v>144065.00</v>
      </c>
      <c r="I494" s="14" t="str">
        <f t="shared" si="2"/>
        <v>126687.00</v>
      </c>
      <c r="J494" s="16" t="str">
        <f>TEXT(Raw_Data!J494,"MMM-YYY")</f>
        <v>Jun-2025</v>
      </c>
      <c r="K494" s="13" t="str">
        <f>Raw_Data!K494</f>
        <v>6</v>
      </c>
      <c r="L494" s="17" t="str">
        <f>Raw_Data!L494</f>
        <v>Chandigarh-North</v>
      </c>
      <c r="M494" s="13" t="str">
        <f t="shared" si="3"/>
        <v>OK</v>
      </c>
      <c r="N494" s="18" t="str">
        <f t="shared" si="4"/>
        <v>VALID</v>
      </c>
    </row>
    <row r="495" ht="15.75" customHeight="1">
      <c r="A495" s="13" t="str">
        <f>Raw_Data!A495</f>
        <v>EMP0518</v>
      </c>
      <c r="B495" s="13" t="str">
        <f>TRIM(CLEAN(Raw_Data!B495))</f>
        <v>Customer Support</v>
      </c>
      <c r="C495" s="18" t="s">
        <v>18</v>
      </c>
      <c r="D495" s="14" t="str">
        <f>IF(ISBLANK(Raw_Data!D495),AVERAGE(Raw_Data!D$2:D$5002),Raw_Data!D495)</f>
        <v>80866.81</v>
      </c>
      <c r="E495" s="15" t="str">
        <f>IF(ISBLANK(Raw_Data!E495),AVERAGE(Raw_Data!E$2:E$5002),Raw_Data!E495)</f>
        <v>24260.04</v>
      </c>
      <c r="F495" s="15" t="str">
        <f>IF(ISBLANK(Raw_Data!F495),AVERAGE(Raw_Data!F$2:F$5002),Raw_Data!F495)</f>
        <v>6924.90</v>
      </c>
      <c r="G495" s="14" t="str">
        <f>IF(ISBLANK(Raw_Data!G495),AVERAGE(Raw_Data!G$2:G$5002),Raw_Data!G495)</f>
        <v>14947.85</v>
      </c>
      <c r="H495" s="15" t="str">
        <f t="shared" si="1"/>
        <v>112052.00</v>
      </c>
      <c r="I495" s="14" t="str">
        <f t="shared" si="2"/>
        <v>97104.00</v>
      </c>
      <c r="J495" s="16" t="str">
        <f>TEXT(Raw_Data!J495,"MMM-YYY")</f>
        <v>Apr-2025</v>
      </c>
      <c r="K495" s="13" t="str">
        <f>Raw_Data!K495</f>
        <v>9</v>
      </c>
      <c r="L495" s="17" t="str">
        <f>Raw_Data!L495</f>
        <v>Ahmedabad-West</v>
      </c>
      <c r="M495" s="13" t="str">
        <f t="shared" si="3"/>
        <v>OK</v>
      </c>
      <c r="N495" s="18" t="str">
        <f t="shared" si="4"/>
        <v>VALID</v>
      </c>
    </row>
    <row r="496" ht="15.75" customHeight="1">
      <c r="A496" s="13" t="str">
        <f>Raw_Data!A496</f>
        <v>EMP0519</v>
      </c>
      <c r="B496" s="13" t="str">
        <f>TRIM(CLEAN(Raw_Data!B496))</f>
        <v>Customer Support</v>
      </c>
      <c r="C496" s="18" t="s">
        <v>30</v>
      </c>
      <c r="D496" s="14" t="str">
        <f>IF(ISBLANK(Raw_Data!D496),AVERAGE(Raw_Data!D$2:D$5002),Raw_Data!D496)</f>
        <v>29087.88</v>
      </c>
      <c r="E496" s="15" t="str">
        <f>IF(ISBLANK(Raw_Data!E496),AVERAGE(Raw_Data!E$2:E$5002),Raw_Data!E496)</f>
        <v>8726.36</v>
      </c>
      <c r="F496" s="15" t="str">
        <f>IF(ISBLANK(Raw_Data!F496),AVERAGE(Raw_Data!F$2:F$5002),Raw_Data!F496)</f>
        <v>3316.45</v>
      </c>
      <c r="G496" s="14" t="str">
        <f>IF(ISBLANK(Raw_Data!G496),AVERAGE(Raw_Data!G$2:G$5002),Raw_Data!G496)</f>
        <v>4644.88</v>
      </c>
      <c r="H496" s="15" t="str">
        <f t="shared" si="1"/>
        <v>41131.00</v>
      </c>
      <c r="I496" s="14" t="str">
        <f t="shared" si="2"/>
        <v>36486.00</v>
      </c>
      <c r="J496" s="16" t="str">
        <f>TEXT(Raw_Data!J496,"MMM-YYY")</f>
        <v>Oct-2025</v>
      </c>
      <c r="K496" s="13" t="str">
        <f>Raw_Data!K496</f>
        <v>16</v>
      </c>
      <c r="L496" s="17" t="str">
        <f>Raw_Data!L496</f>
        <v>Jaipur-North</v>
      </c>
      <c r="M496" s="13" t="str">
        <f t="shared" si="3"/>
        <v>OK</v>
      </c>
      <c r="N496" s="18" t="str">
        <f t="shared" si="4"/>
        <v>VALID</v>
      </c>
    </row>
    <row r="497" ht="15.75" customHeight="1">
      <c r="A497" s="13" t="str">
        <f>Raw_Data!A497</f>
        <v>EMP0520</v>
      </c>
      <c r="B497" s="13" t="str">
        <f>TRIM(CLEAN(Raw_Data!B497))</f>
        <v>Operations</v>
      </c>
      <c r="C497" s="18" t="s">
        <v>30</v>
      </c>
      <c r="D497" s="14" t="str">
        <f>IF(ISBLANK(Raw_Data!D497),AVERAGE(Raw_Data!D$2:D$5002),Raw_Data!D497)</f>
        <v>24848.15</v>
      </c>
      <c r="E497" s="15" t="str">
        <f>IF(ISBLANK(Raw_Data!E497),AVERAGE(Raw_Data!E$2:E$5002),Raw_Data!E497)</f>
        <v>7454.44</v>
      </c>
      <c r="F497" s="15" t="str">
        <f>IF(ISBLANK(Raw_Data!F497),AVERAGE(Raw_Data!F$2:F$5002),Raw_Data!F497)</f>
        <v>3498.89</v>
      </c>
      <c r="G497" s="14" t="str">
        <f>IF(ISBLANK(Raw_Data!G497),AVERAGE(Raw_Data!G$2:G$5002),Raw_Data!G497)</f>
        <v>2156.82</v>
      </c>
      <c r="H497" s="15" t="str">
        <f t="shared" si="1"/>
        <v>35801.00</v>
      </c>
      <c r="I497" s="14" t="str">
        <f t="shared" si="2"/>
        <v>33644.00</v>
      </c>
      <c r="J497" s="16" t="str">
        <f>TEXT(Raw_Data!J497,"MMM-YYY")</f>
        <v>May-2025</v>
      </c>
      <c r="K497" s="13" t="str">
        <f>Raw_Data!K497</f>
        <v>16</v>
      </c>
      <c r="L497" s="17" t="str">
        <f>Raw_Data!L497</f>
        <v>Mumbai-HO</v>
      </c>
      <c r="M497" s="13" t="str">
        <f t="shared" si="3"/>
        <v>OK</v>
      </c>
      <c r="N497" s="18" t="str">
        <f t="shared" si="4"/>
        <v>VALID</v>
      </c>
    </row>
    <row r="498" ht="15.75" customHeight="1">
      <c r="A498" s="13" t="str">
        <f>Raw_Data!A498</f>
        <v>EMP0521</v>
      </c>
      <c r="B498" s="13" t="str">
        <f>TRIM(CLEAN(Raw_Data!B498))</f>
        <v>Customer Support</v>
      </c>
      <c r="C498" s="18" t="s">
        <v>37</v>
      </c>
      <c r="D498" s="14" t="str">
        <f>IF(ISBLANK(Raw_Data!D498),AVERAGE(Raw_Data!D$2:D$5002),Raw_Data!D498)</f>
        <v>62738.79</v>
      </c>
      <c r="E498" s="15" t="str">
        <f>IF(ISBLANK(Raw_Data!E498),AVERAGE(Raw_Data!E$2:E$5002),Raw_Data!E498)</f>
        <v>18821.64</v>
      </c>
      <c r="F498" s="15" t="str">
        <f>IF(ISBLANK(Raw_Data!F498),AVERAGE(Raw_Data!F$2:F$5002),Raw_Data!F498)</f>
        <v>8523.68</v>
      </c>
      <c r="G498" s="14" t="str">
        <f>IF(ISBLANK(Raw_Data!G498),AVERAGE(Raw_Data!G$2:G$5002),Raw_Data!G498)</f>
        <v>1792.29</v>
      </c>
      <c r="H498" s="15" t="str">
        <f t="shared" si="1"/>
        <v>90084.00</v>
      </c>
      <c r="I498" s="14" t="str">
        <f t="shared" si="2"/>
        <v>88292.00</v>
      </c>
      <c r="J498" s="16" t="str">
        <f>TEXT(Raw_Data!J498,"MMM-YYY")</f>
        <v>Jul-2025</v>
      </c>
      <c r="K498" s="13" t="str">
        <f>Raw_Data!K498</f>
        <v>4</v>
      </c>
      <c r="L498" s="17" t="str">
        <f>Raw_Data!L498</f>
        <v>Delhi-North</v>
      </c>
      <c r="M498" s="13" t="str">
        <f t="shared" si="3"/>
        <v>OK</v>
      </c>
      <c r="N498" s="18" t="str">
        <f t="shared" si="4"/>
        <v>VALID</v>
      </c>
    </row>
    <row r="499" ht="15.75" customHeight="1">
      <c r="A499" s="13" t="str">
        <f>Raw_Data!A499</f>
        <v>EMP0523</v>
      </c>
      <c r="B499" s="13" t="str">
        <f>TRIM(CLEAN(Raw_Data!B499))</f>
        <v>Finance</v>
      </c>
      <c r="C499" s="18" t="s">
        <v>18</v>
      </c>
      <c r="D499" s="14" t="str">
        <f>IF(ISBLANK(Raw_Data!D499),AVERAGE(Raw_Data!D$2:D$5002),Raw_Data!D499)</f>
        <v>73374.51</v>
      </c>
      <c r="E499" s="15" t="str">
        <f>IF(ISBLANK(Raw_Data!E499),AVERAGE(Raw_Data!E$2:E$5002),Raw_Data!E499)</f>
        <v>22012.35</v>
      </c>
      <c r="F499" s="15" t="str">
        <f>IF(ISBLANK(Raw_Data!F499),AVERAGE(Raw_Data!F$2:F$5002),Raw_Data!F499)</f>
        <v>3632.84</v>
      </c>
      <c r="G499" s="14" t="str">
        <f>IF(ISBLANK(Raw_Data!G499),AVERAGE(Raw_Data!G$2:G$5002),Raw_Data!G499)</f>
        <v>18568.64</v>
      </c>
      <c r="H499" s="15" t="str">
        <f t="shared" si="1"/>
        <v>99020.00</v>
      </c>
      <c r="I499" s="14" t="str">
        <f t="shared" si="2"/>
        <v>80451.00</v>
      </c>
      <c r="J499" s="16" t="str">
        <f>TEXT(Raw_Data!J499,"MMM-YYY")</f>
        <v>Jul-2025</v>
      </c>
      <c r="K499" s="13" t="str">
        <f>Raw_Data!K499</f>
        <v>24</v>
      </c>
      <c r="L499" s="17" t="str">
        <f>Raw_Data!L499</f>
        <v>Chennai-South</v>
      </c>
      <c r="M499" s="13" t="str">
        <f t="shared" si="3"/>
        <v>OK</v>
      </c>
      <c r="N499" s="18" t="str">
        <f t="shared" si="4"/>
        <v>VALID</v>
      </c>
    </row>
    <row r="500" ht="15.75" customHeight="1">
      <c r="A500" s="13" t="str">
        <f>Raw_Data!A500</f>
        <v>EMP0524</v>
      </c>
      <c r="B500" s="13" t="s">
        <v>29</v>
      </c>
      <c r="C500" s="18" t="s">
        <v>30</v>
      </c>
      <c r="D500" s="14" t="str">
        <f>IF(ISBLANK(Raw_Data!D500),AVERAGE(Raw_Data!D$2:D$5002),Raw_Data!D500)</f>
        <v>27081.34</v>
      </c>
      <c r="E500" s="15" t="str">
        <f>IF(ISBLANK(Raw_Data!E500),AVERAGE(Raw_Data!E$2:E$5002),Raw_Data!E500)</f>
        <v>8124.40</v>
      </c>
      <c r="F500" s="15" t="str">
        <f>IF(ISBLANK(Raw_Data!F500),AVERAGE(Raw_Data!F$2:F$5002),Raw_Data!F500)</f>
        <v>1455.44</v>
      </c>
      <c r="G500" s="14" t="str">
        <f>IF(ISBLANK(Raw_Data!G500),AVERAGE(Raw_Data!G$2:G$5002),Raw_Data!G500)</f>
        <v>3365.33</v>
      </c>
      <c r="H500" s="15" t="str">
        <f t="shared" si="1"/>
        <v>36661.00</v>
      </c>
      <c r="I500" s="14" t="str">
        <f t="shared" si="2"/>
        <v>33296.00</v>
      </c>
      <c r="J500" s="16" t="str">
        <f>TEXT(Raw_Data!J500,"MMM-YYY")</f>
        <v>Aug-2025</v>
      </c>
      <c r="K500" s="13" t="str">
        <f>Raw_Data!K500</f>
        <v>3</v>
      </c>
      <c r="L500" s="17" t="str">
        <f>Raw_Data!L500</f>
        <v>Kolkata-East</v>
      </c>
      <c r="M500" s="13" t="str">
        <f t="shared" si="3"/>
        <v>OK</v>
      </c>
      <c r="N500" s="18" t="str">
        <f t="shared" si="4"/>
        <v>VALID</v>
      </c>
    </row>
    <row r="501" ht="15.75" customHeight="1">
      <c r="A501" s="13" t="str">
        <f>Raw_Data!A501</f>
        <v>EMP0525</v>
      </c>
      <c r="B501" s="13" t="str">
        <f>TRIM(CLEAN(Raw_Data!B501))</f>
        <v>HR</v>
      </c>
      <c r="C501" s="18" t="s">
        <v>18</v>
      </c>
      <c r="D501" s="14" t="str">
        <f>IF(ISBLANK(Raw_Data!D501),AVERAGE(Raw_Data!D$2:D$5002),Raw_Data!D501)</f>
        <v>85659.56</v>
      </c>
      <c r="E501" s="15" t="str">
        <f>IF(ISBLANK(Raw_Data!E501),AVERAGE(Raw_Data!E$2:E$5002),Raw_Data!E501)</f>
        <v>25697.87</v>
      </c>
      <c r="F501" s="15" t="str">
        <f>IF(ISBLANK(Raw_Data!F501),AVERAGE(Raw_Data!F$2:F$5002),Raw_Data!F501)</f>
        <v>13172.46</v>
      </c>
      <c r="G501" s="14" t="str">
        <f>IF(ISBLANK(Raw_Data!G501),AVERAGE(Raw_Data!G$2:G$5002),Raw_Data!G501)</f>
        <v>10352.41</v>
      </c>
      <c r="H501" s="15" t="str">
        <f t="shared" si="1"/>
        <v>124530.00</v>
      </c>
      <c r="I501" s="14" t="str">
        <f t="shared" si="2"/>
        <v>114178.00</v>
      </c>
      <c r="J501" s="16" t="str">
        <f>TEXT(Raw_Data!J501,"MMM-YYY")</f>
        <v>Dec-2025</v>
      </c>
      <c r="K501" s="13" t="str">
        <f>Raw_Data!K501</f>
        <v>7</v>
      </c>
      <c r="L501" s="17" t="str">
        <f>Raw_Data!L501</f>
        <v>Pune-West</v>
      </c>
      <c r="M501" s="13" t="str">
        <f t="shared" si="3"/>
        <v>OK</v>
      </c>
      <c r="N501" s="18" t="str">
        <f t="shared" si="4"/>
        <v>VALID</v>
      </c>
    </row>
    <row r="502" ht="15.75" customHeight="1">
      <c r="A502" s="13" t="str">
        <f>Raw_Data!A502</f>
        <v>EMP0526</v>
      </c>
      <c r="B502" s="13" t="str">
        <f>TRIM(CLEAN(Raw_Data!B502))</f>
        <v>IT</v>
      </c>
      <c r="C502" s="18" t="s">
        <v>18</v>
      </c>
      <c r="D502" s="14" t="str">
        <f>IF(ISBLANK(Raw_Data!D502),AVERAGE(Raw_Data!D$2:D$5002),Raw_Data!D502)</f>
        <v>89344.74</v>
      </c>
      <c r="E502" s="15" t="str">
        <f>IF(ISBLANK(Raw_Data!E502),AVERAGE(Raw_Data!E$2:E$5002),Raw_Data!E502)</f>
        <v>26803.42</v>
      </c>
      <c r="F502" s="15" t="str">
        <f>IF(ISBLANK(Raw_Data!F502),AVERAGE(Raw_Data!F$2:F$5002),Raw_Data!F502)</f>
        <v>6594.91</v>
      </c>
      <c r="G502" s="14" t="str">
        <f>IF(ISBLANK(Raw_Data!G502),AVERAGE(Raw_Data!G$2:G$5002),Raw_Data!G502)</f>
        <v>25470.06</v>
      </c>
      <c r="H502" s="15" t="str">
        <f t="shared" si="1"/>
        <v>122743.00</v>
      </c>
      <c r="I502" s="14" t="str">
        <f t="shared" si="2"/>
        <v>97273.00</v>
      </c>
      <c r="J502" s="16" t="str">
        <f>TEXT(Raw_Data!J502,"MMM-YYY")</f>
        <v>Jun-2025</v>
      </c>
      <c r="K502" s="13" t="str">
        <f>Raw_Data!K502</f>
        <v>9</v>
      </c>
      <c r="L502" s="17" t="str">
        <f>Raw_Data!L502</f>
        <v>Hyderabad-South</v>
      </c>
      <c r="M502" s="13" t="str">
        <f t="shared" si="3"/>
        <v>OK</v>
      </c>
      <c r="N502" s="18" t="str">
        <f t="shared" si="4"/>
        <v>VALID</v>
      </c>
    </row>
    <row r="503" ht="15.75" customHeight="1">
      <c r="A503" s="13" t="str">
        <f>Raw_Data!A503</f>
        <v>EMP0527</v>
      </c>
      <c r="B503" s="13" t="str">
        <f>TRIM(CLEAN(Raw_Data!B503))</f>
        <v>Operations</v>
      </c>
      <c r="C503" s="18" t="s">
        <v>14</v>
      </c>
      <c r="D503" s="14" t="str">
        <f>IF(ISBLANK(Raw_Data!D503),AVERAGE(Raw_Data!D$2:D$5002),Raw_Data!D503)</f>
        <v>24256.14</v>
      </c>
      <c r="E503" s="15" t="str">
        <f>IF(ISBLANK(Raw_Data!E503),AVERAGE(Raw_Data!E$2:E$5002),Raw_Data!E503)</f>
        <v>7276.84</v>
      </c>
      <c r="F503" s="15" t="str">
        <f>IF(ISBLANK(Raw_Data!F503),AVERAGE(Raw_Data!F$2:F$5002),Raw_Data!F503)</f>
        <v>4109.80</v>
      </c>
      <c r="G503" s="14" t="str">
        <f>IF(ISBLANK(Raw_Data!G503),AVERAGE(Raw_Data!G$2:G$5002),Raw_Data!G503)</f>
        <v>677.78</v>
      </c>
      <c r="H503" s="15" t="str">
        <f t="shared" si="1"/>
        <v>35643.00</v>
      </c>
      <c r="I503" s="14" t="str">
        <f t="shared" si="2"/>
        <v>34965.00</v>
      </c>
      <c r="J503" s="16" t="str">
        <f>TEXT(Raw_Data!J503,"MMM-YYY")</f>
        <v>Aug-2025</v>
      </c>
      <c r="K503" s="13" t="str">
        <f>Raw_Data!K503</f>
        <v>3</v>
      </c>
      <c r="L503" s="17" t="str">
        <f>Raw_Data!L503</f>
        <v>Chandigarh-North</v>
      </c>
      <c r="M503" s="13" t="str">
        <f t="shared" si="3"/>
        <v>OK</v>
      </c>
      <c r="N503" s="18" t="str">
        <f t="shared" si="4"/>
        <v>VALID</v>
      </c>
    </row>
    <row r="504" ht="15.75" customHeight="1">
      <c r="A504" s="13" t="str">
        <f>Raw_Data!A504</f>
        <v>EMP0528</v>
      </c>
      <c r="B504" s="13" t="str">
        <f>TRIM(CLEAN(Raw_Data!B504))</f>
        <v>Sales</v>
      </c>
      <c r="C504" s="18" t="s">
        <v>18</v>
      </c>
      <c r="D504" s="14" t="str">
        <f>IF(ISBLANK(Raw_Data!D504),AVERAGE(Raw_Data!D$2:D$5002),Raw_Data!D504)</f>
        <v>83129.51</v>
      </c>
      <c r="E504" s="15" t="str">
        <f>IF(ISBLANK(Raw_Data!E504),AVERAGE(Raw_Data!E$2:E$5002),Raw_Data!E504)</f>
        <v>24938.85</v>
      </c>
      <c r="F504" s="15" t="str">
        <f>IF(ISBLANK(Raw_Data!F504),AVERAGE(Raw_Data!F$2:F$5002),Raw_Data!F504)</f>
        <v>14133.78</v>
      </c>
      <c r="G504" s="14" t="str">
        <f>IF(ISBLANK(Raw_Data!G504),AVERAGE(Raw_Data!G$2:G$5002),Raw_Data!G504)</f>
        <v>19843.29</v>
      </c>
      <c r="H504" s="15" t="str">
        <f t="shared" si="1"/>
        <v>122202.00</v>
      </c>
      <c r="I504" s="14" t="str">
        <f t="shared" si="2"/>
        <v>102359.00</v>
      </c>
      <c r="J504" s="16" t="str">
        <f>TEXT(Raw_Data!J504,"MMM-YYY")</f>
        <v>Jul-2025</v>
      </c>
      <c r="K504" s="13" t="str">
        <f>Raw_Data!K504</f>
        <v>15</v>
      </c>
      <c r="L504" s="17" t="str">
        <f>Raw_Data!L504</f>
        <v>Ahmedabad-West</v>
      </c>
      <c r="M504" s="13" t="str">
        <f t="shared" si="3"/>
        <v>OK</v>
      </c>
      <c r="N504" s="18" t="str">
        <f t="shared" si="4"/>
        <v>VALID</v>
      </c>
    </row>
    <row r="505" ht="15.75" customHeight="1">
      <c r="A505" s="13" t="str">
        <f>Raw_Data!A505</f>
        <v>EMP0529</v>
      </c>
      <c r="B505" s="13" t="str">
        <f>TRIM(CLEAN(Raw_Data!B505))</f>
        <v>Finance</v>
      </c>
      <c r="C505" s="18" t="s">
        <v>54</v>
      </c>
      <c r="D505" s="14" t="str">
        <f>IF(ISBLANK(Raw_Data!D505),AVERAGE(Raw_Data!D$2:D$5002),Raw_Data!D505)</f>
        <v>46547.87</v>
      </c>
      <c r="E505" s="15" t="str">
        <f>IF(ISBLANK(Raw_Data!E505),AVERAGE(Raw_Data!E$2:E$5002),Raw_Data!E505)</f>
        <v>13964.36</v>
      </c>
      <c r="F505" s="15" t="str">
        <f>IF(ISBLANK(Raw_Data!F505),AVERAGE(Raw_Data!F$2:F$5002),Raw_Data!F505)</f>
        <v>4605.59</v>
      </c>
      <c r="G505" s="14" t="str">
        <f>IF(ISBLANK(Raw_Data!G505),AVERAGE(Raw_Data!G$2:G$5002),Raw_Data!G505)</f>
        <v>4508.61</v>
      </c>
      <c r="H505" s="15" t="str">
        <f t="shared" si="1"/>
        <v>65118.00</v>
      </c>
      <c r="I505" s="14" t="str">
        <f t="shared" si="2"/>
        <v>60609.00</v>
      </c>
      <c r="J505" s="16" t="str">
        <f>TEXT(Raw_Data!J505,"MMM-YYY")</f>
        <v>May-2025</v>
      </c>
      <c r="K505" s="13" t="str">
        <f>Raw_Data!K505</f>
        <v>23</v>
      </c>
      <c r="L505" s="17" t="str">
        <f>Raw_Data!L505</f>
        <v>Jaipur-North</v>
      </c>
      <c r="M505" s="13" t="str">
        <f t="shared" si="3"/>
        <v>OK</v>
      </c>
      <c r="N505" s="18" t="str">
        <f t="shared" si="4"/>
        <v>VALID</v>
      </c>
    </row>
    <row r="506" ht="15.75" customHeight="1">
      <c r="A506" s="13" t="str">
        <f>Raw_Data!A506</f>
        <v>EMP0530</v>
      </c>
      <c r="B506" s="13" t="str">
        <f>TRIM(CLEAN(Raw_Data!B506))</f>
        <v>IT</v>
      </c>
      <c r="C506" s="18" t="s">
        <v>37</v>
      </c>
      <c r="D506" s="14" t="str">
        <f>IF(ISBLANK(Raw_Data!D506),AVERAGE(Raw_Data!D$2:D$5002),Raw_Data!D506)</f>
        <v>55402.81</v>
      </c>
      <c r="E506" s="15" t="str">
        <f>IF(ISBLANK(Raw_Data!E506),AVERAGE(Raw_Data!E$2:E$5002),Raw_Data!E506)</f>
        <v>16620.84</v>
      </c>
      <c r="F506" s="15" t="str">
        <f>IF(ISBLANK(Raw_Data!F506),AVERAGE(Raw_Data!F$2:F$5002),Raw_Data!F506)</f>
        <v>6273.17</v>
      </c>
      <c r="G506" s="14" t="str">
        <f>IF(ISBLANK(Raw_Data!G506),AVERAGE(Raw_Data!G$2:G$5002),Raw_Data!G506)</f>
        <v>8066.73</v>
      </c>
      <c r="H506" s="15" t="str">
        <f t="shared" si="1"/>
        <v>78297.00</v>
      </c>
      <c r="I506" s="14" t="str">
        <f t="shared" si="2"/>
        <v>70230.00</v>
      </c>
      <c r="J506" s="16" t="str">
        <f>TEXT(Raw_Data!J506,"MMM-YYY")</f>
        <v>Jun-2025</v>
      </c>
      <c r="K506" s="13" t="str">
        <f>Raw_Data!K506</f>
        <v>15</v>
      </c>
      <c r="L506" s="17" t="str">
        <f>Raw_Data!L506</f>
        <v>Mumbai-HO</v>
      </c>
      <c r="M506" s="13" t="str">
        <f t="shared" si="3"/>
        <v>OK</v>
      </c>
      <c r="N506" s="18" t="str">
        <f t="shared" si="4"/>
        <v>VALID</v>
      </c>
    </row>
    <row r="507" ht="15.75" customHeight="1">
      <c r="A507" s="13" t="str">
        <f>Raw_Data!A507</f>
        <v>EMP0531</v>
      </c>
      <c r="B507" s="13" t="str">
        <f>TRIM(CLEAN(Raw_Data!B507))</f>
        <v>Sales</v>
      </c>
      <c r="C507" s="18" t="s">
        <v>26</v>
      </c>
      <c r="D507" s="14" t="str">
        <f>IF(ISBLANK(Raw_Data!D507),AVERAGE(Raw_Data!D$2:D$5002),Raw_Data!D507)</f>
        <v>91742.73</v>
      </c>
      <c r="E507" s="15" t="str">
        <f>IF(ISBLANK(Raw_Data!E507),AVERAGE(Raw_Data!E$2:E$5002),Raw_Data!E507)</f>
        <v>27522.82</v>
      </c>
      <c r="F507" s="15" t="str">
        <f>IF(ISBLANK(Raw_Data!F507),AVERAGE(Raw_Data!F$2:F$5002),Raw_Data!F507)</f>
        <v>1827.05</v>
      </c>
      <c r="G507" s="14" t="str">
        <f>IF(ISBLANK(Raw_Data!G507),AVERAGE(Raw_Data!G$2:G$5002),Raw_Data!G507)</f>
        <v>21574.86</v>
      </c>
      <c r="H507" s="15" t="str">
        <f t="shared" si="1"/>
        <v>121093.00</v>
      </c>
      <c r="I507" s="14" t="str">
        <f t="shared" si="2"/>
        <v>99518.00</v>
      </c>
      <c r="J507" s="16" t="str">
        <f>TEXT(Raw_Data!J507,"MMM-YYY")</f>
        <v>Aug-2025</v>
      </c>
      <c r="K507" s="13" t="str">
        <f>Raw_Data!K507</f>
        <v>20</v>
      </c>
      <c r="L507" s="17" t="str">
        <f>Raw_Data!L507</f>
        <v>Delhi-North</v>
      </c>
      <c r="M507" s="13" t="str">
        <f t="shared" si="3"/>
        <v>OK</v>
      </c>
      <c r="N507" s="18" t="str">
        <f t="shared" si="4"/>
        <v>VALID</v>
      </c>
    </row>
    <row r="508" ht="15.75" customHeight="1">
      <c r="A508" s="13" t="str">
        <f>Raw_Data!A508</f>
        <v>EMP0532</v>
      </c>
      <c r="B508" s="13" t="str">
        <f>TRIM(CLEAN(Raw_Data!B508))</f>
        <v>HR</v>
      </c>
      <c r="C508" s="18" t="s">
        <v>14</v>
      </c>
      <c r="D508" s="14" t="str">
        <f>IF(ISBLANK(Raw_Data!D508),AVERAGE(Raw_Data!D$2:D$5002),Raw_Data!D508)</f>
        <v>24691.92</v>
      </c>
      <c r="E508" s="15" t="str">
        <f>IF(ISBLANK(Raw_Data!E508),AVERAGE(Raw_Data!E$2:E$5002),Raw_Data!E508)</f>
        <v>7407.58</v>
      </c>
      <c r="F508" s="15" t="str">
        <f>IF(ISBLANK(Raw_Data!F508),AVERAGE(Raw_Data!F$2:F$5002),Raw_Data!F508)</f>
        <v>780.18</v>
      </c>
      <c r="G508" s="14" t="str">
        <f>IF(ISBLANK(Raw_Data!G508),AVERAGE(Raw_Data!G$2:G$5002),Raw_Data!G508)</f>
        <v>3381.69</v>
      </c>
      <c r="H508" s="15" t="str">
        <f t="shared" si="1"/>
        <v>32880.00</v>
      </c>
      <c r="I508" s="14" t="str">
        <f t="shared" si="2"/>
        <v>29498.00</v>
      </c>
      <c r="J508" s="16" t="str">
        <f>TEXT(Raw_Data!J508,"MMM-YYY")</f>
        <v>Jul-2025</v>
      </c>
      <c r="K508" s="13" t="str">
        <f>Raw_Data!K508</f>
        <v>7</v>
      </c>
      <c r="L508" s="17" t="str">
        <f>Raw_Data!L508</f>
        <v>Bangalore-South</v>
      </c>
      <c r="M508" s="13" t="str">
        <f t="shared" si="3"/>
        <v>OK</v>
      </c>
      <c r="N508" s="18" t="str">
        <f t="shared" si="4"/>
        <v>VALID</v>
      </c>
    </row>
    <row r="509" ht="15.75" customHeight="1">
      <c r="A509" s="13" t="str">
        <f>Raw_Data!A509</f>
        <v>EMP0533</v>
      </c>
      <c r="B509" s="13" t="str">
        <f>TRIM(CLEAN(Raw_Data!B509))</f>
        <v>Finance</v>
      </c>
      <c r="C509" s="18" t="s">
        <v>18</v>
      </c>
      <c r="D509" s="14" t="str">
        <f>IF(ISBLANK(Raw_Data!D509),AVERAGE(Raw_Data!D$2:D$5002),Raw_Data!D509)</f>
        <v>88644.59</v>
      </c>
      <c r="E509" s="15" t="str">
        <f>IF(ISBLANK(Raw_Data!E509),AVERAGE(Raw_Data!E$2:E$5002),Raw_Data!E509)</f>
        <v>26593.38</v>
      </c>
      <c r="F509" s="15" t="str">
        <f>IF(ISBLANK(Raw_Data!F509),AVERAGE(Raw_Data!F$2:F$5002),Raw_Data!F509)</f>
        <v>15639.53</v>
      </c>
      <c r="G509" s="14" t="str">
        <f>IF(ISBLANK(Raw_Data!G509),AVERAGE(Raw_Data!G$2:G$5002),Raw_Data!G509)</f>
        <v>8027.62</v>
      </c>
      <c r="H509" s="15" t="str">
        <f t="shared" si="1"/>
        <v>130878.00</v>
      </c>
      <c r="I509" s="14" t="str">
        <f t="shared" si="2"/>
        <v>122850.00</v>
      </c>
      <c r="J509" s="16" t="str">
        <f>TEXT(Raw_Data!J509,"MMM-YYY")</f>
        <v>May-2025</v>
      </c>
      <c r="K509" s="13" t="str">
        <f>Raw_Data!K509</f>
        <v>7</v>
      </c>
      <c r="L509" s="17" t="str">
        <f>Raw_Data!L509</f>
        <v>Chennai-South</v>
      </c>
      <c r="M509" s="13" t="str">
        <f t="shared" si="3"/>
        <v>OK</v>
      </c>
      <c r="N509" s="18" t="str">
        <f t="shared" si="4"/>
        <v>VALID</v>
      </c>
    </row>
    <row r="510" ht="15.75" customHeight="1">
      <c r="A510" s="13" t="str">
        <f>Raw_Data!A510</f>
        <v>EMP0534</v>
      </c>
      <c r="B510" s="13" t="str">
        <f>TRIM(CLEAN(Raw_Data!B510))</f>
        <v>HR</v>
      </c>
      <c r="C510" s="18" t="s">
        <v>18</v>
      </c>
      <c r="D510" s="14" t="str">
        <f>IF(ISBLANK(Raw_Data!D510),AVERAGE(Raw_Data!D$2:D$5002),Raw_Data!D510)</f>
        <v>74371.32</v>
      </c>
      <c r="E510" s="15" t="str">
        <f>IF(ISBLANK(Raw_Data!E510),AVERAGE(Raw_Data!E$2:E$5002),Raw_Data!E510)</f>
        <v>22311.40</v>
      </c>
      <c r="F510" s="15" t="str">
        <f>IF(ISBLANK(Raw_Data!F510),AVERAGE(Raw_Data!F$2:F$5002),Raw_Data!F510)</f>
        <v>1225.94</v>
      </c>
      <c r="G510" s="14" t="str">
        <f>IF(ISBLANK(Raw_Data!G510),AVERAGE(Raw_Data!G$2:G$5002),Raw_Data!G510)</f>
        <v>14826.12</v>
      </c>
      <c r="H510" s="15" t="str">
        <f t="shared" si="1"/>
        <v>97909.00</v>
      </c>
      <c r="I510" s="14" t="str">
        <f t="shared" si="2"/>
        <v>83083.00</v>
      </c>
      <c r="J510" s="16" t="str">
        <f>TEXT(Raw_Data!J510,"MMM-YYY")</f>
        <v>Nov-2025</v>
      </c>
      <c r="K510" s="13" t="str">
        <f>Raw_Data!K510</f>
        <v>25</v>
      </c>
      <c r="L510" s="17" t="str">
        <f>Raw_Data!L510</f>
        <v>Kolkata-East</v>
      </c>
      <c r="M510" s="13" t="str">
        <f t="shared" si="3"/>
        <v>OK</v>
      </c>
      <c r="N510" s="18" t="str">
        <f t="shared" si="4"/>
        <v>VALID</v>
      </c>
    </row>
    <row r="511" ht="15.75" customHeight="1">
      <c r="A511" s="13" t="str">
        <f>Raw_Data!A511</f>
        <v>EMP0535</v>
      </c>
      <c r="B511" s="13" t="str">
        <f>TRIM(CLEAN(Raw_Data!B511))</f>
        <v>Finance</v>
      </c>
      <c r="C511" s="18" t="s">
        <v>14</v>
      </c>
      <c r="D511" s="14" t="str">
        <f>IF(ISBLANK(Raw_Data!D511),AVERAGE(Raw_Data!D$2:D$5002),Raw_Data!D511)</f>
        <v>20853.66</v>
      </c>
      <c r="E511" s="15" t="str">
        <f>IF(ISBLANK(Raw_Data!E511),AVERAGE(Raw_Data!E$2:E$5002),Raw_Data!E511)</f>
        <v>6256.10</v>
      </c>
      <c r="F511" s="15" t="str">
        <f>IF(ISBLANK(Raw_Data!F511),AVERAGE(Raw_Data!F$2:F$5002),Raw_Data!F511)</f>
        <v>1274.20</v>
      </c>
      <c r="G511" s="14" t="str">
        <f>IF(ISBLANK(Raw_Data!G511),AVERAGE(Raw_Data!G$2:G$5002),Raw_Data!G511)</f>
        <v>4375.77</v>
      </c>
      <c r="H511" s="15" t="str">
        <f t="shared" si="1"/>
        <v>28384.00</v>
      </c>
      <c r="I511" s="14" t="str">
        <f t="shared" si="2"/>
        <v>24008.00</v>
      </c>
      <c r="J511" s="16" t="str">
        <f>TEXT(Raw_Data!J511,"MMM-YYY")</f>
        <v>Apr-2025</v>
      </c>
      <c r="K511" s="13" t="str">
        <f>Raw_Data!K511</f>
        <v>17</v>
      </c>
      <c r="L511" s="17" t="str">
        <f>Raw_Data!L511</f>
        <v>Pune-West</v>
      </c>
      <c r="M511" s="13" t="str">
        <f t="shared" si="3"/>
        <v>OK</v>
      </c>
      <c r="N511" s="18" t="str">
        <f t="shared" si="4"/>
        <v>VALID</v>
      </c>
    </row>
    <row r="512" ht="15.75" customHeight="1">
      <c r="A512" s="13" t="str">
        <f>Raw_Data!A512</f>
        <v>EMP0536</v>
      </c>
      <c r="B512" s="13" t="str">
        <f>TRIM(CLEAN(Raw_Data!B512))</f>
        <v>Marketing</v>
      </c>
      <c r="C512" s="18" t="s">
        <v>18</v>
      </c>
      <c r="D512" s="14" t="str">
        <f>IF(ISBLANK(Raw_Data!D512),AVERAGE(Raw_Data!D$2:D$5002),Raw_Data!D512)</f>
        <v>67371.18</v>
      </c>
      <c r="E512" s="15" t="str">
        <f>IF(ISBLANK(Raw_Data!E512),AVERAGE(Raw_Data!E$2:E$5002),Raw_Data!E512)</f>
        <v>20211.35</v>
      </c>
      <c r="F512" s="15" t="str">
        <f>IF(ISBLANK(Raw_Data!F512),AVERAGE(Raw_Data!F$2:F$5002),Raw_Data!F512)</f>
        <v>1282.53</v>
      </c>
      <c r="G512" s="14" t="str">
        <f>IF(ISBLANK(Raw_Data!G512),AVERAGE(Raw_Data!G$2:G$5002),Raw_Data!G512)</f>
        <v>14562.73</v>
      </c>
      <c r="H512" s="15" t="str">
        <f t="shared" si="1"/>
        <v>88865.00</v>
      </c>
      <c r="I512" s="14" t="str">
        <f t="shared" si="2"/>
        <v>74302.00</v>
      </c>
      <c r="J512" s="16" t="str">
        <f>TEXT(Raw_Data!J512,"MMM-YYY")</f>
        <v>Feb-2025</v>
      </c>
      <c r="K512" s="13" t="str">
        <f>Raw_Data!K512</f>
        <v>15</v>
      </c>
      <c r="L512" s="17" t="str">
        <f>Raw_Data!L512</f>
        <v>Hyderabad-South</v>
      </c>
      <c r="M512" s="13" t="str">
        <f t="shared" si="3"/>
        <v>OK</v>
      </c>
      <c r="N512" s="18" t="str">
        <f t="shared" si="4"/>
        <v>VALID</v>
      </c>
    </row>
    <row r="513" ht="15.75" customHeight="1">
      <c r="A513" s="13" t="str">
        <f>Raw_Data!A513</f>
        <v>EMP0537</v>
      </c>
      <c r="B513" s="13" t="str">
        <f>TRIM(CLEAN(Raw_Data!B513))</f>
        <v>Finance</v>
      </c>
      <c r="C513" s="18" t="s">
        <v>37</v>
      </c>
      <c r="D513" s="14" t="str">
        <f>IF(ISBLANK(Raw_Data!D513),AVERAGE(Raw_Data!D$2:D$5002),Raw_Data!D513)</f>
        <v>49071.44</v>
      </c>
      <c r="E513" s="15" t="str">
        <f>IF(ISBLANK(Raw_Data!E513),AVERAGE(Raw_Data!E$2:E$5002),Raw_Data!E513)</f>
        <v>14721.43</v>
      </c>
      <c r="F513" s="15" t="str">
        <f>IF(ISBLANK(Raw_Data!F513),AVERAGE(Raw_Data!F$2:F$5002),Raw_Data!F513)</f>
        <v>6673.55</v>
      </c>
      <c r="G513" s="14" t="str">
        <f>IF(ISBLANK(Raw_Data!G513),AVERAGE(Raw_Data!G$2:G$5002),Raw_Data!G513)</f>
        <v>136.72</v>
      </c>
      <c r="H513" s="15" t="str">
        <f t="shared" si="1"/>
        <v>70466.00</v>
      </c>
      <c r="I513" s="14" t="str">
        <f t="shared" si="2"/>
        <v>70329.00</v>
      </c>
      <c r="J513" s="16" t="str">
        <f>TEXT(Raw_Data!J513,"MMM-YYY")</f>
        <v>Dec-2025</v>
      </c>
      <c r="K513" s="13" t="str">
        <f>Raw_Data!K513</f>
        <v>7</v>
      </c>
      <c r="L513" s="17" t="str">
        <f>Raw_Data!L513</f>
        <v>Chandigarh-North</v>
      </c>
      <c r="M513" s="13" t="str">
        <f t="shared" si="3"/>
        <v>OK</v>
      </c>
      <c r="N513" s="18" t="str">
        <f t="shared" si="4"/>
        <v>VALID</v>
      </c>
    </row>
    <row r="514" ht="15.75" customHeight="1">
      <c r="A514" s="13" t="str">
        <f>Raw_Data!A514</f>
        <v>EMP0538</v>
      </c>
      <c r="B514" s="13" t="str">
        <f>TRIM(CLEAN(Raw_Data!B514))</f>
        <v>IT</v>
      </c>
      <c r="C514" s="18" t="s">
        <v>26</v>
      </c>
      <c r="D514" s="14" t="str">
        <f>IF(ISBLANK(Raw_Data!D514),AVERAGE(Raw_Data!D$2:D$5002),Raw_Data!D514)</f>
        <v>94341.38</v>
      </c>
      <c r="E514" s="15" t="str">
        <f>IF(ISBLANK(Raw_Data!E514),AVERAGE(Raw_Data!E$2:E$5002),Raw_Data!E514)</f>
        <v>28302.41</v>
      </c>
      <c r="F514" s="15" t="str">
        <f>IF(ISBLANK(Raw_Data!F514),AVERAGE(Raw_Data!F$2:F$5002),Raw_Data!F514)</f>
        <v>16233.14</v>
      </c>
      <c r="G514" s="14" t="str">
        <f>IF(ISBLANK(Raw_Data!G514),AVERAGE(Raw_Data!G$2:G$5002),Raw_Data!G514)</f>
        <v>19642.75</v>
      </c>
      <c r="H514" s="15" t="str">
        <f t="shared" si="1"/>
        <v>138877.00</v>
      </c>
      <c r="I514" s="14" t="str">
        <f t="shared" si="2"/>
        <v>119234.00</v>
      </c>
      <c r="J514" s="16" t="str">
        <f>TEXT(Raw_Data!J514,"MMM-YYY")</f>
        <v>Aug-2025</v>
      </c>
      <c r="K514" s="13" t="str">
        <f>Raw_Data!K514</f>
        <v>4</v>
      </c>
      <c r="L514" s="17" t="str">
        <f>Raw_Data!L514</f>
        <v>Ahmedabad-West</v>
      </c>
      <c r="M514" s="13" t="str">
        <f t="shared" si="3"/>
        <v>OK</v>
      </c>
      <c r="N514" s="18" t="str">
        <f t="shared" si="4"/>
        <v>VALID</v>
      </c>
    </row>
    <row r="515" ht="15.75" customHeight="1">
      <c r="A515" s="13" t="str">
        <f>Raw_Data!A515</f>
        <v>EMP0539</v>
      </c>
      <c r="B515" s="13" t="str">
        <f>TRIM(CLEAN(Raw_Data!B515))</f>
        <v>HR</v>
      </c>
      <c r="C515" s="18" t="s">
        <v>30</v>
      </c>
      <c r="D515" s="14" t="str">
        <f>IF(ISBLANK(Raw_Data!D515),AVERAGE(Raw_Data!D$2:D$5002),Raw_Data!D515)</f>
        <v>25371.02</v>
      </c>
      <c r="E515" s="15" t="str">
        <f>IF(ISBLANK(Raw_Data!E515),AVERAGE(Raw_Data!E$2:E$5002),Raw_Data!E515)</f>
        <v>7611.31</v>
      </c>
      <c r="F515" s="15" t="str">
        <f>IF(ISBLANK(Raw_Data!F515),AVERAGE(Raw_Data!F$2:F$5002),Raw_Data!F515)</f>
        <v>3708.04</v>
      </c>
      <c r="G515" s="14" t="str">
        <f>IF(ISBLANK(Raw_Data!G515),AVERAGE(Raw_Data!G$2:G$5002),Raw_Data!G515)</f>
        <v>779.60</v>
      </c>
      <c r="H515" s="15" t="str">
        <f t="shared" si="1"/>
        <v>36690.00</v>
      </c>
      <c r="I515" s="14" t="str">
        <f t="shared" si="2"/>
        <v>35910.00</v>
      </c>
      <c r="J515" s="16" t="str">
        <f>TEXT(Raw_Data!J515,"MMM-YYY")</f>
        <v>Jun-2025</v>
      </c>
      <c r="K515" s="13" t="str">
        <f>Raw_Data!K515</f>
        <v>5</v>
      </c>
      <c r="L515" s="17" t="str">
        <f>Raw_Data!L515</f>
        <v>Jaipur-North</v>
      </c>
      <c r="M515" s="13" t="str">
        <f t="shared" si="3"/>
        <v>OK</v>
      </c>
      <c r="N515" s="18" t="str">
        <f t="shared" si="4"/>
        <v>VALID</v>
      </c>
    </row>
    <row r="516" ht="15.75" customHeight="1">
      <c r="A516" s="13" t="str">
        <f>Raw_Data!A516</f>
        <v>EMP0540</v>
      </c>
      <c r="B516" s="13" t="str">
        <f>TRIM(CLEAN(Raw_Data!B516))</f>
        <v>IT</v>
      </c>
      <c r="C516" s="18" t="s">
        <v>33</v>
      </c>
      <c r="D516" s="14" t="str">
        <f>IF(ISBLANK(Raw_Data!D516),AVERAGE(Raw_Data!D$2:D$5002),Raw_Data!D516)</f>
        <v>26371.29</v>
      </c>
      <c r="E516" s="15" t="str">
        <f>IF(ISBLANK(Raw_Data!E516),AVERAGE(Raw_Data!E$2:E$5002),Raw_Data!E516)</f>
        <v>7911.39</v>
      </c>
      <c r="F516" s="15" t="str">
        <f>IF(ISBLANK(Raw_Data!F516),AVERAGE(Raw_Data!F$2:F$5002),Raw_Data!F516)</f>
        <v>4079.43</v>
      </c>
      <c r="G516" s="14" t="str">
        <f>IF(ISBLANK(Raw_Data!G516),AVERAGE(Raw_Data!G$2:G$5002),Raw_Data!G516)</f>
        <v>5958.52</v>
      </c>
      <c r="H516" s="15" t="str">
        <f t="shared" si="1"/>
        <v>38362.00</v>
      </c>
      <c r="I516" s="14" t="str">
        <f t="shared" si="2"/>
        <v>32403.00</v>
      </c>
      <c r="J516" s="16" t="str">
        <f>TEXT(Raw_Data!J516,"MMM-YYY")</f>
        <v>Mar-2025</v>
      </c>
      <c r="K516" s="13" t="str">
        <f>Raw_Data!K516</f>
        <v>23</v>
      </c>
      <c r="L516" s="17" t="str">
        <f>Raw_Data!L516</f>
        <v>Mumbai-HO</v>
      </c>
      <c r="M516" s="13" t="str">
        <f t="shared" si="3"/>
        <v>OK</v>
      </c>
      <c r="N516" s="18" t="str">
        <f t="shared" si="4"/>
        <v>VALID</v>
      </c>
    </row>
    <row r="517" ht="15.75" customHeight="1">
      <c r="A517" s="13" t="str">
        <f>Raw_Data!A517</f>
        <v>EMP0541</v>
      </c>
      <c r="B517" s="13" t="str">
        <f>TRIM(CLEAN(Raw_Data!B517))</f>
        <v>Sales</v>
      </c>
      <c r="C517" s="18" t="s">
        <v>18</v>
      </c>
      <c r="D517" s="14" t="str">
        <f>IF(ISBLANK(Raw_Data!D517),AVERAGE(Raw_Data!D$2:D$5002),Raw_Data!D517)</f>
        <v>68714.18</v>
      </c>
      <c r="E517" s="15" t="str">
        <f>IF(ISBLANK(Raw_Data!E517),AVERAGE(Raw_Data!E$2:E$5002),Raw_Data!E517)</f>
        <v>20614.25</v>
      </c>
      <c r="F517" s="15" t="str">
        <f>IF(ISBLANK(Raw_Data!F517),AVERAGE(Raw_Data!F$2:F$5002),Raw_Data!F517)</f>
        <v>7290.69</v>
      </c>
      <c r="G517" s="14" t="str">
        <f>IF(ISBLANK(Raw_Data!G517),AVERAGE(Raw_Data!G$2:G$5002),Raw_Data!G517)</f>
        <v>174.70</v>
      </c>
      <c r="H517" s="15" t="str">
        <f t="shared" si="1"/>
        <v>96619.00</v>
      </c>
      <c r="I517" s="14" t="str">
        <f t="shared" si="2"/>
        <v>96444.00</v>
      </c>
      <c r="J517" s="16" t="str">
        <f>TEXT(Raw_Data!J517,"MMM-YYY")</f>
        <v>Nov-2025</v>
      </c>
      <c r="K517" s="13" t="str">
        <f>Raw_Data!K517</f>
        <v>3</v>
      </c>
      <c r="L517" s="17" t="str">
        <f>Raw_Data!L517</f>
        <v>Delhi-North</v>
      </c>
      <c r="M517" s="13" t="str">
        <f t="shared" si="3"/>
        <v>OK</v>
      </c>
      <c r="N517" s="18" t="str">
        <f t="shared" si="4"/>
        <v>VALID</v>
      </c>
    </row>
    <row r="518" ht="15.75" customHeight="1">
      <c r="A518" s="13" t="str">
        <f>Raw_Data!A518</f>
        <v>EMP0542</v>
      </c>
      <c r="B518" s="13" t="str">
        <f>TRIM(CLEAN(Raw_Data!B518))</f>
        <v>Finance</v>
      </c>
      <c r="C518" s="18" t="s">
        <v>54</v>
      </c>
      <c r="D518" s="14" t="str">
        <f>IF(ISBLANK(Raw_Data!D518),AVERAGE(Raw_Data!D$2:D$5002),Raw_Data!D518)</f>
        <v>39916.63</v>
      </c>
      <c r="E518" s="15" t="str">
        <f>IF(ISBLANK(Raw_Data!E518),AVERAGE(Raw_Data!E$2:E$5002),Raw_Data!E518)</f>
        <v>11974.99</v>
      </c>
      <c r="F518" s="15" t="str">
        <f>IF(ISBLANK(Raw_Data!F518),AVERAGE(Raw_Data!F$2:F$5002),Raw_Data!F518)</f>
        <v>1700.89</v>
      </c>
      <c r="G518" s="14" t="str">
        <f>IF(ISBLANK(Raw_Data!G518),AVERAGE(Raw_Data!G$2:G$5002),Raw_Data!G518)</f>
        <v>8960.51</v>
      </c>
      <c r="H518" s="15" t="str">
        <f t="shared" si="1"/>
        <v>53593.00</v>
      </c>
      <c r="I518" s="14" t="str">
        <f t="shared" si="2"/>
        <v>44632.00</v>
      </c>
      <c r="J518" s="16" t="str">
        <f>TEXT(Raw_Data!J518,"MMM-YYY")</f>
        <v>Jul-2025</v>
      </c>
      <c r="K518" s="13" t="str">
        <f>Raw_Data!K518</f>
        <v>23</v>
      </c>
      <c r="L518" s="17" t="str">
        <f>Raw_Data!L518</f>
        <v>Bangalore-South</v>
      </c>
      <c r="M518" s="13" t="str">
        <f t="shared" si="3"/>
        <v>OK</v>
      </c>
      <c r="N518" s="18" t="str">
        <f t="shared" si="4"/>
        <v>VALID</v>
      </c>
    </row>
    <row r="519" ht="15.75" customHeight="1">
      <c r="A519" s="13" t="str">
        <f>Raw_Data!A519</f>
        <v>EMP0543</v>
      </c>
      <c r="B519" s="13" t="str">
        <f>TRIM(CLEAN(Raw_Data!B519))</f>
        <v>Operations</v>
      </c>
      <c r="C519" s="18" t="s">
        <v>18</v>
      </c>
      <c r="D519" s="14" t="str">
        <f>IF(ISBLANK(Raw_Data!D519),AVERAGE(Raw_Data!D$2:D$5002),Raw_Data!D519)</f>
        <v>76501.98</v>
      </c>
      <c r="E519" s="15" t="str">
        <f>IF(ISBLANK(Raw_Data!E519),AVERAGE(Raw_Data!E$2:E$5002),Raw_Data!E519)</f>
        <v>22950.59</v>
      </c>
      <c r="F519" s="15" t="str">
        <f>IF(ISBLANK(Raw_Data!F519),AVERAGE(Raw_Data!F$2:F$5002),Raw_Data!F519)</f>
        <v>3323.93</v>
      </c>
      <c r="G519" s="14" t="str">
        <f>IF(ISBLANK(Raw_Data!G519),AVERAGE(Raw_Data!G$2:G$5002),Raw_Data!G519)</f>
        <v>20577.34</v>
      </c>
      <c r="H519" s="15" t="str">
        <f t="shared" si="1"/>
        <v>102777.00</v>
      </c>
      <c r="I519" s="14" t="str">
        <f t="shared" si="2"/>
        <v>82200.00</v>
      </c>
      <c r="J519" s="16" t="str">
        <f>TEXT(Raw_Data!J519,"MMM-YYY")</f>
        <v>Mar-2025</v>
      </c>
      <c r="K519" s="13" t="str">
        <f>Raw_Data!K519</f>
        <v>12</v>
      </c>
      <c r="L519" s="17" t="str">
        <f>Raw_Data!L519</f>
        <v>Chennai-South</v>
      </c>
      <c r="M519" s="13" t="str">
        <f t="shared" si="3"/>
        <v>OK</v>
      </c>
      <c r="N519" s="18" t="str">
        <f t="shared" si="4"/>
        <v>VALID</v>
      </c>
    </row>
    <row r="520" ht="15.75" customHeight="1">
      <c r="A520" s="13" t="str">
        <f>Raw_Data!A520</f>
        <v>EMP0544</v>
      </c>
      <c r="B520" s="13" t="str">
        <f>TRIM(CLEAN(Raw_Data!B520))</f>
        <v>Customer Support</v>
      </c>
      <c r="C520" s="18" t="s">
        <v>14</v>
      </c>
      <c r="D520" s="14" t="str">
        <f>IF(ISBLANK(Raw_Data!D520),AVERAGE(Raw_Data!D$2:D$5002),Raw_Data!D520)</f>
        <v>22244.93</v>
      </c>
      <c r="E520" s="15" t="str">
        <f>IF(ISBLANK(Raw_Data!E520),AVERAGE(Raw_Data!E$2:E$5002),Raw_Data!E520)</f>
        <v>6673.48</v>
      </c>
      <c r="F520" s="15" t="str">
        <f>IF(ISBLANK(Raw_Data!F520),AVERAGE(Raw_Data!F$2:F$5002),Raw_Data!F520)</f>
        <v>1708.55</v>
      </c>
      <c r="G520" s="14" t="str">
        <f>IF(ISBLANK(Raw_Data!G520),AVERAGE(Raw_Data!G$2:G$5002),Raw_Data!G520)</f>
        <v>6428.22</v>
      </c>
      <c r="H520" s="15" t="str">
        <f t="shared" si="1"/>
        <v>30627.00</v>
      </c>
      <c r="I520" s="14" t="str">
        <f t="shared" si="2"/>
        <v>24199.00</v>
      </c>
      <c r="J520" s="16" t="str">
        <f>TEXT(Raw_Data!J520,"MMM-YYY")</f>
        <v>Jun-2025</v>
      </c>
      <c r="K520" s="13" t="str">
        <f>Raw_Data!K520</f>
        <v>18</v>
      </c>
      <c r="L520" s="17" t="str">
        <f>Raw_Data!L520</f>
        <v>Kolkata-East</v>
      </c>
      <c r="M520" s="13" t="str">
        <f t="shared" si="3"/>
        <v>OK</v>
      </c>
      <c r="N520" s="18" t="str">
        <f t="shared" si="4"/>
        <v>VALID</v>
      </c>
    </row>
    <row r="521" ht="15.75" customHeight="1">
      <c r="A521" s="13" t="str">
        <f>Raw_Data!A521</f>
        <v>EMP0545</v>
      </c>
      <c r="B521" s="13" t="str">
        <f>TRIM(CLEAN(Raw_Data!B521))</f>
        <v>Customer Support</v>
      </c>
      <c r="C521" s="18" t="s">
        <v>30</v>
      </c>
      <c r="D521" s="14" t="str">
        <f>IF(ISBLANK(Raw_Data!D521),AVERAGE(Raw_Data!D$2:D$5002),Raw_Data!D521)</f>
        <v>24180.52</v>
      </c>
      <c r="E521" s="15" t="str">
        <f>IF(ISBLANK(Raw_Data!E521),AVERAGE(Raw_Data!E$2:E$5002),Raw_Data!E521)</f>
        <v>7254.16</v>
      </c>
      <c r="F521" s="15" t="str">
        <f>IF(ISBLANK(Raw_Data!F521),AVERAGE(Raw_Data!F$2:F$5002),Raw_Data!F521)</f>
        <v>3117.45</v>
      </c>
      <c r="G521" s="14" t="str">
        <f>IF(ISBLANK(Raw_Data!G521),AVERAGE(Raw_Data!G$2:G$5002),Raw_Data!G521)</f>
        <v>1800.24</v>
      </c>
      <c r="H521" s="15" t="str">
        <f t="shared" si="1"/>
        <v>34552.00</v>
      </c>
      <c r="I521" s="14" t="str">
        <f t="shared" si="2"/>
        <v>32752.00</v>
      </c>
      <c r="J521" s="16" t="str">
        <f>TEXT(Raw_Data!J521,"MMM-YYY")</f>
        <v>Oct-2025</v>
      </c>
      <c r="K521" s="13" t="str">
        <f>Raw_Data!K521</f>
        <v>15</v>
      </c>
      <c r="L521" s="17" t="str">
        <f>Raw_Data!L521</f>
        <v>Pune-West</v>
      </c>
      <c r="M521" s="13" t="str">
        <f t="shared" si="3"/>
        <v>OK</v>
      </c>
      <c r="N521" s="18" t="str">
        <f t="shared" si="4"/>
        <v>VALID</v>
      </c>
    </row>
    <row r="522" ht="15.75" customHeight="1">
      <c r="A522" s="13" t="str">
        <f>Raw_Data!A522</f>
        <v>EMP0546</v>
      </c>
      <c r="B522" s="13" t="str">
        <f>TRIM(CLEAN(Raw_Data!B522))</f>
        <v>Operations</v>
      </c>
      <c r="C522" s="18" t="s">
        <v>18</v>
      </c>
      <c r="D522" s="14" t="str">
        <f>IF(ISBLANK(Raw_Data!D522),AVERAGE(Raw_Data!D$2:D$5002),Raw_Data!D522)</f>
        <v>80797.42</v>
      </c>
      <c r="E522" s="15" t="str">
        <f>IF(ISBLANK(Raw_Data!E522),AVERAGE(Raw_Data!E$2:E$5002),Raw_Data!E522)</f>
        <v>24239.23</v>
      </c>
      <c r="F522" s="15" t="str">
        <f>IF(ISBLANK(Raw_Data!F522),AVERAGE(Raw_Data!F$2:F$5002),Raw_Data!F522)</f>
        <v>12587.75</v>
      </c>
      <c r="G522" s="14" t="str">
        <f>IF(ISBLANK(Raw_Data!G522),AVERAGE(Raw_Data!G$2:G$5002),Raw_Data!G522)</f>
        <v>16736.61</v>
      </c>
      <c r="H522" s="15" t="str">
        <f t="shared" si="1"/>
        <v>117624.00</v>
      </c>
      <c r="I522" s="14" t="str">
        <f t="shared" si="2"/>
        <v>100887.00</v>
      </c>
      <c r="J522" s="16" t="str">
        <f>TEXT(Raw_Data!J522,"MMM-YYY")</f>
        <v>Nov-2025</v>
      </c>
      <c r="K522" s="13" t="str">
        <f>Raw_Data!K522</f>
        <v>8</v>
      </c>
      <c r="L522" s="17" t="str">
        <f>Raw_Data!L522</f>
        <v>Hyderabad-South</v>
      </c>
      <c r="M522" s="13" t="str">
        <f t="shared" si="3"/>
        <v>OK</v>
      </c>
      <c r="N522" s="18" t="str">
        <f t="shared" si="4"/>
        <v>VALID</v>
      </c>
    </row>
    <row r="523" ht="15.75" customHeight="1">
      <c r="A523" s="13" t="str">
        <f>Raw_Data!A523</f>
        <v>EMP0547</v>
      </c>
      <c r="B523" s="13" t="str">
        <f>TRIM(CLEAN(Raw_Data!B523))</f>
        <v>IT</v>
      </c>
      <c r="C523" s="18" t="s">
        <v>30</v>
      </c>
      <c r="D523" s="14" t="str">
        <f>IF(ISBLANK(Raw_Data!D523),AVERAGE(Raw_Data!D$2:D$5002),Raw_Data!D523)</f>
        <v>26556.19</v>
      </c>
      <c r="E523" s="15" t="str">
        <f>IF(ISBLANK(Raw_Data!E523),AVERAGE(Raw_Data!E$2:E$5002),Raw_Data!E523)</f>
        <v>7966.86</v>
      </c>
      <c r="F523" s="15" t="str">
        <f>IF(ISBLANK(Raw_Data!F523),AVERAGE(Raw_Data!F$2:F$5002),Raw_Data!F523)</f>
        <v>2706.20</v>
      </c>
      <c r="G523" s="14" t="str">
        <f>IF(ISBLANK(Raw_Data!G523),AVERAGE(Raw_Data!G$2:G$5002),Raw_Data!G523)</f>
        <v>5957.96</v>
      </c>
      <c r="H523" s="15" t="str">
        <f t="shared" si="1"/>
        <v>37229.00</v>
      </c>
      <c r="I523" s="14" t="str">
        <f t="shared" si="2"/>
        <v>31271.00</v>
      </c>
      <c r="J523" s="16" t="str">
        <f>TEXT(Raw_Data!J523,"MMM-YYY")</f>
        <v>May-2025</v>
      </c>
      <c r="K523" s="13" t="str">
        <f>Raw_Data!K523</f>
        <v>11</v>
      </c>
      <c r="L523" s="17" t="str">
        <f>Raw_Data!L523</f>
        <v>Chandigarh-North</v>
      </c>
      <c r="M523" s="13" t="str">
        <f t="shared" si="3"/>
        <v>OK</v>
      </c>
      <c r="N523" s="18" t="str">
        <f t="shared" si="4"/>
        <v>VALID</v>
      </c>
    </row>
    <row r="524" ht="15.75" customHeight="1">
      <c r="A524" s="13" t="str">
        <f>Raw_Data!A524</f>
        <v>EMP0548</v>
      </c>
      <c r="B524" s="13" t="str">
        <f>TRIM(CLEAN(Raw_Data!B524))</f>
        <v>Sales</v>
      </c>
      <c r="C524" s="18" t="s">
        <v>14</v>
      </c>
      <c r="D524" s="14" t="str">
        <f>IF(ISBLANK(Raw_Data!D524),AVERAGE(Raw_Data!D$2:D$5002),Raw_Data!D524)</f>
        <v>23643.37</v>
      </c>
      <c r="E524" s="15" t="str">
        <f>IF(ISBLANK(Raw_Data!E524),AVERAGE(Raw_Data!E$2:E$5002),Raw_Data!E524)</f>
        <v>7093.01</v>
      </c>
      <c r="F524" s="15" t="str">
        <f>IF(ISBLANK(Raw_Data!F524),AVERAGE(Raw_Data!F$2:F$5002),Raw_Data!F524)</f>
        <v>3753.52</v>
      </c>
      <c r="G524" s="14" t="str">
        <f>IF(ISBLANK(Raw_Data!G524),AVERAGE(Raw_Data!G$2:G$5002),Raw_Data!G524)</f>
        <v>1697.65</v>
      </c>
      <c r="H524" s="15" t="str">
        <f t="shared" si="1"/>
        <v>34490.00</v>
      </c>
      <c r="I524" s="14" t="str">
        <f t="shared" si="2"/>
        <v>32792.00</v>
      </c>
      <c r="J524" s="16" t="str">
        <f>TEXT(Raw_Data!J524,"MMM-YYY")</f>
        <v>Jul-2025</v>
      </c>
      <c r="K524" s="13" t="str">
        <f>Raw_Data!K524</f>
        <v>9</v>
      </c>
      <c r="L524" s="17" t="str">
        <f>Raw_Data!L524</f>
        <v>Ahmedabad-West</v>
      </c>
      <c r="M524" s="13" t="str">
        <f t="shared" si="3"/>
        <v>OK</v>
      </c>
      <c r="N524" s="18" t="str">
        <f t="shared" si="4"/>
        <v>VALID</v>
      </c>
    </row>
    <row r="525" ht="15.75" customHeight="1">
      <c r="A525" s="13" t="str">
        <f>Raw_Data!A525</f>
        <v>EMP0549</v>
      </c>
      <c r="B525" s="13" t="str">
        <f>TRIM(CLEAN(Raw_Data!B525))</f>
        <v>HR</v>
      </c>
      <c r="C525" s="18" t="s">
        <v>30</v>
      </c>
      <c r="D525" s="14" t="str">
        <f>IF(ISBLANK(Raw_Data!D525),AVERAGE(Raw_Data!D$2:D$5002),Raw_Data!D525)</f>
        <v>26396.33</v>
      </c>
      <c r="E525" s="15" t="str">
        <f>IF(ISBLANK(Raw_Data!E525),AVERAGE(Raw_Data!E$2:E$5002),Raw_Data!E525)</f>
        <v>7918.90</v>
      </c>
      <c r="F525" s="15" t="str">
        <f>IF(ISBLANK(Raw_Data!F525),AVERAGE(Raw_Data!F$2:F$5002),Raw_Data!F525)</f>
        <v>3135.51</v>
      </c>
      <c r="G525" s="14" t="str">
        <f>IF(ISBLANK(Raw_Data!G525),AVERAGE(Raw_Data!G$2:G$5002),Raw_Data!G525)</f>
        <v>4183.45</v>
      </c>
      <c r="H525" s="15" t="str">
        <f t="shared" si="1"/>
        <v>37451.00</v>
      </c>
      <c r="I525" s="14" t="str">
        <f t="shared" si="2"/>
        <v>33268.00</v>
      </c>
      <c r="J525" s="16" t="str">
        <f>TEXT(Raw_Data!J525,"MMM-YYY")</f>
        <v>Jan-2025</v>
      </c>
      <c r="K525" s="13" t="str">
        <f>Raw_Data!K525</f>
        <v>4</v>
      </c>
      <c r="L525" s="17" t="str">
        <f>Raw_Data!L525</f>
        <v>Jaipur-North</v>
      </c>
      <c r="M525" s="13" t="str">
        <f t="shared" si="3"/>
        <v>OK</v>
      </c>
      <c r="N525" s="18" t="str">
        <f t="shared" si="4"/>
        <v>VALID</v>
      </c>
    </row>
    <row r="526" ht="15.75" customHeight="1">
      <c r="A526" s="13" t="str">
        <f>Raw_Data!A526</f>
        <v>EMP0550</v>
      </c>
      <c r="B526" s="13" t="str">
        <f>TRIM(CLEAN(Raw_Data!B526))</f>
        <v>IT</v>
      </c>
      <c r="C526" s="18" t="s">
        <v>33</v>
      </c>
      <c r="D526" s="14" t="str">
        <f>IF(ISBLANK(Raw_Data!D526),AVERAGE(Raw_Data!D$2:D$5002),Raw_Data!D526)</f>
        <v>26319.83</v>
      </c>
      <c r="E526" s="15" t="str">
        <f>IF(ISBLANK(Raw_Data!E526),AVERAGE(Raw_Data!E$2:E$5002),Raw_Data!E526)</f>
        <v>7895.95</v>
      </c>
      <c r="F526" s="15" t="str">
        <f>IF(ISBLANK(Raw_Data!F526),AVERAGE(Raw_Data!F$2:F$5002),Raw_Data!F526)</f>
        <v>4531.30</v>
      </c>
      <c r="G526" s="14" t="str">
        <f>IF(ISBLANK(Raw_Data!G526),AVERAGE(Raw_Data!G$2:G$5002),Raw_Data!G526)</f>
        <v>4487.90</v>
      </c>
      <c r="H526" s="15" t="str">
        <f t="shared" si="1"/>
        <v>38747.00</v>
      </c>
      <c r="I526" s="14" t="str">
        <f t="shared" si="2"/>
        <v>34259.00</v>
      </c>
      <c r="J526" s="16" t="str">
        <f>TEXT(Raw_Data!J526,"MMM-YYY")</f>
        <v>Jun-2025</v>
      </c>
      <c r="K526" s="13" t="str">
        <f>Raw_Data!K526</f>
        <v>4</v>
      </c>
      <c r="L526" s="17" t="str">
        <f>Raw_Data!L526</f>
        <v>Mumbai-HO</v>
      </c>
      <c r="M526" s="13" t="str">
        <f t="shared" si="3"/>
        <v>OK</v>
      </c>
      <c r="N526" s="18" t="str">
        <f t="shared" si="4"/>
        <v>VALID</v>
      </c>
    </row>
    <row r="527" ht="15.75" customHeight="1">
      <c r="A527" s="13" t="str">
        <f>Raw_Data!A527</f>
        <v>EMP0551</v>
      </c>
      <c r="B527" s="13" t="str">
        <f>TRIM(CLEAN(Raw_Data!B527))</f>
        <v>Operations</v>
      </c>
      <c r="C527" s="18" t="s">
        <v>18</v>
      </c>
      <c r="D527" s="14" t="str">
        <f>IF(ISBLANK(Raw_Data!D527),AVERAGE(Raw_Data!D$2:D$5002),Raw_Data!D527)</f>
        <v>69492.03</v>
      </c>
      <c r="E527" s="15" t="str">
        <f>IF(ISBLANK(Raw_Data!E527),AVERAGE(Raw_Data!E$2:E$5002),Raw_Data!E527)</f>
        <v>20847.61</v>
      </c>
      <c r="F527" s="15" t="str">
        <f>IF(ISBLANK(Raw_Data!F527),AVERAGE(Raw_Data!F$2:F$5002),Raw_Data!F527)</f>
        <v>6546.35</v>
      </c>
      <c r="G527" s="14" t="str">
        <f>IF(ISBLANK(Raw_Data!G527),AVERAGE(Raw_Data!G$2:G$5002),Raw_Data!G527)</f>
        <v>20584.23</v>
      </c>
      <c r="H527" s="15" t="str">
        <f t="shared" si="1"/>
        <v>96886.00</v>
      </c>
      <c r="I527" s="14" t="str">
        <f t="shared" si="2"/>
        <v>76302.00</v>
      </c>
      <c r="J527" s="16" t="str">
        <f>TEXT(Raw_Data!J527,"MMM-YYY")</f>
        <v>Feb-2025</v>
      </c>
      <c r="K527" s="13" t="str">
        <f>Raw_Data!K527</f>
        <v>24</v>
      </c>
      <c r="L527" s="17" t="str">
        <f>Raw_Data!L527</f>
        <v>Delhi-North</v>
      </c>
      <c r="M527" s="13" t="str">
        <f t="shared" si="3"/>
        <v>OK</v>
      </c>
      <c r="N527" s="18" t="str">
        <f t="shared" si="4"/>
        <v>VALID</v>
      </c>
    </row>
    <row r="528" ht="15.75" customHeight="1">
      <c r="A528" s="13" t="str">
        <f>Raw_Data!A528</f>
        <v>EMP0552</v>
      </c>
      <c r="B528" s="13" t="str">
        <f>TRIM(CLEAN(Raw_Data!B528))</f>
        <v>HR</v>
      </c>
      <c r="C528" s="18" t="s">
        <v>37</v>
      </c>
      <c r="D528" s="14" t="str">
        <f>IF(ISBLANK(Raw_Data!D528),AVERAGE(Raw_Data!D$2:D$5002),Raw_Data!D528)</f>
        <v>46215.59</v>
      </c>
      <c r="E528" s="15" t="str">
        <f>IF(ISBLANK(Raw_Data!E528),AVERAGE(Raw_Data!E$2:E$5002),Raw_Data!E528)</f>
        <v>13864.68</v>
      </c>
      <c r="F528" s="15" t="str">
        <f>IF(ISBLANK(Raw_Data!F528),AVERAGE(Raw_Data!F$2:F$5002),Raw_Data!F528)</f>
        <v>2423.41</v>
      </c>
      <c r="G528" s="14" t="str">
        <f>IF(ISBLANK(Raw_Data!G528),AVERAGE(Raw_Data!G$2:G$5002),Raw_Data!G528)</f>
        <v>552.19</v>
      </c>
      <c r="H528" s="15" t="str">
        <f t="shared" si="1"/>
        <v>62504.00</v>
      </c>
      <c r="I528" s="14" t="str">
        <f t="shared" si="2"/>
        <v>61952.00</v>
      </c>
      <c r="J528" s="16" t="str">
        <f>TEXT(Raw_Data!J528,"MMM-YYY")</f>
        <v>Jan-2025</v>
      </c>
      <c r="K528" s="13" t="str">
        <f>Raw_Data!K528</f>
        <v>18</v>
      </c>
      <c r="L528" s="17" t="str">
        <f>Raw_Data!L528</f>
        <v>Bangalore-South</v>
      </c>
      <c r="M528" s="13" t="str">
        <f t="shared" si="3"/>
        <v>OK</v>
      </c>
      <c r="N528" s="18" t="str">
        <f t="shared" si="4"/>
        <v>VALID</v>
      </c>
    </row>
    <row r="529" ht="15.75" customHeight="1">
      <c r="A529" s="13" t="str">
        <f>Raw_Data!A529</f>
        <v>EMP0553</v>
      </c>
      <c r="B529" s="13" t="str">
        <f>TRIM(CLEAN(Raw_Data!B529))</f>
        <v>Customer Support</v>
      </c>
      <c r="C529" s="18" t="s">
        <v>54</v>
      </c>
      <c r="D529" s="14" t="str">
        <f>IF(ISBLANK(Raw_Data!D529),AVERAGE(Raw_Data!D$2:D$5002),Raw_Data!D529)</f>
        <v>42092.55</v>
      </c>
      <c r="E529" s="15" t="str">
        <f>IF(ISBLANK(Raw_Data!E529),AVERAGE(Raw_Data!E$2:E$5002),Raw_Data!E529)</f>
        <v>12627.77</v>
      </c>
      <c r="F529" s="15" t="str">
        <f>IF(ISBLANK(Raw_Data!F529),AVERAGE(Raw_Data!F$2:F$5002),Raw_Data!F529)</f>
        <v>5291.63</v>
      </c>
      <c r="G529" s="14" t="str">
        <f>IF(ISBLANK(Raw_Data!G529),AVERAGE(Raw_Data!G$2:G$5002),Raw_Data!G529)</f>
        <v>6327.13</v>
      </c>
      <c r="H529" s="15" t="str">
        <f t="shared" si="1"/>
        <v>60012.00</v>
      </c>
      <c r="I529" s="14" t="str">
        <f t="shared" si="2"/>
        <v>53685.00</v>
      </c>
      <c r="J529" s="16" t="str">
        <f>TEXT(Raw_Data!J529,"MMM-YYY")</f>
        <v>Jul-2025</v>
      </c>
      <c r="K529" s="13" t="str">
        <f>Raw_Data!K529</f>
        <v>12</v>
      </c>
      <c r="L529" s="17" t="str">
        <f>Raw_Data!L529</f>
        <v>Chennai-South</v>
      </c>
      <c r="M529" s="13" t="str">
        <f t="shared" si="3"/>
        <v>OK</v>
      </c>
      <c r="N529" s="18" t="str">
        <f t="shared" si="4"/>
        <v>VALID</v>
      </c>
    </row>
    <row r="530" ht="15.75" customHeight="1">
      <c r="A530" s="13" t="str">
        <f>Raw_Data!A530</f>
        <v>EMP0554</v>
      </c>
      <c r="B530" s="13" t="str">
        <f>TRIM(CLEAN(Raw_Data!B530))</f>
        <v>Marketing</v>
      </c>
      <c r="C530" s="18" t="s">
        <v>18</v>
      </c>
      <c r="D530" s="14" t="str">
        <f>IF(ISBLANK(Raw_Data!D530),AVERAGE(Raw_Data!D$2:D$5002),Raw_Data!D530)</f>
        <v>75459.21</v>
      </c>
      <c r="E530" s="15" t="str">
        <f>IF(ISBLANK(Raw_Data!E530),AVERAGE(Raw_Data!E$2:E$5002),Raw_Data!E530)</f>
        <v>22637.76</v>
      </c>
      <c r="F530" s="15" t="str">
        <f>IF(ISBLANK(Raw_Data!F530),AVERAGE(Raw_Data!F$2:F$5002),Raw_Data!F530)</f>
        <v>9666.89</v>
      </c>
      <c r="G530" s="14" t="str">
        <f>IF(ISBLANK(Raw_Data!G530),AVERAGE(Raw_Data!G$2:G$5002),Raw_Data!G530)</f>
        <v>12171.31</v>
      </c>
      <c r="H530" s="15" t="str">
        <f t="shared" si="1"/>
        <v>107764.00</v>
      </c>
      <c r="I530" s="14" t="str">
        <f t="shared" si="2"/>
        <v>95593.00</v>
      </c>
      <c r="J530" s="16" t="str">
        <f>TEXT(Raw_Data!J530,"MMM-YYY")</f>
        <v>Mar-2025</v>
      </c>
      <c r="K530" s="13" t="str">
        <f>Raw_Data!K530</f>
        <v>21</v>
      </c>
      <c r="L530" s="17" t="str">
        <f>Raw_Data!L530</f>
        <v>Kolkata-East</v>
      </c>
      <c r="M530" s="13" t="str">
        <f t="shared" si="3"/>
        <v>OK</v>
      </c>
      <c r="N530" s="18" t="str">
        <f t="shared" si="4"/>
        <v>VALID</v>
      </c>
    </row>
    <row r="531" ht="15.75" customHeight="1">
      <c r="A531" s="13" t="str">
        <f>Raw_Data!A531</f>
        <v>EMP0555</v>
      </c>
      <c r="B531" s="13" t="str">
        <f>TRIM(CLEAN(Raw_Data!B531))</f>
        <v>IT</v>
      </c>
      <c r="C531" s="18" t="s">
        <v>14</v>
      </c>
      <c r="D531" s="14" t="str">
        <f>IF(ISBLANK(Raw_Data!D531),AVERAGE(Raw_Data!D$2:D$5002),Raw_Data!D531)</f>
        <v>20231.33</v>
      </c>
      <c r="E531" s="15" t="str">
        <f>IF(ISBLANK(Raw_Data!E531),AVERAGE(Raw_Data!E$2:E$5002),Raw_Data!E531)</f>
        <v>6069.40</v>
      </c>
      <c r="F531" s="15" t="str">
        <f>IF(ISBLANK(Raw_Data!F531),AVERAGE(Raw_Data!F$2:F$5002),Raw_Data!F531)</f>
        <v>2068.87</v>
      </c>
      <c r="G531" s="14" t="str">
        <f>IF(ISBLANK(Raw_Data!G531),AVERAGE(Raw_Data!G$2:G$5002),Raw_Data!G531)</f>
        <v>14562.73</v>
      </c>
      <c r="H531" s="15" t="str">
        <f t="shared" si="1"/>
        <v>28370.00</v>
      </c>
      <c r="I531" s="14" t="str">
        <f t="shared" si="2"/>
        <v>13807.00</v>
      </c>
      <c r="J531" s="16" t="str">
        <f>TEXT(Raw_Data!J531,"MMM-YYY")</f>
        <v>Mar-2025</v>
      </c>
      <c r="K531" s="13" t="str">
        <f>Raw_Data!K531</f>
        <v>8</v>
      </c>
      <c r="L531" s="17" t="str">
        <f>Raw_Data!L531</f>
        <v>Pune-West</v>
      </c>
      <c r="M531" s="13" t="str">
        <f t="shared" si="3"/>
        <v>OK</v>
      </c>
      <c r="N531" s="18" t="str">
        <f t="shared" si="4"/>
        <v>VALID</v>
      </c>
    </row>
    <row r="532" ht="15.75" customHeight="1">
      <c r="A532" s="13" t="str">
        <f>Raw_Data!A532</f>
        <v>EMP0556</v>
      </c>
      <c r="B532" s="13" t="str">
        <f>TRIM(CLEAN(Raw_Data!B532))</f>
        <v>Operations</v>
      </c>
      <c r="C532" s="18" t="s">
        <v>33</v>
      </c>
      <c r="D532" s="14" t="str">
        <f>IF(ISBLANK(Raw_Data!D532),AVERAGE(Raw_Data!D$2:D$5002),Raw_Data!D532)</f>
        <v>28907.32</v>
      </c>
      <c r="E532" s="15" t="str">
        <f>IF(ISBLANK(Raw_Data!E532),AVERAGE(Raw_Data!E$2:E$5002),Raw_Data!E532)</f>
        <v>8672.20</v>
      </c>
      <c r="F532" s="15" t="str">
        <f>IF(ISBLANK(Raw_Data!F532),AVERAGE(Raw_Data!F$2:F$5002),Raw_Data!F532)</f>
        <v>3667.15</v>
      </c>
      <c r="G532" s="14" t="str">
        <f>IF(ISBLANK(Raw_Data!G532),AVERAGE(Raw_Data!G$2:G$5002),Raw_Data!G532)</f>
        <v>7237.18</v>
      </c>
      <c r="H532" s="15" t="str">
        <f t="shared" si="1"/>
        <v>41247.00</v>
      </c>
      <c r="I532" s="14" t="str">
        <f t="shared" si="2"/>
        <v>34010.00</v>
      </c>
      <c r="J532" s="16" t="str">
        <f>TEXT(Raw_Data!J532,"MMM-YYY")</f>
        <v>Nov-2025</v>
      </c>
      <c r="K532" s="13" t="str">
        <f>Raw_Data!K532</f>
        <v>8</v>
      </c>
      <c r="L532" s="17" t="str">
        <f>Raw_Data!L532</f>
        <v>Hyderabad-South</v>
      </c>
      <c r="M532" s="13" t="str">
        <f t="shared" si="3"/>
        <v>OK</v>
      </c>
      <c r="N532" s="18" t="str">
        <f t="shared" si="4"/>
        <v>VALID</v>
      </c>
    </row>
    <row r="533" ht="15.75" customHeight="1">
      <c r="A533" s="13" t="str">
        <f>Raw_Data!A533</f>
        <v>EMP0557</v>
      </c>
      <c r="B533" s="13" t="str">
        <f>TRIM(CLEAN(Raw_Data!B533))</f>
        <v>Sales</v>
      </c>
      <c r="C533" s="18" t="s">
        <v>14</v>
      </c>
      <c r="D533" s="14" t="str">
        <f>IF(ISBLANK(Raw_Data!D533),AVERAGE(Raw_Data!D$2:D$5002),Raw_Data!D533)</f>
        <v>20233.22</v>
      </c>
      <c r="E533" s="15" t="str">
        <f>IF(ISBLANK(Raw_Data!E533),AVERAGE(Raw_Data!E$2:E$5002),Raw_Data!E533)</f>
        <v>6069.97</v>
      </c>
      <c r="F533" s="15" t="str">
        <f>IF(ISBLANK(Raw_Data!F533),AVERAGE(Raw_Data!F$2:F$5002),Raw_Data!F533)</f>
        <v>1770.35</v>
      </c>
      <c r="G533" s="14" t="str">
        <f>IF(ISBLANK(Raw_Data!G533),AVERAGE(Raw_Data!G$2:G$5002),Raw_Data!G533)</f>
        <v>5787.28</v>
      </c>
      <c r="H533" s="15" t="str">
        <f t="shared" si="1"/>
        <v>28074.00</v>
      </c>
      <c r="I533" s="14" t="str">
        <f t="shared" si="2"/>
        <v>22287.00</v>
      </c>
      <c r="J533" s="16" t="str">
        <f>TEXT(Raw_Data!J533,"MMM-YYY")</f>
        <v>Apr-2025</v>
      </c>
      <c r="K533" s="13" t="str">
        <f>Raw_Data!K533</f>
        <v>4</v>
      </c>
      <c r="L533" s="17" t="str">
        <f>Raw_Data!L533</f>
        <v>Chandigarh-North</v>
      </c>
      <c r="M533" s="13" t="str">
        <f t="shared" si="3"/>
        <v>OK</v>
      </c>
      <c r="N533" s="18" t="str">
        <f t="shared" si="4"/>
        <v>VALID</v>
      </c>
    </row>
    <row r="534" ht="15.75" customHeight="1">
      <c r="A534" s="13" t="str">
        <f>Raw_Data!A534</f>
        <v>EMP0559</v>
      </c>
      <c r="B534" s="13" t="str">
        <f>TRIM(CLEAN(Raw_Data!B534))</f>
        <v>HR</v>
      </c>
      <c r="C534" s="18" t="s">
        <v>33</v>
      </c>
      <c r="D534" s="14" t="str">
        <f>IF(ISBLANK(Raw_Data!D534),AVERAGE(Raw_Data!D$2:D$5002),Raw_Data!D534)</f>
        <v>31660.80</v>
      </c>
      <c r="E534" s="15" t="str">
        <f>IF(ISBLANK(Raw_Data!E534),AVERAGE(Raw_Data!E$2:E$5002),Raw_Data!E534)</f>
        <v>9498.24</v>
      </c>
      <c r="F534" s="15" t="str">
        <f>IF(ISBLANK(Raw_Data!F534),AVERAGE(Raw_Data!F$2:F$5002),Raw_Data!F534)</f>
        <v>4166.89</v>
      </c>
      <c r="G534" s="14" t="str">
        <f>IF(ISBLANK(Raw_Data!G534),AVERAGE(Raw_Data!G$2:G$5002),Raw_Data!G534)</f>
        <v>1668.33</v>
      </c>
      <c r="H534" s="15" t="str">
        <f t="shared" si="1"/>
        <v>45326.00</v>
      </c>
      <c r="I534" s="14" t="str">
        <f t="shared" si="2"/>
        <v>43658.00</v>
      </c>
      <c r="J534" s="16" t="str">
        <f>TEXT(Raw_Data!J534,"MMM-YYY")</f>
        <v>Jan-2025</v>
      </c>
      <c r="K534" s="13" t="str">
        <f>Raw_Data!K534</f>
        <v>15</v>
      </c>
      <c r="L534" s="17" t="str">
        <f>Raw_Data!L534</f>
        <v>Jaipur-North</v>
      </c>
      <c r="M534" s="13" t="str">
        <f t="shared" si="3"/>
        <v>OK</v>
      </c>
      <c r="N534" s="18" t="str">
        <f t="shared" si="4"/>
        <v>VALID</v>
      </c>
    </row>
    <row r="535" ht="15.75" customHeight="1">
      <c r="A535" s="13" t="str">
        <f>Raw_Data!A535</f>
        <v>EMP0560</v>
      </c>
      <c r="B535" s="13" t="str">
        <f>TRIM(CLEAN(Raw_Data!B535))</f>
        <v>Sales</v>
      </c>
      <c r="C535" s="18" t="s">
        <v>30</v>
      </c>
      <c r="D535" s="14" t="str">
        <f>IF(ISBLANK(Raw_Data!D535),AVERAGE(Raw_Data!D$2:D$5002),Raw_Data!D535)</f>
        <v>28173.20</v>
      </c>
      <c r="E535" s="15" t="str">
        <f>IF(ISBLANK(Raw_Data!E535),AVERAGE(Raw_Data!E$2:E$5002),Raw_Data!E535)</f>
        <v>8451.96</v>
      </c>
      <c r="F535" s="15" t="str">
        <f>IF(ISBLANK(Raw_Data!F535),AVERAGE(Raw_Data!F$2:F$5002),Raw_Data!F535)</f>
        <v>923.14</v>
      </c>
      <c r="G535" s="14" t="str">
        <f>IF(ISBLANK(Raw_Data!G535),AVERAGE(Raw_Data!G$2:G$5002),Raw_Data!G535)</f>
        <v>8054.85</v>
      </c>
      <c r="H535" s="15" t="str">
        <f t="shared" si="1"/>
        <v>37548.00</v>
      </c>
      <c r="I535" s="14" t="str">
        <f t="shared" si="2"/>
        <v>29493.00</v>
      </c>
      <c r="J535" s="16" t="str">
        <f>TEXT(Raw_Data!J535,"MMM-YYY")</f>
        <v>Sep-2025</v>
      </c>
      <c r="K535" s="13" t="str">
        <f>Raw_Data!K535</f>
        <v>1</v>
      </c>
      <c r="L535" s="17" t="str">
        <f>Raw_Data!L535</f>
        <v>Mumbai-HO</v>
      </c>
      <c r="M535" s="13" t="str">
        <f t="shared" si="3"/>
        <v>OK</v>
      </c>
      <c r="N535" s="18" t="str">
        <f t="shared" si="4"/>
        <v>VALID</v>
      </c>
    </row>
    <row r="536" ht="15.75" customHeight="1">
      <c r="A536" s="13" t="str">
        <f>Raw_Data!A536</f>
        <v>EMP0561</v>
      </c>
      <c r="B536" s="13" t="str">
        <f>TRIM(CLEAN(Raw_Data!B536))</f>
        <v>Operations</v>
      </c>
      <c r="C536" s="18" t="s">
        <v>26</v>
      </c>
      <c r="D536" s="14" t="str">
        <f>IF(ISBLANK(Raw_Data!D536),AVERAGE(Raw_Data!D$2:D$5002),Raw_Data!D536)</f>
        <v>119610.25</v>
      </c>
      <c r="E536" s="15" t="str">
        <f>IF(ISBLANK(Raw_Data!E536),AVERAGE(Raw_Data!E$2:E$5002),Raw_Data!E536)</f>
        <v>35883.07</v>
      </c>
      <c r="F536" s="15" t="str">
        <f>IF(ISBLANK(Raw_Data!F536),AVERAGE(Raw_Data!F$2:F$5002),Raw_Data!F536)</f>
        <v>6201.72</v>
      </c>
      <c r="G536" s="14" t="str">
        <f>IF(ISBLANK(Raw_Data!G536),AVERAGE(Raw_Data!G$2:G$5002),Raw_Data!G536)</f>
        <v>13343.82</v>
      </c>
      <c r="H536" s="15" t="str">
        <f t="shared" si="1"/>
        <v>161695.00</v>
      </c>
      <c r="I536" s="14" t="str">
        <f t="shared" si="2"/>
        <v>148351.00</v>
      </c>
      <c r="J536" s="16" t="str">
        <f>TEXT(Raw_Data!J536,"MMM-YYY")</f>
        <v>Dec-2025</v>
      </c>
      <c r="K536" s="13" t="str">
        <f>Raw_Data!K536</f>
        <v>21</v>
      </c>
      <c r="L536" s="17" t="str">
        <f>Raw_Data!L536</f>
        <v>Delhi-North</v>
      </c>
      <c r="M536" s="13" t="str">
        <f t="shared" si="3"/>
        <v>OK</v>
      </c>
      <c r="N536" s="18" t="str">
        <f t="shared" si="4"/>
        <v>VALID</v>
      </c>
    </row>
    <row r="537" ht="15.75" customHeight="1">
      <c r="A537" s="13" t="str">
        <f>Raw_Data!A537</f>
        <v>EMP0562</v>
      </c>
      <c r="B537" s="13" t="str">
        <f>TRIM(CLEAN(Raw_Data!B537))</f>
        <v>Customer Support</v>
      </c>
      <c r="C537" s="18" t="s">
        <v>26</v>
      </c>
      <c r="D537" s="14" t="str">
        <f>IF(ISBLANK(Raw_Data!D537),AVERAGE(Raw_Data!D$2:D$5002),Raw_Data!D537)</f>
        <v>99675.52</v>
      </c>
      <c r="E537" s="15" t="str">
        <f>IF(ISBLANK(Raw_Data!E537),AVERAGE(Raw_Data!E$2:E$5002),Raw_Data!E537)</f>
        <v>29902.66</v>
      </c>
      <c r="F537" s="15" t="str">
        <f>IF(ISBLANK(Raw_Data!F537),AVERAGE(Raw_Data!F$2:F$5002),Raw_Data!F537)</f>
        <v>17670.77</v>
      </c>
      <c r="G537" s="14" t="str">
        <f>IF(ISBLANK(Raw_Data!G537),AVERAGE(Raw_Data!G$2:G$5002),Raw_Data!G537)</f>
        <v>23067.81</v>
      </c>
      <c r="H537" s="15" t="str">
        <f t="shared" si="1"/>
        <v>147249.00</v>
      </c>
      <c r="I537" s="14" t="str">
        <f t="shared" si="2"/>
        <v>124181.00</v>
      </c>
      <c r="J537" s="16" t="str">
        <f>TEXT(Raw_Data!J537,"MMM-YYY")</f>
        <v>Jan-2025</v>
      </c>
      <c r="K537" s="13" t="str">
        <f>Raw_Data!K537</f>
        <v>15</v>
      </c>
      <c r="L537" s="17" t="str">
        <f>Raw_Data!L537</f>
        <v>Bangalore-South</v>
      </c>
      <c r="M537" s="13" t="str">
        <f t="shared" si="3"/>
        <v>OK</v>
      </c>
      <c r="N537" s="18" t="str">
        <f t="shared" si="4"/>
        <v>VALID</v>
      </c>
    </row>
    <row r="538" ht="15.75" customHeight="1">
      <c r="A538" s="13" t="str">
        <f>Raw_Data!A538</f>
        <v>EMP0563</v>
      </c>
      <c r="B538" s="13" t="str">
        <f>TRIM(CLEAN(Raw_Data!B538))</f>
        <v>IT</v>
      </c>
      <c r="C538" s="18" t="s">
        <v>26</v>
      </c>
      <c r="D538" s="14" t="str">
        <f>IF(ISBLANK(Raw_Data!D538),AVERAGE(Raw_Data!D$2:D$5002),Raw_Data!D538)</f>
        <v>105455.68</v>
      </c>
      <c r="E538" s="15" t="str">
        <f>IF(ISBLANK(Raw_Data!E538),AVERAGE(Raw_Data!E$2:E$5002),Raw_Data!E538)</f>
        <v>31636.70</v>
      </c>
      <c r="F538" s="15" t="str">
        <f>IF(ISBLANK(Raw_Data!F538),AVERAGE(Raw_Data!F$2:F$5002),Raw_Data!F538)</f>
        <v>11048.68</v>
      </c>
      <c r="G538" s="14" t="str">
        <f>IF(ISBLANK(Raw_Data!G538),AVERAGE(Raw_Data!G$2:G$5002),Raw_Data!G538)</f>
        <v>8318.86</v>
      </c>
      <c r="H538" s="15" t="str">
        <f t="shared" si="1"/>
        <v>148141.00</v>
      </c>
      <c r="I538" s="14" t="str">
        <f t="shared" si="2"/>
        <v>139822.00</v>
      </c>
      <c r="J538" s="16" t="str">
        <f>TEXT(Raw_Data!J538,"MMM-YYY")</f>
        <v>Oct-2025</v>
      </c>
      <c r="K538" s="13" t="str">
        <f>Raw_Data!K538</f>
        <v>19</v>
      </c>
      <c r="L538" s="17" t="str">
        <f>Raw_Data!L538</f>
        <v>Chennai-South</v>
      </c>
      <c r="M538" s="13" t="str">
        <f t="shared" si="3"/>
        <v>OK</v>
      </c>
      <c r="N538" s="18" t="str">
        <f t="shared" si="4"/>
        <v>VALID</v>
      </c>
    </row>
    <row r="539" ht="15.75" customHeight="1">
      <c r="A539" s="13" t="str">
        <f>Raw_Data!A539</f>
        <v>EMP0564</v>
      </c>
      <c r="B539" s="13" t="str">
        <f>TRIM(CLEAN(Raw_Data!B539))</f>
        <v>Sales</v>
      </c>
      <c r="C539" s="18" t="s">
        <v>14</v>
      </c>
      <c r="D539" s="14" t="str">
        <f>IF(ISBLANK(Raw_Data!D539),AVERAGE(Raw_Data!D$2:D$5002),Raw_Data!D539)</f>
        <v>21572.26</v>
      </c>
      <c r="E539" s="15" t="str">
        <f>IF(ISBLANK(Raw_Data!E539),AVERAGE(Raw_Data!E$2:E$5002),Raw_Data!E539)</f>
        <v>6471.68</v>
      </c>
      <c r="F539" s="15" t="str">
        <f>IF(ISBLANK(Raw_Data!F539),AVERAGE(Raw_Data!F$2:F$5002),Raw_Data!F539)</f>
        <v>2203.74</v>
      </c>
      <c r="G539" s="14" t="str">
        <f>IF(ISBLANK(Raw_Data!G539),AVERAGE(Raw_Data!G$2:G$5002),Raw_Data!G539)</f>
        <v>358.78</v>
      </c>
      <c r="H539" s="15" t="str">
        <f t="shared" si="1"/>
        <v>30248.00</v>
      </c>
      <c r="I539" s="14" t="str">
        <f t="shared" si="2"/>
        <v>29889.00</v>
      </c>
      <c r="J539" s="16" t="str">
        <f>TEXT(Raw_Data!J539,"MMM-YYY")</f>
        <v>Oct-2025</v>
      </c>
      <c r="K539" s="13" t="str">
        <f>Raw_Data!K539</f>
        <v>23</v>
      </c>
      <c r="L539" s="17" t="str">
        <f>Raw_Data!L539</f>
        <v>Kolkata-East</v>
      </c>
      <c r="M539" s="13" t="str">
        <f t="shared" si="3"/>
        <v>OK</v>
      </c>
      <c r="N539" s="18" t="str">
        <f t="shared" si="4"/>
        <v>VALID</v>
      </c>
    </row>
    <row r="540" ht="15.75" customHeight="1">
      <c r="A540" s="13" t="str">
        <f>Raw_Data!A540</f>
        <v>EMP0565</v>
      </c>
      <c r="B540" s="13" t="str">
        <f>TRIM(CLEAN(Raw_Data!B540))</f>
        <v>Finance</v>
      </c>
      <c r="C540" s="18" t="s">
        <v>33</v>
      </c>
      <c r="D540" s="14" t="str">
        <f>IF(ISBLANK(Raw_Data!D540),AVERAGE(Raw_Data!D$2:D$5002),Raw_Data!D540)</f>
        <v>26573.10</v>
      </c>
      <c r="E540" s="15" t="str">
        <f>IF(ISBLANK(Raw_Data!E540),AVERAGE(Raw_Data!E$2:E$5002),Raw_Data!E540)</f>
        <v>7971.93</v>
      </c>
      <c r="F540" s="15" t="str">
        <f>IF(ISBLANK(Raw_Data!F540),AVERAGE(Raw_Data!F$2:F$5002),Raw_Data!F540)</f>
        <v>4109.95</v>
      </c>
      <c r="G540" s="14" t="str">
        <f>IF(ISBLANK(Raw_Data!G540),AVERAGE(Raw_Data!G$2:G$5002),Raw_Data!G540)</f>
        <v>7129.05</v>
      </c>
      <c r="H540" s="15" t="str">
        <f t="shared" si="1"/>
        <v>38655.00</v>
      </c>
      <c r="I540" s="14" t="str">
        <f t="shared" si="2"/>
        <v>31526.00</v>
      </c>
      <c r="J540" s="16" t="str">
        <f>TEXT(Raw_Data!J540,"MMM-YYY")</f>
        <v>Nov-2025</v>
      </c>
      <c r="K540" s="13" t="str">
        <f>Raw_Data!K540</f>
        <v>21</v>
      </c>
      <c r="L540" s="17" t="str">
        <f>Raw_Data!L540</f>
        <v>Pune-West</v>
      </c>
      <c r="M540" s="13" t="str">
        <f t="shared" si="3"/>
        <v>OK</v>
      </c>
      <c r="N540" s="18" t="str">
        <f t="shared" si="4"/>
        <v>VALID</v>
      </c>
    </row>
    <row r="541" ht="15.75" customHeight="1">
      <c r="A541" s="13" t="str">
        <f>Raw_Data!A541</f>
        <v>EMP0566</v>
      </c>
      <c r="B541" s="13" t="str">
        <f>TRIM(CLEAN(Raw_Data!B541))</f>
        <v>Sales</v>
      </c>
      <c r="C541" s="18" t="s">
        <v>14</v>
      </c>
      <c r="D541" s="14" t="str">
        <f>IF(ISBLANK(Raw_Data!D541),AVERAGE(Raw_Data!D$2:D$5002),Raw_Data!D541)</f>
        <v>19644.51</v>
      </c>
      <c r="E541" s="15" t="str">
        <f>IF(ISBLANK(Raw_Data!E541),AVERAGE(Raw_Data!E$2:E$5002),Raw_Data!E541)</f>
        <v>5893.35</v>
      </c>
      <c r="F541" s="15" t="str">
        <f>IF(ISBLANK(Raw_Data!F541),AVERAGE(Raw_Data!F$2:F$5002),Raw_Data!F541)</f>
        <v>1999.12</v>
      </c>
      <c r="G541" s="14" t="str">
        <f>IF(ISBLANK(Raw_Data!G541),AVERAGE(Raw_Data!G$2:G$5002),Raw_Data!G541)</f>
        <v>259.53</v>
      </c>
      <c r="H541" s="15" t="str">
        <f t="shared" si="1"/>
        <v>27537.00</v>
      </c>
      <c r="I541" s="14" t="str">
        <f t="shared" si="2"/>
        <v>27277.00</v>
      </c>
      <c r="J541" s="16" t="str">
        <f>TEXT(Raw_Data!J541,"MMM-YYY")</f>
        <v>Jan-2025</v>
      </c>
      <c r="K541" s="13" t="str">
        <f>Raw_Data!K541</f>
        <v>2</v>
      </c>
      <c r="L541" s="17" t="str">
        <f>Raw_Data!L541</f>
        <v>Hyderabad-South</v>
      </c>
      <c r="M541" s="13" t="str">
        <f t="shared" si="3"/>
        <v>OK</v>
      </c>
      <c r="N541" s="18" t="str">
        <f t="shared" si="4"/>
        <v>VALID</v>
      </c>
    </row>
    <row r="542" ht="15.75" customHeight="1">
      <c r="A542" s="13" t="str">
        <f>Raw_Data!A542</f>
        <v>EMP0567</v>
      </c>
      <c r="B542" s="13" t="str">
        <f>TRIM(CLEAN(Raw_Data!B542))</f>
        <v>Finance</v>
      </c>
      <c r="C542" s="18" t="s">
        <v>14</v>
      </c>
      <c r="D542" s="14" t="str">
        <f>IF(ISBLANK(Raw_Data!D542),AVERAGE(Raw_Data!D$2:D$5002),Raw_Data!D542)</f>
        <v>21396.71</v>
      </c>
      <c r="E542" s="15" t="str">
        <f>IF(ISBLANK(Raw_Data!E542),AVERAGE(Raw_Data!E$2:E$5002),Raw_Data!E542)</f>
        <v>6419.01</v>
      </c>
      <c r="F542" s="15" t="str">
        <f>IF(ISBLANK(Raw_Data!F542),AVERAGE(Raw_Data!F$2:F$5002),Raw_Data!F542)</f>
        <v>1638.90</v>
      </c>
      <c r="G542" s="14" t="str">
        <f>IF(ISBLANK(Raw_Data!G542),AVERAGE(Raw_Data!G$2:G$5002),Raw_Data!G542)</f>
        <v>963.40</v>
      </c>
      <c r="H542" s="15" t="str">
        <f t="shared" si="1"/>
        <v>29455.00</v>
      </c>
      <c r="I542" s="14" t="str">
        <f t="shared" si="2"/>
        <v>28492.00</v>
      </c>
      <c r="J542" s="16" t="str">
        <f>TEXT(Raw_Data!J542,"MMM-YYY")</f>
        <v>Jan-2025</v>
      </c>
      <c r="K542" s="13" t="str">
        <f>Raw_Data!K542</f>
        <v>15</v>
      </c>
      <c r="L542" s="17" t="str">
        <f>Raw_Data!L542</f>
        <v>Chandigarh-North</v>
      </c>
      <c r="M542" s="13" t="str">
        <f t="shared" si="3"/>
        <v>OK</v>
      </c>
      <c r="N542" s="18" t="str">
        <f t="shared" si="4"/>
        <v>VALID</v>
      </c>
    </row>
    <row r="543" ht="15.75" customHeight="1">
      <c r="A543" s="13" t="str">
        <f>Raw_Data!A543</f>
        <v>EMP0568</v>
      </c>
      <c r="B543" s="13" t="str">
        <f>TRIM(CLEAN(Raw_Data!B543))</f>
        <v>Operations</v>
      </c>
      <c r="C543" s="18" t="s">
        <v>26</v>
      </c>
      <c r="D543" s="14" t="str">
        <f>IF(ISBLANK(Raw_Data!D543),AVERAGE(Raw_Data!D$2:D$5002),Raw_Data!D543)</f>
        <v>122902.12</v>
      </c>
      <c r="E543" s="15" t="str">
        <f>IF(ISBLANK(Raw_Data!E543),AVERAGE(Raw_Data!E$2:E$5002),Raw_Data!E543)</f>
        <v>36870.64</v>
      </c>
      <c r="F543" s="15" t="str">
        <f>IF(ISBLANK(Raw_Data!F543),AVERAGE(Raw_Data!F$2:F$5002),Raw_Data!F543)</f>
        <v>18205.88</v>
      </c>
      <c r="G543" s="14" t="str">
        <f>IF(ISBLANK(Raw_Data!G543),AVERAGE(Raw_Data!G$2:G$5002),Raw_Data!G543)</f>
        <v>15462.41</v>
      </c>
      <c r="H543" s="15" t="str">
        <f t="shared" si="1"/>
        <v>177979.00</v>
      </c>
      <c r="I543" s="14" t="str">
        <f t="shared" si="2"/>
        <v>162517.00</v>
      </c>
      <c r="J543" s="16" t="str">
        <f>TEXT(Raw_Data!J543,"MMM-YYY")</f>
        <v>Jun-2025</v>
      </c>
      <c r="K543" s="13" t="str">
        <f>Raw_Data!K543</f>
        <v>16</v>
      </c>
      <c r="L543" s="17" t="str">
        <f>Raw_Data!L543</f>
        <v>Ahmedabad-West</v>
      </c>
      <c r="M543" s="13" t="str">
        <f t="shared" si="3"/>
        <v>OK</v>
      </c>
      <c r="N543" s="18" t="str">
        <f t="shared" si="4"/>
        <v>VALID</v>
      </c>
    </row>
    <row r="544" ht="15.75" customHeight="1">
      <c r="A544" s="13" t="str">
        <f>Raw_Data!A544</f>
        <v>EMP0569</v>
      </c>
      <c r="B544" s="13" t="str">
        <f>TRIM(CLEAN(Raw_Data!B544))</f>
        <v>Finance</v>
      </c>
      <c r="C544" s="18" t="s">
        <v>54</v>
      </c>
      <c r="D544" s="14" t="str">
        <f>IF(ISBLANK(Raw_Data!D544),AVERAGE(Raw_Data!D$2:D$5002),Raw_Data!D544)</f>
        <v>47821.97</v>
      </c>
      <c r="E544" s="15" t="str">
        <f>IF(ISBLANK(Raw_Data!E544),AVERAGE(Raw_Data!E$2:E$5002),Raw_Data!E544)</f>
        <v>14346.59</v>
      </c>
      <c r="F544" s="15" t="str">
        <f>IF(ISBLANK(Raw_Data!F544),AVERAGE(Raw_Data!F$2:F$5002),Raw_Data!F544)</f>
        <v>3059.99</v>
      </c>
      <c r="G544" s="14" t="str">
        <f>IF(ISBLANK(Raw_Data!G544),AVERAGE(Raw_Data!G$2:G$5002),Raw_Data!G544)</f>
        <v>11850.24</v>
      </c>
      <c r="H544" s="15" t="str">
        <f t="shared" si="1"/>
        <v>65229.00</v>
      </c>
      <c r="I544" s="14" t="str">
        <f t="shared" si="2"/>
        <v>53379.00</v>
      </c>
      <c r="J544" s="16" t="str">
        <f>TEXT(Raw_Data!J544,"MMM-YYY")</f>
        <v>Oct-2025</v>
      </c>
      <c r="K544" s="13" t="str">
        <f>Raw_Data!K544</f>
        <v>14</v>
      </c>
      <c r="L544" s="17" t="str">
        <f>Raw_Data!L544</f>
        <v>Jaipur-North</v>
      </c>
      <c r="M544" s="13" t="str">
        <f t="shared" si="3"/>
        <v>OK</v>
      </c>
      <c r="N544" s="18" t="str">
        <f t="shared" si="4"/>
        <v>VALID</v>
      </c>
    </row>
    <row r="545" ht="15.75" customHeight="1">
      <c r="A545" s="13" t="str">
        <f>Raw_Data!A545</f>
        <v>EMP0570</v>
      </c>
      <c r="B545" s="13" t="str">
        <f>TRIM(CLEAN(Raw_Data!B545))</f>
        <v>IT</v>
      </c>
      <c r="C545" s="18" t="s">
        <v>14</v>
      </c>
      <c r="D545" s="14" t="str">
        <f>IF(ISBLANK(Raw_Data!D545),AVERAGE(Raw_Data!D$2:D$5002),Raw_Data!D545)</f>
        <v>21614.69</v>
      </c>
      <c r="E545" s="15" t="str">
        <f>IF(ISBLANK(Raw_Data!E545),AVERAGE(Raw_Data!E$2:E$5002),Raw_Data!E545)</f>
        <v>6484.41</v>
      </c>
      <c r="F545" s="15" t="str">
        <f>IF(ISBLANK(Raw_Data!F545),AVERAGE(Raw_Data!F$2:F$5002),Raw_Data!F545)</f>
        <v>3899.04</v>
      </c>
      <c r="G545" s="14" t="str">
        <f>IF(ISBLANK(Raw_Data!G545),AVERAGE(Raw_Data!G$2:G$5002),Raw_Data!G545)</f>
        <v>1162.94</v>
      </c>
      <c r="H545" s="15" t="str">
        <f t="shared" si="1"/>
        <v>31998.00</v>
      </c>
      <c r="I545" s="14" t="str">
        <f t="shared" si="2"/>
        <v>30835.00</v>
      </c>
      <c r="J545" s="16" t="str">
        <f>TEXT(Raw_Data!J545,"MMM-YYY")</f>
        <v>Sep-2025</v>
      </c>
      <c r="K545" s="13" t="str">
        <f>Raw_Data!K545</f>
        <v>18</v>
      </c>
      <c r="L545" s="17" t="str">
        <f>Raw_Data!L545</f>
        <v>Mumbai-HO</v>
      </c>
      <c r="M545" s="13" t="str">
        <f t="shared" si="3"/>
        <v>OK</v>
      </c>
      <c r="N545" s="18" t="str">
        <f t="shared" si="4"/>
        <v>VALID</v>
      </c>
    </row>
    <row r="546" ht="15.75" customHeight="1">
      <c r="A546" s="13" t="str">
        <f>Raw_Data!A546</f>
        <v>EMP0571</v>
      </c>
      <c r="B546" s="13" t="str">
        <f>TRIM(CLEAN(Raw_Data!B546))</f>
        <v>HR</v>
      </c>
      <c r="C546" s="18" t="s">
        <v>54</v>
      </c>
      <c r="D546" s="14" t="str">
        <f>IF(ISBLANK(Raw_Data!D546),AVERAGE(Raw_Data!D$2:D$5002),Raw_Data!D546)</f>
        <v>35964.97</v>
      </c>
      <c r="E546" s="15" t="str">
        <f>IF(ISBLANK(Raw_Data!E546),AVERAGE(Raw_Data!E$2:E$5002),Raw_Data!E546)</f>
        <v>10789.49</v>
      </c>
      <c r="F546" s="15" t="str">
        <f>IF(ISBLANK(Raw_Data!F546),AVERAGE(Raw_Data!F$2:F$5002),Raw_Data!F546)</f>
        <v>3345.42</v>
      </c>
      <c r="G546" s="14" t="str">
        <f>IF(ISBLANK(Raw_Data!G546),AVERAGE(Raw_Data!G$2:G$5002),Raw_Data!G546)</f>
        <v>14562.73</v>
      </c>
      <c r="H546" s="15" t="str">
        <f t="shared" si="1"/>
        <v>50100.00</v>
      </c>
      <c r="I546" s="14" t="str">
        <f t="shared" si="2"/>
        <v>35537.00</v>
      </c>
      <c r="J546" s="16" t="str">
        <f>TEXT(Raw_Data!J546,"MMM-YYY")</f>
        <v>May-2025</v>
      </c>
      <c r="K546" s="13" t="str">
        <f>Raw_Data!K546</f>
        <v>11</v>
      </c>
      <c r="L546" s="17" t="str">
        <f>Raw_Data!L546</f>
        <v>Delhi-North</v>
      </c>
      <c r="M546" s="13" t="str">
        <f t="shared" si="3"/>
        <v>OK</v>
      </c>
      <c r="N546" s="18" t="str">
        <f t="shared" si="4"/>
        <v>VALID</v>
      </c>
    </row>
    <row r="547" ht="15.75" customHeight="1">
      <c r="A547" s="13" t="str">
        <f>Raw_Data!A547</f>
        <v>EMP0572</v>
      </c>
      <c r="B547" s="13" t="str">
        <f>TRIM(CLEAN(Raw_Data!B547))</f>
        <v>IT</v>
      </c>
      <c r="C547" s="18" t="s">
        <v>14</v>
      </c>
      <c r="D547" s="14" t="str">
        <f>IF(ISBLANK(Raw_Data!D547),AVERAGE(Raw_Data!D$2:D$5002),Raw_Data!D547)</f>
        <v>21982.26</v>
      </c>
      <c r="E547" s="15" t="str">
        <f>IF(ISBLANK(Raw_Data!E547),AVERAGE(Raw_Data!E$2:E$5002),Raw_Data!E547)</f>
        <v>6594.68</v>
      </c>
      <c r="F547" s="15" t="str">
        <f>IF(ISBLANK(Raw_Data!F547),AVERAGE(Raw_Data!F$2:F$5002),Raw_Data!F547)</f>
        <v>35.04</v>
      </c>
      <c r="G547" s="14" t="str">
        <f>IF(ISBLANK(Raw_Data!G547),AVERAGE(Raw_Data!G$2:G$5002),Raw_Data!G547)</f>
        <v>1323.36</v>
      </c>
      <c r="H547" s="15" t="str">
        <f t="shared" si="1"/>
        <v>28612.00</v>
      </c>
      <c r="I547" s="14" t="str">
        <f t="shared" si="2"/>
        <v>27289.00</v>
      </c>
      <c r="J547" s="16" t="str">
        <f>TEXT(Raw_Data!J547,"MMM-YYY")</f>
        <v>Oct-2025</v>
      </c>
      <c r="K547" s="13" t="str">
        <f>Raw_Data!K547</f>
        <v>14</v>
      </c>
      <c r="L547" s="17" t="str">
        <f>Raw_Data!L547</f>
        <v>Bangalore-South</v>
      </c>
      <c r="M547" s="13" t="str">
        <f t="shared" si="3"/>
        <v>OK</v>
      </c>
      <c r="N547" s="18" t="str">
        <f t="shared" si="4"/>
        <v>VALID</v>
      </c>
    </row>
    <row r="548" ht="15.75" customHeight="1">
      <c r="A548" s="13" t="str">
        <f>Raw_Data!A548</f>
        <v>EMP0573</v>
      </c>
      <c r="B548" s="13" t="str">
        <f>TRIM(CLEAN(Raw_Data!B548))</f>
        <v>Customer Support</v>
      </c>
      <c r="C548" s="18" t="s">
        <v>33</v>
      </c>
      <c r="D548" s="14" t="str">
        <f>IF(ISBLANK(Raw_Data!D548),AVERAGE(Raw_Data!D$2:D$5002),Raw_Data!D548)</f>
        <v>32395.76</v>
      </c>
      <c r="E548" s="15" t="str">
        <f>IF(ISBLANK(Raw_Data!E548),AVERAGE(Raw_Data!E$2:E$5002),Raw_Data!E548)</f>
        <v>9718.73</v>
      </c>
      <c r="F548" s="15" t="str">
        <f>IF(ISBLANK(Raw_Data!F548),AVERAGE(Raw_Data!F$2:F$5002),Raw_Data!F548)</f>
        <v>1571.74</v>
      </c>
      <c r="G548" s="14" t="str">
        <f>IF(ISBLANK(Raw_Data!G548),AVERAGE(Raw_Data!G$2:G$5002),Raw_Data!G548)</f>
        <v>3579.15</v>
      </c>
      <c r="H548" s="15" t="str">
        <f t="shared" si="1"/>
        <v>43686.00</v>
      </c>
      <c r="I548" s="14" t="str">
        <f t="shared" si="2"/>
        <v>40107.00</v>
      </c>
      <c r="J548" s="16" t="str">
        <f>TEXT(Raw_Data!J548,"MMM-YYY")</f>
        <v>Aug-2025</v>
      </c>
      <c r="K548" s="13" t="str">
        <f>Raw_Data!K548</f>
        <v>6</v>
      </c>
      <c r="L548" s="17" t="str">
        <f>Raw_Data!L548</f>
        <v>Chennai-South</v>
      </c>
      <c r="M548" s="13" t="str">
        <f t="shared" si="3"/>
        <v>OK</v>
      </c>
      <c r="N548" s="18" t="str">
        <f t="shared" si="4"/>
        <v>VALID</v>
      </c>
    </row>
    <row r="549" ht="15.75" customHeight="1">
      <c r="A549" s="13" t="str">
        <f>Raw_Data!A549</f>
        <v>EMP0574</v>
      </c>
      <c r="B549" s="13" t="str">
        <f>TRIM(CLEAN(Raw_Data!B549))</f>
        <v>Customer Support</v>
      </c>
      <c r="C549" s="18" t="s">
        <v>26</v>
      </c>
      <c r="D549" s="14" t="str">
        <f>IF(ISBLANK(Raw_Data!D549),AVERAGE(Raw_Data!D$2:D$5002),Raw_Data!D549)</f>
        <v>97035.21</v>
      </c>
      <c r="E549" s="15" t="str">
        <f>IF(ISBLANK(Raw_Data!E549),AVERAGE(Raw_Data!E$2:E$5002),Raw_Data!E549)</f>
        <v>29110.56</v>
      </c>
      <c r="F549" s="15" t="str">
        <f>IF(ISBLANK(Raw_Data!F549),AVERAGE(Raw_Data!F$2:F$5002),Raw_Data!F549)</f>
        <v>17474.94</v>
      </c>
      <c r="G549" s="14" t="str">
        <f>IF(ISBLANK(Raw_Data!G549),AVERAGE(Raw_Data!G$2:G$5002),Raw_Data!G549)</f>
        <v>22138.07</v>
      </c>
      <c r="H549" s="15" t="str">
        <f t="shared" si="1"/>
        <v>143621.00</v>
      </c>
      <c r="I549" s="14" t="str">
        <f t="shared" si="2"/>
        <v>121483.00</v>
      </c>
      <c r="J549" s="16" t="str">
        <f>TEXT(Raw_Data!J549,"MMM-YYY")</f>
        <v>Apr-2025</v>
      </c>
      <c r="K549" s="13" t="str">
        <f>Raw_Data!K549</f>
        <v>9</v>
      </c>
      <c r="L549" s="17" t="str">
        <f>Raw_Data!L549</f>
        <v>Kolkata-East</v>
      </c>
      <c r="M549" s="13" t="str">
        <f t="shared" si="3"/>
        <v>OK</v>
      </c>
      <c r="N549" s="18" t="str">
        <f t="shared" si="4"/>
        <v>VALID</v>
      </c>
    </row>
    <row r="550" ht="15.75" customHeight="1">
      <c r="A550" s="13" t="str">
        <f>Raw_Data!A550</f>
        <v>EMP0575</v>
      </c>
      <c r="B550" s="13" t="str">
        <f>TRIM(CLEAN(Raw_Data!B550))</f>
        <v>Finance</v>
      </c>
      <c r="C550" s="18" t="s">
        <v>14</v>
      </c>
      <c r="D550" s="14" t="str">
        <f>IF(ISBLANK(Raw_Data!D550),AVERAGE(Raw_Data!D$2:D$5002),Raw_Data!D550)</f>
        <v>24713.26</v>
      </c>
      <c r="E550" s="15" t="str">
        <f>IF(ISBLANK(Raw_Data!E550),AVERAGE(Raw_Data!E$2:E$5002),Raw_Data!E550)</f>
        <v>7413.98</v>
      </c>
      <c r="F550" s="15" t="str">
        <f>IF(ISBLANK(Raw_Data!F550),AVERAGE(Raw_Data!F$2:F$5002),Raw_Data!F550)</f>
        <v>118.18</v>
      </c>
      <c r="G550" s="14" t="str">
        <f>IF(ISBLANK(Raw_Data!G550),AVERAGE(Raw_Data!G$2:G$5002),Raw_Data!G550)</f>
        <v>4015.00</v>
      </c>
      <c r="H550" s="15" t="str">
        <f t="shared" si="1"/>
        <v>32245.00</v>
      </c>
      <c r="I550" s="14" t="str">
        <f t="shared" si="2"/>
        <v>28230.00</v>
      </c>
      <c r="J550" s="16" t="str">
        <f>TEXT(Raw_Data!J550,"MMM-YYY")</f>
        <v>Nov-2025</v>
      </c>
      <c r="K550" s="13" t="str">
        <f>Raw_Data!K550</f>
        <v>24</v>
      </c>
      <c r="L550" s="17" t="str">
        <f>Raw_Data!L550</f>
        <v>Pune-West</v>
      </c>
      <c r="M550" s="13" t="str">
        <f t="shared" si="3"/>
        <v>OK</v>
      </c>
      <c r="N550" s="18" t="str">
        <f t="shared" si="4"/>
        <v>VALID</v>
      </c>
    </row>
    <row r="551" ht="15.75" customHeight="1">
      <c r="A551" s="13" t="str">
        <f>Raw_Data!A551</f>
        <v>EMP0576</v>
      </c>
      <c r="B551" s="13" t="str">
        <f>TRIM(CLEAN(Raw_Data!B551))</f>
        <v>Customer Support</v>
      </c>
      <c r="C551" s="18" t="s">
        <v>18</v>
      </c>
      <c r="D551" s="14" t="str">
        <f>IF(ISBLANK(Raw_Data!D551),AVERAGE(Raw_Data!D$2:D$5002),Raw_Data!D551)</f>
        <v>87807.16</v>
      </c>
      <c r="E551" s="15" t="str">
        <f>IF(ISBLANK(Raw_Data!E551),AVERAGE(Raw_Data!E$2:E$5002),Raw_Data!E551)</f>
        <v>26342.15</v>
      </c>
      <c r="F551" s="15" t="str">
        <f>IF(ISBLANK(Raw_Data!F551),AVERAGE(Raw_Data!F$2:F$5002),Raw_Data!F551)</f>
        <v>16700.75</v>
      </c>
      <c r="G551" s="14" t="str">
        <f>IF(ISBLANK(Raw_Data!G551),AVERAGE(Raw_Data!G$2:G$5002),Raw_Data!G551)</f>
        <v>38.51</v>
      </c>
      <c r="H551" s="15" t="str">
        <f t="shared" si="1"/>
        <v>130850.00</v>
      </c>
      <c r="I551" s="14" t="str">
        <f t="shared" si="2"/>
        <v>130811.00</v>
      </c>
      <c r="J551" s="16" t="str">
        <f>TEXT(Raw_Data!J551,"MMM-YYY")</f>
        <v>Nov-2025</v>
      </c>
      <c r="K551" s="13" t="str">
        <f>Raw_Data!K551</f>
        <v>13</v>
      </c>
      <c r="L551" s="17" t="str">
        <f>Raw_Data!L551</f>
        <v>Hyderabad-South</v>
      </c>
      <c r="M551" s="13" t="str">
        <f t="shared" si="3"/>
        <v>OK</v>
      </c>
      <c r="N551" s="18" t="str">
        <f t="shared" si="4"/>
        <v>VALID</v>
      </c>
    </row>
    <row r="552" ht="15.75" customHeight="1">
      <c r="A552" s="13" t="str">
        <f>Raw_Data!A552</f>
        <v>EMP0577</v>
      </c>
      <c r="B552" s="13" t="str">
        <f>TRIM(CLEAN(Raw_Data!B552))</f>
        <v>Marketing</v>
      </c>
      <c r="C552" s="18" t="s">
        <v>26</v>
      </c>
      <c r="D552" s="14" t="str">
        <f>IF(ISBLANK(Raw_Data!D552),AVERAGE(Raw_Data!D$2:D$5002),Raw_Data!D552)</f>
        <v>116570.98</v>
      </c>
      <c r="E552" s="15" t="str">
        <f>IF(ISBLANK(Raw_Data!E552),AVERAGE(Raw_Data!E$2:E$5002),Raw_Data!E552)</f>
        <v>34971.29</v>
      </c>
      <c r="F552" s="15" t="str">
        <f>IF(ISBLANK(Raw_Data!F552),AVERAGE(Raw_Data!F$2:F$5002),Raw_Data!F552)</f>
        <v>7169.36</v>
      </c>
      <c r="G552" s="14" t="str">
        <f>IF(ISBLANK(Raw_Data!G552),AVERAGE(Raw_Data!G$2:G$5002),Raw_Data!G552)</f>
        <v>7175.91</v>
      </c>
      <c r="H552" s="15" t="str">
        <f t="shared" si="1"/>
        <v>158712.00</v>
      </c>
      <c r="I552" s="14" t="str">
        <f t="shared" si="2"/>
        <v>151536.00</v>
      </c>
      <c r="J552" s="16" t="str">
        <f>TEXT(Raw_Data!J552,"MMM-YYY")</f>
        <v>Apr-2025</v>
      </c>
      <c r="K552" s="13" t="str">
        <f>Raw_Data!K552</f>
        <v>24</v>
      </c>
      <c r="L552" s="17" t="str">
        <f>Raw_Data!L552</f>
        <v>Chandigarh-North</v>
      </c>
      <c r="M552" s="13" t="str">
        <f t="shared" si="3"/>
        <v>OK</v>
      </c>
      <c r="N552" s="18" t="str">
        <f t="shared" si="4"/>
        <v>VALID</v>
      </c>
    </row>
    <row r="553" ht="15.75" customHeight="1">
      <c r="A553" s="13" t="str">
        <f>Raw_Data!A553</f>
        <v>EMP0578</v>
      </c>
      <c r="B553" s="13" t="str">
        <f>TRIM(CLEAN(Raw_Data!B553))</f>
        <v>Marketing</v>
      </c>
      <c r="C553" s="18" t="s">
        <v>54</v>
      </c>
      <c r="D553" s="14" t="str">
        <f>IF(ISBLANK(Raw_Data!D553),AVERAGE(Raw_Data!D$2:D$5002),Raw_Data!D553)</f>
        <v>48456.59</v>
      </c>
      <c r="E553" s="15" t="str">
        <f>IF(ISBLANK(Raw_Data!E553),AVERAGE(Raw_Data!E$2:E$5002),Raw_Data!E553)</f>
        <v>14536.98</v>
      </c>
      <c r="F553" s="15" t="str">
        <f>IF(ISBLANK(Raw_Data!F553),AVERAGE(Raw_Data!F$2:F$5002),Raw_Data!F553)</f>
        <v>9425.38</v>
      </c>
      <c r="G553" s="14" t="str">
        <f>IF(ISBLANK(Raw_Data!G553),AVERAGE(Raw_Data!G$2:G$5002),Raw_Data!G553)</f>
        <v>2069.68</v>
      </c>
      <c r="H553" s="15" t="str">
        <f t="shared" si="1"/>
        <v>72419.00</v>
      </c>
      <c r="I553" s="14" t="str">
        <f t="shared" si="2"/>
        <v>70349.00</v>
      </c>
      <c r="J553" s="16" t="str">
        <f>TEXT(Raw_Data!J553,"MMM-YYY")</f>
        <v>May-2025</v>
      </c>
      <c r="K553" s="13" t="str">
        <f>Raw_Data!K553</f>
        <v>9</v>
      </c>
      <c r="L553" s="17" t="str">
        <f>Raw_Data!L553</f>
        <v>Ahmedabad-West</v>
      </c>
      <c r="M553" s="13" t="str">
        <f t="shared" si="3"/>
        <v>OK</v>
      </c>
      <c r="N553" s="18" t="str">
        <f t="shared" si="4"/>
        <v>VALID</v>
      </c>
    </row>
    <row r="554" ht="15.75" customHeight="1">
      <c r="A554" s="13" t="str">
        <f>Raw_Data!A554</f>
        <v>EMP0579</v>
      </c>
      <c r="B554" s="13" t="str">
        <f>TRIM(CLEAN(Raw_Data!B554))</f>
        <v>HR</v>
      </c>
      <c r="C554" s="18" t="s">
        <v>14</v>
      </c>
      <c r="D554" s="14" t="str">
        <f>IF(ISBLANK(Raw_Data!D554),AVERAGE(Raw_Data!D$2:D$5002),Raw_Data!D554)</f>
        <v>24633.18</v>
      </c>
      <c r="E554" s="15" t="str">
        <f>IF(ISBLANK(Raw_Data!E554),AVERAGE(Raw_Data!E$2:E$5002),Raw_Data!E554)</f>
        <v>7389.95</v>
      </c>
      <c r="F554" s="15" t="str">
        <f>IF(ISBLANK(Raw_Data!F554),AVERAGE(Raw_Data!F$2:F$5002),Raw_Data!F554)</f>
        <v>4420.61</v>
      </c>
      <c r="G554" s="14" t="str">
        <f>IF(ISBLANK(Raw_Data!G554),AVERAGE(Raw_Data!G$2:G$5002),Raw_Data!G554)</f>
        <v>3841.00</v>
      </c>
      <c r="H554" s="15" t="str">
        <f t="shared" si="1"/>
        <v>36444.00</v>
      </c>
      <c r="I554" s="14" t="str">
        <f t="shared" si="2"/>
        <v>32603.00</v>
      </c>
      <c r="J554" s="16" t="str">
        <f>TEXT(Raw_Data!J554,"MMM-YYY")</f>
        <v>Dec-2025</v>
      </c>
      <c r="K554" s="13" t="str">
        <f>Raw_Data!K554</f>
        <v>6</v>
      </c>
      <c r="L554" s="17" t="str">
        <f>Raw_Data!L554</f>
        <v>Jaipur-North</v>
      </c>
      <c r="M554" s="13" t="str">
        <f t="shared" si="3"/>
        <v>OK</v>
      </c>
      <c r="N554" s="18" t="str">
        <f t="shared" si="4"/>
        <v>VALID</v>
      </c>
    </row>
    <row r="555" ht="15.75" customHeight="1">
      <c r="A555" s="13" t="str">
        <f>Raw_Data!A555</f>
        <v>EMP0580</v>
      </c>
      <c r="B555" s="13" t="str">
        <f>TRIM(CLEAN(Raw_Data!B555))</f>
        <v>IT</v>
      </c>
      <c r="C555" s="18" t="s">
        <v>54</v>
      </c>
      <c r="D555" s="14" t="str">
        <f>IF(ISBLANK(Raw_Data!D555),AVERAGE(Raw_Data!D$2:D$5002),Raw_Data!D555)</f>
        <v>48643.77</v>
      </c>
      <c r="E555" s="15" t="str">
        <f>IF(ISBLANK(Raw_Data!E555),AVERAGE(Raw_Data!E$2:E$5002),Raw_Data!E555)</f>
        <v>14593.13</v>
      </c>
      <c r="F555" s="15" t="str">
        <f>IF(ISBLANK(Raw_Data!F555),AVERAGE(Raw_Data!F$2:F$5002),Raw_Data!F555)</f>
        <v>825.99</v>
      </c>
      <c r="G555" s="14" t="str">
        <f>IF(ISBLANK(Raw_Data!G555),AVERAGE(Raw_Data!G$2:G$5002),Raw_Data!G555)</f>
        <v>1394.77</v>
      </c>
      <c r="H555" s="15" t="str">
        <f t="shared" si="1"/>
        <v>64063.00</v>
      </c>
      <c r="I555" s="14" t="str">
        <f t="shared" si="2"/>
        <v>62668.00</v>
      </c>
      <c r="J555" s="16" t="str">
        <f>TEXT(Raw_Data!J555,"MMM-YYY")</f>
        <v>Mar-2025</v>
      </c>
      <c r="K555" s="13" t="str">
        <f>Raw_Data!K555</f>
        <v>17</v>
      </c>
      <c r="L555" s="17" t="str">
        <f>Raw_Data!L555</f>
        <v>Mumbai-HO</v>
      </c>
      <c r="M555" s="13" t="str">
        <f t="shared" si="3"/>
        <v>OK</v>
      </c>
      <c r="N555" s="18" t="str">
        <f t="shared" si="4"/>
        <v>VALID</v>
      </c>
    </row>
    <row r="556" ht="15.75" customHeight="1">
      <c r="A556" s="13" t="str">
        <f>Raw_Data!A556</f>
        <v>EMP0581</v>
      </c>
      <c r="B556" s="13" t="str">
        <f>TRIM(CLEAN(Raw_Data!B556))</f>
        <v>Sales</v>
      </c>
      <c r="C556" s="18" t="s">
        <v>26</v>
      </c>
      <c r="D556" s="14" t="str">
        <f>IF(ISBLANK(Raw_Data!D556),AVERAGE(Raw_Data!D$2:D$5002),Raw_Data!D556)</f>
        <v>104196.65</v>
      </c>
      <c r="E556" s="15" t="str">
        <f>IF(ISBLANK(Raw_Data!E556),AVERAGE(Raw_Data!E$2:E$5002),Raw_Data!E556)</f>
        <v>31258.99</v>
      </c>
      <c r="F556" s="15" t="str">
        <f>IF(ISBLANK(Raw_Data!F556),AVERAGE(Raw_Data!F$2:F$5002),Raw_Data!F556)</f>
        <v>12334.71</v>
      </c>
      <c r="G556" s="14" t="str">
        <f>IF(ISBLANK(Raw_Data!G556),AVERAGE(Raw_Data!G$2:G$5002),Raw_Data!G556)</f>
        <v>1946.90</v>
      </c>
      <c r="H556" s="15" t="str">
        <f t="shared" si="1"/>
        <v>147790.00</v>
      </c>
      <c r="I556" s="14" t="str">
        <f t="shared" si="2"/>
        <v>145843.00</v>
      </c>
      <c r="J556" s="16" t="str">
        <f>TEXT(Raw_Data!J556,"MMM-YYY")</f>
        <v>Nov-2025</v>
      </c>
      <c r="K556" s="13" t="str">
        <f>Raw_Data!K556</f>
        <v>24</v>
      </c>
      <c r="L556" s="17" t="str">
        <f>Raw_Data!L556</f>
        <v>Delhi-North</v>
      </c>
      <c r="M556" s="13" t="str">
        <f t="shared" si="3"/>
        <v>OK</v>
      </c>
      <c r="N556" s="18" t="str">
        <f t="shared" si="4"/>
        <v>VALID</v>
      </c>
    </row>
    <row r="557" ht="15.75" customHeight="1">
      <c r="A557" s="13" t="str">
        <f>Raw_Data!A557</f>
        <v>EMP0582</v>
      </c>
      <c r="B557" s="13" t="str">
        <f>TRIM(CLEAN(Raw_Data!B557))</f>
        <v>Finance</v>
      </c>
      <c r="C557" s="18" t="s">
        <v>30</v>
      </c>
      <c r="D557" s="14" t="str">
        <f>IF(ISBLANK(Raw_Data!D557),AVERAGE(Raw_Data!D$2:D$5002),Raw_Data!D557)</f>
        <v>24566.75</v>
      </c>
      <c r="E557" s="15" t="str">
        <f>IF(ISBLANK(Raw_Data!E557),AVERAGE(Raw_Data!E$2:E$5002),Raw_Data!E557)</f>
        <v>7370.02</v>
      </c>
      <c r="F557" s="15" t="str">
        <f>IF(ISBLANK(Raw_Data!F557),AVERAGE(Raw_Data!F$2:F$5002),Raw_Data!F557)</f>
        <v>4180.84</v>
      </c>
      <c r="G557" s="14" t="str">
        <f>IF(ISBLANK(Raw_Data!G557),AVERAGE(Raw_Data!G$2:G$5002),Raw_Data!G557)</f>
        <v>6824.95</v>
      </c>
      <c r="H557" s="15" t="str">
        <f t="shared" si="1"/>
        <v>36118.00</v>
      </c>
      <c r="I557" s="14" t="str">
        <f t="shared" si="2"/>
        <v>29293.00</v>
      </c>
      <c r="J557" s="16" t="str">
        <f>TEXT(Raw_Data!J557,"MMM-YYY")</f>
        <v>Jul-2025</v>
      </c>
      <c r="K557" s="13" t="str">
        <f>Raw_Data!K557</f>
        <v>15</v>
      </c>
      <c r="L557" s="17" t="str">
        <f>Raw_Data!L557</f>
        <v>Bangalore-South</v>
      </c>
      <c r="M557" s="13" t="str">
        <f t="shared" si="3"/>
        <v>OK</v>
      </c>
      <c r="N557" s="18" t="str">
        <f t="shared" si="4"/>
        <v>VALID</v>
      </c>
    </row>
    <row r="558" ht="15.75" customHeight="1">
      <c r="A558" s="13" t="str">
        <f>Raw_Data!A558</f>
        <v>EMP0583</v>
      </c>
      <c r="B558" s="13" t="str">
        <f>TRIM(CLEAN(Raw_Data!B558))</f>
        <v>Sales</v>
      </c>
      <c r="C558" s="18" t="s">
        <v>26</v>
      </c>
      <c r="D558" s="14" t="str">
        <f>IF(ISBLANK(Raw_Data!D558),AVERAGE(Raw_Data!D$2:D$5002),Raw_Data!D558)</f>
        <v>116472.70</v>
      </c>
      <c r="E558" s="15" t="str">
        <f>IF(ISBLANK(Raw_Data!E558),AVERAGE(Raw_Data!E$2:E$5002),Raw_Data!E558)</f>
        <v>34941.81</v>
      </c>
      <c r="F558" s="15" t="str">
        <f>IF(ISBLANK(Raw_Data!F558),AVERAGE(Raw_Data!F$2:F$5002),Raw_Data!F558)</f>
        <v>7409.01</v>
      </c>
      <c r="G558" s="14" t="str">
        <f>IF(ISBLANK(Raw_Data!G558),AVERAGE(Raw_Data!G$2:G$5002),Raw_Data!G558)</f>
        <v>9502.63</v>
      </c>
      <c r="H558" s="15" t="str">
        <f t="shared" si="1"/>
        <v>158824.00</v>
      </c>
      <c r="I558" s="14" t="str">
        <f t="shared" si="2"/>
        <v>149321.00</v>
      </c>
      <c r="J558" s="16" t="str">
        <f>TEXT(Raw_Data!J558,"MMM-YYY")</f>
        <v>Feb-2025</v>
      </c>
      <c r="K558" s="13" t="str">
        <f>Raw_Data!K558</f>
        <v>10</v>
      </c>
      <c r="L558" s="17" t="str">
        <f>Raw_Data!L558</f>
        <v>Chennai-South</v>
      </c>
      <c r="M558" s="13" t="str">
        <f t="shared" si="3"/>
        <v>OK</v>
      </c>
      <c r="N558" s="18" t="str">
        <f t="shared" si="4"/>
        <v>VALID</v>
      </c>
    </row>
    <row r="559" ht="15.75" customHeight="1">
      <c r="A559" s="13" t="str">
        <f>Raw_Data!A559</f>
        <v>EMP0585</v>
      </c>
      <c r="B559" s="13" t="str">
        <f>TRIM(CLEAN(Raw_Data!B559))</f>
        <v>Marketing</v>
      </c>
      <c r="C559" s="18" t="s">
        <v>54</v>
      </c>
      <c r="D559" s="14" t="str">
        <f>IF(ISBLANK(Raw_Data!D559),AVERAGE(Raw_Data!D$2:D$5002),Raw_Data!D559)</f>
        <v>39396.47</v>
      </c>
      <c r="E559" s="15" t="str">
        <f>IF(ISBLANK(Raw_Data!E559),AVERAGE(Raw_Data!E$2:E$5002),Raw_Data!E559)</f>
        <v>11818.94</v>
      </c>
      <c r="F559" s="15" t="str">
        <f>IF(ISBLANK(Raw_Data!F559),AVERAGE(Raw_Data!F$2:F$5002),Raw_Data!F559)</f>
        <v>951.32</v>
      </c>
      <c r="G559" s="14" t="str">
        <f>IF(ISBLANK(Raw_Data!G559),AVERAGE(Raw_Data!G$2:G$5002),Raw_Data!G559)</f>
        <v>4234.58</v>
      </c>
      <c r="H559" s="15" t="str">
        <f t="shared" si="1"/>
        <v>52167.00</v>
      </c>
      <c r="I559" s="14" t="str">
        <f t="shared" si="2"/>
        <v>47932.00</v>
      </c>
      <c r="J559" s="16" t="str">
        <f>TEXT(Raw_Data!J559,"MMM-YYY")</f>
        <v>Jan-2025</v>
      </c>
      <c r="K559" s="13" t="str">
        <f>Raw_Data!K559</f>
        <v>20</v>
      </c>
      <c r="L559" s="17" t="str">
        <f>Raw_Data!L559</f>
        <v>Pune-West</v>
      </c>
      <c r="M559" s="13" t="str">
        <f t="shared" si="3"/>
        <v>OK</v>
      </c>
      <c r="N559" s="18" t="str">
        <f t="shared" si="4"/>
        <v>VALID</v>
      </c>
    </row>
    <row r="560" ht="15.75" customHeight="1">
      <c r="A560" s="13" t="str">
        <f>Raw_Data!A560</f>
        <v>EMP0586</v>
      </c>
      <c r="B560" s="13" t="str">
        <f>TRIM(CLEAN(Raw_Data!B560))</f>
        <v>Marketing</v>
      </c>
      <c r="C560" s="18" t="s">
        <v>33</v>
      </c>
      <c r="D560" s="14" t="str">
        <f>IF(ISBLANK(Raw_Data!D560),AVERAGE(Raw_Data!D$2:D$5002),Raw_Data!D560)</f>
        <v>29633.47</v>
      </c>
      <c r="E560" s="15" t="str">
        <f>IF(ISBLANK(Raw_Data!E560),AVERAGE(Raw_Data!E$2:E$5002),Raw_Data!E560)</f>
        <v>8890.04</v>
      </c>
      <c r="F560" s="15" t="str">
        <f>IF(ISBLANK(Raw_Data!F560),AVERAGE(Raw_Data!F$2:F$5002),Raw_Data!F560)</f>
        <v>5052.40</v>
      </c>
      <c r="G560" s="14" t="str">
        <f>IF(ISBLANK(Raw_Data!G560),AVERAGE(Raw_Data!G$2:G$5002),Raw_Data!G560)</f>
        <v>803.85</v>
      </c>
      <c r="H560" s="15" t="str">
        <f t="shared" si="1"/>
        <v>43576.00</v>
      </c>
      <c r="I560" s="14" t="str">
        <f t="shared" si="2"/>
        <v>42772.00</v>
      </c>
      <c r="J560" s="16" t="str">
        <f>TEXT(Raw_Data!J560,"MMM-YYY")</f>
        <v>Nov-2025</v>
      </c>
      <c r="K560" s="13" t="str">
        <f>Raw_Data!K560</f>
        <v>13</v>
      </c>
      <c r="L560" s="17" t="str">
        <f>Raw_Data!L560</f>
        <v>Hyderabad-South</v>
      </c>
      <c r="M560" s="13" t="str">
        <f t="shared" si="3"/>
        <v>OK</v>
      </c>
      <c r="N560" s="18" t="str">
        <f t="shared" si="4"/>
        <v>VALID</v>
      </c>
    </row>
    <row r="561" ht="15.75" customHeight="1">
      <c r="A561" s="13" t="str">
        <f>Raw_Data!A561</f>
        <v>EMP0587</v>
      </c>
      <c r="B561" s="13" t="str">
        <f>TRIM(CLEAN(Raw_Data!B561))</f>
        <v>IT</v>
      </c>
      <c r="C561" s="18" t="s">
        <v>26</v>
      </c>
      <c r="D561" s="14" t="str">
        <f>IF(ISBLANK(Raw_Data!D561),AVERAGE(Raw_Data!D$2:D$5002),Raw_Data!D561)</f>
        <v>115369.37</v>
      </c>
      <c r="E561" s="15" t="str">
        <f>IF(ISBLANK(Raw_Data!E561),AVERAGE(Raw_Data!E$2:E$5002),Raw_Data!E561)</f>
        <v>34610.81</v>
      </c>
      <c r="F561" s="15" t="str">
        <f>IF(ISBLANK(Raw_Data!F561),AVERAGE(Raw_Data!F$2:F$5002),Raw_Data!F561)</f>
        <v>13920.53</v>
      </c>
      <c r="G561" s="14" t="str">
        <f>IF(ISBLANK(Raw_Data!G561),AVERAGE(Raw_Data!G$2:G$5002),Raw_Data!G561)</f>
        <v>7442.04</v>
      </c>
      <c r="H561" s="15" t="str">
        <f t="shared" si="1"/>
        <v>163901.00</v>
      </c>
      <c r="I561" s="14" t="str">
        <f t="shared" si="2"/>
        <v>156459.00</v>
      </c>
      <c r="J561" s="16" t="str">
        <f>TEXT(Raw_Data!J561,"MMM-YYY")</f>
        <v>Jun-2025</v>
      </c>
      <c r="K561" s="13" t="str">
        <f>Raw_Data!K561</f>
        <v>15</v>
      </c>
      <c r="L561" s="17" t="str">
        <f>Raw_Data!L561</f>
        <v>Chandigarh-North</v>
      </c>
      <c r="M561" s="13" t="str">
        <f t="shared" si="3"/>
        <v>OK</v>
      </c>
      <c r="N561" s="18" t="str">
        <f t="shared" si="4"/>
        <v>VALID</v>
      </c>
    </row>
    <row r="562" ht="15.75" customHeight="1">
      <c r="A562" s="13" t="str">
        <f>Raw_Data!A562</f>
        <v>EMP0588</v>
      </c>
      <c r="B562" s="13" t="str">
        <f>TRIM(CLEAN(Raw_Data!B562))</f>
        <v>Finance</v>
      </c>
      <c r="C562" s="18" t="s">
        <v>14</v>
      </c>
      <c r="D562" s="14" t="str">
        <f>IF(ISBLANK(Raw_Data!D562),AVERAGE(Raw_Data!D$2:D$5002),Raw_Data!D562)</f>
        <v>23120.33</v>
      </c>
      <c r="E562" s="15" t="str">
        <f>IF(ISBLANK(Raw_Data!E562),AVERAGE(Raw_Data!E$2:E$5002),Raw_Data!E562)</f>
        <v>6936.10</v>
      </c>
      <c r="F562" s="15" t="str">
        <f>IF(ISBLANK(Raw_Data!F562),AVERAGE(Raw_Data!F$2:F$5002),Raw_Data!F562)</f>
        <v>4477.95</v>
      </c>
      <c r="G562" s="14" t="str">
        <f>IF(ISBLANK(Raw_Data!G562),AVERAGE(Raw_Data!G$2:G$5002),Raw_Data!G562)</f>
        <v>2748.39</v>
      </c>
      <c r="H562" s="15" t="str">
        <f t="shared" si="1"/>
        <v>34534.00</v>
      </c>
      <c r="I562" s="14" t="str">
        <f t="shared" si="2"/>
        <v>31786.00</v>
      </c>
      <c r="J562" s="16" t="str">
        <f>TEXT(Raw_Data!J562,"MMM-YYY")</f>
        <v>Jan-2025</v>
      </c>
      <c r="K562" s="13" t="str">
        <f>Raw_Data!K562</f>
        <v>6</v>
      </c>
      <c r="L562" s="17" t="str">
        <f>Raw_Data!L562</f>
        <v>Ahmedabad-West</v>
      </c>
      <c r="M562" s="13" t="str">
        <f t="shared" si="3"/>
        <v>OK</v>
      </c>
      <c r="N562" s="18" t="str">
        <f t="shared" si="4"/>
        <v>VALID</v>
      </c>
    </row>
    <row r="563" ht="15.75" customHeight="1">
      <c r="A563" s="13" t="str">
        <f>Raw_Data!A563</f>
        <v>EMP0589</v>
      </c>
      <c r="B563" s="13" t="str">
        <f>TRIM(CLEAN(Raw_Data!B563))</f>
        <v>Sales</v>
      </c>
      <c r="C563" s="18" t="s">
        <v>33</v>
      </c>
      <c r="D563" s="14" t="str">
        <f>IF(ISBLANK(Raw_Data!D563),AVERAGE(Raw_Data!D$2:D$5002),Raw_Data!D563)</f>
        <v>27601.67</v>
      </c>
      <c r="E563" s="15" t="str">
        <f>IF(ISBLANK(Raw_Data!E563),AVERAGE(Raw_Data!E$2:E$5002),Raw_Data!E563)</f>
        <v>8280.50</v>
      </c>
      <c r="F563" s="15" t="str">
        <f>IF(ISBLANK(Raw_Data!F563),AVERAGE(Raw_Data!F$2:F$5002),Raw_Data!F563)</f>
        <v>5468.87</v>
      </c>
      <c r="G563" s="14" t="str">
        <f>IF(ISBLANK(Raw_Data!G563),AVERAGE(Raw_Data!G$2:G$5002),Raw_Data!G563)</f>
        <v>14562.73</v>
      </c>
      <c r="H563" s="15" t="str">
        <f t="shared" si="1"/>
        <v>41351.00</v>
      </c>
      <c r="I563" s="14" t="str">
        <f t="shared" si="2"/>
        <v>26788.00</v>
      </c>
      <c r="J563" s="16" t="str">
        <f>TEXT(Raw_Data!J563,"MMM-YYY")</f>
        <v>Jul-2025</v>
      </c>
      <c r="K563" s="13" t="str">
        <f>Raw_Data!K563</f>
        <v>6</v>
      </c>
      <c r="L563" s="17" t="str">
        <f>Raw_Data!L563</f>
        <v>Jaipur-North</v>
      </c>
      <c r="M563" s="13" t="str">
        <f t="shared" si="3"/>
        <v>OK</v>
      </c>
      <c r="N563" s="18" t="str">
        <f t="shared" si="4"/>
        <v>VALID</v>
      </c>
    </row>
    <row r="564" ht="15.75" customHeight="1">
      <c r="A564" s="13" t="str">
        <f>Raw_Data!A564</f>
        <v>EMP0590</v>
      </c>
      <c r="B564" s="13" t="str">
        <f>TRIM(CLEAN(Raw_Data!B564))</f>
        <v>Customer Support</v>
      </c>
      <c r="C564" s="18" t="s">
        <v>54</v>
      </c>
      <c r="D564" s="14" t="str">
        <f>IF(ISBLANK(Raw_Data!D564),AVERAGE(Raw_Data!D$2:D$5002),Raw_Data!D564)</f>
        <v>42783.35</v>
      </c>
      <c r="E564" s="15" t="str">
        <f>IF(ISBLANK(Raw_Data!E564),AVERAGE(Raw_Data!E$2:E$5002),Raw_Data!E564)</f>
        <v>12835.00</v>
      </c>
      <c r="F564" s="15" t="str">
        <f>IF(ISBLANK(Raw_Data!F564),AVERAGE(Raw_Data!F$2:F$5002),Raw_Data!F564)</f>
        <v>4707.20</v>
      </c>
      <c r="G564" s="14" t="str">
        <f>IF(ISBLANK(Raw_Data!G564),AVERAGE(Raw_Data!G$2:G$5002),Raw_Data!G564)</f>
        <v>1215.80</v>
      </c>
      <c r="H564" s="15" t="str">
        <f t="shared" si="1"/>
        <v>60326.00</v>
      </c>
      <c r="I564" s="14" t="str">
        <f t="shared" si="2"/>
        <v>59110.00</v>
      </c>
      <c r="J564" s="16" t="str">
        <f>TEXT(Raw_Data!J564,"MMM-YYY")</f>
        <v>Feb-2025</v>
      </c>
      <c r="K564" s="13" t="str">
        <f>Raw_Data!K564</f>
        <v>3</v>
      </c>
      <c r="L564" s="17" t="str">
        <f>Raw_Data!L564</f>
        <v>Mumbai-HO</v>
      </c>
      <c r="M564" s="13" t="str">
        <f t="shared" si="3"/>
        <v>OK</v>
      </c>
      <c r="N564" s="18" t="str">
        <f t="shared" si="4"/>
        <v>VALID</v>
      </c>
    </row>
    <row r="565" ht="15.75" customHeight="1">
      <c r="A565" s="13" t="str">
        <f>Raw_Data!A565</f>
        <v>EMP0591</v>
      </c>
      <c r="B565" s="13" t="str">
        <f>TRIM(CLEAN(Raw_Data!B565))</f>
        <v>Customer Support</v>
      </c>
      <c r="C565" s="18" t="s">
        <v>26</v>
      </c>
      <c r="D565" s="14" t="str">
        <f>IF(ISBLANK(Raw_Data!D565),AVERAGE(Raw_Data!D$2:D$5002),Raw_Data!D565)</f>
        <v>95032.55</v>
      </c>
      <c r="E565" s="15" t="str">
        <f>IF(ISBLANK(Raw_Data!E565),AVERAGE(Raw_Data!E$2:E$5002),Raw_Data!E565)</f>
        <v>28509.76</v>
      </c>
      <c r="F565" s="15" t="str">
        <f>IF(ISBLANK(Raw_Data!F565),AVERAGE(Raw_Data!F$2:F$5002),Raw_Data!F565)</f>
        <v>227.26</v>
      </c>
      <c r="G565" s="14" t="str">
        <f>IF(ISBLANK(Raw_Data!G565),AVERAGE(Raw_Data!G$2:G$5002),Raw_Data!G565)</f>
        <v>23673.72</v>
      </c>
      <c r="H565" s="15" t="str">
        <f t="shared" si="1"/>
        <v>123770.00</v>
      </c>
      <c r="I565" s="14" t="str">
        <f t="shared" si="2"/>
        <v>100096.00</v>
      </c>
      <c r="J565" s="16" t="str">
        <f>TEXT(Raw_Data!J565,"MMM-YYY")</f>
        <v>Apr-2025</v>
      </c>
      <c r="K565" s="13" t="str">
        <f>Raw_Data!K565</f>
        <v>22</v>
      </c>
      <c r="L565" s="17" t="str">
        <f>Raw_Data!L565</f>
        <v>Delhi-North</v>
      </c>
      <c r="M565" s="13" t="str">
        <f t="shared" si="3"/>
        <v>OK</v>
      </c>
      <c r="N565" s="18" t="str">
        <f t="shared" si="4"/>
        <v>VALID</v>
      </c>
    </row>
    <row r="566" ht="15.75" customHeight="1">
      <c r="A566" s="13" t="str">
        <f>Raw_Data!A566</f>
        <v>EMP0592</v>
      </c>
      <c r="B566" s="13" t="str">
        <f>TRIM(CLEAN(Raw_Data!B566))</f>
        <v>Finance</v>
      </c>
      <c r="C566" s="18" t="s">
        <v>30</v>
      </c>
      <c r="D566" s="14" t="str">
        <f>IF(ISBLANK(Raw_Data!D566),AVERAGE(Raw_Data!D$2:D$5002),Raw_Data!D566)</f>
        <v>29248.33</v>
      </c>
      <c r="E566" s="15" t="str">
        <f>IF(ISBLANK(Raw_Data!E566),AVERAGE(Raw_Data!E$2:E$5002),Raw_Data!E566)</f>
        <v>8774.50</v>
      </c>
      <c r="F566" s="15" t="str">
        <f>IF(ISBLANK(Raw_Data!F566),AVERAGE(Raw_Data!F$2:F$5002),Raw_Data!F566)</f>
        <v>2177.48</v>
      </c>
      <c r="G566" s="14" t="str">
        <f>IF(ISBLANK(Raw_Data!G566),AVERAGE(Raw_Data!G$2:G$5002),Raw_Data!G566)</f>
        <v>5530.55</v>
      </c>
      <c r="H566" s="15" t="str">
        <f t="shared" si="1"/>
        <v>40200.00</v>
      </c>
      <c r="I566" s="14" t="str">
        <f t="shared" si="2"/>
        <v>34669.00</v>
      </c>
      <c r="J566" s="16" t="str">
        <f>TEXT(Raw_Data!J566,"MMM-YYY")</f>
        <v>Nov-2025</v>
      </c>
      <c r="K566" s="13" t="str">
        <f>Raw_Data!K566</f>
        <v>7</v>
      </c>
      <c r="L566" s="17" t="str">
        <f>Raw_Data!L566</f>
        <v>Bangalore-South</v>
      </c>
      <c r="M566" s="13" t="str">
        <f t="shared" si="3"/>
        <v>OK</v>
      </c>
      <c r="N566" s="18" t="str">
        <f t="shared" si="4"/>
        <v>VALID</v>
      </c>
    </row>
    <row r="567" ht="15.75" customHeight="1">
      <c r="A567" s="13" t="str">
        <f>Raw_Data!A567</f>
        <v>EMP0593</v>
      </c>
      <c r="B567" s="13" t="str">
        <f>TRIM(CLEAN(Raw_Data!B567))</f>
        <v>HR</v>
      </c>
      <c r="C567" s="18" t="s">
        <v>37</v>
      </c>
      <c r="D567" s="14" t="str">
        <f>IF(ISBLANK(Raw_Data!D567),AVERAGE(Raw_Data!D$2:D$5002),Raw_Data!D567)</f>
        <v>55550.14</v>
      </c>
      <c r="E567" s="15" t="str">
        <f>IF(ISBLANK(Raw_Data!E567),AVERAGE(Raw_Data!E$2:E$5002),Raw_Data!E567)</f>
        <v>16665.04</v>
      </c>
      <c r="F567" s="15" t="str">
        <f>IF(ISBLANK(Raw_Data!F567),AVERAGE(Raw_Data!F$2:F$5002),Raw_Data!F567)</f>
        <v>10192.66</v>
      </c>
      <c r="G567" s="14" t="str">
        <f>IF(ISBLANK(Raw_Data!G567),AVERAGE(Raw_Data!G$2:G$5002),Raw_Data!G567)</f>
        <v>1249.66</v>
      </c>
      <c r="H567" s="15" t="str">
        <f t="shared" si="1"/>
        <v>82408.00</v>
      </c>
      <c r="I567" s="14" t="str">
        <f t="shared" si="2"/>
        <v>81158.00</v>
      </c>
      <c r="J567" s="16" t="str">
        <f>TEXT(Raw_Data!J567,"MMM-YYY")</f>
        <v>Feb-2025</v>
      </c>
      <c r="K567" s="13" t="str">
        <f>Raw_Data!K567</f>
        <v>7</v>
      </c>
      <c r="L567" s="17" t="str">
        <f>Raw_Data!L567</f>
        <v>Chennai-South</v>
      </c>
      <c r="M567" s="13" t="str">
        <f t="shared" si="3"/>
        <v>OK</v>
      </c>
      <c r="N567" s="18" t="str">
        <f t="shared" si="4"/>
        <v>VALID</v>
      </c>
    </row>
    <row r="568" ht="15.75" customHeight="1">
      <c r="A568" s="13" t="str">
        <f>Raw_Data!A568</f>
        <v>EMP0594</v>
      </c>
      <c r="B568" s="13" t="str">
        <f>TRIM(CLEAN(Raw_Data!B568))</f>
        <v>Finance</v>
      </c>
      <c r="C568" s="18" t="s">
        <v>18</v>
      </c>
      <c r="D568" s="14" t="str">
        <f>IF(ISBLANK(Raw_Data!D568),AVERAGE(Raw_Data!D$2:D$5002),Raw_Data!D568)</f>
        <v>76529.21</v>
      </c>
      <c r="E568" s="15" t="str">
        <f>IF(ISBLANK(Raw_Data!E568),AVERAGE(Raw_Data!E$2:E$5002),Raw_Data!E568)</f>
        <v>22958.76</v>
      </c>
      <c r="F568" s="15" t="str">
        <f>IF(ISBLANK(Raw_Data!F568),AVERAGE(Raw_Data!F$2:F$5002),Raw_Data!F568)</f>
        <v>1971.26</v>
      </c>
      <c r="G568" s="14" t="str">
        <f>IF(ISBLANK(Raw_Data!G568),AVERAGE(Raw_Data!G$2:G$5002),Raw_Data!G568)</f>
        <v>20779.47</v>
      </c>
      <c r="H568" s="15" t="str">
        <f t="shared" si="1"/>
        <v>101459.00</v>
      </c>
      <c r="I568" s="14" t="str">
        <f t="shared" si="2"/>
        <v>80680.00</v>
      </c>
      <c r="J568" s="16" t="str">
        <f>TEXT(Raw_Data!J568,"MMM-YYY")</f>
        <v>Jun-2025</v>
      </c>
      <c r="K568" s="13" t="str">
        <f>Raw_Data!K568</f>
        <v>14</v>
      </c>
      <c r="L568" s="17" t="str">
        <f>Raw_Data!L568</f>
        <v>Kolkata-East</v>
      </c>
      <c r="M568" s="13" t="str">
        <f t="shared" si="3"/>
        <v>OK</v>
      </c>
      <c r="N568" s="18" t="str">
        <f t="shared" si="4"/>
        <v>VALID</v>
      </c>
    </row>
    <row r="569" ht="15.75" customHeight="1">
      <c r="A569" s="13" t="str">
        <f>Raw_Data!A569</f>
        <v>EMP0595</v>
      </c>
      <c r="B569" s="13" t="str">
        <f>TRIM(CLEAN(Raw_Data!B569))</f>
        <v>HR</v>
      </c>
      <c r="C569" s="18" t="s">
        <v>14</v>
      </c>
      <c r="D569" s="14" t="str">
        <f>IF(ISBLANK(Raw_Data!D569),AVERAGE(Raw_Data!D$2:D$5002),Raw_Data!D569)</f>
        <v>24784.42</v>
      </c>
      <c r="E569" s="15" t="str">
        <f>IF(ISBLANK(Raw_Data!E569),AVERAGE(Raw_Data!E$2:E$5002),Raw_Data!E569)</f>
        <v>7435.33</v>
      </c>
      <c r="F569" s="15" t="str">
        <f>IF(ISBLANK(Raw_Data!F569),AVERAGE(Raw_Data!F$2:F$5002),Raw_Data!F569)</f>
        <v>251.01</v>
      </c>
      <c r="G569" s="14" t="str">
        <f>IF(ISBLANK(Raw_Data!G569),AVERAGE(Raw_Data!G$2:G$5002),Raw_Data!G569)</f>
        <v>6871.22</v>
      </c>
      <c r="H569" s="15" t="str">
        <f t="shared" si="1"/>
        <v>32471.00</v>
      </c>
      <c r="I569" s="14" t="str">
        <f t="shared" si="2"/>
        <v>25600.00</v>
      </c>
      <c r="J569" s="16" t="str">
        <f>TEXT(Raw_Data!J569,"MMM-YYY")</f>
        <v>Jul-2025</v>
      </c>
      <c r="K569" s="13" t="str">
        <f>Raw_Data!K569</f>
        <v>1</v>
      </c>
      <c r="L569" s="17" t="str">
        <f>Raw_Data!L569</f>
        <v>Pune-West</v>
      </c>
      <c r="M569" s="13" t="str">
        <f t="shared" si="3"/>
        <v>OK</v>
      </c>
      <c r="N569" s="18" t="str">
        <f t="shared" si="4"/>
        <v>VALID</v>
      </c>
    </row>
    <row r="570" ht="15.75" customHeight="1">
      <c r="A570" s="13" t="str">
        <f>Raw_Data!A570</f>
        <v>EMP0596</v>
      </c>
      <c r="B570" s="13" t="str">
        <f>TRIM(CLEAN(Raw_Data!B570))</f>
        <v>Customer Support</v>
      </c>
      <c r="C570" s="18" t="s">
        <v>18</v>
      </c>
      <c r="D570" s="14" t="str">
        <f>IF(ISBLANK(Raw_Data!D570),AVERAGE(Raw_Data!D$2:D$5002),Raw_Data!D570)</f>
        <v>75269.97</v>
      </c>
      <c r="E570" s="15" t="str">
        <f>IF(ISBLANK(Raw_Data!E570),AVERAGE(Raw_Data!E$2:E$5002),Raw_Data!E570)</f>
        <v>22580.99</v>
      </c>
      <c r="F570" s="15" t="str">
        <f>IF(ISBLANK(Raw_Data!F570),AVERAGE(Raw_Data!F$2:F$5002),Raw_Data!F570)</f>
        <v>443.83</v>
      </c>
      <c r="G570" s="14" t="str">
        <f>IF(ISBLANK(Raw_Data!G570),AVERAGE(Raw_Data!G$2:G$5002),Raw_Data!G570)</f>
        <v>15427.62</v>
      </c>
      <c r="H570" s="15" t="str">
        <f t="shared" si="1"/>
        <v>98295.00</v>
      </c>
      <c r="I570" s="14" t="str">
        <f t="shared" si="2"/>
        <v>82867.00</v>
      </c>
      <c r="J570" s="16" t="str">
        <f>TEXT(Raw_Data!J570,"MMM-YYY")</f>
        <v>Mar-2025</v>
      </c>
      <c r="K570" s="13" t="str">
        <f>Raw_Data!K570</f>
        <v>15</v>
      </c>
      <c r="L570" s="17" t="str">
        <f>Raw_Data!L570</f>
        <v>Hyderabad-South</v>
      </c>
      <c r="M570" s="13" t="str">
        <f t="shared" si="3"/>
        <v>OK</v>
      </c>
      <c r="N570" s="18" t="str">
        <f t="shared" si="4"/>
        <v>VALID</v>
      </c>
    </row>
    <row r="571" ht="15.75" customHeight="1">
      <c r="A571" s="13" t="str">
        <f>Raw_Data!A571</f>
        <v>EMP0597</v>
      </c>
      <c r="B571" s="13" t="str">
        <f>TRIM(CLEAN(Raw_Data!B571))</f>
        <v>IT</v>
      </c>
      <c r="C571" s="18" t="s">
        <v>30</v>
      </c>
      <c r="D571" s="14" t="str">
        <f>IF(ISBLANK(Raw_Data!D571),AVERAGE(Raw_Data!D$2:D$5002),Raw_Data!D571)</f>
        <v>29993.08</v>
      </c>
      <c r="E571" s="15" t="str">
        <f>IF(ISBLANK(Raw_Data!E571),AVERAGE(Raw_Data!E$2:E$5002),Raw_Data!E571)</f>
        <v>8997.92</v>
      </c>
      <c r="F571" s="15" t="str">
        <f>IF(ISBLANK(Raw_Data!F571),AVERAGE(Raw_Data!F$2:F$5002),Raw_Data!F571)</f>
        <v>1649.51</v>
      </c>
      <c r="G571" s="14" t="str">
        <f>IF(ISBLANK(Raw_Data!G571),AVERAGE(Raw_Data!G$2:G$5002),Raw_Data!G571)</f>
        <v>4013.18</v>
      </c>
      <c r="H571" s="15" t="str">
        <f t="shared" si="1"/>
        <v>40641.00</v>
      </c>
      <c r="I571" s="14" t="str">
        <f t="shared" si="2"/>
        <v>36628.00</v>
      </c>
      <c r="J571" s="16" t="str">
        <f>TEXT(Raw_Data!J571,"MMM-YYY")</f>
        <v>Mar-2025</v>
      </c>
      <c r="K571" s="13" t="str">
        <f>Raw_Data!K571</f>
        <v>10</v>
      </c>
      <c r="L571" s="17" t="str">
        <f>Raw_Data!L571</f>
        <v>Chandigarh-North</v>
      </c>
      <c r="M571" s="13" t="str">
        <f t="shared" si="3"/>
        <v>OK</v>
      </c>
      <c r="N571" s="18" t="str">
        <f t="shared" si="4"/>
        <v>VALID</v>
      </c>
    </row>
    <row r="572" ht="15.75" customHeight="1">
      <c r="A572" s="13" t="str">
        <f>Raw_Data!A572</f>
        <v>EMP0598</v>
      </c>
      <c r="B572" s="13" t="str">
        <f>TRIM(CLEAN(Raw_Data!B572))</f>
        <v>HR</v>
      </c>
      <c r="C572" s="18" t="s">
        <v>37</v>
      </c>
      <c r="D572" s="14" t="str">
        <f>IF(ISBLANK(Raw_Data!D572),AVERAGE(Raw_Data!D$2:D$5002),Raw_Data!D572)</f>
        <v>56145.18</v>
      </c>
      <c r="E572" s="15" t="str">
        <f>IF(ISBLANK(Raw_Data!E572),AVERAGE(Raw_Data!E$2:E$5002),Raw_Data!E572)</f>
        <v>16843.55</v>
      </c>
      <c r="F572" s="15" t="str">
        <f>IF(ISBLANK(Raw_Data!F572),AVERAGE(Raw_Data!F$2:F$5002),Raw_Data!F572)</f>
        <v>2759.93</v>
      </c>
      <c r="G572" s="14" t="str">
        <f>IF(ISBLANK(Raw_Data!G572),AVERAGE(Raw_Data!G$2:G$5002),Raw_Data!G572)</f>
        <v>4970.62</v>
      </c>
      <c r="H572" s="15" t="str">
        <f t="shared" si="1"/>
        <v>75749.00</v>
      </c>
      <c r="I572" s="14" t="str">
        <f t="shared" si="2"/>
        <v>70778.00</v>
      </c>
      <c r="J572" s="16" t="str">
        <f>TEXT(Raw_Data!J572,"MMM-YYY")</f>
        <v>Jul-2025</v>
      </c>
      <c r="K572" s="13" t="str">
        <f>Raw_Data!K572</f>
        <v>4</v>
      </c>
      <c r="L572" s="17" t="str">
        <f>Raw_Data!L572</f>
        <v>Ahmedabad-West</v>
      </c>
      <c r="M572" s="13" t="str">
        <f t="shared" si="3"/>
        <v>OK</v>
      </c>
      <c r="N572" s="18" t="str">
        <f t="shared" si="4"/>
        <v>VALID</v>
      </c>
    </row>
    <row r="573" ht="15.75" customHeight="1">
      <c r="A573" s="13" t="str">
        <f>Raw_Data!A573</f>
        <v>EMP0599</v>
      </c>
      <c r="B573" s="13" t="str">
        <f>TRIM(CLEAN(Raw_Data!B573))</f>
        <v>Operations</v>
      </c>
      <c r="C573" s="18" t="s">
        <v>54</v>
      </c>
      <c r="D573" s="14" t="str">
        <f>IF(ISBLANK(Raw_Data!D573),AVERAGE(Raw_Data!D$2:D$5002),Raw_Data!D573)</f>
        <v>35853.71</v>
      </c>
      <c r="E573" s="15" t="str">
        <f>IF(ISBLANK(Raw_Data!E573),AVERAGE(Raw_Data!E$2:E$5002),Raw_Data!E573)</f>
        <v>10756.11</v>
      </c>
      <c r="F573" s="15" t="str">
        <f>IF(ISBLANK(Raw_Data!F573),AVERAGE(Raw_Data!F$2:F$5002),Raw_Data!F573)</f>
        <v>2006.20</v>
      </c>
      <c r="G573" s="14" t="str">
        <f>IF(ISBLANK(Raw_Data!G573),AVERAGE(Raw_Data!G$2:G$5002),Raw_Data!G573)</f>
        <v>1476.13</v>
      </c>
      <c r="H573" s="15" t="str">
        <f t="shared" si="1"/>
        <v>48616.00</v>
      </c>
      <c r="I573" s="14" t="str">
        <f t="shared" si="2"/>
        <v>47140.00</v>
      </c>
      <c r="J573" s="16" t="str">
        <f>TEXT(Raw_Data!J573,"MMM-YYY")</f>
        <v>Apr-2025</v>
      </c>
      <c r="K573" s="13" t="str">
        <f>Raw_Data!K573</f>
        <v>17</v>
      </c>
      <c r="L573" s="17" t="str">
        <f>Raw_Data!L573</f>
        <v>Jaipur-North</v>
      </c>
      <c r="M573" s="13" t="str">
        <f t="shared" si="3"/>
        <v>OK</v>
      </c>
      <c r="N573" s="18" t="str">
        <f t="shared" si="4"/>
        <v>VALID</v>
      </c>
    </row>
    <row r="574" ht="15.75" customHeight="1">
      <c r="A574" s="13" t="str">
        <f>Raw_Data!A574</f>
        <v>EMP0600</v>
      </c>
      <c r="B574" s="13" t="str">
        <f>TRIM(CLEAN(Raw_Data!B574))</f>
        <v>Sales</v>
      </c>
      <c r="C574" s="18" t="s">
        <v>26</v>
      </c>
      <c r="D574" s="14" t="str">
        <f>IF(ISBLANK(Raw_Data!D574),AVERAGE(Raw_Data!D$2:D$5002),Raw_Data!D574)</f>
        <v>108929.31</v>
      </c>
      <c r="E574" s="15" t="str">
        <f>IF(ISBLANK(Raw_Data!E574),AVERAGE(Raw_Data!E$2:E$5002),Raw_Data!E574)</f>
        <v>32678.79</v>
      </c>
      <c r="F574" s="15" t="str">
        <f>IF(ISBLANK(Raw_Data!F574),AVERAGE(Raw_Data!F$2:F$5002),Raw_Data!F574)</f>
        <v>13741.53</v>
      </c>
      <c r="G574" s="14" t="str">
        <f>IF(ISBLANK(Raw_Data!G574),AVERAGE(Raw_Data!G$2:G$5002),Raw_Data!G574)</f>
        <v>26213.88</v>
      </c>
      <c r="H574" s="15" t="str">
        <f t="shared" si="1"/>
        <v>155350.00</v>
      </c>
      <c r="I574" s="14" t="str">
        <f t="shared" si="2"/>
        <v>129136.00</v>
      </c>
      <c r="J574" s="16" t="str">
        <f>TEXT(Raw_Data!J574,"MMM-YYY")</f>
        <v>Jan-2025</v>
      </c>
      <c r="K574" s="13" t="str">
        <f>Raw_Data!K574</f>
        <v>4</v>
      </c>
      <c r="L574" s="17" t="str">
        <f>Raw_Data!L574</f>
        <v>Mumbai-HO</v>
      </c>
      <c r="M574" s="13" t="str">
        <f t="shared" si="3"/>
        <v>OK</v>
      </c>
      <c r="N574" s="18" t="str">
        <f t="shared" si="4"/>
        <v>VALID</v>
      </c>
    </row>
    <row r="575" ht="15.75" customHeight="1">
      <c r="A575" s="13" t="str">
        <f>Raw_Data!A575</f>
        <v>EMP0601</v>
      </c>
      <c r="B575" s="13" t="str">
        <f>TRIM(CLEAN(Raw_Data!B575))</f>
        <v>Marketing</v>
      </c>
      <c r="C575" s="18" t="s">
        <v>26</v>
      </c>
      <c r="D575" s="14" t="str">
        <f>IF(ISBLANK(Raw_Data!D575),AVERAGE(Raw_Data!D$2:D$5002),Raw_Data!D575)</f>
        <v>115681.34</v>
      </c>
      <c r="E575" s="15" t="str">
        <f>IF(ISBLANK(Raw_Data!E575),AVERAGE(Raw_Data!E$2:E$5002),Raw_Data!E575)</f>
        <v>34704.40</v>
      </c>
      <c r="F575" s="15" t="str">
        <f>IF(ISBLANK(Raw_Data!F575),AVERAGE(Raw_Data!F$2:F$5002),Raw_Data!F575)</f>
        <v>11098.11</v>
      </c>
      <c r="G575" s="14" t="str">
        <f>IF(ISBLANK(Raw_Data!G575),AVERAGE(Raw_Data!G$2:G$5002),Raw_Data!G575)</f>
        <v>27119.24</v>
      </c>
      <c r="H575" s="15" t="str">
        <f t="shared" si="1"/>
        <v>161484.00</v>
      </c>
      <c r="I575" s="14" t="str">
        <f t="shared" si="2"/>
        <v>134365.00</v>
      </c>
      <c r="J575" s="16" t="str">
        <f>TEXT(Raw_Data!J575,"MMM-YYY")</f>
        <v>Jun-2025</v>
      </c>
      <c r="K575" s="13" t="str">
        <f>Raw_Data!K575</f>
        <v>8</v>
      </c>
      <c r="L575" s="17" t="str">
        <f>Raw_Data!L575</f>
        <v>Delhi-North</v>
      </c>
      <c r="M575" s="13" t="str">
        <f t="shared" si="3"/>
        <v>OK</v>
      </c>
      <c r="N575" s="18" t="str">
        <f t="shared" si="4"/>
        <v>VALID</v>
      </c>
    </row>
    <row r="576" ht="15.75" customHeight="1">
      <c r="A576" s="13" t="str">
        <f>Raw_Data!A576</f>
        <v>EMP0602</v>
      </c>
      <c r="B576" s="13" t="str">
        <f>TRIM(CLEAN(Raw_Data!B576))</f>
        <v>Operations</v>
      </c>
      <c r="C576" s="18" t="s">
        <v>37</v>
      </c>
      <c r="D576" s="14" t="str">
        <f>IF(ISBLANK(Raw_Data!D576),AVERAGE(Raw_Data!D$2:D$5002),Raw_Data!D576)</f>
        <v>50788.88</v>
      </c>
      <c r="E576" s="15" t="str">
        <f>IF(ISBLANK(Raw_Data!E576),AVERAGE(Raw_Data!E$2:E$5002),Raw_Data!E576)</f>
        <v>15236.66</v>
      </c>
      <c r="F576" s="15" t="str">
        <f>IF(ISBLANK(Raw_Data!F576),AVERAGE(Raw_Data!F$2:F$5002),Raw_Data!F576)</f>
        <v>2747.03</v>
      </c>
      <c r="G576" s="14" t="str">
        <f>IF(ISBLANK(Raw_Data!G576),AVERAGE(Raw_Data!G$2:G$5002),Raw_Data!G576)</f>
        <v>397.11</v>
      </c>
      <c r="H576" s="15" t="str">
        <f t="shared" si="1"/>
        <v>68773.00</v>
      </c>
      <c r="I576" s="14" t="str">
        <f t="shared" si="2"/>
        <v>68376.00</v>
      </c>
      <c r="J576" s="16" t="str">
        <f>TEXT(Raw_Data!J576,"MMM-YYY")</f>
        <v>Oct-2025</v>
      </c>
      <c r="K576" s="13" t="str">
        <f>Raw_Data!K576</f>
        <v>17</v>
      </c>
      <c r="L576" s="17" t="str">
        <f>Raw_Data!L576</f>
        <v>Bangalore-South</v>
      </c>
      <c r="M576" s="13" t="str">
        <f t="shared" si="3"/>
        <v>OK</v>
      </c>
      <c r="N576" s="18" t="str">
        <f t="shared" si="4"/>
        <v>VALID</v>
      </c>
    </row>
    <row r="577" ht="15.75" customHeight="1">
      <c r="A577" s="13" t="str">
        <f>Raw_Data!A577</f>
        <v>EMP0603</v>
      </c>
      <c r="B577" s="13" t="str">
        <f>TRIM(CLEAN(Raw_Data!B577))</f>
        <v>Finance</v>
      </c>
      <c r="C577" s="18" t="s">
        <v>14</v>
      </c>
      <c r="D577" s="14" t="str">
        <f>IF(ISBLANK(Raw_Data!D577),AVERAGE(Raw_Data!D$2:D$5002),Raw_Data!D577)</f>
        <v>24449.51</v>
      </c>
      <c r="E577" s="15" t="str">
        <f>IF(ISBLANK(Raw_Data!E577),AVERAGE(Raw_Data!E$2:E$5002),Raw_Data!E577)</f>
        <v>7334.85</v>
      </c>
      <c r="F577" s="15" t="str">
        <f>IF(ISBLANK(Raw_Data!F577),AVERAGE(Raw_Data!F$2:F$5002),Raw_Data!F577)</f>
        <v>3806.98</v>
      </c>
      <c r="G577" s="14" t="str">
        <f>IF(ISBLANK(Raw_Data!G577),AVERAGE(Raw_Data!G$2:G$5002),Raw_Data!G577)</f>
        <v>429.76</v>
      </c>
      <c r="H577" s="15" t="str">
        <f t="shared" si="1"/>
        <v>35591.00</v>
      </c>
      <c r="I577" s="14" t="str">
        <f t="shared" si="2"/>
        <v>35161.00</v>
      </c>
      <c r="J577" s="16" t="str">
        <f>TEXT(Raw_Data!J577,"MMM-YYY")</f>
        <v>Aug-2025</v>
      </c>
      <c r="K577" s="13" t="str">
        <f>Raw_Data!K577</f>
        <v>2</v>
      </c>
      <c r="L577" s="17" t="str">
        <f>Raw_Data!L577</f>
        <v>Chennai-South</v>
      </c>
      <c r="M577" s="13" t="str">
        <f t="shared" si="3"/>
        <v>OK</v>
      </c>
      <c r="N577" s="18" t="str">
        <f t="shared" si="4"/>
        <v>VALID</v>
      </c>
    </row>
    <row r="578" ht="15.75" customHeight="1">
      <c r="A578" s="13" t="str">
        <f>Raw_Data!A578</f>
        <v>EMP0604</v>
      </c>
      <c r="B578" s="13" t="str">
        <f>TRIM(CLEAN(Raw_Data!B578))</f>
        <v>Operations</v>
      </c>
      <c r="C578" s="18" t="s">
        <v>33</v>
      </c>
      <c r="D578" s="14" t="str">
        <f>IF(ISBLANK(Raw_Data!D578),AVERAGE(Raw_Data!D$2:D$5002),Raw_Data!D578)</f>
        <v>32668.42</v>
      </c>
      <c r="E578" s="15" t="str">
        <f>IF(ISBLANK(Raw_Data!E578),AVERAGE(Raw_Data!E$2:E$5002),Raw_Data!E578)</f>
        <v>9800.53</v>
      </c>
      <c r="F578" s="15" t="str">
        <f>IF(ISBLANK(Raw_Data!F578),AVERAGE(Raw_Data!F$2:F$5002),Raw_Data!F578)</f>
        <v>6531.11</v>
      </c>
      <c r="G578" s="14" t="str">
        <f>IF(ISBLANK(Raw_Data!G578),AVERAGE(Raw_Data!G$2:G$5002),Raw_Data!G578)</f>
        <v>9545.51</v>
      </c>
      <c r="H578" s="15" t="str">
        <f t="shared" si="1"/>
        <v>49000.00</v>
      </c>
      <c r="I578" s="14" t="str">
        <f t="shared" si="2"/>
        <v>39454.00</v>
      </c>
      <c r="J578" s="16" t="str">
        <f>TEXT(Raw_Data!J578,"MMM-YYY")</f>
        <v>Feb-2025</v>
      </c>
      <c r="K578" s="13" t="str">
        <f>Raw_Data!K578</f>
        <v>5</v>
      </c>
      <c r="L578" s="17" t="str">
        <f>Raw_Data!L578</f>
        <v>Kolkata-East</v>
      </c>
      <c r="M578" s="13" t="str">
        <f t="shared" si="3"/>
        <v>OK</v>
      </c>
      <c r="N578" s="18" t="str">
        <f t="shared" si="4"/>
        <v>VALID</v>
      </c>
    </row>
    <row r="579" ht="15.75" customHeight="1">
      <c r="A579" s="13" t="str">
        <f>Raw_Data!A579</f>
        <v>EMP0605</v>
      </c>
      <c r="B579" s="13" t="str">
        <f>TRIM(CLEAN(Raw_Data!B579))</f>
        <v>Finance</v>
      </c>
      <c r="C579" s="18" t="s">
        <v>18</v>
      </c>
      <c r="D579" s="14" t="str">
        <f>IF(ISBLANK(Raw_Data!D579),AVERAGE(Raw_Data!D$2:D$5002),Raw_Data!D579)</f>
        <v>71269.97</v>
      </c>
      <c r="E579" s="15" t="str">
        <f>IF(ISBLANK(Raw_Data!E579),AVERAGE(Raw_Data!E$2:E$5002),Raw_Data!E579)</f>
        <v>21380.99</v>
      </c>
      <c r="F579" s="15" t="str">
        <f>IF(ISBLANK(Raw_Data!F579),AVERAGE(Raw_Data!F$2:F$5002),Raw_Data!F579)</f>
        <v>7607.21</v>
      </c>
      <c r="G579" s="14" t="str">
        <f>IF(ISBLANK(Raw_Data!G579),AVERAGE(Raw_Data!G$2:G$5002),Raw_Data!G579)</f>
        <v>16917.44</v>
      </c>
      <c r="H579" s="15" t="str">
        <f t="shared" si="1"/>
        <v>100258.00</v>
      </c>
      <c r="I579" s="14" t="str">
        <f t="shared" si="2"/>
        <v>83341.00</v>
      </c>
      <c r="J579" s="16" t="str">
        <f>TEXT(Raw_Data!J579,"MMM-YYY")</f>
        <v>Dec-2025</v>
      </c>
      <c r="K579" s="13" t="str">
        <f>Raw_Data!K579</f>
        <v>8</v>
      </c>
      <c r="L579" s="17" t="str">
        <f>Raw_Data!L579</f>
        <v>Pune-West</v>
      </c>
      <c r="M579" s="13" t="str">
        <f t="shared" si="3"/>
        <v>OK</v>
      </c>
      <c r="N579" s="18" t="str">
        <f t="shared" si="4"/>
        <v>VALID</v>
      </c>
    </row>
    <row r="580" ht="15.75" customHeight="1">
      <c r="A580" s="13" t="str">
        <f>Raw_Data!A580</f>
        <v>EMP0606</v>
      </c>
      <c r="B580" s="13" t="str">
        <f>TRIM(CLEAN(Raw_Data!B580))</f>
        <v>HR</v>
      </c>
      <c r="C580" s="18" t="s">
        <v>26</v>
      </c>
      <c r="D580" s="14" t="str">
        <f>IF(ISBLANK(Raw_Data!D580),AVERAGE(Raw_Data!D$2:D$5002),Raw_Data!D580)</f>
        <v>125870.11</v>
      </c>
      <c r="E580" s="15" t="str">
        <f>IF(ISBLANK(Raw_Data!E580),AVERAGE(Raw_Data!E$2:E$5002),Raw_Data!E580)</f>
        <v>37761.03</v>
      </c>
      <c r="F580" s="15" t="str">
        <f>IF(ISBLANK(Raw_Data!F580),AVERAGE(Raw_Data!F$2:F$5002),Raw_Data!F580)</f>
        <v>5523.47</v>
      </c>
      <c r="G580" s="14" t="str">
        <f>IF(ISBLANK(Raw_Data!G580),AVERAGE(Raw_Data!G$2:G$5002),Raw_Data!G580)</f>
        <v>31964.91</v>
      </c>
      <c r="H580" s="15" t="str">
        <f t="shared" si="1"/>
        <v>169155.00</v>
      </c>
      <c r="I580" s="14" t="str">
        <f t="shared" si="2"/>
        <v>137190.00</v>
      </c>
      <c r="J580" s="16" t="str">
        <f>TEXT(Raw_Data!J580,"MMM-YYY")</f>
        <v>Jul-2025</v>
      </c>
      <c r="K580" s="13" t="str">
        <f>Raw_Data!K580</f>
        <v>13</v>
      </c>
      <c r="L580" s="17" t="str">
        <f>Raw_Data!L580</f>
        <v>Hyderabad-South</v>
      </c>
      <c r="M580" s="13" t="str">
        <f t="shared" si="3"/>
        <v>OK</v>
      </c>
      <c r="N580" s="18" t="str">
        <f t="shared" si="4"/>
        <v>VALID</v>
      </c>
    </row>
    <row r="581" ht="15.75" customHeight="1">
      <c r="A581" s="13" t="str">
        <f>Raw_Data!A581</f>
        <v>EMP0607</v>
      </c>
      <c r="B581" s="13" t="str">
        <f>TRIM(CLEAN(Raw_Data!B581))</f>
        <v>IT</v>
      </c>
      <c r="C581" s="18" t="s">
        <v>26</v>
      </c>
      <c r="D581" s="14" t="str">
        <f>IF(ISBLANK(Raw_Data!D581),AVERAGE(Raw_Data!D$2:D$5002),Raw_Data!D581)</f>
        <v>125695.51</v>
      </c>
      <c r="E581" s="15" t="str">
        <f>IF(ISBLANK(Raw_Data!E581),AVERAGE(Raw_Data!E$2:E$5002),Raw_Data!E581)</f>
        <v>37708.65</v>
      </c>
      <c r="F581" s="15" t="str">
        <f>IF(ISBLANK(Raw_Data!F581),AVERAGE(Raw_Data!F$2:F$5002),Raw_Data!F581)</f>
        <v>4366.96</v>
      </c>
      <c r="G581" s="14" t="str">
        <f>IF(ISBLANK(Raw_Data!G581),AVERAGE(Raw_Data!G$2:G$5002),Raw_Data!G581)</f>
        <v>8920.02</v>
      </c>
      <c r="H581" s="15" t="str">
        <f t="shared" si="1"/>
        <v>167771.00</v>
      </c>
      <c r="I581" s="14" t="str">
        <f t="shared" si="2"/>
        <v>158851.00</v>
      </c>
      <c r="J581" s="16" t="str">
        <f>TEXT(Raw_Data!J581,"MMM-YYY")</f>
        <v>Jun-2025</v>
      </c>
      <c r="K581" s="13" t="str">
        <f>Raw_Data!K581</f>
        <v>10</v>
      </c>
      <c r="L581" s="17" t="str">
        <f>Raw_Data!L581</f>
        <v>Chandigarh-North</v>
      </c>
      <c r="M581" s="13" t="str">
        <f t="shared" si="3"/>
        <v>OK</v>
      </c>
      <c r="N581" s="18" t="str">
        <f t="shared" si="4"/>
        <v>VALID</v>
      </c>
    </row>
    <row r="582" ht="15.75" customHeight="1">
      <c r="A582" s="13" t="str">
        <f>Raw_Data!A582</f>
        <v>EMP0608</v>
      </c>
      <c r="B582" s="13" t="str">
        <f>TRIM(CLEAN(Raw_Data!B582))</f>
        <v>Customer Support</v>
      </c>
      <c r="C582" s="18" t="s">
        <v>18</v>
      </c>
      <c r="D582" s="14" t="str">
        <f>IF(ISBLANK(Raw_Data!D582),AVERAGE(Raw_Data!D$2:D$5002),Raw_Data!D582)</f>
        <v>83138.29</v>
      </c>
      <c r="E582" s="15" t="str">
        <f>IF(ISBLANK(Raw_Data!E582),AVERAGE(Raw_Data!E$2:E$5002),Raw_Data!E582)</f>
        <v>24941.49</v>
      </c>
      <c r="F582" s="15" t="str">
        <f>IF(ISBLANK(Raw_Data!F582),AVERAGE(Raw_Data!F$2:F$5002),Raw_Data!F582)</f>
        <v>15197.35</v>
      </c>
      <c r="G582" s="14" t="str">
        <f>IF(ISBLANK(Raw_Data!G582),AVERAGE(Raw_Data!G$2:G$5002),Raw_Data!G582)</f>
        <v>703.51</v>
      </c>
      <c r="H582" s="15" t="str">
        <f t="shared" si="1"/>
        <v>123277.00</v>
      </c>
      <c r="I582" s="14" t="str">
        <f t="shared" si="2"/>
        <v>122573.00</v>
      </c>
      <c r="J582" s="16" t="str">
        <f>TEXT(Raw_Data!J582,"MMM-YYY")</f>
        <v>Dec-2025</v>
      </c>
      <c r="K582" s="13" t="str">
        <f>Raw_Data!K582</f>
        <v>8</v>
      </c>
      <c r="L582" s="17" t="str">
        <f>Raw_Data!L582</f>
        <v>Ahmedabad-West</v>
      </c>
      <c r="M582" s="13" t="str">
        <f t="shared" si="3"/>
        <v>OK</v>
      </c>
      <c r="N582" s="18" t="str">
        <f t="shared" si="4"/>
        <v>VALID</v>
      </c>
    </row>
    <row r="583" ht="15.75" customHeight="1">
      <c r="A583" s="13" t="str">
        <f>Raw_Data!A583</f>
        <v>EMP0609</v>
      </c>
      <c r="B583" s="13" t="str">
        <f>TRIM(CLEAN(Raw_Data!B583))</f>
        <v>IT</v>
      </c>
      <c r="C583" s="18" t="s">
        <v>37</v>
      </c>
      <c r="D583" s="14" t="str">
        <f>IF(ISBLANK(Raw_Data!D583),AVERAGE(Raw_Data!D$2:D$5002),Raw_Data!D583)</f>
        <v>55144.92</v>
      </c>
      <c r="E583" s="15" t="str">
        <f>IF(ISBLANK(Raw_Data!E583),AVERAGE(Raw_Data!E$2:E$5002),Raw_Data!E583)</f>
        <v>16543.48</v>
      </c>
      <c r="F583" s="15" t="str">
        <f>IF(ISBLANK(Raw_Data!F583),AVERAGE(Raw_Data!F$2:F$5002),Raw_Data!F583)</f>
        <v>6210.52</v>
      </c>
      <c r="G583" s="14" t="str">
        <f>IF(ISBLANK(Raw_Data!G583),AVERAGE(Raw_Data!G$2:G$5002),Raw_Data!G583)</f>
        <v>3114.04</v>
      </c>
      <c r="H583" s="15" t="str">
        <f t="shared" si="1"/>
        <v>77899.00</v>
      </c>
      <c r="I583" s="14" t="str">
        <f t="shared" si="2"/>
        <v>74785.00</v>
      </c>
      <c r="J583" s="16" t="str">
        <f>TEXT(Raw_Data!J583,"MMM-YYY")</f>
        <v>Aug-2025</v>
      </c>
      <c r="K583" s="13" t="str">
        <f>Raw_Data!K583</f>
        <v>15</v>
      </c>
      <c r="L583" s="17" t="str">
        <f>Raw_Data!L583</f>
        <v>Jaipur-North</v>
      </c>
      <c r="M583" s="13" t="str">
        <f t="shared" si="3"/>
        <v>OK</v>
      </c>
      <c r="N583" s="18" t="str">
        <f t="shared" si="4"/>
        <v>VALID</v>
      </c>
    </row>
    <row r="584" ht="15.75" customHeight="1">
      <c r="A584" s="13" t="str">
        <f>Raw_Data!A584</f>
        <v>EMP0610</v>
      </c>
      <c r="B584" s="13" t="str">
        <f>TRIM(CLEAN(Raw_Data!B584))</f>
        <v>Operations</v>
      </c>
      <c r="C584" s="18" t="s">
        <v>33</v>
      </c>
      <c r="D584" s="14" t="str">
        <f>IF(ISBLANK(Raw_Data!D584),AVERAGE(Raw_Data!D$2:D$5002),Raw_Data!D584)</f>
        <v>26755.57</v>
      </c>
      <c r="E584" s="15" t="str">
        <f>IF(ISBLANK(Raw_Data!E584),AVERAGE(Raw_Data!E$2:E$5002),Raw_Data!E584)</f>
        <v>8026.67</v>
      </c>
      <c r="F584" s="15" t="str">
        <f>IF(ISBLANK(Raw_Data!F584),AVERAGE(Raw_Data!F$2:F$5002),Raw_Data!F584)</f>
        <v>203.15</v>
      </c>
      <c r="G584" s="14" t="str">
        <f>IF(ISBLANK(Raw_Data!G584),AVERAGE(Raw_Data!G$2:G$5002),Raw_Data!G584)</f>
        <v>450.84</v>
      </c>
      <c r="H584" s="15" t="str">
        <f t="shared" si="1"/>
        <v>34985.00</v>
      </c>
      <c r="I584" s="14" t="str">
        <f t="shared" si="2"/>
        <v>34534.00</v>
      </c>
      <c r="J584" s="16" t="str">
        <f>TEXT(Raw_Data!J584,"MMM-YYY")</f>
        <v>Oct-2025</v>
      </c>
      <c r="K584" s="13" t="str">
        <f>Raw_Data!K584</f>
        <v>19</v>
      </c>
      <c r="L584" s="17" t="str">
        <f>Raw_Data!L584</f>
        <v>Mumbai-HO</v>
      </c>
      <c r="M584" s="13" t="str">
        <f t="shared" si="3"/>
        <v>OK</v>
      </c>
      <c r="N584" s="18" t="str">
        <f t="shared" si="4"/>
        <v>VALID</v>
      </c>
    </row>
    <row r="585" ht="15.75" customHeight="1">
      <c r="A585" s="13" t="str">
        <f>Raw_Data!A585</f>
        <v>EMP0612</v>
      </c>
      <c r="B585" s="13" t="str">
        <f>TRIM(CLEAN(Raw_Data!B585))</f>
        <v>Customer Support</v>
      </c>
      <c r="C585" s="18" t="s">
        <v>30</v>
      </c>
      <c r="D585" s="14" t="str">
        <f>IF(ISBLANK(Raw_Data!D585),AVERAGE(Raw_Data!D$2:D$5002),Raw_Data!D585)</f>
        <v>24998.68</v>
      </c>
      <c r="E585" s="15" t="str">
        <f>IF(ISBLANK(Raw_Data!E585),AVERAGE(Raw_Data!E$2:E$5002),Raw_Data!E585)</f>
        <v>7499.60</v>
      </c>
      <c r="F585" s="15" t="str">
        <f>IF(ISBLANK(Raw_Data!F585),AVERAGE(Raw_Data!F$2:F$5002),Raw_Data!F585)</f>
        <v>887.25</v>
      </c>
      <c r="G585" s="14" t="str">
        <f>IF(ISBLANK(Raw_Data!G585),AVERAGE(Raw_Data!G$2:G$5002),Raw_Data!G585)</f>
        <v>6017.87</v>
      </c>
      <c r="H585" s="15" t="str">
        <f t="shared" si="1"/>
        <v>33386.00</v>
      </c>
      <c r="I585" s="14" t="str">
        <f t="shared" si="2"/>
        <v>27368.00</v>
      </c>
      <c r="J585" s="16" t="str">
        <f>TEXT(Raw_Data!J585,"MMM-YYY")</f>
        <v>Jun-2025</v>
      </c>
      <c r="K585" s="13" t="str">
        <f>Raw_Data!K585</f>
        <v>2</v>
      </c>
      <c r="L585" s="17" t="str">
        <f>Raw_Data!L585</f>
        <v>Bangalore-South</v>
      </c>
      <c r="M585" s="13" t="str">
        <f t="shared" si="3"/>
        <v>OK</v>
      </c>
      <c r="N585" s="18" t="str">
        <f t="shared" si="4"/>
        <v>VALID</v>
      </c>
    </row>
    <row r="586" ht="15.75" customHeight="1">
      <c r="A586" s="13" t="str">
        <f>Raw_Data!A586</f>
        <v>EMP0613</v>
      </c>
      <c r="B586" s="13" t="str">
        <f>TRIM(CLEAN(Raw_Data!B586))</f>
        <v>HR</v>
      </c>
      <c r="C586" s="18" t="s">
        <v>14</v>
      </c>
      <c r="D586" s="14" t="str">
        <f>IF(ISBLANK(Raw_Data!D586),AVERAGE(Raw_Data!D$2:D$5002),Raw_Data!D586)</f>
        <v>19063.53</v>
      </c>
      <c r="E586" s="15" t="str">
        <f>IF(ISBLANK(Raw_Data!E586),AVERAGE(Raw_Data!E$2:E$5002),Raw_Data!E586)</f>
        <v>5719.06</v>
      </c>
      <c r="F586" s="15" t="str">
        <f>IF(ISBLANK(Raw_Data!F586),AVERAGE(Raw_Data!F$2:F$5002),Raw_Data!F586)</f>
        <v>2686.80</v>
      </c>
      <c r="G586" s="14" t="str">
        <f>IF(ISBLANK(Raw_Data!G586),AVERAGE(Raw_Data!G$2:G$5002),Raw_Data!G586)</f>
        <v>810.12</v>
      </c>
      <c r="H586" s="15" t="str">
        <f t="shared" si="1"/>
        <v>27469.00</v>
      </c>
      <c r="I586" s="14" t="str">
        <f t="shared" si="2"/>
        <v>26659.00</v>
      </c>
      <c r="J586" s="16" t="str">
        <f>TEXT(Raw_Data!J586,"MMM-YYY")</f>
        <v>Feb-2025</v>
      </c>
      <c r="K586" s="13" t="str">
        <f>Raw_Data!K586</f>
        <v>5</v>
      </c>
      <c r="L586" s="17" t="str">
        <f>Raw_Data!L586</f>
        <v>Chennai-South</v>
      </c>
      <c r="M586" s="13" t="str">
        <f t="shared" si="3"/>
        <v>OK</v>
      </c>
      <c r="N586" s="18" t="str">
        <f t="shared" si="4"/>
        <v>VALID</v>
      </c>
    </row>
    <row r="587" ht="15.75" customHeight="1">
      <c r="A587" s="13" t="str">
        <f>Raw_Data!A587</f>
        <v>EMP0614</v>
      </c>
      <c r="B587" s="13" t="str">
        <f>TRIM(CLEAN(Raw_Data!B587))</f>
        <v>Customer Support</v>
      </c>
      <c r="C587" s="18" t="s">
        <v>37</v>
      </c>
      <c r="D587" s="14" t="str">
        <f>IF(ISBLANK(Raw_Data!D587),AVERAGE(Raw_Data!D$2:D$5002),Raw_Data!D587)</f>
        <v>60492.05</v>
      </c>
      <c r="E587" s="15" t="str">
        <f>IF(ISBLANK(Raw_Data!E587),AVERAGE(Raw_Data!E$2:E$5002),Raw_Data!E587)</f>
        <v>18147.62</v>
      </c>
      <c r="F587" s="15" t="str">
        <f>IF(ISBLANK(Raw_Data!F587),AVERAGE(Raw_Data!F$2:F$5002),Raw_Data!F587)</f>
        <v>11621.23</v>
      </c>
      <c r="G587" s="14" t="str">
        <f>IF(ISBLANK(Raw_Data!G587),AVERAGE(Raw_Data!G$2:G$5002),Raw_Data!G587)</f>
        <v>6779.78</v>
      </c>
      <c r="H587" s="15" t="str">
        <f t="shared" si="1"/>
        <v>90261.00</v>
      </c>
      <c r="I587" s="14" t="str">
        <f t="shared" si="2"/>
        <v>83481.00</v>
      </c>
      <c r="J587" s="16" t="str">
        <f>TEXT(Raw_Data!J587,"MMM-YYY")</f>
        <v>Nov-2025</v>
      </c>
      <c r="K587" s="13" t="str">
        <f>Raw_Data!K587</f>
        <v>4</v>
      </c>
      <c r="L587" s="17" t="str">
        <f>Raw_Data!L587</f>
        <v>Kolkata-East</v>
      </c>
      <c r="M587" s="13" t="str">
        <f t="shared" si="3"/>
        <v>OK</v>
      </c>
      <c r="N587" s="18" t="str">
        <f t="shared" si="4"/>
        <v>VALID</v>
      </c>
    </row>
    <row r="588" ht="15.75" customHeight="1">
      <c r="A588" s="13" t="str">
        <f>Raw_Data!A588</f>
        <v>EMP0615</v>
      </c>
      <c r="B588" s="13" t="str">
        <f>TRIM(CLEAN(Raw_Data!B588))</f>
        <v>Marketing</v>
      </c>
      <c r="C588" s="18" t="s">
        <v>37</v>
      </c>
      <c r="D588" s="14" t="str">
        <f>IF(ISBLANK(Raw_Data!D588),AVERAGE(Raw_Data!D$2:D$5002),Raw_Data!D588)</f>
        <v>46818.58</v>
      </c>
      <c r="E588" s="15" t="str">
        <f>IF(ISBLANK(Raw_Data!E588),AVERAGE(Raw_Data!E$2:E$5002),Raw_Data!E588)</f>
        <v>14045.57</v>
      </c>
      <c r="F588" s="15" t="str">
        <f>IF(ISBLANK(Raw_Data!F588),AVERAGE(Raw_Data!F$2:F$5002),Raw_Data!F588)</f>
        <v>2825.64</v>
      </c>
      <c r="G588" s="14" t="str">
        <f>IF(ISBLANK(Raw_Data!G588),AVERAGE(Raw_Data!G$2:G$5002),Raw_Data!G588)</f>
        <v>1916.54</v>
      </c>
      <c r="H588" s="15" t="str">
        <f t="shared" si="1"/>
        <v>63690.00</v>
      </c>
      <c r="I588" s="14" t="str">
        <f t="shared" si="2"/>
        <v>61773.00</v>
      </c>
      <c r="J588" s="16" t="str">
        <f>TEXT(Raw_Data!J588,"MMM-YYY")</f>
        <v>Mar-2025</v>
      </c>
      <c r="K588" s="13" t="str">
        <f>Raw_Data!K588</f>
        <v>11</v>
      </c>
      <c r="L588" s="17" t="str">
        <f>Raw_Data!L588</f>
        <v>Pune-West</v>
      </c>
      <c r="M588" s="13" t="str">
        <f t="shared" si="3"/>
        <v>OK</v>
      </c>
      <c r="N588" s="18" t="str">
        <f t="shared" si="4"/>
        <v>VALID</v>
      </c>
    </row>
    <row r="589" ht="15.75" customHeight="1">
      <c r="A589" s="13" t="str">
        <f>Raw_Data!A589</f>
        <v>EMP0616</v>
      </c>
      <c r="B589" s="13" t="str">
        <f>TRIM(CLEAN(Raw_Data!B589))</f>
        <v>Sales</v>
      </c>
      <c r="C589" s="18" t="s">
        <v>54</v>
      </c>
      <c r="D589" s="14" t="str">
        <f>IF(ISBLANK(Raw_Data!D589),AVERAGE(Raw_Data!D$2:D$5002),Raw_Data!D589)</f>
        <v>46085.80</v>
      </c>
      <c r="E589" s="15" t="str">
        <f>IF(ISBLANK(Raw_Data!E589),AVERAGE(Raw_Data!E$2:E$5002),Raw_Data!E589)</f>
        <v>13825.74</v>
      </c>
      <c r="F589" s="15" t="str">
        <f>IF(ISBLANK(Raw_Data!F589),AVERAGE(Raw_Data!F$2:F$5002),Raw_Data!F589)</f>
        <v>8854.58</v>
      </c>
      <c r="G589" s="14" t="str">
        <f>IF(ISBLANK(Raw_Data!G589),AVERAGE(Raw_Data!G$2:G$5002),Raw_Data!G589)</f>
        <v>8975.40</v>
      </c>
      <c r="H589" s="15" t="str">
        <f t="shared" si="1"/>
        <v>68766.00</v>
      </c>
      <c r="I589" s="14" t="str">
        <f t="shared" si="2"/>
        <v>59791.00</v>
      </c>
      <c r="J589" s="16" t="str">
        <f>TEXT(Raw_Data!J589,"MMM-YYY")</f>
        <v>Mar-2025</v>
      </c>
      <c r="K589" s="13" t="str">
        <f>Raw_Data!K589</f>
        <v>24</v>
      </c>
      <c r="L589" s="17" t="str">
        <f>Raw_Data!L589</f>
        <v>Hyderabad-South</v>
      </c>
      <c r="M589" s="13" t="str">
        <f t="shared" si="3"/>
        <v>OK</v>
      </c>
      <c r="N589" s="18" t="str">
        <f t="shared" si="4"/>
        <v>VALID</v>
      </c>
    </row>
    <row r="590" ht="15.75" customHeight="1">
      <c r="A590" s="13" t="str">
        <f>Raw_Data!A590</f>
        <v>EMP0617</v>
      </c>
      <c r="B590" s="13" t="str">
        <f>TRIM(CLEAN(Raw_Data!B590))</f>
        <v>Sales</v>
      </c>
      <c r="C590" s="18" t="s">
        <v>37</v>
      </c>
      <c r="D590" s="14" t="str">
        <f>IF(ISBLANK(Raw_Data!D590),AVERAGE(Raw_Data!D$2:D$5002),Raw_Data!D590)</f>
        <v>57484.09</v>
      </c>
      <c r="E590" s="15" t="str">
        <f>IF(ISBLANK(Raw_Data!E590),AVERAGE(Raw_Data!E$2:E$5002),Raw_Data!E590)</f>
        <v>17245.23</v>
      </c>
      <c r="F590" s="15" t="str">
        <f>IF(ISBLANK(Raw_Data!F590),AVERAGE(Raw_Data!F$2:F$5002),Raw_Data!F590)</f>
        <v>10678.76</v>
      </c>
      <c r="G590" s="14" t="str">
        <f>IF(ISBLANK(Raw_Data!G590),AVERAGE(Raw_Data!G$2:G$5002),Raw_Data!G590)</f>
        <v>13571.85</v>
      </c>
      <c r="H590" s="15" t="str">
        <f t="shared" si="1"/>
        <v>85408.00</v>
      </c>
      <c r="I590" s="14" t="str">
        <f t="shared" si="2"/>
        <v>71836.00</v>
      </c>
      <c r="J590" s="16" t="str">
        <f>TEXT(Raw_Data!J590,"MMM-YYY")</f>
        <v>Apr-2025</v>
      </c>
      <c r="K590" s="13" t="str">
        <f>Raw_Data!K590</f>
        <v>24</v>
      </c>
      <c r="L590" s="17" t="str">
        <f>Raw_Data!L590</f>
        <v>Chandigarh-North</v>
      </c>
      <c r="M590" s="13" t="str">
        <f t="shared" si="3"/>
        <v>OK</v>
      </c>
      <c r="N590" s="18" t="str">
        <f t="shared" si="4"/>
        <v>VALID</v>
      </c>
    </row>
    <row r="591" ht="15.75" customHeight="1">
      <c r="A591" s="13" t="str">
        <f>Raw_Data!A591</f>
        <v>EMP0618</v>
      </c>
      <c r="B591" s="13" t="str">
        <f>TRIM(CLEAN(Raw_Data!B591))</f>
        <v>Sales</v>
      </c>
      <c r="C591" s="18" t="s">
        <v>37</v>
      </c>
      <c r="D591" s="14" t="str">
        <f>IF(ISBLANK(Raw_Data!D591),AVERAGE(Raw_Data!D$2:D$5002),Raw_Data!D591)</f>
        <v>59660.18</v>
      </c>
      <c r="E591" s="15" t="str">
        <f>IF(ISBLANK(Raw_Data!E591),AVERAGE(Raw_Data!E$2:E$5002),Raw_Data!E591)</f>
        <v>17898.05</v>
      </c>
      <c r="F591" s="15" t="str">
        <f>IF(ISBLANK(Raw_Data!F591),AVERAGE(Raw_Data!F$2:F$5002),Raw_Data!F591)</f>
        <v>4514.89</v>
      </c>
      <c r="G591" s="14" t="str">
        <f>IF(ISBLANK(Raw_Data!G591),AVERAGE(Raw_Data!G$2:G$5002),Raw_Data!G591)</f>
        <v>13137.08</v>
      </c>
      <c r="H591" s="15" t="str">
        <f t="shared" si="1"/>
        <v>82073.00</v>
      </c>
      <c r="I591" s="14" t="str">
        <f t="shared" si="2"/>
        <v>68936.00</v>
      </c>
      <c r="J591" s="16" t="str">
        <f>TEXT(Raw_Data!J591,"MMM-YYY")</f>
        <v>May-2025</v>
      </c>
      <c r="K591" s="13" t="str">
        <f>Raw_Data!K591</f>
        <v>17</v>
      </c>
      <c r="L591" s="17" t="str">
        <f>Raw_Data!L591</f>
        <v>Ahmedabad-West</v>
      </c>
      <c r="M591" s="13" t="str">
        <f t="shared" si="3"/>
        <v>OK</v>
      </c>
      <c r="N591" s="18" t="str">
        <f t="shared" si="4"/>
        <v>VALID</v>
      </c>
    </row>
    <row r="592" ht="15.75" customHeight="1">
      <c r="A592" s="13" t="str">
        <f>Raw_Data!A592</f>
        <v>EMP0620</v>
      </c>
      <c r="B592" s="13" t="str">
        <f>TRIM(CLEAN(Raw_Data!B592))</f>
        <v>Customer Support</v>
      </c>
      <c r="C592" s="18" t="s">
        <v>26</v>
      </c>
      <c r="D592" s="14" t="str">
        <f>IF(ISBLANK(Raw_Data!D592),AVERAGE(Raw_Data!D$2:D$5002),Raw_Data!D592)</f>
        <v>124746.62</v>
      </c>
      <c r="E592" s="15" t="str">
        <f>IF(ISBLANK(Raw_Data!E592),AVERAGE(Raw_Data!E$2:E$5002),Raw_Data!E592)</f>
        <v>37423.99</v>
      </c>
      <c r="F592" s="15" t="str">
        <f>IF(ISBLANK(Raw_Data!F592),AVERAGE(Raw_Data!F$2:F$5002),Raw_Data!F592)</f>
        <v>807.93</v>
      </c>
      <c r="G592" s="14" t="str">
        <f>IF(ISBLANK(Raw_Data!G592),AVERAGE(Raw_Data!G$2:G$5002),Raw_Data!G592)</f>
        <v>22543.79</v>
      </c>
      <c r="H592" s="15" t="str">
        <f t="shared" si="1"/>
        <v>162979.00</v>
      </c>
      <c r="I592" s="14" t="str">
        <f t="shared" si="2"/>
        <v>140435.00</v>
      </c>
      <c r="J592" s="16" t="str">
        <f>TEXT(Raw_Data!J592,"MMM-YYY")</f>
        <v>Oct-2025</v>
      </c>
      <c r="K592" s="13" t="str">
        <f>Raw_Data!K592</f>
        <v>3</v>
      </c>
      <c r="L592" s="17" t="str">
        <f>Raw_Data!L592</f>
        <v>Mumbai-HO</v>
      </c>
      <c r="M592" s="13" t="str">
        <f t="shared" si="3"/>
        <v>OK</v>
      </c>
      <c r="N592" s="18" t="str">
        <f t="shared" si="4"/>
        <v>VALID</v>
      </c>
    </row>
    <row r="593" ht="15.75" customHeight="1">
      <c r="A593" s="13" t="str">
        <f>Raw_Data!A593</f>
        <v>EMP0621</v>
      </c>
      <c r="B593" s="13" t="str">
        <f>TRIM(CLEAN(Raw_Data!B593))</f>
        <v>Finance</v>
      </c>
      <c r="C593" s="18" t="s">
        <v>18</v>
      </c>
      <c r="D593" s="14" t="str">
        <f>IF(ISBLANK(Raw_Data!D593),AVERAGE(Raw_Data!D$2:D$5002),Raw_Data!D593)</f>
        <v>71831.17</v>
      </c>
      <c r="E593" s="15" t="str">
        <f>IF(ISBLANK(Raw_Data!E593),AVERAGE(Raw_Data!E$2:E$5002),Raw_Data!E593)</f>
        <v>23911.29</v>
      </c>
      <c r="F593" s="15" t="str">
        <f>IF(ISBLANK(Raw_Data!F593),AVERAGE(Raw_Data!F$2:F$5002),Raw_Data!F593)</f>
        <v>14931.61</v>
      </c>
      <c r="G593" s="14" t="str">
        <f>IF(ISBLANK(Raw_Data!G593),AVERAGE(Raw_Data!G$2:G$5002),Raw_Data!G593)</f>
        <v>3362.96</v>
      </c>
      <c r="H593" s="15" t="str">
        <f t="shared" si="1"/>
        <v>110674.00</v>
      </c>
      <c r="I593" s="14" t="str">
        <f t="shared" si="2"/>
        <v>107311.00</v>
      </c>
      <c r="J593" s="16" t="str">
        <f>TEXT(Raw_Data!J593,"MMM-YYY")</f>
        <v>Dec-2025</v>
      </c>
      <c r="K593" s="13" t="str">
        <f>Raw_Data!K593</f>
        <v>6</v>
      </c>
      <c r="L593" s="17" t="str">
        <f>Raw_Data!L593</f>
        <v>Delhi-North</v>
      </c>
      <c r="M593" s="13" t="str">
        <f t="shared" si="3"/>
        <v>OK</v>
      </c>
      <c r="N593" s="18" t="str">
        <f t="shared" si="4"/>
        <v>VALID</v>
      </c>
    </row>
    <row r="594" ht="15.75" customHeight="1">
      <c r="A594" s="13" t="str">
        <f>Raw_Data!A594</f>
        <v>EMP0622</v>
      </c>
      <c r="B594" s="13" t="str">
        <f>TRIM(CLEAN(Raw_Data!B594))</f>
        <v>HR</v>
      </c>
      <c r="C594" s="18" t="s">
        <v>30</v>
      </c>
      <c r="D594" s="14" t="str">
        <f>IF(ISBLANK(Raw_Data!D594),AVERAGE(Raw_Data!D$2:D$5002),Raw_Data!D594)</f>
        <v>25051.93</v>
      </c>
      <c r="E594" s="15" t="str">
        <f>IF(ISBLANK(Raw_Data!E594),AVERAGE(Raw_Data!E$2:E$5002),Raw_Data!E594)</f>
        <v>7515.58</v>
      </c>
      <c r="F594" s="15" t="str">
        <f>IF(ISBLANK(Raw_Data!F594),AVERAGE(Raw_Data!F$2:F$5002),Raw_Data!F594)</f>
        <v>1600.91</v>
      </c>
      <c r="G594" s="14" t="str">
        <f>IF(ISBLANK(Raw_Data!G594),AVERAGE(Raw_Data!G$2:G$5002),Raw_Data!G594)</f>
        <v>4781.31</v>
      </c>
      <c r="H594" s="15" t="str">
        <f t="shared" si="1"/>
        <v>34168.00</v>
      </c>
      <c r="I594" s="14" t="str">
        <f t="shared" si="2"/>
        <v>29387.00</v>
      </c>
      <c r="J594" s="16" t="str">
        <f>TEXT(Raw_Data!J594,"MMM-YYY")</f>
        <v>Feb-2025</v>
      </c>
      <c r="K594" s="13" t="str">
        <f>Raw_Data!K594</f>
        <v>18</v>
      </c>
      <c r="L594" s="17" t="str">
        <f>Raw_Data!L594</f>
        <v>Bangalore-South</v>
      </c>
      <c r="M594" s="13" t="str">
        <f t="shared" si="3"/>
        <v>OK</v>
      </c>
      <c r="N594" s="18" t="str">
        <f t="shared" si="4"/>
        <v>VALID</v>
      </c>
    </row>
    <row r="595" ht="15.75" customHeight="1">
      <c r="A595" s="13" t="str">
        <f>Raw_Data!A595</f>
        <v>EMP0623</v>
      </c>
      <c r="B595" s="13" t="str">
        <f>TRIM(CLEAN(Raw_Data!B595))</f>
        <v>Customer Support</v>
      </c>
      <c r="C595" s="18" t="s">
        <v>18</v>
      </c>
      <c r="D595" s="14" t="str">
        <f>IF(ISBLANK(Raw_Data!D595),AVERAGE(Raw_Data!D$2:D$5002),Raw_Data!D595)</f>
        <v>82420.64</v>
      </c>
      <c r="E595" s="15" t="str">
        <f>IF(ISBLANK(Raw_Data!E595),AVERAGE(Raw_Data!E$2:E$5002),Raw_Data!E595)</f>
        <v>24726.19</v>
      </c>
      <c r="F595" s="15" t="str">
        <f>IF(ISBLANK(Raw_Data!F595),AVERAGE(Raw_Data!F$2:F$5002),Raw_Data!F595)</f>
        <v>12021.64</v>
      </c>
      <c r="G595" s="14" t="str">
        <f>IF(ISBLANK(Raw_Data!G595),AVERAGE(Raw_Data!G$2:G$5002),Raw_Data!G595)</f>
        <v>8301.81</v>
      </c>
      <c r="H595" s="15" t="str">
        <f t="shared" si="1"/>
        <v>119168.00</v>
      </c>
      <c r="I595" s="14" t="str">
        <f t="shared" si="2"/>
        <v>110866.00</v>
      </c>
      <c r="J595" s="16" t="str">
        <f>TEXT(Raw_Data!J595,"MMM-YYY")</f>
        <v>Jan-2025</v>
      </c>
      <c r="K595" s="13" t="str">
        <f>Raw_Data!K595</f>
        <v>11</v>
      </c>
      <c r="L595" s="17" t="str">
        <f>Raw_Data!L595</f>
        <v>Chennai-South</v>
      </c>
      <c r="M595" s="13" t="str">
        <f t="shared" si="3"/>
        <v>OK</v>
      </c>
      <c r="N595" s="18" t="str">
        <f t="shared" si="4"/>
        <v>VALID</v>
      </c>
    </row>
    <row r="596" ht="15.75" customHeight="1">
      <c r="A596" s="13" t="str">
        <f>Raw_Data!A596</f>
        <v>EMP0624</v>
      </c>
      <c r="B596" s="13" t="str">
        <f>TRIM(CLEAN(Raw_Data!B596))</f>
        <v>IT</v>
      </c>
      <c r="C596" s="18" t="s">
        <v>30</v>
      </c>
      <c r="D596" s="14" t="str">
        <f>IF(ISBLANK(Raw_Data!D596),AVERAGE(Raw_Data!D$2:D$5002),Raw_Data!D596)</f>
        <v>24195.96</v>
      </c>
      <c r="E596" s="15" t="str">
        <f>IF(ISBLANK(Raw_Data!E596),AVERAGE(Raw_Data!E$2:E$5002),Raw_Data!E596)</f>
        <v>7258.79</v>
      </c>
      <c r="F596" s="15" t="str">
        <f>IF(ISBLANK(Raw_Data!F596),AVERAGE(Raw_Data!F$2:F$5002),Raw_Data!F596)</f>
        <v>328.07</v>
      </c>
      <c r="G596" s="14" t="str">
        <f>IF(ISBLANK(Raw_Data!G596),AVERAGE(Raw_Data!G$2:G$5002),Raw_Data!G596)</f>
        <v>1863.03</v>
      </c>
      <c r="H596" s="15" t="str">
        <f t="shared" si="1"/>
        <v>31783.00</v>
      </c>
      <c r="I596" s="14" t="str">
        <f t="shared" si="2"/>
        <v>29920.00</v>
      </c>
      <c r="J596" s="16" t="str">
        <f>TEXT(Raw_Data!J596,"MMM-YYY")</f>
        <v>Feb-2025</v>
      </c>
      <c r="K596" s="13" t="str">
        <f>Raw_Data!K596</f>
        <v>17</v>
      </c>
      <c r="L596" s="17" t="str">
        <f>Raw_Data!L596</f>
        <v>Kolkata-East</v>
      </c>
      <c r="M596" s="13" t="str">
        <f t="shared" si="3"/>
        <v>OK</v>
      </c>
      <c r="N596" s="18" t="str">
        <f t="shared" si="4"/>
        <v>VALID</v>
      </c>
    </row>
    <row r="597" ht="15.75" customHeight="1">
      <c r="A597" s="13" t="str">
        <f>Raw_Data!A597</f>
        <v>EMP0625</v>
      </c>
      <c r="B597" s="13" t="str">
        <f>TRIM(CLEAN(Raw_Data!B597))</f>
        <v>Sales</v>
      </c>
      <c r="C597" s="18" t="s">
        <v>14</v>
      </c>
      <c r="D597" s="14" t="str">
        <f>IF(ISBLANK(Raw_Data!D597),AVERAGE(Raw_Data!D$2:D$5002),Raw_Data!D597)</f>
        <v>18346.66</v>
      </c>
      <c r="E597" s="15" t="str">
        <f>IF(ISBLANK(Raw_Data!E597),AVERAGE(Raw_Data!E$2:E$5002),Raw_Data!E597)</f>
        <v>5504.00</v>
      </c>
      <c r="F597" s="15" t="str">
        <f>IF(ISBLANK(Raw_Data!F597),AVERAGE(Raw_Data!F$2:F$5002),Raw_Data!F597)</f>
        <v>1607.98</v>
      </c>
      <c r="G597" s="14" t="str">
        <f>IF(ISBLANK(Raw_Data!G597),AVERAGE(Raw_Data!G$2:G$5002),Raw_Data!G597)</f>
        <v>2309.77</v>
      </c>
      <c r="H597" s="15" t="str">
        <f t="shared" si="1"/>
        <v>25459.00</v>
      </c>
      <c r="I597" s="14" t="str">
        <f t="shared" si="2"/>
        <v>23149.00</v>
      </c>
      <c r="J597" s="16" t="str">
        <f>TEXT(Raw_Data!J597,"MMM-YYY")</f>
        <v>Mar-2025</v>
      </c>
      <c r="K597" s="13" t="str">
        <f>Raw_Data!K597</f>
        <v>23</v>
      </c>
      <c r="L597" s="17" t="str">
        <f>Raw_Data!L597</f>
        <v>Pune-West</v>
      </c>
      <c r="M597" s="13" t="str">
        <f t="shared" si="3"/>
        <v>OK</v>
      </c>
      <c r="N597" s="18" t="str">
        <f t="shared" si="4"/>
        <v>VALID</v>
      </c>
    </row>
    <row r="598" ht="15.75" customHeight="1">
      <c r="A598" s="13" t="str">
        <f>Raw_Data!A598</f>
        <v>EMP0627</v>
      </c>
      <c r="B598" s="13" t="str">
        <f>TRIM(CLEAN(Raw_Data!B598))</f>
        <v>Customer Support</v>
      </c>
      <c r="C598" s="18" t="s">
        <v>26</v>
      </c>
      <c r="D598" s="14" t="str">
        <f>IF(ISBLANK(Raw_Data!D598),AVERAGE(Raw_Data!D$2:D$5002),Raw_Data!D598)</f>
        <v>110810.00</v>
      </c>
      <c r="E598" s="15" t="str">
        <f>IF(ISBLANK(Raw_Data!E598),AVERAGE(Raw_Data!E$2:E$5002),Raw_Data!E598)</f>
        <v>33243.00</v>
      </c>
      <c r="F598" s="15" t="str">
        <f>IF(ISBLANK(Raw_Data!F598),AVERAGE(Raw_Data!F$2:F$5002),Raw_Data!F598)</f>
        <v>16804.19</v>
      </c>
      <c r="G598" s="14" t="str">
        <f>IF(ISBLANK(Raw_Data!G598),AVERAGE(Raw_Data!G$2:G$5002),Raw_Data!G598)</f>
        <v>7499.05</v>
      </c>
      <c r="H598" s="15" t="str">
        <f t="shared" si="1"/>
        <v>160857.00</v>
      </c>
      <c r="I598" s="14" t="str">
        <f t="shared" si="2"/>
        <v>153358.00</v>
      </c>
      <c r="J598" s="16" t="str">
        <f>TEXT(Raw_Data!J598,"MMM-YYY")</f>
        <v>Aug-2025</v>
      </c>
      <c r="K598" s="13" t="str">
        <f>Raw_Data!K598</f>
        <v>17</v>
      </c>
      <c r="L598" s="17" t="str">
        <f>Raw_Data!L598</f>
        <v>Chandigarh-North</v>
      </c>
      <c r="M598" s="13" t="str">
        <f t="shared" si="3"/>
        <v>OK</v>
      </c>
      <c r="N598" s="18" t="str">
        <f t="shared" si="4"/>
        <v>VALID</v>
      </c>
    </row>
    <row r="599" ht="15.75" customHeight="1">
      <c r="A599" s="13" t="str">
        <f>Raw_Data!A599</f>
        <v>EMP0628</v>
      </c>
      <c r="B599" s="13" t="str">
        <f>TRIM(CLEAN(Raw_Data!B599))</f>
        <v>HR</v>
      </c>
      <c r="C599" s="18" t="s">
        <v>26</v>
      </c>
      <c r="D599" s="14" t="str">
        <f>IF(ISBLANK(Raw_Data!D599),AVERAGE(Raw_Data!D$2:D$5002),Raw_Data!D599)</f>
        <v>120447.45</v>
      </c>
      <c r="E599" s="15" t="str">
        <f>IF(ISBLANK(Raw_Data!E599),AVERAGE(Raw_Data!E$2:E$5002),Raw_Data!E599)</f>
        <v>36134.24</v>
      </c>
      <c r="F599" s="15" t="str">
        <f>IF(ISBLANK(Raw_Data!F599),AVERAGE(Raw_Data!F$2:F$5002),Raw_Data!F599)</f>
        <v>7104.20</v>
      </c>
      <c r="G599" s="14" t="str">
        <f>IF(ISBLANK(Raw_Data!G599),AVERAGE(Raw_Data!G$2:G$5002),Raw_Data!G599)</f>
        <v>11516.59</v>
      </c>
      <c r="H599" s="15" t="str">
        <f t="shared" si="1"/>
        <v>163686.00</v>
      </c>
      <c r="I599" s="14" t="str">
        <f t="shared" si="2"/>
        <v>152169.00</v>
      </c>
      <c r="J599" s="16" t="str">
        <f>TEXT(Raw_Data!J599,"MMM-YYY")</f>
        <v>Feb-2025</v>
      </c>
      <c r="K599" s="13" t="str">
        <f>Raw_Data!K599</f>
        <v>1</v>
      </c>
      <c r="L599" s="17" t="str">
        <f>Raw_Data!L599</f>
        <v>Ahmedabad-West</v>
      </c>
      <c r="M599" s="13" t="str">
        <f t="shared" si="3"/>
        <v>OK</v>
      </c>
      <c r="N599" s="18" t="str">
        <f t="shared" si="4"/>
        <v>VALID</v>
      </c>
    </row>
    <row r="600" ht="15.75" customHeight="1">
      <c r="A600" s="13" t="str">
        <f>Raw_Data!A600</f>
        <v>EMP0629</v>
      </c>
      <c r="B600" s="13" t="str">
        <f>TRIM(CLEAN(Raw_Data!B600))</f>
        <v>HR</v>
      </c>
      <c r="C600" s="18" t="s">
        <v>33</v>
      </c>
      <c r="D600" s="14" t="str">
        <f>IF(ISBLANK(Raw_Data!D600),AVERAGE(Raw_Data!D$2:D$5002),Raw_Data!D600)</f>
        <v>26701.05</v>
      </c>
      <c r="E600" s="15" t="str">
        <f>IF(ISBLANK(Raw_Data!E600),AVERAGE(Raw_Data!E$2:E$5002),Raw_Data!E600)</f>
        <v>8010.31</v>
      </c>
      <c r="F600" s="15" t="str">
        <f>IF(ISBLANK(Raw_Data!F600),AVERAGE(Raw_Data!F$2:F$5002),Raw_Data!F600)</f>
        <v>2005.02</v>
      </c>
      <c r="G600" s="14" t="str">
        <f>IF(ISBLANK(Raw_Data!G600),AVERAGE(Raw_Data!G$2:G$5002),Raw_Data!G600)</f>
        <v>5863.43</v>
      </c>
      <c r="H600" s="15" t="str">
        <f t="shared" si="1"/>
        <v>36716.00</v>
      </c>
      <c r="I600" s="14" t="str">
        <f t="shared" si="2"/>
        <v>30853.00</v>
      </c>
      <c r="J600" s="16" t="str">
        <f>TEXT(Raw_Data!J600,"MMM-YYY")</f>
        <v>Sep-2025</v>
      </c>
      <c r="K600" s="13" t="str">
        <f>Raw_Data!K600</f>
        <v>3</v>
      </c>
      <c r="L600" s="17" t="str">
        <f>Raw_Data!L600</f>
        <v>Jaipur-North</v>
      </c>
      <c r="M600" s="13" t="str">
        <f t="shared" si="3"/>
        <v>OK</v>
      </c>
      <c r="N600" s="18" t="str">
        <f t="shared" si="4"/>
        <v>VALID</v>
      </c>
    </row>
    <row r="601" ht="15.75" customHeight="1">
      <c r="A601" s="13" t="str">
        <f>Raw_Data!A601</f>
        <v>EMP0630</v>
      </c>
      <c r="B601" s="13" t="str">
        <f>TRIM(CLEAN(Raw_Data!B601))</f>
        <v>HR</v>
      </c>
      <c r="C601" s="18" t="s">
        <v>33</v>
      </c>
      <c r="D601" s="14" t="str">
        <f>IF(ISBLANK(Raw_Data!D601),AVERAGE(Raw_Data!D$2:D$5002),Raw_Data!D601)</f>
        <v>30940.31</v>
      </c>
      <c r="E601" s="15" t="str">
        <f>IF(ISBLANK(Raw_Data!E601),AVERAGE(Raw_Data!E$2:E$5002),Raw_Data!E601)</f>
        <v>9282.09</v>
      </c>
      <c r="F601" s="15" t="str">
        <f>IF(ISBLANK(Raw_Data!F601),AVERAGE(Raw_Data!F$2:F$5002),Raw_Data!F601)</f>
        <v>3797.27</v>
      </c>
      <c r="G601" s="14" t="str">
        <f>IF(ISBLANK(Raw_Data!G601),AVERAGE(Raw_Data!G$2:G$5002),Raw_Data!G601)</f>
        <v>4480.81</v>
      </c>
      <c r="H601" s="15" t="str">
        <f t="shared" si="1"/>
        <v>44020.00</v>
      </c>
      <c r="I601" s="14" t="str">
        <f t="shared" si="2"/>
        <v>39539.00</v>
      </c>
      <c r="J601" s="16" t="str">
        <f>TEXT(Raw_Data!J601,"MMM-YYY")</f>
        <v>Jan-2025</v>
      </c>
      <c r="K601" s="13" t="str">
        <f>Raw_Data!K601</f>
        <v>12</v>
      </c>
      <c r="L601" s="17" t="str">
        <f>Raw_Data!L601</f>
        <v>Mumbai-HO</v>
      </c>
      <c r="M601" s="13" t="str">
        <f t="shared" si="3"/>
        <v>OK</v>
      </c>
      <c r="N601" s="18" t="str">
        <f t="shared" si="4"/>
        <v>VALID</v>
      </c>
    </row>
    <row r="602" ht="15.75" customHeight="1">
      <c r="A602" s="13" t="str">
        <f>Raw_Data!A602</f>
        <v>EMP0631</v>
      </c>
      <c r="B602" s="13" t="str">
        <f>TRIM(CLEAN(Raw_Data!B602))</f>
        <v>Marketing</v>
      </c>
      <c r="C602" s="18" t="s">
        <v>18</v>
      </c>
      <c r="D602" s="14" t="str">
        <f>IF(ISBLANK(Raw_Data!D602),AVERAGE(Raw_Data!D$2:D$5002),Raw_Data!D602)</f>
        <v>69289.93</v>
      </c>
      <c r="E602" s="15" t="str">
        <f>IF(ISBLANK(Raw_Data!E602),AVERAGE(Raw_Data!E$2:E$5002),Raw_Data!E602)</f>
        <v>20786.98</v>
      </c>
      <c r="F602" s="15" t="str">
        <f>IF(ISBLANK(Raw_Data!F602),AVERAGE(Raw_Data!F$2:F$5002),Raw_Data!F602)</f>
        <v>12330.19</v>
      </c>
      <c r="G602" s="14" t="str">
        <f>IF(ISBLANK(Raw_Data!G602),AVERAGE(Raw_Data!G$2:G$5002),Raw_Data!G602)</f>
        <v>3265.71</v>
      </c>
      <c r="H602" s="15" t="str">
        <f t="shared" si="1"/>
        <v>102407.00</v>
      </c>
      <c r="I602" s="14" t="str">
        <f t="shared" si="2"/>
        <v>99141.00</v>
      </c>
      <c r="J602" s="16" t="str">
        <f>TEXT(Raw_Data!J602,"MMM-YYY")</f>
        <v>Feb-2025</v>
      </c>
      <c r="K602" s="13" t="str">
        <f>Raw_Data!K602</f>
        <v>25</v>
      </c>
      <c r="L602" s="17" t="str">
        <f>Raw_Data!L602</f>
        <v>Delhi-North</v>
      </c>
      <c r="M602" s="13" t="str">
        <f t="shared" si="3"/>
        <v>OK</v>
      </c>
      <c r="N602" s="18" t="str">
        <f t="shared" si="4"/>
        <v>VALID</v>
      </c>
    </row>
    <row r="603" ht="15.75" customHeight="1">
      <c r="A603" s="13" t="str">
        <f>Raw_Data!A603</f>
        <v>EMP0632</v>
      </c>
      <c r="B603" s="13" t="str">
        <f>TRIM(CLEAN(Raw_Data!B603))</f>
        <v>IT</v>
      </c>
      <c r="C603" s="18" t="s">
        <v>30</v>
      </c>
      <c r="D603" s="14" t="str">
        <f>IF(ISBLANK(Raw_Data!D603),AVERAGE(Raw_Data!D$2:D$5002),Raw_Data!D603)</f>
        <v>30574.71</v>
      </c>
      <c r="E603" s="15" t="str">
        <f>IF(ISBLANK(Raw_Data!E603),AVERAGE(Raw_Data!E$2:E$5002),Raw_Data!E603)</f>
        <v>9172.41</v>
      </c>
      <c r="F603" s="15" t="str">
        <f>IF(ISBLANK(Raw_Data!F603),AVERAGE(Raw_Data!F$2:F$5002),Raw_Data!F603)</f>
        <v>2502.72</v>
      </c>
      <c r="G603" s="14" t="str">
        <f>IF(ISBLANK(Raw_Data!G603),AVERAGE(Raw_Data!G$2:G$5002),Raw_Data!G603)</f>
        <v>5082.55</v>
      </c>
      <c r="H603" s="15" t="str">
        <f t="shared" si="1"/>
        <v>42250.00</v>
      </c>
      <c r="I603" s="14" t="str">
        <f t="shared" si="2"/>
        <v>37167.00</v>
      </c>
      <c r="J603" s="16" t="str">
        <f>TEXT(Raw_Data!J603,"MMM-YYY")</f>
        <v>Dec-2025</v>
      </c>
      <c r="K603" s="13" t="str">
        <f>Raw_Data!K603</f>
        <v>22</v>
      </c>
      <c r="L603" s="17" t="str">
        <f>Raw_Data!L603</f>
        <v>Bangalore-South</v>
      </c>
      <c r="M603" s="13" t="str">
        <f t="shared" si="3"/>
        <v>OK</v>
      </c>
      <c r="N603" s="18" t="str">
        <f t="shared" si="4"/>
        <v>VALID</v>
      </c>
    </row>
    <row r="604" ht="15.75" customHeight="1">
      <c r="A604" s="13" t="str">
        <f>Raw_Data!A604</f>
        <v>EMP0633</v>
      </c>
      <c r="B604" s="13" t="str">
        <f>TRIM(CLEAN(Raw_Data!B604))</f>
        <v>Operations</v>
      </c>
      <c r="C604" s="18" t="s">
        <v>33</v>
      </c>
      <c r="D604" s="14" t="str">
        <f>IF(ISBLANK(Raw_Data!D604),AVERAGE(Raw_Data!D$2:D$5002),Raw_Data!D604)</f>
        <v>31605.98</v>
      </c>
      <c r="E604" s="15" t="str">
        <f>IF(ISBLANK(Raw_Data!E604),AVERAGE(Raw_Data!E$2:E$5002),Raw_Data!E604)</f>
        <v>9481.79</v>
      </c>
      <c r="F604" s="15" t="str">
        <f>IF(ISBLANK(Raw_Data!F604),AVERAGE(Raw_Data!F$2:F$5002),Raw_Data!F604)</f>
        <v>1879.93</v>
      </c>
      <c r="G604" s="14" t="str">
        <f>IF(ISBLANK(Raw_Data!G604),AVERAGE(Raw_Data!G$2:G$5002),Raw_Data!G604)</f>
        <v>909.46</v>
      </c>
      <c r="H604" s="15" t="str">
        <f t="shared" si="1"/>
        <v>42968.00</v>
      </c>
      <c r="I604" s="14" t="str">
        <f t="shared" si="2"/>
        <v>42059.00</v>
      </c>
      <c r="J604" s="16" t="str">
        <f>TEXT(Raw_Data!J604,"MMM-YYY")</f>
        <v>Jul-2025</v>
      </c>
      <c r="K604" s="13" t="str">
        <f>Raw_Data!K604</f>
        <v>20</v>
      </c>
      <c r="L604" s="17" t="str">
        <f>Raw_Data!L604</f>
        <v>Chennai-South</v>
      </c>
      <c r="M604" s="13" t="str">
        <f t="shared" si="3"/>
        <v>OK</v>
      </c>
      <c r="N604" s="18" t="str">
        <f t="shared" si="4"/>
        <v>VALID</v>
      </c>
    </row>
    <row r="605" ht="15.75" customHeight="1">
      <c r="A605" s="13" t="str">
        <f>Raw_Data!A605</f>
        <v>EMP0635</v>
      </c>
      <c r="B605" s="13" t="str">
        <f>TRIM(CLEAN(Raw_Data!B605))</f>
        <v>HR</v>
      </c>
      <c r="C605" s="18" t="s">
        <v>33</v>
      </c>
      <c r="D605" s="14" t="str">
        <f>IF(ISBLANK(Raw_Data!D605),AVERAGE(Raw_Data!D$2:D$5002),Raw_Data!D605)</f>
        <v>33238.97</v>
      </c>
      <c r="E605" s="15" t="str">
        <f>IF(ISBLANK(Raw_Data!E605),AVERAGE(Raw_Data!E$2:E$5002),Raw_Data!E605)</f>
        <v>9971.69</v>
      </c>
      <c r="F605" s="15" t="str">
        <f>IF(ISBLANK(Raw_Data!F605),AVERAGE(Raw_Data!F$2:F$5002),Raw_Data!F605)</f>
        <v>4155.48</v>
      </c>
      <c r="G605" s="14" t="str">
        <f>IF(ISBLANK(Raw_Data!G605),AVERAGE(Raw_Data!G$2:G$5002),Raw_Data!G605)</f>
        <v>4789.69</v>
      </c>
      <c r="H605" s="15" t="str">
        <f t="shared" si="1"/>
        <v>47366.00</v>
      </c>
      <c r="I605" s="14" t="str">
        <f t="shared" si="2"/>
        <v>42576.00</v>
      </c>
      <c r="J605" s="16" t="str">
        <f>TEXT(Raw_Data!J605,"MMM-YYY")</f>
        <v>Feb-2025</v>
      </c>
      <c r="K605" s="13" t="str">
        <f>Raw_Data!K605</f>
        <v>20</v>
      </c>
      <c r="L605" s="17" t="str">
        <f>Raw_Data!L605</f>
        <v>Pune-West</v>
      </c>
      <c r="M605" s="13" t="str">
        <f t="shared" si="3"/>
        <v>OK</v>
      </c>
      <c r="N605" s="18" t="str">
        <f t="shared" si="4"/>
        <v>VALID</v>
      </c>
    </row>
    <row r="606" ht="15.75" customHeight="1">
      <c r="A606" s="13" t="str">
        <f>Raw_Data!A606</f>
        <v>EMP0636</v>
      </c>
      <c r="B606" s="13" t="str">
        <f>TRIM(CLEAN(Raw_Data!B606))</f>
        <v>HR</v>
      </c>
      <c r="C606" s="18" t="s">
        <v>30</v>
      </c>
      <c r="D606" s="14" t="str">
        <f>IF(ISBLANK(Raw_Data!D606),AVERAGE(Raw_Data!D$2:D$5002),Raw_Data!D606)</f>
        <v>23503.32</v>
      </c>
      <c r="E606" s="15" t="str">
        <f>IF(ISBLANK(Raw_Data!E606),AVERAGE(Raw_Data!E$2:E$5002),Raw_Data!E606)</f>
        <v>7051.00</v>
      </c>
      <c r="F606" s="15" t="str">
        <f>IF(ISBLANK(Raw_Data!F606),AVERAGE(Raw_Data!F$2:F$5002),Raw_Data!F606)</f>
        <v>1371.71</v>
      </c>
      <c r="G606" s="14" t="str">
        <f>IF(ISBLANK(Raw_Data!G606),AVERAGE(Raw_Data!G$2:G$5002),Raw_Data!G606)</f>
        <v>577.73</v>
      </c>
      <c r="H606" s="15" t="str">
        <f t="shared" si="1"/>
        <v>31926.00</v>
      </c>
      <c r="I606" s="14" t="str">
        <f t="shared" si="2"/>
        <v>31348.00</v>
      </c>
      <c r="J606" s="16" t="str">
        <f>TEXT(Raw_Data!J606,"MMM-YYY")</f>
        <v>Feb-2025</v>
      </c>
      <c r="K606" s="13" t="str">
        <f>Raw_Data!K606</f>
        <v>13</v>
      </c>
      <c r="L606" s="17" t="str">
        <f>Raw_Data!L606</f>
        <v>Hyderabad-South</v>
      </c>
      <c r="M606" s="13" t="str">
        <f t="shared" si="3"/>
        <v>OK</v>
      </c>
      <c r="N606" s="18" t="str">
        <f t="shared" si="4"/>
        <v>VALID</v>
      </c>
    </row>
    <row r="607" ht="15.75" customHeight="1">
      <c r="A607" s="13" t="str">
        <f>Raw_Data!A607</f>
        <v>EMP0637</v>
      </c>
      <c r="B607" s="13" t="str">
        <f>TRIM(CLEAN(Raw_Data!B607))</f>
        <v>IT</v>
      </c>
      <c r="C607" s="18" t="s">
        <v>26</v>
      </c>
      <c r="D607" s="14" t="str">
        <f>IF(ISBLANK(Raw_Data!D607),AVERAGE(Raw_Data!D$2:D$5002),Raw_Data!D607)</f>
        <v>104308.82</v>
      </c>
      <c r="E607" s="15" t="str">
        <f>IF(ISBLANK(Raw_Data!E607),AVERAGE(Raw_Data!E$2:E$5002),Raw_Data!E607)</f>
        <v>31292.65</v>
      </c>
      <c r="F607" s="15" t="str">
        <f>IF(ISBLANK(Raw_Data!F607),AVERAGE(Raw_Data!F$2:F$5002),Raw_Data!F607)</f>
        <v>10203.42</v>
      </c>
      <c r="G607" s="14" t="str">
        <f>IF(ISBLANK(Raw_Data!G607),AVERAGE(Raw_Data!G$2:G$5002),Raw_Data!G607)</f>
        <v>20685.69</v>
      </c>
      <c r="H607" s="15" t="str">
        <f t="shared" si="1"/>
        <v>145805.00</v>
      </c>
      <c r="I607" s="14" t="str">
        <f t="shared" si="2"/>
        <v>125119.00</v>
      </c>
      <c r="J607" s="16" t="str">
        <f>TEXT(Raw_Data!J607,"MMM-YYY")</f>
        <v>Feb-2025</v>
      </c>
      <c r="K607" s="13" t="str">
        <f>Raw_Data!K607</f>
        <v>24</v>
      </c>
      <c r="L607" s="17" t="str">
        <f>Raw_Data!L607</f>
        <v>Chandigarh-North</v>
      </c>
      <c r="M607" s="13" t="str">
        <f t="shared" si="3"/>
        <v>OK</v>
      </c>
      <c r="N607" s="18" t="str">
        <f t="shared" si="4"/>
        <v>VALID</v>
      </c>
    </row>
    <row r="608" ht="15.75" customHeight="1">
      <c r="A608" s="13" t="str">
        <f>Raw_Data!A608</f>
        <v>EMP0638</v>
      </c>
      <c r="B608" s="13" t="str">
        <f>TRIM(CLEAN(Raw_Data!B608))</f>
        <v>Sales</v>
      </c>
      <c r="C608" s="18" t="s">
        <v>37</v>
      </c>
      <c r="D608" s="14" t="str">
        <f>IF(ISBLANK(Raw_Data!D608),AVERAGE(Raw_Data!D$2:D$5002),Raw_Data!D608)</f>
        <v>51975.49</v>
      </c>
      <c r="E608" s="15" t="str">
        <f>IF(ISBLANK(Raw_Data!E608),AVERAGE(Raw_Data!E$2:E$5002),Raw_Data!E608)</f>
        <v>15592.65</v>
      </c>
      <c r="F608" s="15" t="str">
        <f>IF(ISBLANK(Raw_Data!F608),AVERAGE(Raw_Data!F$2:F$5002),Raw_Data!F608)</f>
        <v>3856.79</v>
      </c>
      <c r="G608" s="14" t="str">
        <f>IF(ISBLANK(Raw_Data!G608),AVERAGE(Raw_Data!G$2:G$5002),Raw_Data!G608)</f>
        <v>5947.74</v>
      </c>
      <c r="H608" s="15" t="str">
        <f t="shared" si="1"/>
        <v>71425.00</v>
      </c>
      <c r="I608" s="14" t="str">
        <f t="shared" si="2"/>
        <v>65477.00</v>
      </c>
      <c r="J608" s="16" t="str">
        <f>TEXT(Raw_Data!J608,"MMM-YYY")</f>
        <v>Mar-2025</v>
      </c>
      <c r="K608" s="13" t="str">
        <f>Raw_Data!K608</f>
        <v>22</v>
      </c>
      <c r="L608" s="17" t="str">
        <f>Raw_Data!L608</f>
        <v>Ahmedabad-West</v>
      </c>
      <c r="M608" s="13" t="str">
        <f t="shared" si="3"/>
        <v>OK</v>
      </c>
      <c r="N608" s="18" t="str">
        <f t="shared" si="4"/>
        <v>VALID</v>
      </c>
    </row>
    <row r="609" ht="15.75" customHeight="1">
      <c r="A609" s="13" t="str">
        <f>Raw_Data!A609</f>
        <v>EMP0639</v>
      </c>
      <c r="B609" s="13" t="str">
        <f>TRIM(CLEAN(Raw_Data!B609))</f>
        <v>Marketing</v>
      </c>
      <c r="C609" s="18" t="s">
        <v>14</v>
      </c>
      <c r="D609" s="14" t="str">
        <f>IF(ISBLANK(Raw_Data!D609),AVERAGE(Raw_Data!D$2:D$5002),Raw_Data!D609)</f>
        <v>19895.73</v>
      </c>
      <c r="E609" s="15" t="str">
        <f>IF(ISBLANK(Raw_Data!E609),AVERAGE(Raw_Data!E$2:E$5002),Raw_Data!E609)</f>
        <v>5968.72</v>
      </c>
      <c r="F609" s="15" t="str">
        <f>IF(ISBLANK(Raw_Data!F609),AVERAGE(Raw_Data!F$2:F$5002),Raw_Data!F609)</f>
        <v>1850.53</v>
      </c>
      <c r="G609" s="14" t="str">
        <f>IF(ISBLANK(Raw_Data!G609),AVERAGE(Raw_Data!G$2:G$5002),Raw_Data!G609)</f>
        <v>1350.38</v>
      </c>
      <c r="H609" s="15" t="str">
        <f t="shared" si="1"/>
        <v>27715.00</v>
      </c>
      <c r="I609" s="14" t="str">
        <f t="shared" si="2"/>
        <v>26365.00</v>
      </c>
      <c r="J609" s="16" t="str">
        <f>TEXT(Raw_Data!J609,"MMM-YYY")</f>
        <v>May-2025</v>
      </c>
      <c r="K609" s="13" t="str">
        <f>Raw_Data!K609</f>
        <v>1</v>
      </c>
      <c r="L609" s="17" t="str">
        <f>Raw_Data!L609</f>
        <v>Jaipur-North</v>
      </c>
      <c r="M609" s="13" t="str">
        <f t="shared" si="3"/>
        <v>OK</v>
      </c>
      <c r="N609" s="18" t="str">
        <f t="shared" si="4"/>
        <v>VALID</v>
      </c>
    </row>
    <row r="610" ht="15.75" customHeight="1">
      <c r="A610" s="13" t="str">
        <f>Raw_Data!A610</f>
        <v>EMP0640</v>
      </c>
      <c r="B610" s="13" t="str">
        <f>TRIM(CLEAN(Raw_Data!B610))</f>
        <v>Operations</v>
      </c>
      <c r="C610" s="18" t="s">
        <v>14</v>
      </c>
      <c r="D610" s="14" t="str">
        <f>IF(ISBLANK(Raw_Data!D610),AVERAGE(Raw_Data!D$2:D$5002),Raw_Data!D610)</f>
        <v>19088.14</v>
      </c>
      <c r="E610" s="15" t="str">
        <f>IF(ISBLANK(Raw_Data!E610),AVERAGE(Raw_Data!E$2:E$5002),Raw_Data!E610)</f>
        <v>5726.44</v>
      </c>
      <c r="F610" s="15" t="str">
        <f>IF(ISBLANK(Raw_Data!F610),AVERAGE(Raw_Data!F$2:F$5002),Raw_Data!F610)</f>
        <v>2658.87</v>
      </c>
      <c r="G610" s="14" t="str">
        <f>IF(ISBLANK(Raw_Data!G610),AVERAGE(Raw_Data!G$2:G$5002),Raw_Data!G610)</f>
        <v>553.76</v>
      </c>
      <c r="H610" s="15" t="str">
        <f t="shared" si="1"/>
        <v>27473.00</v>
      </c>
      <c r="I610" s="14" t="str">
        <f t="shared" si="2"/>
        <v>26919.00</v>
      </c>
      <c r="J610" s="16" t="str">
        <f>TEXT(Raw_Data!J610,"MMM-YYY")</f>
        <v>Nov-2025</v>
      </c>
      <c r="K610" s="13" t="str">
        <f>Raw_Data!K610</f>
        <v>11</v>
      </c>
      <c r="L610" s="17" t="str">
        <f>Raw_Data!L610</f>
        <v>Mumbai-HO</v>
      </c>
      <c r="M610" s="13" t="str">
        <f t="shared" si="3"/>
        <v>OK</v>
      </c>
      <c r="N610" s="18" t="str">
        <f t="shared" si="4"/>
        <v>VALID</v>
      </c>
    </row>
    <row r="611" ht="15.75" customHeight="1">
      <c r="A611" s="13" t="str">
        <f>Raw_Data!A611</f>
        <v>EMP0641</v>
      </c>
      <c r="B611" s="13" t="str">
        <f>TRIM(CLEAN(Raw_Data!B611))</f>
        <v>IT</v>
      </c>
      <c r="C611" s="18" t="s">
        <v>26</v>
      </c>
      <c r="D611" s="14" t="str">
        <f>IF(ISBLANK(Raw_Data!D611),AVERAGE(Raw_Data!D$2:D$5002),Raw_Data!D611)</f>
        <v>109492.16</v>
      </c>
      <c r="E611" s="15" t="str">
        <f>IF(ISBLANK(Raw_Data!E611),AVERAGE(Raw_Data!E$2:E$5002),Raw_Data!E611)</f>
        <v>32847.65</v>
      </c>
      <c r="F611" s="15" t="str">
        <f>IF(ISBLANK(Raw_Data!F611),AVERAGE(Raw_Data!F$2:F$5002),Raw_Data!F611)</f>
        <v>21256.93</v>
      </c>
      <c r="G611" s="14" t="str">
        <f>IF(ISBLANK(Raw_Data!G611),AVERAGE(Raw_Data!G$2:G$5002),Raw_Data!G611)</f>
        <v>19371.13</v>
      </c>
      <c r="H611" s="15" t="str">
        <f t="shared" si="1"/>
        <v>163597.00</v>
      </c>
      <c r="I611" s="14" t="str">
        <f t="shared" si="2"/>
        <v>144226.00</v>
      </c>
      <c r="J611" s="16" t="str">
        <f>TEXT(Raw_Data!J611,"MMM-YYY")</f>
        <v>Sep-2025</v>
      </c>
      <c r="K611" s="13" t="str">
        <f>Raw_Data!K611</f>
        <v>16</v>
      </c>
      <c r="L611" s="17" t="str">
        <f>Raw_Data!L611</f>
        <v>Delhi-North</v>
      </c>
      <c r="M611" s="13" t="str">
        <f t="shared" si="3"/>
        <v>OK</v>
      </c>
      <c r="N611" s="18" t="str">
        <f t="shared" si="4"/>
        <v>VALID</v>
      </c>
    </row>
    <row r="612" ht="15.75" customHeight="1">
      <c r="A612" s="13" t="str">
        <f>Raw_Data!A612</f>
        <v>EMP0642</v>
      </c>
      <c r="B612" s="13" t="str">
        <f>TRIM(CLEAN(Raw_Data!B612))</f>
        <v>HR</v>
      </c>
      <c r="C612" s="18" t="s">
        <v>26</v>
      </c>
      <c r="D612" s="14" t="str">
        <f>IF(ISBLANK(Raw_Data!D612),AVERAGE(Raw_Data!D$2:D$5002),Raw_Data!D612)</f>
        <v>103935.82</v>
      </c>
      <c r="E612" s="15" t="str">
        <f>IF(ISBLANK(Raw_Data!E612),AVERAGE(Raw_Data!E$2:E$5002),Raw_Data!E612)</f>
        <v>31180.75</v>
      </c>
      <c r="F612" s="15" t="str">
        <f>IF(ISBLANK(Raw_Data!F612),AVERAGE(Raw_Data!F$2:F$5002),Raw_Data!F612)</f>
        <v>10863.00</v>
      </c>
      <c r="G612" s="14" t="str">
        <f>IF(ISBLANK(Raw_Data!G612),AVERAGE(Raw_Data!G$2:G$5002),Raw_Data!G612)</f>
        <v>30108.99</v>
      </c>
      <c r="H612" s="15" t="str">
        <f t="shared" si="1"/>
        <v>145980.00</v>
      </c>
      <c r="I612" s="14" t="str">
        <f t="shared" si="2"/>
        <v>115871.00</v>
      </c>
      <c r="J612" s="16" t="str">
        <f>TEXT(Raw_Data!J612,"MMM-YYY")</f>
        <v>Nov-2025</v>
      </c>
      <c r="K612" s="13" t="str">
        <f>Raw_Data!K612</f>
        <v>23</v>
      </c>
      <c r="L612" s="17" t="str">
        <f>Raw_Data!L612</f>
        <v>Bangalore-South</v>
      </c>
      <c r="M612" s="13" t="str">
        <f t="shared" si="3"/>
        <v>OK</v>
      </c>
      <c r="N612" s="18" t="str">
        <f t="shared" si="4"/>
        <v>VALID</v>
      </c>
    </row>
    <row r="613" ht="15.75" customHeight="1">
      <c r="A613" s="13" t="str">
        <f>Raw_Data!A613</f>
        <v>EMP0643</v>
      </c>
      <c r="B613" s="13" t="str">
        <f>TRIM(CLEAN(Raw_Data!B613))</f>
        <v>Customer Support</v>
      </c>
      <c r="C613" s="18" t="s">
        <v>54</v>
      </c>
      <c r="D613" s="14" t="str">
        <f>IF(ISBLANK(Raw_Data!D613),AVERAGE(Raw_Data!D$2:D$5002),Raw_Data!D613)</f>
        <v>43018.00</v>
      </c>
      <c r="E613" s="15" t="str">
        <f>IF(ISBLANK(Raw_Data!E613),AVERAGE(Raw_Data!E$2:E$5002),Raw_Data!E613)</f>
        <v>12905.40</v>
      </c>
      <c r="F613" s="15" t="str">
        <f>IF(ISBLANK(Raw_Data!F613),AVERAGE(Raw_Data!F$2:F$5002),Raw_Data!F613)</f>
        <v>2027.37</v>
      </c>
      <c r="G613" s="14" t="str">
        <f>IF(ISBLANK(Raw_Data!G613),AVERAGE(Raw_Data!G$2:G$5002),Raw_Data!G613)</f>
        <v>3856.81</v>
      </c>
      <c r="H613" s="15" t="str">
        <f t="shared" si="1"/>
        <v>57951.00</v>
      </c>
      <c r="I613" s="14" t="str">
        <f t="shared" si="2"/>
        <v>54094.00</v>
      </c>
      <c r="J613" s="16" t="str">
        <f>TEXT(Raw_Data!J613,"MMM-YYY")</f>
        <v>Jul-2025</v>
      </c>
      <c r="K613" s="13" t="str">
        <f>Raw_Data!K613</f>
        <v>24</v>
      </c>
      <c r="L613" s="17" t="str">
        <f>Raw_Data!L613</f>
        <v>Chennai-South</v>
      </c>
      <c r="M613" s="13" t="str">
        <f t="shared" si="3"/>
        <v>OK</v>
      </c>
      <c r="N613" s="18" t="str">
        <f t="shared" si="4"/>
        <v>VALID</v>
      </c>
    </row>
    <row r="614" ht="15.75" customHeight="1">
      <c r="A614" s="13" t="str">
        <f>Raw_Data!A614</f>
        <v>EMP0644</v>
      </c>
      <c r="B614" s="13" t="str">
        <f>TRIM(CLEAN(Raw_Data!B614))</f>
        <v>Customer Support</v>
      </c>
      <c r="C614" s="18" t="s">
        <v>18</v>
      </c>
      <c r="D614" s="14" t="str">
        <f>IF(ISBLANK(Raw_Data!D614),AVERAGE(Raw_Data!D$2:D$5002),Raw_Data!D614)</f>
        <v>65902.94</v>
      </c>
      <c r="E614" s="15" t="str">
        <f>IF(ISBLANK(Raw_Data!E614),AVERAGE(Raw_Data!E$2:E$5002),Raw_Data!E614)</f>
        <v>19770.88</v>
      </c>
      <c r="F614" s="15" t="str">
        <f>IF(ISBLANK(Raw_Data!F614),AVERAGE(Raw_Data!F$2:F$5002),Raw_Data!F614)</f>
        <v>7529.01</v>
      </c>
      <c r="G614" s="14" t="str">
        <f>IF(ISBLANK(Raw_Data!G614),AVERAGE(Raw_Data!G$2:G$5002),Raw_Data!G614)</f>
        <v>14562.73</v>
      </c>
      <c r="H614" s="15" t="str">
        <f t="shared" si="1"/>
        <v>93203.00</v>
      </c>
      <c r="I614" s="14" t="str">
        <f t="shared" si="2"/>
        <v>78640.00</v>
      </c>
      <c r="J614" s="16" t="str">
        <f>TEXT(Raw_Data!J614,"MMM-YYY")</f>
        <v>Oct-2025</v>
      </c>
      <c r="K614" s="13" t="str">
        <f>Raw_Data!K614</f>
        <v>24</v>
      </c>
      <c r="L614" s="17" t="str">
        <f>Raw_Data!L614</f>
        <v>Kolkata-East</v>
      </c>
      <c r="M614" s="13" t="str">
        <f t="shared" si="3"/>
        <v>OK</v>
      </c>
      <c r="N614" s="18" t="str">
        <f t="shared" si="4"/>
        <v>VALID</v>
      </c>
    </row>
    <row r="615" ht="15.75" customHeight="1">
      <c r="A615" s="13" t="str">
        <f>Raw_Data!A615</f>
        <v>EMP0645</v>
      </c>
      <c r="B615" s="13" t="str">
        <f>TRIM(CLEAN(Raw_Data!B615))</f>
        <v>Sales</v>
      </c>
      <c r="C615" s="18" t="s">
        <v>37</v>
      </c>
      <c r="D615" s="14" t="str">
        <f>IF(ISBLANK(Raw_Data!D615),AVERAGE(Raw_Data!D$2:D$5002),Raw_Data!D615)</f>
        <v>47654.06</v>
      </c>
      <c r="E615" s="15" t="str">
        <f>IF(ISBLANK(Raw_Data!E615),AVERAGE(Raw_Data!E$2:E$5002),Raw_Data!E615)</f>
        <v>14296.22</v>
      </c>
      <c r="F615" s="15" t="str">
        <f>IF(ISBLANK(Raw_Data!F615),AVERAGE(Raw_Data!F$2:F$5002),Raw_Data!F615)</f>
        <v>9047.17</v>
      </c>
      <c r="G615" s="14" t="str">
        <f>IF(ISBLANK(Raw_Data!G615),AVERAGE(Raw_Data!G$2:G$5002),Raw_Data!G615)</f>
        <v>6419.57</v>
      </c>
      <c r="H615" s="15" t="str">
        <f t="shared" si="1"/>
        <v>70997.00</v>
      </c>
      <c r="I615" s="14" t="str">
        <f t="shared" si="2"/>
        <v>64577.00</v>
      </c>
      <c r="J615" s="16" t="str">
        <f>TEXT(Raw_Data!J615,"MMM-YYY")</f>
        <v>Mar-2025</v>
      </c>
      <c r="K615" s="13" t="str">
        <f>Raw_Data!K615</f>
        <v>17</v>
      </c>
      <c r="L615" s="17" t="str">
        <f>Raw_Data!L615</f>
        <v>Pune-West</v>
      </c>
      <c r="M615" s="13" t="str">
        <f t="shared" si="3"/>
        <v>OK</v>
      </c>
      <c r="N615" s="18" t="str">
        <f t="shared" si="4"/>
        <v>VALID</v>
      </c>
    </row>
    <row r="616" ht="15.75" customHeight="1">
      <c r="A616" s="13" t="str">
        <f>Raw_Data!A616</f>
        <v>EMP0646</v>
      </c>
      <c r="B616" s="13" t="str">
        <f>TRIM(CLEAN(Raw_Data!B616))</f>
        <v>Finance</v>
      </c>
      <c r="C616" s="18" t="s">
        <v>26</v>
      </c>
      <c r="D616" s="14" t="str">
        <f>IF(ISBLANK(Raw_Data!D616),AVERAGE(Raw_Data!D$2:D$5002),Raw_Data!D616)</f>
        <v>96938.14</v>
      </c>
      <c r="E616" s="15" t="str">
        <f>IF(ISBLANK(Raw_Data!E616),AVERAGE(Raw_Data!E$2:E$5002),Raw_Data!E616)</f>
        <v>29081.44</v>
      </c>
      <c r="F616" s="15" t="str">
        <f>IF(ISBLANK(Raw_Data!F616),AVERAGE(Raw_Data!F$2:F$5002),Raw_Data!F616)</f>
        <v>827.38</v>
      </c>
      <c r="G616" s="14" t="str">
        <f>IF(ISBLANK(Raw_Data!G616),AVERAGE(Raw_Data!G$2:G$5002),Raw_Data!G616)</f>
        <v>2279.07</v>
      </c>
      <c r="H616" s="15" t="str">
        <f t="shared" si="1"/>
        <v>126847.00</v>
      </c>
      <c r="I616" s="14" t="str">
        <f t="shared" si="2"/>
        <v>124568.00</v>
      </c>
      <c r="J616" s="16" t="str">
        <f>TEXT(Raw_Data!J616,"MMM-YYY")</f>
        <v>Nov-2025</v>
      </c>
      <c r="K616" s="13" t="str">
        <f>Raw_Data!K616</f>
        <v>19</v>
      </c>
      <c r="L616" s="17" t="str">
        <f>Raw_Data!L616</f>
        <v>Hyderabad-South</v>
      </c>
      <c r="M616" s="13" t="str">
        <f t="shared" si="3"/>
        <v>OK</v>
      </c>
      <c r="N616" s="18" t="str">
        <f t="shared" si="4"/>
        <v>VALID</v>
      </c>
    </row>
    <row r="617" ht="15.75" customHeight="1">
      <c r="A617" s="13" t="str">
        <f>Raw_Data!A617</f>
        <v>EMP0647</v>
      </c>
      <c r="B617" s="13" t="str">
        <f>TRIM(CLEAN(Raw_Data!B617))</f>
        <v>Marketing</v>
      </c>
      <c r="C617" s="18" t="s">
        <v>30</v>
      </c>
      <c r="D617" s="14" t="str">
        <f>IF(ISBLANK(Raw_Data!D617),AVERAGE(Raw_Data!D$2:D$5002),Raw_Data!D617)</f>
        <v>30775.97</v>
      </c>
      <c r="E617" s="15" t="str">
        <f>IF(ISBLANK(Raw_Data!E617),AVERAGE(Raw_Data!E$2:E$5002),Raw_Data!E617)</f>
        <v>9232.79</v>
      </c>
      <c r="F617" s="15" t="str">
        <f>IF(ISBLANK(Raw_Data!F617),AVERAGE(Raw_Data!F$2:F$5002),Raw_Data!F617)</f>
        <v>3860.70</v>
      </c>
      <c r="G617" s="14" t="str">
        <f>IF(ISBLANK(Raw_Data!G617),AVERAGE(Raw_Data!G$2:G$5002),Raw_Data!G617)</f>
        <v>7701.15</v>
      </c>
      <c r="H617" s="15" t="str">
        <f t="shared" si="1"/>
        <v>43869.00</v>
      </c>
      <c r="I617" s="14" t="str">
        <f t="shared" si="2"/>
        <v>36168.00</v>
      </c>
      <c r="J617" s="16" t="str">
        <f>TEXT(Raw_Data!J617,"MMM-YYY")</f>
        <v>May-2025</v>
      </c>
      <c r="K617" s="13" t="str">
        <f>Raw_Data!K617</f>
        <v>18</v>
      </c>
      <c r="L617" s="17" t="str">
        <f>Raw_Data!L617</f>
        <v>Chandigarh-North</v>
      </c>
      <c r="M617" s="13" t="str">
        <f t="shared" si="3"/>
        <v>OK</v>
      </c>
      <c r="N617" s="18" t="str">
        <f t="shared" si="4"/>
        <v>VALID</v>
      </c>
    </row>
    <row r="618" ht="15.75" customHeight="1">
      <c r="A618" s="13" t="str">
        <f>Raw_Data!A618</f>
        <v>EMP0648</v>
      </c>
      <c r="B618" s="13" t="str">
        <f>TRIM(CLEAN(Raw_Data!B618))</f>
        <v>IT</v>
      </c>
      <c r="C618" s="18" t="s">
        <v>18</v>
      </c>
      <c r="D618" s="14" t="str">
        <f>IF(ISBLANK(Raw_Data!D618),AVERAGE(Raw_Data!D$2:D$5002),Raw_Data!D618)</f>
        <v>88768.52</v>
      </c>
      <c r="E618" s="15" t="str">
        <f>IF(ISBLANK(Raw_Data!E618),AVERAGE(Raw_Data!E$2:E$5002),Raw_Data!E618)</f>
        <v>26630.56</v>
      </c>
      <c r="F618" s="15" t="str">
        <f>IF(ISBLANK(Raw_Data!F618),AVERAGE(Raw_Data!F$2:F$5002),Raw_Data!F618)</f>
        <v>1189.71</v>
      </c>
      <c r="G618" s="14" t="str">
        <f>IF(ISBLANK(Raw_Data!G618),AVERAGE(Raw_Data!G$2:G$5002),Raw_Data!G618)</f>
        <v>10335.30</v>
      </c>
      <c r="H618" s="15" t="str">
        <f t="shared" si="1"/>
        <v>116589.00</v>
      </c>
      <c r="I618" s="14" t="str">
        <f t="shared" si="2"/>
        <v>106254.00</v>
      </c>
      <c r="J618" s="16" t="str">
        <f>TEXT(Raw_Data!J618,"MMM-YYY")</f>
        <v>Jul-2025</v>
      </c>
      <c r="K618" s="13" t="str">
        <f>Raw_Data!K618</f>
        <v>9</v>
      </c>
      <c r="L618" s="17" t="str">
        <f>Raw_Data!L618</f>
        <v>Ahmedabad-West</v>
      </c>
      <c r="M618" s="13" t="str">
        <f t="shared" si="3"/>
        <v>OK</v>
      </c>
      <c r="N618" s="18" t="str">
        <f t="shared" si="4"/>
        <v>VALID</v>
      </c>
    </row>
    <row r="619" ht="15.75" customHeight="1">
      <c r="A619" s="13" t="str">
        <f>Raw_Data!A619</f>
        <v>EMP0649</v>
      </c>
      <c r="B619" s="13" t="str">
        <f>TRIM(CLEAN(Raw_Data!B619))</f>
        <v>Operations</v>
      </c>
      <c r="C619" s="18" t="s">
        <v>33</v>
      </c>
      <c r="D619" s="14" t="str">
        <f>IF(ISBLANK(Raw_Data!D619),AVERAGE(Raw_Data!D$2:D$5002),Raw_Data!D619)</f>
        <v>33566.24</v>
      </c>
      <c r="E619" s="15" t="str">
        <f>IF(ISBLANK(Raw_Data!E619),AVERAGE(Raw_Data!E$2:E$5002),Raw_Data!E619)</f>
        <v>10069.87</v>
      </c>
      <c r="F619" s="15" t="str">
        <f>IF(ISBLANK(Raw_Data!F619),AVERAGE(Raw_Data!F$2:F$5002),Raw_Data!F619)</f>
        <v>3488.80</v>
      </c>
      <c r="G619" s="14" t="str">
        <f>IF(ISBLANK(Raw_Data!G619),AVERAGE(Raw_Data!G$2:G$5002),Raw_Data!G619)</f>
        <v>9235.70</v>
      </c>
      <c r="H619" s="15" t="str">
        <f t="shared" si="1"/>
        <v>47125.00</v>
      </c>
      <c r="I619" s="14" t="str">
        <f t="shared" si="2"/>
        <v>37889.00</v>
      </c>
      <c r="J619" s="16" t="str">
        <f>TEXT(Raw_Data!J619,"MMM-YYY")</f>
        <v>Jan-2025</v>
      </c>
      <c r="K619" s="13" t="str">
        <f>Raw_Data!K619</f>
        <v>10</v>
      </c>
      <c r="L619" s="17" t="str">
        <f>Raw_Data!L619</f>
        <v>Jaipur-North</v>
      </c>
      <c r="M619" s="13" t="str">
        <f t="shared" si="3"/>
        <v>OK</v>
      </c>
      <c r="N619" s="18" t="str">
        <f t="shared" si="4"/>
        <v>VALID</v>
      </c>
    </row>
    <row r="620" ht="15.75" customHeight="1">
      <c r="A620" s="13" t="str">
        <f>Raw_Data!A620</f>
        <v>EMP0650</v>
      </c>
      <c r="B620" s="13" t="str">
        <f>TRIM(CLEAN(Raw_Data!B620))</f>
        <v>Customer Support</v>
      </c>
      <c r="C620" s="18" t="s">
        <v>18</v>
      </c>
      <c r="D620" s="14" t="str">
        <f>IF(ISBLANK(Raw_Data!D620),AVERAGE(Raw_Data!D$2:D$5002),Raw_Data!D620)</f>
        <v>81199.51</v>
      </c>
      <c r="E620" s="15" t="str">
        <f>IF(ISBLANK(Raw_Data!E620),AVERAGE(Raw_Data!E$2:E$5002),Raw_Data!E620)</f>
        <v>24359.85</v>
      </c>
      <c r="F620" s="15" t="str">
        <f>IF(ISBLANK(Raw_Data!F620),AVERAGE(Raw_Data!F$2:F$5002),Raw_Data!F620)</f>
        <v>8486.36</v>
      </c>
      <c r="G620" s="14" t="str">
        <f>IF(ISBLANK(Raw_Data!G620),AVERAGE(Raw_Data!G$2:G$5002),Raw_Data!G620)</f>
        <v>10221.24</v>
      </c>
      <c r="H620" s="15" t="str">
        <f t="shared" si="1"/>
        <v>114046.00</v>
      </c>
      <c r="I620" s="14" t="str">
        <f t="shared" si="2"/>
        <v>103825.00</v>
      </c>
      <c r="J620" s="16" t="str">
        <f>TEXT(Raw_Data!J620,"MMM-YYY")</f>
        <v>Jul-2025</v>
      </c>
      <c r="K620" s="13" t="str">
        <f>Raw_Data!K620</f>
        <v>17</v>
      </c>
      <c r="L620" s="17" t="str">
        <f>Raw_Data!L620</f>
        <v>Mumbai-HO</v>
      </c>
      <c r="M620" s="13" t="str">
        <f t="shared" si="3"/>
        <v>OK</v>
      </c>
      <c r="N620" s="18" t="str">
        <f t="shared" si="4"/>
        <v>VALID</v>
      </c>
    </row>
    <row r="621" ht="15.75" customHeight="1">
      <c r="A621" s="13" t="str">
        <f>Raw_Data!A621</f>
        <v>EMP0651</v>
      </c>
      <c r="B621" s="13" t="str">
        <f>TRIM(CLEAN(Raw_Data!B621))</f>
        <v>Finance</v>
      </c>
      <c r="C621" s="18" t="s">
        <v>30</v>
      </c>
      <c r="D621" s="14" t="str">
        <f>IF(ISBLANK(Raw_Data!D621),AVERAGE(Raw_Data!D$2:D$5002),Raw_Data!D621)</f>
        <v>26986.03</v>
      </c>
      <c r="E621" s="15" t="str">
        <f>IF(ISBLANK(Raw_Data!E621),AVERAGE(Raw_Data!E$2:E$5002),Raw_Data!E621)</f>
        <v>8095.81</v>
      </c>
      <c r="F621" s="15" t="str">
        <f>IF(ISBLANK(Raw_Data!F621),AVERAGE(Raw_Data!F$2:F$5002),Raw_Data!F621)</f>
        <v>3144.83</v>
      </c>
      <c r="G621" s="14" t="str">
        <f>IF(ISBLANK(Raw_Data!G621),AVERAGE(Raw_Data!G$2:G$5002),Raw_Data!G621)</f>
        <v>7811.09</v>
      </c>
      <c r="H621" s="15" t="str">
        <f t="shared" si="1"/>
        <v>38227.00</v>
      </c>
      <c r="I621" s="14" t="str">
        <f t="shared" si="2"/>
        <v>30416.00</v>
      </c>
      <c r="J621" s="16" t="str">
        <f>TEXT(Raw_Data!J621,"MMM-YYY")</f>
        <v>Feb-2025</v>
      </c>
      <c r="K621" s="13" t="str">
        <f>Raw_Data!K621</f>
        <v>16</v>
      </c>
      <c r="L621" s="17" t="str">
        <f>Raw_Data!L621</f>
        <v>Delhi-North</v>
      </c>
      <c r="M621" s="13" t="str">
        <f t="shared" si="3"/>
        <v>OK</v>
      </c>
      <c r="N621" s="18" t="str">
        <f t="shared" si="4"/>
        <v>VALID</v>
      </c>
    </row>
    <row r="622" ht="15.75" customHeight="1">
      <c r="A622" s="13" t="str">
        <f>Raw_Data!A622</f>
        <v>EMP0652</v>
      </c>
      <c r="B622" s="13" t="str">
        <f>TRIM(CLEAN(Raw_Data!B622))</f>
        <v>HR</v>
      </c>
      <c r="C622" s="18" t="s">
        <v>37</v>
      </c>
      <c r="D622" s="14" t="str">
        <f>IF(ISBLANK(Raw_Data!D622),AVERAGE(Raw_Data!D$2:D$5002),Raw_Data!D622)</f>
        <v>59031.80</v>
      </c>
      <c r="E622" s="15" t="str">
        <f>IF(ISBLANK(Raw_Data!E622),AVERAGE(Raw_Data!E$2:E$5002),Raw_Data!E622)</f>
        <v>17709.54</v>
      </c>
      <c r="F622" s="15" t="str">
        <f>IF(ISBLANK(Raw_Data!F622),AVERAGE(Raw_Data!F$2:F$5002),Raw_Data!F622)</f>
        <v>9276.80</v>
      </c>
      <c r="G622" s="14" t="str">
        <f>IF(ISBLANK(Raw_Data!G622),AVERAGE(Raw_Data!G$2:G$5002),Raw_Data!G622)</f>
        <v>15362.59</v>
      </c>
      <c r="H622" s="15" t="str">
        <f t="shared" si="1"/>
        <v>86018.00</v>
      </c>
      <c r="I622" s="14" t="str">
        <f t="shared" si="2"/>
        <v>70655.00</v>
      </c>
      <c r="J622" s="16" t="str">
        <f>TEXT(Raw_Data!J622,"MMM-YYY")</f>
        <v>Jun-2025</v>
      </c>
      <c r="K622" s="13" t="str">
        <f>Raw_Data!K622</f>
        <v>11</v>
      </c>
      <c r="L622" s="17" t="str">
        <f>Raw_Data!L622</f>
        <v>Bangalore-South</v>
      </c>
      <c r="M622" s="13" t="str">
        <f t="shared" si="3"/>
        <v>OK</v>
      </c>
      <c r="N622" s="18" t="str">
        <f t="shared" si="4"/>
        <v>VALID</v>
      </c>
    </row>
    <row r="623" ht="15.75" customHeight="1">
      <c r="A623" s="13" t="str">
        <f>Raw_Data!A623</f>
        <v>EMP0653</v>
      </c>
      <c r="B623" s="13" t="str">
        <f>TRIM(CLEAN(Raw_Data!B623))</f>
        <v>Marketing</v>
      </c>
      <c r="C623" s="18" t="s">
        <v>33</v>
      </c>
      <c r="D623" s="14" t="str">
        <f>IF(ISBLANK(Raw_Data!D623),AVERAGE(Raw_Data!D$2:D$5002),Raw_Data!D623)</f>
        <v>28830.43</v>
      </c>
      <c r="E623" s="15" t="str">
        <f>IF(ISBLANK(Raw_Data!E623),AVERAGE(Raw_Data!E$2:E$5002),Raw_Data!E623)</f>
        <v>8649.13</v>
      </c>
      <c r="F623" s="15" t="str">
        <f>IF(ISBLANK(Raw_Data!F623),AVERAGE(Raw_Data!F$2:F$5002),Raw_Data!F623)</f>
        <v>2799.92</v>
      </c>
      <c r="G623" s="14" t="str">
        <f>IF(ISBLANK(Raw_Data!G623),AVERAGE(Raw_Data!G$2:G$5002),Raw_Data!G623)</f>
        <v>5266.99</v>
      </c>
      <c r="H623" s="15" t="str">
        <f t="shared" si="1"/>
        <v>40279.00</v>
      </c>
      <c r="I623" s="14" t="str">
        <f t="shared" si="2"/>
        <v>35012.00</v>
      </c>
      <c r="J623" s="16" t="str">
        <f>TEXT(Raw_Data!J623,"MMM-YYY")</f>
        <v>Jan-2025</v>
      </c>
      <c r="K623" s="13" t="str">
        <f>Raw_Data!K623</f>
        <v>10</v>
      </c>
      <c r="L623" s="17" t="str">
        <f>Raw_Data!L623</f>
        <v>Chennai-South</v>
      </c>
      <c r="M623" s="13" t="str">
        <f t="shared" si="3"/>
        <v>OK</v>
      </c>
      <c r="N623" s="18" t="str">
        <f t="shared" si="4"/>
        <v>VALID</v>
      </c>
    </row>
    <row r="624" ht="15.75" customHeight="1">
      <c r="A624" s="13" t="str">
        <f>Raw_Data!A624</f>
        <v>EMP0654</v>
      </c>
      <c r="B624" s="13" t="str">
        <f>TRIM(CLEAN(Raw_Data!B624))</f>
        <v>Finance</v>
      </c>
      <c r="C624" s="18" t="s">
        <v>33</v>
      </c>
      <c r="D624" s="14" t="str">
        <f>IF(ISBLANK(Raw_Data!D624),AVERAGE(Raw_Data!D$2:D$5002),Raw_Data!D624)</f>
        <v>29029.74</v>
      </c>
      <c r="E624" s="15" t="str">
        <f>IF(ISBLANK(Raw_Data!E624),AVERAGE(Raw_Data!E$2:E$5002),Raw_Data!E624)</f>
        <v>8708.92</v>
      </c>
      <c r="F624" s="15" t="str">
        <f>IF(ISBLANK(Raw_Data!F624),AVERAGE(Raw_Data!F$2:F$5002),Raw_Data!F624)</f>
        <v>3589.50</v>
      </c>
      <c r="G624" s="14" t="str">
        <f>IF(ISBLANK(Raw_Data!G624),AVERAGE(Raw_Data!G$2:G$5002),Raw_Data!G624)</f>
        <v>5929.15</v>
      </c>
      <c r="H624" s="15" t="str">
        <f t="shared" si="1"/>
        <v>41328.00</v>
      </c>
      <c r="I624" s="14" t="str">
        <f t="shared" si="2"/>
        <v>35399.00</v>
      </c>
      <c r="J624" s="16" t="str">
        <f>TEXT(Raw_Data!J624,"MMM-YYY")</f>
        <v>Jul-2025</v>
      </c>
      <c r="K624" s="13" t="str">
        <f>Raw_Data!K624</f>
        <v>4</v>
      </c>
      <c r="L624" s="17" t="str">
        <f>Raw_Data!L624</f>
        <v>Kolkata-East</v>
      </c>
      <c r="M624" s="13" t="str">
        <f t="shared" si="3"/>
        <v>OK</v>
      </c>
      <c r="N624" s="18" t="str">
        <f t="shared" si="4"/>
        <v>VALID</v>
      </c>
    </row>
    <row r="625" ht="15.75" customHeight="1">
      <c r="A625" s="13" t="str">
        <f>Raw_Data!A625</f>
        <v>EMP0655</v>
      </c>
      <c r="B625" s="13" t="str">
        <f>TRIM(CLEAN(Raw_Data!B625))</f>
        <v>HR</v>
      </c>
      <c r="C625" s="18" t="s">
        <v>54</v>
      </c>
      <c r="D625" s="14" t="str">
        <f>IF(ISBLANK(Raw_Data!D625),AVERAGE(Raw_Data!D$2:D$5002),Raw_Data!D625)</f>
        <v>47454.04</v>
      </c>
      <c r="E625" s="15" t="str">
        <f>IF(ISBLANK(Raw_Data!E625),AVERAGE(Raw_Data!E$2:E$5002),Raw_Data!E625)</f>
        <v>14236.21</v>
      </c>
      <c r="F625" s="15" t="str">
        <f>IF(ISBLANK(Raw_Data!F625),AVERAGE(Raw_Data!F$2:F$5002),Raw_Data!F625)</f>
        <v>3146.15</v>
      </c>
      <c r="G625" s="14" t="str">
        <f>IF(ISBLANK(Raw_Data!G625),AVERAGE(Raw_Data!G$2:G$5002),Raw_Data!G625)</f>
        <v>3382.23</v>
      </c>
      <c r="H625" s="15" t="str">
        <f t="shared" si="1"/>
        <v>64836.00</v>
      </c>
      <c r="I625" s="14" t="str">
        <f t="shared" si="2"/>
        <v>61454.00</v>
      </c>
      <c r="J625" s="16" t="str">
        <f>TEXT(Raw_Data!J625,"MMM-YYY")</f>
        <v>Dec-2025</v>
      </c>
      <c r="K625" s="13" t="str">
        <f>Raw_Data!K625</f>
        <v>5</v>
      </c>
      <c r="L625" s="17" t="str">
        <f>Raw_Data!L625</f>
        <v>Pune-West</v>
      </c>
      <c r="M625" s="13" t="str">
        <f t="shared" si="3"/>
        <v>OK</v>
      </c>
      <c r="N625" s="18" t="str">
        <f t="shared" si="4"/>
        <v>VALID</v>
      </c>
    </row>
    <row r="626" ht="15.75" customHeight="1">
      <c r="A626" s="13" t="str">
        <f>Raw_Data!A626</f>
        <v>EMP0656</v>
      </c>
      <c r="B626" s="13" t="str">
        <f>TRIM(CLEAN(Raw_Data!B626))</f>
        <v>Marketing</v>
      </c>
      <c r="C626" s="18" t="s">
        <v>33</v>
      </c>
      <c r="D626" s="14" t="str">
        <f>IF(ISBLANK(Raw_Data!D626),AVERAGE(Raw_Data!D$2:D$5002),Raw_Data!D626)</f>
        <v>33970.31</v>
      </c>
      <c r="E626" s="15" t="str">
        <f>IF(ISBLANK(Raw_Data!E626),AVERAGE(Raw_Data!E$2:E$5002),Raw_Data!E626)</f>
        <v>10191.09</v>
      </c>
      <c r="F626" s="15" t="str">
        <f>IF(ISBLANK(Raw_Data!F626),AVERAGE(Raw_Data!F$2:F$5002),Raw_Data!F626)</f>
        <v>137.46</v>
      </c>
      <c r="G626" s="14" t="str">
        <f>IF(ISBLANK(Raw_Data!G626),AVERAGE(Raw_Data!G$2:G$5002),Raw_Data!G626)</f>
        <v>8330.06</v>
      </c>
      <c r="H626" s="15" t="str">
        <f t="shared" si="1"/>
        <v>44299.00</v>
      </c>
      <c r="I626" s="14" t="str">
        <f t="shared" si="2"/>
        <v>35969.00</v>
      </c>
      <c r="J626" s="16" t="str">
        <f>TEXT(Raw_Data!J626,"MMM-YYY")</f>
        <v>May-2025</v>
      </c>
      <c r="K626" s="13" t="str">
        <f>Raw_Data!K626</f>
        <v>16</v>
      </c>
      <c r="L626" s="17" t="str">
        <f>Raw_Data!L626</f>
        <v>Hyderabad-South</v>
      </c>
      <c r="M626" s="13" t="str">
        <f t="shared" si="3"/>
        <v>OK</v>
      </c>
      <c r="N626" s="18" t="str">
        <f t="shared" si="4"/>
        <v>VALID</v>
      </c>
    </row>
    <row r="627" ht="15.75" customHeight="1">
      <c r="A627" s="13" t="str">
        <f>Raw_Data!A627</f>
        <v>EMP0657</v>
      </c>
      <c r="B627" s="13" t="str">
        <f>TRIM(CLEAN(Raw_Data!B627))</f>
        <v>IT</v>
      </c>
      <c r="C627" s="18" t="s">
        <v>33</v>
      </c>
      <c r="D627" s="14" t="str">
        <f>IF(ISBLANK(Raw_Data!D627),AVERAGE(Raw_Data!D$2:D$5002),Raw_Data!D627)</f>
        <v>33428.47</v>
      </c>
      <c r="E627" s="15" t="str">
        <f>IF(ISBLANK(Raw_Data!E627),AVERAGE(Raw_Data!E$2:E$5002),Raw_Data!E627)</f>
        <v>10028.54</v>
      </c>
      <c r="F627" s="15" t="str">
        <f>IF(ISBLANK(Raw_Data!F627),AVERAGE(Raw_Data!F$2:F$5002),Raw_Data!F627)</f>
        <v>5737.90</v>
      </c>
      <c r="G627" s="14" t="str">
        <f>IF(ISBLANK(Raw_Data!G627),AVERAGE(Raw_Data!G$2:G$5002),Raw_Data!G627)</f>
        <v>6868.07</v>
      </c>
      <c r="H627" s="15" t="str">
        <f t="shared" si="1"/>
        <v>49195.00</v>
      </c>
      <c r="I627" s="14" t="str">
        <f t="shared" si="2"/>
        <v>42327.00</v>
      </c>
      <c r="J627" s="16" t="str">
        <f>TEXT(Raw_Data!J627,"MMM-YYY")</f>
        <v>Apr-2025</v>
      </c>
      <c r="K627" s="13" t="str">
        <f>Raw_Data!K627</f>
        <v>1</v>
      </c>
      <c r="L627" s="17" t="str">
        <f>Raw_Data!L627</f>
        <v>Chandigarh-North</v>
      </c>
      <c r="M627" s="13" t="str">
        <f t="shared" si="3"/>
        <v>OK</v>
      </c>
      <c r="N627" s="18" t="str">
        <f t="shared" si="4"/>
        <v>VALID</v>
      </c>
    </row>
    <row r="628" ht="15.75" customHeight="1">
      <c r="A628" s="13" t="str">
        <f>Raw_Data!A628</f>
        <v>EMP0658</v>
      </c>
      <c r="B628" s="13" t="str">
        <f>TRIM(CLEAN(Raw_Data!B628))</f>
        <v>Finance</v>
      </c>
      <c r="C628" s="18" t="s">
        <v>33</v>
      </c>
      <c r="D628" s="14" t="str">
        <f>IF(ISBLANK(Raw_Data!D628),AVERAGE(Raw_Data!D$2:D$5002),Raw_Data!D628)</f>
        <v>34742.19</v>
      </c>
      <c r="E628" s="15" t="str">
        <f>IF(ISBLANK(Raw_Data!E628),AVERAGE(Raw_Data!E$2:E$5002),Raw_Data!E628)</f>
        <v>10422.66</v>
      </c>
      <c r="F628" s="15" t="str">
        <f>IF(ISBLANK(Raw_Data!F628),AVERAGE(Raw_Data!F$2:F$5002),Raw_Data!F628)</f>
        <v>3078.93</v>
      </c>
      <c r="G628" s="14" t="str">
        <f>IF(ISBLANK(Raw_Data!G628),AVERAGE(Raw_Data!G$2:G$5002),Raw_Data!G628)</f>
        <v>8607.27</v>
      </c>
      <c r="H628" s="15" t="str">
        <f t="shared" si="1"/>
        <v>48244.00</v>
      </c>
      <c r="I628" s="14" t="str">
        <f t="shared" si="2"/>
        <v>39637.00</v>
      </c>
      <c r="J628" s="16" t="str">
        <f>TEXT(Raw_Data!J628,"MMM-YYY")</f>
        <v>May-2025</v>
      </c>
      <c r="K628" s="13" t="str">
        <f>Raw_Data!K628</f>
        <v>7</v>
      </c>
      <c r="L628" s="17" t="str">
        <f>Raw_Data!L628</f>
        <v>Ahmedabad-West</v>
      </c>
      <c r="M628" s="13" t="str">
        <f t="shared" si="3"/>
        <v>OK</v>
      </c>
      <c r="N628" s="18" t="str">
        <f t="shared" si="4"/>
        <v>VALID</v>
      </c>
    </row>
    <row r="629" ht="15.75" customHeight="1">
      <c r="A629" s="13" t="str">
        <f>Raw_Data!A629</f>
        <v>EMP0659</v>
      </c>
      <c r="B629" s="13" t="str">
        <f>TRIM(CLEAN(Raw_Data!B629))</f>
        <v>Sales</v>
      </c>
      <c r="C629" s="18" t="s">
        <v>54</v>
      </c>
      <c r="D629" s="14" t="str">
        <f>IF(ISBLANK(Raw_Data!D629),AVERAGE(Raw_Data!D$2:D$5002),Raw_Data!D629)</f>
        <v>43469.71</v>
      </c>
      <c r="E629" s="15" t="str">
        <f>IF(ISBLANK(Raw_Data!E629),AVERAGE(Raw_Data!E$2:E$5002),Raw_Data!E629)</f>
        <v>13040.91</v>
      </c>
      <c r="F629" s="15" t="str">
        <f>IF(ISBLANK(Raw_Data!F629),AVERAGE(Raw_Data!F$2:F$5002),Raw_Data!F629)</f>
        <v>776.25</v>
      </c>
      <c r="G629" s="14" t="str">
        <f>IF(ISBLANK(Raw_Data!G629),AVERAGE(Raw_Data!G$2:G$5002),Raw_Data!G629)</f>
        <v>5760.39</v>
      </c>
      <c r="H629" s="15" t="str">
        <f t="shared" si="1"/>
        <v>57287.00</v>
      </c>
      <c r="I629" s="14" t="str">
        <f t="shared" si="2"/>
        <v>51527.00</v>
      </c>
      <c r="J629" s="16" t="str">
        <f>TEXT(Raw_Data!J629,"MMM-YYY")</f>
        <v>Jul-2025</v>
      </c>
      <c r="K629" s="13" t="str">
        <f>Raw_Data!K629</f>
        <v>23</v>
      </c>
      <c r="L629" s="17" t="str">
        <f>Raw_Data!L629</f>
        <v>Jaipur-North</v>
      </c>
      <c r="M629" s="13" t="str">
        <f t="shared" si="3"/>
        <v>OK</v>
      </c>
      <c r="N629" s="18" t="str">
        <f t="shared" si="4"/>
        <v>VALID</v>
      </c>
    </row>
    <row r="630" ht="15.75" customHeight="1">
      <c r="A630" s="13" t="str">
        <f>Raw_Data!A630</f>
        <v>EMP0660</v>
      </c>
      <c r="B630" s="13" t="str">
        <f>TRIM(CLEAN(Raw_Data!B630))</f>
        <v>Sales</v>
      </c>
      <c r="C630" s="18" t="s">
        <v>54</v>
      </c>
      <c r="D630" s="14" t="str">
        <f>IF(ISBLANK(Raw_Data!D630),AVERAGE(Raw_Data!D$2:D$5002),Raw_Data!D630)</f>
        <v>45632.91</v>
      </c>
      <c r="E630" s="15" t="str">
        <f>IF(ISBLANK(Raw_Data!E630),AVERAGE(Raw_Data!E$2:E$5002),Raw_Data!E630)</f>
        <v>13689.87</v>
      </c>
      <c r="F630" s="15" t="str">
        <f>IF(ISBLANK(Raw_Data!F630),AVERAGE(Raw_Data!F$2:F$5002),Raw_Data!F630)</f>
        <v>7914.47</v>
      </c>
      <c r="G630" s="14" t="str">
        <f>IF(ISBLANK(Raw_Data!G630),AVERAGE(Raw_Data!G$2:G$5002),Raw_Data!G630)</f>
        <v>11239.62</v>
      </c>
      <c r="H630" s="15" t="str">
        <f t="shared" si="1"/>
        <v>67237.00</v>
      </c>
      <c r="I630" s="14" t="str">
        <f t="shared" si="2"/>
        <v>55997.00</v>
      </c>
      <c r="J630" s="16" t="str">
        <f>TEXT(Raw_Data!J630,"MMM-YYY")</f>
        <v>Sep-2025</v>
      </c>
      <c r="K630" s="13" t="str">
        <f>Raw_Data!K630</f>
        <v>15</v>
      </c>
      <c r="L630" s="17" t="str">
        <f>Raw_Data!L630</f>
        <v>Mumbai-HO</v>
      </c>
      <c r="M630" s="13" t="str">
        <f t="shared" si="3"/>
        <v>OK</v>
      </c>
      <c r="N630" s="18" t="str">
        <f t="shared" si="4"/>
        <v>VALID</v>
      </c>
    </row>
    <row r="631" ht="15.75" customHeight="1">
      <c r="A631" s="13" t="str">
        <f>Raw_Data!A631</f>
        <v>EMP0661</v>
      </c>
      <c r="B631" s="13" t="str">
        <f>TRIM(CLEAN(Raw_Data!B631))</f>
        <v>Customer Support</v>
      </c>
      <c r="C631" s="18" t="s">
        <v>30</v>
      </c>
      <c r="D631" s="14" t="str">
        <f>IF(ISBLANK(Raw_Data!D631),AVERAGE(Raw_Data!D$2:D$5002),Raw_Data!D631)</f>
        <v>22577.43</v>
      </c>
      <c r="E631" s="15" t="str">
        <f>IF(ISBLANK(Raw_Data!E631),AVERAGE(Raw_Data!E$2:E$5002),Raw_Data!E631)</f>
        <v>6773.23</v>
      </c>
      <c r="F631" s="15" t="str">
        <f>IF(ISBLANK(Raw_Data!F631),AVERAGE(Raw_Data!F$2:F$5002),Raw_Data!F631)</f>
        <v>3204.05</v>
      </c>
      <c r="G631" s="14" t="str">
        <f>IF(ISBLANK(Raw_Data!G631),AVERAGE(Raw_Data!G$2:G$5002),Raw_Data!G631)</f>
        <v>2732.22</v>
      </c>
      <c r="H631" s="15" t="str">
        <f t="shared" si="1"/>
        <v>32555.00</v>
      </c>
      <c r="I631" s="14" t="str">
        <f t="shared" si="2"/>
        <v>29823.00</v>
      </c>
      <c r="J631" s="16" t="str">
        <f>TEXT(Raw_Data!J631,"MMM-YYY")</f>
        <v>Sep-2025</v>
      </c>
      <c r="K631" s="13" t="str">
        <f>Raw_Data!K631</f>
        <v>15</v>
      </c>
      <c r="L631" s="17" t="str">
        <f>Raw_Data!L631</f>
        <v>Delhi-North</v>
      </c>
      <c r="M631" s="13" t="str">
        <f t="shared" si="3"/>
        <v>OK</v>
      </c>
      <c r="N631" s="18" t="str">
        <f t="shared" si="4"/>
        <v>VALID</v>
      </c>
    </row>
    <row r="632" ht="15.75" customHeight="1">
      <c r="A632" s="13" t="str">
        <f>Raw_Data!A632</f>
        <v>EMP0662</v>
      </c>
      <c r="B632" s="13" t="str">
        <f>TRIM(CLEAN(Raw_Data!B632))</f>
        <v>Operations</v>
      </c>
      <c r="C632" s="18" t="s">
        <v>14</v>
      </c>
      <c r="D632" s="14" t="str">
        <f>IF(ISBLANK(Raw_Data!D632),AVERAGE(Raw_Data!D$2:D$5002),Raw_Data!D632)</f>
        <v>19250.91</v>
      </c>
      <c r="E632" s="15" t="str">
        <f>IF(ISBLANK(Raw_Data!E632),AVERAGE(Raw_Data!E$2:E$5002),Raw_Data!E632)</f>
        <v>5775.27</v>
      </c>
      <c r="F632" s="15" t="str">
        <f>IF(ISBLANK(Raw_Data!F632),AVERAGE(Raw_Data!F$2:F$5002),Raw_Data!F632)</f>
        <v>3369.60</v>
      </c>
      <c r="G632" s="14" t="str">
        <f>IF(ISBLANK(Raw_Data!G632),AVERAGE(Raw_Data!G$2:G$5002),Raw_Data!G632)</f>
        <v>1159.25</v>
      </c>
      <c r="H632" s="15" t="str">
        <f t="shared" si="1"/>
        <v>28396.00</v>
      </c>
      <c r="I632" s="14" t="str">
        <f t="shared" si="2"/>
        <v>27237.00</v>
      </c>
      <c r="J632" s="16" t="str">
        <f>TEXT(Raw_Data!J632,"MMM-YYY")</f>
        <v>Jan-2025</v>
      </c>
      <c r="K632" s="13" t="str">
        <f>Raw_Data!K632</f>
        <v>25</v>
      </c>
      <c r="L632" s="17" t="str">
        <f>Raw_Data!L632</f>
        <v>Bangalore-South</v>
      </c>
      <c r="M632" s="13" t="str">
        <f t="shared" si="3"/>
        <v>OK</v>
      </c>
      <c r="N632" s="18" t="str">
        <f t="shared" si="4"/>
        <v>VALID</v>
      </c>
    </row>
    <row r="633" ht="15.75" customHeight="1">
      <c r="A633" s="13" t="str">
        <f>Raw_Data!A633</f>
        <v>EMP0663</v>
      </c>
      <c r="B633" s="13" t="str">
        <f>TRIM(CLEAN(Raw_Data!B633))</f>
        <v>Finance</v>
      </c>
      <c r="C633" s="18" t="s">
        <v>14</v>
      </c>
      <c r="D633" s="14" t="str">
        <f>IF(ISBLANK(Raw_Data!D633),AVERAGE(Raw_Data!D$2:D$5002),Raw_Data!D633)</f>
        <v>21286.43</v>
      </c>
      <c r="E633" s="15" t="str">
        <f>IF(ISBLANK(Raw_Data!E633),AVERAGE(Raw_Data!E$2:E$5002),Raw_Data!E633)</f>
        <v>6385.93</v>
      </c>
      <c r="F633" s="15" t="str">
        <f>IF(ISBLANK(Raw_Data!F633),AVERAGE(Raw_Data!F$2:F$5002),Raw_Data!F633)</f>
        <v>3908.32</v>
      </c>
      <c r="G633" s="14" t="str">
        <f>IF(ISBLANK(Raw_Data!G633),AVERAGE(Raw_Data!G$2:G$5002),Raw_Data!G633)</f>
        <v>4499.74</v>
      </c>
      <c r="H633" s="15" t="str">
        <f t="shared" si="1"/>
        <v>31581.00</v>
      </c>
      <c r="I633" s="14" t="str">
        <f t="shared" si="2"/>
        <v>27081.00</v>
      </c>
      <c r="J633" s="16" t="str">
        <f>TEXT(Raw_Data!J633,"MMM-YYY")</f>
        <v>May-2025</v>
      </c>
      <c r="K633" s="13" t="str">
        <f>Raw_Data!K633</f>
        <v>12</v>
      </c>
      <c r="L633" s="17" t="str">
        <f>Raw_Data!L633</f>
        <v>Chennai-South</v>
      </c>
      <c r="M633" s="13" t="str">
        <f t="shared" si="3"/>
        <v>OK</v>
      </c>
      <c r="N633" s="18" t="str">
        <f t="shared" si="4"/>
        <v>VALID</v>
      </c>
    </row>
    <row r="634" ht="15.75" customHeight="1">
      <c r="A634" s="13" t="str">
        <f>Raw_Data!A634</f>
        <v>EMP0664</v>
      </c>
      <c r="B634" s="13" t="str">
        <f>TRIM(CLEAN(Raw_Data!B634))</f>
        <v>IT</v>
      </c>
      <c r="C634" s="18" t="s">
        <v>26</v>
      </c>
      <c r="D634" s="14" t="str">
        <f>IF(ISBLANK(Raw_Data!D634),AVERAGE(Raw_Data!D$2:D$5002),Raw_Data!D634)</f>
        <v>106711.86</v>
      </c>
      <c r="E634" s="15" t="str">
        <f>IF(ISBLANK(Raw_Data!E634),AVERAGE(Raw_Data!E$2:E$5002),Raw_Data!E634)</f>
        <v>32013.56</v>
      </c>
      <c r="F634" s="15" t="str">
        <f>IF(ISBLANK(Raw_Data!F634),AVERAGE(Raw_Data!F$2:F$5002),Raw_Data!F634)</f>
        <v>8471.69</v>
      </c>
      <c r="G634" s="14" t="str">
        <f>IF(ISBLANK(Raw_Data!G634),AVERAGE(Raw_Data!G$2:G$5002),Raw_Data!G634)</f>
        <v>29550.87</v>
      </c>
      <c r="H634" s="15" t="str">
        <f t="shared" si="1"/>
        <v>147197.00</v>
      </c>
      <c r="I634" s="14" t="str">
        <f t="shared" si="2"/>
        <v>117646.00</v>
      </c>
      <c r="J634" s="16" t="str">
        <f>TEXT(Raw_Data!J634,"MMM-YYY")</f>
        <v>Nov-2025</v>
      </c>
      <c r="K634" s="13" t="str">
        <f>Raw_Data!K634</f>
        <v>7</v>
      </c>
      <c r="L634" s="17" t="str">
        <f>Raw_Data!L634</f>
        <v>Kolkata-East</v>
      </c>
      <c r="M634" s="13" t="str">
        <f t="shared" si="3"/>
        <v>OK</v>
      </c>
      <c r="N634" s="18" t="str">
        <f t="shared" si="4"/>
        <v>VALID</v>
      </c>
    </row>
    <row r="635" ht="15.75" customHeight="1">
      <c r="A635" s="13" t="str">
        <f>Raw_Data!A635</f>
        <v>EMP0665</v>
      </c>
      <c r="B635" s="13" t="str">
        <f>TRIM(CLEAN(Raw_Data!B635))</f>
        <v>HR</v>
      </c>
      <c r="C635" s="18" t="s">
        <v>30</v>
      </c>
      <c r="D635" s="14" t="str">
        <f>IF(ISBLANK(Raw_Data!D635),AVERAGE(Raw_Data!D$2:D$5002),Raw_Data!D635)</f>
        <v>25277.71</v>
      </c>
      <c r="E635" s="15" t="str">
        <f>IF(ISBLANK(Raw_Data!E635),AVERAGE(Raw_Data!E$2:E$5002),Raw_Data!E635)</f>
        <v>7583.31</v>
      </c>
      <c r="F635" s="15" t="str">
        <f>IF(ISBLANK(Raw_Data!F635),AVERAGE(Raw_Data!F$2:F$5002),Raw_Data!F635)</f>
        <v>3003.21</v>
      </c>
      <c r="G635" s="14" t="str">
        <f>IF(ISBLANK(Raw_Data!G635),AVERAGE(Raw_Data!G$2:G$5002),Raw_Data!G635)</f>
        <v>1346.67</v>
      </c>
      <c r="H635" s="15" t="str">
        <f t="shared" si="1"/>
        <v>35864.00</v>
      </c>
      <c r="I635" s="14" t="str">
        <f t="shared" si="2"/>
        <v>34517.00</v>
      </c>
      <c r="J635" s="16" t="str">
        <f>TEXT(Raw_Data!J635,"MMM-YYY")</f>
        <v>Aug-2025</v>
      </c>
      <c r="K635" s="13" t="str">
        <f>Raw_Data!K635</f>
        <v>11</v>
      </c>
      <c r="L635" s="17" t="str">
        <f>Raw_Data!L635</f>
        <v>Pune-West</v>
      </c>
      <c r="M635" s="13" t="str">
        <f t="shared" si="3"/>
        <v>OK</v>
      </c>
      <c r="N635" s="18" t="str">
        <f t="shared" si="4"/>
        <v>VALID</v>
      </c>
    </row>
    <row r="636" ht="15.75" customHeight="1">
      <c r="A636" s="13" t="str">
        <f>Raw_Data!A636</f>
        <v>EMP0666</v>
      </c>
      <c r="B636" s="13" t="str">
        <f>TRIM(CLEAN(Raw_Data!B636))</f>
        <v>Operations</v>
      </c>
      <c r="C636" s="18" t="s">
        <v>37</v>
      </c>
      <c r="D636" s="14" t="str">
        <f>IF(ISBLANK(Raw_Data!D636),AVERAGE(Raw_Data!D$2:D$5002),Raw_Data!D636)</f>
        <v>51295.68</v>
      </c>
      <c r="E636" s="15" t="str">
        <f>IF(ISBLANK(Raw_Data!E636),AVERAGE(Raw_Data!E$2:E$5002),Raw_Data!E636)</f>
        <v>15388.70</v>
      </c>
      <c r="F636" s="15" t="str">
        <f>IF(ISBLANK(Raw_Data!F636),AVERAGE(Raw_Data!F$2:F$5002),Raw_Data!F636)</f>
        <v>1677.51</v>
      </c>
      <c r="G636" s="14" t="str">
        <f>IF(ISBLANK(Raw_Data!G636),AVERAGE(Raw_Data!G$2:G$5002),Raw_Data!G636)</f>
        <v>13765.07</v>
      </c>
      <c r="H636" s="15" t="str">
        <f t="shared" si="1"/>
        <v>68362.00</v>
      </c>
      <c r="I636" s="14" t="str">
        <f t="shared" si="2"/>
        <v>54597.00</v>
      </c>
      <c r="J636" s="16" t="str">
        <f>TEXT(Raw_Data!J636,"MMM-YYY")</f>
        <v>Dec-2025</v>
      </c>
      <c r="K636" s="13" t="str">
        <f>Raw_Data!K636</f>
        <v>9</v>
      </c>
      <c r="L636" s="17" t="str">
        <f>Raw_Data!L636</f>
        <v>Hyderabad-South</v>
      </c>
      <c r="M636" s="13" t="str">
        <f t="shared" si="3"/>
        <v>OK</v>
      </c>
      <c r="N636" s="18" t="str">
        <f t="shared" si="4"/>
        <v>VALID</v>
      </c>
    </row>
    <row r="637" ht="15.75" customHeight="1">
      <c r="A637" s="13" t="str">
        <f>Raw_Data!A637</f>
        <v>EMP0667</v>
      </c>
      <c r="B637" s="13" t="str">
        <f>TRIM(CLEAN(Raw_Data!B637))</f>
        <v>Customer Support</v>
      </c>
      <c r="C637" s="18" t="s">
        <v>18</v>
      </c>
      <c r="D637" s="14" t="str">
        <f>IF(ISBLANK(Raw_Data!D637),AVERAGE(Raw_Data!D$2:D$5002),Raw_Data!D637)</f>
        <v>67350.19</v>
      </c>
      <c r="E637" s="15" t="str">
        <f>IF(ISBLANK(Raw_Data!E637),AVERAGE(Raw_Data!E$2:E$5002),Raw_Data!E637)</f>
        <v>20205.06</v>
      </c>
      <c r="F637" s="15" t="str">
        <f>IF(ISBLANK(Raw_Data!F637),AVERAGE(Raw_Data!F$2:F$5002),Raw_Data!F637)</f>
        <v>369.76</v>
      </c>
      <c r="G637" s="14" t="str">
        <f>IF(ISBLANK(Raw_Data!G637),AVERAGE(Raw_Data!G$2:G$5002),Raw_Data!G637)</f>
        <v>1003.20</v>
      </c>
      <c r="H637" s="15" t="str">
        <f t="shared" si="1"/>
        <v>87925.00</v>
      </c>
      <c r="I637" s="14" t="str">
        <f t="shared" si="2"/>
        <v>86922.00</v>
      </c>
      <c r="J637" s="16" t="str">
        <f>TEXT(Raw_Data!J637,"MMM-YYY")</f>
        <v>Oct-2025</v>
      </c>
      <c r="K637" s="13" t="str">
        <f>Raw_Data!K637</f>
        <v>16</v>
      </c>
      <c r="L637" s="17" t="str">
        <f>Raw_Data!L637</f>
        <v>Chandigarh-North</v>
      </c>
      <c r="M637" s="13" t="str">
        <f t="shared" si="3"/>
        <v>OK</v>
      </c>
      <c r="N637" s="18" t="str">
        <f t="shared" si="4"/>
        <v>VALID</v>
      </c>
    </row>
    <row r="638" ht="15.75" customHeight="1">
      <c r="A638" s="13" t="str">
        <f>Raw_Data!A638</f>
        <v>EMP0668</v>
      </c>
      <c r="B638" s="13" t="str">
        <f>TRIM(CLEAN(Raw_Data!B638))</f>
        <v>Customer Support</v>
      </c>
      <c r="C638" s="18" t="s">
        <v>30</v>
      </c>
      <c r="D638" s="14" t="str">
        <f>IF(ISBLANK(Raw_Data!D638),AVERAGE(Raw_Data!D$2:D$5002),Raw_Data!D638)</f>
        <v>29542.58</v>
      </c>
      <c r="E638" s="15" t="str">
        <f>IF(ISBLANK(Raw_Data!E638),AVERAGE(Raw_Data!E$2:E$5002),Raw_Data!E638)</f>
        <v>8862.77</v>
      </c>
      <c r="F638" s="15" t="str">
        <f>IF(ISBLANK(Raw_Data!F638),AVERAGE(Raw_Data!F$2:F$5002),Raw_Data!F638)</f>
        <v>3825.05</v>
      </c>
      <c r="G638" s="14" t="str">
        <f>IF(ISBLANK(Raw_Data!G638),AVERAGE(Raw_Data!G$2:G$5002),Raw_Data!G638)</f>
        <v>6006.26</v>
      </c>
      <c r="H638" s="15" t="str">
        <f t="shared" si="1"/>
        <v>42230.00</v>
      </c>
      <c r="I638" s="14" t="str">
        <f t="shared" si="2"/>
        <v>36224.00</v>
      </c>
      <c r="J638" s="16" t="str">
        <f>TEXT(Raw_Data!J638,"MMM-YYY")</f>
        <v>May-2025</v>
      </c>
      <c r="K638" s="13" t="str">
        <f>Raw_Data!K638</f>
        <v>20</v>
      </c>
      <c r="L638" s="17" t="str">
        <f>Raw_Data!L638</f>
        <v>Ahmedabad-West</v>
      </c>
      <c r="M638" s="13" t="str">
        <f t="shared" si="3"/>
        <v>OK</v>
      </c>
      <c r="N638" s="18" t="str">
        <f t="shared" si="4"/>
        <v>VALID</v>
      </c>
    </row>
    <row r="639" ht="15.75" customHeight="1">
      <c r="A639" s="13" t="str">
        <f>Raw_Data!A639</f>
        <v>EMP0669</v>
      </c>
      <c r="B639" s="13" t="str">
        <f>TRIM(CLEAN(Raw_Data!B639))</f>
        <v>Sales</v>
      </c>
      <c r="C639" s="18" t="s">
        <v>54</v>
      </c>
      <c r="D639" s="14" t="str">
        <f>IF(ISBLANK(Raw_Data!D639),AVERAGE(Raw_Data!D$2:D$5002),Raw_Data!D639)</f>
        <v>42185.94</v>
      </c>
      <c r="E639" s="15" t="str">
        <f>IF(ISBLANK(Raw_Data!E639),AVERAGE(Raw_Data!E$2:E$5002),Raw_Data!E639)</f>
        <v>12655.78</v>
      </c>
      <c r="F639" s="15" t="str">
        <f>IF(ISBLANK(Raw_Data!F639),AVERAGE(Raw_Data!F$2:F$5002),Raw_Data!F639)</f>
        <v>7295.05</v>
      </c>
      <c r="G639" s="14" t="str">
        <f>IF(ISBLANK(Raw_Data!G639),AVERAGE(Raw_Data!G$2:G$5002),Raw_Data!G639)</f>
        <v>12239.89</v>
      </c>
      <c r="H639" s="15" t="str">
        <f t="shared" si="1"/>
        <v>62137.00</v>
      </c>
      <c r="I639" s="14" t="str">
        <f t="shared" si="2"/>
        <v>49897.00</v>
      </c>
      <c r="J639" s="16" t="str">
        <f>TEXT(Raw_Data!J639,"MMM-YYY")</f>
        <v>Nov-2025</v>
      </c>
      <c r="K639" s="13" t="str">
        <f>Raw_Data!K639</f>
        <v>13</v>
      </c>
      <c r="L639" s="17" t="str">
        <f>Raw_Data!L639</f>
        <v>Jaipur-North</v>
      </c>
      <c r="M639" s="13" t="str">
        <f t="shared" si="3"/>
        <v>OK</v>
      </c>
      <c r="N639" s="18" t="str">
        <f t="shared" si="4"/>
        <v>VALID</v>
      </c>
    </row>
    <row r="640" ht="15.75" customHeight="1">
      <c r="A640" s="13" t="str">
        <f>Raw_Data!A640</f>
        <v>EMP0670</v>
      </c>
      <c r="B640" s="13" t="str">
        <f>TRIM(CLEAN(Raw_Data!B640))</f>
        <v>HR</v>
      </c>
      <c r="C640" s="18" t="s">
        <v>54</v>
      </c>
      <c r="D640" s="14" t="str">
        <f>IF(ISBLANK(Raw_Data!D640),AVERAGE(Raw_Data!D$2:D$5002),Raw_Data!D640)</f>
        <v>47761.22</v>
      </c>
      <c r="E640" s="15" t="str">
        <f>IF(ISBLANK(Raw_Data!E640),AVERAGE(Raw_Data!E$2:E$5002),Raw_Data!E640)</f>
        <v>14328.37</v>
      </c>
      <c r="F640" s="15" t="str">
        <f>IF(ISBLANK(Raw_Data!F640),AVERAGE(Raw_Data!F$2:F$5002),Raw_Data!F640)</f>
        <v>6183.85</v>
      </c>
      <c r="G640" s="14" t="str">
        <f>IF(ISBLANK(Raw_Data!G640),AVERAGE(Raw_Data!G$2:G$5002),Raw_Data!G640)</f>
        <v>8613.38</v>
      </c>
      <c r="H640" s="15" t="str">
        <f t="shared" si="1"/>
        <v>68273.00</v>
      </c>
      <c r="I640" s="14" t="str">
        <f t="shared" si="2"/>
        <v>59660.00</v>
      </c>
      <c r="J640" s="16" t="str">
        <f>TEXT(Raw_Data!J640,"MMM-YYY")</f>
        <v>Jan-2025</v>
      </c>
      <c r="K640" s="13" t="str">
        <f>Raw_Data!K640</f>
        <v>3</v>
      </c>
      <c r="L640" s="17" t="str">
        <f>Raw_Data!L640</f>
        <v>Mumbai-HO</v>
      </c>
      <c r="M640" s="13" t="str">
        <f t="shared" si="3"/>
        <v>OK</v>
      </c>
      <c r="N640" s="18" t="str">
        <f t="shared" si="4"/>
        <v>VALID</v>
      </c>
    </row>
    <row r="641" ht="15.75" customHeight="1">
      <c r="A641" s="13" t="str">
        <f>Raw_Data!A641</f>
        <v>EMP0671</v>
      </c>
      <c r="B641" s="13" t="str">
        <f>TRIM(CLEAN(Raw_Data!B641))</f>
        <v>Finance</v>
      </c>
      <c r="C641" s="18" t="s">
        <v>33</v>
      </c>
      <c r="D641" s="14" t="str">
        <f>IF(ISBLANK(Raw_Data!D641),AVERAGE(Raw_Data!D$2:D$5002),Raw_Data!D641)</f>
        <v>31083.44</v>
      </c>
      <c r="E641" s="15" t="str">
        <f>IF(ISBLANK(Raw_Data!E641),AVERAGE(Raw_Data!E$2:E$5002),Raw_Data!E641)</f>
        <v>9325.03</v>
      </c>
      <c r="F641" s="15" t="str">
        <f>IF(ISBLANK(Raw_Data!F641),AVERAGE(Raw_Data!F$2:F$5002),Raw_Data!F641)</f>
        <v>5862.37</v>
      </c>
      <c r="G641" s="14" t="str">
        <f>IF(ISBLANK(Raw_Data!G641),AVERAGE(Raw_Data!G$2:G$5002),Raw_Data!G641)</f>
        <v>6646.33</v>
      </c>
      <c r="H641" s="15" t="str">
        <f t="shared" si="1"/>
        <v>46271.00</v>
      </c>
      <c r="I641" s="14" t="str">
        <f t="shared" si="2"/>
        <v>39625.00</v>
      </c>
      <c r="J641" s="16" t="str">
        <f>TEXT(Raw_Data!J641,"MMM-YYY")</f>
        <v>Dec-2025</v>
      </c>
      <c r="K641" s="13" t="str">
        <f>Raw_Data!K641</f>
        <v>20</v>
      </c>
      <c r="L641" s="17" t="str">
        <f>Raw_Data!L641</f>
        <v>Delhi-North</v>
      </c>
      <c r="M641" s="13" t="str">
        <f t="shared" si="3"/>
        <v>OK</v>
      </c>
      <c r="N641" s="18" t="str">
        <f t="shared" si="4"/>
        <v>VALID</v>
      </c>
    </row>
    <row r="642" ht="15.75" customHeight="1">
      <c r="A642" s="13" t="str">
        <f>Raw_Data!A642</f>
        <v>EMP0672</v>
      </c>
      <c r="B642" s="13" t="str">
        <f>TRIM(CLEAN(Raw_Data!B642))</f>
        <v>Sales</v>
      </c>
      <c r="C642" s="18" t="s">
        <v>33</v>
      </c>
      <c r="D642" s="14" t="str">
        <f>IF(ISBLANK(Raw_Data!D642),AVERAGE(Raw_Data!D$2:D$5002),Raw_Data!D642)</f>
        <v>29238.07</v>
      </c>
      <c r="E642" s="15" t="str">
        <f>IF(ISBLANK(Raw_Data!E642),AVERAGE(Raw_Data!E$2:E$5002),Raw_Data!E642)</f>
        <v>8771.42</v>
      </c>
      <c r="F642" s="15" t="str">
        <f>IF(ISBLANK(Raw_Data!F642),AVERAGE(Raw_Data!F$2:F$5002),Raw_Data!F642)</f>
        <v>2201.48</v>
      </c>
      <c r="G642" s="14" t="str">
        <f>IF(ISBLANK(Raw_Data!G642),AVERAGE(Raw_Data!G$2:G$5002),Raw_Data!G642)</f>
        <v>3058.68</v>
      </c>
      <c r="H642" s="15" t="str">
        <f t="shared" si="1"/>
        <v>40211.00</v>
      </c>
      <c r="I642" s="14" t="str">
        <f t="shared" si="2"/>
        <v>37152.00</v>
      </c>
      <c r="J642" s="16" t="str">
        <f>TEXT(Raw_Data!J642,"MMM-YYY")</f>
        <v>May-2025</v>
      </c>
      <c r="K642" s="13" t="str">
        <f>Raw_Data!K642</f>
        <v>12</v>
      </c>
      <c r="L642" s="17" t="str">
        <f>Raw_Data!L642</f>
        <v>Bangalore-South</v>
      </c>
      <c r="M642" s="13" t="str">
        <f t="shared" si="3"/>
        <v>OK</v>
      </c>
      <c r="N642" s="18" t="str">
        <f t="shared" si="4"/>
        <v>VALID</v>
      </c>
    </row>
    <row r="643" ht="15.75" customHeight="1">
      <c r="A643" s="13" t="str">
        <f>Raw_Data!A643</f>
        <v>EMP0673</v>
      </c>
      <c r="B643" s="13" t="str">
        <f>TRIM(CLEAN(Raw_Data!B643))</f>
        <v>Finance</v>
      </c>
      <c r="C643" s="18" t="s">
        <v>54</v>
      </c>
      <c r="D643" s="14" t="str">
        <f>IF(ISBLANK(Raw_Data!D643),AVERAGE(Raw_Data!D$2:D$5002),Raw_Data!D643)</f>
        <v>39230.03</v>
      </c>
      <c r="E643" s="15" t="str">
        <f>IF(ISBLANK(Raw_Data!E643),AVERAGE(Raw_Data!E$2:E$5002),Raw_Data!E643)</f>
        <v>11769.01</v>
      </c>
      <c r="F643" s="15" t="str">
        <f>IF(ISBLANK(Raw_Data!F643),AVERAGE(Raw_Data!F$2:F$5002),Raw_Data!F643)</f>
        <v>4084.93</v>
      </c>
      <c r="G643" s="14" t="str">
        <f>IF(ISBLANK(Raw_Data!G643),AVERAGE(Raw_Data!G$2:G$5002),Raw_Data!G643)</f>
        <v>7339.23</v>
      </c>
      <c r="H643" s="15" t="str">
        <f t="shared" si="1"/>
        <v>55084.00</v>
      </c>
      <c r="I643" s="14" t="str">
        <f t="shared" si="2"/>
        <v>47745.00</v>
      </c>
      <c r="J643" s="16" t="str">
        <f>TEXT(Raw_Data!J643,"MMM-YYY")</f>
        <v>Oct-2025</v>
      </c>
      <c r="K643" s="13" t="str">
        <f>Raw_Data!K643</f>
        <v>8</v>
      </c>
      <c r="L643" s="17" t="str">
        <f>Raw_Data!L643</f>
        <v>Chennai-South</v>
      </c>
      <c r="M643" s="13" t="str">
        <f t="shared" si="3"/>
        <v>OK</v>
      </c>
      <c r="N643" s="18" t="str">
        <f t="shared" si="4"/>
        <v>VALID</v>
      </c>
    </row>
    <row r="644" ht="15.75" customHeight="1">
      <c r="A644" s="13" t="str">
        <f>Raw_Data!A644</f>
        <v>EMP0674</v>
      </c>
      <c r="B644" s="13" t="str">
        <f>TRIM(CLEAN(Raw_Data!B644))</f>
        <v>HR</v>
      </c>
      <c r="C644" s="18" t="s">
        <v>14</v>
      </c>
      <c r="D644" s="14" t="str">
        <f>IF(ISBLANK(Raw_Data!D644),AVERAGE(Raw_Data!D$2:D$5002),Raw_Data!D644)</f>
        <v>21682.90</v>
      </c>
      <c r="E644" s="15" t="str">
        <f>IF(ISBLANK(Raw_Data!E644),AVERAGE(Raw_Data!E$2:E$5002),Raw_Data!E644)</f>
        <v>6504.87</v>
      </c>
      <c r="F644" s="15" t="str">
        <f>IF(ISBLANK(Raw_Data!F644),AVERAGE(Raw_Data!F$2:F$5002),Raw_Data!F644)</f>
        <v>2872.36</v>
      </c>
      <c r="G644" s="14" t="str">
        <f>IF(ISBLANK(Raw_Data!G644),AVERAGE(Raw_Data!G$2:G$5002),Raw_Data!G644)</f>
        <v>5485.45</v>
      </c>
      <c r="H644" s="15" t="str">
        <f t="shared" si="1"/>
        <v>31060.00</v>
      </c>
      <c r="I644" s="14" t="str">
        <f t="shared" si="2"/>
        <v>25575.00</v>
      </c>
      <c r="J644" s="16" t="str">
        <f>TEXT(Raw_Data!J644,"MMM-YYY")</f>
        <v>Jun-2025</v>
      </c>
      <c r="K644" s="13" t="str">
        <f>Raw_Data!K644</f>
        <v>24</v>
      </c>
      <c r="L644" s="17" t="str">
        <f>Raw_Data!L644</f>
        <v>Kolkata-East</v>
      </c>
      <c r="M644" s="13" t="str">
        <f t="shared" si="3"/>
        <v>OK</v>
      </c>
      <c r="N644" s="18" t="str">
        <f t="shared" si="4"/>
        <v>VALID</v>
      </c>
    </row>
    <row r="645" ht="15.75" customHeight="1">
      <c r="A645" s="13" t="str">
        <f>Raw_Data!A645</f>
        <v>EMP0675</v>
      </c>
      <c r="B645" s="13" t="str">
        <f>TRIM(CLEAN(Raw_Data!B645))</f>
        <v>Operations</v>
      </c>
      <c r="C645" s="18" t="s">
        <v>18</v>
      </c>
      <c r="D645" s="14" t="str">
        <f>IF(ISBLANK(Raw_Data!D645),AVERAGE(Raw_Data!D$2:D$5002),Raw_Data!D645)</f>
        <v>80438.09</v>
      </c>
      <c r="E645" s="15" t="str">
        <f>IF(ISBLANK(Raw_Data!E645),AVERAGE(Raw_Data!E$2:E$5002),Raw_Data!E645)</f>
        <v>24131.43</v>
      </c>
      <c r="F645" s="15" t="str">
        <f>IF(ISBLANK(Raw_Data!F645),AVERAGE(Raw_Data!F$2:F$5002),Raw_Data!F645)</f>
        <v>4547.60</v>
      </c>
      <c r="G645" s="14" t="str">
        <f>IF(ISBLANK(Raw_Data!G645),AVERAGE(Raw_Data!G$2:G$5002),Raw_Data!G645)</f>
        <v>16515.87</v>
      </c>
      <c r="H645" s="15" t="str">
        <f t="shared" si="1"/>
        <v>109117.00</v>
      </c>
      <c r="I645" s="14" t="str">
        <f t="shared" si="2"/>
        <v>92601.00</v>
      </c>
      <c r="J645" s="16" t="str">
        <f>TEXT(Raw_Data!J645,"MMM-YYY")</f>
        <v>Aug-2025</v>
      </c>
      <c r="K645" s="13" t="str">
        <f>Raw_Data!K645</f>
        <v>3</v>
      </c>
      <c r="L645" s="17" t="str">
        <f>Raw_Data!L645</f>
        <v>Pune-West</v>
      </c>
      <c r="M645" s="13" t="str">
        <f t="shared" si="3"/>
        <v>OK</v>
      </c>
      <c r="N645" s="18" t="str">
        <f t="shared" si="4"/>
        <v>VALID</v>
      </c>
    </row>
    <row r="646" ht="15.75" customHeight="1">
      <c r="A646" s="13" t="str">
        <f>Raw_Data!A646</f>
        <v>EMP0676</v>
      </c>
      <c r="B646" s="13" t="str">
        <f>TRIM(CLEAN(Raw_Data!B646))</f>
        <v>HR</v>
      </c>
      <c r="C646" s="18" t="s">
        <v>33</v>
      </c>
      <c r="D646" s="14" t="str">
        <f>IF(ISBLANK(Raw_Data!D646),AVERAGE(Raw_Data!D$2:D$5002),Raw_Data!D646)</f>
        <v>34883.61</v>
      </c>
      <c r="E646" s="15" t="str">
        <f>IF(ISBLANK(Raw_Data!E646),AVERAGE(Raw_Data!E$2:E$5002),Raw_Data!E646)</f>
        <v>10465.08</v>
      </c>
      <c r="F646" s="15" t="str">
        <f>IF(ISBLANK(Raw_Data!F646),AVERAGE(Raw_Data!F$2:F$5002),Raw_Data!F646)</f>
        <v>4469.25</v>
      </c>
      <c r="G646" s="14" t="str">
        <f>IF(ISBLANK(Raw_Data!G646),AVERAGE(Raw_Data!G$2:G$5002),Raw_Data!G646)</f>
        <v>9015.58</v>
      </c>
      <c r="H646" s="15" t="str">
        <f t="shared" si="1"/>
        <v>49818.00</v>
      </c>
      <c r="I646" s="14" t="str">
        <f t="shared" si="2"/>
        <v>40802.00</v>
      </c>
      <c r="J646" s="16" t="str">
        <f>TEXT(Raw_Data!J646,"MMM-YYY")</f>
        <v>May-2025</v>
      </c>
      <c r="K646" s="13" t="str">
        <f>Raw_Data!K646</f>
        <v>18</v>
      </c>
      <c r="L646" s="17" t="str">
        <f>Raw_Data!L646</f>
        <v>Hyderabad-South</v>
      </c>
      <c r="M646" s="13" t="str">
        <f t="shared" si="3"/>
        <v>OK</v>
      </c>
      <c r="N646" s="18" t="str">
        <f t="shared" si="4"/>
        <v>VALID</v>
      </c>
    </row>
    <row r="647" ht="15.75" customHeight="1">
      <c r="A647" s="13" t="str">
        <f>Raw_Data!A647</f>
        <v>EMP0678</v>
      </c>
      <c r="B647" s="13" t="str">
        <f>TRIM(CLEAN(Raw_Data!B647))</f>
        <v>Customer Support</v>
      </c>
      <c r="C647" s="18" t="s">
        <v>30</v>
      </c>
      <c r="D647" s="14" t="str">
        <f>IF(ISBLANK(Raw_Data!D647),AVERAGE(Raw_Data!D$2:D$5002),Raw_Data!D647)</f>
        <v>29917.25</v>
      </c>
      <c r="E647" s="15" t="str">
        <f>IF(ISBLANK(Raw_Data!E647),AVERAGE(Raw_Data!E$2:E$5002),Raw_Data!E647)</f>
        <v>8975.17</v>
      </c>
      <c r="F647" s="15" t="str">
        <f>IF(ISBLANK(Raw_Data!F647),AVERAGE(Raw_Data!F$2:F$5002),Raw_Data!F647)</f>
        <v>4819.25</v>
      </c>
      <c r="G647" s="14" t="str">
        <f>IF(ISBLANK(Raw_Data!G647),AVERAGE(Raw_Data!G$2:G$5002),Raw_Data!G647)</f>
        <v>7201.36</v>
      </c>
      <c r="H647" s="15" t="str">
        <f t="shared" si="1"/>
        <v>43712.00</v>
      </c>
      <c r="I647" s="14" t="str">
        <f t="shared" si="2"/>
        <v>36511.00</v>
      </c>
      <c r="J647" s="16" t="str">
        <f>TEXT(Raw_Data!J647,"MMM-YYY")</f>
        <v>Oct-2025</v>
      </c>
      <c r="K647" s="13" t="str">
        <f>Raw_Data!K647</f>
        <v>8</v>
      </c>
      <c r="L647" s="17" t="str">
        <f>Raw_Data!L647</f>
        <v>Ahmedabad-West</v>
      </c>
      <c r="M647" s="13" t="str">
        <f t="shared" si="3"/>
        <v>OK</v>
      </c>
      <c r="N647" s="18" t="str">
        <f t="shared" si="4"/>
        <v>VALID</v>
      </c>
    </row>
    <row r="648" ht="15.75" customHeight="1">
      <c r="A648" s="13" t="str">
        <f>Raw_Data!A648</f>
        <v>EMP0679</v>
      </c>
      <c r="B648" s="13" t="str">
        <f>TRIM(CLEAN(Raw_Data!B648))</f>
        <v>Marketing</v>
      </c>
      <c r="C648" s="18" t="s">
        <v>18</v>
      </c>
      <c r="D648" s="14" t="str">
        <f>IF(ISBLANK(Raw_Data!D648),AVERAGE(Raw_Data!D$2:D$5002),Raw_Data!D648)</f>
        <v>73309.23</v>
      </c>
      <c r="E648" s="15" t="str">
        <f>IF(ISBLANK(Raw_Data!E648),AVERAGE(Raw_Data!E$2:E$5002),Raw_Data!E648)</f>
        <v>21992.77</v>
      </c>
      <c r="F648" s="15" t="str">
        <f>IF(ISBLANK(Raw_Data!F648),AVERAGE(Raw_Data!F$2:F$5002),Raw_Data!F648)</f>
        <v>2051.62</v>
      </c>
      <c r="G648" s="14" t="str">
        <f>IF(ISBLANK(Raw_Data!G648),AVERAGE(Raw_Data!G$2:G$5002),Raw_Data!G648)</f>
        <v>559.83</v>
      </c>
      <c r="H648" s="15" t="str">
        <f t="shared" si="1"/>
        <v>97354.00</v>
      </c>
      <c r="I648" s="14" t="str">
        <f t="shared" si="2"/>
        <v>96794.00</v>
      </c>
      <c r="J648" s="16" t="str">
        <f>TEXT(Raw_Data!J648,"MMM-YYY")</f>
        <v>Aug-2025</v>
      </c>
      <c r="K648" s="13" t="str">
        <f>Raw_Data!K648</f>
        <v>14</v>
      </c>
      <c r="L648" s="17" t="str">
        <f>Raw_Data!L648</f>
        <v>Jaipur-North</v>
      </c>
      <c r="M648" s="13" t="str">
        <f t="shared" si="3"/>
        <v>OK</v>
      </c>
      <c r="N648" s="18" t="str">
        <f t="shared" si="4"/>
        <v>VALID</v>
      </c>
    </row>
    <row r="649" ht="15.75" customHeight="1">
      <c r="A649" s="13" t="str">
        <f>Raw_Data!A649</f>
        <v>EMP0681</v>
      </c>
      <c r="B649" s="13" t="str">
        <f>TRIM(CLEAN(Raw_Data!B649))</f>
        <v>Sales</v>
      </c>
      <c r="C649" s="18" t="s">
        <v>37</v>
      </c>
      <c r="D649" s="14" t="str">
        <f>IF(ISBLANK(Raw_Data!D649),AVERAGE(Raw_Data!D$2:D$5002),Raw_Data!D649)</f>
        <v>59688.26</v>
      </c>
      <c r="E649" s="15" t="str">
        <f>IF(ISBLANK(Raw_Data!E649),AVERAGE(Raw_Data!E$2:E$5002),Raw_Data!E649)</f>
        <v>17906.48</v>
      </c>
      <c r="F649" s="15" t="str">
        <f>IF(ISBLANK(Raw_Data!F649),AVERAGE(Raw_Data!F$2:F$5002),Raw_Data!F649)</f>
        <v>4096.61</v>
      </c>
      <c r="G649" s="14" t="str">
        <f>IF(ISBLANK(Raw_Data!G649),AVERAGE(Raw_Data!G$2:G$5002),Raw_Data!G649)</f>
        <v>12773.93</v>
      </c>
      <c r="H649" s="15" t="str">
        <f t="shared" si="1"/>
        <v>81691.00</v>
      </c>
      <c r="I649" s="14" t="str">
        <f t="shared" si="2"/>
        <v>68917.00</v>
      </c>
      <c r="J649" s="16" t="str">
        <f>TEXT(Raw_Data!J649,"MMM-YYY")</f>
        <v>Nov-2025</v>
      </c>
      <c r="K649" s="13" t="str">
        <f>Raw_Data!K649</f>
        <v>8</v>
      </c>
      <c r="L649" s="17" t="str">
        <f>Raw_Data!L649</f>
        <v>Delhi-North</v>
      </c>
      <c r="M649" s="13" t="str">
        <f t="shared" si="3"/>
        <v>OK</v>
      </c>
      <c r="N649" s="18" t="str">
        <f t="shared" si="4"/>
        <v>VALID</v>
      </c>
    </row>
    <row r="650" ht="15.75" customHeight="1">
      <c r="A650" s="13" t="str">
        <f>Raw_Data!A650</f>
        <v>EMP0682</v>
      </c>
      <c r="B650" s="13" t="str">
        <f>TRIM(CLEAN(Raw_Data!B650))</f>
        <v>Operations</v>
      </c>
      <c r="C650" s="18" t="s">
        <v>18</v>
      </c>
      <c r="D650" s="14" t="str">
        <f>IF(ISBLANK(Raw_Data!D650),AVERAGE(Raw_Data!D$2:D$5002),Raw_Data!D650)</f>
        <v>85407.32</v>
      </c>
      <c r="E650" s="15" t="str">
        <f>IF(ISBLANK(Raw_Data!E650),AVERAGE(Raw_Data!E$2:E$5002),Raw_Data!E650)</f>
        <v>25622.20</v>
      </c>
      <c r="F650" s="15" t="str">
        <f>IF(ISBLANK(Raw_Data!F650),AVERAGE(Raw_Data!F$2:F$5002),Raw_Data!F650)</f>
        <v>15484.80</v>
      </c>
      <c r="G650" s="14" t="str">
        <f>IF(ISBLANK(Raw_Data!G650),AVERAGE(Raw_Data!G$2:G$5002),Raw_Data!G650)</f>
        <v>17214.75</v>
      </c>
      <c r="H650" s="15" t="str">
        <f t="shared" si="1"/>
        <v>126514.00</v>
      </c>
      <c r="I650" s="14" t="str">
        <f t="shared" si="2"/>
        <v>109299.00</v>
      </c>
      <c r="J650" s="16" t="str">
        <f>TEXT(Raw_Data!J650,"MMM-YYY")</f>
        <v>Sep-2025</v>
      </c>
      <c r="K650" s="13" t="str">
        <f>Raw_Data!K650</f>
        <v>18</v>
      </c>
      <c r="L650" s="17" t="str">
        <f>Raw_Data!L650</f>
        <v>Bangalore-South</v>
      </c>
      <c r="M650" s="13" t="str">
        <f t="shared" si="3"/>
        <v>OK</v>
      </c>
      <c r="N650" s="18" t="str">
        <f t="shared" si="4"/>
        <v>VALID</v>
      </c>
    </row>
    <row r="651" ht="15.75" customHeight="1">
      <c r="A651" s="13" t="str">
        <f>Raw_Data!A651</f>
        <v>EMP0683</v>
      </c>
      <c r="B651" s="13" t="str">
        <f>TRIM(CLEAN(Raw_Data!B651))</f>
        <v>IT</v>
      </c>
      <c r="C651" s="18" t="s">
        <v>26</v>
      </c>
      <c r="D651" s="14" t="str">
        <f>IF(ISBLANK(Raw_Data!D651),AVERAGE(Raw_Data!D$2:D$5002),Raw_Data!D651)</f>
        <v>96119.52</v>
      </c>
      <c r="E651" s="15" t="str">
        <f>IF(ISBLANK(Raw_Data!E651),AVERAGE(Raw_Data!E$2:E$5002),Raw_Data!E651)</f>
        <v>28835.86</v>
      </c>
      <c r="F651" s="15" t="str">
        <f>IF(ISBLANK(Raw_Data!F651),AVERAGE(Raw_Data!F$2:F$5002),Raw_Data!F651)</f>
        <v>12641.92</v>
      </c>
      <c r="G651" s="14" t="str">
        <f>IF(ISBLANK(Raw_Data!G651),AVERAGE(Raw_Data!G$2:G$5002),Raw_Data!G651)</f>
        <v>16097.56</v>
      </c>
      <c r="H651" s="15" t="str">
        <f t="shared" si="1"/>
        <v>137597.00</v>
      </c>
      <c r="I651" s="14" t="str">
        <f t="shared" si="2"/>
        <v>121499.00</v>
      </c>
      <c r="J651" s="16" t="str">
        <f>TEXT(Raw_Data!J651,"MMM-YYY")</f>
        <v>May-2025</v>
      </c>
      <c r="K651" s="13" t="str">
        <f>Raw_Data!K651</f>
        <v>9</v>
      </c>
      <c r="L651" s="17" t="str">
        <f>Raw_Data!L651</f>
        <v>Chennai-South</v>
      </c>
      <c r="M651" s="13" t="str">
        <f t="shared" si="3"/>
        <v>OK</v>
      </c>
      <c r="N651" s="18" t="str">
        <f t="shared" si="4"/>
        <v>VALID</v>
      </c>
    </row>
    <row r="652" ht="15.75" customHeight="1">
      <c r="A652" s="13" t="str">
        <f>Raw_Data!A652</f>
        <v>EMP0684</v>
      </c>
      <c r="B652" s="13" t="str">
        <f>TRIM(CLEAN(Raw_Data!B652))</f>
        <v>HR</v>
      </c>
      <c r="C652" s="18" t="s">
        <v>54</v>
      </c>
      <c r="D652" s="14" t="str">
        <f>IF(ISBLANK(Raw_Data!D652),AVERAGE(Raw_Data!D$2:D$5002),Raw_Data!D652)</f>
        <v>36791.22</v>
      </c>
      <c r="E652" s="15" t="str">
        <f>IF(ISBLANK(Raw_Data!E652),AVERAGE(Raw_Data!E$2:E$5002),Raw_Data!E652)</f>
        <v>11037.37</v>
      </c>
      <c r="F652" s="15" t="str">
        <f>IF(ISBLANK(Raw_Data!F652),AVERAGE(Raw_Data!F$2:F$5002),Raw_Data!F652)</f>
        <v>1903.22</v>
      </c>
      <c r="G652" s="14" t="str">
        <f>IF(ISBLANK(Raw_Data!G652),AVERAGE(Raw_Data!G$2:G$5002),Raw_Data!G652)</f>
        <v>8921.99</v>
      </c>
      <c r="H652" s="15" t="str">
        <f t="shared" si="1"/>
        <v>49732.00</v>
      </c>
      <c r="I652" s="14" t="str">
        <f t="shared" si="2"/>
        <v>40810.00</v>
      </c>
      <c r="J652" s="16" t="str">
        <f>TEXT(Raw_Data!J652,"MMM-YYY")</f>
        <v>Mar-2025</v>
      </c>
      <c r="K652" s="13" t="str">
        <f>Raw_Data!K652</f>
        <v>7</v>
      </c>
      <c r="L652" s="17" t="str">
        <f>Raw_Data!L652</f>
        <v>Kolkata-East</v>
      </c>
      <c r="M652" s="13" t="str">
        <f t="shared" si="3"/>
        <v>OK</v>
      </c>
      <c r="N652" s="18" t="str">
        <f t="shared" si="4"/>
        <v>VALID</v>
      </c>
    </row>
    <row r="653" ht="15.75" customHeight="1">
      <c r="A653" s="13" t="str">
        <f>Raw_Data!A653</f>
        <v>EMP0685</v>
      </c>
      <c r="B653" s="13" t="str">
        <f>TRIM(CLEAN(Raw_Data!B653))</f>
        <v>Sales</v>
      </c>
      <c r="C653" s="18" t="s">
        <v>33</v>
      </c>
      <c r="D653" s="14" t="str">
        <f>IF(ISBLANK(Raw_Data!D653),AVERAGE(Raw_Data!D$2:D$5002),Raw_Data!D653)</f>
        <v>31544.35</v>
      </c>
      <c r="E653" s="15" t="str">
        <f>IF(ISBLANK(Raw_Data!E653),AVERAGE(Raw_Data!E$2:E$5002),Raw_Data!E653)</f>
        <v>9463.30</v>
      </c>
      <c r="F653" s="15" t="str">
        <f>IF(ISBLANK(Raw_Data!F653),AVERAGE(Raw_Data!F$2:F$5002),Raw_Data!F653)</f>
        <v>1402.17</v>
      </c>
      <c r="G653" s="14" t="str">
        <f>IF(ISBLANK(Raw_Data!G653),AVERAGE(Raw_Data!G$2:G$5002),Raw_Data!G653)</f>
        <v>2113.42</v>
      </c>
      <c r="H653" s="15" t="str">
        <f t="shared" si="1"/>
        <v>42410.00</v>
      </c>
      <c r="I653" s="14" t="str">
        <f t="shared" si="2"/>
        <v>40297.00</v>
      </c>
      <c r="J653" s="16" t="str">
        <f>TEXT(Raw_Data!J653,"MMM-YYY")</f>
        <v>May-2025</v>
      </c>
      <c r="K653" s="13" t="str">
        <f>Raw_Data!K653</f>
        <v>21</v>
      </c>
      <c r="L653" s="17" t="str">
        <f>Raw_Data!L653</f>
        <v>Pune-West</v>
      </c>
      <c r="M653" s="13" t="str">
        <f t="shared" si="3"/>
        <v>OK</v>
      </c>
      <c r="N653" s="18" t="str">
        <f t="shared" si="4"/>
        <v>VALID</v>
      </c>
    </row>
    <row r="654" ht="15.75" customHeight="1">
      <c r="A654" s="13" t="str">
        <f>Raw_Data!A654</f>
        <v>EMP0686</v>
      </c>
      <c r="B654" s="13" t="str">
        <f>TRIM(CLEAN(Raw_Data!B654))</f>
        <v>Marketing</v>
      </c>
      <c r="C654" s="18" t="s">
        <v>26</v>
      </c>
      <c r="D654" s="14" t="str">
        <f>IF(ISBLANK(Raw_Data!D654),AVERAGE(Raw_Data!D$2:D$5002),Raw_Data!D654)</f>
        <v>121926.37</v>
      </c>
      <c r="E654" s="15" t="str">
        <f>IF(ISBLANK(Raw_Data!E654),AVERAGE(Raw_Data!E$2:E$5002),Raw_Data!E654)</f>
        <v>36577.91</v>
      </c>
      <c r="F654" s="15" t="str">
        <f>IF(ISBLANK(Raw_Data!F654),AVERAGE(Raw_Data!F$2:F$5002),Raw_Data!F654)</f>
        <v>9063.58</v>
      </c>
      <c r="G654" s="14" t="str">
        <f>IF(ISBLANK(Raw_Data!G654),AVERAGE(Raw_Data!G$2:G$5002),Raw_Data!G654)</f>
        <v>21418.95</v>
      </c>
      <c r="H654" s="15" t="str">
        <f t="shared" si="1"/>
        <v>167568.00</v>
      </c>
      <c r="I654" s="14" t="str">
        <f t="shared" si="2"/>
        <v>146149.00</v>
      </c>
      <c r="J654" s="16" t="str">
        <f>TEXT(Raw_Data!J654,"MMM-YYY")</f>
        <v>Aug-2025</v>
      </c>
      <c r="K654" s="13" t="str">
        <f>Raw_Data!K654</f>
        <v>5</v>
      </c>
      <c r="L654" s="17" t="str">
        <f>Raw_Data!L654</f>
        <v>Hyderabad-South</v>
      </c>
      <c r="M654" s="13" t="str">
        <f t="shared" si="3"/>
        <v>OK</v>
      </c>
      <c r="N654" s="18" t="str">
        <f t="shared" si="4"/>
        <v>VALID</v>
      </c>
    </row>
    <row r="655" ht="15.75" customHeight="1">
      <c r="A655" s="13" t="str">
        <f>Raw_Data!A655</f>
        <v>EMP0687</v>
      </c>
      <c r="B655" s="13" t="str">
        <f>TRIM(CLEAN(Raw_Data!B655))</f>
        <v>Customer Support</v>
      </c>
      <c r="C655" s="18" t="s">
        <v>14</v>
      </c>
      <c r="D655" s="14" t="str">
        <f>IF(ISBLANK(Raw_Data!D655),AVERAGE(Raw_Data!D$2:D$5002),Raw_Data!D655)</f>
        <v>21387.86</v>
      </c>
      <c r="E655" s="15" t="str">
        <f>IF(ISBLANK(Raw_Data!E655),AVERAGE(Raw_Data!E$2:E$5002),Raw_Data!E655)</f>
        <v>6416.36</v>
      </c>
      <c r="F655" s="15" t="str">
        <f>IF(ISBLANK(Raw_Data!F655),AVERAGE(Raw_Data!F$2:F$5002),Raw_Data!F655)</f>
        <v>3706.06</v>
      </c>
      <c r="G655" s="14" t="str">
        <f>IF(ISBLANK(Raw_Data!G655),AVERAGE(Raw_Data!G$2:G$5002),Raw_Data!G655)</f>
        <v>3744.42</v>
      </c>
      <c r="H655" s="15" t="str">
        <f t="shared" si="1"/>
        <v>31510.00</v>
      </c>
      <c r="I655" s="14" t="str">
        <f t="shared" si="2"/>
        <v>27766.00</v>
      </c>
      <c r="J655" s="16" t="str">
        <f>TEXT(Raw_Data!J655,"MMM-YYY")</f>
        <v>Oct-2025</v>
      </c>
      <c r="K655" s="13" t="str">
        <f>Raw_Data!K655</f>
        <v>25</v>
      </c>
      <c r="L655" s="17" t="str">
        <f>Raw_Data!L655</f>
        <v>Chandigarh-North</v>
      </c>
      <c r="M655" s="13" t="str">
        <f t="shared" si="3"/>
        <v>OK</v>
      </c>
      <c r="N655" s="18" t="str">
        <f t="shared" si="4"/>
        <v>VALID</v>
      </c>
    </row>
    <row r="656" ht="15.75" customHeight="1">
      <c r="A656" s="13" t="str">
        <f>Raw_Data!A656</f>
        <v>EMP0688</v>
      </c>
      <c r="B656" s="13" t="str">
        <f>TRIM(CLEAN(Raw_Data!B656))</f>
        <v>HR</v>
      </c>
      <c r="C656" s="18" t="s">
        <v>54</v>
      </c>
      <c r="D656" s="14" t="str">
        <f>IF(ISBLANK(Raw_Data!D656),AVERAGE(Raw_Data!D$2:D$5002),Raw_Data!D656)</f>
        <v>47451.96</v>
      </c>
      <c r="E656" s="15" t="str">
        <f>IF(ISBLANK(Raw_Data!E656),AVERAGE(Raw_Data!E$2:E$5002),Raw_Data!E656)</f>
        <v>14235.59</v>
      </c>
      <c r="F656" s="15" t="str">
        <f>IF(ISBLANK(Raw_Data!F656),AVERAGE(Raw_Data!F$2:F$5002),Raw_Data!F656)</f>
        <v>4749.73</v>
      </c>
      <c r="G656" s="14" t="str">
        <f>IF(ISBLANK(Raw_Data!G656),AVERAGE(Raw_Data!G$2:G$5002),Raw_Data!G656)</f>
        <v>12349.34</v>
      </c>
      <c r="H656" s="15" t="str">
        <f t="shared" si="1"/>
        <v>66437.00</v>
      </c>
      <c r="I656" s="14" t="str">
        <f t="shared" si="2"/>
        <v>54088.00</v>
      </c>
      <c r="J656" s="16" t="str">
        <f>TEXT(Raw_Data!J656,"MMM-YYY")</f>
        <v>Jul-2025</v>
      </c>
      <c r="K656" s="13" t="str">
        <f>Raw_Data!K656</f>
        <v>19</v>
      </c>
      <c r="L656" s="17" t="str">
        <f>Raw_Data!L656</f>
        <v>Ahmedabad-West</v>
      </c>
      <c r="M656" s="13" t="str">
        <f t="shared" si="3"/>
        <v>OK</v>
      </c>
      <c r="N656" s="18" t="str">
        <f t="shared" si="4"/>
        <v>VALID</v>
      </c>
    </row>
    <row r="657" ht="15.75" customHeight="1">
      <c r="A657" s="13" t="str">
        <f>Raw_Data!A657</f>
        <v>EMP0689</v>
      </c>
      <c r="B657" s="13" t="str">
        <f>TRIM(CLEAN(Raw_Data!B657))</f>
        <v>Operations</v>
      </c>
      <c r="C657" s="18" t="s">
        <v>33</v>
      </c>
      <c r="D657" s="14" t="str">
        <f>IF(ISBLANK(Raw_Data!D657),AVERAGE(Raw_Data!D$2:D$5002),Raw_Data!D657)</f>
        <v>29131.07</v>
      </c>
      <c r="E657" s="15" t="str">
        <f>IF(ISBLANK(Raw_Data!E657),AVERAGE(Raw_Data!E$2:E$5002),Raw_Data!E657)</f>
        <v>8739.32</v>
      </c>
      <c r="F657" s="15" t="str">
        <f>IF(ISBLANK(Raw_Data!F657),AVERAGE(Raw_Data!F$2:F$5002),Raw_Data!F657)</f>
        <v>5073.75</v>
      </c>
      <c r="G657" s="14" t="str">
        <f>IF(ISBLANK(Raw_Data!G657),AVERAGE(Raw_Data!G$2:G$5002),Raw_Data!G657)</f>
        <v>1317.70</v>
      </c>
      <c r="H657" s="15" t="str">
        <f t="shared" si="1"/>
        <v>42944.00</v>
      </c>
      <c r="I657" s="14" t="str">
        <f t="shared" si="2"/>
        <v>41626.00</v>
      </c>
      <c r="J657" s="16" t="str">
        <f>TEXT(Raw_Data!J657,"MMM-YYY")</f>
        <v>Apr-2025</v>
      </c>
      <c r="K657" s="13" t="str">
        <f>Raw_Data!K657</f>
        <v>17</v>
      </c>
      <c r="L657" s="17" t="str">
        <f>Raw_Data!L657</f>
        <v>Jaipur-North</v>
      </c>
      <c r="M657" s="13" t="str">
        <f t="shared" si="3"/>
        <v>OK</v>
      </c>
      <c r="N657" s="18" t="str">
        <f t="shared" si="4"/>
        <v>VALID</v>
      </c>
    </row>
    <row r="658" ht="15.75" customHeight="1">
      <c r="A658" s="13" t="str">
        <f>Raw_Data!A658</f>
        <v>EMP0690</v>
      </c>
      <c r="B658" s="13" t="str">
        <f>TRIM(CLEAN(Raw_Data!B658))</f>
        <v>IT</v>
      </c>
      <c r="C658" s="18" t="s">
        <v>54</v>
      </c>
      <c r="D658" s="14" t="str">
        <f>IF(ISBLANK(Raw_Data!D658),AVERAGE(Raw_Data!D$2:D$5002),Raw_Data!D658)</f>
        <v>48820.68</v>
      </c>
      <c r="E658" s="15" t="str">
        <f>IF(ISBLANK(Raw_Data!E658),AVERAGE(Raw_Data!E$2:E$5002),Raw_Data!E658)</f>
        <v>14646.20</v>
      </c>
      <c r="F658" s="15" t="str">
        <f>IF(ISBLANK(Raw_Data!F658),AVERAGE(Raw_Data!F$2:F$5002),Raw_Data!F658)</f>
        <v>8717.86</v>
      </c>
      <c r="G658" s="14" t="str">
        <f>IF(ISBLANK(Raw_Data!G658),AVERAGE(Raw_Data!G$2:G$5002),Raw_Data!G658)</f>
        <v>14450.67</v>
      </c>
      <c r="H658" s="15" t="str">
        <f t="shared" si="1"/>
        <v>72185.00</v>
      </c>
      <c r="I658" s="14" t="str">
        <f t="shared" si="2"/>
        <v>57734.00</v>
      </c>
      <c r="J658" s="16" t="str">
        <f>TEXT(Raw_Data!J658,"MMM-YYY")</f>
        <v>Mar-2025</v>
      </c>
      <c r="K658" s="13" t="str">
        <f>Raw_Data!K658</f>
        <v>3</v>
      </c>
      <c r="L658" s="17" t="str">
        <f>Raw_Data!L658</f>
        <v>Mumbai-HO</v>
      </c>
      <c r="M658" s="13" t="str">
        <f t="shared" si="3"/>
        <v>OK</v>
      </c>
      <c r="N658" s="18" t="str">
        <f t="shared" si="4"/>
        <v>VALID</v>
      </c>
    </row>
    <row r="659" ht="15.75" customHeight="1">
      <c r="A659" s="13" t="str">
        <f>Raw_Data!A659</f>
        <v>EMP0691</v>
      </c>
      <c r="B659" s="13" t="str">
        <f>TRIM(CLEAN(Raw_Data!B659))</f>
        <v>IT</v>
      </c>
      <c r="C659" s="18" t="s">
        <v>26</v>
      </c>
      <c r="D659" s="14" t="str">
        <f>IF(ISBLANK(Raw_Data!D659),AVERAGE(Raw_Data!D$2:D$5002),Raw_Data!D659)</f>
        <v>115764.06</v>
      </c>
      <c r="E659" s="15" t="str">
        <f>IF(ISBLANK(Raw_Data!E659),AVERAGE(Raw_Data!E$2:E$5002),Raw_Data!E659)</f>
        <v>34729.22</v>
      </c>
      <c r="F659" s="15" t="str">
        <f>IF(ISBLANK(Raw_Data!F659),AVERAGE(Raw_Data!F$2:F$5002),Raw_Data!F659)</f>
        <v>18034.68</v>
      </c>
      <c r="G659" s="14" t="str">
        <f>IF(ISBLANK(Raw_Data!G659),AVERAGE(Raw_Data!G$2:G$5002),Raw_Data!G659)</f>
        <v>16933.30</v>
      </c>
      <c r="H659" s="15" t="str">
        <f t="shared" si="1"/>
        <v>168528.00</v>
      </c>
      <c r="I659" s="14" t="str">
        <f t="shared" si="2"/>
        <v>151595.00</v>
      </c>
      <c r="J659" s="16" t="str">
        <f>TEXT(Raw_Data!J659,"MMM-YYY")</f>
        <v>Nov-2025</v>
      </c>
      <c r="K659" s="13" t="str">
        <f>Raw_Data!K659</f>
        <v>1</v>
      </c>
      <c r="L659" s="17" t="str">
        <f>Raw_Data!L659</f>
        <v>Delhi-North</v>
      </c>
      <c r="M659" s="13" t="str">
        <f t="shared" si="3"/>
        <v>OK</v>
      </c>
      <c r="N659" s="18" t="str">
        <f t="shared" si="4"/>
        <v>VALID</v>
      </c>
    </row>
    <row r="660" ht="15.75" customHeight="1">
      <c r="A660" s="13" t="str">
        <f>Raw_Data!A660</f>
        <v>EMP0692</v>
      </c>
      <c r="B660" s="13" t="str">
        <f>TRIM(CLEAN(Raw_Data!B660))</f>
        <v>Finance</v>
      </c>
      <c r="C660" s="18" t="s">
        <v>33</v>
      </c>
      <c r="D660" s="14" t="str">
        <f>IF(ISBLANK(Raw_Data!D660),AVERAGE(Raw_Data!D$2:D$5002),Raw_Data!D660)</f>
        <v>31344.99</v>
      </c>
      <c r="E660" s="15" t="str">
        <f>IF(ISBLANK(Raw_Data!E660),AVERAGE(Raw_Data!E$2:E$5002),Raw_Data!E660)</f>
        <v>9403.50</v>
      </c>
      <c r="F660" s="15" t="str">
        <f>IF(ISBLANK(Raw_Data!F660),AVERAGE(Raw_Data!F$2:F$5002),Raw_Data!F660)</f>
        <v>29.55</v>
      </c>
      <c r="G660" s="14" t="str">
        <f>IF(ISBLANK(Raw_Data!G660),AVERAGE(Raw_Data!G$2:G$5002),Raw_Data!G660)</f>
        <v>2572.12</v>
      </c>
      <c r="H660" s="15" t="str">
        <f t="shared" si="1"/>
        <v>40778.00</v>
      </c>
      <c r="I660" s="14" t="str">
        <f t="shared" si="2"/>
        <v>38206.00</v>
      </c>
      <c r="J660" s="16" t="str">
        <f>TEXT(Raw_Data!J660,"MMM-YYY")</f>
        <v>Mar-2025</v>
      </c>
      <c r="K660" s="13" t="str">
        <f>Raw_Data!K660</f>
        <v>13</v>
      </c>
      <c r="L660" s="17" t="str">
        <f>Raw_Data!L660</f>
        <v>Bangalore-South</v>
      </c>
      <c r="M660" s="13" t="str">
        <f t="shared" si="3"/>
        <v>OK</v>
      </c>
      <c r="N660" s="18" t="str">
        <f t="shared" si="4"/>
        <v>VALID</v>
      </c>
    </row>
    <row r="661" ht="15.75" customHeight="1">
      <c r="A661" s="13" t="str">
        <f>Raw_Data!A661</f>
        <v>EMP0693</v>
      </c>
      <c r="B661" s="13" t="str">
        <f>TRIM(CLEAN(Raw_Data!B661))</f>
        <v>Operations</v>
      </c>
      <c r="C661" s="18" t="s">
        <v>26</v>
      </c>
      <c r="D661" s="14" t="str">
        <f>IF(ISBLANK(Raw_Data!D661),AVERAGE(Raw_Data!D$2:D$5002),Raw_Data!D661)</f>
        <v>95703.66</v>
      </c>
      <c r="E661" s="15" t="str">
        <f>IF(ISBLANK(Raw_Data!E661),AVERAGE(Raw_Data!E$2:E$5002),Raw_Data!E661)</f>
        <v>28711.10</v>
      </c>
      <c r="F661" s="15" t="str">
        <f>IF(ISBLANK(Raw_Data!F661),AVERAGE(Raw_Data!F$2:F$5002),Raw_Data!F661)</f>
        <v>15029.51</v>
      </c>
      <c r="G661" s="14" t="str">
        <f>IF(ISBLANK(Raw_Data!G661),AVERAGE(Raw_Data!G$2:G$5002),Raw_Data!G661)</f>
        <v>22387.55</v>
      </c>
      <c r="H661" s="15" t="str">
        <f t="shared" si="1"/>
        <v>139444.00</v>
      </c>
      <c r="I661" s="14" t="str">
        <f t="shared" si="2"/>
        <v>117056.00</v>
      </c>
      <c r="J661" s="16" t="str">
        <f>TEXT(Raw_Data!J661,"MMM-YYY")</f>
        <v>Mar-2025</v>
      </c>
      <c r="K661" s="13" t="str">
        <f>Raw_Data!K661</f>
        <v>18</v>
      </c>
      <c r="L661" s="17" t="str">
        <f>Raw_Data!L661</f>
        <v>Chennai-South</v>
      </c>
      <c r="M661" s="13" t="str">
        <f t="shared" si="3"/>
        <v>OK</v>
      </c>
      <c r="N661" s="18" t="str">
        <f t="shared" si="4"/>
        <v>VALID</v>
      </c>
    </row>
    <row r="662" ht="15.75" customHeight="1">
      <c r="A662" s="13" t="str">
        <f>Raw_Data!A662</f>
        <v>EMP0694</v>
      </c>
      <c r="B662" s="13" t="s">
        <v>4841</v>
      </c>
      <c r="C662" s="18" t="s">
        <v>54</v>
      </c>
      <c r="D662" s="14" t="str">
        <f>IF(ISBLANK(Raw_Data!D662),AVERAGE(Raw_Data!D$2:D$5002),Raw_Data!D662)</f>
        <v>43868.83</v>
      </c>
      <c r="E662" s="15" t="str">
        <f>IF(ISBLANK(Raw_Data!E662),AVERAGE(Raw_Data!E$2:E$5002),Raw_Data!E662)</f>
        <v>13160.65</v>
      </c>
      <c r="F662" s="15" t="str">
        <f>IF(ISBLANK(Raw_Data!F662),AVERAGE(Raw_Data!F$2:F$5002),Raw_Data!F662)</f>
        <v>3539.28</v>
      </c>
      <c r="G662" s="14" t="str">
        <f>IF(ISBLANK(Raw_Data!G662),AVERAGE(Raw_Data!G$2:G$5002),Raw_Data!G662)</f>
        <v>12704.34</v>
      </c>
      <c r="H662" s="15" t="str">
        <f t="shared" si="1"/>
        <v>60569.00</v>
      </c>
      <c r="I662" s="14" t="str">
        <f t="shared" si="2"/>
        <v>47865.00</v>
      </c>
      <c r="J662" s="16" t="str">
        <f>TEXT(Raw_Data!J662,"MMM-YYY")</f>
        <v>Jul-2025</v>
      </c>
      <c r="K662" s="13" t="str">
        <f>Raw_Data!K662</f>
        <v>12</v>
      </c>
      <c r="L662" s="17" t="str">
        <f>Raw_Data!L662</f>
        <v>Kolkata-East</v>
      </c>
      <c r="M662" s="13" t="str">
        <f t="shared" si="3"/>
        <v>OK</v>
      </c>
      <c r="N662" s="18" t="str">
        <f t="shared" si="4"/>
        <v>VALID</v>
      </c>
    </row>
    <row r="663" ht="15.75" customHeight="1">
      <c r="A663" s="13" t="str">
        <f>Raw_Data!A663</f>
        <v>EMP0695</v>
      </c>
      <c r="B663" s="13" t="str">
        <f>TRIM(CLEAN(Raw_Data!B663))</f>
        <v>HR</v>
      </c>
      <c r="C663" s="18" t="s">
        <v>14</v>
      </c>
      <c r="D663" s="14" t="str">
        <f>IF(ISBLANK(Raw_Data!D663),AVERAGE(Raw_Data!D$2:D$5002),Raw_Data!D663)</f>
        <v>21843.23</v>
      </c>
      <c r="E663" s="15" t="str">
        <f>IF(ISBLANK(Raw_Data!E663),AVERAGE(Raw_Data!E$2:E$5002),Raw_Data!E663)</f>
        <v>6552.97</v>
      </c>
      <c r="F663" s="15" t="str">
        <f>IF(ISBLANK(Raw_Data!F663),AVERAGE(Raw_Data!F$2:F$5002),Raw_Data!F663)</f>
        <v>3191.99</v>
      </c>
      <c r="G663" s="14" t="str">
        <f>IF(ISBLANK(Raw_Data!G663),AVERAGE(Raw_Data!G$2:G$5002),Raw_Data!G663)</f>
        <v>6225.77</v>
      </c>
      <c r="H663" s="15" t="str">
        <f t="shared" si="1"/>
        <v>31588.00</v>
      </c>
      <c r="I663" s="14" t="str">
        <f t="shared" si="2"/>
        <v>25362.00</v>
      </c>
      <c r="J663" s="16" t="str">
        <f>TEXT(Raw_Data!J663,"MMM-YYY")</f>
        <v>Jun-2025</v>
      </c>
      <c r="K663" s="13" t="str">
        <f>Raw_Data!K663</f>
        <v>14</v>
      </c>
      <c r="L663" s="17" t="str">
        <f>Raw_Data!L663</f>
        <v>Pune-West</v>
      </c>
      <c r="M663" s="13" t="str">
        <f t="shared" si="3"/>
        <v>OK</v>
      </c>
      <c r="N663" s="18" t="str">
        <f t="shared" si="4"/>
        <v>VALID</v>
      </c>
    </row>
    <row r="664" ht="15.75" customHeight="1">
      <c r="A664" s="13" t="str">
        <f>Raw_Data!A664</f>
        <v>EMP0696</v>
      </c>
      <c r="B664" s="13" t="str">
        <f>TRIM(CLEAN(Raw_Data!B664))</f>
        <v>Customer Support</v>
      </c>
      <c r="C664" s="18" t="s">
        <v>26</v>
      </c>
      <c r="D664" s="14" t="str">
        <f>IF(ISBLANK(Raw_Data!D664),AVERAGE(Raw_Data!D$2:D$5002),Raw_Data!D664)</f>
        <v>109117.22</v>
      </c>
      <c r="E664" s="15" t="str">
        <f>IF(ISBLANK(Raw_Data!E664),AVERAGE(Raw_Data!E$2:E$5002),Raw_Data!E664)</f>
        <v>32735.17</v>
      </c>
      <c r="F664" s="15" t="str">
        <f>IF(ISBLANK(Raw_Data!F664),AVERAGE(Raw_Data!F$2:F$5002),Raw_Data!F664)</f>
        <v>390.99</v>
      </c>
      <c r="G664" s="14" t="str">
        <f>IF(ISBLANK(Raw_Data!G664),AVERAGE(Raw_Data!G$2:G$5002),Raw_Data!G664)</f>
        <v>134.99</v>
      </c>
      <c r="H664" s="15" t="str">
        <f t="shared" si="1"/>
        <v>142243.00</v>
      </c>
      <c r="I664" s="14" t="str">
        <f t="shared" si="2"/>
        <v>142108.00</v>
      </c>
      <c r="J664" s="16" t="str">
        <f>TEXT(Raw_Data!J664,"MMM-YYY")</f>
        <v>Dec-2025</v>
      </c>
      <c r="K664" s="13" t="str">
        <f>Raw_Data!K664</f>
        <v>4</v>
      </c>
      <c r="L664" s="17" t="str">
        <f>Raw_Data!L664</f>
        <v>Hyderabad-South</v>
      </c>
      <c r="M664" s="13" t="str">
        <f t="shared" si="3"/>
        <v>OK</v>
      </c>
      <c r="N664" s="18" t="str">
        <f t="shared" si="4"/>
        <v>VALID</v>
      </c>
    </row>
    <row r="665" ht="15.75" customHeight="1">
      <c r="A665" s="13" t="str">
        <f>Raw_Data!A665</f>
        <v>EMP0697</v>
      </c>
      <c r="B665" s="13" t="str">
        <f>TRIM(CLEAN(Raw_Data!B665))</f>
        <v>Finance</v>
      </c>
      <c r="C665" s="18" t="s">
        <v>30</v>
      </c>
      <c r="D665" s="14" t="str">
        <f>IF(ISBLANK(Raw_Data!D665),AVERAGE(Raw_Data!D$2:D$5002),Raw_Data!D665)</f>
        <v>28103.02</v>
      </c>
      <c r="E665" s="15" t="str">
        <f>IF(ISBLANK(Raw_Data!E665),AVERAGE(Raw_Data!E$2:E$5002),Raw_Data!E665)</f>
        <v>8430.91</v>
      </c>
      <c r="F665" s="15" t="str">
        <f>IF(ISBLANK(Raw_Data!F665),AVERAGE(Raw_Data!F$2:F$5002),Raw_Data!F665)</f>
        <v>1935.45</v>
      </c>
      <c r="G665" s="14" t="str">
        <f>IF(ISBLANK(Raw_Data!G665),AVERAGE(Raw_Data!G$2:G$5002),Raw_Data!G665)</f>
        <v>1087.00</v>
      </c>
      <c r="H665" s="15" t="str">
        <f t="shared" si="1"/>
        <v>38469.00</v>
      </c>
      <c r="I665" s="14" t="str">
        <f t="shared" si="2"/>
        <v>37382.00</v>
      </c>
      <c r="J665" s="16" t="str">
        <f>TEXT(Raw_Data!J665,"MMM-YYY")</f>
        <v>Jul-2025</v>
      </c>
      <c r="K665" s="13" t="str">
        <f>Raw_Data!K665</f>
        <v>25</v>
      </c>
      <c r="L665" s="17" t="str">
        <f>Raw_Data!L665</f>
        <v>Chandigarh-North</v>
      </c>
      <c r="M665" s="13" t="str">
        <f t="shared" si="3"/>
        <v>OK</v>
      </c>
      <c r="N665" s="18" t="str">
        <f t="shared" si="4"/>
        <v>VALID</v>
      </c>
    </row>
    <row r="666" ht="15.75" customHeight="1">
      <c r="A666" s="13" t="str">
        <f>Raw_Data!A666</f>
        <v>EMP0698</v>
      </c>
      <c r="B666" s="13" t="str">
        <f>TRIM(CLEAN(Raw_Data!B666))</f>
        <v>Operations</v>
      </c>
      <c r="C666" s="18" t="s">
        <v>37</v>
      </c>
      <c r="D666" s="14" t="str">
        <f>IF(ISBLANK(Raw_Data!D666),AVERAGE(Raw_Data!D$2:D$5002),Raw_Data!D666)</f>
        <v>50510.07</v>
      </c>
      <c r="E666" s="15" t="str">
        <f>IF(ISBLANK(Raw_Data!E666),AVERAGE(Raw_Data!E$2:E$5002),Raw_Data!E666)</f>
        <v>15153.02</v>
      </c>
      <c r="F666" s="15" t="str">
        <f>IF(ISBLANK(Raw_Data!F666),AVERAGE(Raw_Data!F$2:F$5002),Raw_Data!F666)</f>
        <v>659.53</v>
      </c>
      <c r="G666" s="14" t="str">
        <f>IF(ISBLANK(Raw_Data!G666),AVERAGE(Raw_Data!G$2:G$5002),Raw_Data!G666)</f>
        <v>692.77</v>
      </c>
      <c r="H666" s="15" t="str">
        <f t="shared" si="1"/>
        <v>66323.00</v>
      </c>
      <c r="I666" s="14" t="str">
        <f t="shared" si="2"/>
        <v>65630.00</v>
      </c>
      <c r="J666" s="16" t="str">
        <f>TEXT(Raw_Data!J666,"MMM-YYY")</f>
        <v>May-2025</v>
      </c>
      <c r="K666" s="13" t="str">
        <f>Raw_Data!K666</f>
        <v>21</v>
      </c>
      <c r="L666" s="17" t="str">
        <f>Raw_Data!L666</f>
        <v>Ahmedabad-West</v>
      </c>
      <c r="M666" s="13" t="str">
        <f t="shared" si="3"/>
        <v>OK</v>
      </c>
      <c r="N666" s="18" t="str">
        <f t="shared" si="4"/>
        <v>VALID</v>
      </c>
    </row>
    <row r="667" ht="15.75" customHeight="1">
      <c r="A667" s="13" t="str">
        <f>Raw_Data!A667</f>
        <v>EMP0699</v>
      </c>
      <c r="B667" s="13" t="str">
        <f>TRIM(CLEAN(Raw_Data!B667))</f>
        <v>Marketing</v>
      </c>
      <c r="C667" s="18" t="s">
        <v>18</v>
      </c>
      <c r="D667" s="14" t="str">
        <f>IF(ISBLANK(Raw_Data!D667),AVERAGE(Raw_Data!D$2:D$5002),Raw_Data!D667)</f>
        <v>78527.50</v>
      </c>
      <c r="E667" s="15" t="str">
        <f>IF(ISBLANK(Raw_Data!E667),AVERAGE(Raw_Data!E$2:E$5002),Raw_Data!E667)</f>
        <v>23558.25</v>
      </c>
      <c r="F667" s="15" t="str">
        <f>IF(ISBLANK(Raw_Data!F667),AVERAGE(Raw_Data!F$2:F$5002),Raw_Data!F667)</f>
        <v>8231.53</v>
      </c>
      <c r="G667" s="14" t="str">
        <f>IF(ISBLANK(Raw_Data!G667),AVERAGE(Raw_Data!G$2:G$5002),Raw_Data!G667)</f>
        <v>10216.39</v>
      </c>
      <c r="H667" s="15" t="str">
        <f t="shared" si="1"/>
        <v>110317.00</v>
      </c>
      <c r="I667" s="14" t="str">
        <f t="shared" si="2"/>
        <v>100101.00</v>
      </c>
      <c r="J667" s="16" t="str">
        <f>TEXT(Raw_Data!J667,"MMM-YYY")</f>
        <v>Nov-2025</v>
      </c>
      <c r="K667" s="13" t="str">
        <f>Raw_Data!K667</f>
        <v>19</v>
      </c>
      <c r="L667" s="17" t="str">
        <f>Raw_Data!L667</f>
        <v>Jaipur-North</v>
      </c>
      <c r="M667" s="13" t="str">
        <f t="shared" si="3"/>
        <v>OK</v>
      </c>
      <c r="N667" s="18" t="str">
        <f t="shared" si="4"/>
        <v>VALID</v>
      </c>
    </row>
    <row r="668" ht="15.75" customHeight="1">
      <c r="A668" s="13" t="str">
        <f>Raw_Data!A668</f>
        <v>EMP0701</v>
      </c>
      <c r="B668" s="13" t="str">
        <f>TRIM(CLEAN(Raw_Data!B668))</f>
        <v>Customer Support</v>
      </c>
      <c r="C668" s="18" t="s">
        <v>54</v>
      </c>
      <c r="D668" s="14" t="str">
        <f>IF(ISBLANK(Raw_Data!D668),AVERAGE(Raw_Data!D$2:D$5002),Raw_Data!D668)</f>
        <v>35267.75</v>
      </c>
      <c r="E668" s="15" t="str">
        <f>IF(ISBLANK(Raw_Data!E668),AVERAGE(Raw_Data!E$2:E$5002),Raw_Data!E668)</f>
        <v>10580.32</v>
      </c>
      <c r="F668" s="15" t="str">
        <f>IF(ISBLANK(Raw_Data!F668),AVERAGE(Raw_Data!F$2:F$5002),Raw_Data!F668)</f>
        <v>1582.26</v>
      </c>
      <c r="G668" s="14" t="str">
        <f>IF(ISBLANK(Raw_Data!G668),AVERAGE(Raw_Data!G$2:G$5002),Raw_Data!G668)</f>
        <v>10420.35</v>
      </c>
      <c r="H668" s="15" t="str">
        <f t="shared" si="1"/>
        <v>47430.00</v>
      </c>
      <c r="I668" s="14" t="str">
        <f t="shared" si="2"/>
        <v>37010.00</v>
      </c>
      <c r="J668" s="16" t="str">
        <f>TEXT(Raw_Data!J668,"MMM-YYY")</f>
        <v>Apr-2025</v>
      </c>
      <c r="K668" s="13" t="str">
        <f>Raw_Data!K668</f>
        <v>18</v>
      </c>
      <c r="L668" s="17" t="str">
        <f>Raw_Data!L668</f>
        <v>Delhi-North</v>
      </c>
      <c r="M668" s="13" t="str">
        <f t="shared" si="3"/>
        <v>OK</v>
      </c>
      <c r="N668" s="18" t="str">
        <f t="shared" si="4"/>
        <v>VALID</v>
      </c>
    </row>
    <row r="669" ht="15.75" customHeight="1">
      <c r="A669" s="13" t="str">
        <f>Raw_Data!A669</f>
        <v>EMP0702</v>
      </c>
      <c r="B669" s="13" t="str">
        <f>TRIM(CLEAN(Raw_Data!B669))</f>
        <v>Sales</v>
      </c>
      <c r="C669" s="18" t="s">
        <v>14</v>
      </c>
      <c r="D669" s="14" t="str">
        <f>IF(ISBLANK(Raw_Data!D669),AVERAGE(Raw_Data!D$2:D$5002),Raw_Data!D669)</f>
        <v>22245.79</v>
      </c>
      <c r="E669" s="15" t="str">
        <f>IF(ISBLANK(Raw_Data!E669),AVERAGE(Raw_Data!E$2:E$5002),Raw_Data!E669)</f>
        <v>6673.74</v>
      </c>
      <c r="F669" s="15" t="str">
        <f>IF(ISBLANK(Raw_Data!F669),AVERAGE(Raw_Data!F$2:F$5002),Raw_Data!F669)</f>
        <v>751.84</v>
      </c>
      <c r="G669" s="14" t="str">
        <f>IF(ISBLANK(Raw_Data!G669),AVERAGE(Raw_Data!G$2:G$5002),Raw_Data!G669)</f>
        <v>2446.53</v>
      </c>
      <c r="H669" s="15" t="str">
        <f t="shared" si="1"/>
        <v>29671.00</v>
      </c>
      <c r="I669" s="14" t="str">
        <f t="shared" si="2"/>
        <v>27224.00</v>
      </c>
      <c r="J669" s="16" t="str">
        <f>TEXT(Raw_Data!J669,"MMM-YYY")</f>
        <v>Nov-2025</v>
      </c>
      <c r="K669" s="13" t="str">
        <f>Raw_Data!K669</f>
        <v>6</v>
      </c>
      <c r="L669" s="17" t="str">
        <f>Raw_Data!L669</f>
        <v>Bangalore-South</v>
      </c>
      <c r="M669" s="13" t="str">
        <f t="shared" si="3"/>
        <v>OK</v>
      </c>
      <c r="N669" s="18" t="str">
        <f t="shared" si="4"/>
        <v>VALID</v>
      </c>
    </row>
    <row r="670" ht="15.75" customHeight="1">
      <c r="A670" s="13" t="str">
        <f>Raw_Data!A670</f>
        <v>EMP0703</v>
      </c>
      <c r="B670" s="13" t="str">
        <f>TRIM(CLEAN(Raw_Data!B670))</f>
        <v>Customer Support</v>
      </c>
      <c r="C670" s="18" t="s">
        <v>14</v>
      </c>
      <c r="D670" s="14" t="str">
        <f>IF(ISBLANK(Raw_Data!D670),AVERAGE(Raw_Data!D$2:D$5002),Raw_Data!D670)</f>
        <v>20701.39</v>
      </c>
      <c r="E670" s="15" t="str">
        <f>IF(ISBLANK(Raw_Data!E670),AVERAGE(Raw_Data!E$2:E$5002),Raw_Data!E670)</f>
        <v>6210.42</v>
      </c>
      <c r="F670" s="15" t="str">
        <f>IF(ISBLANK(Raw_Data!F670),AVERAGE(Raw_Data!F$2:F$5002),Raw_Data!F670)</f>
        <v>2651.11</v>
      </c>
      <c r="G670" s="14" t="str">
        <f>IF(ISBLANK(Raw_Data!G670),AVERAGE(Raw_Data!G$2:G$5002),Raw_Data!G670)</f>
        <v>4789.78</v>
      </c>
      <c r="H670" s="15" t="str">
        <f t="shared" si="1"/>
        <v>29563.00</v>
      </c>
      <c r="I670" s="14" t="str">
        <f t="shared" si="2"/>
        <v>24773.00</v>
      </c>
      <c r="J670" s="16" t="str">
        <f>TEXT(Raw_Data!J670,"MMM-YYY")</f>
        <v>Oct-2025</v>
      </c>
      <c r="K670" s="13" t="str">
        <f>Raw_Data!K670</f>
        <v>1</v>
      </c>
      <c r="L670" s="17" t="str">
        <f>Raw_Data!L670</f>
        <v>Chennai-South</v>
      </c>
      <c r="M670" s="13" t="str">
        <f t="shared" si="3"/>
        <v>OK</v>
      </c>
      <c r="N670" s="18" t="str">
        <f t="shared" si="4"/>
        <v>VALID</v>
      </c>
    </row>
    <row r="671" ht="15.75" customHeight="1">
      <c r="A671" s="13" t="str">
        <f>Raw_Data!A671</f>
        <v>EMP0704</v>
      </c>
      <c r="B671" s="13" t="str">
        <f>TRIM(CLEAN(Raw_Data!B671))</f>
        <v>HR</v>
      </c>
      <c r="C671" s="18" t="s">
        <v>37</v>
      </c>
      <c r="D671" s="14" t="str">
        <f>IF(ISBLANK(Raw_Data!D671),AVERAGE(Raw_Data!D$2:D$5002),Raw_Data!D671)</f>
        <v>62904.24</v>
      </c>
      <c r="E671" s="15" t="str">
        <f>IF(ISBLANK(Raw_Data!E671),AVERAGE(Raw_Data!E$2:E$5002),Raw_Data!E671)</f>
        <v>18871.27</v>
      </c>
      <c r="F671" s="15" t="str">
        <f>IF(ISBLANK(Raw_Data!F671),AVERAGE(Raw_Data!F$2:F$5002),Raw_Data!F671)</f>
        <v>8328.14</v>
      </c>
      <c r="G671" s="14" t="str">
        <f>IF(ISBLANK(Raw_Data!G671),AVERAGE(Raw_Data!G$2:G$5002),Raw_Data!G671)</f>
        <v>12333.65</v>
      </c>
      <c r="H671" s="15" t="str">
        <f t="shared" si="1"/>
        <v>90104.00</v>
      </c>
      <c r="I671" s="14" t="str">
        <f t="shared" si="2"/>
        <v>77770.00</v>
      </c>
      <c r="J671" s="16" t="str">
        <f>TEXT(Raw_Data!J671,"MMM-YYY")</f>
        <v>Jan-2025</v>
      </c>
      <c r="K671" s="13" t="str">
        <f>Raw_Data!K671</f>
        <v>11</v>
      </c>
      <c r="L671" s="17" t="str">
        <f>Raw_Data!L671</f>
        <v>Kolkata-East</v>
      </c>
      <c r="M671" s="13" t="str">
        <f t="shared" si="3"/>
        <v>OK</v>
      </c>
      <c r="N671" s="18" t="str">
        <f t="shared" si="4"/>
        <v>VALID</v>
      </c>
    </row>
    <row r="672" ht="15.75" customHeight="1">
      <c r="A672" s="13" t="str">
        <f>Raw_Data!A672</f>
        <v>EMP0705</v>
      </c>
      <c r="B672" s="13" t="str">
        <f>TRIM(CLEAN(Raw_Data!B672))</f>
        <v>HR</v>
      </c>
      <c r="C672" s="18" t="s">
        <v>18</v>
      </c>
      <c r="D672" s="14" t="str">
        <f>IF(ISBLANK(Raw_Data!D672),AVERAGE(Raw_Data!D$2:D$5002),Raw_Data!D672)</f>
        <v>68010.54</v>
      </c>
      <c r="E672" s="15" t="str">
        <f>IF(ISBLANK(Raw_Data!E672),AVERAGE(Raw_Data!E$2:E$5002),Raw_Data!E672)</f>
        <v>20403.16</v>
      </c>
      <c r="F672" s="15" t="str">
        <f>IF(ISBLANK(Raw_Data!F672),AVERAGE(Raw_Data!F$2:F$5002),Raw_Data!F672)</f>
        <v>6043.61</v>
      </c>
      <c r="G672" s="14" t="str">
        <f>IF(ISBLANK(Raw_Data!G672),AVERAGE(Raw_Data!G$2:G$5002),Raw_Data!G672)</f>
        <v>2521.73</v>
      </c>
      <c r="H672" s="15" t="str">
        <f t="shared" si="1"/>
        <v>94457.00</v>
      </c>
      <c r="I672" s="14" t="str">
        <f t="shared" si="2"/>
        <v>91935.00</v>
      </c>
      <c r="J672" s="16" t="str">
        <f>TEXT(Raw_Data!J672,"MMM-YYY")</f>
        <v>May-2025</v>
      </c>
      <c r="K672" s="13" t="str">
        <f>Raw_Data!K672</f>
        <v>5</v>
      </c>
      <c r="L672" s="17" t="str">
        <f>Raw_Data!L672</f>
        <v>Pune-West</v>
      </c>
      <c r="M672" s="13" t="str">
        <f t="shared" si="3"/>
        <v>OK</v>
      </c>
      <c r="N672" s="18" t="str">
        <f t="shared" si="4"/>
        <v>VALID</v>
      </c>
    </row>
    <row r="673" ht="15.75" customHeight="1">
      <c r="A673" s="13" t="str">
        <f>Raw_Data!A673</f>
        <v>EMP0706</v>
      </c>
      <c r="B673" s="13" t="str">
        <f>TRIM(CLEAN(Raw_Data!B673))</f>
        <v>Marketing</v>
      </c>
      <c r="C673" s="18" t="s">
        <v>18</v>
      </c>
      <c r="D673" s="14" t="str">
        <f>IF(ISBLANK(Raw_Data!D673),AVERAGE(Raw_Data!D$2:D$5002),Raw_Data!D673)</f>
        <v>68981.30</v>
      </c>
      <c r="E673" s="15" t="str">
        <f>IF(ISBLANK(Raw_Data!E673),AVERAGE(Raw_Data!E$2:E$5002),Raw_Data!E673)</f>
        <v>20694.39</v>
      </c>
      <c r="F673" s="15" t="str">
        <f>IF(ISBLANK(Raw_Data!F673),AVERAGE(Raw_Data!F$2:F$5002),Raw_Data!F673)</f>
        <v>9591.05</v>
      </c>
      <c r="G673" s="14" t="str">
        <f>IF(ISBLANK(Raw_Data!G673),AVERAGE(Raw_Data!G$2:G$5002),Raw_Data!G673)</f>
        <v>13043.91</v>
      </c>
      <c r="H673" s="15" t="str">
        <f t="shared" si="1"/>
        <v>99267.00</v>
      </c>
      <c r="I673" s="14" t="str">
        <f t="shared" si="2"/>
        <v>86223.00</v>
      </c>
      <c r="J673" s="16" t="str">
        <f>TEXT(Raw_Data!J673,"MMM-YYY")</f>
        <v>May-2025</v>
      </c>
      <c r="K673" s="13" t="str">
        <f>Raw_Data!K673</f>
        <v>22</v>
      </c>
      <c r="L673" s="17" t="str">
        <f>Raw_Data!L673</f>
        <v>Hyderabad-South</v>
      </c>
      <c r="M673" s="13" t="str">
        <f t="shared" si="3"/>
        <v>OK</v>
      </c>
      <c r="N673" s="18" t="str">
        <f t="shared" si="4"/>
        <v>VALID</v>
      </c>
    </row>
    <row r="674" ht="15.75" customHeight="1">
      <c r="A674" s="13" t="str">
        <f>Raw_Data!A674</f>
        <v>EMP0707</v>
      </c>
      <c r="B674" s="13" t="str">
        <f>TRIM(CLEAN(Raw_Data!B674))</f>
        <v>Marketing</v>
      </c>
      <c r="C674" s="18" t="s">
        <v>18</v>
      </c>
      <c r="D674" s="14" t="str">
        <f>IF(ISBLANK(Raw_Data!D674),AVERAGE(Raw_Data!D$2:D$5002),Raw_Data!D674)</f>
        <v>67625.48</v>
      </c>
      <c r="E674" s="15" t="str">
        <f>IF(ISBLANK(Raw_Data!E674),AVERAGE(Raw_Data!E$2:E$5002),Raw_Data!E674)</f>
        <v>20287.64</v>
      </c>
      <c r="F674" s="15" t="str">
        <f>IF(ISBLANK(Raw_Data!F674),AVERAGE(Raw_Data!F$2:F$5002),Raw_Data!F674)</f>
        <v>7037.23</v>
      </c>
      <c r="G674" s="14" t="str">
        <f>IF(ISBLANK(Raw_Data!G674),AVERAGE(Raw_Data!G$2:G$5002),Raw_Data!G674)</f>
        <v>12635.10</v>
      </c>
      <c r="H674" s="15" t="str">
        <f t="shared" si="1"/>
        <v>94950.00</v>
      </c>
      <c r="I674" s="14" t="str">
        <f t="shared" si="2"/>
        <v>82315.00</v>
      </c>
      <c r="J674" s="16" t="str">
        <f>TEXT(Raw_Data!J674,"MMM-YYY")</f>
        <v>Dec-2025</v>
      </c>
      <c r="K674" s="13" t="str">
        <f>Raw_Data!K674</f>
        <v>1</v>
      </c>
      <c r="L674" s="17" t="str">
        <f>Raw_Data!L674</f>
        <v>Chandigarh-North</v>
      </c>
      <c r="M674" s="13" t="str">
        <f t="shared" si="3"/>
        <v>OK</v>
      </c>
      <c r="N674" s="18" t="str">
        <f t="shared" si="4"/>
        <v>VALID</v>
      </c>
    </row>
    <row r="675" ht="15.75" customHeight="1">
      <c r="A675" s="13" t="str">
        <f>Raw_Data!A675</f>
        <v>EMP0708</v>
      </c>
      <c r="B675" s="13" t="str">
        <f>TRIM(CLEAN(Raw_Data!B675))</f>
        <v>Finance</v>
      </c>
      <c r="C675" s="18" t="s">
        <v>54</v>
      </c>
      <c r="D675" s="14" t="str">
        <f>IF(ISBLANK(Raw_Data!D675),AVERAGE(Raw_Data!D$2:D$5002),Raw_Data!D675)</f>
        <v>46629.14</v>
      </c>
      <c r="E675" s="15" t="str">
        <f>IF(ISBLANK(Raw_Data!E675),AVERAGE(Raw_Data!E$2:E$5002),Raw_Data!E675)</f>
        <v>13988.74</v>
      </c>
      <c r="F675" s="15" t="str">
        <f>IF(ISBLANK(Raw_Data!F675),AVERAGE(Raw_Data!F$2:F$5002),Raw_Data!F675)</f>
        <v>978.41</v>
      </c>
      <c r="G675" s="14" t="str">
        <f>IF(ISBLANK(Raw_Data!G675),AVERAGE(Raw_Data!G$2:G$5002),Raw_Data!G675)</f>
        <v>10054.64</v>
      </c>
      <c r="H675" s="15" t="str">
        <f t="shared" si="1"/>
        <v>61596.00</v>
      </c>
      <c r="I675" s="14" t="str">
        <f t="shared" si="2"/>
        <v>51541.00</v>
      </c>
      <c r="J675" s="16" t="str">
        <f>TEXT(Raw_Data!J675,"MMM-YYY")</f>
        <v>Feb-2025</v>
      </c>
      <c r="K675" s="13" t="str">
        <f>Raw_Data!K675</f>
        <v>2</v>
      </c>
      <c r="L675" s="17" t="str">
        <f>Raw_Data!L675</f>
        <v>Ahmedabad-West</v>
      </c>
      <c r="M675" s="13" t="str">
        <f t="shared" si="3"/>
        <v>OK</v>
      </c>
      <c r="N675" s="18" t="str">
        <f t="shared" si="4"/>
        <v>VALID</v>
      </c>
    </row>
    <row r="676" ht="15.75" customHeight="1">
      <c r="A676" s="13" t="str">
        <f>Raw_Data!A676</f>
        <v>EMP0709</v>
      </c>
      <c r="B676" s="13" t="str">
        <f>TRIM(CLEAN(Raw_Data!B676))</f>
        <v>IT</v>
      </c>
      <c r="C676" s="18" t="s">
        <v>14</v>
      </c>
      <c r="D676" s="14" t="str">
        <f>IF(ISBLANK(Raw_Data!D676),AVERAGE(Raw_Data!D$2:D$5002),Raw_Data!D676)</f>
        <v>23650.27</v>
      </c>
      <c r="E676" s="15" t="str">
        <f>IF(ISBLANK(Raw_Data!E676),AVERAGE(Raw_Data!E$2:E$5002),Raw_Data!E676)</f>
        <v>7095.08</v>
      </c>
      <c r="F676" s="15" t="str">
        <f>IF(ISBLANK(Raw_Data!F676),AVERAGE(Raw_Data!F$2:F$5002),Raw_Data!F676)</f>
        <v>2354.33</v>
      </c>
      <c r="G676" s="14" t="str">
        <f>IF(ISBLANK(Raw_Data!G676),AVERAGE(Raw_Data!G$2:G$5002),Raw_Data!G676)</f>
        <v>4320.92</v>
      </c>
      <c r="H676" s="15" t="str">
        <f t="shared" si="1"/>
        <v>33100.00</v>
      </c>
      <c r="I676" s="14" t="str">
        <f t="shared" si="2"/>
        <v>28779.00</v>
      </c>
      <c r="J676" s="16" t="str">
        <f>TEXT(Raw_Data!J676,"MMM-YYY")</f>
        <v>May-2025</v>
      </c>
      <c r="K676" s="13" t="str">
        <f>Raw_Data!K676</f>
        <v>11</v>
      </c>
      <c r="L676" s="17" t="str">
        <f>Raw_Data!L676</f>
        <v>Jaipur-North</v>
      </c>
      <c r="M676" s="13" t="str">
        <f t="shared" si="3"/>
        <v>OK</v>
      </c>
      <c r="N676" s="18" t="str">
        <f t="shared" si="4"/>
        <v>VALID</v>
      </c>
    </row>
    <row r="677" ht="15.75" customHeight="1">
      <c r="A677" s="13" t="str">
        <f>Raw_Data!A677</f>
        <v>EMP0710</v>
      </c>
      <c r="B677" s="13" t="str">
        <f>TRIM(CLEAN(Raw_Data!B677))</f>
        <v>Customer Support</v>
      </c>
      <c r="C677" s="18" t="s">
        <v>37</v>
      </c>
      <c r="D677" s="14" t="str">
        <f>IF(ISBLANK(Raw_Data!D677),AVERAGE(Raw_Data!D$2:D$5002),Raw_Data!D677)</f>
        <v>62516.16</v>
      </c>
      <c r="E677" s="15" t="str">
        <f>IF(ISBLANK(Raw_Data!E677),AVERAGE(Raw_Data!E$2:E$5002),Raw_Data!E677)</f>
        <v>18754.85</v>
      </c>
      <c r="F677" s="15" t="str">
        <f>IF(ISBLANK(Raw_Data!F677),AVERAGE(Raw_Data!F$2:F$5002),Raw_Data!F677)</f>
        <v>4475.18</v>
      </c>
      <c r="G677" s="14" t="str">
        <f>IF(ISBLANK(Raw_Data!G677),AVERAGE(Raw_Data!G$2:G$5002),Raw_Data!G677)</f>
        <v>7684.92</v>
      </c>
      <c r="H677" s="15" t="str">
        <f t="shared" si="1"/>
        <v>85746.00</v>
      </c>
      <c r="I677" s="14" t="str">
        <f t="shared" si="2"/>
        <v>78061.00</v>
      </c>
      <c r="J677" s="16" t="str">
        <f>TEXT(Raw_Data!J677,"MMM-YYY")</f>
        <v>Mar-2025</v>
      </c>
      <c r="K677" s="13" t="str">
        <f>Raw_Data!K677</f>
        <v>12</v>
      </c>
      <c r="L677" s="17" t="str">
        <f>Raw_Data!L677</f>
        <v>Mumbai-HO</v>
      </c>
      <c r="M677" s="13" t="str">
        <f t="shared" si="3"/>
        <v>OK</v>
      </c>
      <c r="N677" s="18" t="str">
        <f t="shared" si="4"/>
        <v>VALID</v>
      </c>
    </row>
    <row r="678" ht="15.75" customHeight="1">
      <c r="A678" s="13" t="str">
        <f>Raw_Data!A678</f>
        <v>EMP0711</v>
      </c>
      <c r="B678" s="13" t="str">
        <f>TRIM(CLEAN(Raw_Data!B678))</f>
        <v>HR</v>
      </c>
      <c r="C678" s="18" t="s">
        <v>37</v>
      </c>
      <c r="D678" s="14" t="str">
        <f>IF(ISBLANK(Raw_Data!D678),AVERAGE(Raw_Data!D$2:D$5002),Raw_Data!D678)</f>
        <v>53934.38</v>
      </c>
      <c r="E678" s="15" t="str">
        <f>IF(ISBLANK(Raw_Data!E678),AVERAGE(Raw_Data!E$2:E$5002),Raw_Data!E678)</f>
        <v>16180.31</v>
      </c>
      <c r="F678" s="15" t="str">
        <f>IF(ISBLANK(Raw_Data!F678),AVERAGE(Raw_Data!F$2:F$5002),Raw_Data!F678)</f>
        <v>2240.37</v>
      </c>
      <c r="G678" s="14" t="str">
        <f>IF(ISBLANK(Raw_Data!G678),AVERAGE(Raw_Data!G$2:G$5002),Raw_Data!G678)</f>
        <v>15098.24</v>
      </c>
      <c r="H678" s="15" t="str">
        <f t="shared" si="1"/>
        <v>72355.00</v>
      </c>
      <c r="I678" s="14" t="str">
        <f t="shared" si="2"/>
        <v>57257.00</v>
      </c>
      <c r="J678" s="16" t="str">
        <f>TEXT(Raw_Data!J678,"MMM-YYY")</f>
        <v>Jun-2025</v>
      </c>
      <c r="K678" s="13" t="str">
        <f>Raw_Data!K678</f>
        <v>25</v>
      </c>
      <c r="L678" s="17" t="str">
        <f>Raw_Data!L678</f>
        <v>Delhi-North</v>
      </c>
      <c r="M678" s="13" t="str">
        <f t="shared" si="3"/>
        <v>OK</v>
      </c>
      <c r="N678" s="18" t="str">
        <f t="shared" si="4"/>
        <v>VALID</v>
      </c>
    </row>
    <row r="679" ht="15.75" customHeight="1">
      <c r="A679" s="13" t="str">
        <f>Raw_Data!A679</f>
        <v>EMP0712</v>
      </c>
      <c r="B679" s="13" t="str">
        <f>TRIM(CLEAN(Raw_Data!B679))</f>
        <v>Finance</v>
      </c>
      <c r="C679" s="18" t="s">
        <v>14</v>
      </c>
      <c r="D679" s="14" t="str">
        <f>IF(ISBLANK(Raw_Data!D679),AVERAGE(Raw_Data!D$2:D$5002),Raw_Data!D679)</f>
        <v>18091.80</v>
      </c>
      <c r="E679" s="15" t="str">
        <f>IF(ISBLANK(Raw_Data!E679),AVERAGE(Raw_Data!E$2:E$5002),Raw_Data!E679)</f>
        <v>5427.54</v>
      </c>
      <c r="F679" s="15" t="str">
        <f>IF(ISBLANK(Raw_Data!F679),AVERAGE(Raw_Data!F$2:F$5002),Raw_Data!F679)</f>
        <v>322.04</v>
      </c>
      <c r="G679" s="14" t="str">
        <f>IF(ISBLANK(Raw_Data!G679),AVERAGE(Raw_Data!G$2:G$5002),Raw_Data!G679)</f>
        <v>599.37</v>
      </c>
      <c r="H679" s="15" t="str">
        <f t="shared" si="1"/>
        <v>23841.00</v>
      </c>
      <c r="I679" s="14" t="str">
        <f t="shared" si="2"/>
        <v>23242.00</v>
      </c>
      <c r="J679" s="16" t="str">
        <f>TEXT(Raw_Data!J679,"MMM-YYY")</f>
        <v>Oct-2025</v>
      </c>
      <c r="K679" s="13" t="str">
        <f>Raw_Data!K679</f>
        <v>17</v>
      </c>
      <c r="L679" s="17" t="str">
        <f>Raw_Data!L679</f>
        <v>Bangalore-South</v>
      </c>
      <c r="M679" s="13" t="str">
        <f t="shared" si="3"/>
        <v>OK</v>
      </c>
      <c r="N679" s="18" t="str">
        <f t="shared" si="4"/>
        <v>VALID</v>
      </c>
    </row>
    <row r="680" ht="15.75" customHeight="1">
      <c r="A680" s="13" t="str">
        <f>Raw_Data!A680</f>
        <v>EMP0713</v>
      </c>
      <c r="B680" s="13" t="str">
        <f>TRIM(CLEAN(Raw_Data!B680))</f>
        <v>Sales</v>
      </c>
      <c r="C680" s="18" t="s">
        <v>54</v>
      </c>
      <c r="D680" s="14" t="str">
        <f>IF(ISBLANK(Raw_Data!D680),AVERAGE(Raw_Data!D$2:D$5002),Raw_Data!D680)</f>
        <v>37088.02</v>
      </c>
      <c r="E680" s="15" t="str">
        <f>IF(ISBLANK(Raw_Data!E680),AVERAGE(Raw_Data!E$2:E$5002),Raw_Data!E680)</f>
        <v>11126.41</v>
      </c>
      <c r="F680" s="15" t="str">
        <f>IF(ISBLANK(Raw_Data!F680),AVERAGE(Raw_Data!F$2:F$5002),Raw_Data!F680)</f>
        <v>668.20</v>
      </c>
      <c r="G680" s="14" t="str">
        <f>IF(ISBLANK(Raw_Data!G680),AVERAGE(Raw_Data!G$2:G$5002),Raw_Data!G680)</f>
        <v>5693.44</v>
      </c>
      <c r="H680" s="15" t="str">
        <f t="shared" si="1"/>
        <v>48883.00</v>
      </c>
      <c r="I680" s="14" t="str">
        <f t="shared" si="2"/>
        <v>43190.00</v>
      </c>
      <c r="J680" s="16" t="str">
        <f>TEXT(Raw_Data!J680,"MMM-YYY")</f>
        <v>Dec-2025</v>
      </c>
      <c r="K680" s="13" t="str">
        <f>Raw_Data!K680</f>
        <v>22</v>
      </c>
      <c r="L680" s="17" t="str">
        <f>Raw_Data!L680</f>
        <v>Chennai-South</v>
      </c>
      <c r="M680" s="13" t="str">
        <f t="shared" si="3"/>
        <v>OK</v>
      </c>
      <c r="N680" s="18" t="str">
        <f t="shared" si="4"/>
        <v>VALID</v>
      </c>
    </row>
    <row r="681" ht="15.75" customHeight="1">
      <c r="A681" s="13" t="str">
        <f>Raw_Data!A681</f>
        <v>EMP0714</v>
      </c>
      <c r="B681" s="13" t="str">
        <f>TRIM(CLEAN(Raw_Data!B681))</f>
        <v>Sales</v>
      </c>
      <c r="C681" s="18" t="s">
        <v>14</v>
      </c>
      <c r="D681" s="14" t="str">
        <f>IF(ISBLANK(Raw_Data!D681),AVERAGE(Raw_Data!D$2:D$5002),Raw_Data!D681)</f>
        <v>24514.41</v>
      </c>
      <c r="E681" s="15" t="str">
        <f>IF(ISBLANK(Raw_Data!E681),AVERAGE(Raw_Data!E$2:E$5002),Raw_Data!E681)</f>
        <v>7354.32</v>
      </c>
      <c r="F681" s="15" t="str">
        <f>IF(ISBLANK(Raw_Data!F681),AVERAGE(Raw_Data!F$2:F$5002),Raw_Data!F681)</f>
        <v>3159.11</v>
      </c>
      <c r="G681" s="14" t="str">
        <f>IF(ISBLANK(Raw_Data!G681),AVERAGE(Raw_Data!G$2:G$5002),Raw_Data!G681)</f>
        <v>3359.10</v>
      </c>
      <c r="H681" s="15" t="str">
        <f t="shared" si="1"/>
        <v>35028.00</v>
      </c>
      <c r="I681" s="14" t="str">
        <f t="shared" si="2"/>
        <v>31669.00</v>
      </c>
      <c r="J681" s="16" t="str">
        <f>TEXT(Raw_Data!J681,"MMM-YYY")</f>
        <v>May-2025</v>
      </c>
      <c r="K681" s="13" t="str">
        <f>Raw_Data!K681</f>
        <v>11</v>
      </c>
      <c r="L681" s="17" t="str">
        <f>Raw_Data!L681</f>
        <v>Kolkata-East</v>
      </c>
      <c r="M681" s="13" t="str">
        <f t="shared" si="3"/>
        <v>OK</v>
      </c>
      <c r="N681" s="18" t="str">
        <f t="shared" si="4"/>
        <v>VALID</v>
      </c>
    </row>
    <row r="682" ht="15.75" customHeight="1">
      <c r="A682" s="13" t="str">
        <f>Raw_Data!A682</f>
        <v>EMP0715</v>
      </c>
      <c r="B682" s="13" t="str">
        <f>TRIM(CLEAN(Raw_Data!B682))</f>
        <v>IT</v>
      </c>
      <c r="C682" s="18" t="s">
        <v>54</v>
      </c>
      <c r="D682" s="14" t="str">
        <f>IF(ISBLANK(Raw_Data!D682),AVERAGE(Raw_Data!D$2:D$5002),Raw_Data!D682)</f>
        <v>35701.12</v>
      </c>
      <c r="E682" s="15" t="str">
        <f>IF(ISBLANK(Raw_Data!E682),AVERAGE(Raw_Data!E$2:E$5002),Raw_Data!E682)</f>
        <v>10710.34</v>
      </c>
      <c r="F682" s="15" t="str">
        <f>IF(ISBLANK(Raw_Data!F682),AVERAGE(Raw_Data!F$2:F$5002),Raw_Data!F682)</f>
        <v>5806.28</v>
      </c>
      <c r="G682" s="14" t="str">
        <f>IF(ISBLANK(Raw_Data!G682),AVERAGE(Raw_Data!G$2:G$5002),Raw_Data!G682)</f>
        <v>9362.34</v>
      </c>
      <c r="H682" s="15" t="str">
        <f t="shared" si="1"/>
        <v>52218.00</v>
      </c>
      <c r="I682" s="14" t="str">
        <f t="shared" si="2"/>
        <v>42856.00</v>
      </c>
      <c r="J682" s="16" t="str">
        <f>TEXT(Raw_Data!J682,"MMM-YYY")</f>
        <v>May-2025</v>
      </c>
      <c r="K682" s="13" t="str">
        <f>Raw_Data!K682</f>
        <v>16</v>
      </c>
      <c r="L682" s="17" t="str">
        <f>Raw_Data!L682</f>
        <v>Pune-West</v>
      </c>
      <c r="M682" s="13" t="str">
        <f t="shared" si="3"/>
        <v>OK</v>
      </c>
      <c r="N682" s="18" t="str">
        <f t="shared" si="4"/>
        <v>VALID</v>
      </c>
    </row>
    <row r="683" ht="15.75" customHeight="1">
      <c r="A683" s="13" t="str">
        <f>Raw_Data!A683</f>
        <v>EMP0716</v>
      </c>
      <c r="B683" s="13" t="str">
        <f>TRIM(CLEAN(Raw_Data!B683))</f>
        <v>IT</v>
      </c>
      <c r="C683" s="18" t="s">
        <v>26</v>
      </c>
      <c r="D683" s="14" t="str">
        <f>IF(ISBLANK(Raw_Data!D683),AVERAGE(Raw_Data!D$2:D$5002),Raw_Data!D683)</f>
        <v>114363.60</v>
      </c>
      <c r="E683" s="15" t="str">
        <f>IF(ISBLANK(Raw_Data!E683),AVERAGE(Raw_Data!E$2:E$5002),Raw_Data!E683)</f>
        <v>34309.08</v>
      </c>
      <c r="F683" s="15" t="str">
        <f>IF(ISBLANK(Raw_Data!F683),AVERAGE(Raw_Data!F$2:F$5002),Raw_Data!F683)</f>
        <v>9743.67</v>
      </c>
      <c r="G683" s="14" t="str">
        <f>IF(ISBLANK(Raw_Data!G683),AVERAGE(Raw_Data!G$2:G$5002),Raw_Data!G683)</f>
        <v>3976.46</v>
      </c>
      <c r="H683" s="15" t="str">
        <f t="shared" si="1"/>
        <v>158416.00</v>
      </c>
      <c r="I683" s="14" t="str">
        <f t="shared" si="2"/>
        <v>154440.00</v>
      </c>
      <c r="J683" s="16" t="str">
        <f>TEXT(Raw_Data!J683,"MMM-YYY")</f>
        <v>Jan-2025</v>
      </c>
      <c r="K683" s="13" t="str">
        <f>Raw_Data!K683</f>
        <v>10</v>
      </c>
      <c r="L683" s="17" t="str">
        <f>Raw_Data!L683</f>
        <v>Hyderabad-South</v>
      </c>
      <c r="M683" s="13" t="str">
        <f t="shared" si="3"/>
        <v>OK</v>
      </c>
      <c r="N683" s="18" t="str">
        <f t="shared" si="4"/>
        <v>VALID</v>
      </c>
    </row>
    <row r="684" ht="15.75" customHeight="1">
      <c r="A684" s="13" t="str">
        <f>Raw_Data!A684</f>
        <v>EMP0717</v>
      </c>
      <c r="B684" s="13" t="str">
        <f>TRIM(CLEAN(Raw_Data!B684))</f>
        <v>HR</v>
      </c>
      <c r="C684" s="18" t="s">
        <v>26</v>
      </c>
      <c r="D684" s="14" t="str">
        <f>IF(ISBLANK(Raw_Data!D684),AVERAGE(Raw_Data!D$2:D$5002),Raw_Data!D684)</f>
        <v>94982.20</v>
      </c>
      <c r="E684" s="15" t="str">
        <f>IF(ISBLANK(Raw_Data!E684),AVERAGE(Raw_Data!E$2:E$5002),Raw_Data!E684)</f>
        <v>28494.66</v>
      </c>
      <c r="F684" s="15" t="str">
        <f>IF(ISBLANK(Raw_Data!F684),AVERAGE(Raw_Data!F$2:F$5002),Raw_Data!F684)</f>
        <v>12294.47</v>
      </c>
      <c r="G684" s="14" t="str">
        <f>IF(ISBLANK(Raw_Data!G684),AVERAGE(Raw_Data!G$2:G$5002),Raw_Data!G684)</f>
        <v>9365.08</v>
      </c>
      <c r="H684" s="15" t="str">
        <f t="shared" si="1"/>
        <v>135771.00</v>
      </c>
      <c r="I684" s="14" t="str">
        <f t="shared" si="2"/>
        <v>126406.00</v>
      </c>
      <c r="J684" s="16" t="str">
        <f>TEXT(Raw_Data!J684,"MMM-YYY")</f>
        <v>Aug-2025</v>
      </c>
      <c r="K684" s="13" t="str">
        <f>Raw_Data!K684</f>
        <v>13</v>
      </c>
      <c r="L684" s="17" t="str">
        <f>Raw_Data!L684</f>
        <v>Chandigarh-North</v>
      </c>
      <c r="M684" s="13" t="str">
        <f t="shared" si="3"/>
        <v>OK</v>
      </c>
      <c r="N684" s="18" t="str">
        <f t="shared" si="4"/>
        <v>VALID</v>
      </c>
    </row>
    <row r="685" ht="15.75" customHeight="1">
      <c r="A685" s="13" t="str">
        <f>Raw_Data!A685</f>
        <v>EMP0718</v>
      </c>
      <c r="B685" s="13" t="str">
        <f>TRIM(CLEAN(Raw_Data!B685))</f>
        <v>Operations</v>
      </c>
      <c r="C685" s="18" t="s">
        <v>33</v>
      </c>
      <c r="D685" s="14" t="str">
        <f>IF(ISBLANK(Raw_Data!D685),AVERAGE(Raw_Data!D$2:D$5002),Raw_Data!D685)</f>
        <v>33784.76</v>
      </c>
      <c r="E685" s="15" t="str">
        <f>IF(ISBLANK(Raw_Data!E685),AVERAGE(Raw_Data!E$2:E$5002),Raw_Data!E685)</f>
        <v>10135.43</v>
      </c>
      <c r="F685" s="15" t="str">
        <f>IF(ISBLANK(Raw_Data!F685),AVERAGE(Raw_Data!F$2:F$5002),Raw_Data!F685)</f>
        <v>628.07</v>
      </c>
      <c r="G685" s="14" t="str">
        <f>IF(ISBLANK(Raw_Data!G685),AVERAGE(Raw_Data!G$2:G$5002),Raw_Data!G685)</f>
        <v>8260.01</v>
      </c>
      <c r="H685" s="15" t="str">
        <f t="shared" si="1"/>
        <v>44548.00</v>
      </c>
      <c r="I685" s="14" t="str">
        <f t="shared" si="2"/>
        <v>36288.00</v>
      </c>
      <c r="J685" s="16" t="str">
        <f>TEXT(Raw_Data!J685,"MMM-YYY")</f>
        <v>Mar-2025</v>
      </c>
      <c r="K685" s="13" t="str">
        <f>Raw_Data!K685</f>
        <v>11</v>
      </c>
      <c r="L685" s="17" t="str">
        <f>Raw_Data!L685</f>
        <v>Ahmedabad-West</v>
      </c>
      <c r="M685" s="13" t="str">
        <f t="shared" si="3"/>
        <v>OK</v>
      </c>
      <c r="N685" s="18" t="str">
        <f t="shared" si="4"/>
        <v>VALID</v>
      </c>
    </row>
    <row r="686" ht="15.75" customHeight="1">
      <c r="A686" s="13" t="str">
        <f>Raw_Data!A686</f>
        <v>EMP0719</v>
      </c>
      <c r="B686" s="13" t="str">
        <f>TRIM(CLEAN(Raw_Data!B686))</f>
        <v>HR</v>
      </c>
      <c r="C686" s="18" t="s">
        <v>54</v>
      </c>
      <c r="D686" s="14" t="str">
        <f>IF(ISBLANK(Raw_Data!D686),AVERAGE(Raw_Data!D$2:D$5002),Raw_Data!D686)</f>
        <v>40603.50</v>
      </c>
      <c r="E686" s="15" t="str">
        <f>IF(ISBLANK(Raw_Data!E686),AVERAGE(Raw_Data!E$2:E$5002),Raw_Data!E686)</f>
        <v>12181.05</v>
      </c>
      <c r="F686" s="15" t="str">
        <f>IF(ISBLANK(Raw_Data!F686),AVERAGE(Raw_Data!F$2:F$5002),Raw_Data!F686)</f>
        <v>3707.41</v>
      </c>
      <c r="G686" s="14" t="str">
        <f>IF(ISBLANK(Raw_Data!G686),AVERAGE(Raw_Data!G$2:G$5002),Raw_Data!G686)</f>
        <v>10179.81</v>
      </c>
      <c r="H686" s="15" t="str">
        <f t="shared" si="1"/>
        <v>56492.00</v>
      </c>
      <c r="I686" s="14" t="str">
        <f t="shared" si="2"/>
        <v>46312.00</v>
      </c>
      <c r="J686" s="16" t="str">
        <f>TEXT(Raw_Data!J686,"MMM-YYY")</f>
        <v>Dec-2025</v>
      </c>
      <c r="K686" s="13" t="str">
        <f>Raw_Data!K686</f>
        <v>22</v>
      </c>
      <c r="L686" s="17" t="str">
        <f>Raw_Data!L686</f>
        <v>Jaipur-North</v>
      </c>
      <c r="M686" s="13" t="str">
        <f t="shared" si="3"/>
        <v>OK</v>
      </c>
      <c r="N686" s="18" t="str">
        <f t="shared" si="4"/>
        <v>VALID</v>
      </c>
    </row>
    <row r="687" ht="15.75" customHeight="1">
      <c r="A687" s="13" t="str">
        <f>Raw_Data!A687</f>
        <v>EMP0720</v>
      </c>
      <c r="B687" s="13" t="str">
        <f>TRIM(CLEAN(Raw_Data!B687))</f>
        <v>Customer Support</v>
      </c>
      <c r="C687" s="18" t="s">
        <v>54</v>
      </c>
      <c r="D687" s="14" t="str">
        <f>IF(ISBLANK(Raw_Data!D687),AVERAGE(Raw_Data!D$2:D$5002),Raw_Data!D687)</f>
        <v>46198.59</v>
      </c>
      <c r="E687" s="15" t="str">
        <f>IF(ISBLANK(Raw_Data!E687),AVERAGE(Raw_Data!E$2:E$5002),Raw_Data!E687)</f>
        <v>13859.58</v>
      </c>
      <c r="F687" s="15" t="str">
        <f>IF(ISBLANK(Raw_Data!F687),AVERAGE(Raw_Data!F$2:F$5002),Raw_Data!F687)</f>
        <v>5995.16</v>
      </c>
      <c r="G687" s="14" t="str">
        <f>IF(ISBLANK(Raw_Data!G687),AVERAGE(Raw_Data!G$2:G$5002),Raw_Data!G687)</f>
        <v>11044.83</v>
      </c>
      <c r="H687" s="15" t="str">
        <f t="shared" si="1"/>
        <v>66053.00</v>
      </c>
      <c r="I687" s="14" t="str">
        <f t="shared" si="2"/>
        <v>55008.00</v>
      </c>
      <c r="J687" s="16" t="str">
        <f>TEXT(Raw_Data!J687,"MMM-YYY")</f>
        <v>Feb-2025</v>
      </c>
      <c r="K687" s="13" t="str">
        <f>Raw_Data!K687</f>
        <v>17</v>
      </c>
      <c r="L687" s="17" t="str">
        <f>Raw_Data!L687</f>
        <v>Mumbai-HO</v>
      </c>
      <c r="M687" s="13" t="str">
        <f t="shared" si="3"/>
        <v>OK</v>
      </c>
      <c r="N687" s="18" t="str">
        <f t="shared" si="4"/>
        <v>VALID</v>
      </c>
    </row>
    <row r="688" ht="15.75" customHeight="1">
      <c r="A688" s="13" t="str">
        <f>Raw_Data!A688</f>
        <v>EMP0721</v>
      </c>
      <c r="B688" s="13" t="str">
        <f>TRIM(CLEAN(Raw_Data!B688))</f>
        <v>Finance</v>
      </c>
      <c r="C688" s="18" t="s">
        <v>18</v>
      </c>
      <c r="D688" s="14" t="str">
        <f>IF(ISBLANK(Raw_Data!D688),AVERAGE(Raw_Data!D$2:D$5002),Raw_Data!D688)</f>
        <v>83886.69</v>
      </c>
      <c r="E688" s="15" t="str">
        <f>IF(ISBLANK(Raw_Data!E688),AVERAGE(Raw_Data!E$2:E$5002),Raw_Data!E688)</f>
        <v>25166.01</v>
      </c>
      <c r="F688" s="15" t="str">
        <f>IF(ISBLANK(Raw_Data!F688),AVERAGE(Raw_Data!F$2:F$5002),Raw_Data!F688)</f>
        <v>16468.12</v>
      </c>
      <c r="G688" s="14" t="str">
        <f>IF(ISBLANK(Raw_Data!G688),AVERAGE(Raw_Data!G$2:G$5002),Raw_Data!G688)</f>
        <v>21248.91</v>
      </c>
      <c r="H688" s="15" t="str">
        <f t="shared" si="1"/>
        <v>125521.00</v>
      </c>
      <c r="I688" s="14" t="str">
        <f t="shared" si="2"/>
        <v>104272.00</v>
      </c>
      <c r="J688" s="16" t="str">
        <f>TEXT(Raw_Data!J688,"MMM-YYY")</f>
        <v>Feb-2025</v>
      </c>
      <c r="K688" s="13" t="str">
        <f>Raw_Data!K688</f>
        <v>21</v>
      </c>
      <c r="L688" s="17" t="str">
        <f>Raw_Data!L688</f>
        <v>Delhi-North</v>
      </c>
      <c r="M688" s="13" t="str">
        <f t="shared" si="3"/>
        <v>OK</v>
      </c>
      <c r="N688" s="18" t="str">
        <f t="shared" si="4"/>
        <v>VALID</v>
      </c>
    </row>
    <row r="689" ht="15.75" customHeight="1">
      <c r="A689" s="13" t="str">
        <f>Raw_Data!A689</f>
        <v>EMP0722</v>
      </c>
      <c r="B689" s="13" t="str">
        <f>TRIM(CLEAN(Raw_Data!B689))</f>
        <v>Marketing</v>
      </c>
      <c r="C689" s="18" t="s">
        <v>37</v>
      </c>
      <c r="D689" s="14" t="str">
        <f>IF(ISBLANK(Raw_Data!D689),AVERAGE(Raw_Data!D$2:D$5002),Raw_Data!D689)</f>
        <v>53688.15</v>
      </c>
      <c r="E689" s="15" t="str">
        <f>IF(ISBLANK(Raw_Data!E689),AVERAGE(Raw_Data!E$2:E$5002),Raw_Data!E689)</f>
        <v>16106.44</v>
      </c>
      <c r="F689" s="15" t="str">
        <f>IF(ISBLANK(Raw_Data!F689),AVERAGE(Raw_Data!F$2:F$5002),Raw_Data!F689)</f>
        <v>6109.10</v>
      </c>
      <c r="G689" s="14" t="str">
        <f>IF(ISBLANK(Raw_Data!G689),AVERAGE(Raw_Data!G$2:G$5002),Raw_Data!G689)</f>
        <v>7057.25</v>
      </c>
      <c r="H689" s="15" t="str">
        <f t="shared" si="1"/>
        <v>75904.00</v>
      </c>
      <c r="I689" s="14" t="str">
        <f t="shared" si="2"/>
        <v>68847.00</v>
      </c>
      <c r="J689" s="16" t="str">
        <f>TEXT(Raw_Data!J689,"MMM-YYY")</f>
        <v>Oct-2025</v>
      </c>
      <c r="K689" s="13" t="str">
        <f>Raw_Data!K689</f>
        <v>4</v>
      </c>
      <c r="L689" s="17" t="str">
        <f>Raw_Data!L689</f>
        <v>Bangalore-South</v>
      </c>
      <c r="M689" s="13" t="str">
        <f t="shared" si="3"/>
        <v>OK</v>
      </c>
      <c r="N689" s="18" t="str">
        <f t="shared" si="4"/>
        <v>VALID</v>
      </c>
    </row>
    <row r="690" ht="15.75" customHeight="1">
      <c r="A690" s="13" t="str">
        <f>Raw_Data!A690</f>
        <v>EMP0724</v>
      </c>
      <c r="B690" s="13" t="str">
        <f>TRIM(CLEAN(Raw_Data!B690))</f>
        <v>Finance</v>
      </c>
      <c r="C690" s="18" t="s">
        <v>54</v>
      </c>
      <c r="D690" s="14" t="str">
        <f>IF(ISBLANK(Raw_Data!D690),AVERAGE(Raw_Data!D$2:D$5002),Raw_Data!D690)</f>
        <v>47885.57</v>
      </c>
      <c r="E690" s="15" t="str">
        <f>IF(ISBLANK(Raw_Data!E690),AVERAGE(Raw_Data!E$2:E$5002),Raw_Data!E690)</f>
        <v>14365.67</v>
      </c>
      <c r="F690" s="15" t="str">
        <f>IF(ISBLANK(Raw_Data!F690),AVERAGE(Raw_Data!F$2:F$5002),Raw_Data!F690)</f>
        <v>1081.62</v>
      </c>
      <c r="G690" s="14" t="str">
        <f>IF(ISBLANK(Raw_Data!G690),AVERAGE(Raw_Data!G$2:G$5002),Raw_Data!G690)</f>
        <v>5908.37</v>
      </c>
      <c r="H690" s="15" t="str">
        <f t="shared" si="1"/>
        <v>63333.00</v>
      </c>
      <c r="I690" s="14" t="str">
        <f t="shared" si="2"/>
        <v>57425.00</v>
      </c>
      <c r="J690" s="16" t="str">
        <f>TEXT(Raw_Data!J690,"MMM-YYY")</f>
        <v>Jan-2025</v>
      </c>
      <c r="K690" s="13" t="str">
        <f>Raw_Data!K690</f>
        <v>9</v>
      </c>
      <c r="L690" s="17" t="str">
        <f>Raw_Data!L690</f>
        <v>Kolkata-East</v>
      </c>
      <c r="M690" s="13" t="str">
        <f t="shared" si="3"/>
        <v>OK</v>
      </c>
      <c r="N690" s="18" t="str">
        <f t="shared" si="4"/>
        <v>VALID</v>
      </c>
    </row>
    <row r="691" ht="15.75" customHeight="1">
      <c r="A691" s="13" t="str">
        <f>Raw_Data!A691</f>
        <v>EMP0725</v>
      </c>
      <c r="B691" s="13" t="str">
        <f>TRIM(CLEAN(Raw_Data!B691))</f>
        <v>HR</v>
      </c>
      <c r="C691" s="18" t="s">
        <v>33</v>
      </c>
      <c r="D691" s="14" t="str">
        <f>IF(ISBLANK(Raw_Data!D691),AVERAGE(Raw_Data!D$2:D$5002),Raw_Data!D691)</f>
        <v>31549.74</v>
      </c>
      <c r="E691" s="15" t="str">
        <f>IF(ISBLANK(Raw_Data!E691),AVERAGE(Raw_Data!E$2:E$5002),Raw_Data!E691)</f>
        <v>9464.92</v>
      </c>
      <c r="F691" s="15" t="str">
        <f>IF(ISBLANK(Raw_Data!F691),AVERAGE(Raw_Data!F$2:F$5002),Raw_Data!F691)</f>
        <v>77.99</v>
      </c>
      <c r="G691" s="14" t="str">
        <f>IF(ISBLANK(Raw_Data!G691),AVERAGE(Raw_Data!G$2:G$5002),Raw_Data!G691)</f>
        <v>8218.70</v>
      </c>
      <c r="H691" s="15" t="str">
        <f t="shared" si="1"/>
        <v>41093.00</v>
      </c>
      <c r="I691" s="14" t="str">
        <f t="shared" si="2"/>
        <v>32874.00</v>
      </c>
      <c r="J691" s="16" t="str">
        <f>TEXT(Raw_Data!J691,"MMM-YYY")</f>
        <v>Sep-2025</v>
      </c>
      <c r="K691" s="13" t="str">
        <f>Raw_Data!K691</f>
        <v>7</v>
      </c>
      <c r="L691" s="17" t="str">
        <f>Raw_Data!L691</f>
        <v>Pune-West</v>
      </c>
      <c r="M691" s="13" t="str">
        <f t="shared" si="3"/>
        <v>OK</v>
      </c>
      <c r="N691" s="18" t="str">
        <f t="shared" si="4"/>
        <v>VALID</v>
      </c>
    </row>
    <row r="692" ht="15.75" customHeight="1">
      <c r="A692" s="13" t="str">
        <f>Raw_Data!A692</f>
        <v>EMP0726</v>
      </c>
      <c r="B692" s="13" t="str">
        <f>TRIM(CLEAN(Raw_Data!B692))</f>
        <v>Customer Support</v>
      </c>
      <c r="C692" s="18" t="s">
        <v>18</v>
      </c>
      <c r="D692" s="14" t="str">
        <f>IF(ISBLANK(Raw_Data!D692),AVERAGE(Raw_Data!D$2:D$5002),Raw_Data!D692)</f>
        <v>79992.87</v>
      </c>
      <c r="E692" s="15" t="str">
        <f>IF(ISBLANK(Raw_Data!E692),AVERAGE(Raw_Data!E$2:E$5002),Raw_Data!E692)</f>
        <v>23997.86</v>
      </c>
      <c r="F692" s="15" t="str">
        <f>IF(ISBLANK(Raw_Data!F692),AVERAGE(Raw_Data!F$2:F$5002),Raw_Data!F692)</f>
        <v>9039.39</v>
      </c>
      <c r="G692" s="14" t="str">
        <f>IF(ISBLANK(Raw_Data!G692),AVERAGE(Raw_Data!G$2:G$5002),Raw_Data!G692)</f>
        <v>23467.40</v>
      </c>
      <c r="H692" s="15" t="str">
        <f t="shared" si="1"/>
        <v>113030.00</v>
      </c>
      <c r="I692" s="14" t="str">
        <f t="shared" si="2"/>
        <v>89563.00</v>
      </c>
      <c r="J692" s="16" t="str">
        <f>TEXT(Raw_Data!J692,"MMM-YYY")</f>
        <v>Nov-2025</v>
      </c>
      <c r="K692" s="13" t="str">
        <f>Raw_Data!K692</f>
        <v>25</v>
      </c>
      <c r="L692" s="17" t="str">
        <f>Raw_Data!L692</f>
        <v>Hyderabad-South</v>
      </c>
      <c r="M692" s="13" t="str">
        <f t="shared" si="3"/>
        <v>OK</v>
      </c>
      <c r="N692" s="18" t="str">
        <f t="shared" si="4"/>
        <v>VALID</v>
      </c>
    </row>
    <row r="693" ht="15.75" customHeight="1">
      <c r="A693" s="13" t="str">
        <f>Raw_Data!A693</f>
        <v>EMP0727</v>
      </c>
      <c r="B693" s="13" t="str">
        <f>TRIM(CLEAN(Raw_Data!B693))</f>
        <v>Customer Support</v>
      </c>
      <c r="C693" s="18" t="s">
        <v>33</v>
      </c>
      <c r="D693" s="14" t="str">
        <f>IF(ISBLANK(Raw_Data!D693),AVERAGE(Raw_Data!D$2:D$5002),Raw_Data!D693)</f>
        <v>30191.00</v>
      </c>
      <c r="E693" s="15" t="str">
        <f>IF(ISBLANK(Raw_Data!E693),AVERAGE(Raw_Data!E$2:E$5002),Raw_Data!E693)</f>
        <v>9057.30</v>
      </c>
      <c r="F693" s="15" t="str">
        <f>IF(ISBLANK(Raw_Data!F693),AVERAGE(Raw_Data!F$2:F$5002),Raw_Data!F693)</f>
        <v>4155.74</v>
      </c>
      <c r="G693" s="14" t="str">
        <f>IF(ISBLANK(Raw_Data!G693),AVERAGE(Raw_Data!G$2:G$5002),Raw_Data!G693)</f>
        <v>5599.58</v>
      </c>
      <c r="H693" s="15" t="str">
        <f t="shared" si="1"/>
        <v>43404.00</v>
      </c>
      <c r="I693" s="14" t="str">
        <f t="shared" si="2"/>
        <v>37804.00</v>
      </c>
      <c r="J693" s="16" t="str">
        <f>TEXT(Raw_Data!J693,"MMM-YYY")</f>
        <v>Jul-2025</v>
      </c>
      <c r="K693" s="13" t="str">
        <f>Raw_Data!K693</f>
        <v>14</v>
      </c>
      <c r="L693" s="17" t="str">
        <f>Raw_Data!L693</f>
        <v>Chandigarh-North</v>
      </c>
      <c r="M693" s="13" t="str">
        <f t="shared" si="3"/>
        <v>OK</v>
      </c>
      <c r="N693" s="18" t="str">
        <f t="shared" si="4"/>
        <v>VALID</v>
      </c>
    </row>
    <row r="694" ht="15.75" customHeight="1">
      <c r="A694" s="13" t="str">
        <f>Raw_Data!A694</f>
        <v>EMP0728</v>
      </c>
      <c r="B694" s="13" t="str">
        <f>TRIM(CLEAN(Raw_Data!B694))</f>
        <v>Sales</v>
      </c>
      <c r="C694" s="18" t="s">
        <v>18</v>
      </c>
      <c r="D694" s="14" t="str">
        <f>IF(ISBLANK(Raw_Data!D694),AVERAGE(Raw_Data!D$2:D$5002),Raw_Data!D694)</f>
        <v>71463.00</v>
      </c>
      <c r="E694" s="15" t="str">
        <f>IF(ISBLANK(Raw_Data!E694),AVERAGE(Raw_Data!E$2:E$5002),Raw_Data!E694)</f>
        <v>21438.90</v>
      </c>
      <c r="F694" s="15" t="str">
        <f>IF(ISBLANK(Raw_Data!F694),AVERAGE(Raw_Data!F$2:F$5002),Raw_Data!F694)</f>
        <v>4941.66</v>
      </c>
      <c r="G694" s="14" t="str">
        <f>IF(ISBLANK(Raw_Data!G694),AVERAGE(Raw_Data!G$2:G$5002),Raw_Data!G694)</f>
        <v>14499.03</v>
      </c>
      <c r="H694" s="15" t="str">
        <f t="shared" si="1"/>
        <v>97844.00</v>
      </c>
      <c r="I694" s="14" t="str">
        <f t="shared" si="2"/>
        <v>83345.00</v>
      </c>
      <c r="J694" s="16" t="str">
        <f>TEXT(Raw_Data!J694,"MMM-YYY")</f>
        <v>Jul-2025</v>
      </c>
      <c r="K694" s="13" t="str">
        <f>Raw_Data!K694</f>
        <v>8</v>
      </c>
      <c r="L694" s="17" t="str">
        <f>Raw_Data!L694</f>
        <v>Ahmedabad-West</v>
      </c>
      <c r="M694" s="13" t="str">
        <f t="shared" si="3"/>
        <v>OK</v>
      </c>
      <c r="N694" s="18" t="str">
        <f t="shared" si="4"/>
        <v>VALID</v>
      </c>
    </row>
    <row r="695" ht="15.75" customHeight="1">
      <c r="A695" s="13" t="str">
        <f>Raw_Data!A695</f>
        <v>EMP0729</v>
      </c>
      <c r="B695" s="13" t="str">
        <f>TRIM(CLEAN(Raw_Data!B695))</f>
        <v>Finance</v>
      </c>
      <c r="C695" s="18" t="s">
        <v>26</v>
      </c>
      <c r="D695" s="14" t="str">
        <f>IF(ISBLANK(Raw_Data!D695),AVERAGE(Raw_Data!D$2:D$5002),Raw_Data!D695)</f>
        <v>119751.76</v>
      </c>
      <c r="E695" s="15" t="str">
        <f>IF(ISBLANK(Raw_Data!E695),AVERAGE(Raw_Data!E$2:E$5002),Raw_Data!E695)</f>
        <v>35925.53</v>
      </c>
      <c r="F695" s="15" t="str">
        <f>IF(ISBLANK(Raw_Data!F695),AVERAGE(Raw_Data!F$2:F$5002),Raw_Data!F695)</f>
        <v>21365.20</v>
      </c>
      <c r="G695" s="14" t="str">
        <f>IF(ISBLANK(Raw_Data!G695),AVERAGE(Raw_Data!G$2:G$5002),Raw_Data!G695)</f>
        <v>22019.26</v>
      </c>
      <c r="H695" s="15" t="str">
        <f t="shared" si="1"/>
        <v>177042.00</v>
      </c>
      <c r="I695" s="14" t="str">
        <f t="shared" si="2"/>
        <v>155023.00</v>
      </c>
      <c r="J695" s="16" t="str">
        <f>TEXT(Raw_Data!J695,"MMM-YYY")</f>
        <v>Jan-2025</v>
      </c>
      <c r="K695" s="13" t="str">
        <f>Raw_Data!K695</f>
        <v>24</v>
      </c>
      <c r="L695" s="17" t="str">
        <f>Raw_Data!L695</f>
        <v>Jaipur-North</v>
      </c>
      <c r="M695" s="13" t="str">
        <f t="shared" si="3"/>
        <v>OK</v>
      </c>
      <c r="N695" s="18" t="str">
        <f t="shared" si="4"/>
        <v>VALID</v>
      </c>
    </row>
    <row r="696" ht="15.75" customHeight="1">
      <c r="A696" s="13" t="str">
        <f>Raw_Data!A696</f>
        <v>EMP0730</v>
      </c>
      <c r="B696" s="13" t="str">
        <f>TRIM(CLEAN(Raw_Data!B696))</f>
        <v>Sales</v>
      </c>
      <c r="C696" s="18" t="s">
        <v>30</v>
      </c>
      <c r="D696" s="14" t="str">
        <f>IF(ISBLANK(Raw_Data!D696),AVERAGE(Raw_Data!D$2:D$5002),Raw_Data!D696)</f>
        <v>26448.99</v>
      </c>
      <c r="E696" s="15" t="str">
        <f>IF(ISBLANK(Raw_Data!E696),AVERAGE(Raw_Data!E$2:E$5002),Raw_Data!E696)</f>
        <v>7934.70</v>
      </c>
      <c r="F696" s="15" t="str">
        <f>IF(ISBLANK(Raw_Data!F696),AVERAGE(Raw_Data!F$2:F$5002),Raw_Data!F696)</f>
        <v>2482.44</v>
      </c>
      <c r="G696" s="14" t="str">
        <f>IF(ISBLANK(Raw_Data!G696),AVERAGE(Raw_Data!G$2:G$5002),Raw_Data!G696)</f>
        <v>3934.30</v>
      </c>
      <c r="H696" s="15" t="str">
        <f t="shared" si="1"/>
        <v>36866.00</v>
      </c>
      <c r="I696" s="14" t="str">
        <f t="shared" si="2"/>
        <v>32932.00</v>
      </c>
      <c r="J696" s="16" t="str">
        <f>TEXT(Raw_Data!J696,"MMM-YYY")</f>
        <v>Mar-2025</v>
      </c>
      <c r="K696" s="13" t="str">
        <f>Raw_Data!K696</f>
        <v>13</v>
      </c>
      <c r="L696" s="17" t="str">
        <f>Raw_Data!L696</f>
        <v>Mumbai-HO</v>
      </c>
      <c r="M696" s="13" t="str">
        <f t="shared" si="3"/>
        <v>OK</v>
      </c>
      <c r="N696" s="18" t="str">
        <f t="shared" si="4"/>
        <v>VALID</v>
      </c>
    </row>
    <row r="697" ht="15.75" customHeight="1">
      <c r="A697" s="13" t="str">
        <f>Raw_Data!A697</f>
        <v>EMP0731</v>
      </c>
      <c r="B697" s="13" t="str">
        <f>TRIM(CLEAN(Raw_Data!B697))</f>
        <v>HR</v>
      </c>
      <c r="C697" s="18" t="s">
        <v>26</v>
      </c>
      <c r="D697" s="14" t="str">
        <f>IF(ISBLANK(Raw_Data!D697),AVERAGE(Raw_Data!D$2:D$5002),Raw_Data!D697)</f>
        <v>107699.33</v>
      </c>
      <c r="E697" s="15" t="str">
        <f>IF(ISBLANK(Raw_Data!E697),AVERAGE(Raw_Data!E$2:E$5002),Raw_Data!E697)</f>
        <v>32309.80</v>
      </c>
      <c r="F697" s="15" t="str">
        <f>IF(ISBLANK(Raw_Data!F697),AVERAGE(Raw_Data!F$2:F$5002),Raw_Data!F697)</f>
        <v>5188.78</v>
      </c>
      <c r="G697" s="14" t="str">
        <f>IF(ISBLANK(Raw_Data!G697),AVERAGE(Raw_Data!G$2:G$5002),Raw_Data!G697)</f>
        <v>31345.19</v>
      </c>
      <c r="H697" s="15" t="str">
        <f t="shared" si="1"/>
        <v>145198.00</v>
      </c>
      <c r="I697" s="14" t="str">
        <f t="shared" si="2"/>
        <v>113853.00</v>
      </c>
      <c r="J697" s="16" t="str">
        <f>TEXT(Raw_Data!J697,"MMM-YYY")</f>
        <v>Jan-2025</v>
      </c>
      <c r="K697" s="13" t="str">
        <f>Raw_Data!K697</f>
        <v>12</v>
      </c>
      <c r="L697" s="17" t="str">
        <f>Raw_Data!L697</f>
        <v>Delhi-North</v>
      </c>
      <c r="M697" s="13" t="str">
        <f t="shared" si="3"/>
        <v>OK</v>
      </c>
      <c r="N697" s="18" t="str">
        <f t="shared" si="4"/>
        <v>VALID</v>
      </c>
    </row>
    <row r="698" ht="15.75" customHeight="1">
      <c r="A698" s="13" t="str">
        <f>Raw_Data!A698</f>
        <v>EMP0732</v>
      </c>
      <c r="B698" s="13" t="str">
        <f>TRIM(CLEAN(Raw_Data!B698))</f>
        <v>Operations</v>
      </c>
      <c r="C698" s="18" t="s">
        <v>30</v>
      </c>
      <c r="D698" s="14" t="str">
        <f>IF(ISBLANK(Raw_Data!D698),AVERAGE(Raw_Data!D$2:D$5002),Raw_Data!D698)</f>
        <v>26844.36</v>
      </c>
      <c r="E698" s="15" t="str">
        <f>IF(ISBLANK(Raw_Data!E698),AVERAGE(Raw_Data!E$2:E$5002),Raw_Data!E698)</f>
        <v>8053.31</v>
      </c>
      <c r="F698" s="15" t="str">
        <f>IF(ISBLANK(Raw_Data!F698),AVERAGE(Raw_Data!F$2:F$5002),Raw_Data!F698)</f>
        <v>2032.86</v>
      </c>
      <c r="G698" s="14" t="str">
        <f>IF(ISBLANK(Raw_Data!G698),AVERAGE(Raw_Data!G$2:G$5002),Raw_Data!G698)</f>
        <v>6580.38</v>
      </c>
      <c r="H698" s="15" t="str">
        <f t="shared" si="1"/>
        <v>36931.00</v>
      </c>
      <c r="I698" s="14" t="str">
        <f t="shared" si="2"/>
        <v>30351.00</v>
      </c>
      <c r="J698" s="16" t="str">
        <f>TEXT(Raw_Data!J698,"MMM-YYY")</f>
        <v>Feb-2025</v>
      </c>
      <c r="K698" s="13" t="str">
        <f>Raw_Data!K698</f>
        <v>10</v>
      </c>
      <c r="L698" s="17" t="str">
        <f>Raw_Data!L698</f>
        <v>Bangalore-South</v>
      </c>
      <c r="M698" s="13" t="str">
        <f t="shared" si="3"/>
        <v>OK</v>
      </c>
      <c r="N698" s="18" t="str">
        <f t="shared" si="4"/>
        <v>VALID</v>
      </c>
    </row>
    <row r="699" ht="15.75" customHeight="1">
      <c r="A699" s="13" t="str">
        <f>Raw_Data!A699</f>
        <v>EMP0733</v>
      </c>
      <c r="B699" s="13" t="str">
        <f>TRIM(CLEAN(Raw_Data!B699))</f>
        <v>Marketing</v>
      </c>
      <c r="C699" s="18" t="s">
        <v>54</v>
      </c>
      <c r="D699" s="14" t="str">
        <f>IF(ISBLANK(Raw_Data!D699),AVERAGE(Raw_Data!D$2:D$5002),Raw_Data!D699)</f>
        <v>46217.66</v>
      </c>
      <c r="E699" s="15" t="str">
        <f>IF(ISBLANK(Raw_Data!E699),AVERAGE(Raw_Data!E$2:E$5002),Raw_Data!E699)</f>
        <v>13865.30</v>
      </c>
      <c r="F699" s="15" t="str">
        <f>IF(ISBLANK(Raw_Data!F699),AVERAGE(Raw_Data!F$2:F$5002),Raw_Data!F699)</f>
        <v>4142.01</v>
      </c>
      <c r="G699" s="14" t="str">
        <f>IF(ISBLANK(Raw_Data!G699),AVERAGE(Raw_Data!G$2:G$5002),Raw_Data!G699)</f>
        <v>11876.86</v>
      </c>
      <c r="H699" s="15" t="str">
        <f t="shared" si="1"/>
        <v>64225.00</v>
      </c>
      <c r="I699" s="14" t="str">
        <f t="shared" si="2"/>
        <v>52348.00</v>
      </c>
      <c r="J699" s="16" t="str">
        <f>TEXT(Raw_Data!J699,"MMM-YYY")</f>
        <v>Aug-2025</v>
      </c>
      <c r="K699" s="13" t="str">
        <f>Raw_Data!K699</f>
        <v>12</v>
      </c>
      <c r="L699" s="17" t="str">
        <f>Raw_Data!L699</f>
        <v>Chennai-South</v>
      </c>
      <c r="M699" s="13" t="str">
        <f t="shared" si="3"/>
        <v>OK</v>
      </c>
      <c r="N699" s="18" t="str">
        <f t="shared" si="4"/>
        <v>VALID</v>
      </c>
    </row>
    <row r="700" ht="15.75" customHeight="1">
      <c r="A700" s="13" t="str">
        <f>Raw_Data!A700</f>
        <v>EMP0734</v>
      </c>
      <c r="B700" s="13" t="str">
        <f>TRIM(CLEAN(Raw_Data!B700))</f>
        <v>IT</v>
      </c>
      <c r="C700" s="18" t="s">
        <v>14</v>
      </c>
      <c r="D700" s="14" t="str">
        <f>IF(ISBLANK(Raw_Data!D700),AVERAGE(Raw_Data!D$2:D$5002),Raw_Data!D700)</f>
        <v>25060.83</v>
      </c>
      <c r="E700" s="15" t="str">
        <f>IF(ISBLANK(Raw_Data!E700),AVERAGE(Raw_Data!E$2:E$5002),Raw_Data!E700)</f>
        <v>7518.25</v>
      </c>
      <c r="F700" s="15" t="str">
        <f>IF(ISBLANK(Raw_Data!F700),AVERAGE(Raw_Data!F$2:F$5002),Raw_Data!F700)</f>
        <v>3735.26</v>
      </c>
      <c r="G700" s="14" t="str">
        <f>IF(ISBLANK(Raw_Data!G700),AVERAGE(Raw_Data!G$2:G$5002),Raw_Data!G700)</f>
        <v>133.59</v>
      </c>
      <c r="H700" s="15" t="str">
        <f t="shared" si="1"/>
        <v>36314.00</v>
      </c>
      <c r="I700" s="14" t="str">
        <f t="shared" si="2"/>
        <v>36180.00</v>
      </c>
      <c r="J700" s="16" t="str">
        <f>TEXT(Raw_Data!J700,"MMM-YYY")</f>
        <v>Jul-2025</v>
      </c>
      <c r="K700" s="13" t="str">
        <f>Raw_Data!K700</f>
        <v>3</v>
      </c>
      <c r="L700" s="17" t="str">
        <f>Raw_Data!L700</f>
        <v>Kolkata-East</v>
      </c>
      <c r="M700" s="13" t="str">
        <f t="shared" si="3"/>
        <v>OK</v>
      </c>
      <c r="N700" s="18" t="str">
        <f t="shared" si="4"/>
        <v>VALID</v>
      </c>
    </row>
    <row r="701" ht="15.75" customHeight="1">
      <c r="A701" s="13" t="str">
        <f>Raw_Data!A701</f>
        <v>EMP0735</v>
      </c>
      <c r="B701" s="13" t="str">
        <f>TRIM(CLEAN(Raw_Data!B701))</f>
        <v>Marketing</v>
      </c>
      <c r="C701" s="18" t="s">
        <v>14</v>
      </c>
      <c r="D701" s="14" t="str">
        <f>IF(ISBLANK(Raw_Data!D701),AVERAGE(Raw_Data!D$2:D$5002),Raw_Data!D701)</f>
        <v>22011.34</v>
      </c>
      <c r="E701" s="15" t="str">
        <f>IF(ISBLANK(Raw_Data!E701),AVERAGE(Raw_Data!E$2:E$5002),Raw_Data!E701)</f>
        <v>6603.40</v>
      </c>
      <c r="F701" s="15" t="str">
        <f>IF(ISBLANK(Raw_Data!F701),AVERAGE(Raw_Data!F$2:F$5002),Raw_Data!F701)</f>
        <v>0.75</v>
      </c>
      <c r="G701" s="14" t="str">
        <f>IF(ISBLANK(Raw_Data!G701),AVERAGE(Raw_Data!G$2:G$5002),Raw_Data!G701)</f>
        <v>600.22</v>
      </c>
      <c r="H701" s="15" t="str">
        <f t="shared" si="1"/>
        <v>28615.00</v>
      </c>
      <c r="I701" s="14" t="str">
        <f t="shared" si="2"/>
        <v>28015.00</v>
      </c>
      <c r="J701" s="16" t="str">
        <f>TEXT(Raw_Data!J701,"MMM-YYY")</f>
        <v>Oct-2025</v>
      </c>
      <c r="K701" s="13" t="str">
        <f>Raw_Data!K701</f>
        <v>21</v>
      </c>
      <c r="L701" s="17" t="str">
        <f>Raw_Data!L701</f>
        <v>Pune-West</v>
      </c>
      <c r="M701" s="13" t="str">
        <f t="shared" si="3"/>
        <v>OK</v>
      </c>
      <c r="N701" s="18" t="str">
        <f t="shared" si="4"/>
        <v>VALID</v>
      </c>
    </row>
    <row r="702" ht="15.75" customHeight="1">
      <c r="A702" s="13" t="str">
        <f>Raw_Data!A702</f>
        <v>EMP0736</v>
      </c>
      <c r="B702" s="13" t="str">
        <f>TRIM(CLEAN(Raw_Data!B702))</f>
        <v>Operations</v>
      </c>
      <c r="C702" s="18" t="s">
        <v>18</v>
      </c>
      <c r="D702" s="14" t="str">
        <f>IF(ISBLANK(Raw_Data!D702),AVERAGE(Raw_Data!D$2:D$5002),Raw_Data!D702)</f>
        <v>72919.55</v>
      </c>
      <c r="E702" s="15" t="str">
        <f>IF(ISBLANK(Raw_Data!E702),AVERAGE(Raw_Data!E$2:E$5002),Raw_Data!E702)</f>
        <v>21875.87</v>
      </c>
      <c r="F702" s="15" t="str">
        <f>IF(ISBLANK(Raw_Data!F702),AVERAGE(Raw_Data!F$2:F$5002),Raw_Data!F702)</f>
        <v>7413.55</v>
      </c>
      <c r="G702" s="14" t="str">
        <f>IF(ISBLANK(Raw_Data!G702),AVERAGE(Raw_Data!G$2:G$5002),Raw_Data!G702)</f>
        <v>4525.05</v>
      </c>
      <c r="H702" s="15" t="str">
        <f t="shared" si="1"/>
        <v>102209.00</v>
      </c>
      <c r="I702" s="14" t="str">
        <f t="shared" si="2"/>
        <v>97684.00</v>
      </c>
      <c r="J702" s="16" t="str">
        <f>TEXT(Raw_Data!J702,"MMM-YYY")</f>
        <v>Nov-2025</v>
      </c>
      <c r="K702" s="13" t="str">
        <f>Raw_Data!K702</f>
        <v>21</v>
      </c>
      <c r="L702" s="17" t="str">
        <f>Raw_Data!L702</f>
        <v>Hyderabad-South</v>
      </c>
      <c r="M702" s="13" t="str">
        <f t="shared" si="3"/>
        <v>OK</v>
      </c>
      <c r="N702" s="18" t="str">
        <f t="shared" si="4"/>
        <v>VALID</v>
      </c>
    </row>
    <row r="703" ht="15.75" customHeight="1">
      <c r="A703" s="13" t="str">
        <f>Raw_Data!A703</f>
        <v>EMP0737</v>
      </c>
      <c r="B703" s="13" t="str">
        <f>TRIM(CLEAN(Raw_Data!B703))</f>
        <v>Marketing</v>
      </c>
      <c r="C703" s="18" t="s">
        <v>33</v>
      </c>
      <c r="D703" s="14" t="str">
        <f>IF(ISBLANK(Raw_Data!D703),AVERAGE(Raw_Data!D$2:D$5002),Raw_Data!D703)</f>
        <v>28633.42</v>
      </c>
      <c r="E703" s="15" t="str">
        <f>IF(ISBLANK(Raw_Data!E703),AVERAGE(Raw_Data!E$2:E$5002),Raw_Data!E703)</f>
        <v>8590.03</v>
      </c>
      <c r="F703" s="15" t="str">
        <f>IF(ISBLANK(Raw_Data!F703),AVERAGE(Raw_Data!F$2:F$5002),Raw_Data!F703)</f>
        <v>310.82</v>
      </c>
      <c r="G703" s="14" t="str">
        <f>IF(ISBLANK(Raw_Data!G703),AVERAGE(Raw_Data!G$2:G$5002),Raw_Data!G703)</f>
        <v>1914.87</v>
      </c>
      <c r="H703" s="15" t="str">
        <f t="shared" si="1"/>
        <v>37534.00</v>
      </c>
      <c r="I703" s="14" t="str">
        <f t="shared" si="2"/>
        <v>35619.00</v>
      </c>
      <c r="J703" s="16" t="str">
        <f>TEXT(Raw_Data!J703,"MMM-YYY")</f>
        <v>Aug-2025</v>
      </c>
      <c r="K703" s="13" t="str">
        <f>Raw_Data!K703</f>
        <v>21</v>
      </c>
      <c r="L703" s="17" t="str">
        <f>Raw_Data!L703</f>
        <v>Chandigarh-North</v>
      </c>
      <c r="M703" s="13" t="str">
        <f t="shared" si="3"/>
        <v>OK</v>
      </c>
      <c r="N703" s="18" t="str">
        <f t="shared" si="4"/>
        <v>VALID</v>
      </c>
    </row>
    <row r="704" ht="15.75" customHeight="1">
      <c r="A704" s="13" t="str">
        <f>Raw_Data!A704</f>
        <v>EMP0738</v>
      </c>
      <c r="B704" s="13" t="str">
        <f>TRIM(CLEAN(Raw_Data!B704))</f>
        <v>IT</v>
      </c>
      <c r="C704" s="18" t="s">
        <v>37</v>
      </c>
      <c r="D704" s="14" t="str">
        <f>IF(ISBLANK(Raw_Data!D704),AVERAGE(Raw_Data!D$2:D$5002),Raw_Data!D704)</f>
        <v>58813.50</v>
      </c>
      <c r="E704" s="15" t="str">
        <f>IF(ISBLANK(Raw_Data!E704),AVERAGE(Raw_Data!E$2:E$5002),Raw_Data!E704)</f>
        <v>17644.05</v>
      </c>
      <c r="F704" s="15" t="str">
        <f>IF(ISBLANK(Raw_Data!F704),AVERAGE(Raw_Data!F$2:F$5002),Raw_Data!F704)</f>
        <v>7057.05</v>
      </c>
      <c r="G704" s="14" t="str">
        <f>IF(ISBLANK(Raw_Data!G704),AVERAGE(Raw_Data!G$2:G$5002),Raw_Data!G704)</f>
        <v>12644.75</v>
      </c>
      <c r="H704" s="15" t="str">
        <f t="shared" si="1"/>
        <v>83515.00</v>
      </c>
      <c r="I704" s="14" t="str">
        <f t="shared" si="2"/>
        <v>70870.00</v>
      </c>
      <c r="J704" s="16" t="str">
        <f>TEXT(Raw_Data!J704,"MMM-YYY")</f>
        <v>Jun-2025</v>
      </c>
      <c r="K704" s="13" t="str">
        <f>Raw_Data!K704</f>
        <v>16</v>
      </c>
      <c r="L704" s="17" t="str">
        <f>Raw_Data!L704</f>
        <v>Ahmedabad-West</v>
      </c>
      <c r="M704" s="13" t="str">
        <f t="shared" si="3"/>
        <v>OK</v>
      </c>
      <c r="N704" s="18" t="str">
        <f t="shared" si="4"/>
        <v>VALID</v>
      </c>
    </row>
    <row r="705" ht="15.75" customHeight="1">
      <c r="A705" s="13" t="str">
        <f>Raw_Data!A705</f>
        <v>EMP0739</v>
      </c>
      <c r="B705" s="13" t="str">
        <f>TRIM(CLEAN(Raw_Data!B705))</f>
        <v>Sales</v>
      </c>
      <c r="C705" s="18" t="s">
        <v>54</v>
      </c>
      <c r="D705" s="14" t="str">
        <f>IF(ISBLANK(Raw_Data!D705),AVERAGE(Raw_Data!D$2:D$5002),Raw_Data!D705)</f>
        <v>36596.33</v>
      </c>
      <c r="E705" s="15" t="str">
        <f>IF(ISBLANK(Raw_Data!E705),AVERAGE(Raw_Data!E$2:E$5002),Raw_Data!E705)</f>
        <v>10978.90</v>
      </c>
      <c r="F705" s="15" t="str">
        <f>IF(ISBLANK(Raw_Data!F705),AVERAGE(Raw_Data!F$2:F$5002),Raw_Data!F705)</f>
        <v>5557.66</v>
      </c>
      <c r="G705" s="14" t="str">
        <f>IF(ISBLANK(Raw_Data!G705),AVERAGE(Raw_Data!G$2:G$5002),Raw_Data!G705)</f>
        <v>2434.54</v>
      </c>
      <c r="H705" s="15" t="str">
        <f t="shared" si="1"/>
        <v>53133.00</v>
      </c>
      <c r="I705" s="14" t="str">
        <f t="shared" si="2"/>
        <v>50698.00</v>
      </c>
      <c r="J705" s="16" t="str">
        <f>TEXT(Raw_Data!J705,"MMM-YYY")</f>
        <v>Jun-2025</v>
      </c>
      <c r="K705" s="13" t="str">
        <f>Raw_Data!K705</f>
        <v>1</v>
      </c>
      <c r="L705" s="17" t="str">
        <f>Raw_Data!L705</f>
        <v>Jaipur-North</v>
      </c>
      <c r="M705" s="13" t="str">
        <f t="shared" si="3"/>
        <v>OK</v>
      </c>
      <c r="N705" s="18" t="str">
        <f t="shared" si="4"/>
        <v>VALID</v>
      </c>
    </row>
    <row r="706" ht="15.75" customHeight="1">
      <c r="A706" s="13" t="str">
        <f>Raw_Data!A706</f>
        <v>EMP0740</v>
      </c>
      <c r="B706" s="13" t="str">
        <f>TRIM(CLEAN(Raw_Data!B706))</f>
        <v>IT</v>
      </c>
      <c r="C706" s="18" t="s">
        <v>26</v>
      </c>
      <c r="D706" s="14" t="str">
        <f>IF(ISBLANK(Raw_Data!D706),AVERAGE(Raw_Data!D$2:D$5002),Raw_Data!D706)</f>
        <v>112811.80</v>
      </c>
      <c r="E706" s="15" t="str">
        <f>IF(ISBLANK(Raw_Data!E706),AVERAGE(Raw_Data!E$2:E$5002),Raw_Data!E706)</f>
        <v>33843.54</v>
      </c>
      <c r="F706" s="15" t="str">
        <f>IF(ISBLANK(Raw_Data!F706),AVERAGE(Raw_Data!F$2:F$5002),Raw_Data!F706)</f>
        <v>18047.92</v>
      </c>
      <c r="G706" s="14" t="str">
        <f>IF(ISBLANK(Raw_Data!G706),AVERAGE(Raw_Data!G$2:G$5002),Raw_Data!G706)</f>
        <v>18535.79</v>
      </c>
      <c r="H706" s="15" t="str">
        <f t="shared" si="1"/>
        <v>164703.00</v>
      </c>
      <c r="I706" s="14" t="str">
        <f t="shared" si="2"/>
        <v>146167.00</v>
      </c>
      <c r="J706" s="16" t="str">
        <f>TEXT(Raw_Data!J706,"MMM-YYY")</f>
        <v>Jun-2025</v>
      </c>
      <c r="K706" s="13" t="str">
        <f>Raw_Data!K706</f>
        <v>13</v>
      </c>
      <c r="L706" s="17" t="str">
        <f>Raw_Data!L706</f>
        <v>Mumbai-HO</v>
      </c>
      <c r="M706" s="13" t="str">
        <f t="shared" si="3"/>
        <v>OK</v>
      </c>
      <c r="N706" s="18" t="str">
        <f t="shared" si="4"/>
        <v>VALID</v>
      </c>
    </row>
    <row r="707" ht="15.75" customHeight="1">
      <c r="A707" s="13" t="str">
        <f>Raw_Data!A707</f>
        <v>EMP0742</v>
      </c>
      <c r="B707" s="13" t="str">
        <f>TRIM(CLEAN(Raw_Data!B707))</f>
        <v>Sales</v>
      </c>
      <c r="C707" s="18" t="s">
        <v>18</v>
      </c>
      <c r="D707" s="14" t="str">
        <f>IF(ISBLANK(Raw_Data!D707),AVERAGE(Raw_Data!D$2:D$5002),Raw_Data!D707)</f>
        <v>71831.17</v>
      </c>
      <c r="E707" s="15" t="str">
        <f>IF(ISBLANK(Raw_Data!E707),AVERAGE(Raw_Data!E$2:E$5002),Raw_Data!E707)</f>
        <v>22691.84</v>
      </c>
      <c r="F707" s="15" t="str">
        <f>IF(ISBLANK(Raw_Data!F707),AVERAGE(Raw_Data!F$2:F$5002),Raw_Data!F707)</f>
        <v>3846.86</v>
      </c>
      <c r="G707" s="14" t="str">
        <f>IF(ISBLANK(Raw_Data!G707),AVERAGE(Raw_Data!G$2:G$5002),Raw_Data!G707)</f>
        <v>4445.82</v>
      </c>
      <c r="H707" s="15" t="str">
        <f t="shared" si="1"/>
        <v>98370.00</v>
      </c>
      <c r="I707" s="14" t="str">
        <f t="shared" si="2"/>
        <v>93924.00</v>
      </c>
      <c r="J707" s="16" t="str">
        <f>TEXT(Raw_Data!J707,"MMM-YYY")</f>
        <v>Feb-2025</v>
      </c>
      <c r="K707" s="13" t="str">
        <f>Raw_Data!K707</f>
        <v>18</v>
      </c>
      <c r="L707" s="17" t="str">
        <f>Raw_Data!L707</f>
        <v>Bangalore-South</v>
      </c>
      <c r="M707" s="13" t="str">
        <f t="shared" si="3"/>
        <v>OK</v>
      </c>
      <c r="N707" s="18" t="str">
        <f t="shared" si="4"/>
        <v>VALID</v>
      </c>
    </row>
    <row r="708" ht="15.75" customHeight="1">
      <c r="A708" s="13" t="str">
        <f>Raw_Data!A708</f>
        <v>EMP0743</v>
      </c>
      <c r="B708" s="13" t="str">
        <f>TRIM(CLEAN(Raw_Data!B708))</f>
        <v>Customer Support</v>
      </c>
      <c r="C708" s="18" t="s">
        <v>54</v>
      </c>
      <c r="D708" s="14" t="str">
        <f>IF(ISBLANK(Raw_Data!D708),AVERAGE(Raw_Data!D$2:D$5002),Raw_Data!D708)</f>
        <v>38018.25</v>
      </c>
      <c r="E708" s="15" t="str">
        <f>IF(ISBLANK(Raw_Data!E708),AVERAGE(Raw_Data!E$2:E$5002),Raw_Data!E708)</f>
        <v>11405.48</v>
      </c>
      <c r="F708" s="15" t="str">
        <f>IF(ISBLANK(Raw_Data!F708),AVERAGE(Raw_Data!F$2:F$5002),Raw_Data!F708)</f>
        <v>6269.62</v>
      </c>
      <c r="G708" s="14" t="str">
        <f>IF(ISBLANK(Raw_Data!G708),AVERAGE(Raw_Data!G$2:G$5002),Raw_Data!G708)</f>
        <v>2173.64</v>
      </c>
      <c r="H708" s="15" t="str">
        <f t="shared" si="1"/>
        <v>55693.00</v>
      </c>
      <c r="I708" s="14" t="str">
        <f t="shared" si="2"/>
        <v>53519.00</v>
      </c>
      <c r="J708" s="16" t="str">
        <f>TEXT(Raw_Data!J708,"MMM-YYY")</f>
        <v>Jun-2025</v>
      </c>
      <c r="K708" s="13" t="str">
        <f>Raw_Data!K708</f>
        <v>21</v>
      </c>
      <c r="L708" s="17" t="str">
        <f>Raw_Data!L708</f>
        <v>Chennai-South</v>
      </c>
      <c r="M708" s="13" t="str">
        <f t="shared" si="3"/>
        <v>OK</v>
      </c>
      <c r="N708" s="18" t="str">
        <f t="shared" si="4"/>
        <v>VALID</v>
      </c>
    </row>
    <row r="709" ht="15.75" customHeight="1">
      <c r="A709" s="13" t="str">
        <f>Raw_Data!A709</f>
        <v>EMP0744</v>
      </c>
      <c r="B709" s="13" t="str">
        <f>TRIM(CLEAN(Raw_Data!B709))</f>
        <v>HR</v>
      </c>
      <c r="C709" s="18" t="s">
        <v>26</v>
      </c>
      <c r="D709" s="14" t="str">
        <f>IF(ISBLANK(Raw_Data!D709),AVERAGE(Raw_Data!D$2:D$5002),Raw_Data!D709)</f>
        <v>104920.93</v>
      </c>
      <c r="E709" s="15" t="str">
        <f>IF(ISBLANK(Raw_Data!E709),AVERAGE(Raw_Data!E$2:E$5002),Raw_Data!E709)</f>
        <v>31476.28</v>
      </c>
      <c r="F709" s="15" t="str">
        <f>IF(ISBLANK(Raw_Data!F709),AVERAGE(Raw_Data!F$2:F$5002),Raw_Data!F709)</f>
        <v>19444.50</v>
      </c>
      <c r="G709" s="14" t="str">
        <f>IF(ISBLANK(Raw_Data!G709),AVERAGE(Raw_Data!G$2:G$5002),Raw_Data!G709)</f>
        <v>26360.32</v>
      </c>
      <c r="H709" s="15" t="str">
        <f t="shared" si="1"/>
        <v>155842.00</v>
      </c>
      <c r="I709" s="14" t="str">
        <f t="shared" si="2"/>
        <v>129482.00</v>
      </c>
      <c r="J709" s="16" t="str">
        <f>TEXT(Raw_Data!J709,"MMM-YYY")</f>
        <v>Oct-2025</v>
      </c>
      <c r="K709" s="13" t="str">
        <f>Raw_Data!K709</f>
        <v>15</v>
      </c>
      <c r="L709" s="17" t="str">
        <f>Raw_Data!L709</f>
        <v>Kolkata-East</v>
      </c>
      <c r="M709" s="13" t="str">
        <f t="shared" si="3"/>
        <v>OK</v>
      </c>
      <c r="N709" s="18" t="str">
        <f t="shared" si="4"/>
        <v>VALID</v>
      </c>
    </row>
    <row r="710" ht="15.75" customHeight="1">
      <c r="A710" s="13" t="str">
        <f>Raw_Data!A710</f>
        <v>EMP0745</v>
      </c>
      <c r="B710" s="13" t="str">
        <f>TRIM(CLEAN(Raw_Data!B710))</f>
        <v>HR</v>
      </c>
      <c r="C710" s="18" t="s">
        <v>26</v>
      </c>
      <c r="D710" s="14" t="str">
        <f>IF(ISBLANK(Raw_Data!D710),AVERAGE(Raw_Data!D$2:D$5002),Raw_Data!D710)</f>
        <v>122103.16</v>
      </c>
      <c r="E710" s="15" t="str">
        <f>IF(ISBLANK(Raw_Data!E710),AVERAGE(Raw_Data!E$2:E$5002),Raw_Data!E710)</f>
        <v>36630.95</v>
      </c>
      <c r="F710" s="15" t="str">
        <f>IF(ISBLANK(Raw_Data!F710),AVERAGE(Raw_Data!F$2:F$5002),Raw_Data!F710)</f>
        <v>11169.70</v>
      </c>
      <c r="G710" s="14" t="str">
        <f>IF(ISBLANK(Raw_Data!G710),AVERAGE(Raw_Data!G$2:G$5002),Raw_Data!G710)</f>
        <v>21587.21</v>
      </c>
      <c r="H710" s="15" t="str">
        <f t="shared" si="1"/>
        <v>169904.00</v>
      </c>
      <c r="I710" s="14" t="str">
        <f t="shared" si="2"/>
        <v>148317.00</v>
      </c>
      <c r="J710" s="16" t="str">
        <f>TEXT(Raw_Data!J710,"MMM-YYY")</f>
        <v>Sep-2025</v>
      </c>
      <c r="K710" s="13" t="str">
        <f>Raw_Data!K710</f>
        <v>20</v>
      </c>
      <c r="L710" s="17" t="str">
        <f>Raw_Data!L710</f>
        <v>Pune-West</v>
      </c>
      <c r="M710" s="13" t="str">
        <f t="shared" si="3"/>
        <v>OK</v>
      </c>
      <c r="N710" s="18" t="str">
        <f t="shared" si="4"/>
        <v>VALID</v>
      </c>
    </row>
    <row r="711" ht="15.75" customHeight="1">
      <c r="A711" s="13" t="str">
        <f>Raw_Data!A711</f>
        <v>EMP0746</v>
      </c>
      <c r="B711" s="13" t="str">
        <f>TRIM(CLEAN(Raw_Data!B711))</f>
        <v>Finance</v>
      </c>
      <c r="C711" s="18" t="s">
        <v>54</v>
      </c>
      <c r="D711" s="14" t="str">
        <f>IF(ISBLANK(Raw_Data!D711),AVERAGE(Raw_Data!D$2:D$5002),Raw_Data!D711)</f>
        <v>35060.73</v>
      </c>
      <c r="E711" s="15" t="str">
        <f>IF(ISBLANK(Raw_Data!E711),AVERAGE(Raw_Data!E$2:E$5002),Raw_Data!E711)</f>
        <v>10518.22</v>
      </c>
      <c r="F711" s="15" t="str">
        <f>IF(ISBLANK(Raw_Data!F711),AVERAGE(Raw_Data!F$2:F$5002),Raw_Data!F711)</f>
        <v>5162.44</v>
      </c>
      <c r="G711" s="14" t="str">
        <f>IF(ISBLANK(Raw_Data!G711),AVERAGE(Raw_Data!G$2:G$5002),Raw_Data!G711)</f>
        <v>5818.96</v>
      </c>
      <c r="H711" s="15" t="str">
        <f t="shared" si="1"/>
        <v>50741.00</v>
      </c>
      <c r="I711" s="14" t="str">
        <f t="shared" si="2"/>
        <v>44922.00</v>
      </c>
      <c r="J711" s="16" t="str">
        <f>TEXT(Raw_Data!J711,"MMM-YYY")</f>
        <v>Jul-2025</v>
      </c>
      <c r="K711" s="13" t="str">
        <f>Raw_Data!K711</f>
        <v>17</v>
      </c>
      <c r="L711" s="17" t="str">
        <f>Raw_Data!L711</f>
        <v>Hyderabad-South</v>
      </c>
      <c r="M711" s="13" t="str">
        <f t="shared" si="3"/>
        <v>OK</v>
      </c>
      <c r="N711" s="18" t="str">
        <f t="shared" si="4"/>
        <v>VALID</v>
      </c>
    </row>
    <row r="712" ht="15.75" customHeight="1">
      <c r="A712" s="13" t="str">
        <f>Raw_Data!A712</f>
        <v>EMP0747</v>
      </c>
      <c r="B712" s="13" t="str">
        <f>TRIM(CLEAN(Raw_Data!B712))</f>
        <v>Customer Support</v>
      </c>
      <c r="C712" s="18" t="s">
        <v>37</v>
      </c>
      <c r="D712" s="14" t="str">
        <f>IF(ISBLANK(Raw_Data!D712),AVERAGE(Raw_Data!D$2:D$5002),Raw_Data!D712)</f>
        <v>53692.78</v>
      </c>
      <c r="E712" s="15" t="str">
        <f>IF(ISBLANK(Raw_Data!E712),AVERAGE(Raw_Data!E$2:E$5002),Raw_Data!E712)</f>
        <v>16107.83</v>
      </c>
      <c r="F712" s="15" t="str">
        <f>IF(ISBLANK(Raw_Data!F712),AVERAGE(Raw_Data!F$2:F$5002),Raw_Data!F712)</f>
        <v>5458.76</v>
      </c>
      <c r="G712" s="14" t="str">
        <f>IF(ISBLANK(Raw_Data!G712),AVERAGE(Raw_Data!G$2:G$5002),Raw_Data!G712)</f>
        <v>14837.93</v>
      </c>
      <c r="H712" s="15" t="str">
        <f t="shared" si="1"/>
        <v>75259.00</v>
      </c>
      <c r="I712" s="14" t="str">
        <f t="shared" si="2"/>
        <v>60421.00</v>
      </c>
      <c r="J712" s="16" t="str">
        <f>TEXT(Raw_Data!J712,"MMM-YYY")</f>
        <v>Mar-2025</v>
      </c>
      <c r="K712" s="13" t="str">
        <f>Raw_Data!K712</f>
        <v>5</v>
      </c>
      <c r="L712" s="17" t="str">
        <f>Raw_Data!L712</f>
        <v>Chandigarh-North</v>
      </c>
      <c r="M712" s="13" t="str">
        <f t="shared" si="3"/>
        <v>OK</v>
      </c>
      <c r="N712" s="18" t="str">
        <f t="shared" si="4"/>
        <v>VALID</v>
      </c>
    </row>
    <row r="713" ht="15.75" customHeight="1">
      <c r="A713" s="13" t="str">
        <f>Raw_Data!A713</f>
        <v>EMP0748</v>
      </c>
      <c r="B713" s="13" t="str">
        <f>TRIM(CLEAN(Raw_Data!B713))</f>
        <v>Sales</v>
      </c>
      <c r="C713" s="18" t="s">
        <v>37</v>
      </c>
      <c r="D713" s="14" t="str">
        <f>IF(ISBLANK(Raw_Data!D713),AVERAGE(Raw_Data!D$2:D$5002),Raw_Data!D713)</f>
        <v>48125.70</v>
      </c>
      <c r="E713" s="15" t="str">
        <f>IF(ISBLANK(Raw_Data!E713),AVERAGE(Raw_Data!E$2:E$5002),Raw_Data!E713)</f>
        <v>14437.71</v>
      </c>
      <c r="F713" s="15" t="str">
        <f>IF(ISBLANK(Raw_Data!F713),AVERAGE(Raw_Data!F$2:F$5002),Raw_Data!F713)</f>
        <v>7846.84</v>
      </c>
      <c r="G713" s="14" t="str">
        <f>IF(ISBLANK(Raw_Data!G713),AVERAGE(Raw_Data!G$2:G$5002),Raw_Data!G713)</f>
        <v>1495.08</v>
      </c>
      <c r="H713" s="15" t="str">
        <f t="shared" si="1"/>
        <v>70410.00</v>
      </c>
      <c r="I713" s="14" t="str">
        <f t="shared" si="2"/>
        <v>68915.00</v>
      </c>
      <c r="J713" s="16" t="str">
        <f>TEXT(Raw_Data!J713,"MMM-YYY")</f>
        <v>Nov-2025</v>
      </c>
      <c r="K713" s="13" t="str">
        <f>Raw_Data!K713</f>
        <v>6</v>
      </c>
      <c r="L713" s="17" t="str">
        <f>Raw_Data!L713</f>
        <v>Ahmedabad-West</v>
      </c>
      <c r="M713" s="13" t="str">
        <f t="shared" si="3"/>
        <v>OK</v>
      </c>
      <c r="N713" s="18" t="str">
        <f t="shared" si="4"/>
        <v>VALID</v>
      </c>
    </row>
    <row r="714" ht="15.75" customHeight="1">
      <c r="A714" s="13" t="str">
        <f>Raw_Data!A714</f>
        <v>EMP0749</v>
      </c>
      <c r="B714" s="13" t="str">
        <f>TRIM(CLEAN(Raw_Data!B714))</f>
        <v>Operations</v>
      </c>
      <c r="C714" s="18" t="s">
        <v>37</v>
      </c>
      <c r="D714" s="14" t="str">
        <f>IF(ISBLANK(Raw_Data!D714),AVERAGE(Raw_Data!D$2:D$5002),Raw_Data!D714)</f>
        <v>60888.53</v>
      </c>
      <c r="E714" s="15" t="str">
        <f>IF(ISBLANK(Raw_Data!E714),AVERAGE(Raw_Data!E$2:E$5002),Raw_Data!E714)</f>
        <v>18266.56</v>
      </c>
      <c r="F714" s="15" t="str">
        <f>IF(ISBLANK(Raw_Data!F714),AVERAGE(Raw_Data!F$2:F$5002),Raw_Data!F714)</f>
        <v>6138.90</v>
      </c>
      <c r="G714" s="14" t="str">
        <f>IF(ISBLANK(Raw_Data!G714),AVERAGE(Raw_Data!G$2:G$5002),Raw_Data!G714)</f>
        <v>7026.46</v>
      </c>
      <c r="H714" s="15" t="str">
        <f t="shared" si="1"/>
        <v>85294.00</v>
      </c>
      <c r="I714" s="14" t="str">
        <f t="shared" si="2"/>
        <v>78268.00</v>
      </c>
      <c r="J714" s="16" t="str">
        <f>TEXT(Raw_Data!J714,"MMM-YYY")</f>
        <v>Oct-2025</v>
      </c>
      <c r="K714" s="13" t="str">
        <f>Raw_Data!K714</f>
        <v>7</v>
      </c>
      <c r="L714" s="17" t="str">
        <f>Raw_Data!L714</f>
        <v>Jaipur-North</v>
      </c>
      <c r="M714" s="13" t="str">
        <f t="shared" si="3"/>
        <v>OK</v>
      </c>
      <c r="N714" s="18" t="str">
        <f t="shared" si="4"/>
        <v>VALID</v>
      </c>
    </row>
    <row r="715" ht="15.75" customHeight="1">
      <c r="A715" s="13" t="str">
        <f>Raw_Data!A715</f>
        <v>EMP0750</v>
      </c>
      <c r="B715" s="13" t="str">
        <f>TRIM(CLEAN(Raw_Data!B715))</f>
        <v>Sales</v>
      </c>
      <c r="C715" s="18" t="s">
        <v>26</v>
      </c>
      <c r="D715" s="14" t="str">
        <f>IF(ISBLANK(Raw_Data!D715),AVERAGE(Raw_Data!D$2:D$5002),Raw_Data!D715)</f>
        <v>98936.60</v>
      </c>
      <c r="E715" s="15" t="str">
        <f>IF(ISBLANK(Raw_Data!E715),AVERAGE(Raw_Data!E$2:E$5002),Raw_Data!E715)</f>
        <v>29680.98</v>
      </c>
      <c r="F715" s="15" t="str">
        <f>IF(ISBLANK(Raw_Data!F715),AVERAGE(Raw_Data!F$2:F$5002),Raw_Data!F715)</f>
        <v>7872.78</v>
      </c>
      <c r="G715" s="14" t="str">
        <f>IF(ISBLANK(Raw_Data!G715),AVERAGE(Raw_Data!G$2:G$5002),Raw_Data!G715)</f>
        <v>10176.39</v>
      </c>
      <c r="H715" s="15" t="str">
        <f t="shared" si="1"/>
        <v>136490.00</v>
      </c>
      <c r="I715" s="14" t="str">
        <f t="shared" si="2"/>
        <v>126314.00</v>
      </c>
      <c r="J715" s="16" t="str">
        <f>TEXT(Raw_Data!J715,"MMM-YYY")</f>
        <v>May-2025</v>
      </c>
      <c r="K715" s="13" t="str">
        <f>Raw_Data!K715</f>
        <v>24</v>
      </c>
      <c r="L715" s="17" t="str">
        <f>Raw_Data!L715</f>
        <v>Mumbai-HO</v>
      </c>
      <c r="M715" s="13" t="str">
        <f t="shared" si="3"/>
        <v>OK</v>
      </c>
      <c r="N715" s="18" t="str">
        <f t="shared" si="4"/>
        <v>VALID</v>
      </c>
    </row>
    <row r="716" ht="15.75" customHeight="1">
      <c r="A716" s="13" t="str">
        <f>Raw_Data!A716</f>
        <v>EMP0752</v>
      </c>
      <c r="B716" s="13" t="str">
        <f>TRIM(CLEAN(Raw_Data!B716))</f>
        <v>Operations</v>
      </c>
      <c r="C716" s="18" t="s">
        <v>33</v>
      </c>
      <c r="D716" s="14" t="str">
        <f>IF(ISBLANK(Raw_Data!D716),AVERAGE(Raw_Data!D$2:D$5002),Raw_Data!D716)</f>
        <v>71831.17</v>
      </c>
      <c r="E716" s="15" t="str">
        <f>IF(ISBLANK(Raw_Data!E716),AVERAGE(Raw_Data!E$2:E$5002),Raw_Data!E716)</f>
        <v>10029.22</v>
      </c>
      <c r="F716" s="15" t="str">
        <f>IF(ISBLANK(Raw_Data!F716),AVERAGE(Raw_Data!F$2:F$5002),Raw_Data!F716)</f>
        <v>3662.71</v>
      </c>
      <c r="G716" s="14" t="str">
        <f>IF(ISBLANK(Raw_Data!G716),AVERAGE(Raw_Data!G$2:G$5002),Raw_Data!G716)</f>
        <v>3148.28</v>
      </c>
      <c r="H716" s="15" t="str">
        <f t="shared" si="1"/>
        <v>85523.00</v>
      </c>
      <c r="I716" s="14" t="str">
        <f t="shared" si="2"/>
        <v>82375.00</v>
      </c>
      <c r="J716" s="16" t="str">
        <f>TEXT(Raw_Data!J716,"MMM-YYY")</f>
        <v>Dec-2025</v>
      </c>
      <c r="K716" s="13" t="str">
        <f>Raw_Data!K716</f>
        <v>20</v>
      </c>
      <c r="L716" s="17" t="str">
        <f>Raw_Data!L716</f>
        <v>Bangalore-South</v>
      </c>
      <c r="M716" s="13" t="str">
        <f t="shared" si="3"/>
        <v>OK</v>
      </c>
      <c r="N716" s="18" t="str">
        <f t="shared" si="4"/>
        <v>VALID</v>
      </c>
    </row>
    <row r="717" ht="15.75" customHeight="1">
      <c r="A717" s="13" t="str">
        <f>Raw_Data!A717</f>
        <v>EMP0753</v>
      </c>
      <c r="B717" s="13" t="str">
        <f>TRIM(CLEAN(Raw_Data!B717))</f>
        <v>Operations</v>
      </c>
      <c r="C717" s="18" t="s">
        <v>18</v>
      </c>
      <c r="D717" s="14" t="str">
        <f>IF(ISBLANK(Raw_Data!D717),AVERAGE(Raw_Data!D$2:D$5002),Raw_Data!D717)</f>
        <v>70650.91</v>
      </c>
      <c r="E717" s="15" t="str">
        <f>IF(ISBLANK(Raw_Data!E717),AVERAGE(Raw_Data!E$2:E$5002),Raw_Data!E717)</f>
        <v>21195.27</v>
      </c>
      <c r="F717" s="15" t="str">
        <f>IF(ISBLANK(Raw_Data!F717),AVERAGE(Raw_Data!F$2:F$5002),Raw_Data!F717)</f>
        <v>2963.28</v>
      </c>
      <c r="G717" s="14" t="str">
        <f>IF(ISBLANK(Raw_Data!G717),AVERAGE(Raw_Data!G$2:G$5002),Raw_Data!G717)</f>
        <v>15141.58</v>
      </c>
      <c r="H717" s="15" t="str">
        <f t="shared" si="1"/>
        <v>94809.00</v>
      </c>
      <c r="I717" s="14" t="str">
        <f t="shared" si="2"/>
        <v>79667.00</v>
      </c>
      <c r="J717" s="16" t="str">
        <f>TEXT(Raw_Data!J717,"MMM-YYY")</f>
        <v>Nov-2025</v>
      </c>
      <c r="K717" s="13" t="str">
        <f>Raw_Data!K717</f>
        <v>11</v>
      </c>
      <c r="L717" s="17" t="str">
        <f>Raw_Data!L717</f>
        <v>Chennai-South</v>
      </c>
      <c r="M717" s="13" t="str">
        <f t="shared" si="3"/>
        <v>OK</v>
      </c>
      <c r="N717" s="18" t="str">
        <f t="shared" si="4"/>
        <v>VALID</v>
      </c>
    </row>
    <row r="718" ht="15.75" customHeight="1">
      <c r="A718" s="13" t="str">
        <f>Raw_Data!A718</f>
        <v>EMP0754</v>
      </c>
      <c r="B718" s="13" t="str">
        <f>TRIM(CLEAN(Raw_Data!B718))</f>
        <v>IT</v>
      </c>
      <c r="C718" s="18" t="s">
        <v>18</v>
      </c>
      <c r="D718" s="14" t="str">
        <f>IF(ISBLANK(Raw_Data!D718),AVERAGE(Raw_Data!D$2:D$5002),Raw_Data!D718)</f>
        <v>68449.46</v>
      </c>
      <c r="E718" s="15" t="str">
        <f>IF(ISBLANK(Raw_Data!E718),AVERAGE(Raw_Data!E$2:E$5002),Raw_Data!E718)</f>
        <v>20534.84</v>
      </c>
      <c r="F718" s="15" t="str">
        <f>IF(ISBLANK(Raw_Data!F718),AVERAGE(Raw_Data!F$2:F$5002),Raw_Data!F718)</f>
        <v>9725.25</v>
      </c>
      <c r="G718" s="14" t="str">
        <f>IF(ISBLANK(Raw_Data!G718),AVERAGE(Raw_Data!G$2:G$5002),Raw_Data!G718)</f>
        <v>20025.15</v>
      </c>
      <c r="H718" s="15" t="str">
        <f t="shared" si="1"/>
        <v>98710.00</v>
      </c>
      <c r="I718" s="14" t="str">
        <f t="shared" si="2"/>
        <v>78685.00</v>
      </c>
      <c r="J718" s="16" t="str">
        <f>TEXT(Raw_Data!J718,"MMM-YYY")</f>
        <v>Mar-2025</v>
      </c>
      <c r="K718" s="13" t="str">
        <f>Raw_Data!K718</f>
        <v>2</v>
      </c>
      <c r="L718" s="17" t="str">
        <f>Raw_Data!L718</f>
        <v>Kolkata-East</v>
      </c>
      <c r="M718" s="13" t="str">
        <f t="shared" si="3"/>
        <v>OK</v>
      </c>
      <c r="N718" s="18" t="str">
        <f t="shared" si="4"/>
        <v>VALID</v>
      </c>
    </row>
    <row r="719" ht="15.75" customHeight="1">
      <c r="A719" s="13" t="str">
        <f>Raw_Data!A719</f>
        <v>EMP0755</v>
      </c>
      <c r="B719" s="13" t="str">
        <f>TRIM(CLEAN(Raw_Data!B719))</f>
        <v>Operations</v>
      </c>
      <c r="C719" s="18" t="s">
        <v>37</v>
      </c>
      <c r="D719" s="14" t="str">
        <f>IF(ISBLANK(Raw_Data!D719),AVERAGE(Raw_Data!D$2:D$5002),Raw_Data!D719)</f>
        <v>57497.62</v>
      </c>
      <c r="E719" s="15" t="str">
        <f>IF(ISBLANK(Raw_Data!E719),AVERAGE(Raw_Data!E$2:E$5002),Raw_Data!E719)</f>
        <v>17249.29</v>
      </c>
      <c r="F719" s="15" t="str">
        <f>IF(ISBLANK(Raw_Data!F719),AVERAGE(Raw_Data!F$2:F$5002),Raw_Data!F719)</f>
        <v>3707.23</v>
      </c>
      <c r="G719" s="14" t="str">
        <f>IF(ISBLANK(Raw_Data!G719),AVERAGE(Raw_Data!G$2:G$5002),Raw_Data!G719)</f>
        <v>1990.66</v>
      </c>
      <c r="H719" s="15" t="str">
        <f t="shared" si="1"/>
        <v>78454.00</v>
      </c>
      <c r="I719" s="14" t="str">
        <f t="shared" si="2"/>
        <v>76463.00</v>
      </c>
      <c r="J719" s="16" t="str">
        <f>TEXT(Raw_Data!J719,"MMM-YYY")</f>
        <v>Jun-2025</v>
      </c>
      <c r="K719" s="13" t="str">
        <f>Raw_Data!K719</f>
        <v>14</v>
      </c>
      <c r="L719" s="17" t="str">
        <f>Raw_Data!L719</f>
        <v>Pune-West</v>
      </c>
      <c r="M719" s="13" t="str">
        <f t="shared" si="3"/>
        <v>OK</v>
      </c>
      <c r="N719" s="18" t="str">
        <f t="shared" si="4"/>
        <v>VALID</v>
      </c>
    </row>
    <row r="720" ht="15.75" customHeight="1">
      <c r="A720" s="13" t="str">
        <f>Raw_Data!A720</f>
        <v>EMP0756</v>
      </c>
      <c r="B720" s="13" t="str">
        <f>TRIM(CLEAN(Raw_Data!B720))</f>
        <v>Operations</v>
      </c>
      <c r="C720" s="18" t="s">
        <v>54</v>
      </c>
      <c r="D720" s="14" t="str">
        <f>IF(ISBLANK(Raw_Data!D720),AVERAGE(Raw_Data!D$2:D$5002),Raw_Data!D720)</f>
        <v>43159.29</v>
      </c>
      <c r="E720" s="15" t="str">
        <f>IF(ISBLANK(Raw_Data!E720),AVERAGE(Raw_Data!E$2:E$5002),Raw_Data!E720)</f>
        <v>12947.79</v>
      </c>
      <c r="F720" s="15" t="str">
        <f>IF(ISBLANK(Raw_Data!F720),AVERAGE(Raw_Data!F$2:F$5002),Raw_Data!F720)</f>
        <v>8137.03</v>
      </c>
      <c r="G720" s="14" t="str">
        <f>IF(ISBLANK(Raw_Data!G720),AVERAGE(Raw_Data!G$2:G$5002),Raw_Data!G720)</f>
        <v>9194.53</v>
      </c>
      <c r="H720" s="15" t="str">
        <f t="shared" si="1"/>
        <v>64244.00</v>
      </c>
      <c r="I720" s="14" t="str">
        <f t="shared" si="2"/>
        <v>55049.00</v>
      </c>
      <c r="J720" s="16" t="str">
        <f>TEXT(Raw_Data!J720,"MMM-YYY")</f>
        <v>Nov-2025</v>
      </c>
      <c r="K720" s="13" t="str">
        <f>Raw_Data!K720</f>
        <v>15</v>
      </c>
      <c r="L720" s="17" t="str">
        <f>Raw_Data!L720</f>
        <v>Hyderabad-South</v>
      </c>
      <c r="M720" s="13" t="str">
        <f t="shared" si="3"/>
        <v>OK</v>
      </c>
      <c r="N720" s="18" t="str">
        <f t="shared" si="4"/>
        <v>VALID</v>
      </c>
    </row>
    <row r="721" ht="15.75" customHeight="1">
      <c r="A721" s="13" t="str">
        <f>Raw_Data!A721</f>
        <v>EMP0757</v>
      </c>
      <c r="B721" s="13" t="str">
        <f>TRIM(CLEAN(Raw_Data!B721))</f>
        <v>Sales</v>
      </c>
      <c r="C721" s="18" t="s">
        <v>26</v>
      </c>
      <c r="D721" s="14" t="str">
        <f>IF(ISBLANK(Raw_Data!D721),AVERAGE(Raw_Data!D$2:D$5002),Raw_Data!D721)</f>
        <v>109220.50</v>
      </c>
      <c r="E721" s="15" t="str">
        <f>IF(ISBLANK(Raw_Data!E721),AVERAGE(Raw_Data!E$2:E$5002),Raw_Data!E721)</f>
        <v>32766.15</v>
      </c>
      <c r="F721" s="15" t="str">
        <f>IF(ISBLANK(Raw_Data!F721),AVERAGE(Raw_Data!F$2:F$5002),Raw_Data!F721)</f>
        <v>19167.70</v>
      </c>
      <c r="G721" s="14" t="str">
        <f>IF(ISBLANK(Raw_Data!G721),AVERAGE(Raw_Data!G$2:G$5002),Raw_Data!G721)</f>
        <v>13839.98</v>
      </c>
      <c r="H721" s="15" t="str">
        <f t="shared" si="1"/>
        <v>161154.00</v>
      </c>
      <c r="I721" s="14" t="str">
        <f t="shared" si="2"/>
        <v>147314.00</v>
      </c>
      <c r="J721" s="16" t="str">
        <f>TEXT(Raw_Data!J721,"MMM-YYY")</f>
        <v>Jan-2025</v>
      </c>
      <c r="K721" s="13" t="str">
        <f>Raw_Data!K721</f>
        <v>7</v>
      </c>
      <c r="L721" s="17" t="str">
        <f>Raw_Data!L721</f>
        <v>Chandigarh-North</v>
      </c>
      <c r="M721" s="13" t="str">
        <f t="shared" si="3"/>
        <v>OK</v>
      </c>
      <c r="N721" s="18" t="str">
        <f t="shared" si="4"/>
        <v>VALID</v>
      </c>
    </row>
    <row r="722" ht="15.75" customHeight="1">
      <c r="A722" s="13" t="str">
        <f>Raw_Data!A722</f>
        <v>EMP0758</v>
      </c>
      <c r="B722" s="13" t="str">
        <f>TRIM(CLEAN(Raw_Data!B722))</f>
        <v>Operations</v>
      </c>
      <c r="C722" s="18" t="s">
        <v>14</v>
      </c>
      <c r="D722" s="14" t="str">
        <f>IF(ISBLANK(Raw_Data!D722),AVERAGE(Raw_Data!D$2:D$5002),Raw_Data!D722)</f>
        <v>18181.96</v>
      </c>
      <c r="E722" s="15" t="str">
        <f>IF(ISBLANK(Raw_Data!E722),AVERAGE(Raw_Data!E$2:E$5002),Raw_Data!E722)</f>
        <v>5454.59</v>
      </c>
      <c r="F722" s="15" t="str">
        <f>IF(ISBLANK(Raw_Data!F722),AVERAGE(Raw_Data!F$2:F$5002),Raw_Data!F722)</f>
        <v>528.46</v>
      </c>
      <c r="G722" s="14" t="str">
        <f>IF(ISBLANK(Raw_Data!G722),AVERAGE(Raw_Data!G$2:G$5002),Raw_Data!G722)</f>
        <v>3655.96</v>
      </c>
      <c r="H722" s="15" t="str">
        <f t="shared" si="1"/>
        <v>24165.00</v>
      </c>
      <c r="I722" s="14" t="str">
        <f t="shared" si="2"/>
        <v>20509.00</v>
      </c>
      <c r="J722" s="16" t="str">
        <f>TEXT(Raw_Data!J722,"MMM-YYY")</f>
        <v>Apr-2025</v>
      </c>
      <c r="K722" s="13" t="str">
        <f>Raw_Data!K722</f>
        <v>12</v>
      </c>
      <c r="L722" s="17" t="str">
        <f>Raw_Data!L722</f>
        <v>Ahmedabad-West</v>
      </c>
      <c r="M722" s="13" t="str">
        <f t="shared" si="3"/>
        <v>OK</v>
      </c>
      <c r="N722" s="18" t="str">
        <f t="shared" si="4"/>
        <v>VALID</v>
      </c>
    </row>
    <row r="723" ht="15.75" customHeight="1">
      <c r="A723" s="13" t="str">
        <f>Raw_Data!A723</f>
        <v>EMP0759</v>
      </c>
      <c r="B723" s="13" t="str">
        <f>TRIM(CLEAN(Raw_Data!B723))</f>
        <v>IT</v>
      </c>
      <c r="C723" s="18" t="s">
        <v>26</v>
      </c>
      <c r="D723" s="14" t="str">
        <f>IF(ISBLANK(Raw_Data!D723),AVERAGE(Raw_Data!D$2:D$5002),Raw_Data!D723)</f>
        <v>118279.16</v>
      </c>
      <c r="E723" s="15" t="str">
        <f>IF(ISBLANK(Raw_Data!E723),AVERAGE(Raw_Data!E$2:E$5002),Raw_Data!E723)</f>
        <v>35483.75</v>
      </c>
      <c r="F723" s="15" t="str">
        <f>IF(ISBLANK(Raw_Data!F723),AVERAGE(Raw_Data!F$2:F$5002),Raw_Data!F723)</f>
        <v>23266.28</v>
      </c>
      <c r="G723" s="14" t="str">
        <f>IF(ISBLANK(Raw_Data!G723),AVERAGE(Raw_Data!G$2:G$5002),Raw_Data!G723)</f>
        <v>24249.25</v>
      </c>
      <c r="H723" s="15" t="str">
        <f t="shared" si="1"/>
        <v>177029.00</v>
      </c>
      <c r="I723" s="14" t="str">
        <f t="shared" si="2"/>
        <v>152780.00</v>
      </c>
      <c r="J723" s="16" t="str">
        <f>TEXT(Raw_Data!J723,"MMM-YYY")</f>
        <v>Mar-2025</v>
      </c>
      <c r="K723" s="13" t="str">
        <f>Raw_Data!K723</f>
        <v>17</v>
      </c>
      <c r="L723" s="17" t="str">
        <f>Raw_Data!L723</f>
        <v>Jaipur-North</v>
      </c>
      <c r="M723" s="13" t="str">
        <f t="shared" si="3"/>
        <v>OK</v>
      </c>
      <c r="N723" s="18" t="str">
        <f t="shared" si="4"/>
        <v>VALID</v>
      </c>
    </row>
    <row r="724" ht="15.75" customHeight="1">
      <c r="A724" s="13" t="str">
        <f>Raw_Data!A724</f>
        <v>EMP0760</v>
      </c>
      <c r="B724" s="13" t="str">
        <f>TRIM(CLEAN(Raw_Data!B724))</f>
        <v>Customer Support</v>
      </c>
      <c r="C724" s="18" t="s">
        <v>14</v>
      </c>
      <c r="D724" s="14" t="str">
        <f>IF(ISBLANK(Raw_Data!D724),AVERAGE(Raw_Data!D$2:D$5002),Raw_Data!D724)</f>
        <v>22972.28</v>
      </c>
      <c r="E724" s="15" t="str">
        <f>IF(ISBLANK(Raw_Data!E724),AVERAGE(Raw_Data!E$2:E$5002),Raw_Data!E724)</f>
        <v>6891.68</v>
      </c>
      <c r="F724" s="15" t="str">
        <f>IF(ISBLANK(Raw_Data!F724),AVERAGE(Raw_Data!F$2:F$5002),Raw_Data!F724)</f>
        <v>1356.01</v>
      </c>
      <c r="G724" s="14" t="str">
        <f>IF(ISBLANK(Raw_Data!G724),AVERAGE(Raw_Data!G$2:G$5002),Raw_Data!G724)</f>
        <v>5193.53</v>
      </c>
      <c r="H724" s="15" t="str">
        <f t="shared" si="1"/>
        <v>31220.00</v>
      </c>
      <c r="I724" s="14" t="str">
        <f t="shared" si="2"/>
        <v>26026.00</v>
      </c>
      <c r="J724" s="16" t="str">
        <f>TEXT(Raw_Data!J724,"MMM-YYY")</f>
        <v>Jan-2025</v>
      </c>
      <c r="K724" s="13" t="str">
        <f>Raw_Data!K724</f>
        <v>10</v>
      </c>
      <c r="L724" s="17" t="str">
        <f>Raw_Data!L724</f>
        <v>Mumbai-HO</v>
      </c>
      <c r="M724" s="13" t="str">
        <f t="shared" si="3"/>
        <v>OK</v>
      </c>
      <c r="N724" s="18" t="str">
        <f t="shared" si="4"/>
        <v>VALID</v>
      </c>
    </row>
    <row r="725" ht="15.75" customHeight="1">
      <c r="A725" s="13" t="str">
        <f>Raw_Data!A725</f>
        <v>EMP0761</v>
      </c>
      <c r="B725" s="13" t="str">
        <f>TRIM(CLEAN(Raw_Data!B725))</f>
        <v>IT</v>
      </c>
      <c r="C725" s="18" t="s">
        <v>26</v>
      </c>
      <c r="D725" s="14" t="str">
        <f>IF(ISBLANK(Raw_Data!D725),AVERAGE(Raw_Data!D$2:D$5002),Raw_Data!D725)</f>
        <v>106293.40</v>
      </c>
      <c r="E725" s="15" t="str">
        <f>IF(ISBLANK(Raw_Data!E725),AVERAGE(Raw_Data!E$2:E$5002),Raw_Data!E725)</f>
        <v>31888.02</v>
      </c>
      <c r="F725" s="15" t="str">
        <f>IF(ISBLANK(Raw_Data!F725),AVERAGE(Raw_Data!F$2:F$5002),Raw_Data!F725)</f>
        <v>13097.66</v>
      </c>
      <c r="G725" s="14" t="str">
        <f>IF(ISBLANK(Raw_Data!G725),AVERAGE(Raw_Data!G$2:G$5002),Raw_Data!G725)</f>
        <v>21541.19</v>
      </c>
      <c r="H725" s="15" t="str">
        <f t="shared" si="1"/>
        <v>151279.00</v>
      </c>
      <c r="I725" s="14" t="str">
        <f t="shared" si="2"/>
        <v>129738.00</v>
      </c>
      <c r="J725" s="16" t="str">
        <f>TEXT(Raw_Data!J725,"MMM-YYY")</f>
        <v>Sep-2025</v>
      </c>
      <c r="K725" s="13" t="str">
        <f>Raw_Data!K725</f>
        <v>4</v>
      </c>
      <c r="L725" s="17" t="str">
        <f>Raw_Data!L725</f>
        <v>Delhi-North</v>
      </c>
      <c r="M725" s="13" t="str">
        <f t="shared" si="3"/>
        <v>OK</v>
      </c>
      <c r="N725" s="18" t="str">
        <f t="shared" si="4"/>
        <v>VALID</v>
      </c>
    </row>
    <row r="726" ht="15.75" customHeight="1">
      <c r="A726" s="13" t="str">
        <f>Raw_Data!A726</f>
        <v>EMP0762</v>
      </c>
      <c r="B726" s="13" t="str">
        <f>TRIM(CLEAN(Raw_Data!B726))</f>
        <v>Customer Support</v>
      </c>
      <c r="C726" s="18" t="s">
        <v>30</v>
      </c>
      <c r="D726" s="14" t="str">
        <f>IF(ISBLANK(Raw_Data!D726),AVERAGE(Raw_Data!D$2:D$5002),Raw_Data!D726)</f>
        <v>28533.23</v>
      </c>
      <c r="E726" s="15" t="str">
        <f>IF(ISBLANK(Raw_Data!E726),AVERAGE(Raw_Data!E$2:E$5002),Raw_Data!E726)</f>
        <v>8559.97</v>
      </c>
      <c r="F726" s="15" t="str">
        <f>IF(ISBLANK(Raw_Data!F726),AVERAGE(Raw_Data!F$2:F$5002),Raw_Data!F726)</f>
        <v>3202.97</v>
      </c>
      <c r="G726" s="14" t="str">
        <f>IF(ISBLANK(Raw_Data!G726),AVERAGE(Raw_Data!G$2:G$5002),Raw_Data!G726)</f>
        <v>2033.81</v>
      </c>
      <c r="H726" s="15" t="str">
        <f t="shared" si="1"/>
        <v>40296.00</v>
      </c>
      <c r="I726" s="14" t="str">
        <f t="shared" si="2"/>
        <v>38262.00</v>
      </c>
      <c r="J726" s="16" t="str">
        <f>TEXT(Raw_Data!J726,"MMM-YYY")</f>
        <v>Dec-2025</v>
      </c>
      <c r="K726" s="13" t="str">
        <f>Raw_Data!K726</f>
        <v>15</v>
      </c>
      <c r="L726" s="17" t="str">
        <f>Raw_Data!L726</f>
        <v>Bangalore-South</v>
      </c>
      <c r="M726" s="13" t="str">
        <f t="shared" si="3"/>
        <v>OK</v>
      </c>
      <c r="N726" s="18" t="str">
        <f t="shared" si="4"/>
        <v>VALID</v>
      </c>
    </row>
    <row r="727" ht="15.75" customHeight="1">
      <c r="A727" s="13" t="str">
        <f>Raw_Data!A727</f>
        <v>EMP0763</v>
      </c>
      <c r="B727" s="13" t="str">
        <f>TRIM(CLEAN(Raw_Data!B727))</f>
        <v>IT</v>
      </c>
      <c r="C727" s="18" t="s">
        <v>18</v>
      </c>
      <c r="D727" s="14" t="str">
        <f>IF(ISBLANK(Raw_Data!D727),AVERAGE(Raw_Data!D$2:D$5002),Raw_Data!D727)</f>
        <v>82276.83</v>
      </c>
      <c r="E727" s="15" t="str">
        <f>IF(ISBLANK(Raw_Data!E727),AVERAGE(Raw_Data!E$2:E$5002),Raw_Data!E727)</f>
        <v>24683.05</v>
      </c>
      <c r="F727" s="15" t="str">
        <f>IF(ISBLANK(Raw_Data!F727),AVERAGE(Raw_Data!F$2:F$5002),Raw_Data!F727)</f>
        <v>15245.65</v>
      </c>
      <c r="G727" s="14" t="str">
        <f>IF(ISBLANK(Raw_Data!G727),AVERAGE(Raw_Data!G$2:G$5002),Raw_Data!G727)</f>
        <v>9566.03</v>
      </c>
      <c r="H727" s="15" t="str">
        <f t="shared" si="1"/>
        <v>122206.00</v>
      </c>
      <c r="I727" s="14" t="str">
        <f t="shared" si="2"/>
        <v>112640.00</v>
      </c>
      <c r="J727" s="16" t="str">
        <f>TEXT(Raw_Data!J727,"MMM-YYY")</f>
        <v>Nov-2025</v>
      </c>
      <c r="K727" s="13" t="str">
        <f>Raw_Data!K727</f>
        <v>14</v>
      </c>
      <c r="L727" s="17" t="str">
        <f>Raw_Data!L727</f>
        <v>Chennai-South</v>
      </c>
      <c r="M727" s="13" t="str">
        <f t="shared" si="3"/>
        <v>OK</v>
      </c>
      <c r="N727" s="18" t="str">
        <f t="shared" si="4"/>
        <v>VALID</v>
      </c>
    </row>
    <row r="728" ht="15.75" customHeight="1">
      <c r="A728" s="13" t="str">
        <f>Raw_Data!A728</f>
        <v>EMP0764</v>
      </c>
      <c r="B728" s="13" t="str">
        <f>TRIM(CLEAN(Raw_Data!B728))</f>
        <v>IT</v>
      </c>
      <c r="C728" s="18" t="s">
        <v>37</v>
      </c>
      <c r="D728" s="14" t="str">
        <f>IF(ISBLANK(Raw_Data!D728),AVERAGE(Raw_Data!D$2:D$5002),Raw_Data!D728)</f>
        <v>45968.44</v>
      </c>
      <c r="E728" s="15" t="str">
        <f>IF(ISBLANK(Raw_Data!E728),AVERAGE(Raw_Data!E$2:E$5002),Raw_Data!E728)</f>
        <v>13790.53</v>
      </c>
      <c r="F728" s="15" t="str">
        <f>IF(ISBLANK(Raw_Data!F728),AVERAGE(Raw_Data!F$2:F$5002),Raw_Data!F728)</f>
        <v>6837.07</v>
      </c>
      <c r="G728" s="14" t="str">
        <f>IF(ISBLANK(Raw_Data!G728),AVERAGE(Raw_Data!G$2:G$5002),Raw_Data!G728)</f>
        <v>2800.68</v>
      </c>
      <c r="H728" s="15" t="str">
        <f t="shared" si="1"/>
        <v>66596.00</v>
      </c>
      <c r="I728" s="14" t="str">
        <f t="shared" si="2"/>
        <v>63795.00</v>
      </c>
      <c r="J728" s="16" t="str">
        <f>TEXT(Raw_Data!J728,"MMM-YYY")</f>
        <v>Aug-2025</v>
      </c>
      <c r="K728" s="13" t="str">
        <f>Raw_Data!K728</f>
        <v>11</v>
      </c>
      <c r="L728" s="17" t="str">
        <f>Raw_Data!L728</f>
        <v>Kolkata-East</v>
      </c>
      <c r="M728" s="13" t="str">
        <f t="shared" si="3"/>
        <v>OK</v>
      </c>
      <c r="N728" s="18" t="str">
        <f t="shared" si="4"/>
        <v>VALID</v>
      </c>
    </row>
    <row r="729" ht="15.75" customHeight="1">
      <c r="A729" s="13" t="str">
        <f>Raw_Data!A729</f>
        <v>EMP0765</v>
      </c>
      <c r="B729" s="13" t="str">
        <f>TRIM(CLEAN(Raw_Data!B729))</f>
        <v>Customer Support</v>
      </c>
      <c r="C729" s="18" t="s">
        <v>30</v>
      </c>
      <c r="D729" s="14" t="str">
        <f>IF(ISBLANK(Raw_Data!D729),AVERAGE(Raw_Data!D$2:D$5002),Raw_Data!D729)</f>
        <v>30021.08</v>
      </c>
      <c r="E729" s="15" t="str">
        <f>IF(ISBLANK(Raw_Data!E729),AVERAGE(Raw_Data!E$2:E$5002),Raw_Data!E729)</f>
        <v>9006.32</v>
      </c>
      <c r="F729" s="15" t="str">
        <f>IF(ISBLANK(Raw_Data!F729),AVERAGE(Raw_Data!F$2:F$5002),Raw_Data!F729)</f>
        <v>4230.75</v>
      </c>
      <c r="G729" s="14" t="str">
        <f>IF(ISBLANK(Raw_Data!G729),AVERAGE(Raw_Data!G$2:G$5002),Raw_Data!G729)</f>
        <v>5832.79</v>
      </c>
      <c r="H729" s="15" t="str">
        <f t="shared" si="1"/>
        <v>43258.00</v>
      </c>
      <c r="I729" s="14" t="str">
        <f t="shared" si="2"/>
        <v>37425.00</v>
      </c>
      <c r="J729" s="16" t="str">
        <f>TEXT(Raw_Data!J729,"MMM-YYY")</f>
        <v>Oct-2025</v>
      </c>
      <c r="K729" s="13" t="str">
        <f>Raw_Data!K729</f>
        <v>9</v>
      </c>
      <c r="L729" s="17" t="str">
        <f>Raw_Data!L729</f>
        <v>Pune-West</v>
      </c>
      <c r="M729" s="13" t="str">
        <f t="shared" si="3"/>
        <v>OK</v>
      </c>
      <c r="N729" s="18" t="str">
        <f t="shared" si="4"/>
        <v>VALID</v>
      </c>
    </row>
    <row r="730" ht="15.75" customHeight="1">
      <c r="A730" s="13" t="str">
        <f>Raw_Data!A730</f>
        <v>EMP0766</v>
      </c>
      <c r="B730" s="13" t="str">
        <f>TRIM(CLEAN(Raw_Data!B730))</f>
        <v>Operations</v>
      </c>
      <c r="C730" s="18" t="s">
        <v>18</v>
      </c>
      <c r="D730" s="14" t="str">
        <f>IF(ISBLANK(Raw_Data!D730),AVERAGE(Raw_Data!D$2:D$5002),Raw_Data!D730)</f>
        <v>80688.06</v>
      </c>
      <c r="E730" s="15" t="str">
        <f>IF(ISBLANK(Raw_Data!E730),AVERAGE(Raw_Data!E$2:E$5002),Raw_Data!E730)</f>
        <v>24206.42</v>
      </c>
      <c r="F730" s="15" t="str">
        <f>IF(ISBLANK(Raw_Data!F730),AVERAGE(Raw_Data!F$2:F$5002),Raw_Data!F730)</f>
        <v>12525.16</v>
      </c>
      <c r="G730" s="14" t="str">
        <f>IF(ISBLANK(Raw_Data!G730),AVERAGE(Raw_Data!G$2:G$5002),Raw_Data!G730)</f>
        <v>23342.00</v>
      </c>
      <c r="H730" s="15" t="str">
        <f t="shared" si="1"/>
        <v>117420.00</v>
      </c>
      <c r="I730" s="14" t="str">
        <f t="shared" si="2"/>
        <v>94078.00</v>
      </c>
      <c r="J730" s="16" t="str">
        <f>TEXT(Raw_Data!J730,"MMM-YYY")</f>
        <v>May-2025</v>
      </c>
      <c r="K730" s="13" t="str">
        <f>Raw_Data!K730</f>
        <v>5</v>
      </c>
      <c r="L730" s="17" t="str">
        <f>Raw_Data!L730</f>
        <v>Hyderabad-South</v>
      </c>
      <c r="M730" s="13" t="str">
        <f t="shared" si="3"/>
        <v>OK</v>
      </c>
      <c r="N730" s="18" t="str">
        <f t="shared" si="4"/>
        <v>VALID</v>
      </c>
    </row>
    <row r="731" ht="15.75" customHeight="1">
      <c r="A731" s="13" t="str">
        <f>Raw_Data!A731</f>
        <v>EMP0767</v>
      </c>
      <c r="B731" s="13" t="str">
        <f>TRIM(CLEAN(Raw_Data!B731))</f>
        <v>Marketing</v>
      </c>
      <c r="C731" s="18" t="s">
        <v>30</v>
      </c>
      <c r="D731" s="14" t="str">
        <f>IF(ISBLANK(Raw_Data!D731),AVERAGE(Raw_Data!D$2:D$5002),Raw_Data!D731)</f>
        <v>30654.39</v>
      </c>
      <c r="E731" s="15" t="str">
        <f>IF(ISBLANK(Raw_Data!E731),AVERAGE(Raw_Data!E$2:E$5002),Raw_Data!E731)</f>
        <v>9196.32</v>
      </c>
      <c r="F731" s="15" t="str">
        <f>IF(ISBLANK(Raw_Data!F731),AVERAGE(Raw_Data!F$2:F$5002),Raw_Data!F731)</f>
        <v>456.56</v>
      </c>
      <c r="G731" s="14" t="str">
        <f>IF(ISBLANK(Raw_Data!G731),AVERAGE(Raw_Data!G$2:G$5002),Raw_Data!G731)</f>
        <v>8851.23</v>
      </c>
      <c r="H731" s="15" t="str">
        <f t="shared" si="1"/>
        <v>40307.00</v>
      </c>
      <c r="I731" s="14" t="str">
        <f t="shared" si="2"/>
        <v>31456.00</v>
      </c>
      <c r="J731" s="16" t="str">
        <f>TEXT(Raw_Data!J731,"MMM-YYY")</f>
        <v>Dec-2025</v>
      </c>
      <c r="K731" s="13" t="str">
        <f>Raw_Data!K731</f>
        <v>6</v>
      </c>
      <c r="L731" s="17" t="str">
        <f>Raw_Data!L731</f>
        <v>Chandigarh-North</v>
      </c>
      <c r="M731" s="13" t="str">
        <f t="shared" si="3"/>
        <v>OK</v>
      </c>
      <c r="N731" s="18" t="str">
        <f t="shared" si="4"/>
        <v>VALID</v>
      </c>
    </row>
    <row r="732" ht="15.75" customHeight="1">
      <c r="A732" s="13" t="str">
        <f>Raw_Data!A732</f>
        <v>EMP0768</v>
      </c>
      <c r="B732" s="13" t="str">
        <f>TRIM(CLEAN(Raw_Data!B732))</f>
        <v>Operations</v>
      </c>
      <c r="C732" s="18" t="s">
        <v>14</v>
      </c>
      <c r="D732" s="14" t="str">
        <f>IF(ISBLANK(Raw_Data!D732),AVERAGE(Raw_Data!D$2:D$5002),Raw_Data!D732)</f>
        <v>20715.83</v>
      </c>
      <c r="E732" s="15" t="str">
        <f>IF(ISBLANK(Raw_Data!E732),AVERAGE(Raw_Data!E$2:E$5002),Raw_Data!E732)</f>
        <v>6214.75</v>
      </c>
      <c r="F732" s="15" t="str">
        <f>IF(ISBLANK(Raw_Data!F732),AVERAGE(Raw_Data!F$2:F$5002),Raw_Data!F732)</f>
        <v>1775.38</v>
      </c>
      <c r="G732" s="14" t="str">
        <f>IF(ISBLANK(Raw_Data!G732),AVERAGE(Raw_Data!G$2:G$5002),Raw_Data!G732)</f>
        <v>3459.12</v>
      </c>
      <c r="H732" s="15" t="str">
        <f t="shared" si="1"/>
        <v>28706.00</v>
      </c>
      <c r="I732" s="14" t="str">
        <f t="shared" si="2"/>
        <v>25247.00</v>
      </c>
      <c r="J732" s="16" t="str">
        <f>TEXT(Raw_Data!J732,"MMM-YYY")</f>
        <v>Mar-2025</v>
      </c>
      <c r="K732" s="13" t="str">
        <f>Raw_Data!K732</f>
        <v>13</v>
      </c>
      <c r="L732" s="17" t="str">
        <f>Raw_Data!L732</f>
        <v>Ahmedabad-West</v>
      </c>
      <c r="M732" s="13" t="str">
        <f t="shared" si="3"/>
        <v>OK</v>
      </c>
      <c r="N732" s="18" t="str">
        <f t="shared" si="4"/>
        <v>VALID</v>
      </c>
    </row>
    <row r="733" ht="15.75" customHeight="1">
      <c r="A733" s="13" t="str">
        <f>Raw_Data!A733</f>
        <v>EMP0769</v>
      </c>
      <c r="B733" s="13" t="str">
        <f>TRIM(CLEAN(Raw_Data!B733))</f>
        <v>Finance</v>
      </c>
      <c r="C733" s="18" t="s">
        <v>37</v>
      </c>
      <c r="D733" s="14" t="str">
        <f>IF(ISBLANK(Raw_Data!D733),AVERAGE(Raw_Data!D$2:D$5002),Raw_Data!D733)</f>
        <v>60228.26</v>
      </c>
      <c r="E733" s="15" t="str">
        <f>IF(ISBLANK(Raw_Data!E733),AVERAGE(Raw_Data!E$2:E$5002),Raw_Data!E733)</f>
        <v>18068.48</v>
      </c>
      <c r="F733" s="15" t="str">
        <f>IF(ISBLANK(Raw_Data!F733),AVERAGE(Raw_Data!F$2:F$5002),Raw_Data!F733)</f>
        <v>68.00</v>
      </c>
      <c r="G733" s="14" t="str">
        <f>IF(ISBLANK(Raw_Data!G733),AVERAGE(Raw_Data!G$2:G$5002),Raw_Data!G733)</f>
        <v>8425.90</v>
      </c>
      <c r="H733" s="15" t="str">
        <f t="shared" si="1"/>
        <v>78365.00</v>
      </c>
      <c r="I733" s="14" t="str">
        <f t="shared" si="2"/>
        <v>69939.00</v>
      </c>
      <c r="J733" s="16" t="str">
        <f>TEXT(Raw_Data!J733,"MMM-YYY")</f>
        <v>Mar-2025</v>
      </c>
      <c r="K733" s="13" t="str">
        <f>Raw_Data!K733</f>
        <v>8</v>
      </c>
      <c r="L733" s="17" t="str">
        <f>Raw_Data!L733</f>
        <v>Jaipur-North</v>
      </c>
      <c r="M733" s="13" t="str">
        <f t="shared" si="3"/>
        <v>OK</v>
      </c>
      <c r="N733" s="18" t="str">
        <f t="shared" si="4"/>
        <v>VALID</v>
      </c>
    </row>
    <row r="734" ht="15.75" customHeight="1">
      <c r="A734" s="13" t="str">
        <f>Raw_Data!A734</f>
        <v>EMP0770</v>
      </c>
      <c r="B734" s="13" t="str">
        <f>TRIM(CLEAN(Raw_Data!B734))</f>
        <v>HR</v>
      </c>
      <c r="C734" s="18" t="s">
        <v>30</v>
      </c>
      <c r="D734" s="14" t="str">
        <f>IF(ISBLANK(Raw_Data!D734),AVERAGE(Raw_Data!D$2:D$5002),Raw_Data!D734)</f>
        <v>30171.93</v>
      </c>
      <c r="E734" s="15" t="str">
        <f>IF(ISBLANK(Raw_Data!E734),AVERAGE(Raw_Data!E$2:E$5002),Raw_Data!E734)</f>
        <v>9051.58</v>
      </c>
      <c r="F734" s="15" t="str">
        <f>IF(ISBLANK(Raw_Data!F734),AVERAGE(Raw_Data!F$2:F$5002),Raw_Data!F734)</f>
        <v>3601.81</v>
      </c>
      <c r="G734" s="14" t="str">
        <f>IF(ISBLANK(Raw_Data!G734),AVERAGE(Raw_Data!G$2:G$5002),Raw_Data!G734)</f>
        <v>7002.85</v>
      </c>
      <c r="H734" s="15" t="str">
        <f t="shared" si="1"/>
        <v>42825.00</v>
      </c>
      <c r="I734" s="14" t="str">
        <f t="shared" si="2"/>
        <v>35822.00</v>
      </c>
      <c r="J734" s="16" t="str">
        <f>TEXT(Raw_Data!J734,"MMM-YYY")</f>
        <v>Nov-2025</v>
      </c>
      <c r="K734" s="13" t="str">
        <f>Raw_Data!K734</f>
        <v>22</v>
      </c>
      <c r="L734" s="17" t="str">
        <f>Raw_Data!L734</f>
        <v>Mumbai-HO</v>
      </c>
      <c r="M734" s="13" t="str">
        <f t="shared" si="3"/>
        <v>OK</v>
      </c>
      <c r="N734" s="18" t="str">
        <f t="shared" si="4"/>
        <v>VALID</v>
      </c>
    </row>
    <row r="735" ht="15.75" customHeight="1">
      <c r="A735" s="13" t="str">
        <f>Raw_Data!A735</f>
        <v>EMP0771</v>
      </c>
      <c r="B735" s="13" t="str">
        <f>TRIM(CLEAN(Raw_Data!B735))</f>
        <v>Operations</v>
      </c>
      <c r="C735" s="18" t="s">
        <v>26</v>
      </c>
      <c r="D735" s="14" t="str">
        <f>IF(ISBLANK(Raw_Data!D735),AVERAGE(Raw_Data!D$2:D$5002),Raw_Data!D735)</f>
        <v>113828.05</v>
      </c>
      <c r="E735" s="15" t="str">
        <f>IF(ISBLANK(Raw_Data!E735),AVERAGE(Raw_Data!E$2:E$5002),Raw_Data!E735)</f>
        <v>34148.42</v>
      </c>
      <c r="F735" s="15" t="str">
        <f>IF(ISBLANK(Raw_Data!F735),AVERAGE(Raw_Data!F$2:F$5002),Raw_Data!F735)</f>
        <v>11167.69</v>
      </c>
      <c r="G735" s="14" t="str">
        <f>IF(ISBLANK(Raw_Data!G735),AVERAGE(Raw_Data!G$2:G$5002),Raw_Data!G735)</f>
        <v>19556.01</v>
      </c>
      <c r="H735" s="15" t="str">
        <f t="shared" si="1"/>
        <v>159144.00</v>
      </c>
      <c r="I735" s="14" t="str">
        <f t="shared" si="2"/>
        <v>139588.00</v>
      </c>
      <c r="J735" s="16" t="str">
        <f>TEXT(Raw_Data!J735,"MMM-YYY")</f>
        <v>Jun-2025</v>
      </c>
      <c r="K735" s="13" t="str">
        <f>Raw_Data!K735</f>
        <v>21</v>
      </c>
      <c r="L735" s="17" t="str">
        <f>Raw_Data!L735</f>
        <v>Delhi-North</v>
      </c>
      <c r="M735" s="13" t="str">
        <f t="shared" si="3"/>
        <v>OK</v>
      </c>
      <c r="N735" s="18" t="str">
        <f t="shared" si="4"/>
        <v>VALID</v>
      </c>
    </row>
    <row r="736" ht="15.75" customHeight="1">
      <c r="A736" s="13" t="str">
        <f>Raw_Data!A736</f>
        <v>EMP0772</v>
      </c>
      <c r="B736" s="13" t="str">
        <f>TRIM(CLEAN(Raw_Data!B736))</f>
        <v>HR</v>
      </c>
      <c r="C736" s="18" t="s">
        <v>26</v>
      </c>
      <c r="D736" s="14" t="str">
        <f>IF(ISBLANK(Raw_Data!D736),AVERAGE(Raw_Data!D$2:D$5002),Raw_Data!D736)</f>
        <v>115476.54</v>
      </c>
      <c r="E736" s="15" t="str">
        <f>IF(ISBLANK(Raw_Data!E736),AVERAGE(Raw_Data!E$2:E$5002),Raw_Data!E736)</f>
        <v>34642.96</v>
      </c>
      <c r="F736" s="15" t="str">
        <f>IF(ISBLANK(Raw_Data!F736),AVERAGE(Raw_Data!F$2:F$5002),Raw_Data!F736)</f>
        <v>12134.16</v>
      </c>
      <c r="G736" s="14" t="str">
        <f>IF(ISBLANK(Raw_Data!G736),AVERAGE(Raw_Data!G$2:G$5002),Raw_Data!G736)</f>
        <v>33152.89</v>
      </c>
      <c r="H736" s="15" t="str">
        <f t="shared" si="1"/>
        <v>162254.00</v>
      </c>
      <c r="I736" s="14" t="str">
        <f t="shared" si="2"/>
        <v>129101.00</v>
      </c>
      <c r="J736" s="16" t="str">
        <f>TEXT(Raw_Data!J736,"MMM-YYY")</f>
        <v>Sep-2025</v>
      </c>
      <c r="K736" s="13" t="str">
        <f>Raw_Data!K736</f>
        <v>7</v>
      </c>
      <c r="L736" s="17" t="str">
        <f>Raw_Data!L736</f>
        <v>Bangalore-South</v>
      </c>
      <c r="M736" s="13" t="str">
        <f t="shared" si="3"/>
        <v>OK</v>
      </c>
      <c r="N736" s="18" t="str">
        <f t="shared" si="4"/>
        <v>VALID</v>
      </c>
    </row>
    <row r="737" ht="15.75" customHeight="1">
      <c r="A737" s="13" t="str">
        <f>Raw_Data!A737</f>
        <v>EMP0773</v>
      </c>
      <c r="B737" s="13" t="str">
        <f>TRIM(CLEAN(Raw_Data!B737))</f>
        <v>HR</v>
      </c>
      <c r="C737" s="18" t="s">
        <v>26</v>
      </c>
      <c r="D737" s="14" t="str">
        <f>IF(ISBLANK(Raw_Data!D737),AVERAGE(Raw_Data!D$2:D$5002),Raw_Data!D737)</f>
        <v>108185.05</v>
      </c>
      <c r="E737" s="15" t="str">
        <f>IF(ISBLANK(Raw_Data!E737),AVERAGE(Raw_Data!E$2:E$5002),Raw_Data!E737)</f>
        <v>32455.51</v>
      </c>
      <c r="F737" s="15" t="str">
        <f>IF(ISBLANK(Raw_Data!F737),AVERAGE(Raw_Data!F$2:F$5002),Raw_Data!F737)</f>
        <v>8999.51</v>
      </c>
      <c r="G737" s="14" t="str">
        <f>IF(ISBLANK(Raw_Data!G737),AVERAGE(Raw_Data!G$2:G$5002),Raw_Data!G737)</f>
        <v>17429.78</v>
      </c>
      <c r="H737" s="15" t="str">
        <f t="shared" si="1"/>
        <v>149640.00</v>
      </c>
      <c r="I737" s="14" t="str">
        <f t="shared" si="2"/>
        <v>132210.00</v>
      </c>
      <c r="J737" s="16" t="str">
        <f>TEXT(Raw_Data!J737,"MMM-YYY")</f>
        <v>Feb-2025</v>
      </c>
      <c r="K737" s="13" t="str">
        <f>Raw_Data!K737</f>
        <v>12</v>
      </c>
      <c r="L737" s="17" t="str">
        <f>Raw_Data!L737</f>
        <v>Chennai-South</v>
      </c>
      <c r="M737" s="13" t="str">
        <f t="shared" si="3"/>
        <v>OK</v>
      </c>
      <c r="N737" s="18" t="str">
        <f t="shared" si="4"/>
        <v>VALID</v>
      </c>
    </row>
    <row r="738" ht="15.75" customHeight="1">
      <c r="A738" s="13" t="str">
        <f>Raw_Data!A738</f>
        <v>EMP0774</v>
      </c>
      <c r="B738" s="13" t="str">
        <f>TRIM(CLEAN(Raw_Data!B738))</f>
        <v>IT</v>
      </c>
      <c r="C738" s="18" t="s">
        <v>30</v>
      </c>
      <c r="D738" s="14" t="str">
        <f>IF(ISBLANK(Raw_Data!D738),AVERAGE(Raw_Data!D$2:D$5002),Raw_Data!D738)</f>
        <v>29773.89</v>
      </c>
      <c r="E738" s="15" t="str">
        <f>IF(ISBLANK(Raw_Data!E738),AVERAGE(Raw_Data!E$2:E$5002),Raw_Data!E738)</f>
        <v>8932.17</v>
      </c>
      <c r="F738" s="15" t="str">
        <f>IF(ISBLANK(Raw_Data!F738),AVERAGE(Raw_Data!F$2:F$5002),Raw_Data!F738)</f>
        <v>3950.01</v>
      </c>
      <c r="G738" s="14" t="str">
        <f>IF(ISBLANK(Raw_Data!G738),AVERAGE(Raw_Data!G$2:G$5002),Raw_Data!G738)</f>
        <v>2957.14</v>
      </c>
      <c r="H738" s="15" t="str">
        <f t="shared" si="1"/>
        <v>42656.00</v>
      </c>
      <c r="I738" s="14" t="str">
        <f t="shared" si="2"/>
        <v>39699.00</v>
      </c>
      <c r="J738" s="16" t="str">
        <f>TEXT(Raw_Data!J738,"MMM-YYY")</f>
        <v>May-2025</v>
      </c>
      <c r="K738" s="13" t="str">
        <f>Raw_Data!K738</f>
        <v>16</v>
      </c>
      <c r="L738" s="17" t="str">
        <f>Raw_Data!L738</f>
        <v>Kolkata-East</v>
      </c>
      <c r="M738" s="13" t="str">
        <f t="shared" si="3"/>
        <v>OK</v>
      </c>
      <c r="N738" s="18" t="str">
        <f t="shared" si="4"/>
        <v>VALID</v>
      </c>
    </row>
    <row r="739" ht="15.75" customHeight="1">
      <c r="A739" s="13" t="str">
        <f>Raw_Data!A739</f>
        <v>EMP0775</v>
      </c>
      <c r="B739" s="13" t="str">
        <f>TRIM(CLEAN(Raw_Data!B739))</f>
        <v>Finance</v>
      </c>
      <c r="C739" s="18" t="s">
        <v>26</v>
      </c>
      <c r="D739" s="14" t="str">
        <f>IF(ISBLANK(Raw_Data!D739),AVERAGE(Raw_Data!D$2:D$5002),Raw_Data!D739)</f>
        <v>112258.10</v>
      </c>
      <c r="E739" s="15" t="str">
        <f>IF(ISBLANK(Raw_Data!E739),AVERAGE(Raw_Data!E$2:E$5002),Raw_Data!E739)</f>
        <v>33677.43</v>
      </c>
      <c r="F739" s="15" t="str">
        <f>IF(ISBLANK(Raw_Data!F739),AVERAGE(Raw_Data!F$2:F$5002),Raw_Data!F739)</f>
        <v>10661.31</v>
      </c>
      <c r="G739" s="14" t="str">
        <f>IF(ISBLANK(Raw_Data!G739),AVERAGE(Raw_Data!G$2:G$5002),Raw_Data!G739)</f>
        <v>18904.31</v>
      </c>
      <c r="H739" s="15" t="str">
        <f t="shared" si="1"/>
        <v>156597.00</v>
      </c>
      <c r="I739" s="14" t="str">
        <f t="shared" si="2"/>
        <v>137693.00</v>
      </c>
      <c r="J739" s="16" t="str">
        <f>TEXT(Raw_Data!J739,"MMM-YYY")</f>
        <v>Nov-2025</v>
      </c>
      <c r="K739" s="13" t="str">
        <f>Raw_Data!K739</f>
        <v>2</v>
      </c>
      <c r="L739" s="17" t="str">
        <f>Raw_Data!L739</f>
        <v>Pune-West</v>
      </c>
      <c r="M739" s="13" t="str">
        <f t="shared" si="3"/>
        <v>OK</v>
      </c>
      <c r="N739" s="18" t="str">
        <f t="shared" si="4"/>
        <v>VALID</v>
      </c>
    </row>
    <row r="740" ht="15.75" customHeight="1">
      <c r="A740" s="13" t="str">
        <f>Raw_Data!A740</f>
        <v>EMP0777</v>
      </c>
      <c r="B740" s="13" t="str">
        <f>TRIM(CLEAN(Raw_Data!B740))</f>
        <v>Operations</v>
      </c>
      <c r="C740" s="18" t="s">
        <v>30</v>
      </c>
      <c r="D740" s="14" t="str">
        <f>IF(ISBLANK(Raw_Data!D740),AVERAGE(Raw_Data!D$2:D$5002),Raw_Data!D740)</f>
        <v>30438.29</v>
      </c>
      <c r="E740" s="15" t="str">
        <f>IF(ISBLANK(Raw_Data!E740),AVERAGE(Raw_Data!E$2:E$5002),Raw_Data!E740)</f>
        <v>9131.49</v>
      </c>
      <c r="F740" s="15" t="str">
        <f>IF(ISBLANK(Raw_Data!F740),AVERAGE(Raw_Data!F$2:F$5002),Raw_Data!F740)</f>
        <v>4155.14</v>
      </c>
      <c r="G740" s="14" t="str">
        <f>IF(ISBLANK(Raw_Data!G740),AVERAGE(Raw_Data!G$2:G$5002),Raw_Data!G740)</f>
        <v>2930.63</v>
      </c>
      <c r="H740" s="15" t="str">
        <f t="shared" si="1"/>
        <v>43725.00</v>
      </c>
      <c r="I740" s="14" t="str">
        <f t="shared" si="2"/>
        <v>40794.00</v>
      </c>
      <c r="J740" s="16" t="str">
        <f>TEXT(Raw_Data!J740,"MMM-YYY")</f>
        <v>Feb-2025</v>
      </c>
      <c r="K740" s="13" t="str">
        <f>Raw_Data!K740</f>
        <v>3</v>
      </c>
      <c r="L740" s="17" t="str">
        <f>Raw_Data!L740</f>
        <v>Chandigarh-North</v>
      </c>
      <c r="M740" s="13" t="str">
        <f t="shared" si="3"/>
        <v>OK</v>
      </c>
      <c r="N740" s="18" t="str">
        <f t="shared" si="4"/>
        <v>VALID</v>
      </c>
    </row>
    <row r="741" ht="15.75" customHeight="1">
      <c r="A741" s="13" t="str">
        <f>Raw_Data!A741</f>
        <v>EMP0778</v>
      </c>
      <c r="B741" s="13" t="str">
        <f>TRIM(CLEAN(Raw_Data!B741))</f>
        <v>Marketing</v>
      </c>
      <c r="C741" s="18" t="s">
        <v>33</v>
      </c>
      <c r="D741" s="14" t="str">
        <f>IF(ISBLANK(Raw_Data!D741),AVERAGE(Raw_Data!D$2:D$5002),Raw_Data!D741)</f>
        <v>30402.37</v>
      </c>
      <c r="E741" s="15" t="str">
        <f>IF(ISBLANK(Raw_Data!E741),AVERAGE(Raw_Data!E$2:E$5002),Raw_Data!E741)</f>
        <v>9120.71</v>
      </c>
      <c r="F741" s="15" t="str">
        <f>IF(ISBLANK(Raw_Data!F741),AVERAGE(Raw_Data!F$2:F$5002),Raw_Data!F741)</f>
        <v>1719.73</v>
      </c>
      <c r="G741" s="14" t="str">
        <f>IF(ISBLANK(Raw_Data!G741),AVERAGE(Raw_Data!G$2:G$5002),Raw_Data!G741)</f>
        <v>8312.03</v>
      </c>
      <c r="H741" s="15" t="str">
        <f t="shared" si="1"/>
        <v>41243.00</v>
      </c>
      <c r="I741" s="14" t="str">
        <f t="shared" si="2"/>
        <v>32931.00</v>
      </c>
      <c r="J741" s="16" t="str">
        <f>TEXT(Raw_Data!J741,"MMM-YYY")</f>
        <v>Jun-2025</v>
      </c>
      <c r="K741" s="13" t="str">
        <f>Raw_Data!K741</f>
        <v>15</v>
      </c>
      <c r="L741" s="17" t="str">
        <f>Raw_Data!L741</f>
        <v>Ahmedabad-West</v>
      </c>
      <c r="M741" s="13" t="str">
        <f t="shared" si="3"/>
        <v>OK</v>
      </c>
      <c r="N741" s="18" t="str">
        <f t="shared" si="4"/>
        <v>VALID</v>
      </c>
    </row>
    <row r="742" ht="15.75" customHeight="1">
      <c r="A742" s="13" t="str">
        <f>Raw_Data!A742</f>
        <v>EMP0779</v>
      </c>
      <c r="B742" s="13" t="str">
        <f>TRIM(CLEAN(Raw_Data!B742))</f>
        <v>Operations</v>
      </c>
      <c r="C742" s="18" t="s">
        <v>26</v>
      </c>
      <c r="D742" s="14" t="str">
        <f>IF(ISBLANK(Raw_Data!D742),AVERAGE(Raw_Data!D$2:D$5002),Raw_Data!D742)</f>
        <v>108314.48</v>
      </c>
      <c r="E742" s="15" t="str">
        <f>IF(ISBLANK(Raw_Data!E742),AVERAGE(Raw_Data!E$2:E$5002),Raw_Data!E742)</f>
        <v>32494.34</v>
      </c>
      <c r="F742" s="15" t="str">
        <f>IF(ISBLANK(Raw_Data!F742),AVERAGE(Raw_Data!F$2:F$5002),Raw_Data!F742)</f>
        <v>10545.60</v>
      </c>
      <c r="G742" s="14" t="str">
        <f>IF(ISBLANK(Raw_Data!G742),AVERAGE(Raw_Data!G$2:G$5002),Raw_Data!G742)</f>
        <v>9632.43</v>
      </c>
      <c r="H742" s="15" t="str">
        <f t="shared" si="1"/>
        <v>151354.00</v>
      </c>
      <c r="I742" s="14" t="str">
        <f t="shared" si="2"/>
        <v>141722.00</v>
      </c>
      <c r="J742" s="16" t="str">
        <f>TEXT(Raw_Data!J742,"MMM-YYY")</f>
        <v>Nov-2025</v>
      </c>
      <c r="K742" s="13" t="str">
        <f>Raw_Data!K742</f>
        <v>3</v>
      </c>
      <c r="L742" s="17" t="str">
        <f>Raw_Data!L742</f>
        <v>Jaipur-North</v>
      </c>
      <c r="M742" s="13" t="str">
        <f t="shared" si="3"/>
        <v>OK</v>
      </c>
      <c r="N742" s="18" t="str">
        <f t="shared" si="4"/>
        <v>VALID</v>
      </c>
    </row>
    <row r="743" ht="15.75" customHeight="1">
      <c r="A743" s="13" t="str">
        <f>Raw_Data!A743</f>
        <v>EMP0780</v>
      </c>
      <c r="B743" s="13" t="str">
        <f>TRIM(CLEAN(Raw_Data!B743))</f>
        <v>Finance</v>
      </c>
      <c r="C743" s="18" t="s">
        <v>33</v>
      </c>
      <c r="D743" s="14" t="str">
        <f>IF(ISBLANK(Raw_Data!D743),AVERAGE(Raw_Data!D$2:D$5002),Raw_Data!D743)</f>
        <v>30138.95</v>
      </c>
      <c r="E743" s="15" t="str">
        <f>IF(ISBLANK(Raw_Data!E743),AVERAGE(Raw_Data!E$2:E$5002),Raw_Data!E743)</f>
        <v>9041.68</v>
      </c>
      <c r="F743" s="15" t="str">
        <f>IF(ISBLANK(Raw_Data!F743),AVERAGE(Raw_Data!F$2:F$5002),Raw_Data!F743)</f>
        <v>5715.62</v>
      </c>
      <c r="G743" s="14" t="str">
        <f>IF(ISBLANK(Raw_Data!G743),AVERAGE(Raw_Data!G$2:G$5002),Raw_Data!G743)</f>
        <v>1513.53</v>
      </c>
      <c r="H743" s="15" t="str">
        <f t="shared" si="1"/>
        <v>44896.00</v>
      </c>
      <c r="I743" s="14" t="str">
        <f t="shared" si="2"/>
        <v>43382.00</v>
      </c>
      <c r="J743" s="16" t="str">
        <f>TEXT(Raw_Data!J743,"MMM-YYY")</f>
        <v>Sep-2025</v>
      </c>
      <c r="K743" s="13" t="str">
        <f>Raw_Data!K743</f>
        <v>8</v>
      </c>
      <c r="L743" s="17" t="str">
        <f>Raw_Data!L743</f>
        <v>Mumbai-HO</v>
      </c>
      <c r="M743" s="13" t="str">
        <f t="shared" si="3"/>
        <v>OK</v>
      </c>
      <c r="N743" s="18" t="str">
        <f t="shared" si="4"/>
        <v>VALID</v>
      </c>
    </row>
    <row r="744" ht="15.75" customHeight="1">
      <c r="A744" s="13" t="str">
        <f>Raw_Data!A744</f>
        <v>EMP0781</v>
      </c>
      <c r="B744" s="13" t="str">
        <f>TRIM(CLEAN(Raw_Data!B744))</f>
        <v>Operations</v>
      </c>
      <c r="C744" s="18" t="s">
        <v>14</v>
      </c>
      <c r="D744" s="14" t="str">
        <f>IF(ISBLANK(Raw_Data!D744),AVERAGE(Raw_Data!D$2:D$5002),Raw_Data!D744)</f>
        <v>22513.92</v>
      </c>
      <c r="E744" s="15" t="str">
        <f>IF(ISBLANK(Raw_Data!E744),AVERAGE(Raw_Data!E$2:E$5002),Raw_Data!E744)</f>
        <v>6754.18</v>
      </c>
      <c r="F744" s="15" t="str">
        <f>IF(ISBLANK(Raw_Data!F744),AVERAGE(Raw_Data!F$2:F$5002),Raw_Data!F744)</f>
        <v>949.10</v>
      </c>
      <c r="G744" s="14" t="str">
        <f>IF(ISBLANK(Raw_Data!G744),AVERAGE(Raw_Data!G$2:G$5002),Raw_Data!G744)</f>
        <v>4251.85</v>
      </c>
      <c r="H744" s="15" t="str">
        <f t="shared" si="1"/>
        <v>30217.00</v>
      </c>
      <c r="I744" s="14" t="str">
        <f t="shared" si="2"/>
        <v>25965.00</v>
      </c>
      <c r="J744" s="16" t="str">
        <f>TEXT(Raw_Data!J744,"MMM-YYY")</f>
        <v>Apr-2025</v>
      </c>
      <c r="K744" s="13" t="str">
        <f>Raw_Data!K744</f>
        <v>4</v>
      </c>
      <c r="L744" s="17" t="str">
        <f>Raw_Data!L744</f>
        <v>Delhi-North</v>
      </c>
      <c r="M744" s="13" t="str">
        <f t="shared" si="3"/>
        <v>OK</v>
      </c>
      <c r="N744" s="18" t="str">
        <f t="shared" si="4"/>
        <v>VALID</v>
      </c>
    </row>
    <row r="745" ht="15.75" customHeight="1">
      <c r="A745" s="13" t="str">
        <f>Raw_Data!A745</f>
        <v>EMP0782</v>
      </c>
      <c r="B745" s="13" t="str">
        <f>TRIM(CLEAN(Raw_Data!B745))</f>
        <v>Customer Support</v>
      </c>
      <c r="C745" s="18" t="s">
        <v>18</v>
      </c>
      <c r="D745" s="14" t="str">
        <f>IF(ISBLANK(Raw_Data!D745),AVERAGE(Raw_Data!D$2:D$5002),Raw_Data!D745)</f>
        <v>76029.45</v>
      </c>
      <c r="E745" s="15" t="str">
        <f>IF(ISBLANK(Raw_Data!E745),AVERAGE(Raw_Data!E$2:E$5002),Raw_Data!E745)</f>
        <v>22808.83</v>
      </c>
      <c r="F745" s="15" t="str">
        <f>IF(ISBLANK(Raw_Data!F745),AVERAGE(Raw_Data!F$2:F$5002),Raw_Data!F745)</f>
        <v>1580.30</v>
      </c>
      <c r="G745" s="14" t="str">
        <f>IF(ISBLANK(Raw_Data!G745),AVERAGE(Raw_Data!G$2:G$5002),Raw_Data!G745)</f>
        <v>12265.55</v>
      </c>
      <c r="H745" s="15" t="str">
        <f t="shared" si="1"/>
        <v>100419.00</v>
      </c>
      <c r="I745" s="14" t="str">
        <f t="shared" si="2"/>
        <v>88153.00</v>
      </c>
      <c r="J745" s="16" t="str">
        <f>TEXT(Raw_Data!J745,"MMM-YYY")</f>
        <v>Dec-2025</v>
      </c>
      <c r="K745" s="13" t="str">
        <f>Raw_Data!K745</f>
        <v>2</v>
      </c>
      <c r="L745" s="17" t="str">
        <f>Raw_Data!L745</f>
        <v>Bangalore-South</v>
      </c>
      <c r="M745" s="13" t="str">
        <f t="shared" si="3"/>
        <v>OK</v>
      </c>
      <c r="N745" s="18" t="str">
        <f t="shared" si="4"/>
        <v>VALID</v>
      </c>
    </row>
    <row r="746" ht="15.75" customHeight="1">
      <c r="A746" s="13" t="str">
        <f>Raw_Data!A746</f>
        <v>EMP0783</v>
      </c>
      <c r="B746" s="13" t="str">
        <f>TRIM(CLEAN(Raw_Data!B746))</f>
        <v>Sales</v>
      </c>
      <c r="C746" s="18" t="s">
        <v>26</v>
      </c>
      <c r="D746" s="14" t="str">
        <f>IF(ISBLANK(Raw_Data!D746),AVERAGE(Raw_Data!D$2:D$5002),Raw_Data!D746)</f>
        <v>105668.56</v>
      </c>
      <c r="E746" s="15" t="str">
        <f>IF(ISBLANK(Raw_Data!E746),AVERAGE(Raw_Data!E$2:E$5002),Raw_Data!E746)</f>
        <v>31700.57</v>
      </c>
      <c r="F746" s="15" t="str">
        <f>IF(ISBLANK(Raw_Data!F746),AVERAGE(Raw_Data!F$2:F$5002),Raw_Data!F746)</f>
        <v>17261.05</v>
      </c>
      <c r="G746" s="14" t="str">
        <f>IF(ISBLANK(Raw_Data!G746),AVERAGE(Raw_Data!G$2:G$5002),Raw_Data!G746)</f>
        <v>2286.26</v>
      </c>
      <c r="H746" s="15" t="str">
        <f t="shared" si="1"/>
        <v>154630.00</v>
      </c>
      <c r="I746" s="14" t="str">
        <f t="shared" si="2"/>
        <v>152344.00</v>
      </c>
      <c r="J746" s="16" t="str">
        <f>TEXT(Raw_Data!J746,"MMM-YYY")</f>
        <v>Nov-2025</v>
      </c>
      <c r="K746" s="13" t="str">
        <f>Raw_Data!K746</f>
        <v>8</v>
      </c>
      <c r="L746" s="17" t="str">
        <f>Raw_Data!L746</f>
        <v>Chennai-South</v>
      </c>
      <c r="M746" s="13" t="str">
        <f t="shared" si="3"/>
        <v>OK</v>
      </c>
      <c r="N746" s="18" t="str">
        <f t="shared" si="4"/>
        <v>VALID</v>
      </c>
    </row>
    <row r="747" ht="15.75" customHeight="1">
      <c r="A747" s="13" t="str">
        <f>Raw_Data!A747</f>
        <v>EMP0784</v>
      </c>
      <c r="B747" s="13" t="str">
        <f>TRIM(CLEAN(Raw_Data!B747))</f>
        <v>Finance</v>
      </c>
      <c r="C747" s="18" t="s">
        <v>14</v>
      </c>
      <c r="D747" s="14" t="str">
        <f>IF(ISBLANK(Raw_Data!D747),AVERAGE(Raw_Data!D$2:D$5002),Raw_Data!D747)</f>
        <v>21306.42</v>
      </c>
      <c r="E747" s="15" t="str">
        <f>IF(ISBLANK(Raw_Data!E747),AVERAGE(Raw_Data!E$2:E$5002),Raw_Data!E747)</f>
        <v>6391.93</v>
      </c>
      <c r="F747" s="15" t="str">
        <f>IF(ISBLANK(Raw_Data!F747),AVERAGE(Raw_Data!F$2:F$5002),Raw_Data!F747)</f>
        <v>1413.53</v>
      </c>
      <c r="G747" s="14" t="str">
        <f>IF(ISBLANK(Raw_Data!G747),AVERAGE(Raw_Data!G$2:G$5002),Raw_Data!G747)</f>
        <v>559.43</v>
      </c>
      <c r="H747" s="15" t="str">
        <f t="shared" si="1"/>
        <v>29112.00</v>
      </c>
      <c r="I747" s="14" t="str">
        <f t="shared" si="2"/>
        <v>28553.00</v>
      </c>
      <c r="J747" s="16" t="str">
        <f>TEXT(Raw_Data!J747,"MMM-YYY")</f>
        <v>Jan-2025</v>
      </c>
      <c r="K747" s="13" t="str">
        <f>Raw_Data!K747</f>
        <v>17</v>
      </c>
      <c r="L747" s="17" t="str">
        <f>Raw_Data!L747</f>
        <v>Kolkata-East</v>
      </c>
      <c r="M747" s="13" t="str">
        <f t="shared" si="3"/>
        <v>OK</v>
      </c>
      <c r="N747" s="18" t="str">
        <f t="shared" si="4"/>
        <v>VALID</v>
      </c>
    </row>
    <row r="748" ht="15.75" customHeight="1">
      <c r="A748" s="13" t="str">
        <f>Raw_Data!A748</f>
        <v>EMP0785</v>
      </c>
      <c r="B748" s="13" t="str">
        <f>TRIM(CLEAN(Raw_Data!B748))</f>
        <v>Finance</v>
      </c>
      <c r="C748" s="18" t="s">
        <v>26</v>
      </c>
      <c r="D748" s="14" t="str">
        <f>IF(ISBLANK(Raw_Data!D748),AVERAGE(Raw_Data!D$2:D$5002),Raw_Data!D748)</f>
        <v>99068.69</v>
      </c>
      <c r="E748" s="15" t="str">
        <f>IF(ISBLANK(Raw_Data!E748),AVERAGE(Raw_Data!E$2:E$5002),Raw_Data!E748)</f>
        <v>29720.61</v>
      </c>
      <c r="F748" s="15" t="str">
        <f>IF(ISBLANK(Raw_Data!F748),AVERAGE(Raw_Data!F$2:F$5002),Raw_Data!F748)</f>
        <v>1395.72</v>
      </c>
      <c r="G748" s="14" t="str">
        <f>IF(ISBLANK(Raw_Data!G748),AVERAGE(Raw_Data!G$2:G$5002),Raw_Data!G748)</f>
        <v>24419.02</v>
      </c>
      <c r="H748" s="15" t="str">
        <f t="shared" si="1"/>
        <v>130185.00</v>
      </c>
      <c r="I748" s="14" t="str">
        <f t="shared" si="2"/>
        <v>105766.00</v>
      </c>
      <c r="J748" s="16" t="str">
        <f>TEXT(Raw_Data!J748,"MMM-YYY")</f>
        <v>May-2025</v>
      </c>
      <c r="K748" s="13" t="str">
        <f>Raw_Data!K748</f>
        <v>23</v>
      </c>
      <c r="L748" s="17" t="str">
        <f>Raw_Data!L748</f>
        <v>Pune-West</v>
      </c>
      <c r="M748" s="13" t="str">
        <f t="shared" si="3"/>
        <v>OK</v>
      </c>
      <c r="N748" s="18" t="str">
        <f t="shared" si="4"/>
        <v>VALID</v>
      </c>
    </row>
    <row r="749" ht="15.75" customHeight="1">
      <c r="A749" s="13" t="str">
        <f>Raw_Data!A749</f>
        <v>EMP0786</v>
      </c>
      <c r="B749" s="13" t="str">
        <f>TRIM(CLEAN(Raw_Data!B749))</f>
        <v>Marketing</v>
      </c>
      <c r="C749" s="18" t="s">
        <v>54</v>
      </c>
      <c r="D749" s="14" t="str">
        <f>IF(ISBLANK(Raw_Data!D749),AVERAGE(Raw_Data!D$2:D$5002),Raw_Data!D749)</f>
        <v>41315.76</v>
      </c>
      <c r="E749" s="15" t="str">
        <f>IF(ISBLANK(Raw_Data!E749),AVERAGE(Raw_Data!E$2:E$5002),Raw_Data!E749)</f>
        <v>12394.73</v>
      </c>
      <c r="F749" s="15" t="str">
        <f>IF(ISBLANK(Raw_Data!F749),AVERAGE(Raw_Data!F$2:F$5002),Raw_Data!F749)</f>
        <v>3342.02</v>
      </c>
      <c r="G749" s="14" t="str">
        <f>IF(ISBLANK(Raw_Data!G749),AVERAGE(Raw_Data!G$2:G$5002),Raw_Data!G749)</f>
        <v>3921.74</v>
      </c>
      <c r="H749" s="15" t="str">
        <f t="shared" si="1"/>
        <v>57053.00</v>
      </c>
      <c r="I749" s="14" t="str">
        <f t="shared" si="2"/>
        <v>53131.00</v>
      </c>
      <c r="J749" s="16" t="str">
        <f>TEXT(Raw_Data!J749,"MMM-YYY")</f>
        <v>Jul-2025</v>
      </c>
      <c r="K749" s="13" t="str">
        <f>Raw_Data!K749</f>
        <v>23</v>
      </c>
      <c r="L749" s="17" t="str">
        <f>Raw_Data!L749</f>
        <v>Hyderabad-South</v>
      </c>
      <c r="M749" s="13" t="str">
        <f t="shared" si="3"/>
        <v>OK</v>
      </c>
      <c r="N749" s="18" t="str">
        <f t="shared" si="4"/>
        <v>VALID</v>
      </c>
    </row>
    <row r="750" ht="15.75" customHeight="1">
      <c r="A750" s="13" t="str">
        <f>Raw_Data!A750</f>
        <v>EMP0787</v>
      </c>
      <c r="B750" s="13" t="str">
        <f>TRIM(CLEAN(Raw_Data!B750))</f>
        <v>Sales</v>
      </c>
      <c r="C750" s="18" t="s">
        <v>14</v>
      </c>
      <c r="D750" s="14" t="str">
        <f>IF(ISBLANK(Raw_Data!D750),AVERAGE(Raw_Data!D$2:D$5002),Raw_Data!D750)</f>
        <v>21850.81</v>
      </c>
      <c r="E750" s="15" t="str">
        <f>IF(ISBLANK(Raw_Data!E750),AVERAGE(Raw_Data!E$2:E$5002),Raw_Data!E750)</f>
        <v>6555.24</v>
      </c>
      <c r="F750" s="15" t="str">
        <f>IF(ISBLANK(Raw_Data!F750),AVERAGE(Raw_Data!F$2:F$5002),Raw_Data!F750)</f>
        <v>2803.12</v>
      </c>
      <c r="G750" s="14" t="str">
        <f>IF(ISBLANK(Raw_Data!G750),AVERAGE(Raw_Data!G$2:G$5002),Raw_Data!G750)</f>
        <v>4053.43</v>
      </c>
      <c r="H750" s="15" t="str">
        <f t="shared" si="1"/>
        <v>31209.00</v>
      </c>
      <c r="I750" s="14" t="str">
        <f t="shared" si="2"/>
        <v>27156.00</v>
      </c>
      <c r="J750" s="16" t="str">
        <f>TEXT(Raw_Data!J750,"MMM-YYY")</f>
        <v>Dec-2025</v>
      </c>
      <c r="K750" s="13" t="str">
        <f>Raw_Data!K750</f>
        <v>23</v>
      </c>
      <c r="L750" s="17" t="str">
        <f>Raw_Data!L750</f>
        <v>Chandigarh-North</v>
      </c>
      <c r="M750" s="13" t="str">
        <f t="shared" si="3"/>
        <v>OK</v>
      </c>
      <c r="N750" s="18" t="str">
        <f t="shared" si="4"/>
        <v>VALID</v>
      </c>
    </row>
    <row r="751" ht="15.75" customHeight="1">
      <c r="A751" s="13" t="str">
        <f>Raw_Data!A751</f>
        <v>EMP0788</v>
      </c>
      <c r="B751" s="13" t="str">
        <f>TRIM(CLEAN(Raw_Data!B751))</f>
        <v>Operations</v>
      </c>
      <c r="C751" s="18" t="s">
        <v>14</v>
      </c>
      <c r="D751" s="14" t="str">
        <f>IF(ISBLANK(Raw_Data!D751),AVERAGE(Raw_Data!D$2:D$5002),Raw_Data!D751)</f>
        <v>23046.35</v>
      </c>
      <c r="E751" s="15" t="str">
        <f>IF(ISBLANK(Raw_Data!E751),AVERAGE(Raw_Data!E$2:E$5002),Raw_Data!E751)</f>
        <v>6913.90</v>
      </c>
      <c r="F751" s="15" t="str">
        <f>IF(ISBLANK(Raw_Data!F751),AVERAGE(Raw_Data!F$2:F$5002),Raw_Data!F751)</f>
        <v>334.58</v>
      </c>
      <c r="G751" s="14" t="str">
        <f>IF(ISBLANK(Raw_Data!G751),AVERAGE(Raw_Data!G$2:G$5002),Raw_Data!G751)</f>
        <v>6416.43</v>
      </c>
      <c r="H751" s="15" t="str">
        <f t="shared" si="1"/>
        <v>30295.00</v>
      </c>
      <c r="I751" s="14" t="str">
        <f t="shared" si="2"/>
        <v>23879.00</v>
      </c>
      <c r="J751" s="16" t="str">
        <f>TEXT(Raw_Data!J751,"MMM-YYY")</f>
        <v>Feb-2025</v>
      </c>
      <c r="K751" s="13" t="str">
        <f>Raw_Data!K751</f>
        <v>15</v>
      </c>
      <c r="L751" s="17" t="str">
        <f>Raw_Data!L751</f>
        <v>Ahmedabad-West</v>
      </c>
      <c r="M751" s="13" t="str">
        <f t="shared" si="3"/>
        <v>OK</v>
      </c>
      <c r="N751" s="18" t="str">
        <f t="shared" si="4"/>
        <v>VALID</v>
      </c>
    </row>
    <row r="752" ht="15.75" customHeight="1">
      <c r="A752" s="13" t="str">
        <f>Raw_Data!A752</f>
        <v>EMP0789</v>
      </c>
      <c r="B752" s="13" t="str">
        <f>TRIM(CLEAN(Raw_Data!B752))</f>
        <v>IT</v>
      </c>
      <c r="C752" s="18" t="s">
        <v>26</v>
      </c>
      <c r="D752" s="14" t="str">
        <f>IF(ISBLANK(Raw_Data!D752),AVERAGE(Raw_Data!D$2:D$5002),Raw_Data!D752)</f>
        <v>114691.63</v>
      </c>
      <c r="E752" s="15" t="str">
        <f>IF(ISBLANK(Raw_Data!E752),AVERAGE(Raw_Data!E$2:E$5002),Raw_Data!E752)</f>
        <v>34407.49</v>
      </c>
      <c r="F752" s="15" t="str">
        <f>IF(ISBLANK(Raw_Data!F752),AVERAGE(Raw_Data!F$2:F$5002),Raw_Data!F752)</f>
        <v>13913.61</v>
      </c>
      <c r="G752" s="14" t="str">
        <f>IF(ISBLANK(Raw_Data!G752),AVERAGE(Raw_Data!G$2:G$5002),Raw_Data!G752)</f>
        <v>9686.31</v>
      </c>
      <c r="H752" s="15" t="str">
        <f t="shared" si="1"/>
        <v>163013.00</v>
      </c>
      <c r="I752" s="14" t="str">
        <f t="shared" si="2"/>
        <v>153327.00</v>
      </c>
      <c r="J752" s="16" t="str">
        <f>TEXT(Raw_Data!J752,"MMM-YYY")</f>
        <v>Aug-2025</v>
      </c>
      <c r="K752" s="13" t="str">
        <f>Raw_Data!K752</f>
        <v>10</v>
      </c>
      <c r="L752" s="17" t="str">
        <f>Raw_Data!L752</f>
        <v>Jaipur-North</v>
      </c>
      <c r="M752" s="13" t="str">
        <f t="shared" si="3"/>
        <v>OK</v>
      </c>
      <c r="N752" s="18" t="str">
        <f t="shared" si="4"/>
        <v>VALID</v>
      </c>
    </row>
    <row r="753" ht="15.75" customHeight="1">
      <c r="A753" s="13" t="str">
        <f>Raw_Data!A753</f>
        <v>EMP0790</v>
      </c>
      <c r="B753" s="13" t="str">
        <f>TRIM(CLEAN(Raw_Data!B753))</f>
        <v>Marketing</v>
      </c>
      <c r="C753" s="18" t="s">
        <v>54</v>
      </c>
      <c r="D753" s="14" t="str">
        <f>IF(ISBLANK(Raw_Data!D753),AVERAGE(Raw_Data!D$2:D$5002),Raw_Data!D753)</f>
        <v>46509.71</v>
      </c>
      <c r="E753" s="15" t="str">
        <f>IF(ISBLANK(Raw_Data!E753),AVERAGE(Raw_Data!E$2:E$5002),Raw_Data!E753)</f>
        <v>13952.91</v>
      </c>
      <c r="F753" s="15" t="str">
        <f>IF(ISBLANK(Raw_Data!F753),AVERAGE(Raw_Data!F$2:F$5002),Raw_Data!F753)</f>
        <v>286.68</v>
      </c>
      <c r="G753" s="14" t="str">
        <f>IF(ISBLANK(Raw_Data!G753),AVERAGE(Raw_Data!G$2:G$5002),Raw_Data!G753)</f>
        <v>2181.17</v>
      </c>
      <c r="H753" s="15" t="str">
        <f t="shared" si="1"/>
        <v>60749.00</v>
      </c>
      <c r="I753" s="14" t="str">
        <f t="shared" si="2"/>
        <v>58568.00</v>
      </c>
      <c r="J753" s="16" t="str">
        <f>TEXT(Raw_Data!J753,"MMM-YYY")</f>
        <v>Apr-2025</v>
      </c>
      <c r="K753" s="13" t="str">
        <f>Raw_Data!K753</f>
        <v>23</v>
      </c>
      <c r="L753" s="17" t="str">
        <f>Raw_Data!L753</f>
        <v>Mumbai-HO</v>
      </c>
      <c r="M753" s="13" t="str">
        <f t="shared" si="3"/>
        <v>OK</v>
      </c>
      <c r="N753" s="18" t="str">
        <f t="shared" si="4"/>
        <v>VALID</v>
      </c>
    </row>
    <row r="754" ht="15.75" customHeight="1">
      <c r="A754" s="13" t="str">
        <f>Raw_Data!A754</f>
        <v>EMP0792</v>
      </c>
      <c r="B754" s="13" t="str">
        <f>TRIM(CLEAN(Raw_Data!B754))</f>
        <v>Finance</v>
      </c>
      <c r="C754" s="18" t="s">
        <v>33</v>
      </c>
      <c r="D754" s="14" t="str">
        <f>IF(ISBLANK(Raw_Data!D754),AVERAGE(Raw_Data!D$2:D$5002),Raw_Data!D754)</f>
        <v>31772.89</v>
      </c>
      <c r="E754" s="15" t="str">
        <f>IF(ISBLANK(Raw_Data!E754),AVERAGE(Raw_Data!E$2:E$5002),Raw_Data!E754)</f>
        <v>9531.87</v>
      </c>
      <c r="F754" s="15" t="str">
        <f>IF(ISBLANK(Raw_Data!F754),AVERAGE(Raw_Data!F$2:F$5002),Raw_Data!F754)</f>
        <v>5809.16</v>
      </c>
      <c r="G754" s="14" t="str">
        <f>IF(ISBLANK(Raw_Data!G754),AVERAGE(Raw_Data!G$2:G$5002),Raw_Data!G754)</f>
        <v>7578.00</v>
      </c>
      <c r="H754" s="15" t="str">
        <f t="shared" si="1"/>
        <v>47114.00</v>
      </c>
      <c r="I754" s="14" t="str">
        <f t="shared" si="2"/>
        <v>39536.00</v>
      </c>
      <c r="J754" s="16" t="str">
        <f>TEXT(Raw_Data!J754,"MMM-YYY")</f>
        <v>Dec-2025</v>
      </c>
      <c r="K754" s="13" t="str">
        <f>Raw_Data!K754</f>
        <v>6</v>
      </c>
      <c r="L754" s="17" t="str">
        <f>Raw_Data!L754</f>
        <v>Bangalore-South</v>
      </c>
      <c r="M754" s="13" t="str">
        <f t="shared" si="3"/>
        <v>OK</v>
      </c>
      <c r="N754" s="18" t="str">
        <f t="shared" si="4"/>
        <v>VALID</v>
      </c>
    </row>
    <row r="755" ht="15.75" customHeight="1">
      <c r="A755" s="13" t="str">
        <f>Raw_Data!A755</f>
        <v>EMP0793</v>
      </c>
      <c r="B755" s="13" t="str">
        <f>TRIM(CLEAN(Raw_Data!B755))</f>
        <v>Sales</v>
      </c>
      <c r="C755" s="18" t="s">
        <v>33</v>
      </c>
      <c r="D755" s="14" t="str">
        <f>IF(ISBLANK(Raw_Data!D755),AVERAGE(Raw_Data!D$2:D$5002),Raw_Data!D755)</f>
        <v>71831.17</v>
      </c>
      <c r="E755" s="15" t="str">
        <f>IF(ISBLANK(Raw_Data!E755),AVERAGE(Raw_Data!E$2:E$5002),Raw_Data!E755)</f>
        <v>10372.18</v>
      </c>
      <c r="F755" s="15" t="str">
        <f>IF(ISBLANK(Raw_Data!F755),AVERAGE(Raw_Data!F$2:F$5002),Raw_Data!F755)</f>
        <v>77.10</v>
      </c>
      <c r="G755" s="14" t="str">
        <f>IF(ISBLANK(Raw_Data!G755),AVERAGE(Raw_Data!G$2:G$5002),Raw_Data!G755)</f>
        <v>9073.24</v>
      </c>
      <c r="H755" s="15" t="str">
        <f t="shared" si="1"/>
        <v>82280.00</v>
      </c>
      <c r="I755" s="14" t="str">
        <f t="shared" si="2"/>
        <v>73207.00</v>
      </c>
      <c r="J755" s="16" t="str">
        <f>TEXT(Raw_Data!J755,"MMM-YYY")</f>
        <v>Mar-2025</v>
      </c>
      <c r="K755" s="13" t="str">
        <f>Raw_Data!K755</f>
        <v>22</v>
      </c>
      <c r="L755" s="17" t="str">
        <f>Raw_Data!L755</f>
        <v>Chennai-South</v>
      </c>
      <c r="M755" s="13" t="str">
        <f t="shared" si="3"/>
        <v>OK</v>
      </c>
      <c r="N755" s="18" t="str">
        <f t="shared" si="4"/>
        <v>VALID</v>
      </c>
    </row>
    <row r="756" ht="15.75" customHeight="1">
      <c r="A756" s="13" t="str">
        <f>Raw_Data!A756</f>
        <v>EMP0795</v>
      </c>
      <c r="B756" s="13" t="str">
        <f>TRIM(CLEAN(Raw_Data!B756))</f>
        <v>IT</v>
      </c>
      <c r="C756" s="18" t="s">
        <v>30</v>
      </c>
      <c r="D756" s="14" t="str">
        <f>IF(ISBLANK(Raw_Data!D756),AVERAGE(Raw_Data!D$2:D$5002),Raw_Data!D756)</f>
        <v>28585.01</v>
      </c>
      <c r="E756" s="15" t="str">
        <f>IF(ISBLANK(Raw_Data!E756),AVERAGE(Raw_Data!E$2:E$5002),Raw_Data!E756)</f>
        <v>8575.50</v>
      </c>
      <c r="F756" s="15" t="str">
        <f>IF(ISBLANK(Raw_Data!F756),AVERAGE(Raw_Data!F$2:F$5002),Raw_Data!F756)</f>
        <v>5165.58</v>
      </c>
      <c r="G756" s="14" t="str">
        <f>IF(ISBLANK(Raw_Data!G756),AVERAGE(Raw_Data!G$2:G$5002),Raw_Data!G756)</f>
        <v>2948.70</v>
      </c>
      <c r="H756" s="15" t="str">
        <f t="shared" si="1"/>
        <v>42326.00</v>
      </c>
      <c r="I756" s="14" t="str">
        <f t="shared" si="2"/>
        <v>39377.00</v>
      </c>
      <c r="J756" s="16" t="str">
        <f>TEXT(Raw_Data!J756,"MMM-YYY")</f>
        <v>Jul-2025</v>
      </c>
      <c r="K756" s="13" t="str">
        <f>Raw_Data!K756</f>
        <v>24</v>
      </c>
      <c r="L756" s="17" t="str">
        <f>Raw_Data!L756</f>
        <v>Pune-West</v>
      </c>
      <c r="M756" s="13" t="str">
        <f t="shared" si="3"/>
        <v>OK</v>
      </c>
      <c r="N756" s="18" t="str">
        <f t="shared" si="4"/>
        <v>VALID</v>
      </c>
    </row>
    <row r="757" ht="15.75" customHeight="1">
      <c r="A757" s="13" t="str">
        <f>Raw_Data!A757</f>
        <v>EMP0796</v>
      </c>
      <c r="B757" s="13" t="str">
        <f>TRIM(CLEAN(Raw_Data!B757))</f>
        <v>Sales</v>
      </c>
      <c r="C757" s="18" t="s">
        <v>26</v>
      </c>
      <c r="D757" s="14" t="str">
        <f>IF(ISBLANK(Raw_Data!D757),AVERAGE(Raw_Data!D$2:D$5002),Raw_Data!D757)</f>
        <v>108451.90</v>
      </c>
      <c r="E757" s="15" t="str">
        <f>IF(ISBLANK(Raw_Data!E757),AVERAGE(Raw_Data!E$2:E$5002),Raw_Data!E757)</f>
        <v>32535.57</v>
      </c>
      <c r="F757" s="15" t="str">
        <f>IF(ISBLANK(Raw_Data!F757),AVERAGE(Raw_Data!F$2:F$5002),Raw_Data!F757)</f>
        <v>3491.16</v>
      </c>
      <c r="G757" s="14" t="str">
        <f>IF(ISBLANK(Raw_Data!G757),AVERAGE(Raw_Data!G$2:G$5002),Raw_Data!G757)</f>
        <v>7183.46</v>
      </c>
      <c r="H757" s="15" t="str">
        <f t="shared" si="1"/>
        <v>144479.00</v>
      </c>
      <c r="I757" s="14" t="str">
        <f t="shared" si="2"/>
        <v>137296.00</v>
      </c>
      <c r="J757" s="16" t="str">
        <f>TEXT(Raw_Data!J757,"MMM-YYY")</f>
        <v>May-2025</v>
      </c>
      <c r="K757" s="13" t="str">
        <f>Raw_Data!K757</f>
        <v>16</v>
      </c>
      <c r="L757" s="17" t="str">
        <f>Raw_Data!L757</f>
        <v>Hyderabad-South</v>
      </c>
      <c r="M757" s="13" t="str">
        <f t="shared" si="3"/>
        <v>OK</v>
      </c>
      <c r="N757" s="18" t="str">
        <f t="shared" si="4"/>
        <v>VALID</v>
      </c>
    </row>
    <row r="758" ht="15.75" customHeight="1">
      <c r="A758" s="13" t="str">
        <f>Raw_Data!A758</f>
        <v>EMP0797</v>
      </c>
      <c r="B758" s="13" t="str">
        <f>TRIM(CLEAN(Raw_Data!B758))</f>
        <v>Finance</v>
      </c>
      <c r="C758" s="18" t="s">
        <v>14</v>
      </c>
      <c r="D758" s="14" t="str">
        <f>IF(ISBLANK(Raw_Data!D758),AVERAGE(Raw_Data!D$2:D$5002),Raw_Data!D758)</f>
        <v>19305.78</v>
      </c>
      <c r="E758" s="15" t="str">
        <f>IF(ISBLANK(Raw_Data!E758),AVERAGE(Raw_Data!E$2:E$5002),Raw_Data!E758)</f>
        <v>5791.73</v>
      </c>
      <c r="F758" s="15" t="str">
        <f>IF(ISBLANK(Raw_Data!F758),AVERAGE(Raw_Data!F$2:F$5002),Raw_Data!F758)</f>
        <v>3087.61</v>
      </c>
      <c r="G758" s="14" t="str">
        <f>IF(ISBLANK(Raw_Data!G758),AVERAGE(Raw_Data!G$2:G$5002),Raw_Data!G758)</f>
        <v>4936.01</v>
      </c>
      <c r="H758" s="15" t="str">
        <f t="shared" si="1"/>
        <v>28185.00</v>
      </c>
      <c r="I758" s="14" t="str">
        <f t="shared" si="2"/>
        <v>23249.00</v>
      </c>
      <c r="J758" s="16" t="str">
        <f>TEXT(Raw_Data!J758,"MMM-YYY")</f>
        <v>Sep-2025</v>
      </c>
      <c r="K758" s="13" t="str">
        <f>Raw_Data!K758</f>
        <v>21</v>
      </c>
      <c r="L758" s="17" t="str">
        <f>Raw_Data!L758</f>
        <v>Chandigarh-North</v>
      </c>
      <c r="M758" s="13" t="str">
        <f t="shared" si="3"/>
        <v>OK</v>
      </c>
      <c r="N758" s="18" t="str">
        <f t="shared" si="4"/>
        <v>VALID</v>
      </c>
    </row>
    <row r="759" ht="15.75" customHeight="1">
      <c r="A759" s="13" t="str">
        <f>Raw_Data!A759</f>
        <v>EMP0798</v>
      </c>
      <c r="B759" s="13" t="str">
        <f>TRIM(CLEAN(Raw_Data!B759))</f>
        <v>Marketing</v>
      </c>
      <c r="C759" s="18" t="s">
        <v>18</v>
      </c>
      <c r="D759" s="14" t="str">
        <f>IF(ISBLANK(Raw_Data!D759),AVERAGE(Raw_Data!D$2:D$5002),Raw_Data!D759)</f>
        <v>79291.28</v>
      </c>
      <c r="E759" s="15" t="str">
        <f>IF(ISBLANK(Raw_Data!E759),AVERAGE(Raw_Data!E$2:E$5002),Raw_Data!E759)</f>
        <v>23787.38</v>
      </c>
      <c r="F759" s="15" t="str">
        <f>IF(ISBLANK(Raw_Data!F759),AVERAGE(Raw_Data!F$2:F$5002),Raw_Data!F759)</f>
        <v>4609.24</v>
      </c>
      <c r="G759" s="14" t="str">
        <f>IF(ISBLANK(Raw_Data!G759),AVERAGE(Raw_Data!G$2:G$5002),Raw_Data!G759)</f>
        <v>1602.38</v>
      </c>
      <c r="H759" s="15" t="str">
        <f t="shared" si="1"/>
        <v>107688.00</v>
      </c>
      <c r="I759" s="14" t="str">
        <f t="shared" si="2"/>
        <v>106086.00</v>
      </c>
      <c r="J759" s="16" t="str">
        <f>TEXT(Raw_Data!J759,"MMM-YYY")</f>
        <v>Feb-2025</v>
      </c>
      <c r="K759" s="13" t="str">
        <f>Raw_Data!K759</f>
        <v>13</v>
      </c>
      <c r="L759" s="17" t="str">
        <f>Raw_Data!L759</f>
        <v>Ahmedabad-West</v>
      </c>
      <c r="M759" s="13" t="str">
        <f t="shared" si="3"/>
        <v>OK</v>
      </c>
      <c r="N759" s="18" t="str">
        <f t="shared" si="4"/>
        <v>VALID</v>
      </c>
    </row>
    <row r="760" ht="15.75" customHeight="1">
      <c r="A760" s="13" t="str">
        <f>Raw_Data!A760</f>
        <v>EMP0799</v>
      </c>
      <c r="B760" s="13" t="str">
        <f>TRIM(CLEAN(Raw_Data!B760))</f>
        <v>Finance</v>
      </c>
      <c r="C760" s="18" t="s">
        <v>18</v>
      </c>
      <c r="D760" s="14" t="str">
        <f>IF(ISBLANK(Raw_Data!D760),AVERAGE(Raw_Data!D$2:D$5002),Raw_Data!D760)</f>
        <v>71831.17</v>
      </c>
      <c r="E760" s="15" t="str">
        <f>IF(ISBLANK(Raw_Data!E760),AVERAGE(Raw_Data!E$2:E$5002),Raw_Data!E760)</f>
        <v>24028.65</v>
      </c>
      <c r="F760" s="15" t="str">
        <f>IF(ISBLANK(Raw_Data!F760),AVERAGE(Raw_Data!F$2:F$5002),Raw_Data!F760)</f>
        <v>15242.81</v>
      </c>
      <c r="G760" s="14" t="str">
        <f>IF(ISBLANK(Raw_Data!G760),AVERAGE(Raw_Data!G$2:G$5002),Raw_Data!G760)</f>
        <v>8581.55</v>
      </c>
      <c r="H760" s="15" t="str">
        <f t="shared" si="1"/>
        <v>111103.00</v>
      </c>
      <c r="I760" s="14" t="str">
        <f t="shared" si="2"/>
        <v>102521.00</v>
      </c>
      <c r="J760" s="16" t="str">
        <f>TEXT(Raw_Data!J760,"MMM-YYY")</f>
        <v>Nov-2025</v>
      </c>
      <c r="K760" s="13" t="str">
        <f>Raw_Data!K760</f>
        <v>19</v>
      </c>
      <c r="L760" s="17" t="str">
        <f>Raw_Data!L760</f>
        <v>Jaipur-North</v>
      </c>
      <c r="M760" s="13" t="str">
        <f t="shared" si="3"/>
        <v>OK</v>
      </c>
      <c r="N760" s="18" t="str">
        <f t="shared" si="4"/>
        <v>VALID</v>
      </c>
    </row>
    <row r="761" ht="15.75" customHeight="1">
      <c r="A761" s="13" t="str">
        <f>Raw_Data!A761</f>
        <v>EMP0800</v>
      </c>
      <c r="B761" s="13" t="str">
        <f>TRIM(CLEAN(Raw_Data!B761))</f>
        <v>Sales</v>
      </c>
      <c r="C761" s="18" t="s">
        <v>30</v>
      </c>
      <c r="D761" s="14" t="str">
        <f>IF(ISBLANK(Raw_Data!D761),AVERAGE(Raw_Data!D$2:D$5002),Raw_Data!D761)</f>
        <v>22880.40</v>
      </c>
      <c r="E761" s="15" t="str">
        <f>IF(ISBLANK(Raw_Data!E761),AVERAGE(Raw_Data!E$2:E$5002),Raw_Data!E761)</f>
        <v>6864.12</v>
      </c>
      <c r="F761" s="15" t="str">
        <f>IF(ISBLANK(Raw_Data!F761),AVERAGE(Raw_Data!F$2:F$5002),Raw_Data!F761)</f>
        <v>2834.95</v>
      </c>
      <c r="G761" s="14" t="str">
        <f>IF(ISBLANK(Raw_Data!G761),AVERAGE(Raw_Data!G$2:G$5002),Raw_Data!G761)</f>
        <v>6178.52</v>
      </c>
      <c r="H761" s="15" t="str">
        <f t="shared" si="1"/>
        <v>32579.00</v>
      </c>
      <c r="I761" s="14" t="str">
        <f t="shared" si="2"/>
        <v>26400.00</v>
      </c>
      <c r="J761" s="16" t="str">
        <f>TEXT(Raw_Data!J761,"MMM-YYY")</f>
        <v>Jun-2025</v>
      </c>
      <c r="K761" s="13" t="str">
        <f>Raw_Data!K761</f>
        <v>25</v>
      </c>
      <c r="L761" s="17" t="str">
        <f>Raw_Data!L761</f>
        <v>Mumbai-HO</v>
      </c>
      <c r="M761" s="13" t="str">
        <f t="shared" si="3"/>
        <v>OK</v>
      </c>
      <c r="N761" s="18" t="str">
        <f t="shared" si="4"/>
        <v>VALID</v>
      </c>
    </row>
    <row r="762" ht="15.75" customHeight="1">
      <c r="A762" s="13" t="str">
        <f>Raw_Data!A762</f>
        <v>EMP0801</v>
      </c>
      <c r="B762" s="13" t="str">
        <f>TRIM(CLEAN(Raw_Data!B762))</f>
        <v>Marketing</v>
      </c>
      <c r="C762" s="18" t="s">
        <v>54</v>
      </c>
      <c r="D762" s="14" t="str">
        <f>IF(ISBLANK(Raw_Data!D762),AVERAGE(Raw_Data!D$2:D$5002),Raw_Data!D762)</f>
        <v>39596.85</v>
      </c>
      <c r="E762" s="15" t="str">
        <f>IF(ISBLANK(Raw_Data!E762),AVERAGE(Raw_Data!E$2:E$5002),Raw_Data!E762)</f>
        <v>11879.05</v>
      </c>
      <c r="F762" s="15" t="str">
        <f>IF(ISBLANK(Raw_Data!F762),AVERAGE(Raw_Data!F$2:F$5002),Raw_Data!F762)</f>
        <v>5222.21</v>
      </c>
      <c r="G762" s="14" t="str">
        <f>IF(ISBLANK(Raw_Data!G762),AVERAGE(Raw_Data!G$2:G$5002),Raw_Data!G762)</f>
        <v>8237.63</v>
      </c>
      <c r="H762" s="15" t="str">
        <f t="shared" si="1"/>
        <v>56698.00</v>
      </c>
      <c r="I762" s="14" t="str">
        <f t="shared" si="2"/>
        <v>48460.00</v>
      </c>
      <c r="J762" s="16" t="str">
        <f>TEXT(Raw_Data!J762,"MMM-YYY")</f>
        <v>Mar-2025</v>
      </c>
      <c r="K762" s="13" t="str">
        <f>Raw_Data!K762</f>
        <v>11</v>
      </c>
      <c r="L762" s="17" t="str">
        <f>Raw_Data!L762</f>
        <v>Delhi-North</v>
      </c>
      <c r="M762" s="13" t="str">
        <f t="shared" si="3"/>
        <v>OK</v>
      </c>
      <c r="N762" s="18" t="str">
        <f t="shared" si="4"/>
        <v>VALID</v>
      </c>
    </row>
    <row r="763" ht="15.75" customHeight="1">
      <c r="A763" s="13" t="str">
        <f>Raw_Data!A763</f>
        <v>EMP0802</v>
      </c>
      <c r="B763" s="13" t="str">
        <f>TRIM(CLEAN(Raw_Data!B763))</f>
        <v>Operations</v>
      </c>
      <c r="C763" s="18" t="s">
        <v>37</v>
      </c>
      <c r="D763" s="14" t="str">
        <f>IF(ISBLANK(Raw_Data!D763),AVERAGE(Raw_Data!D$2:D$5002),Raw_Data!D763)</f>
        <v>51560.88</v>
      </c>
      <c r="E763" s="15" t="str">
        <f>IF(ISBLANK(Raw_Data!E763),AVERAGE(Raw_Data!E$2:E$5002),Raw_Data!E763)</f>
        <v>15468.26</v>
      </c>
      <c r="F763" s="15" t="str">
        <f>IF(ISBLANK(Raw_Data!F763),AVERAGE(Raw_Data!F$2:F$5002),Raw_Data!F763)</f>
        <v>3262.08</v>
      </c>
      <c r="G763" s="14" t="str">
        <f>IF(ISBLANK(Raw_Data!G763),AVERAGE(Raw_Data!G$2:G$5002),Raw_Data!G763)</f>
        <v>14562.73</v>
      </c>
      <c r="H763" s="15" t="str">
        <f t="shared" si="1"/>
        <v>70291.00</v>
      </c>
      <c r="I763" s="14" t="str">
        <f t="shared" si="2"/>
        <v>55728.00</v>
      </c>
      <c r="J763" s="16" t="str">
        <f>TEXT(Raw_Data!J763,"MMM-YYY")</f>
        <v>Jan-2025</v>
      </c>
      <c r="K763" s="13" t="str">
        <f>Raw_Data!K763</f>
        <v>17</v>
      </c>
      <c r="L763" s="17" t="str">
        <f>Raw_Data!L763</f>
        <v>Bangalore-South</v>
      </c>
      <c r="M763" s="13" t="str">
        <f t="shared" si="3"/>
        <v>OK</v>
      </c>
      <c r="N763" s="18" t="str">
        <f t="shared" si="4"/>
        <v>VALID</v>
      </c>
    </row>
    <row r="764" ht="15.75" customHeight="1">
      <c r="A764" s="13" t="str">
        <f>Raw_Data!A764</f>
        <v>EMP0803</v>
      </c>
      <c r="B764" s="13" t="str">
        <f>TRIM(CLEAN(Raw_Data!B764))</f>
        <v>IT</v>
      </c>
      <c r="C764" s="18" t="s">
        <v>30</v>
      </c>
      <c r="D764" s="14" t="str">
        <f>IF(ISBLANK(Raw_Data!D764),AVERAGE(Raw_Data!D$2:D$5002),Raw_Data!D764)</f>
        <v>28913.81</v>
      </c>
      <c r="E764" s="15" t="str">
        <f>IF(ISBLANK(Raw_Data!E764),AVERAGE(Raw_Data!E$2:E$5002),Raw_Data!E764)</f>
        <v>8674.14</v>
      </c>
      <c r="F764" s="15" t="str">
        <f>IF(ISBLANK(Raw_Data!F764),AVERAGE(Raw_Data!F$2:F$5002),Raw_Data!F764)</f>
        <v>4118.48</v>
      </c>
      <c r="G764" s="14" t="str">
        <f>IF(ISBLANK(Raw_Data!G764),AVERAGE(Raw_Data!G$2:G$5002),Raw_Data!G764)</f>
        <v>5558.73</v>
      </c>
      <c r="H764" s="15" t="str">
        <f t="shared" si="1"/>
        <v>41706.00</v>
      </c>
      <c r="I764" s="14" t="str">
        <f t="shared" si="2"/>
        <v>36147.00</v>
      </c>
      <c r="J764" s="16" t="str">
        <f>TEXT(Raw_Data!J764,"MMM-YYY")</f>
        <v>May-2025</v>
      </c>
      <c r="K764" s="13" t="str">
        <f>Raw_Data!K764</f>
        <v>11</v>
      </c>
      <c r="L764" s="17" t="str">
        <f>Raw_Data!L764</f>
        <v>Chennai-South</v>
      </c>
      <c r="M764" s="13" t="str">
        <f t="shared" si="3"/>
        <v>OK</v>
      </c>
      <c r="N764" s="18" t="str">
        <f t="shared" si="4"/>
        <v>VALID</v>
      </c>
    </row>
    <row r="765" ht="15.75" customHeight="1">
      <c r="A765" s="13" t="str">
        <f>Raw_Data!A765</f>
        <v>EMP0804</v>
      </c>
      <c r="B765" s="13" t="str">
        <f>TRIM(CLEAN(Raw_Data!B765))</f>
        <v>Customer Support</v>
      </c>
      <c r="C765" s="18" t="s">
        <v>33</v>
      </c>
      <c r="D765" s="14" t="str">
        <f>IF(ISBLANK(Raw_Data!D765),AVERAGE(Raw_Data!D$2:D$5002),Raw_Data!D765)</f>
        <v>26343.06</v>
      </c>
      <c r="E765" s="15" t="str">
        <f>IF(ISBLANK(Raw_Data!E765),AVERAGE(Raw_Data!E$2:E$5002),Raw_Data!E765)</f>
        <v>7902.92</v>
      </c>
      <c r="F765" s="15" t="str">
        <f>IF(ISBLANK(Raw_Data!F765),AVERAGE(Raw_Data!F$2:F$5002),Raw_Data!F765)</f>
        <v>3861.75</v>
      </c>
      <c r="G765" s="14" t="str">
        <f>IF(ISBLANK(Raw_Data!G765),AVERAGE(Raw_Data!G$2:G$5002),Raw_Data!G765)</f>
        <v>6937.86</v>
      </c>
      <c r="H765" s="15" t="str">
        <f t="shared" si="1"/>
        <v>38108.00</v>
      </c>
      <c r="I765" s="14" t="str">
        <f t="shared" si="2"/>
        <v>31170.00</v>
      </c>
      <c r="J765" s="16" t="str">
        <f>TEXT(Raw_Data!J765,"MMM-YYY")</f>
        <v>Aug-2025</v>
      </c>
      <c r="K765" s="13" t="str">
        <f>Raw_Data!K765</f>
        <v>5</v>
      </c>
      <c r="L765" s="17" t="str">
        <f>Raw_Data!L765</f>
        <v>Kolkata-East</v>
      </c>
      <c r="M765" s="13" t="str">
        <f t="shared" si="3"/>
        <v>OK</v>
      </c>
      <c r="N765" s="18" t="str">
        <f t="shared" si="4"/>
        <v>VALID</v>
      </c>
    </row>
    <row r="766" ht="15.75" customHeight="1">
      <c r="A766" s="13" t="str">
        <f>Raw_Data!A766</f>
        <v>EMP0805</v>
      </c>
      <c r="B766" s="13" t="str">
        <f>TRIM(CLEAN(Raw_Data!B766))</f>
        <v>Marketing</v>
      </c>
      <c r="C766" s="18" t="s">
        <v>33</v>
      </c>
      <c r="D766" s="14" t="str">
        <f>IF(ISBLANK(Raw_Data!D766),AVERAGE(Raw_Data!D$2:D$5002),Raw_Data!D766)</f>
        <v>32747.67</v>
      </c>
      <c r="E766" s="15" t="str">
        <f>IF(ISBLANK(Raw_Data!E766),AVERAGE(Raw_Data!E$2:E$5002),Raw_Data!E766)</f>
        <v>9824.30</v>
      </c>
      <c r="F766" s="15" t="str">
        <f>IF(ISBLANK(Raw_Data!F766),AVERAGE(Raw_Data!F$2:F$5002),Raw_Data!F766)</f>
        <v>3189.44</v>
      </c>
      <c r="G766" s="14" t="str">
        <f>IF(ISBLANK(Raw_Data!G766),AVERAGE(Raw_Data!G$2:G$5002),Raw_Data!G766)</f>
        <v>1069.20</v>
      </c>
      <c r="H766" s="15" t="str">
        <f t="shared" si="1"/>
        <v>45761.00</v>
      </c>
      <c r="I766" s="14" t="str">
        <f t="shared" si="2"/>
        <v>44692.00</v>
      </c>
      <c r="J766" s="16" t="str">
        <f>TEXT(Raw_Data!J766,"MMM-YYY")</f>
        <v>Nov-2025</v>
      </c>
      <c r="K766" s="13" t="str">
        <f>Raw_Data!K766</f>
        <v>19</v>
      </c>
      <c r="L766" s="17" t="str">
        <f>Raw_Data!L766</f>
        <v>Pune-West</v>
      </c>
      <c r="M766" s="13" t="str">
        <f t="shared" si="3"/>
        <v>OK</v>
      </c>
      <c r="N766" s="18" t="str">
        <f t="shared" si="4"/>
        <v>VALID</v>
      </c>
    </row>
    <row r="767" ht="15.75" customHeight="1">
      <c r="A767" s="13" t="str">
        <f>Raw_Data!A767</f>
        <v>EMP0806</v>
      </c>
      <c r="B767" s="13" t="str">
        <f>TRIM(CLEAN(Raw_Data!B767))</f>
        <v>Operations</v>
      </c>
      <c r="C767" s="18" t="s">
        <v>14</v>
      </c>
      <c r="D767" s="14" t="str">
        <f>IF(ISBLANK(Raw_Data!D767),AVERAGE(Raw_Data!D$2:D$5002),Raw_Data!D767)</f>
        <v>24060.91</v>
      </c>
      <c r="E767" s="15" t="str">
        <f>IF(ISBLANK(Raw_Data!E767),AVERAGE(Raw_Data!E$2:E$5002),Raw_Data!E767)</f>
        <v>7218.27</v>
      </c>
      <c r="F767" s="15" t="str">
        <f>IF(ISBLANK(Raw_Data!F767),AVERAGE(Raw_Data!F$2:F$5002),Raw_Data!F767)</f>
        <v>4132.29</v>
      </c>
      <c r="G767" s="14" t="str">
        <f>IF(ISBLANK(Raw_Data!G767),AVERAGE(Raw_Data!G$2:G$5002),Raw_Data!G767)</f>
        <v>1010.57</v>
      </c>
      <c r="H767" s="15" t="str">
        <f t="shared" si="1"/>
        <v>35411.00</v>
      </c>
      <c r="I767" s="14" t="str">
        <f t="shared" si="2"/>
        <v>34400.00</v>
      </c>
      <c r="J767" s="16" t="str">
        <f>TEXT(Raw_Data!J767,"MMM-YYY")</f>
        <v>Sep-2025</v>
      </c>
      <c r="K767" s="13" t="str">
        <f>Raw_Data!K767</f>
        <v>14</v>
      </c>
      <c r="L767" s="17" t="str">
        <f>Raw_Data!L767</f>
        <v>Hyderabad-South</v>
      </c>
      <c r="M767" s="13" t="str">
        <f t="shared" si="3"/>
        <v>OK</v>
      </c>
      <c r="N767" s="18" t="str">
        <f t="shared" si="4"/>
        <v>VALID</v>
      </c>
    </row>
    <row r="768" ht="15.75" customHeight="1">
      <c r="A768" s="13" t="str">
        <f>Raw_Data!A768</f>
        <v>EMP0807</v>
      </c>
      <c r="B768" s="13" t="str">
        <f>TRIM(CLEAN(Raw_Data!B768))</f>
        <v>Finance</v>
      </c>
      <c r="C768" s="18" t="s">
        <v>33</v>
      </c>
      <c r="D768" s="14" t="str">
        <f>IF(ISBLANK(Raw_Data!D768),AVERAGE(Raw_Data!D$2:D$5002),Raw_Data!D768)</f>
        <v>32335.45</v>
      </c>
      <c r="E768" s="15" t="str">
        <f>IF(ISBLANK(Raw_Data!E768),AVERAGE(Raw_Data!E$2:E$5002),Raw_Data!E768)</f>
        <v>9700.64</v>
      </c>
      <c r="F768" s="15" t="str">
        <f>IF(ISBLANK(Raw_Data!F768),AVERAGE(Raw_Data!F$2:F$5002),Raw_Data!F768)</f>
        <v>4052.40</v>
      </c>
      <c r="G768" s="14" t="str">
        <f>IF(ISBLANK(Raw_Data!G768),AVERAGE(Raw_Data!G$2:G$5002),Raw_Data!G768)</f>
        <v>7056.49</v>
      </c>
      <c r="H768" s="15" t="str">
        <f t="shared" si="1"/>
        <v>46088.00</v>
      </c>
      <c r="I768" s="14" t="str">
        <f t="shared" si="2"/>
        <v>39032.00</v>
      </c>
      <c r="J768" s="16" t="str">
        <f>TEXT(Raw_Data!J768,"MMM-YYY")</f>
        <v>Jan-2025</v>
      </c>
      <c r="K768" s="13" t="str">
        <f>Raw_Data!K768</f>
        <v>16</v>
      </c>
      <c r="L768" s="17" t="str">
        <f>Raw_Data!L768</f>
        <v>Chandigarh-North</v>
      </c>
      <c r="M768" s="13" t="str">
        <f t="shared" si="3"/>
        <v>OK</v>
      </c>
      <c r="N768" s="18" t="str">
        <f t="shared" si="4"/>
        <v>VALID</v>
      </c>
    </row>
    <row r="769" ht="15.75" customHeight="1">
      <c r="A769" s="13" t="str">
        <f>Raw_Data!A769</f>
        <v>EMP0808</v>
      </c>
      <c r="B769" s="13" t="str">
        <f>TRIM(CLEAN(Raw_Data!B769))</f>
        <v>Customer Support</v>
      </c>
      <c r="C769" s="18" t="s">
        <v>37</v>
      </c>
      <c r="D769" s="14" t="str">
        <f>IF(ISBLANK(Raw_Data!D769),AVERAGE(Raw_Data!D$2:D$5002),Raw_Data!D769)</f>
        <v>56369.28</v>
      </c>
      <c r="E769" s="15" t="str">
        <f>IF(ISBLANK(Raw_Data!E769),AVERAGE(Raw_Data!E$2:E$5002),Raw_Data!E769)</f>
        <v>16910.78</v>
      </c>
      <c r="F769" s="15" t="str">
        <f>IF(ISBLANK(Raw_Data!F769),AVERAGE(Raw_Data!F$2:F$5002),Raw_Data!F769)</f>
        <v>9161.61</v>
      </c>
      <c r="G769" s="14" t="str">
        <f>IF(ISBLANK(Raw_Data!G769),AVERAGE(Raw_Data!G$2:G$5002),Raw_Data!G769)</f>
        <v>9789.67</v>
      </c>
      <c r="H769" s="15" t="str">
        <f t="shared" si="1"/>
        <v>82442.00</v>
      </c>
      <c r="I769" s="14" t="str">
        <f t="shared" si="2"/>
        <v>72652.00</v>
      </c>
      <c r="J769" s="16" t="str">
        <f>TEXT(Raw_Data!J769,"MMM-YYY")</f>
        <v>Oct-2025</v>
      </c>
      <c r="K769" s="13" t="str">
        <f>Raw_Data!K769</f>
        <v>14</v>
      </c>
      <c r="L769" s="17" t="str">
        <f>Raw_Data!L769</f>
        <v>Ahmedabad-West</v>
      </c>
      <c r="M769" s="13" t="str">
        <f t="shared" si="3"/>
        <v>OK</v>
      </c>
      <c r="N769" s="18" t="str">
        <f t="shared" si="4"/>
        <v>VALID</v>
      </c>
    </row>
    <row r="770" ht="15.75" customHeight="1">
      <c r="A770" s="13" t="str">
        <f>Raw_Data!A770</f>
        <v>EMP0809</v>
      </c>
      <c r="B770" s="13" t="str">
        <f>TRIM(CLEAN(Raw_Data!B770))</f>
        <v>Finance</v>
      </c>
      <c r="C770" s="18" t="s">
        <v>14</v>
      </c>
      <c r="D770" s="14" t="str">
        <f>IF(ISBLANK(Raw_Data!D770),AVERAGE(Raw_Data!D$2:D$5002),Raw_Data!D770)</f>
        <v>21971.48</v>
      </c>
      <c r="E770" s="15" t="str">
        <f>IF(ISBLANK(Raw_Data!E770),AVERAGE(Raw_Data!E$2:E$5002),Raw_Data!E770)</f>
        <v>6591.44</v>
      </c>
      <c r="F770" s="15" t="str">
        <f>IF(ISBLANK(Raw_Data!F770),AVERAGE(Raw_Data!F$2:F$5002),Raw_Data!F770)</f>
        <v>2388.17</v>
      </c>
      <c r="G770" s="14" t="str">
        <f>IF(ISBLANK(Raw_Data!G770),AVERAGE(Raw_Data!G$2:G$5002),Raw_Data!G770)</f>
        <v>6583.06</v>
      </c>
      <c r="H770" s="15" t="str">
        <f t="shared" si="1"/>
        <v>30951.00</v>
      </c>
      <c r="I770" s="14" t="str">
        <f t="shared" si="2"/>
        <v>24368.00</v>
      </c>
      <c r="J770" s="16" t="str">
        <f>TEXT(Raw_Data!J770,"MMM-YYY")</f>
        <v>Aug-2025</v>
      </c>
      <c r="K770" s="13" t="str">
        <f>Raw_Data!K770</f>
        <v>8</v>
      </c>
      <c r="L770" s="17" t="str">
        <f>Raw_Data!L770</f>
        <v>Jaipur-North</v>
      </c>
      <c r="M770" s="13" t="str">
        <f t="shared" si="3"/>
        <v>OK</v>
      </c>
      <c r="N770" s="18" t="str">
        <f t="shared" si="4"/>
        <v>VALID</v>
      </c>
    </row>
    <row r="771" ht="15.75" customHeight="1">
      <c r="A771" s="13" t="str">
        <f>Raw_Data!A771</f>
        <v>EMP0810</v>
      </c>
      <c r="B771" s="13" t="str">
        <f>TRIM(CLEAN(Raw_Data!B771))</f>
        <v>Sales</v>
      </c>
      <c r="C771" s="18" t="s">
        <v>26</v>
      </c>
      <c r="D771" s="14" t="str">
        <f>IF(ISBLANK(Raw_Data!D771),AVERAGE(Raw_Data!D$2:D$5002),Raw_Data!D771)</f>
        <v>95350.79</v>
      </c>
      <c r="E771" s="15" t="str">
        <f>IF(ISBLANK(Raw_Data!E771),AVERAGE(Raw_Data!E$2:E$5002),Raw_Data!E771)</f>
        <v>28605.24</v>
      </c>
      <c r="F771" s="15" t="str">
        <f>IF(ISBLANK(Raw_Data!F771),AVERAGE(Raw_Data!F$2:F$5002),Raw_Data!F771)</f>
        <v>7485.01</v>
      </c>
      <c r="G771" s="14" t="str">
        <f>IF(ISBLANK(Raw_Data!G771),AVERAGE(Raw_Data!G$2:G$5002),Raw_Data!G771)</f>
        <v>25499.78</v>
      </c>
      <c r="H771" s="15" t="str">
        <f t="shared" si="1"/>
        <v>131441.00</v>
      </c>
      <c r="I771" s="14" t="str">
        <f t="shared" si="2"/>
        <v>105941.00</v>
      </c>
      <c r="J771" s="16" t="str">
        <f>TEXT(Raw_Data!J771,"MMM-YYY")</f>
        <v>Oct-2025</v>
      </c>
      <c r="K771" s="13" t="str">
        <f>Raw_Data!K771</f>
        <v>3</v>
      </c>
      <c r="L771" s="17" t="str">
        <f>Raw_Data!L771</f>
        <v>Mumbai-HO</v>
      </c>
      <c r="M771" s="13" t="str">
        <f t="shared" si="3"/>
        <v>OK</v>
      </c>
      <c r="N771" s="18" t="str">
        <f t="shared" si="4"/>
        <v>VALID</v>
      </c>
    </row>
    <row r="772" ht="15.75" customHeight="1">
      <c r="A772" s="13" t="str">
        <f>Raw_Data!A772</f>
        <v>EMP0811</v>
      </c>
      <c r="B772" s="13" t="str">
        <f>TRIM(CLEAN(Raw_Data!B772))</f>
        <v>Sales</v>
      </c>
      <c r="C772" s="18" t="s">
        <v>26</v>
      </c>
      <c r="D772" s="14" t="str">
        <f>IF(ISBLANK(Raw_Data!D772),AVERAGE(Raw_Data!D$2:D$5002),Raw_Data!D772)</f>
        <v>100475.97</v>
      </c>
      <c r="E772" s="15" t="str">
        <f>IF(ISBLANK(Raw_Data!E772),AVERAGE(Raw_Data!E$2:E$5002),Raw_Data!E772)</f>
        <v>30142.79</v>
      </c>
      <c r="F772" s="15" t="str">
        <f>IF(ISBLANK(Raw_Data!F772),AVERAGE(Raw_Data!F$2:F$5002),Raw_Data!F772)</f>
        <v>9338.26</v>
      </c>
      <c r="G772" s="14" t="str">
        <f>IF(ISBLANK(Raw_Data!G772),AVERAGE(Raw_Data!G$2:G$5002),Raw_Data!G772)</f>
        <v>15385.24</v>
      </c>
      <c r="H772" s="15" t="str">
        <f t="shared" si="1"/>
        <v>139957.00</v>
      </c>
      <c r="I772" s="14" t="str">
        <f t="shared" si="2"/>
        <v>124572.00</v>
      </c>
      <c r="J772" s="16" t="str">
        <f>TEXT(Raw_Data!J772,"MMM-YYY")</f>
        <v>Jul-2025</v>
      </c>
      <c r="K772" s="13" t="str">
        <f>Raw_Data!K772</f>
        <v>8</v>
      </c>
      <c r="L772" s="17" t="str">
        <f>Raw_Data!L772</f>
        <v>Delhi-North</v>
      </c>
      <c r="M772" s="13" t="str">
        <f t="shared" si="3"/>
        <v>OK</v>
      </c>
      <c r="N772" s="18" t="str">
        <f t="shared" si="4"/>
        <v>VALID</v>
      </c>
    </row>
    <row r="773" ht="15.75" customHeight="1">
      <c r="A773" s="13" t="str">
        <f>Raw_Data!A773</f>
        <v>EMP0812</v>
      </c>
      <c r="B773" s="13" t="str">
        <f>TRIM(CLEAN(Raw_Data!B773))</f>
        <v>IT</v>
      </c>
      <c r="C773" s="18" t="s">
        <v>37</v>
      </c>
      <c r="D773" s="14" t="str">
        <f>IF(ISBLANK(Raw_Data!D773),AVERAGE(Raw_Data!D$2:D$5002),Raw_Data!D773)</f>
        <v>45190.65</v>
      </c>
      <c r="E773" s="15" t="str">
        <f>IF(ISBLANK(Raw_Data!E773),AVERAGE(Raw_Data!E$2:E$5002),Raw_Data!E773)</f>
        <v>13557.19</v>
      </c>
      <c r="F773" s="15" t="str">
        <f>IF(ISBLANK(Raw_Data!F773),AVERAGE(Raw_Data!F$2:F$5002),Raw_Data!F773)</f>
        <v>2159.04</v>
      </c>
      <c r="G773" s="14" t="str">
        <f>IF(ISBLANK(Raw_Data!G773),AVERAGE(Raw_Data!G$2:G$5002),Raw_Data!G773)</f>
        <v>13069.14</v>
      </c>
      <c r="H773" s="15" t="str">
        <f t="shared" si="1"/>
        <v>60907.00</v>
      </c>
      <c r="I773" s="14" t="str">
        <f t="shared" si="2"/>
        <v>47838.00</v>
      </c>
      <c r="J773" s="16" t="str">
        <f>TEXT(Raw_Data!J773,"MMM-YYY")</f>
        <v>Oct-2025</v>
      </c>
      <c r="K773" s="13" t="str">
        <f>Raw_Data!K773</f>
        <v>20</v>
      </c>
      <c r="L773" s="17" t="str">
        <f>Raw_Data!L773</f>
        <v>Bangalore-South</v>
      </c>
      <c r="M773" s="13" t="str">
        <f t="shared" si="3"/>
        <v>OK</v>
      </c>
      <c r="N773" s="18" t="str">
        <f t="shared" si="4"/>
        <v>VALID</v>
      </c>
    </row>
    <row r="774" ht="15.75" customHeight="1">
      <c r="A774" s="13" t="str">
        <f>Raw_Data!A774</f>
        <v>EMP0813</v>
      </c>
      <c r="B774" s="13" t="str">
        <f>TRIM(CLEAN(Raw_Data!B774))</f>
        <v>Sales</v>
      </c>
      <c r="C774" s="18" t="s">
        <v>30</v>
      </c>
      <c r="D774" s="14" t="str">
        <f>IF(ISBLANK(Raw_Data!D774),AVERAGE(Raw_Data!D$2:D$5002),Raw_Data!D774)</f>
        <v>28663.41</v>
      </c>
      <c r="E774" s="15" t="str">
        <f>IF(ISBLANK(Raw_Data!E774),AVERAGE(Raw_Data!E$2:E$5002),Raw_Data!E774)</f>
        <v>8599.02</v>
      </c>
      <c r="F774" s="15" t="str">
        <f>IF(ISBLANK(Raw_Data!F774),AVERAGE(Raw_Data!F$2:F$5002),Raw_Data!F774)</f>
        <v>804.70</v>
      </c>
      <c r="G774" s="14" t="str">
        <f>IF(ISBLANK(Raw_Data!G774),AVERAGE(Raw_Data!G$2:G$5002),Raw_Data!G774)</f>
        <v>1369.16</v>
      </c>
      <c r="H774" s="15" t="str">
        <f t="shared" si="1"/>
        <v>38067.00</v>
      </c>
      <c r="I774" s="14" t="str">
        <f t="shared" si="2"/>
        <v>36698.00</v>
      </c>
      <c r="J774" s="16" t="str">
        <f>TEXT(Raw_Data!J774,"MMM-YYY")</f>
        <v>Oct-2025</v>
      </c>
      <c r="K774" s="13" t="str">
        <f>Raw_Data!K774</f>
        <v>1</v>
      </c>
      <c r="L774" s="17" t="str">
        <f>Raw_Data!L774</f>
        <v>Chennai-South</v>
      </c>
      <c r="M774" s="13" t="str">
        <f t="shared" si="3"/>
        <v>OK</v>
      </c>
      <c r="N774" s="18" t="str">
        <f t="shared" si="4"/>
        <v>VALID</v>
      </c>
    </row>
    <row r="775" ht="15.75" customHeight="1">
      <c r="A775" s="13" t="str">
        <f>Raw_Data!A775</f>
        <v>EMP0814</v>
      </c>
      <c r="B775" s="13" t="str">
        <f>TRIM(CLEAN(Raw_Data!B775))</f>
        <v>Operations</v>
      </c>
      <c r="C775" s="18" t="s">
        <v>18</v>
      </c>
      <c r="D775" s="14" t="str">
        <f>IF(ISBLANK(Raw_Data!D775),AVERAGE(Raw_Data!D$2:D$5002),Raw_Data!D775)</f>
        <v>87677.07</v>
      </c>
      <c r="E775" s="15" t="str">
        <f>IF(ISBLANK(Raw_Data!E775),AVERAGE(Raw_Data!E$2:E$5002),Raw_Data!E775)</f>
        <v>26303.12</v>
      </c>
      <c r="F775" s="15" t="str">
        <f>IF(ISBLANK(Raw_Data!F775),AVERAGE(Raw_Data!F$2:F$5002),Raw_Data!F775)</f>
        <v>2563.66</v>
      </c>
      <c r="G775" s="14" t="str">
        <f>IF(ISBLANK(Raw_Data!G775),AVERAGE(Raw_Data!G$2:G$5002),Raw_Data!G775)</f>
        <v>19254.00</v>
      </c>
      <c r="H775" s="15" t="str">
        <f t="shared" si="1"/>
        <v>116544.00</v>
      </c>
      <c r="I775" s="14" t="str">
        <f t="shared" si="2"/>
        <v>97290.00</v>
      </c>
      <c r="J775" s="16" t="str">
        <f>TEXT(Raw_Data!J775,"MMM-YYY")</f>
        <v>Jun-2025</v>
      </c>
      <c r="K775" s="13" t="str">
        <f>Raw_Data!K775</f>
        <v>17</v>
      </c>
      <c r="L775" s="17" t="str">
        <f>Raw_Data!L775</f>
        <v>Kolkata-East</v>
      </c>
      <c r="M775" s="13" t="str">
        <f t="shared" si="3"/>
        <v>OK</v>
      </c>
      <c r="N775" s="18" t="str">
        <f t="shared" si="4"/>
        <v>VALID</v>
      </c>
    </row>
    <row r="776" ht="15.75" customHeight="1">
      <c r="A776" s="13" t="str">
        <f>Raw_Data!A776</f>
        <v>EMP0815</v>
      </c>
      <c r="B776" s="13" t="str">
        <f>TRIM(CLEAN(Raw_Data!B776))</f>
        <v>HR</v>
      </c>
      <c r="C776" s="18" t="s">
        <v>30</v>
      </c>
      <c r="D776" s="14" t="str">
        <f>IF(ISBLANK(Raw_Data!D776),AVERAGE(Raw_Data!D$2:D$5002),Raw_Data!D776)</f>
        <v>28700.96</v>
      </c>
      <c r="E776" s="15" t="str">
        <f>IF(ISBLANK(Raw_Data!E776),AVERAGE(Raw_Data!E$2:E$5002),Raw_Data!E776)</f>
        <v>8610.29</v>
      </c>
      <c r="F776" s="15" t="str">
        <f>IF(ISBLANK(Raw_Data!F776),AVERAGE(Raw_Data!F$2:F$5002),Raw_Data!F776)</f>
        <v>1330.29</v>
      </c>
      <c r="G776" s="14" t="str">
        <f>IF(ISBLANK(Raw_Data!G776),AVERAGE(Raw_Data!G$2:G$5002),Raw_Data!G776)</f>
        <v>2276.19</v>
      </c>
      <c r="H776" s="15" t="str">
        <f t="shared" si="1"/>
        <v>38642.00</v>
      </c>
      <c r="I776" s="14" t="str">
        <f t="shared" si="2"/>
        <v>36366.00</v>
      </c>
      <c r="J776" s="16" t="str">
        <f>TEXT(Raw_Data!J776,"MMM-YYY")</f>
        <v>Apr-2025</v>
      </c>
      <c r="K776" s="13" t="str">
        <f>Raw_Data!K776</f>
        <v>8</v>
      </c>
      <c r="L776" s="17" t="str">
        <f>Raw_Data!L776</f>
        <v>Pune-West</v>
      </c>
      <c r="M776" s="13" t="str">
        <f t="shared" si="3"/>
        <v>OK</v>
      </c>
      <c r="N776" s="18" t="str">
        <f t="shared" si="4"/>
        <v>VALID</v>
      </c>
    </row>
    <row r="777" ht="15.75" customHeight="1">
      <c r="A777" s="13" t="str">
        <f>Raw_Data!A777</f>
        <v>EMP0816</v>
      </c>
      <c r="B777" s="13" t="str">
        <f>TRIM(CLEAN(Raw_Data!B777))</f>
        <v>HR</v>
      </c>
      <c r="C777" s="18" t="s">
        <v>18</v>
      </c>
      <c r="D777" s="14" t="str">
        <f>IF(ISBLANK(Raw_Data!D777),AVERAGE(Raw_Data!D$2:D$5002),Raw_Data!D777)</f>
        <v>70376.13</v>
      </c>
      <c r="E777" s="15" t="str">
        <f>IF(ISBLANK(Raw_Data!E777),AVERAGE(Raw_Data!E$2:E$5002),Raw_Data!E777)</f>
        <v>21112.84</v>
      </c>
      <c r="F777" s="15" t="str">
        <f>IF(ISBLANK(Raw_Data!F777),AVERAGE(Raw_Data!F$2:F$5002),Raw_Data!F777)</f>
        <v>12776.45</v>
      </c>
      <c r="G777" s="14" t="str">
        <f>IF(ISBLANK(Raw_Data!G777),AVERAGE(Raw_Data!G$2:G$5002),Raw_Data!G777)</f>
        <v>7627.04</v>
      </c>
      <c r="H777" s="15" t="str">
        <f t="shared" si="1"/>
        <v>104265.00</v>
      </c>
      <c r="I777" s="14" t="str">
        <f t="shared" si="2"/>
        <v>96638.00</v>
      </c>
      <c r="J777" s="16" t="str">
        <f>TEXT(Raw_Data!J777,"MMM-YYY")</f>
        <v>Aug-2025</v>
      </c>
      <c r="K777" s="13" t="str">
        <f>Raw_Data!K777</f>
        <v>1</v>
      </c>
      <c r="L777" s="17" t="str">
        <f>Raw_Data!L777</f>
        <v>Hyderabad-South</v>
      </c>
      <c r="M777" s="13" t="str">
        <f t="shared" si="3"/>
        <v>OK</v>
      </c>
      <c r="N777" s="18" t="str">
        <f t="shared" si="4"/>
        <v>VALID</v>
      </c>
    </row>
    <row r="778" ht="15.75" customHeight="1">
      <c r="A778" s="13" t="str">
        <f>Raw_Data!A778</f>
        <v>EMP0817</v>
      </c>
      <c r="B778" s="13" t="str">
        <f>TRIM(CLEAN(Raw_Data!B778))</f>
        <v>Marketing</v>
      </c>
      <c r="C778" s="18" t="s">
        <v>14</v>
      </c>
      <c r="D778" s="14" t="str">
        <f>IF(ISBLANK(Raw_Data!D778),AVERAGE(Raw_Data!D$2:D$5002),Raw_Data!D778)</f>
        <v>18287.31</v>
      </c>
      <c r="E778" s="15" t="str">
        <f>IF(ISBLANK(Raw_Data!E778),AVERAGE(Raw_Data!E$2:E$5002),Raw_Data!E778)</f>
        <v>5486.19</v>
      </c>
      <c r="F778" s="15" t="str">
        <f>IF(ISBLANK(Raw_Data!F778),AVERAGE(Raw_Data!F$2:F$5002),Raw_Data!F778)</f>
        <v>2371.95</v>
      </c>
      <c r="G778" s="14" t="str">
        <f>IF(ISBLANK(Raw_Data!G778),AVERAGE(Raw_Data!G$2:G$5002),Raw_Data!G778)</f>
        <v>566.31</v>
      </c>
      <c r="H778" s="15" t="str">
        <f t="shared" si="1"/>
        <v>26145.00</v>
      </c>
      <c r="I778" s="14" t="str">
        <f t="shared" si="2"/>
        <v>25579.00</v>
      </c>
      <c r="J778" s="16" t="str">
        <f>TEXT(Raw_Data!J778,"MMM-YYY")</f>
        <v>Sep-2025</v>
      </c>
      <c r="K778" s="13" t="str">
        <f>Raw_Data!K778</f>
        <v>9</v>
      </c>
      <c r="L778" s="17" t="str">
        <f>Raw_Data!L778</f>
        <v>Chandigarh-North</v>
      </c>
      <c r="M778" s="13" t="str">
        <f t="shared" si="3"/>
        <v>OK</v>
      </c>
      <c r="N778" s="18" t="str">
        <f t="shared" si="4"/>
        <v>VALID</v>
      </c>
    </row>
    <row r="779" ht="15.75" customHeight="1">
      <c r="A779" s="13" t="str">
        <f>Raw_Data!A779</f>
        <v>EMP0818</v>
      </c>
      <c r="B779" s="13" t="str">
        <f>TRIM(CLEAN(Raw_Data!B779))</f>
        <v>Sales</v>
      </c>
      <c r="C779" s="18" t="s">
        <v>26</v>
      </c>
      <c r="D779" s="14" t="str">
        <f>IF(ISBLANK(Raw_Data!D779),AVERAGE(Raw_Data!D$2:D$5002),Raw_Data!D779)</f>
        <v>99845.83</v>
      </c>
      <c r="E779" s="15" t="str">
        <f>IF(ISBLANK(Raw_Data!E779),AVERAGE(Raw_Data!E$2:E$5002),Raw_Data!E779)</f>
        <v>29953.75</v>
      </c>
      <c r="F779" s="15" t="str">
        <f>IF(ISBLANK(Raw_Data!F779),AVERAGE(Raw_Data!F$2:F$5002),Raw_Data!F779)</f>
        <v>14815.32</v>
      </c>
      <c r="G779" s="14" t="str">
        <f>IF(ISBLANK(Raw_Data!G779),AVERAGE(Raw_Data!G$2:G$5002),Raw_Data!G779)</f>
        <v>17332.18</v>
      </c>
      <c r="H779" s="15" t="str">
        <f t="shared" si="1"/>
        <v>144615.00</v>
      </c>
      <c r="I779" s="14" t="str">
        <f t="shared" si="2"/>
        <v>127283.00</v>
      </c>
      <c r="J779" s="16" t="str">
        <f>TEXT(Raw_Data!J779,"MMM-YYY")</f>
        <v>Oct-2025</v>
      </c>
      <c r="K779" s="13" t="str">
        <f>Raw_Data!K779</f>
        <v>18</v>
      </c>
      <c r="L779" s="17" t="str">
        <f>Raw_Data!L779</f>
        <v>Ahmedabad-West</v>
      </c>
      <c r="M779" s="13" t="str">
        <f t="shared" si="3"/>
        <v>OK</v>
      </c>
      <c r="N779" s="18" t="str">
        <f t="shared" si="4"/>
        <v>VALID</v>
      </c>
    </row>
    <row r="780" ht="15.75" customHeight="1">
      <c r="A780" s="13" t="str">
        <f>Raw_Data!A780</f>
        <v>EMP0819</v>
      </c>
      <c r="B780" s="13" t="str">
        <f>TRIM(CLEAN(Raw_Data!B780))</f>
        <v>Finance</v>
      </c>
      <c r="C780" s="18" t="s">
        <v>54</v>
      </c>
      <c r="D780" s="14" t="str">
        <f>IF(ISBLANK(Raw_Data!D780),AVERAGE(Raw_Data!D$2:D$5002),Raw_Data!D780)</f>
        <v>44151.45</v>
      </c>
      <c r="E780" s="15" t="str">
        <f>IF(ISBLANK(Raw_Data!E780),AVERAGE(Raw_Data!E$2:E$5002),Raw_Data!E780)</f>
        <v>13245.43</v>
      </c>
      <c r="F780" s="15" t="str">
        <f>IF(ISBLANK(Raw_Data!F780),AVERAGE(Raw_Data!F$2:F$5002),Raw_Data!F780)</f>
        <v>3225.68</v>
      </c>
      <c r="G780" s="14" t="str">
        <f>IF(ISBLANK(Raw_Data!G780),AVERAGE(Raw_Data!G$2:G$5002),Raw_Data!G780)</f>
        <v>8653.73</v>
      </c>
      <c r="H780" s="15" t="str">
        <f t="shared" si="1"/>
        <v>60623.00</v>
      </c>
      <c r="I780" s="14" t="str">
        <f t="shared" si="2"/>
        <v>51969.00</v>
      </c>
      <c r="J780" s="16" t="str">
        <f>TEXT(Raw_Data!J780,"MMM-YYY")</f>
        <v>Feb-2025</v>
      </c>
      <c r="K780" s="13" t="str">
        <f>Raw_Data!K780</f>
        <v>10</v>
      </c>
      <c r="L780" s="17" t="str">
        <f>Raw_Data!L780</f>
        <v>Jaipur-North</v>
      </c>
      <c r="M780" s="13" t="str">
        <f t="shared" si="3"/>
        <v>OK</v>
      </c>
      <c r="N780" s="18" t="str">
        <f t="shared" si="4"/>
        <v>VALID</v>
      </c>
    </row>
    <row r="781" ht="15.75" customHeight="1">
      <c r="A781" s="13" t="str">
        <f>Raw_Data!A781</f>
        <v>EMP0822</v>
      </c>
      <c r="B781" s="13" t="str">
        <f>TRIM(CLEAN(Raw_Data!B781))</f>
        <v>Operations</v>
      </c>
      <c r="C781" s="18" t="s">
        <v>30</v>
      </c>
      <c r="D781" s="14" t="str">
        <f>IF(ISBLANK(Raw_Data!D781),AVERAGE(Raw_Data!D$2:D$5002),Raw_Data!D781)</f>
        <v>25871.11</v>
      </c>
      <c r="E781" s="15" t="str">
        <f>IF(ISBLANK(Raw_Data!E781),AVERAGE(Raw_Data!E$2:E$5002),Raw_Data!E781)</f>
        <v>7761.33</v>
      </c>
      <c r="F781" s="15" t="str">
        <f>IF(ISBLANK(Raw_Data!F781),AVERAGE(Raw_Data!F$2:F$5002),Raw_Data!F781)</f>
        <v>1190.02</v>
      </c>
      <c r="G781" s="14" t="str">
        <f>IF(ISBLANK(Raw_Data!G781),AVERAGE(Raw_Data!G$2:G$5002),Raw_Data!G781)</f>
        <v>3993.53</v>
      </c>
      <c r="H781" s="15" t="str">
        <f t="shared" si="1"/>
        <v>34822.00</v>
      </c>
      <c r="I781" s="14" t="str">
        <f t="shared" si="2"/>
        <v>30828.00</v>
      </c>
      <c r="J781" s="16" t="str">
        <f>TEXT(Raw_Data!J781,"MMM-YYY")</f>
        <v>May-2025</v>
      </c>
      <c r="K781" s="13" t="str">
        <f>Raw_Data!K781</f>
        <v>3</v>
      </c>
      <c r="L781" s="17" t="str">
        <f>Raw_Data!L781</f>
        <v>Bangalore-South</v>
      </c>
      <c r="M781" s="13" t="str">
        <f t="shared" si="3"/>
        <v>OK</v>
      </c>
      <c r="N781" s="18" t="str">
        <f t="shared" si="4"/>
        <v>VALID</v>
      </c>
    </row>
    <row r="782" ht="15.75" customHeight="1">
      <c r="A782" s="13" t="str">
        <f>Raw_Data!A782</f>
        <v>EMP0823</v>
      </c>
      <c r="B782" s="13" t="str">
        <f>TRIM(CLEAN(Raw_Data!B782))</f>
        <v>Finance</v>
      </c>
      <c r="C782" s="18" t="s">
        <v>30</v>
      </c>
      <c r="D782" s="14" t="str">
        <f>IF(ISBLANK(Raw_Data!D782),AVERAGE(Raw_Data!D$2:D$5002),Raw_Data!D782)</f>
        <v>23644.77</v>
      </c>
      <c r="E782" s="15" t="str">
        <f>IF(ISBLANK(Raw_Data!E782),AVERAGE(Raw_Data!E$2:E$5002),Raw_Data!E782)</f>
        <v>7093.43</v>
      </c>
      <c r="F782" s="15" t="str">
        <f>IF(ISBLANK(Raw_Data!F782),AVERAGE(Raw_Data!F$2:F$5002),Raw_Data!F782)</f>
        <v>1712.94</v>
      </c>
      <c r="G782" s="14" t="str">
        <f>IF(ISBLANK(Raw_Data!G782),AVERAGE(Raw_Data!G$2:G$5002),Raw_Data!G782)</f>
        <v>5088.14</v>
      </c>
      <c r="H782" s="15" t="str">
        <f t="shared" si="1"/>
        <v>32451.00</v>
      </c>
      <c r="I782" s="14" t="str">
        <f t="shared" si="2"/>
        <v>27363.00</v>
      </c>
      <c r="J782" s="16" t="str">
        <f>TEXT(Raw_Data!J782,"MMM-YYY")</f>
        <v>Feb-2025</v>
      </c>
      <c r="K782" s="13" t="str">
        <f>Raw_Data!K782</f>
        <v>14</v>
      </c>
      <c r="L782" s="17" t="str">
        <f>Raw_Data!L782</f>
        <v>Chennai-South</v>
      </c>
      <c r="M782" s="13" t="str">
        <f t="shared" si="3"/>
        <v>OK</v>
      </c>
      <c r="N782" s="18" t="str">
        <f t="shared" si="4"/>
        <v>VALID</v>
      </c>
    </row>
    <row r="783" ht="15.75" customHeight="1">
      <c r="A783" s="13" t="str">
        <f>Raw_Data!A783</f>
        <v>EMP0824</v>
      </c>
      <c r="B783" s="13" t="str">
        <f>TRIM(CLEAN(Raw_Data!B783))</f>
        <v>Sales</v>
      </c>
      <c r="C783" s="18" t="s">
        <v>30</v>
      </c>
      <c r="D783" s="14" t="str">
        <f>IF(ISBLANK(Raw_Data!D783),AVERAGE(Raw_Data!D$2:D$5002),Raw_Data!D783)</f>
        <v>25648.60</v>
      </c>
      <c r="E783" s="15" t="str">
        <f>IF(ISBLANK(Raw_Data!E783),AVERAGE(Raw_Data!E$2:E$5002),Raw_Data!E783)</f>
        <v>7694.58</v>
      </c>
      <c r="F783" s="15" t="str">
        <f>IF(ISBLANK(Raw_Data!F783),AVERAGE(Raw_Data!F$2:F$5002),Raw_Data!F783)</f>
        <v>1693.96</v>
      </c>
      <c r="G783" s="14" t="str">
        <f>IF(ISBLANK(Raw_Data!G783),AVERAGE(Raw_Data!G$2:G$5002),Raw_Data!G783)</f>
        <v>872.09</v>
      </c>
      <c r="H783" s="15" t="str">
        <f t="shared" si="1"/>
        <v>35037.00</v>
      </c>
      <c r="I783" s="14" t="str">
        <f t="shared" si="2"/>
        <v>34165.00</v>
      </c>
      <c r="J783" s="16" t="str">
        <f>TEXT(Raw_Data!J783,"MMM-YYY")</f>
        <v>Nov-2025</v>
      </c>
      <c r="K783" s="13" t="str">
        <f>Raw_Data!K783</f>
        <v>5</v>
      </c>
      <c r="L783" s="17" t="str">
        <f>Raw_Data!L783</f>
        <v>Kolkata-East</v>
      </c>
      <c r="M783" s="13" t="str">
        <f t="shared" si="3"/>
        <v>OK</v>
      </c>
      <c r="N783" s="18" t="str">
        <f t="shared" si="4"/>
        <v>VALID</v>
      </c>
    </row>
    <row r="784" ht="15.75" customHeight="1">
      <c r="A784" s="13" t="str">
        <f>Raw_Data!A784</f>
        <v>EMP0825</v>
      </c>
      <c r="B784" s="13" t="str">
        <f>TRIM(CLEAN(Raw_Data!B784))</f>
        <v>Marketing</v>
      </c>
      <c r="C784" s="18" t="s">
        <v>54</v>
      </c>
      <c r="D784" s="14" t="str">
        <f>IF(ISBLANK(Raw_Data!D784),AVERAGE(Raw_Data!D$2:D$5002),Raw_Data!D784)</f>
        <v>37949.86</v>
      </c>
      <c r="E784" s="15" t="str">
        <f>IF(ISBLANK(Raw_Data!E784),AVERAGE(Raw_Data!E$2:E$5002),Raw_Data!E784)</f>
        <v>11384.96</v>
      </c>
      <c r="F784" s="15" t="str">
        <f>IF(ISBLANK(Raw_Data!F784),AVERAGE(Raw_Data!F$2:F$5002),Raw_Data!F784)</f>
        <v>1223.85</v>
      </c>
      <c r="G784" s="14" t="str">
        <f>IF(ISBLANK(Raw_Data!G784),AVERAGE(Raw_Data!G$2:G$5002),Raw_Data!G784)</f>
        <v>9487.83</v>
      </c>
      <c r="H784" s="15" t="str">
        <f t="shared" si="1"/>
        <v>50559.00</v>
      </c>
      <c r="I784" s="14" t="str">
        <f t="shared" si="2"/>
        <v>41071.00</v>
      </c>
      <c r="J784" s="16" t="str">
        <f>TEXT(Raw_Data!J784,"MMM-YYY")</f>
        <v>Jan-2025</v>
      </c>
      <c r="K784" s="13" t="str">
        <f>Raw_Data!K784</f>
        <v>22</v>
      </c>
      <c r="L784" s="17" t="str">
        <f>Raw_Data!L784</f>
        <v>Pune-West</v>
      </c>
      <c r="M784" s="13" t="str">
        <f t="shared" si="3"/>
        <v>OK</v>
      </c>
      <c r="N784" s="18" t="str">
        <f t="shared" si="4"/>
        <v>VALID</v>
      </c>
    </row>
    <row r="785" ht="15.75" customHeight="1">
      <c r="A785" s="13" t="str">
        <f>Raw_Data!A785</f>
        <v>EMP0826</v>
      </c>
      <c r="B785" s="13" t="str">
        <f>TRIM(CLEAN(Raw_Data!B785))</f>
        <v>Finance</v>
      </c>
      <c r="C785" s="18" t="s">
        <v>14</v>
      </c>
      <c r="D785" s="14" t="str">
        <f>IF(ISBLANK(Raw_Data!D785),AVERAGE(Raw_Data!D$2:D$5002),Raw_Data!D785)</f>
        <v>18920.77</v>
      </c>
      <c r="E785" s="15" t="str">
        <f>IF(ISBLANK(Raw_Data!E785),AVERAGE(Raw_Data!E$2:E$5002),Raw_Data!E785)</f>
        <v>5676.23</v>
      </c>
      <c r="F785" s="15" t="str">
        <f>IF(ISBLANK(Raw_Data!F785),AVERAGE(Raw_Data!F$2:F$5002),Raw_Data!F785)</f>
        <v>2241.53</v>
      </c>
      <c r="G785" s="14" t="str">
        <f>IF(ISBLANK(Raw_Data!G785),AVERAGE(Raw_Data!G$2:G$5002),Raw_Data!G785)</f>
        <v>764.72</v>
      </c>
      <c r="H785" s="15" t="str">
        <f t="shared" si="1"/>
        <v>26839.00</v>
      </c>
      <c r="I785" s="14" t="str">
        <f t="shared" si="2"/>
        <v>26074.00</v>
      </c>
      <c r="J785" s="16" t="str">
        <f>TEXT(Raw_Data!J785,"MMM-YYY")</f>
        <v>Sep-2025</v>
      </c>
      <c r="K785" s="13" t="str">
        <f>Raw_Data!K785</f>
        <v>20</v>
      </c>
      <c r="L785" s="17" t="str">
        <f>Raw_Data!L785</f>
        <v>Hyderabad-South</v>
      </c>
      <c r="M785" s="13" t="str">
        <f t="shared" si="3"/>
        <v>OK</v>
      </c>
      <c r="N785" s="18" t="str">
        <f t="shared" si="4"/>
        <v>VALID</v>
      </c>
    </row>
    <row r="786" ht="15.75" customHeight="1">
      <c r="A786" s="13" t="str">
        <f>Raw_Data!A786</f>
        <v>EMP0827</v>
      </c>
      <c r="B786" s="13" t="str">
        <f>TRIM(CLEAN(Raw_Data!B786))</f>
        <v>HR</v>
      </c>
      <c r="C786" s="18" t="s">
        <v>37</v>
      </c>
      <c r="D786" s="14" t="str">
        <f>IF(ISBLANK(Raw_Data!D786),AVERAGE(Raw_Data!D$2:D$5002),Raw_Data!D786)</f>
        <v>47643.57</v>
      </c>
      <c r="E786" s="15" t="str">
        <f>IF(ISBLANK(Raw_Data!E786),AVERAGE(Raw_Data!E$2:E$5002),Raw_Data!E786)</f>
        <v>14293.07</v>
      </c>
      <c r="F786" s="15" t="str">
        <f>IF(ISBLANK(Raw_Data!F786),AVERAGE(Raw_Data!F$2:F$5002),Raw_Data!F786)</f>
        <v>1585.02</v>
      </c>
      <c r="G786" s="14" t="str">
        <f>IF(ISBLANK(Raw_Data!G786),AVERAGE(Raw_Data!G$2:G$5002),Raw_Data!G786)</f>
        <v>13184.60</v>
      </c>
      <c r="H786" s="15" t="str">
        <f t="shared" si="1"/>
        <v>63522.00</v>
      </c>
      <c r="I786" s="14" t="str">
        <f t="shared" si="2"/>
        <v>50337.00</v>
      </c>
      <c r="J786" s="16" t="str">
        <f>TEXT(Raw_Data!J786,"MMM-YYY")</f>
        <v>Sep-2025</v>
      </c>
      <c r="K786" s="13" t="str">
        <f>Raw_Data!K786</f>
        <v>12</v>
      </c>
      <c r="L786" s="17" t="str">
        <f>Raw_Data!L786</f>
        <v>Chandigarh-North</v>
      </c>
      <c r="M786" s="13" t="str">
        <f t="shared" si="3"/>
        <v>OK</v>
      </c>
      <c r="N786" s="18" t="str">
        <f t="shared" si="4"/>
        <v>VALID</v>
      </c>
    </row>
    <row r="787" ht="15.75" customHeight="1">
      <c r="A787" s="13" t="str">
        <f>Raw_Data!A787</f>
        <v>EMP0828</v>
      </c>
      <c r="B787" s="13" t="str">
        <f>TRIM(CLEAN(Raw_Data!B787))</f>
        <v>Marketing</v>
      </c>
      <c r="C787" s="18" t="s">
        <v>37</v>
      </c>
      <c r="D787" s="14" t="str">
        <f>IF(ISBLANK(Raw_Data!D787),AVERAGE(Raw_Data!D$2:D$5002),Raw_Data!D787)</f>
        <v>62446.39</v>
      </c>
      <c r="E787" s="15" t="str">
        <f>IF(ISBLANK(Raw_Data!E787),AVERAGE(Raw_Data!E$2:E$5002),Raw_Data!E787)</f>
        <v>18733.92</v>
      </c>
      <c r="F787" s="15" t="str">
        <f>IF(ISBLANK(Raw_Data!F787),AVERAGE(Raw_Data!F$2:F$5002),Raw_Data!F787)</f>
        <v>7963.45</v>
      </c>
      <c r="G787" s="14" t="str">
        <f>IF(ISBLANK(Raw_Data!G787),AVERAGE(Raw_Data!G$2:G$5002),Raw_Data!G787)</f>
        <v>16457.91</v>
      </c>
      <c r="H787" s="15" t="str">
        <f t="shared" si="1"/>
        <v>89144.00</v>
      </c>
      <c r="I787" s="14" t="str">
        <f t="shared" si="2"/>
        <v>72686.00</v>
      </c>
      <c r="J787" s="16" t="str">
        <f>TEXT(Raw_Data!J787,"MMM-YYY")</f>
        <v>Dec-2025</v>
      </c>
      <c r="K787" s="13" t="str">
        <f>Raw_Data!K787</f>
        <v>14</v>
      </c>
      <c r="L787" s="17" t="str">
        <f>Raw_Data!L787</f>
        <v>Ahmedabad-West</v>
      </c>
      <c r="M787" s="13" t="str">
        <f t="shared" si="3"/>
        <v>OK</v>
      </c>
      <c r="N787" s="18" t="str">
        <f t="shared" si="4"/>
        <v>VALID</v>
      </c>
    </row>
    <row r="788" ht="15.75" customHeight="1">
      <c r="A788" s="13" t="str">
        <f>Raw_Data!A788</f>
        <v>EMP0829</v>
      </c>
      <c r="B788" s="13" t="str">
        <f>TRIM(CLEAN(Raw_Data!B788))</f>
        <v>Sales</v>
      </c>
      <c r="C788" s="18" t="s">
        <v>26</v>
      </c>
      <c r="D788" s="14" t="str">
        <f>IF(ISBLANK(Raw_Data!D788),AVERAGE(Raw_Data!D$2:D$5002),Raw_Data!D788)</f>
        <v>100204.37</v>
      </c>
      <c r="E788" s="15" t="str">
        <f>IF(ISBLANK(Raw_Data!E788),AVERAGE(Raw_Data!E$2:E$5002),Raw_Data!E788)</f>
        <v>30061.31</v>
      </c>
      <c r="F788" s="15" t="str">
        <f>IF(ISBLANK(Raw_Data!F788),AVERAGE(Raw_Data!F$2:F$5002),Raw_Data!F788)</f>
        <v>1718.47</v>
      </c>
      <c r="G788" s="14" t="str">
        <f>IF(ISBLANK(Raw_Data!G788),AVERAGE(Raw_Data!G$2:G$5002),Raw_Data!G788)</f>
        <v>13503.64</v>
      </c>
      <c r="H788" s="15" t="str">
        <f t="shared" si="1"/>
        <v>131984.00</v>
      </c>
      <c r="I788" s="14" t="str">
        <f t="shared" si="2"/>
        <v>118480.00</v>
      </c>
      <c r="J788" s="16" t="str">
        <f>TEXT(Raw_Data!J788,"MMM-YYY")</f>
        <v>Aug-2025</v>
      </c>
      <c r="K788" s="13" t="str">
        <f>Raw_Data!K788</f>
        <v>3</v>
      </c>
      <c r="L788" s="17" t="str">
        <f>Raw_Data!L788</f>
        <v>Jaipur-North</v>
      </c>
      <c r="M788" s="13" t="str">
        <f t="shared" si="3"/>
        <v>OK</v>
      </c>
      <c r="N788" s="18" t="str">
        <f t="shared" si="4"/>
        <v>VALID</v>
      </c>
    </row>
    <row r="789" ht="15.75" customHeight="1">
      <c r="A789" s="13" t="str">
        <f>Raw_Data!A789</f>
        <v>EMP0830</v>
      </c>
      <c r="B789" s="13" t="str">
        <f>TRIM(CLEAN(Raw_Data!B789))</f>
        <v>Customer Support</v>
      </c>
      <c r="C789" s="18" t="s">
        <v>54</v>
      </c>
      <c r="D789" s="14" t="str">
        <f>IF(ISBLANK(Raw_Data!D789),AVERAGE(Raw_Data!D$2:D$5002),Raw_Data!D789)</f>
        <v>37387.93</v>
      </c>
      <c r="E789" s="15" t="str">
        <f>IF(ISBLANK(Raw_Data!E789),AVERAGE(Raw_Data!E$2:E$5002),Raw_Data!E789)</f>
        <v>11216.38</v>
      </c>
      <c r="F789" s="15" t="str">
        <f>IF(ISBLANK(Raw_Data!F789),AVERAGE(Raw_Data!F$2:F$5002),Raw_Data!F789)</f>
        <v>6209.12</v>
      </c>
      <c r="G789" s="14" t="str">
        <f>IF(ISBLANK(Raw_Data!G789),AVERAGE(Raw_Data!G$2:G$5002),Raw_Data!G789)</f>
        <v>6739.23</v>
      </c>
      <c r="H789" s="15" t="str">
        <f t="shared" si="1"/>
        <v>54813.00</v>
      </c>
      <c r="I789" s="14" t="str">
        <f t="shared" si="2"/>
        <v>48074.00</v>
      </c>
      <c r="J789" s="16" t="str">
        <f>TEXT(Raw_Data!J789,"MMM-YYY")</f>
        <v>Oct-2025</v>
      </c>
      <c r="K789" s="13" t="str">
        <f>Raw_Data!K789</f>
        <v>25</v>
      </c>
      <c r="L789" s="17" t="str">
        <f>Raw_Data!L789</f>
        <v>Mumbai-HO</v>
      </c>
      <c r="M789" s="13" t="str">
        <f t="shared" si="3"/>
        <v>OK</v>
      </c>
      <c r="N789" s="18" t="str">
        <f t="shared" si="4"/>
        <v>VALID</v>
      </c>
    </row>
    <row r="790" ht="15.75" customHeight="1">
      <c r="A790" s="13" t="str">
        <f>Raw_Data!A790</f>
        <v>EMP0831</v>
      </c>
      <c r="B790" s="13" t="str">
        <f>TRIM(CLEAN(Raw_Data!B790))</f>
        <v>Customer Support</v>
      </c>
      <c r="C790" s="18" t="s">
        <v>26</v>
      </c>
      <c r="D790" s="14" t="str">
        <f>IF(ISBLANK(Raw_Data!D790),AVERAGE(Raw_Data!D$2:D$5002),Raw_Data!D790)</f>
        <v>96547.83</v>
      </c>
      <c r="E790" s="15" t="str">
        <f>IF(ISBLANK(Raw_Data!E790),AVERAGE(Raw_Data!E$2:E$5002),Raw_Data!E790)</f>
        <v>28964.35</v>
      </c>
      <c r="F790" s="15" t="str">
        <f>IF(ISBLANK(Raw_Data!F790),AVERAGE(Raw_Data!F$2:F$5002),Raw_Data!F790)</f>
        <v>12737.53</v>
      </c>
      <c r="G790" s="14" t="str">
        <f>IF(ISBLANK(Raw_Data!G790),AVERAGE(Raw_Data!G$2:G$5002),Raw_Data!G790)</f>
        <v>7661.67</v>
      </c>
      <c r="H790" s="15" t="str">
        <f t="shared" si="1"/>
        <v>138250.00</v>
      </c>
      <c r="I790" s="14" t="str">
        <f t="shared" si="2"/>
        <v>130588.00</v>
      </c>
      <c r="J790" s="16" t="str">
        <f>TEXT(Raw_Data!J790,"MMM-YYY")</f>
        <v>Dec-2025</v>
      </c>
      <c r="K790" s="13" t="str">
        <f>Raw_Data!K790</f>
        <v>11</v>
      </c>
      <c r="L790" s="17" t="str">
        <f>Raw_Data!L790</f>
        <v>Delhi-North</v>
      </c>
      <c r="M790" s="13" t="str">
        <f t="shared" si="3"/>
        <v>OK</v>
      </c>
      <c r="N790" s="18" t="str">
        <f t="shared" si="4"/>
        <v>VALID</v>
      </c>
    </row>
    <row r="791" ht="15.75" customHeight="1">
      <c r="A791" s="13" t="str">
        <f>Raw_Data!A791</f>
        <v>EMP0832</v>
      </c>
      <c r="B791" s="13" t="str">
        <f>TRIM(CLEAN(Raw_Data!B791))</f>
        <v>Sales</v>
      </c>
      <c r="C791" s="18" t="s">
        <v>33</v>
      </c>
      <c r="D791" s="14" t="str">
        <f>IF(ISBLANK(Raw_Data!D791),AVERAGE(Raw_Data!D$2:D$5002),Raw_Data!D791)</f>
        <v>34223.52</v>
      </c>
      <c r="E791" s="15" t="str">
        <f>IF(ISBLANK(Raw_Data!E791),AVERAGE(Raw_Data!E$2:E$5002),Raw_Data!E791)</f>
        <v>10267.06</v>
      </c>
      <c r="F791" s="15" t="str">
        <f>IF(ISBLANK(Raw_Data!F791),AVERAGE(Raw_Data!F$2:F$5002),Raw_Data!F791)</f>
        <v>4083.09</v>
      </c>
      <c r="G791" s="14" t="str">
        <f>IF(ISBLANK(Raw_Data!G791),AVERAGE(Raw_Data!G$2:G$5002),Raw_Data!G791)</f>
        <v>706.81</v>
      </c>
      <c r="H791" s="15" t="str">
        <f t="shared" si="1"/>
        <v>48574.00</v>
      </c>
      <c r="I791" s="14" t="str">
        <f t="shared" si="2"/>
        <v>47867.00</v>
      </c>
      <c r="J791" s="16" t="str">
        <f>TEXT(Raw_Data!J791,"MMM-YYY")</f>
        <v>Jul-2025</v>
      </c>
      <c r="K791" s="13" t="str">
        <f>Raw_Data!K791</f>
        <v>23</v>
      </c>
      <c r="L791" s="17" t="str">
        <f>Raw_Data!L791</f>
        <v>Bangalore-South</v>
      </c>
      <c r="M791" s="13" t="str">
        <f t="shared" si="3"/>
        <v>OK</v>
      </c>
      <c r="N791" s="18" t="str">
        <f t="shared" si="4"/>
        <v>VALID</v>
      </c>
    </row>
    <row r="792" ht="15.75" customHeight="1">
      <c r="A792" s="13" t="str">
        <f>Raw_Data!A792</f>
        <v>EMP0833</v>
      </c>
      <c r="B792" s="13" t="str">
        <f>TRIM(CLEAN(Raw_Data!B792))</f>
        <v>Marketing</v>
      </c>
      <c r="C792" s="18" t="s">
        <v>30</v>
      </c>
      <c r="D792" s="14" t="str">
        <f>IF(ISBLANK(Raw_Data!D792),AVERAGE(Raw_Data!D$2:D$5002),Raw_Data!D792)</f>
        <v>22955.42</v>
      </c>
      <c r="E792" s="15" t="str">
        <f>IF(ISBLANK(Raw_Data!E792),AVERAGE(Raw_Data!E$2:E$5002),Raw_Data!E792)</f>
        <v>6886.63</v>
      </c>
      <c r="F792" s="15" t="str">
        <f>IF(ISBLANK(Raw_Data!F792),AVERAGE(Raw_Data!F$2:F$5002),Raw_Data!F792)</f>
        <v>929.00</v>
      </c>
      <c r="G792" s="14" t="str">
        <f>IF(ISBLANK(Raw_Data!G792),AVERAGE(Raw_Data!G$2:G$5002),Raw_Data!G792)</f>
        <v>5919.69</v>
      </c>
      <c r="H792" s="15" t="str">
        <f t="shared" si="1"/>
        <v>30771.00</v>
      </c>
      <c r="I792" s="14" t="str">
        <f t="shared" si="2"/>
        <v>24851.00</v>
      </c>
      <c r="J792" s="16" t="str">
        <f>TEXT(Raw_Data!J792,"MMM-YYY")</f>
        <v>Sep-2025</v>
      </c>
      <c r="K792" s="13" t="str">
        <f>Raw_Data!K792</f>
        <v>20</v>
      </c>
      <c r="L792" s="17" t="str">
        <f>Raw_Data!L792</f>
        <v>Chennai-South</v>
      </c>
      <c r="M792" s="13" t="str">
        <f t="shared" si="3"/>
        <v>OK</v>
      </c>
      <c r="N792" s="18" t="str">
        <f t="shared" si="4"/>
        <v>VALID</v>
      </c>
    </row>
    <row r="793" ht="15.75" customHeight="1">
      <c r="A793" s="13" t="str">
        <f>Raw_Data!A793</f>
        <v>EMP0834</v>
      </c>
      <c r="B793" s="13" t="str">
        <f>TRIM(CLEAN(Raw_Data!B793))</f>
        <v>Sales</v>
      </c>
      <c r="C793" s="18" t="s">
        <v>54</v>
      </c>
      <c r="D793" s="14" t="str">
        <f>IF(ISBLANK(Raw_Data!D793),AVERAGE(Raw_Data!D$2:D$5002),Raw_Data!D793)</f>
        <v>46571.20</v>
      </c>
      <c r="E793" s="15" t="str">
        <f>IF(ISBLANK(Raw_Data!E793),AVERAGE(Raw_Data!E$2:E$5002),Raw_Data!E793)</f>
        <v>13971.36</v>
      </c>
      <c r="F793" s="15" t="str">
        <f>IF(ISBLANK(Raw_Data!F793),AVERAGE(Raw_Data!F$2:F$5002),Raw_Data!F793)</f>
        <v>5639.87</v>
      </c>
      <c r="G793" s="14" t="str">
        <f>IF(ISBLANK(Raw_Data!G793),AVERAGE(Raw_Data!G$2:G$5002),Raw_Data!G793)</f>
        <v>2478.83</v>
      </c>
      <c r="H793" s="15" t="str">
        <f t="shared" si="1"/>
        <v>66182.00</v>
      </c>
      <c r="I793" s="14" t="str">
        <f t="shared" si="2"/>
        <v>63703.00</v>
      </c>
      <c r="J793" s="16" t="str">
        <f>TEXT(Raw_Data!J793,"MMM-YYY")</f>
        <v>Oct-2025</v>
      </c>
      <c r="K793" s="13" t="str">
        <f>Raw_Data!K793</f>
        <v>10</v>
      </c>
      <c r="L793" s="17" t="str">
        <f>Raw_Data!L793</f>
        <v>Kolkata-East</v>
      </c>
      <c r="M793" s="13" t="str">
        <f t="shared" si="3"/>
        <v>OK</v>
      </c>
      <c r="N793" s="18" t="str">
        <f t="shared" si="4"/>
        <v>VALID</v>
      </c>
    </row>
    <row r="794" ht="15.75" customHeight="1">
      <c r="A794" s="13" t="str">
        <f>Raw_Data!A794</f>
        <v>EMP0835</v>
      </c>
      <c r="B794" s="13" t="str">
        <f>TRIM(CLEAN(Raw_Data!B794))</f>
        <v>Operations</v>
      </c>
      <c r="C794" s="18" t="s">
        <v>14</v>
      </c>
      <c r="D794" s="14" t="str">
        <f>IF(ISBLANK(Raw_Data!D794),AVERAGE(Raw_Data!D$2:D$5002),Raw_Data!D794)</f>
        <v>24319.82</v>
      </c>
      <c r="E794" s="15" t="str">
        <f>IF(ISBLANK(Raw_Data!E794),AVERAGE(Raw_Data!E$2:E$5002),Raw_Data!E794)</f>
        <v>7295.95</v>
      </c>
      <c r="F794" s="15" t="str">
        <f>IF(ISBLANK(Raw_Data!F794),AVERAGE(Raw_Data!F$2:F$5002),Raw_Data!F794)</f>
        <v>2584.86</v>
      </c>
      <c r="G794" s="14" t="str">
        <f>IF(ISBLANK(Raw_Data!G794),AVERAGE(Raw_Data!G$2:G$5002),Raw_Data!G794)</f>
        <v>5489.35</v>
      </c>
      <c r="H794" s="15" t="str">
        <f t="shared" si="1"/>
        <v>34201.00</v>
      </c>
      <c r="I794" s="14" t="str">
        <f t="shared" si="2"/>
        <v>28712.00</v>
      </c>
      <c r="J794" s="16" t="str">
        <f>TEXT(Raw_Data!J794,"MMM-YYY")</f>
        <v>Feb-2025</v>
      </c>
      <c r="K794" s="13" t="str">
        <f>Raw_Data!K794</f>
        <v>17</v>
      </c>
      <c r="L794" s="17" t="str">
        <f>Raw_Data!L794</f>
        <v>Pune-West</v>
      </c>
      <c r="M794" s="13" t="str">
        <f t="shared" si="3"/>
        <v>OK</v>
      </c>
      <c r="N794" s="18" t="str">
        <f t="shared" si="4"/>
        <v>VALID</v>
      </c>
    </row>
    <row r="795" ht="15.75" customHeight="1">
      <c r="A795" s="13" t="str">
        <f>Raw_Data!A795</f>
        <v>EMP0836</v>
      </c>
      <c r="B795" s="13" t="str">
        <f>TRIM(CLEAN(Raw_Data!B795))</f>
        <v>Marketing</v>
      </c>
      <c r="C795" s="18" t="s">
        <v>18</v>
      </c>
      <c r="D795" s="14" t="str">
        <f>IF(ISBLANK(Raw_Data!D795),AVERAGE(Raw_Data!D$2:D$5002),Raw_Data!D795)</f>
        <v>68388.55</v>
      </c>
      <c r="E795" s="15" t="str">
        <f>IF(ISBLANK(Raw_Data!E795),AVERAGE(Raw_Data!E$2:E$5002),Raw_Data!E795)</f>
        <v>20516.56</v>
      </c>
      <c r="F795" s="15" t="str">
        <f>IF(ISBLANK(Raw_Data!F795),AVERAGE(Raw_Data!F$2:F$5002),Raw_Data!F795)</f>
        <v>8254.15</v>
      </c>
      <c r="G795" s="14" t="str">
        <f>IF(ISBLANK(Raw_Data!G795),AVERAGE(Raw_Data!G$2:G$5002),Raw_Data!G795)</f>
        <v>16977.90</v>
      </c>
      <c r="H795" s="15" t="str">
        <f t="shared" si="1"/>
        <v>97159.00</v>
      </c>
      <c r="I795" s="14" t="str">
        <f t="shared" si="2"/>
        <v>80181.00</v>
      </c>
      <c r="J795" s="16" t="str">
        <f>TEXT(Raw_Data!J795,"MMM-YYY")</f>
        <v>Nov-2025</v>
      </c>
      <c r="K795" s="13" t="str">
        <f>Raw_Data!K795</f>
        <v>5</v>
      </c>
      <c r="L795" s="17" t="str">
        <f>Raw_Data!L795</f>
        <v>Hyderabad-South</v>
      </c>
      <c r="M795" s="13" t="str">
        <f t="shared" si="3"/>
        <v>OK</v>
      </c>
      <c r="N795" s="18" t="str">
        <f t="shared" si="4"/>
        <v>VALID</v>
      </c>
    </row>
    <row r="796" ht="15.75" customHeight="1">
      <c r="A796" s="13" t="str">
        <f>Raw_Data!A796</f>
        <v>EMP0837</v>
      </c>
      <c r="B796" s="13" t="str">
        <f>TRIM(CLEAN(Raw_Data!B796))</f>
        <v>Sales</v>
      </c>
      <c r="C796" s="18" t="s">
        <v>54</v>
      </c>
      <c r="D796" s="14" t="str">
        <f>IF(ISBLANK(Raw_Data!D796),AVERAGE(Raw_Data!D$2:D$5002),Raw_Data!D796)</f>
        <v>42308.62</v>
      </c>
      <c r="E796" s="15" t="str">
        <f>IF(ISBLANK(Raw_Data!E796),AVERAGE(Raw_Data!E$2:E$5002),Raw_Data!E796)</f>
        <v>12692.59</v>
      </c>
      <c r="F796" s="15" t="str">
        <f>IF(ISBLANK(Raw_Data!F796),AVERAGE(Raw_Data!F$2:F$5002),Raw_Data!F796)</f>
        <v>3134.03</v>
      </c>
      <c r="G796" s="14" t="str">
        <f>IF(ISBLANK(Raw_Data!G796),AVERAGE(Raw_Data!G$2:G$5002),Raw_Data!G796)</f>
        <v>551.34</v>
      </c>
      <c r="H796" s="15" t="str">
        <f t="shared" si="1"/>
        <v>58135.00</v>
      </c>
      <c r="I796" s="14" t="str">
        <f t="shared" si="2"/>
        <v>57584.00</v>
      </c>
      <c r="J796" s="16" t="str">
        <f>TEXT(Raw_Data!J796,"MMM-YYY")</f>
        <v>Sep-2025</v>
      </c>
      <c r="K796" s="13" t="str">
        <f>Raw_Data!K796</f>
        <v>19</v>
      </c>
      <c r="L796" s="17" t="str">
        <f>Raw_Data!L796</f>
        <v>Chandigarh-North</v>
      </c>
      <c r="M796" s="13" t="str">
        <f t="shared" si="3"/>
        <v>OK</v>
      </c>
      <c r="N796" s="18" t="str">
        <f t="shared" si="4"/>
        <v>VALID</v>
      </c>
    </row>
    <row r="797" ht="15.75" customHeight="1">
      <c r="A797" s="13" t="str">
        <f>Raw_Data!A797</f>
        <v>EMP0838</v>
      </c>
      <c r="B797" s="13" t="str">
        <f>TRIM(CLEAN(Raw_Data!B797))</f>
        <v>Marketing</v>
      </c>
      <c r="C797" s="18" t="s">
        <v>30</v>
      </c>
      <c r="D797" s="14" t="str">
        <f>IF(ISBLANK(Raw_Data!D797),AVERAGE(Raw_Data!D$2:D$5002),Raw_Data!D797)</f>
        <v>30258.11</v>
      </c>
      <c r="E797" s="15" t="str">
        <f>IF(ISBLANK(Raw_Data!E797),AVERAGE(Raw_Data!E$2:E$5002),Raw_Data!E797)</f>
        <v>9077.43</v>
      </c>
      <c r="F797" s="15" t="str">
        <f>IF(ISBLANK(Raw_Data!F797),AVERAGE(Raw_Data!F$2:F$5002),Raw_Data!F797)</f>
        <v>2917.63</v>
      </c>
      <c r="G797" s="14" t="str">
        <f>IF(ISBLANK(Raw_Data!G797),AVERAGE(Raw_Data!G$2:G$5002),Raw_Data!G797)</f>
        <v>6977.57</v>
      </c>
      <c r="H797" s="15" t="str">
        <f t="shared" si="1"/>
        <v>42253.00</v>
      </c>
      <c r="I797" s="14" t="str">
        <f t="shared" si="2"/>
        <v>35275.00</v>
      </c>
      <c r="J797" s="16" t="str">
        <f>TEXT(Raw_Data!J797,"MMM-YYY")</f>
        <v>Jun-2025</v>
      </c>
      <c r="K797" s="13" t="str">
        <f>Raw_Data!K797</f>
        <v>8</v>
      </c>
      <c r="L797" s="17" t="str">
        <f>Raw_Data!L797</f>
        <v>Ahmedabad-West</v>
      </c>
      <c r="M797" s="13" t="str">
        <f t="shared" si="3"/>
        <v>OK</v>
      </c>
      <c r="N797" s="18" t="str">
        <f t="shared" si="4"/>
        <v>VALID</v>
      </c>
    </row>
    <row r="798" ht="15.75" customHeight="1">
      <c r="A798" s="13" t="str">
        <f>Raw_Data!A798</f>
        <v>EMP0839</v>
      </c>
      <c r="B798" s="13" t="str">
        <f>TRIM(CLEAN(Raw_Data!B798))</f>
        <v>Operations</v>
      </c>
      <c r="C798" s="18" t="s">
        <v>26</v>
      </c>
      <c r="D798" s="14" t="str">
        <f>IF(ISBLANK(Raw_Data!D798),AVERAGE(Raw_Data!D$2:D$5002),Raw_Data!D798)</f>
        <v>116690.19</v>
      </c>
      <c r="E798" s="15" t="str">
        <f>IF(ISBLANK(Raw_Data!E798),AVERAGE(Raw_Data!E$2:E$5002),Raw_Data!E798)</f>
        <v>35007.06</v>
      </c>
      <c r="F798" s="15" t="str">
        <f>IF(ISBLANK(Raw_Data!F798),AVERAGE(Raw_Data!F$2:F$5002),Raw_Data!F798)</f>
        <v>17772.83</v>
      </c>
      <c r="G798" s="14" t="str">
        <f>IF(ISBLANK(Raw_Data!G798),AVERAGE(Raw_Data!G$2:G$5002),Raw_Data!G798)</f>
        <v>24389.68</v>
      </c>
      <c r="H798" s="15" t="str">
        <f t="shared" si="1"/>
        <v>169470.00</v>
      </c>
      <c r="I798" s="14" t="str">
        <f t="shared" si="2"/>
        <v>145080.00</v>
      </c>
      <c r="J798" s="16" t="str">
        <f>TEXT(Raw_Data!J798,"MMM-YYY")</f>
        <v>Feb-2025</v>
      </c>
      <c r="K798" s="13" t="str">
        <f>Raw_Data!K798</f>
        <v>7</v>
      </c>
      <c r="L798" s="17" t="str">
        <f>Raw_Data!L798</f>
        <v>Jaipur-North</v>
      </c>
      <c r="M798" s="13" t="str">
        <f t="shared" si="3"/>
        <v>OK</v>
      </c>
      <c r="N798" s="18" t="str">
        <f t="shared" si="4"/>
        <v>VALID</v>
      </c>
    </row>
    <row r="799" ht="15.75" customHeight="1">
      <c r="A799" s="13" t="str">
        <f>Raw_Data!A799</f>
        <v>EMP0840</v>
      </c>
      <c r="B799" s="13" t="str">
        <f>TRIM(CLEAN(Raw_Data!B799))</f>
        <v>Marketing</v>
      </c>
      <c r="C799" s="18" t="s">
        <v>30</v>
      </c>
      <c r="D799" s="14" t="str">
        <f>IF(ISBLANK(Raw_Data!D799),AVERAGE(Raw_Data!D$2:D$5002),Raw_Data!D799)</f>
        <v>24239.76</v>
      </c>
      <c r="E799" s="15" t="str">
        <f>IF(ISBLANK(Raw_Data!E799),AVERAGE(Raw_Data!E$2:E$5002),Raw_Data!E799)</f>
        <v>7271.93</v>
      </c>
      <c r="F799" s="15" t="str">
        <f>IF(ISBLANK(Raw_Data!F799),AVERAGE(Raw_Data!F$2:F$5002),Raw_Data!F799)</f>
        <v>3712.85</v>
      </c>
      <c r="G799" s="14" t="str">
        <f>IF(ISBLANK(Raw_Data!G799),AVERAGE(Raw_Data!G$2:G$5002),Raw_Data!G799)</f>
        <v>6618.08</v>
      </c>
      <c r="H799" s="15" t="str">
        <f t="shared" si="1"/>
        <v>35225.00</v>
      </c>
      <c r="I799" s="14" t="str">
        <f t="shared" si="2"/>
        <v>28607.00</v>
      </c>
      <c r="J799" s="16" t="str">
        <f>TEXT(Raw_Data!J799,"MMM-YYY")</f>
        <v>Jan-2025</v>
      </c>
      <c r="K799" s="13" t="str">
        <f>Raw_Data!K799</f>
        <v>13</v>
      </c>
      <c r="L799" s="17" t="str">
        <f>Raw_Data!L799</f>
        <v>Mumbai-HO</v>
      </c>
      <c r="M799" s="13" t="str">
        <f t="shared" si="3"/>
        <v>OK</v>
      </c>
      <c r="N799" s="18" t="str">
        <f t="shared" si="4"/>
        <v>VALID</v>
      </c>
    </row>
    <row r="800" ht="15.75" customHeight="1">
      <c r="A800" s="13" t="str">
        <f>Raw_Data!A800</f>
        <v>EMP0841</v>
      </c>
      <c r="B800" s="13" t="str">
        <f>TRIM(CLEAN(Raw_Data!B800))</f>
        <v>IT</v>
      </c>
      <c r="C800" s="18" t="s">
        <v>37</v>
      </c>
      <c r="D800" s="14" t="str">
        <f>IF(ISBLANK(Raw_Data!D800),AVERAGE(Raw_Data!D$2:D$5002),Raw_Data!D800)</f>
        <v>60781.79</v>
      </c>
      <c r="E800" s="15" t="str">
        <f>IF(ISBLANK(Raw_Data!E800),AVERAGE(Raw_Data!E$2:E$5002),Raw_Data!E800)</f>
        <v>18234.54</v>
      </c>
      <c r="F800" s="15" t="str">
        <f>IF(ISBLANK(Raw_Data!F800),AVERAGE(Raw_Data!F$2:F$5002),Raw_Data!F800)</f>
        <v>4967.66</v>
      </c>
      <c r="G800" s="14" t="str">
        <f>IF(ISBLANK(Raw_Data!G800),AVERAGE(Raw_Data!G$2:G$5002),Raw_Data!G800)</f>
        <v>3446.71</v>
      </c>
      <c r="H800" s="15" t="str">
        <f t="shared" si="1"/>
        <v>83984.00</v>
      </c>
      <c r="I800" s="14" t="str">
        <f t="shared" si="2"/>
        <v>80537.00</v>
      </c>
      <c r="J800" s="16" t="str">
        <f>TEXT(Raw_Data!J800,"MMM-YYY")</f>
        <v>Dec-2025</v>
      </c>
      <c r="K800" s="13" t="str">
        <f>Raw_Data!K800</f>
        <v>13</v>
      </c>
      <c r="L800" s="17" t="str">
        <f>Raw_Data!L800</f>
        <v>Delhi-North</v>
      </c>
      <c r="M800" s="13" t="str">
        <f t="shared" si="3"/>
        <v>OK</v>
      </c>
      <c r="N800" s="18" t="str">
        <f t="shared" si="4"/>
        <v>VALID</v>
      </c>
    </row>
    <row r="801" ht="15.75" customHeight="1">
      <c r="A801" s="13" t="str">
        <f>Raw_Data!A801</f>
        <v>EMP0842</v>
      </c>
      <c r="B801" s="13" t="str">
        <f>TRIM(CLEAN(Raw_Data!B801))</f>
        <v>Sales</v>
      </c>
      <c r="C801" s="18" t="s">
        <v>26</v>
      </c>
      <c r="D801" s="14" t="str">
        <f>IF(ISBLANK(Raw_Data!D801),AVERAGE(Raw_Data!D$2:D$5002),Raw_Data!D801)</f>
        <v>90256.11</v>
      </c>
      <c r="E801" s="15" t="str">
        <f>IF(ISBLANK(Raw_Data!E801),AVERAGE(Raw_Data!E$2:E$5002),Raw_Data!E801)</f>
        <v>27076.83</v>
      </c>
      <c r="F801" s="15" t="str">
        <f>IF(ISBLANK(Raw_Data!F801),AVERAGE(Raw_Data!F$2:F$5002),Raw_Data!F801)</f>
        <v>9432.50</v>
      </c>
      <c r="G801" s="14" t="str">
        <f>IF(ISBLANK(Raw_Data!G801),AVERAGE(Raw_Data!G$2:G$5002),Raw_Data!G801)</f>
        <v>14073.50</v>
      </c>
      <c r="H801" s="15" t="str">
        <f t="shared" si="1"/>
        <v>126765.00</v>
      </c>
      <c r="I801" s="14" t="str">
        <f t="shared" si="2"/>
        <v>112692.00</v>
      </c>
      <c r="J801" s="16" t="str">
        <f>TEXT(Raw_Data!J801,"MMM-YYY")</f>
        <v>Jul-2025</v>
      </c>
      <c r="K801" s="13" t="str">
        <f>Raw_Data!K801</f>
        <v>9</v>
      </c>
      <c r="L801" s="17" t="str">
        <f>Raw_Data!L801</f>
        <v>Bangalore-South</v>
      </c>
      <c r="M801" s="13" t="str">
        <f t="shared" si="3"/>
        <v>OK</v>
      </c>
      <c r="N801" s="18" t="str">
        <f t="shared" si="4"/>
        <v>VALID</v>
      </c>
    </row>
    <row r="802" ht="15.75" customHeight="1">
      <c r="A802" s="13" t="str">
        <f>Raw_Data!A802</f>
        <v>EMP0843</v>
      </c>
      <c r="B802" s="13" t="str">
        <f>TRIM(CLEAN(Raw_Data!B802))</f>
        <v>Sales</v>
      </c>
      <c r="C802" s="18" t="s">
        <v>30</v>
      </c>
      <c r="D802" s="14" t="str">
        <f>IF(ISBLANK(Raw_Data!D802),AVERAGE(Raw_Data!D$2:D$5002),Raw_Data!D802)</f>
        <v>28052.35</v>
      </c>
      <c r="E802" s="15" t="str">
        <f>IF(ISBLANK(Raw_Data!E802),AVERAGE(Raw_Data!E$2:E$5002),Raw_Data!E802)</f>
        <v>8415.70</v>
      </c>
      <c r="F802" s="15" t="str">
        <f>IF(ISBLANK(Raw_Data!F802),AVERAGE(Raw_Data!F$2:F$5002),Raw_Data!F802)</f>
        <v>1772.36</v>
      </c>
      <c r="G802" s="14" t="str">
        <f>IF(ISBLANK(Raw_Data!G802),AVERAGE(Raw_Data!G$2:G$5002),Raw_Data!G802)</f>
        <v>3048.76</v>
      </c>
      <c r="H802" s="15" t="str">
        <f t="shared" si="1"/>
        <v>38240.00</v>
      </c>
      <c r="I802" s="14" t="str">
        <f t="shared" si="2"/>
        <v>35191.00</v>
      </c>
      <c r="J802" s="16" t="str">
        <f>TEXT(Raw_Data!J802,"MMM-YYY")</f>
        <v>Mar-2025</v>
      </c>
      <c r="K802" s="13" t="str">
        <f>Raw_Data!K802</f>
        <v>19</v>
      </c>
      <c r="L802" s="17" t="str">
        <f>Raw_Data!L802</f>
        <v>Chennai-South</v>
      </c>
      <c r="M802" s="13" t="str">
        <f t="shared" si="3"/>
        <v>OK</v>
      </c>
      <c r="N802" s="18" t="str">
        <f t="shared" si="4"/>
        <v>VALID</v>
      </c>
    </row>
    <row r="803" ht="15.75" customHeight="1">
      <c r="A803" s="13" t="str">
        <f>Raw_Data!A803</f>
        <v>EMP0844</v>
      </c>
      <c r="B803" s="13" t="str">
        <f>TRIM(CLEAN(Raw_Data!B803))</f>
        <v>Marketing</v>
      </c>
      <c r="C803" s="18" t="s">
        <v>18</v>
      </c>
      <c r="D803" s="14" t="str">
        <f>IF(ISBLANK(Raw_Data!D803),AVERAGE(Raw_Data!D$2:D$5002),Raw_Data!D803)</f>
        <v>80219.62</v>
      </c>
      <c r="E803" s="15" t="str">
        <f>IF(ISBLANK(Raw_Data!E803),AVERAGE(Raw_Data!E$2:E$5002),Raw_Data!E803)</f>
        <v>24065.89</v>
      </c>
      <c r="F803" s="15" t="str">
        <f>IF(ISBLANK(Raw_Data!F803),AVERAGE(Raw_Data!F$2:F$5002),Raw_Data!F803)</f>
        <v>4192.32</v>
      </c>
      <c r="G803" s="14" t="str">
        <f>IF(ISBLANK(Raw_Data!G803),AVERAGE(Raw_Data!G$2:G$5002),Raw_Data!G803)</f>
        <v>12901.84</v>
      </c>
      <c r="H803" s="15" t="str">
        <f t="shared" si="1"/>
        <v>108478.00</v>
      </c>
      <c r="I803" s="14" t="str">
        <f t="shared" si="2"/>
        <v>95576.00</v>
      </c>
      <c r="J803" s="16" t="str">
        <f>TEXT(Raw_Data!J803,"MMM-YYY")</f>
        <v>Oct-2025</v>
      </c>
      <c r="K803" s="13" t="str">
        <f>Raw_Data!K803</f>
        <v>11</v>
      </c>
      <c r="L803" s="17" t="str">
        <f>Raw_Data!L803</f>
        <v>Kolkata-East</v>
      </c>
      <c r="M803" s="13" t="str">
        <f t="shared" si="3"/>
        <v>OK</v>
      </c>
      <c r="N803" s="18" t="str">
        <f t="shared" si="4"/>
        <v>VALID</v>
      </c>
    </row>
    <row r="804" ht="15.75" customHeight="1">
      <c r="A804" s="13" t="str">
        <f>Raw_Data!A804</f>
        <v>EMP0845</v>
      </c>
      <c r="B804" s="13" t="str">
        <f>TRIM(CLEAN(Raw_Data!B804))</f>
        <v>IT</v>
      </c>
      <c r="C804" s="18" t="s">
        <v>37</v>
      </c>
      <c r="D804" s="14" t="str">
        <f>IF(ISBLANK(Raw_Data!D804),AVERAGE(Raw_Data!D$2:D$5002),Raw_Data!D804)</f>
        <v>49960.09</v>
      </c>
      <c r="E804" s="15" t="str">
        <f>IF(ISBLANK(Raw_Data!E804),AVERAGE(Raw_Data!E$2:E$5002),Raw_Data!E804)</f>
        <v>14988.03</v>
      </c>
      <c r="F804" s="15" t="str">
        <f>IF(ISBLANK(Raw_Data!F804),AVERAGE(Raw_Data!F$2:F$5002),Raw_Data!F804)</f>
        <v>6800.62</v>
      </c>
      <c r="G804" s="14" t="str">
        <f>IF(ISBLANK(Raw_Data!G804),AVERAGE(Raw_Data!G$2:G$5002),Raw_Data!G804)</f>
        <v>11315.54</v>
      </c>
      <c r="H804" s="15" t="str">
        <f t="shared" si="1"/>
        <v>71749.00</v>
      </c>
      <c r="I804" s="14" t="str">
        <f t="shared" si="2"/>
        <v>60433.00</v>
      </c>
      <c r="J804" s="16" t="str">
        <f>TEXT(Raw_Data!J804,"MMM-YYY")</f>
        <v>Jul-2025</v>
      </c>
      <c r="K804" s="13" t="str">
        <f>Raw_Data!K804</f>
        <v>10</v>
      </c>
      <c r="L804" s="17" t="str">
        <f>Raw_Data!L804</f>
        <v>Pune-West</v>
      </c>
      <c r="M804" s="13" t="str">
        <f t="shared" si="3"/>
        <v>OK</v>
      </c>
      <c r="N804" s="18" t="str">
        <f t="shared" si="4"/>
        <v>VALID</v>
      </c>
    </row>
    <row r="805" ht="15.75" customHeight="1">
      <c r="A805" s="13" t="str">
        <f>Raw_Data!A805</f>
        <v>EMP0846</v>
      </c>
      <c r="B805" s="13" t="str">
        <f>TRIM(CLEAN(Raw_Data!B805))</f>
        <v>Operations</v>
      </c>
      <c r="C805" s="18" t="s">
        <v>26</v>
      </c>
      <c r="D805" s="14" t="str">
        <f>IF(ISBLANK(Raw_Data!D805),AVERAGE(Raw_Data!D$2:D$5002),Raw_Data!D805)</f>
        <v>110072.26</v>
      </c>
      <c r="E805" s="15" t="str">
        <f>IF(ISBLANK(Raw_Data!E805),AVERAGE(Raw_Data!E$2:E$5002),Raw_Data!E805)</f>
        <v>33021.68</v>
      </c>
      <c r="F805" s="15" t="str">
        <f>IF(ISBLANK(Raw_Data!F805),AVERAGE(Raw_Data!F$2:F$5002),Raw_Data!F805)</f>
        <v>3934.41</v>
      </c>
      <c r="G805" s="14" t="str">
        <f>IF(ISBLANK(Raw_Data!G805),AVERAGE(Raw_Data!G$2:G$5002),Raw_Data!G805)</f>
        <v>18462.22</v>
      </c>
      <c r="H805" s="15" t="str">
        <f t="shared" si="1"/>
        <v>147028.00</v>
      </c>
      <c r="I805" s="14" t="str">
        <f t="shared" si="2"/>
        <v>128566.00</v>
      </c>
      <c r="J805" s="16" t="str">
        <f>TEXT(Raw_Data!J805,"MMM-YYY")</f>
        <v>Aug-2025</v>
      </c>
      <c r="K805" s="13" t="str">
        <f>Raw_Data!K805</f>
        <v>9</v>
      </c>
      <c r="L805" s="17" t="str">
        <f>Raw_Data!L805</f>
        <v>Hyderabad-South</v>
      </c>
      <c r="M805" s="13" t="str">
        <f t="shared" si="3"/>
        <v>OK</v>
      </c>
      <c r="N805" s="18" t="str">
        <f t="shared" si="4"/>
        <v>VALID</v>
      </c>
    </row>
    <row r="806" ht="15.75" customHeight="1">
      <c r="A806" s="13" t="str">
        <f>Raw_Data!A806</f>
        <v>EMP0847</v>
      </c>
      <c r="B806" s="13" t="str">
        <f>TRIM(CLEAN(Raw_Data!B806))</f>
        <v>IT</v>
      </c>
      <c r="C806" s="18" t="s">
        <v>33</v>
      </c>
      <c r="D806" s="14" t="str">
        <f>IF(ISBLANK(Raw_Data!D806),AVERAGE(Raw_Data!D$2:D$5002),Raw_Data!D806)</f>
        <v>30776.51</v>
      </c>
      <c r="E806" s="15" t="str">
        <f>IF(ISBLANK(Raw_Data!E806),AVERAGE(Raw_Data!E$2:E$5002),Raw_Data!E806)</f>
        <v>9232.95</v>
      </c>
      <c r="F806" s="15" t="str">
        <f>IF(ISBLANK(Raw_Data!F806),AVERAGE(Raw_Data!F$2:F$5002),Raw_Data!F806)</f>
        <v>4765.40</v>
      </c>
      <c r="G806" s="14" t="str">
        <f>IF(ISBLANK(Raw_Data!G806),AVERAGE(Raw_Data!G$2:G$5002),Raw_Data!G806)</f>
        <v>3675.91</v>
      </c>
      <c r="H806" s="15" t="str">
        <f t="shared" si="1"/>
        <v>44775.00</v>
      </c>
      <c r="I806" s="14" t="str">
        <f t="shared" si="2"/>
        <v>41099.00</v>
      </c>
      <c r="J806" s="16" t="str">
        <f>TEXT(Raw_Data!J806,"MMM-YYY")</f>
        <v>Mar-2025</v>
      </c>
      <c r="K806" s="13" t="str">
        <f>Raw_Data!K806</f>
        <v>20</v>
      </c>
      <c r="L806" s="17" t="str">
        <f>Raw_Data!L806</f>
        <v>Chandigarh-North</v>
      </c>
      <c r="M806" s="13" t="str">
        <f t="shared" si="3"/>
        <v>OK</v>
      </c>
      <c r="N806" s="18" t="str">
        <f t="shared" si="4"/>
        <v>VALID</v>
      </c>
    </row>
    <row r="807" ht="15.75" customHeight="1">
      <c r="A807" s="13" t="str">
        <f>Raw_Data!A807</f>
        <v>EMP0848</v>
      </c>
      <c r="B807" s="13" t="str">
        <f>TRIM(CLEAN(Raw_Data!B807))</f>
        <v>Customer Support</v>
      </c>
      <c r="C807" s="18" t="s">
        <v>26</v>
      </c>
      <c r="D807" s="14" t="str">
        <f>IF(ISBLANK(Raw_Data!D807),AVERAGE(Raw_Data!D$2:D$5002),Raw_Data!D807)</f>
        <v>113734.18</v>
      </c>
      <c r="E807" s="15" t="str">
        <f>IF(ISBLANK(Raw_Data!E807),AVERAGE(Raw_Data!E$2:E$5002),Raw_Data!E807)</f>
        <v>34120.25</v>
      </c>
      <c r="F807" s="15" t="str">
        <f>IF(ISBLANK(Raw_Data!F807),AVERAGE(Raw_Data!F$2:F$5002),Raw_Data!F807)</f>
        <v>17010.41</v>
      </c>
      <c r="G807" s="14" t="str">
        <f>IF(ISBLANK(Raw_Data!G807),AVERAGE(Raw_Data!G$2:G$5002),Raw_Data!G807)</f>
        <v>15237.93</v>
      </c>
      <c r="H807" s="15" t="str">
        <f t="shared" si="1"/>
        <v>164865.00</v>
      </c>
      <c r="I807" s="14" t="str">
        <f t="shared" si="2"/>
        <v>149627.00</v>
      </c>
      <c r="J807" s="16" t="str">
        <f>TEXT(Raw_Data!J807,"MMM-YYY")</f>
        <v>Dec-2025</v>
      </c>
      <c r="K807" s="13" t="str">
        <f>Raw_Data!K807</f>
        <v>21</v>
      </c>
      <c r="L807" s="17" t="str">
        <f>Raw_Data!L807</f>
        <v>Ahmedabad-West</v>
      </c>
      <c r="M807" s="13" t="str">
        <f t="shared" si="3"/>
        <v>OK</v>
      </c>
      <c r="N807" s="18" t="str">
        <f t="shared" si="4"/>
        <v>VALID</v>
      </c>
    </row>
    <row r="808" ht="15.75" customHeight="1">
      <c r="A808" s="13" t="str">
        <f>Raw_Data!A808</f>
        <v>EMP0849</v>
      </c>
      <c r="B808" s="13" t="str">
        <f>TRIM(CLEAN(Raw_Data!B808))</f>
        <v>Finance</v>
      </c>
      <c r="C808" s="18" t="s">
        <v>14</v>
      </c>
      <c r="D808" s="14" t="str">
        <f>IF(ISBLANK(Raw_Data!D808),AVERAGE(Raw_Data!D$2:D$5002),Raw_Data!D808)</f>
        <v>19544.10</v>
      </c>
      <c r="E808" s="15" t="str">
        <f>IF(ISBLANK(Raw_Data!E808),AVERAGE(Raw_Data!E$2:E$5002),Raw_Data!E808)</f>
        <v>5863.23</v>
      </c>
      <c r="F808" s="15" t="str">
        <f>IF(ISBLANK(Raw_Data!F808),AVERAGE(Raw_Data!F$2:F$5002),Raw_Data!F808)</f>
        <v>1565.72</v>
      </c>
      <c r="G808" s="14" t="str">
        <f>IF(ISBLANK(Raw_Data!G808),AVERAGE(Raw_Data!G$2:G$5002),Raw_Data!G808)</f>
        <v>1984.34</v>
      </c>
      <c r="H808" s="15" t="str">
        <f t="shared" si="1"/>
        <v>26973.00</v>
      </c>
      <c r="I808" s="14" t="str">
        <f t="shared" si="2"/>
        <v>24989.00</v>
      </c>
      <c r="J808" s="16" t="str">
        <f>TEXT(Raw_Data!J808,"MMM-YYY")</f>
        <v>Sep-2025</v>
      </c>
      <c r="K808" s="13" t="str">
        <f>Raw_Data!K808</f>
        <v>25</v>
      </c>
      <c r="L808" s="17" t="str">
        <f>Raw_Data!L808</f>
        <v>Jaipur-North</v>
      </c>
      <c r="M808" s="13" t="str">
        <f t="shared" si="3"/>
        <v>OK</v>
      </c>
      <c r="N808" s="18" t="str">
        <f t="shared" si="4"/>
        <v>VALID</v>
      </c>
    </row>
    <row r="809" ht="15.75" customHeight="1">
      <c r="A809" s="13" t="str">
        <f>Raw_Data!A809</f>
        <v>EMP0850</v>
      </c>
      <c r="B809" s="13" t="str">
        <f>TRIM(CLEAN(Raw_Data!B809))</f>
        <v>Operations</v>
      </c>
      <c r="C809" s="18" t="s">
        <v>18</v>
      </c>
      <c r="D809" s="14" t="str">
        <f>IF(ISBLANK(Raw_Data!D809),AVERAGE(Raw_Data!D$2:D$5002),Raw_Data!D809)</f>
        <v>82798.68</v>
      </c>
      <c r="E809" s="15" t="str">
        <f>IF(ISBLANK(Raw_Data!E809),AVERAGE(Raw_Data!E$2:E$5002),Raw_Data!E809)</f>
        <v>24839.60</v>
      </c>
      <c r="F809" s="15" t="str">
        <f>IF(ISBLANK(Raw_Data!F809),AVERAGE(Raw_Data!F$2:F$5002),Raw_Data!F809)</f>
        <v>861.98</v>
      </c>
      <c r="G809" s="14" t="str">
        <f>IF(ISBLANK(Raw_Data!G809),AVERAGE(Raw_Data!G$2:G$5002),Raw_Data!G809)</f>
        <v>9665.18</v>
      </c>
      <c r="H809" s="15" t="str">
        <f t="shared" si="1"/>
        <v>108500.00</v>
      </c>
      <c r="I809" s="14" t="str">
        <f t="shared" si="2"/>
        <v>98835.00</v>
      </c>
      <c r="J809" s="16" t="str">
        <f>TEXT(Raw_Data!J809,"MMM-YYY")</f>
        <v>Nov-2025</v>
      </c>
      <c r="K809" s="13" t="str">
        <f>Raw_Data!K809</f>
        <v>21</v>
      </c>
      <c r="L809" s="17" t="str">
        <f>Raw_Data!L809</f>
        <v>Mumbai-HO</v>
      </c>
      <c r="M809" s="13" t="str">
        <f t="shared" si="3"/>
        <v>OK</v>
      </c>
      <c r="N809" s="18" t="str">
        <f t="shared" si="4"/>
        <v>VALID</v>
      </c>
    </row>
    <row r="810" ht="15.75" customHeight="1">
      <c r="A810" s="13" t="str">
        <f>Raw_Data!A810</f>
        <v>EMP0851</v>
      </c>
      <c r="B810" s="13" t="str">
        <f>TRIM(CLEAN(Raw_Data!B810))</f>
        <v>HR</v>
      </c>
      <c r="C810" s="18" t="s">
        <v>26</v>
      </c>
      <c r="D810" s="14" t="str">
        <f>IF(ISBLANK(Raw_Data!D810),AVERAGE(Raw_Data!D$2:D$5002),Raw_Data!D810)</f>
        <v>93279.19</v>
      </c>
      <c r="E810" s="15" t="str">
        <f>IF(ISBLANK(Raw_Data!E810),AVERAGE(Raw_Data!E$2:E$5002),Raw_Data!E810)</f>
        <v>27983.76</v>
      </c>
      <c r="F810" s="15" t="str">
        <f>IF(ISBLANK(Raw_Data!F810),AVERAGE(Raw_Data!F$2:F$5002),Raw_Data!F810)</f>
        <v>2711.22</v>
      </c>
      <c r="G810" s="14" t="str">
        <f>IF(ISBLANK(Raw_Data!G810),AVERAGE(Raw_Data!G$2:G$5002),Raw_Data!G810)</f>
        <v>25909.09</v>
      </c>
      <c r="H810" s="15" t="str">
        <f t="shared" si="1"/>
        <v>123974.00</v>
      </c>
      <c r="I810" s="14" t="str">
        <f t="shared" si="2"/>
        <v>98065.00</v>
      </c>
      <c r="J810" s="16" t="str">
        <f>TEXT(Raw_Data!J810,"MMM-YYY")</f>
        <v>Jul-2025</v>
      </c>
      <c r="K810" s="13" t="str">
        <f>Raw_Data!K810</f>
        <v>12</v>
      </c>
      <c r="L810" s="17" t="str">
        <f>Raw_Data!L810</f>
        <v>Delhi-North</v>
      </c>
      <c r="M810" s="13" t="str">
        <f t="shared" si="3"/>
        <v>OK</v>
      </c>
      <c r="N810" s="18" t="str">
        <f t="shared" si="4"/>
        <v>VALID</v>
      </c>
    </row>
    <row r="811" ht="15.75" customHeight="1">
      <c r="A811" s="13" t="str">
        <f>Raw_Data!A811</f>
        <v>EMP0852</v>
      </c>
      <c r="B811" s="13" t="str">
        <f>TRIM(CLEAN(Raw_Data!B811))</f>
        <v>HR</v>
      </c>
      <c r="C811" s="18" t="s">
        <v>14</v>
      </c>
      <c r="D811" s="14" t="str">
        <f>IF(ISBLANK(Raw_Data!D811),AVERAGE(Raw_Data!D$2:D$5002),Raw_Data!D811)</f>
        <v>19894.26</v>
      </c>
      <c r="E811" s="15" t="str">
        <f>IF(ISBLANK(Raw_Data!E811),AVERAGE(Raw_Data!E$2:E$5002),Raw_Data!E811)</f>
        <v>5968.28</v>
      </c>
      <c r="F811" s="15" t="str">
        <f>IF(ISBLANK(Raw_Data!F811),AVERAGE(Raw_Data!F$2:F$5002),Raw_Data!F811)</f>
        <v>1475.50</v>
      </c>
      <c r="G811" s="14" t="str">
        <f>IF(ISBLANK(Raw_Data!G811),AVERAGE(Raw_Data!G$2:G$5002),Raw_Data!G811)</f>
        <v>3634.85</v>
      </c>
      <c r="H811" s="15" t="str">
        <f t="shared" si="1"/>
        <v>27338.00</v>
      </c>
      <c r="I811" s="14" t="str">
        <f t="shared" si="2"/>
        <v>23703.00</v>
      </c>
      <c r="J811" s="16" t="str">
        <f>TEXT(Raw_Data!J811,"MMM-YYY")</f>
        <v>Dec-2025</v>
      </c>
      <c r="K811" s="13" t="str">
        <f>Raw_Data!K811</f>
        <v>5</v>
      </c>
      <c r="L811" s="17" t="str">
        <f>Raw_Data!L811</f>
        <v>Bangalore-South</v>
      </c>
      <c r="M811" s="13" t="str">
        <f t="shared" si="3"/>
        <v>OK</v>
      </c>
      <c r="N811" s="18" t="str">
        <f t="shared" si="4"/>
        <v>VALID</v>
      </c>
    </row>
    <row r="812" ht="15.75" customHeight="1">
      <c r="A812" s="13" t="str">
        <f>Raw_Data!A812</f>
        <v>EMP0853</v>
      </c>
      <c r="B812" s="13" t="str">
        <f>TRIM(CLEAN(Raw_Data!B812))</f>
        <v>Marketing</v>
      </c>
      <c r="C812" s="18" t="s">
        <v>54</v>
      </c>
      <c r="D812" s="14" t="str">
        <f>IF(ISBLANK(Raw_Data!D812),AVERAGE(Raw_Data!D$2:D$5002),Raw_Data!D812)</f>
        <v>43595.52</v>
      </c>
      <c r="E812" s="15" t="str">
        <f>IF(ISBLANK(Raw_Data!E812),AVERAGE(Raw_Data!E$2:E$5002),Raw_Data!E812)</f>
        <v>13078.66</v>
      </c>
      <c r="F812" s="15" t="str">
        <f>IF(ISBLANK(Raw_Data!F812),AVERAGE(Raw_Data!F$2:F$5002),Raw_Data!F812)</f>
        <v>4542.70</v>
      </c>
      <c r="G812" s="14" t="str">
        <f>IF(ISBLANK(Raw_Data!G812),AVERAGE(Raw_Data!G$2:G$5002),Raw_Data!G812)</f>
        <v>9306.85</v>
      </c>
      <c r="H812" s="15" t="str">
        <f t="shared" si="1"/>
        <v>61217.00</v>
      </c>
      <c r="I812" s="14" t="str">
        <f t="shared" si="2"/>
        <v>51910.00</v>
      </c>
      <c r="J812" s="16" t="str">
        <f>TEXT(Raw_Data!J812,"MMM-YYY")</f>
        <v>Oct-2025</v>
      </c>
      <c r="K812" s="13" t="str">
        <f>Raw_Data!K812</f>
        <v>14</v>
      </c>
      <c r="L812" s="17" t="str">
        <f>Raw_Data!L812</f>
        <v>Chennai-South</v>
      </c>
      <c r="M812" s="13" t="str">
        <f t="shared" si="3"/>
        <v>OK</v>
      </c>
      <c r="N812" s="18" t="str">
        <f t="shared" si="4"/>
        <v>VALID</v>
      </c>
    </row>
    <row r="813" ht="15.75" customHeight="1">
      <c r="A813" s="13" t="str">
        <f>Raw_Data!A813</f>
        <v>EMP0854</v>
      </c>
      <c r="B813" s="13" t="str">
        <f>TRIM(CLEAN(Raw_Data!B813))</f>
        <v>HR</v>
      </c>
      <c r="C813" s="18" t="s">
        <v>26</v>
      </c>
      <c r="D813" s="14" t="str">
        <f>IF(ISBLANK(Raw_Data!D813),AVERAGE(Raw_Data!D$2:D$5002),Raw_Data!D813)</f>
        <v>119528.23</v>
      </c>
      <c r="E813" s="15" t="str">
        <f>IF(ISBLANK(Raw_Data!E813),AVERAGE(Raw_Data!E$2:E$5002),Raw_Data!E813)</f>
        <v>35858.47</v>
      </c>
      <c r="F813" s="15" t="str">
        <f>IF(ISBLANK(Raw_Data!F813),AVERAGE(Raw_Data!F$2:F$5002),Raw_Data!F813)</f>
        <v>15306.58</v>
      </c>
      <c r="G813" s="14" t="str">
        <f>IF(ISBLANK(Raw_Data!G813),AVERAGE(Raw_Data!G$2:G$5002),Raw_Data!G813)</f>
        <v>15740.87</v>
      </c>
      <c r="H813" s="15" t="str">
        <f t="shared" si="1"/>
        <v>170693.00</v>
      </c>
      <c r="I813" s="14" t="str">
        <f t="shared" si="2"/>
        <v>154952.00</v>
      </c>
      <c r="J813" s="16" t="str">
        <f>TEXT(Raw_Data!J813,"MMM-YYY")</f>
        <v>Apr-2025</v>
      </c>
      <c r="K813" s="13" t="str">
        <f>Raw_Data!K813</f>
        <v>18</v>
      </c>
      <c r="L813" s="17" t="str">
        <f>Raw_Data!L813</f>
        <v>Kolkata-East</v>
      </c>
      <c r="M813" s="13" t="str">
        <f t="shared" si="3"/>
        <v>OK</v>
      </c>
      <c r="N813" s="18" t="str">
        <f t="shared" si="4"/>
        <v>VALID</v>
      </c>
    </row>
    <row r="814" ht="15.75" customHeight="1">
      <c r="A814" s="13" t="str">
        <f>Raw_Data!A814</f>
        <v>EMP0855</v>
      </c>
      <c r="B814" s="13" t="str">
        <f>TRIM(CLEAN(Raw_Data!B814))</f>
        <v>Customer Support</v>
      </c>
      <c r="C814" s="18" t="s">
        <v>18</v>
      </c>
      <c r="D814" s="14" t="str">
        <f>IF(ISBLANK(Raw_Data!D814),AVERAGE(Raw_Data!D$2:D$5002),Raw_Data!D814)</f>
        <v>89199.72</v>
      </c>
      <c r="E814" s="15" t="str">
        <f>IF(ISBLANK(Raw_Data!E814),AVERAGE(Raw_Data!E$2:E$5002),Raw_Data!E814)</f>
        <v>26759.92</v>
      </c>
      <c r="F814" s="15" t="str">
        <f>IF(ISBLANK(Raw_Data!F814),AVERAGE(Raw_Data!F$2:F$5002),Raw_Data!F814)</f>
        <v>9243.83</v>
      </c>
      <c r="G814" s="14" t="str">
        <f>IF(ISBLANK(Raw_Data!G814),AVERAGE(Raw_Data!G$2:G$5002),Raw_Data!G814)</f>
        <v>5211.40</v>
      </c>
      <c r="H814" s="15" t="str">
        <f t="shared" si="1"/>
        <v>125203.00</v>
      </c>
      <c r="I814" s="14" t="str">
        <f t="shared" si="2"/>
        <v>119992.00</v>
      </c>
      <c r="J814" s="16" t="str">
        <f>TEXT(Raw_Data!J814,"MMM-YYY")</f>
        <v>Oct-2025</v>
      </c>
      <c r="K814" s="13" t="str">
        <f>Raw_Data!K814</f>
        <v>20</v>
      </c>
      <c r="L814" s="17" t="str">
        <f>Raw_Data!L814</f>
        <v>Pune-West</v>
      </c>
      <c r="M814" s="13" t="str">
        <f t="shared" si="3"/>
        <v>OK</v>
      </c>
      <c r="N814" s="18" t="str">
        <f t="shared" si="4"/>
        <v>VALID</v>
      </c>
    </row>
    <row r="815" ht="15.75" customHeight="1">
      <c r="A815" s="13" t="str">
        <f>Raw_Data!A815</f>
        <v>EMP0856</v>
      </c>
      <c r="B815" s="13" t="str">
        <f>TRIM(CLEAN(Raw_Data!B815))</f>
        <v>Operations</v>
      </c>
      <c r="C815" s="18" t="s">
        <v>37</v>
      </c>
      <c r="D815" s="14" t="str">
        <f>IF(ISBLANK(Raw_Data!D815),AVERAGE(Raw_Data!D$2:D$5002),Raw_Data!D815)</f>
        <v>71831.17</v>
      </c>
      <c r="E815" s="15" t="str">
        <f>IF(ISBLANK(Raw_Data!E815),AVERAGE(Raw_Data!E$2:E$5002),Raw_Data!E815)</f>
        <v>17271.63</v>
      </c>
      <c r="F815" s="15" t="str">
        <f>IF(ISBLANK(Raw_Data!F815),AVERAGE(Raw_Data!F$2:F$5002),Raw_Data!F815)</f>
        <v>7083.56</v>
      </c>
      <c r="G815" s="14" t="str">
        <f>IF(ISBLANK(Raw_Data!G815),AVERAGE(Raw_Data!G$2:G$5002),Raw_Data!G815)</f>
        <v>11641.50</v>
      </c>
      <c r="H815" s="15" t="str">
        <f t="shared" si="1"/>
        <v>96186.00</v>
      </c>
      <c r="I815" s="14" t="str">
        <f t="shared" si="2"/>
        <v>84545.00</v>
      </c>
      <c r="J815" s="16" t="str">
        <f>TEXT(Raw_Data!J815,"MMM-YYY")</f>
        <v>Jun-2025</v>
      </c>
      <c r="K815" s="13" t="str">
        <f>Raw_Data!K815</f>
        <v>25</v>
      </c>
      <c r="L815" s="17" t="str">
        <f>Raw_Data!L815</f>
        <v>Hyderabad-South</v>
      </c>
      <c r="M815" s="13" t="str">
        <f t="shared" si="3"/>
        <v>OK</v>
      </c>
      <c r="N815" s="18" t="str">
        <f t="shared" si="4"/>
        <v>VALID</v>
      </c>
    </row>
    <row r="816" ht="15.75" customHeight="1">
      <c r="A816" s="13" t="str">
        <f>Raw_Data!A816</f>
        <v>EMP0857</v>
      </c>
      <c r="B816" s="13" t="str">
        <f>TRIM(CLEAN(Raw_Data!B816))</f>
        <v>Finance</v>
      </c>
      <c r="C816" s="18" t="s">
        <v>18</v>
      </c>
      <c r="D816" s="14" t="str">
        <f>IF(ISBLANK(Raw_Data!D816),AVERAGE(Raw_Data!D$2:D$5002),Raw_Data!D816)</f>
        <v>65007.47</v>
      </c>
      <c r="E816" s="15" t="str">
        <f>IF(ISBLANK(Raw_Data!E816),AVERAGE(Raw_Data!E$2:E$5002),Raw_Data!E816)</f>
        <v>19502.24</v>
      </c>
      <c r="F816" s="15" t="str">
        <f>IF(ISBLANK(Raw_Data!F816),AVERAGE(Raw_Data!F$2:F$5002),Raw_Data!F816)</f>
        <v>2047.02</v>
      </c>
      <c r="G816" s="14" t="str">
        <f>IF(ISBLANK(Raw_Data!G816),AVERAGE(Raw_Data!G$2:G$5002),Raw_Data!G816)</f>
        <v>19440.17</v>
      </c>
      <c r="H816" s="15" t="str">
        <f t="shared" si="1"/>
        <v>86557.00</v>
      </c>
      <c r="I816" s="14" t="str">
        <f t="shared" si="2"/>
        <v>67117.00</v>
      </c>
      <c r="J816" s="16" t="str">
        <f>TEXT(Raw_Data!J816,"MMM-YYY")</f>
        <v>Jul-2025</v>
      </c>
      <c r="K816" s="13" t="str">
        <f>Raw_Data!K816</f>
        <v>22</v>
      </c>
      <c r="L816" s="17" t="str">
        <f>Raw_Data!L816</f>
        <v>Chandigarh-North</v>
      </c>
      <c r="M816" s="13" t="str">
        <f t="shared" si="3"/>
        <v>OK</v>
      </c>
      <c r="N816" s="18" t="str">
        <f t="shared" si="4"/>
        <v>VALID</v>
      </c>
    </row>
    <row r="817" ht="15.75" customHeight="1">
      <c r="A817" s="13" t="str">
        <f>Raw_Data!A817</f>
        <v>EMP0858</v>
      </c>
      <c r="B817" s="13" t="str">
        <f>TRIM(CLEAN(Raw_Data!B817))</f>
        <v>IT</v>
      </c>
      <c r="C817" s="18" t="s">
        <v>18</v>
      </c>
      <c r="D817" s="14" t="str">
        <f>IF(ISBLANK(Raw_Data!D817),AVERAGE(Raw_Data!D$2:D$5002),Raw_Data!D817)</f>
        <v>75273.72</v>
      </c>
      <c r="E817" s="15" t="str">
        <f>IF(ISBLANK(Raw_Data!E817),AVERAGE(Raw_Data!E$2:E$5002),Raw_Data!E817)</f>
        <v>22582.12</v>
      </c>
      <c r="F817" s="15" t="str">
        <f>IF(ISBLANK(Raw_Data!F817),AVERAGE(Raw_Data!F$2:F$5002),Raw_Data!F817)</f>
        <v>8823.29</v>
      </c>
      <c r="G817" s="14" t="str">
        <f>IF(ISBLANK(Raw_Data!G817),AVERAGE(Raw_Data!G$2:G$5002),Raw_Data!G817)</f>
        <v>11691.73</v>
      </c>
      <c r="H817" s="15" t="str">
        <f t="shared" si="1"/>
        <v>106679.00</v>
      </c>
      <c r="I817" s="14" t="str">
        <f t="shared" si="2"/>
        <v>94987.00</v>
      </c>
      <c r="J817" s="16" t="str">
        <f>TEXT(Raw_Data!J817,"MMM-YYY")</f>
        <v>Dec-2025</v>
      </c>
      <c r="K817" s="13" t="str">
        <f>Raw_Data!K817</f>
        <v>12</v>
      </c>
      <c r="L817" s="17" t="str">
        <f>Raw_Data!L817</f>
        <v>Ahmedabad-West</v>
      </c>
      <c r="M817" s="13" t="str">
        <f t="shared" si="3"/>
        <v>OK</v>
      </c>
      <c r="N817" s="18" t="str">
        <f t="shared" si="4"/>
        <v>VALID</v>
      </c>
    </row>
    <row r="818" ht="15.75" customHeight="1">
      <c r="A818" s="13" t="str">
        <f>Raw_Data!A818</f>
        <v>EMP0859</v>
      </c>
      <c r="B818" s="13" t="str">
        <f>TRIM(CLEAN(Raw_Data!B818))</f>
        <v>Sales</v>
      </c>
      <c r="C818" s="18" t="s">
        <v>14</v>
      </c>
      <c r="D818" s="14" t="str">
        <f>IF(ISBLANK(Raw_Data!D818),AVERAGE(Raw_Data!D$2:D$5002),Raw_Data!D818)</f>
        <v>24618.08</v>
      </c>
      <c r="E818" s="15" t="str">
        <f>IF(ISBLANK(Raw_Data!E818),AVERAGE(Raw_Data!E$2:E$5002),Raw_Data!E818)</f>
        <v>7385.42</v>
      </c>
      <c r="F818" s="15" t="str">
        <f>IF(ISBLANK(Raw_Data!F818),AVERAGE(Raw_Data!F$2:F$5002),Raw_Data!F818)</f>
        <v>2705.98</v>
      </c>
      <c r="G818" s="14" t="str">
        <f>IF(ISBLANK(Raw_Data!G818),AVERAGE(Raw_Data!G$2:G$5002),Raw_Data!G818)</f>
        <v>5362.84</v>
      </c>
      <c r="H818" s="15" t="str">
        <f t="shared" si="1"/>
        <v>34709.00</v>
      </c>
      <c r="I818" s="14" t="str">
        <f t="shared" si="2"/>
        <v>29346.00</v>
      </c>
      <c r="J818" s="16" t="str">
        <f>TEXT(Raw_Data!J818,"MMM-YYY")</f>
        <v>Sep-2025</v>
      </c>
      <c r="K818" s="13" t="str">
        <f>Raw_Data!K818</f>
        <v>22</v>
      </c>
      <c r="L818" s="17" t="str">
        <f>Raw_Data!L818</f>
        <v>Jaipur-North</v>
      </c>
      <c r="M818" s="13" t="str">
        <f t="shared" si="3"/>
        <v>OK</v>
      </c>
      <c r="N818" s="18" t="str">
        <f t="shared" si="4"/>
        <v>VALID</v>
      </c>
    </row>
    <row r="819" ht="15.75" customHeight="1">
      <c r="A819" s="13" t="str">
        <f>Raw_Data!A819</f>
        <v>EMP0860</v>
      </c>
      <c r="B819" s="13" t="str">
        <f>TRIM(CLEAN(Raw_Data!B819))</f>
        <v>Operations</v>
      </c>
      <c r="C819" s="18" t="s">
        <v>33</v>
      </c>
      <c r="D819" s="14" t="str">
        <f>IF(ISBLANK(Raw_Data!D819),AVERAGE(Raw_Data!D$2:D$5002),Raw_Data!D819)</f>
        <v>28474.75</v>
      </c>
      <c r="E819" s="15" t="str">
        <f>IF(ISBLANK(Raw_Data!E819),AVERAGE(Raw_Data!E$2:E$5002),Raw_Data!E819)</f>
        <v>8542.42</v>
      </c>
      <c r="F819" s="15" t="str">
        <f>IF(ISBLANK(Raw_Data!F819),AVERAGE(Raw_Data!F$2:F$5002),Raw_Data!F819)</f>
        <v>4644.32</v>
      </c>
      <c r="G819" s="14" t="str">
        <f>IF(ISBLANK(Raw_Data!G819),AVERAGE(Raw_Data!G$2:G$5002),Raw_Data!G819)</f>
        <v>1933.11</v>
      </c>
      <c r="H819" s="15" t="str">
        <f t="shared" si="1"/>
        <v>41661.00</v>
      </c>
      <c r="I819" s="14" t="str">
        <f t="shared" si="2"/>
        <v>39728.00</v>
      </c>
      <c r="J819" s="16" t="str">
        <f>TEXT(Raw_Data!J819,"MMM-YYY")</f>
        <v>Jan-2025</v>
      </c>
      <c r="K819" s="13" t="str">
        <f>Raw_Data!K819</f>
        <v>16</v>
      </c>
      <c r="L819" s="17" t="str">
        <f>Raw_Data!L819</f>
        <v>Mumbai-HO</v>
      </c>
      <c r="M819" s="13" t="str">
        <f t="shared" si="3"/>
        <v>OK</v>
      </c>
      <c r="N819" s="18" t="str">
        <f t="shared" si="4"/>
        <v>VALID</v>
      </c>
    </row>
    <row r="820" ht="15.75" customHeight="1">
      <c r="A820" s="13" t="str">
        <f>Raw_Data!A820</f>
        <v>EMP0861</v>
      </c>
      <c r="B820" s="13" t="str">
        <f>TRIM(CLEAN(Raw_Data!B820))</f>
        <v>Marketing</v>
      </c>
      <c r="C820" s="18" t="s">
        <v>54</v>
      </c>
      <c r="D820" s="14" t="str">
        <f>IF(ISBLANK(Raw_Data!D820),AVERAGE(Raw_Data!D$2:D$5002),Raw_Data!D820)</f>
        <v>43048.69</v>
      </c>
      <c r="E820" s="15" t="str">
        <f>IF(ISBLANK(Raw_Data!E820),AVERAGE(Raw_Data!E$2:E$5002),Raw_Data!E820)</f>
        <v>12914.61</v>
      </c>
      <c r="F820" s="15" t="str">
        <f>IF(ISBLANK(Raw_Data!F820),AVERAGE(Raw_Data!F$2:F$5002),Raw_Data!F820)</f>
        <v>2248.07</v>
      </c>
      <c r="G820" s="14" t="str">
        <f>IF(ISBLANK(Raw_Data!G820),AVERAGE(Raw_Data!G$2:G$5002),Raw_Data!G820)</f>
        <v>5257.98</v>
      </c>
      <c r="H820" s="15" t="str">
        <f t="shared" si="1"/>
        <v>58211.00</v>
      </c>
      <c r="I820" s="14" t="str">
        <f t="shared" si="2"/>
        <v>52953.00</v>
      </c>
      <c r="J820" s="16" t="str">
        <f>TEXT(Raw_Data!J820,"MMM-YYY")</f>
        <v>Feb-2025</v>
      </c>
      <c r="K820" s="13" t="str">
        <f>Raw_Data!K820</f>
        <v>1</v>
      </c>
      <c r="L820" s="17" t="str">
        <f>Raw_Data!L820</f>
        <v>Delhi-North</v>
      </c>
      <c r="M820" s="13" t="str">
        <f t="shared" si="3"/>
        <v>OK</v>
      </c>
      <c r="N820" s="18" t="str">
        <f t="shared" si="4"/>
        <v>VALID</v>
      </c>
    </row>
    <row r="821" ht="15.75" customHeight="1">
      <c r="A821" s="13" t="str">
        <f>Raw_Data!A821</f>
        <v>EMP0862</v>
      </c>
      <c r="B821" s="13" t="str">
        <f>TRIM(CLEAN(Raw_Data!B821))</f>
        <v>Operations</v>
      </c>
      <c r="C821" s="18" t="s">
        <v>14</v>
      </c>
      <c r="D821" s="14" t="str">
        <f>IF(ISBLANK(Raw_Data!D821),AVERAGE(Raw_Data!D$2:D$5002),Raw_Data!D821)</f>
        <v>21622.82</v>
      </c>
      <c r="E821" s="15" t="str">
        <f>IF(ISBLANK(Raw_Data!E821),AVERAGE(Raw_Data!E$2:E$5002),Raw_Data!E821)</f>
        <v>6486.85</v>
      </c>
      <c r="F821" s="15" t="str">
        <f>IF(ISBLANK(Raw_Data!F821),AVERAGE(Raw_Data!F$2:F$5002),Raw_Data!F821)</f>
        <v>1470.20</v>
      </c>
      <c r="G821" s="14" t="str">
        <f>IF(ISBLANK(Raw_Data!G821),AVERAGE(Raw_Data!G$2:G$5002),Raw_Data!G821)</f>
        <v>759.02</v>
      </c>
      <c r="H821" s="15" t="str">
        <f t="shared" si="1"/>
        <v>29580.00</v>
      </c>
      <c r="I821" s="14" t="str">
        <f t="shared" si="2"/>
        <v>28821.00</v>
      </c>
      <c r="J821" s="16" t="str">
        <f>TEXT(Raw_Data!J821,"MMM-YYY")</f>
        <v>Sep-2025</v>
      </c>
      <c r="K821" s="13" t="str">
        <f>Raw_Data!K821</f>
        <v>25</v>
      </c>
      <c r="L821" s="17" t="str">
        <f>Raw_Data!L821</f>
        <v>Bangalore-South</v>
      </c>
      <c r="M821" s="13" t="str">
        <f t="shared" si="3"/>
        <v>OK</v>
      </c>
      <c r="N821" s="18" t="str">
        <f t="shared" si="4"/>
        <v>VALID</v>
      </c>
    </row>
    <row r="822" ht="15.75" customHeight="1">
      <c r="A822" s="13" t="str">
        <f>Raw_Data!A822</f>
        <v>EMP0863</v>
      </c>
      <c r="B822" s="13" t="str">
        <f>TRIM(CLEAN(Raw_Data!B822))</f>
        <v>IT</v>
      </c>
      <c r="C822" s="18" t="s">
        <v>37</v>
      </c>
      <c r="D822" s="14" t="str">
        <f>IF(ISBLANK(Raw_Data!D822),AVERAGE(Raw_Data!D$2:D$5002),Raw_Data!D822)</f>
        <v>59636.65</v>
      </c>
      <c r="E822" s="15" t="str">
        <f>IF(ISBLANK(Raw_Data!E822),AVERAGE(Raw_Data!E$2:E$5002),Raw_Data!E822)</f>
        <v>17890.99</v>
      </c>
      <c r="F822" s="15" t="str">
        <f>IF(ISBLANK(Raw_Data!F822),AVERAGE(Raw_Data!F$2:F$5002),Raw_Data!F822)</f>
        <v>6856.95</v>
      </c>
      <c r="G822" s="14" t="str">
        <f>IF(ISBLANK(Raw_Data!G822),AVERAGE(Raw_Data!G$2:G$5002),Raw_Data!G822)</f>
        <v>12419.78</v>
      </c>
      <c r="H822" s="15" t="str">
        <f t="shared" si="1"/>
        <v>84385.00</v>
      </c>
      <c r="I822" s="14" t="str">
        <f t="shared" si="2"/>
        <v>71965.00</v>
      </c>
      <c r="J822" s="16" t="str">
        <f>TEXT(Raw_Data!J822,"MMM-YYY")</f>
        <v>Jul-2025</v>
      </c>
      <c r="K822" s="13" t="str">
        <f>Raw_Data!K822</f>
        <v>22</v>
      </c>
      <c r="L822" s="17" t="str">
        <f>Raw_Data!L822</f>
        <v>Chennai-South</v>
      </c>
      <c r="M822" s="13" t="str">
        <f t="shared" si="3"/>
        <v>OK</v>
      </c>
      <c r="N822" s="18" t="str">
        <f t="shared" si="4"/>
        <v>VALID</v>
      </c>
    </row>
    <row r="823" ht="15.75" customHeight="1">
      <c r="A823" s="13" t="str">
        <f>Raw_Data!A823</f>
        <v>EMP0864</v>
      </c>
      <c r="B823" s="13" t="str">
        <f>TRIM(CLEAN(Raw_Data!B823))</f>
        <v>Operations</v>
      </c>
      <c r="C823" s="18" t="s">
        <v>54</v>
      </c>
      <c r="D823" s="14" t="str">
        <f>IF(ISBLANK(Raw_Data!D823),AVERAGE(Raw_Data!D$2:D$5002),Raw_Data!D823)</f>
        <v>45779.54</v>
      </c>
      <c r="E823" s="15" t="str">
        <f>IF(ISBLANK(Raw_Data!E823),AVERAGE(Raw_Data!E$2:E$5002),Raw_Data!E823)</f>
        <v>13733.86</v>
      </c>
      <c r="F823" s="15" t="str">
        <f>IF(ISBLANK(Raw_Data!F823),AVERAGE(Raw_Data!F$2:F$5002),Raw_Data!F823)</f>
        <v>6935.36</v>
      </c>
      <c r="G823" s="14" t="str">
        <f>IF(ISBLANK(Raw_Data!G823),AVERAGE(Raw_Data!G$2:G$5002),Raw_Data!G823)</f>
        <v>13201.52</v>
      </c>
      <c r="H823" s="15" t="str">
        <f t="shared" si="1"/>
        <v>66449.00</v>
      </c>
      <c r="I823" s="14" t="str">
        <f t="shared" si="2"/>
        <v>53247.00</v>
      </c>
      <c r="J823" s="16" t="str">
        <f>TEXT(Raw_Data!J823,"MMM-YYY")</f>
        <v>Aug-2025</v>
      </c>
      <c r="K823" s="13" t="str">
        <f>Raw_Data!K823</f>
        <v>1</v>
      </c>
      <c r="L823" s="17" t="str">
        <f>Raw_Data!L823</f>
        <v>Kolkata-East</v>
      </c>
      <c r="M823" s="13" t="str">
        <f t="shared" si="3"/>
        <v>OK</v>
      </c>
      <c r="N823" s="18" t="str">
        <f t="shared" si="4"/>
        <v>VALID</v>
      </c>
    </row>
    <row r="824" ht="15.75" customHeight="1">
      <c r="A824" s="13" t="str">
        <f>Raw_Data!A824</f>
        <v>EMP0865</v>
      </c>
      <c r="B824" s="13" t="s">
        <v>53</v>
      </c>
      <c r="C824" s="18" t="s">
        <v>54</v>
      </c>
      <c r="D824" s="14" t="str">
        <f>IF(ISBLANK(Raw_Data!D824),AVERAGE(Raw_Data!D$2:D$5002),Raw_Data!D824)</f>
        <v>47551.33</v>
      </c>
      <c r="E824" s="15" t="str">
        <f>IF(ISBLANK(Raw_Data!E824),AVERAGE(Raw_Data!E$2:E$5002),Raw_Data!E824)</f>
        <v>14265.40</v>
      </c>
      <c r="F824" s="15" t="str">
        <f>IF(ISBLANK(Raw_Data!F824),AVERAGE(Raw_Data!F$2:F$5002),Raw_Data!F824)</f>
        <v>8198.07</v>
      </c>
      <c r="G824" s="14" t="str">
        <f>IF(ISBLANK(Raw_Data!G824),AVERAGE(Raw_Data!G$2:G$5002),Raw_Data!G824)</f>
        <v>6875.50</v>
      </c>
      <c r="H824" s="15" t="str">
        <f t="shared" si="1"/>
        <v>70015.00</v>
      </c>
      <c r="I824" s="14" t="str">
        <f t="shared" si="2"/>
        <v>63140.00</v>
      </c>
      <c r="J824" s="16" t="str">
        <f>TEXT(Raw_Data!J824,"MMM-YYY")</f>
        <v>May-2025</v>
      </c>
      <c r="K824" s="13" t="str">
        <f>Raw_Data!K824</f>
        <v>10</v>
      </c>
      <c r="L824" s="17" t="str">
        <f>Raw_Data!L824</f>
        <v>Pune-West</v>
      </c>
      <c r="M824" s="13" t="str">
        <f t="shared" si="3"/>
        <v>OK</v>
      </c>
      <c r="N824" s="18" t="str">
        <f t="shared" si="4"/>
        <v>VALID</v>
      </c>
    </row>
    <row r="825" ht="15.75" customHeight="1">
      <c r="A825" s="13" t="str">
        <f>Raw_Data!A825</f>
        <v>EMP0866</v>
      </c>
      <c r="B825" s="13" t="str">
        <f>TRIM(CLEAN(Raw_Data!B825))</f>
        <v>HR</v>
      </c>
      <c r="C825" s="18" t="s">
        <v>54</v>
      </c>
      <c r="D825" s="14" t="str">
        <f>IF(ISBLANK(Raw_Data!D825),AVERAGE(Raw_Data!D$2:D$5002),Raw_Data!D825)</f>
        <v>43871.27</v>
      </c>
      <c r="E825" s="15" t="str">
        <f>IF(ISBLANK(Raw_Data!E825),AVERAGE(Raw_Data!E$2:E$5002),Raw_Data!E825)</f>
        <v>13161.38</v>
      </c>
      <c r="F825" s="15" t="str">
        <f>IF(ISBLANK(Raw_Data!F825),AVERAGE(Raw_Data!F$2:F$5002),Raw_Data!F825)</f>
        <v>8723.35</v>
      </c>
      <c r="G825" s="14" t="str">
        <f>IF(ISBLANK(Raw_Data!G825),AVERAGE(Raw_Data!G$2:G$5002),Raw_Data!G825)</f>
        <v>8909.11</v>
      </c>
      <c r="H825" s="15" t="str">
        <f t="shared" si="1"/>
        <v>65756.00</v>
      </c>
      <c r="I825" s="14" t="str">
        <f t="shared" si="2"/>
        <v>56847.00</v>
      </c>
      <c r="J825" s="16" t="str">
        <f>TEXT(Raw_Data!J825,"MMM-YYY")</f>
        <v>Apr-2025</v>
      </c>
      <c r="K825" s="13" t="str">
        <f>Raw_Data!K825</f>
        <v>5</v>
      </c>
      <c r="L825" s="17" t="str">
        <f>Raw_Data!L825</f>
        <v>Hyderabad-South</v>
      </c>
      <c r="M825" s="13" t="str">
        <f t="shared" si="3"/>
        <v>OK</v>
      </c>
      <c r="N825" s="18" t="str">
        <f t="shared" si="4"/>
        <v>VALID</v>
      </c>
    </row>
    <row r="826" ht="15.75" customHeight="1">
      <c r="A826" s="13" t="str">
        <f>Raw_Data!A826</f>
        <v>EMP0867</v>
      </c>
      <c r="B826" s="13" t="str">
        <f>TRIM(CLEAN(Raw_Data!B826))</f>
        <v>Customer Support</v>
      </c>
      <c r="C826" s="18" t="s">
        <v>33</v>
      </c>
      <c r="D826" s="14" t="str">
        <f>IF(ISBLANK(Raw_Data!D826),AVERAGE(Raw_Data!D$2:D$5002),Raw_Data!D826)</f>
        <v>71831.17</v>
      </c>
      <c r="E826" s="15" t="str">
        <f>IF(ISBLANK(Raw_Data!E826),AVERAGE(Raw_Data!E$2:E$5002),Raw_Data!E826)</f>
        <v>8737.28</v>
      </c>
      <c r="F826" s="15" t="str">
        <f>IF(ISBLANK(Raw_Data!F826),AVERAGE(Raw_Data!F$2:F$5002),Raw_Data!F826)</f>
        <v>2056.73</v>
      </c>
      <c r="G826" s="14" t="str">
        <f>IF(ISBLANK(Raw_Data!G826),AVERAGE(Raw_Data!G$2:G$5002),Raw_Data!G826)</f>
        <v>4680.14</v>
      </c>
      <c r="H826" s="15" t="str">
        <f t="shared" si="1"/>
        <v>82625.00</v>
      </c>
      <c r="I826" s="14" t="str">
        <f t="shared" si="2"/>
        <v>77945.00</v>
      </c>
      <c r="J826" s="16" t="str">
        <f>TEXT(Raw_Data!J826,"MMM-YYY")</f>
        <v>Dec-2025</v>
      </c>
      <c r="K826" s="13" t="str">
        <f>Raw_Data!K826</f>
        <v>18</v>
      </c>
      <c r="L826" s="17" t="str">
        <f>Raw_Data!L826</f>
        <v>Chandigarh-North</v>
      </c>
      <c r="M826" s="13" t="str">
        <f t="shared" si="3"/>
        <v>OK</v>
      </c>
      <c r="N826" s="18" t="str">
        <f t="shared" si="4"/>
        <v>VALID</v>
      </c>
    </row>
    <row r="827" ht="15.75" customHeight="1">
      <c r="A827" s="13" t="str">
        <f>Raw_Data!A827</f>
        <v>EMP0868</v>
      </c>
      <c r="B827" s="13" t="str">
        <f>TRIM(CLEAN(Raw_Data!B827))</f>
        <v>Customer Support</v>
      </c>
      <c r="C827" s="18" t="s">
        <v>33</v>
      </c>
      <c r="D827" s="14" t="str">
        <f>IF(ISBLANK(Raw_Data!D827),AVERAGE(Raw_Data!D$2:D$5002),Raw_Data!D827)</f>
        <v>27482.58</v>
      </c>
      <c r="E827" s="15" t="str">
        <f>IF(ISBLANK(Raw_Data!E827),AVERAGE(Raw_Data!E$2:E$5002),Raw_Data!E827)</f>
        <v>8244.77</v>
      </c>
      <c r="F827" s="15" t="str">
        <f>IF(ISBLANK(Raw_Data!F827),AVERAGE(Raw_Data!F$2:F$5002),Raw_Data!F827)</f>
        <v>511.23</v>
      </c>
      <c r="G827" s="14" t="str">
        <f>IF(ISBLANK(Raw_Data!G827),AVERAGE(Raw_Data!G$2:G$5002),Raw_Data!G827)</f>
        <v>5554.49</v>
      </c>
      <c r="H827" s="15" t="str">
        <f t="shared" si="1"/>
        <v>36239.00</v>
      </c>
      <c r="I827" s="14" t="str">
        <f t="shared" si="2"/>
        <v>30685.00</v>
      </c>
      <c r="J827" s="16" t="str">
        <f>TEXT(Raw_Data!J827,"MMM-YYY")</f>
        <v>Jun-2025</v>
      </c>
      <c r="K827" s="13" t="str">
        <f>Raw_Data!K827</f>
        <v>15</v>
      </c>
      <c r="L827" s="17" t="str">
        <f>Raw_Data!L827</f>
        <v>Ahmedabad-West</v>
      </c>
      <c r="M827" s="13" t="str">
        <f t="shared" si="3"/>
        <v>OK</v>
      </c>
      <c r="N827" s="18" t="str">
        <f t="shared" si="4"/>
        <v>VALID</v>
      </c>
    </row>
    <row r="828" ht="15.75" customHeight="1">
      <c r="A828" s="13" t="str">
        <f>Raw_Data!A828</f>
        <v>EMP0869</v>
      </c>
      <c r="B828" s="13" t="str">
        <f>TRIM(CLEAN(Raw_Data!B828))</f>
        <v>HR</v>
      </c>
      <c r="C828" s="18" t="s">
        <v>37</v>
      </c>
      <c r="D828" s="14" t="str">
        <f>IF(ISBLANK(Raw_Data!D828),AVERAGE(Raw_Data!D$2:D$5002),Raw_Data!D828)</f>
        <v>61765.13</v>
      </c>
      <c r="E828" s="15" t="str">
        <f>IF(ISBLANK(Raw_Data!E828),AVERAGE(Raw_Data!E$2:E$5002),Raw_Data!E828)</f>
        <v>18529.54</v>
      </c>
      <c r="F828" s="15" t="str">
        <f>IF(ISBLANK(Raw_Data!F828),AVERAGE(Raw_Data!F$2:F$5002),Raw_Data!F828)</f>
        <v>5886.90</v>
      </c>
      <c r="G828" s="14" t="str">
        <f>IF(ISBLANK(Raw_Data!G828),AVERAGE(Raw_Data!G$2:G$5002),Raw_Data!G828)</f>
        <v>6550.89</v>
      </c>
      <c r="H828" s="15" t="str">
        <f t="shared" si="1"/>
        <v>86182.00</v>
      </c>
      <c r="I828" s="14" t="str">
        <f t="shared" si="2"/>
        <v>79631.00</v>
      </c>
      <c r="J828" s="16" t="str">
        <f>TEXT(Raw_Data!J828,"MMM-YYY")</f>
        <v>Oct-2025</v>
      </c>
      <c r="K828" s="13" t="str">
        <f>Raw_Data!K828</f>
        <v>21</v>
      </c>
      <c r="L828" s="17" t="str">
        <f>Raw_Data!L828</f>
        <v>Jaipur-North</v>
      </c>
      <c r="M828" s="13" t="str">
        <f t="shared" si="3"/>
        <v>OK</v>
      </c>
      <c r="N828" s="18" t="str">
        <f t="shared" si="4"/>
        <v>VALID</v>
      </c>
    </row>
    <row r="829" ht="15.75" customHeight="1">
      <c r="A829" s="13" t="str">
        <f>Raw_Data!A829</f>
        <v>EMP0870</v>
      </c>
      <c r="B829" s="13" t="str">
        <f>TRIM(CLEAN(Raw_Data!B829))</f>
        <v>IT</v>
      </c>
      <c r="C829" s="18" t="s">
        <v>30</v>
      </c>
      <c r="D829" s="14" t="str">
        <f>IF(ISBLANK(Raw_Data!D829),AVERAGE(Raw_Data!D$2:D$5002),Raw_Data!D829)</f>
        <v>30334.64</v>
      </c>
      <c r="E829" s="15" t="str">
        <f>IF(ISBLANK(Raw_Data!E829),AVERAGE(Raw_Data!E$2:E$5002),Raw_Data!E829)</f>
        <v>9100.39</v>
      </c>
      <c r="F829" s="15" t="str">
        <f>IF(ISBLANK(Raw_Data!F829),AVERAGE(Raw_Data!F$2:F$5002),Raw_Data!F829)</f>
        <v>4144.36</v>
      </c>
      <c r="G829" s="14" t="str">
        <f>IF(ISBLANK(Raw_Data!G829),AVERAGE(Raw_Data!G$2:G$5002),Raw_Data!G829)</f>
        <v>8280.70</v>
      </c>
      <c r="H829" s="15" t="str">
        <f t="shared" si="1"/>
        <v>43579.00</v>
      </c>
      <c r="I829" s="14" t="str">
        <f t="shared" si="2"/>
        <v>35298.00</v>
      </c>
      <c r="J829" s="16" t="str">
        <f>TEXT(Raw_Data!J829,"MMM-YYY")</f>
        <v>Aug-2025</v>
      </c>
      <c r="K829" s="13" t="str">
        <f>Raw_Data!K829</f>
        <v>9</v>
      </c>
      <c r="L829" s="17" t="str">
        <f>Raw_Data!L829</f>
        <v>Mumbai-HO</v>
      </c>
      <c r="M829" s="13" t="str">
        <f t="shared" si="3"/>
        <v>OK</v>
      </c>
      <c r="N829" s="18" t="str">
        <f t="shared" si="4"/>
        <v>VALID</v>
      </c>
    </row>
    <row r="830" ht="15.75" customHeight="1">
      <c r="A830" s="13" t="str">
        <f>Raw_Data!A830</f>
        <v>EMP0872</v>
      </c>
      <c r="B830" s="13" t="str">
        <f>TRIM(CLEAN(Raw_Data!B830))</f>
        <v>Finance</v>
      </c>
      <c r="C830" s="18" t="s">
        <v>26</v>
      </c>
      <c r="D830" s="14" t="str">
        <f>IF(ISBLANK(Raw_Data!D830),AVERAGE(Raw_Data!D$2:D$5002),Raw_Data!D830)</f>
        <v>98989.04</v>
      </c>
      <c r="E830" s="15" t="str">
        <f>IF(ISBLANK(Raw_Data!E830),AVERAGE(Raw_Data!E$2:E$5002),Raw_Data!E830)</f>
        <v>29696.71</v>
      </c>
      <c r="F830" s="15" t="str">
        <f>IF(ISBLANK(Raw_Data!F830),AVERAGE(Raw_Data!F$2:F$5002),Raw_Data!F830)</f>
        <v>12246.86</v>
      </c>
      <c r="G830" s="14" t="str">
        <f>IF(ISBLANK(Raw_Data!G830),AVERAGE(Raw_Data!G$2:G$5002),Raw_Data!G830)</f>
        <v>4632.56</v>
      </c>
      <c r="H830" s="15" t="str">
        <f t="shared" si="1"/>
        <v>140933.00</v>
      </c>
      <c r="I830" s="14" t="str">
        <f t="shared" si="2"/>
        <v>136300.00</v>
      </c>
      <c r="J830" s="16" t="str">
        <f>TEXT(Raw_Data!J830,"MMM-YYY")</f>
        <v>Feb-2025</v>
      </c>
      <c r="K830" s="13" t="str">
        <f>Raw_Data!K830</f>
        <v>22</v>
      </c>
      <c r="L830" s="17" t="str">
        <f>Raw_Data!L830</f>
        <v>Bangalore-South</v>
      </c>
      <c r="M830" s="13" t="str">
        <f t="shared" si="3"/>
        <v>OK</v>
      </c>
      <c r="N830" s="18" t="str">
        <f t="shared" si="4"/>
        <v>VALID</v>
      </c>
    </row>
    <row r="831" ht="15.75" customHeight="1">
      <c r="A831" s="13" t="str">
        <f>Raw_Data!A831</f>
        <v>EMP0873</v>
      </c>
      <c r="B831" s="13" t="str">
        <f>TRIM(CLEAN(Raw_Data!B831))</f>
        <v>HR</v>
      </c>
      <c r="C831" s="18" t="s">
        <v>14</v>
      </c>
      <c r="D831" s="14" t="str">
        <f>IF(ISBLANK(Raw_Data!D831),AVERAGE(Raw_Data!D$2:D$5002),Raw_Data!D831)</f>
        <v>22865.85</v>
      </c>
      <c r="E831" s="15" t="str">
        <f>IF(ISBLANK(Raw_Data!E831),AVERAGE(Raw_Data!E$2:E$5002),Raw_Data!E831)</f>
        <v>6859.75</v>
      </c>
      <c r="F831" s="15" t="str">
        <f>IF(ISBLANK(Raw_Data!F831),AVERAGE(Raw_Data!F$2:F$5002),Raw_Data!F831)</f>
        <v>3033.95</v>
      </c>
      <c r="G831" s="14" t="str">
        <f>IF(ISBLANK(Raw_Data!G831),AVERAGE(Raw_Data!G$2:G$5002),Raw_Data!G831)</f>
        <v>4210.70</v>
      </c>
      <c r="H831" s="15" t="str">
        <f t="shared" si="1"/>
        <v>32760.00</v>
      </c>
      <c r="I831" s="14" t="str">
        <f t="shared" si="2"/>
        <v>28549.00</v>
      </c>
      <c r="J831" s="16" t="str">
        <f>TEXT(Raw_Data!J831,"MMM-YYY")</f>
        <v>Sep-2025</v>
      </c>
      <c r="K831" s="13" t="str">
        <f>Raw_Data!K831</f>
        <v>7</v>
      </c>
      <c r="L831" s="17" t="str">
        <f>Raw_Data!L831</f>
        <v>Chennai-South</v>
      </c>
      <c r="M831" s="13" t="str">
        <f t="shared" si="3"/>
        <v>OK</v>
      </c>
      <c r="N831" s="18" t="str">
        <f t="shared" si="4"/>
        <v>VALID</v>
      </c>
    </row>
    <row r="832" ht="15.75" customHeight="1">
      <c r="A832" s="13" t="str">
        <f>Raw_Data!A832</f>
        <v>EMP0874</v>
      </c>
      <c r="B832" s="13" t="str">
        <f>TRIM(CLEAN(Raw_Data!B832))</f>
        <v>HR</v>
      </c>
      <c r="C832" s="18" t="s">
        <v>26</v>
      </c>
      <c r="D832" s="14" t="str">
        <f>IF(ISBLANK(Raw_Data!D832),AVERAGE(Raw_Data!D$2:D$5002),Raw_Data!D832)</f>
        <v>107362.51</v>
      </c>
      <c r="E832" s="15" t="str">
        <f>IF(ISBLANK(Raw_Data!E832),AVERAGE(Raw_Data!E$2:E$5002),Raw_Data!E832)</f>
        <v>32208.75</v>
      </c>
      <c r="F832" s="15" t="str">
        <f>IF(ISBLANK(Raw_Data!F832),AVERAGE(Raw_Data!F$2:F$5002),Raw_Data!F832)</f>
        <v>13327.28</v>
      </c>
      <c r="G832" s="14" t="str">
        <f>IF(ISBLANK(Raw_Data!G832),AVERAGE(Raw_Data!G$2:G$5002),Raw_Data!G832)</f>
        <v>15857.67</v>
      </c>
      <c r="H832" s="15" t="str">
        <f t="shared" si="1"/>
        <v>152899.00</v>
      </c>
      <c r="I832" s="14" t="str">
        <f t="shared" si="2"/>
        <v>137041.00</v>
      </c>
      <c r="J832" s="16" t="str">
        <f>TEXT(Raw_Data!J832,"MMM-YYY")</f>
        <v>Oct-2025</v>
      </c>
      <c r="K832" s="13" t="str">
        <f>Raw_Data!K832</f>
        <v>15</v>
      </c>
      <c r="L832" s="17" t="str">
        <f>Raw_Data!L832</f>
        <v>Kolkata-East</v>
      </c>
      <c r="M832" s="13" t="str">
        <f t="shared" si="3"/>
        <v>OK</v>
      </c>
      <c r="N832" s="18" t="str">
        <f t="shared" si="4"/>
        <v>VALID</v>
      </c>
    </row>
    <row r="833" ht="15.75" customHeight="1">
      <c r="A833" s="13" t="str">
        <f>Raw_Data!A833</f>
        <v>EMP0875</v>
      </c>
      <c r="B833" s="13" t="str">
        <f>TRIM(CLEAN(Raw_Data!B833))</f>
        <v>Customer Support</v>
      </c>
      <c r="C833" s="18" t="s">
        <v>33</v>
      </c>
      <c r="D833" s="14" t="str">
        <f>IF(ISBLANK(Raw_Data!D833),AVERAGE(Raw_Data!D$2:D$5002),Raw_Data!D833)</f>
        <v>29908.05</v>
      </c>
      <c r="E833" s="15" t="str">
        <f>IF(ISBLANK(Raw_Data!E833),AVERAGE(Raw_Data!E$2:E$5002),Raw_Data!E833)</f>
        <v>8972.41</v>
      </c>
      <c r="F833" s="15" t="str">
        <f>IF(ISBLANK(Raw_Data!F833),AVERAGE(Raw_Data!F$2:F$5002),Raw_Data!F833)</f>
        <v>5888.27</v>
      </c>
      <c r="G833" s="14" t="str">
        <f>IF(ISBLANK(Raw_Data!G833),AVERAGE(Raw_Data!G$2:G$5002),Raw_Data!G833)</f>
        <v>8218.79</v>
      </c>
      <c r="H833" s="15" t="str">
        <f t="shared" si="1"/>
        <v>44769.00</v>
      </c>
      <c r="I833" s="14" t="str">
        <f t="shared" si="2"/>
        <v>36550.00</v>
      </c>
      <c r="J833" s="16" t="str">
        <f>TEXT(Raw_Data!J833,"MMM-YYY")</f>
        <v>May-2025</v>
      </c>
      <c r="K833" s="13" t="str">
        <f>Raw_Data!K833</f>
        <v>10</v>
      </c>
      <c r="L833" s="17" t="str">
        <f>Raw_Data!L833</f>
        <v>Pune-West</v>
      </c>
      <c r="M833" s="13" t="str">
        <f t="shared" si="3"/>
        <v>OK</v>
      </c>
      <c r="N833" s="18" t="str">
        <f t="shared" si="4"/>
        <v>VALID</v>
      </c>
    </row>
    <row r="834" ht="15.75" customHeight="1">
      <c r="A834" s="13" t="str">
        <f>Raw_Data!A834</f>
        <v>EMP0876</v>
      </c>
      <c r="B834" s="13" t="str">
        <f>TRIM(CLEAN(Raw_Data!B834))</f>
        <v>Marketing</v>
      </c>
      <c r="C834" s="18" t="s">
        <v>30</v>
      </c>
      <c r="D834" s="14" t="str">
        <f>IF(ISBLANK(Raw_Data!D834),AVERAGE(Raw_Data!D$2:D$5002),Raw_Data!D834)</f>
        <v>28601.49</v>
      </c>
      <c r="E834" s="15" t="str">
        <f>IF(ISBLANK(Raw_Data!E834),AVERAGE(Raw_Data!E$2:E$5002),Raw_Data!E834)</f>
        <v>8580.45</v>
      </c>
      <c r="F834" s="15" t="str">
        <f>IF(ISBLANK(Raw_Data!F834),AVERAGE(Raw_Data!F$2:F$5002),Raw_Data!F834)</f>
        <v>733.61</v>
      </c>
      <c r="G834" s="14" t="str">
        <f>IF(ISBLANK(Raw_Data!G834),AVERAGE(Raw_Data!G$2:G$5002),Raw_Data!G834)</f>
        <v>4511.05</v>
      </c>
      <c r="H834" s="15" t="str">
        <f t="shared" si="1"/>
        <v>37916.00</v>
      </c>
      <c r="I834" s="14" t="str">
        <f t="shared" si="2"/>
        <v>33405.00</v>
      </c>
      <c r="J834" s="16" t="str">
        <f>TEXT(Raw_Data!J834,"MMM-YYY")</f>
        <v>Jul-2025</v>
      </c>
      <c r="K834" s="13" t="str">
        <f>Raw_Data!K834</f>
        <v>15</v>
      </c>
      <c r="L834" s="17" t="str">
        <f>Raw_Data!L834</f>
        <v>Hyderabad-South</v>
      </c>
      <c r="M834" s="13" t="str">
        <f t="shared" si="3"/>
        <v>OK</v>
      </c>
      <c r="N834" s="18" t="str">
        <f t="shared" si="4"/>
        <v>VALID</v>
      </c>
    </row>
    <row r="835" ht="15.75" customHeight="1">
      <c r="A835" s="13" t="str">
        <f>Raw_Data!A835</f>
        <v>EMP0877</v>
      </c>
      <c r="B835" s="13" t="str">
        <f>TRIM(CLEAN(Raw_Data!B835))</f>
        <v>Marketing</v>
      </c>
      <c r="C835" s="18" t="s">
        <v>37</v>
      </c>
      <c r="D835" s="14" t="str">
        <f>IF(ISBLANK(Raw_Data!D835),AVERAGE(Raw_Data!D$2:D$5002),Raw_Data!D835)</f>
        <v>45586.13</v>
      </c>
      <c r="E835" s="15" t="str">
        <f>IF(ISBLANK(Raw_Data!E835),AVERAGE(Raw_Data!E$2:E$5002),Raw_Data!E835)</f>
        <v>13675.84</v>
      </c>
      <c r="F835" s="15" t="str">
        <f>IF(ISBLANK(Raw_Data!F835),AVERAGE(Raw_Data!F$2:F$5002),Raw_Data!F835)</f>
        <v>3166.31</v>
      </c>
      <c r="G835" s="14" t="str">
        <f>IF(ISBLANK(Raw_Data!G835),AVERAGE(Raw_Data!G$2:G$5002),Raw_Data!G835)</f>
        <v>11766.69</v>
      </c>
      <c r="H835" s="15" t="str">
        <f t="shared" si="1"/>
        <v>62428.00</v>
      </c>
      <c r="I835" s="14" t="str">
        <f t="shared" si="2"/>
        <v>50661.00</v>
      </c>
      <c r="J835" s="16" t="str">
        <f>TEXT(Raw_Data!J835,"MMM-YYY")</f>
        <v>Mar-2025</v>
      </c>
      <c r="K835" s="13" t="str">
        <f>Raw_Data!K835</f>
        <v>12</v>
      </c>
      <c r="L835" s="17" t="str">
        <f>Raw_Data!L835</f>
        <v>Chandigarh-North</v>
      </c>
      <c r="M835" s="13" t="str">
        <f t="shared" si="3"/>
        <v>OK</v>
      </c>
      <c r="N835" s="18" t="str">
        <f t="shared" si="4"/>
        <v>VALID</v>
      </c>
    </row>
    <row r="836" ht="15.75" customHeight="1">
      <c r="A836" s="13" t="str">
        <f>Raw_Data!A836</f>
        <v>EMP0878</v>
      </c>
      <c r="B836" s="13" t="str">
        <f>TRIM(CLEAN(Raw_Data!B836))</f>
        <v>Marketing</v>
      </c>
      <c r="C836" s="18" t="s">
        <v>14</v>
      </c>
      <c r="D836" s="14" t="str">
        <f>IF(ISBLANK(Raw_Data!D836),AVERAGE(Raw_Data!D$2:D$5002),Raw_Data!D836)</f>
        <v>23027.36</v>
      </c>
      <c r="E836" s="15" t="str">
        <f>IF(ISBLANK(Raw_Data!E836),AVERAGE(Raw_Data!E$2:E$5002),Raw_Data!E836)</f>
        <v>6908.21</v>
      </c>
      <c r="F836" s="15" t="str">
        <f>IF(ISBLANK(Raw_Data!F836),AVERAGE(Raw_Data!F$2:F$5002),Raw_Data!F836)</f>
        <v>2118.84</v>
      </c>
      <c r="G836" s="14" t="str">
        <f>IF(ISBLANK(Raw_Data!G836),AVERAGE(Raw_Data!G$2:G$5002),Raw_Data!G836)</f>
        <v>4761.21</v>
      </c>
      <c r="H836" s="15" t="str">
        <f t="shared" si="1"/>
        <v>32054.00</v>
      </c>
      <c r="I836" s="14" t="str">
        <f t="shared" si="2"/>
        <v>27293.00</v>
      </c>
      <c r="J836" s="16" t="str">
        <f>TEXT(Raw_Data!J836,"MMM-YYY")</f>
        <v>Jan-2025</v>
      </c>
      <c r="K836" s="13" t="str">
        <f>Raw_Data!K836</f>
        <v>5</v>
      </c>
      <c r="L836" s="17" t="str">
        <f>Raw_Data!L836</f>
        <v>Ahmedabad-West</v>
      </c>
      <c r="M836" s="13" t="str">
        <f t="shared" si="3"/>
        <v>OK</v>
      </c>
      <c r="N836" s="18" t="str">
        <f t="shared" si="4"/>
        <v>VALID</v>
      </c>
    </row>
    <row r="837" ht="15.75" customHeight="1">
      <c r="A837" s="13" t="str">
        <f>Raw_Data!A837</f>
        <v>EMP0879</v>
      </c>
      <c r="B837" s="13" t="str">
        <f>TRIM(CLEAN(Raw_Data!B837))</f>
        <v>Sales</v>
      </c>
      <c r="C837" s="18" t="s">
        <v>30</v>
      </c>
      <c r="D837" s="14" t="str">
        <f>IF(ISBLANK(Raw_Data!D837),AVERAGE(Raw_Data!D$2:D$5002),Raw_Data!D837)</f>
        <v>25338.97</v>
      </c>
      <c r="E837" s="15" t="str">
        <f>IF(ISBLANK(Raw_Data!E837),AVERAGE(Raw_Data!E$2:E$5002),Raw_Data!E837)</f>
        <v>7601.69</v>
      </c>
      <c r="F837" s="15" t="str">
        <f>IF(ISBLANK(Raw_Data!F837),AVERAGE(Raw_Data!F$2:F$5002),Raw_Data!F837)</f>
        <v>510.57</v>
      </c>
      <c r="G837" s="14" t="str">
        <f>IF(ISBLANK(Raw_Data!G837),AVERAGE(Raw_Data!G$2:G$5002),Raw_Data!G837)</f>
        <v>2748.79</v>
      </c>
      <c r="H837" s="15" t="str">
        <f t="shared" si="1"/>
        <v>33451.00</v>
      </c>
      <c r="I837" s="14" t="str">
        <f t="shared" si="2"/>
        <v>30702.00</v>
      </c>
      <c r="J837" s="16" t="str">
        <f>TEXT(Raw_Data!J837,"MMM-YYY")</f>
        <v>May-2025</v>
      </c>
      <c r="K837" s="13" t="str">
        <f>Raw_Data!K837</f>
        <v>9</v>
      </c>
      <c r="L837" s="17" t="str">
        <f>Raw_Data!L837</f>
        <v>Jaipur-North</v>
      </c>
      <c r="M837" s="13" t="str">
        <f t="shared" si="3"/>
        <v>OK</v>
      </c>
      <c r="N837" s="18" t="str">
        <f t="shared" si="4"/>
        <v>VALID</v>
      </c>
    </row>
    <row r="838" ht="15.75" customHeight="1">
      <c r="A838" s="13" t="str">
        <f>Raw_Data!A838</f>
        <v>EMP0881</v>
      </c>
      <c r="B838" s="13" t="str">
        <f>TRIM(CLEAN(Raw_Data!B838))</f>
        <v>IT</v>
      </c>
      <c r="C838" s="18" t="s">
        <v>30</v>
      </c>
      <c r="D838" s="14" t="str">
        <f>IF(ISBLANK(Raw_Data!D838),AVERAGE(Raw_Data!D$2:D$5002),Raw_Data!D838)</f>
        <v>26389.18</v>
      </c>
      <c r="E838" s="15" t="str">
        <f>IF(ISBLANK(Raw_Data!E838),AVERAGE(Raw_Data!E$2:E$5002),Raw_Data!E838)</f>
        <v>7916.75</v>
      </c>
      <c r="F838" s="15" t="str">
        <f>IF(ISBLANK(Raw_Data!F838),AVERAGE(Raw_Data!F$2:F$5002),Raw_Data!F838)</f>
        <v>1111.16</v>
      </c>
      <c r="G838" s="14" t="str">
        <f>IF(ISBLANK(Raw_Data!G838),AVERAGE(Raw_Data!G$2:G$5002),Raw_Data!G838)</f>
        <v>5547.37</v>
      </c>
      <c r="H838" s="15" t="str">
        <f t="shared" si="1"/>
        <v>35417.00</v>
      </c>
      <c r="I838" s="14" t="str">
        <f t="shared" si="2"/>
        <v>29870.00</v>
      </c>
      <c r="J838" s="16" t="str">
        <f>TEXT(Raw_Data!J838,"MMM-YYY")</f>
        <v>Jun-2025</v>
      </c>
      <c r="K838" s="13" t="str">
        <f>Raw_Data!K838</f>
        <v>19</v>
      </c>
      <c r="L838" s="17" t="str">
        <f>Raw_Data!L838</f>
        <v>Delhi-North</v>
      </c>
      <c r="M838" s="13" t="str">
        <f t="shared" si="3"/>
        <v>OK</v>
      </c>
      <c r="N838" s="18" t="str">
        <f t="shared" si="4"/>
        <v>VALID</v>
      </c>
    </row>
    <row r="839" ht="15.75" customHeight="1">
      <c r="A839" s="13" t="str">
        <f>Raw_Data!A839</f>
        <v>EMP0882</v>
      </c>
      <c r="B839" s="13" t="str">
        <f>TRIM(CLEAN(Raw_Data!B839))</f>
        <v>IT</v>
      </c>
      <c r="C839" s="18" t="s">
        <v>26</v>
      </c>
      <c r="D839" s="14" t="str">
        <f>IF(ISBLANK(Raw_Data!D839),AVERAGE(Raw_Data!D$2:D$5002),Raw_Data!D839)</f>
        <v>104421.33</v>
      </c>
      <c r="E839" s="15" t="str">
        <f>IF(ISBLANK(Raw_Data!E839),AVERAGE(Raw_Data!E$2:E$5002),Raw_Data!E839)</f>
        <v>31326.40</v>
      </c>
      <c r="F839" s="15" t="str">
        <f>IF(ISBLANK(Raw_Data!F839),AVERAGE(Raw_Data!F$2:F$5002),Raw_Data!F839)</f>
        <v>9413.14</v>
      </c>
      <c r="G839" s="14" t="str">
        <f>IF(ISBLANK(Raw_Data!G839),AVERAGE(Raw_Data!G$2:G$5002),Raw_Data!G839)</f>
        <v>17900.21</v>
      </c>
      <c r="H839" s="15" t="str">
        <f t="shared" si="1"/>
        <v>145161.00</v>
      </c>
      <c r="I839" s="14" t="str">
        <f t="shared" si="2"/>
        <v>127261.00</v>
      </c>
      <c r="J839" s="16" t="str">
        <f>TEXT(Raw_Data!J839,"MMM-YYY")</f>
        <v>Oct-2025</v>
      </c>
      <c r="K839" s="13" t="str">
        <f>Raw_Data!K839</f>
        <v>8</v>
      </c>
      <c r="L839" s="17" t="str">
        <f>Raw_Data!L839</f>
        <v>Bangalore-South</v>
      </c>
      <c r="M839" s="13" t="str">
        <f t="shared" si="3"/>
        <v>OK</v>
      </c>
      <c r="N839" s="18" t="str">
        <f t="shared" si="4"/>
        <v>VALID</v>
      </c>
    </row>
    <row r="840" ht="15.75" customHeight="1">
      <c r="A840" s="13" t="str">
        <f>Raw_Data!A840</f>
        <v>EMP0883</v>
      </c>
      <c r="B840" s="13" t="str">
        <f>TRIM(CLEAN(Raw_Data!B840))</f>
        <v>Sales</v>
      </c>
      <c r="C840" s="18" t="s">
        <v>30</v>
      </c>
      <c r="D840" s="14" t="str">
        <f>IF(ISBLANK(Raw_Data!D840),AVERAGE(Raw_Data!D$2:D$5002),Raw_Data!D840)</f>
        <v>29164.88</v>
      </c>
      <c r="E840" s="15" t="str">
        <f>IF(ISBLANK(Raw_Data!E840),AVERAGE(Raw_Data!E$2:E$5002),Raw_Data!E840)</f>
        <v>8749.46</v>
      </c>
      <c r="F840" s="15" t="str">
        <f>IF(ISBLANK(Raw_Data!F840),AVERAGE(Raw_Data!F$2:F$5002),Raw_Data!F840)</f>
        <v>4204.50</v>
      </c>
      <c r="G840" s="14" t="str">
        <f>IF(ISBLANK(Raw_Data!G840),AVERAGE(Raw_Data!G$2:G$5002),Raw_Data!G840)</f>
        <v>7035.34</v>
      </c>
      <c r="H840" s="15" t="str">
        <f t="shared" si="1"/>
        <v>42119.00</v>
      </c>
      <c r="I840" s="14" t="str">
        <f t="shared" si="2"/>
        <v>35084.00</v>
      </c>
      <c r="J840" s="16" t="str">
        <f>TEXT(Raw_Data!J840,"MMM-YYY")</f>
        <v>Sep-2025</v>
      </c>
      <c r="K840" s="13" t="str">
        <f>Raw_Data!K840</f>
        <v>12</v>
      </c>
      <c r="L840" s="17" t="str">
        <f>Raw_Data!L840</f>
        <v>Chennai-South</v>
      </c>
      <c r="M840" s="13" t="str">
        <f t="shared" si="3"/>
        <v>OK</v>
      </c>
      <c r="N840" s="18" t="str">
        <f t="shared" si="4"/>
        <v>VALID</v>
      </c>
    </row>
    <row r="841" ht="15.75" customHeight="1">
      <c r="A841" s="13" t="str">
        <f>Raw_Data!A841</f>
        <v>EMP0884</v>
      </c>
      <c r="B841" s="13" t="str">
        <f>TRIM(CLEAN(Raw_Data!B841))</f>
        <v>Marketing</v>
      </c>
      <c r="C841" s="18" t="s">
        <v>26</v>
      </c>
      <c r="D841" s="14" t="str">
        <f>IF(ISBLANK(Raw_Data!D841),AVERAGE(Raw_Data!D$2:D$5002),Raw_Data!D841)</f>
        <v>103711.80</v>
      </c>
      <c r="E841" s="15" t="str">
        <f>IF(ISBLANK(Raw_Data!E841),AVERAGE(Raw_Data!E$2:E$5002),Raw_Data!E841)</f>
        <v>31113.54</v>
      </c>
      <c r="F841" s="15" t="str">
        <f>IF(ISBLANK(Raw_Data!F841),AVERAGE(Raw_Data!F$2:F$5002),Raw_Data!F841)</f>
        <v>3025.14</v>
      </c>
      <c r="G841" s="14" t="str">
        <f>IF(ISBLANK(Raw_Data!G841),AVERAGE(Raw_Data!G$2:G$5002),Raw_Data!G841)</f>
        <v>29842.49</v>
      </c>
      <c r="H841" s="15" t="str">
        <f t="shared" si="1"/>
        <v>137850.00</v>
      </c>
      <c r="I841" s="14" t="str">
        <f t="shared" si="2"/>
        <v>108008.00</v>
      </c>
      <c r="J841" s="16" t="str">
        <f>TEXT(Raw_Data!J841,"MMM-YYY")</f>
        <v>Mar-2025</v>
      </c>
      <c r="K841" s="13" t="str">
        <f>Raw_Data!K841</f>
        <v>20</v>
      </c>
      <c r="L841" s="17" t="str">
        <f>Raw_Data!L841</f>
        <v>Kolkata-East</v>
      </c>
      <c r="M841" s="13" t="str">
        <f t="shared" si="3"/>
        <v>OK</v>
      </c>
      <c r="N841" s="18" t="str">
        <f t="shared" si="4"/>
        <v>VALID</v>
      </c>
    </row>
    <row r="842" ht="15.75" customHeight="1">
      <c r="A842" s="13" t="str">
        <f>Raw_Data!A842</f>
        <v>EMP0885</v>
      </c>
      <c r="B842" s="13" t="str">
        <f>TRIM(CLEAN(Raw_Data!B842))</f>
        <v>Marketing</v>
      </c>
      <c r="C842" s="18" t="s">
        <v>26</v>
      </c>
      <c r="D842" s="14" t="str">
        <f>IF(ISBLANK(Raw_Data!D842),AVERAGE(Raw_Data!D$2:D$5002),Raw_Data!D842)</f>
        <v>90350.72</v>
      </c>
      <c r="E842" s="15" t="str">
        <f>IF(ISBLANK(Raw_Data!E842),AVERAGE(Raw_Data!E$2:E$5002),Raw_Data!E842)</f>
        <v>27105.22</v>
      </c>
      <c r="F842" s="15" t="str">
        <f>IF(ISBLANK(Raw_Data!F842),AVERAGE(Raw_Data!F$2:F$5002),Raw_Data!F842)</f>
        <v>7616.94</v>
      </c>
      <c r="G842" s="14" t="str">
        <f>IF(ISBLANK(Raw_Data!G842),AVERAGE(Raw_Data!G$2:G$5002),Raw_Data!G842)</f>
        <v>3644.88</v>
      </c>
      <c r="H842" s="15" t="str">
        <f t="shared" si="1"/>
        <v>125073.00</v>
      </c>
      <c r="I842" s="14" t="str">
        <f t="shared" si="2"/>
        <v>121428.00</v>
      </c>
      <c r="J842" s="16" t="str">
        <f>TEXT(Raw_Data!J842,"MMM-YYY")</f>
        <v>Nov-2025</v>
      </c>
      <c r="K842" s="13" t="str">
        <f>Raw_Data!K842</f>
        <v>23</v>
      </c>
      <c r="L842" s="17" t="str">
        <f>Raw_Data!L842</f>
        <v>Pune-West</v>
      </c>
      <c r="M842" s="13" t="str">
        <f t="shared" si="3"/>
        <v>OK</v>
      </c>
      <c r="N842" s="18" t="str">
        <f t="shared" si="4"/>
        <v>VALID</v>
      </c>
    </row>
    <row r="843" ht="15.75" customHeight="1">
      <c r="A843" s="13" t="str">
        <f>Raw_Data!A843</f>
        <v>EMP0886</v>
      </c>
      <c r="B843" s="13" t="str">
        <f>TRIM(CLEAN(Raw_Data!B843))</f>
        <v>Operations</v>
      </c>
      <c r="C843" s="18" t="s">
        <v>37</v>
      </c>
      <c r="D843" s="14" t="str">
        <f>IF(ISBLANK(Raw_Data!D843),AVERAGE(Raw_Data!D$2:D$5002),Raw_Data!D843)</f>
        <v>57970.09</v>
      </c>
      <c r="E843" s="15" t="str">
        <f>IF(ISBLANK(Raw_Data!E843),AVERAGE(Raw_Data!E$2:E$5002),Raw_Data!E843)</f>
        <v>17391.03</v>
      </c>
      <c r="F843" s="15" t="str">
        <f>IF(ISBLANK(Raw_Data!F843),AVERAGE(Raw_Data!F$2:F$5002),Raw_Data!F843)</f>
        <v>9105.16</v>
      </c>
      <c r="G843" s="14" t="str">
        <f>IF(ISBLANK(Raw_Data!G843),AVERAGE(Raw_Data!G$2:G$5002),Raw_Data!G843)</f>
        <v>5217.90</v>
      </c>
      <c r="H843" s="15" t="str">
        <f t="shared" si="1"/>
        <v>84466.00</v>
      </c>
      <c r="I843" s="14" t="str">
        <f t="shared" si="2"/>
        <v>79248.00</v>
      </c>
      <c r="J843" s="16" t="str">
        <f>TEXT(Raw_Data!J843,"MMM-YYY")</f>
        <v>Sep-2025</v>
      </c>
      <c r="K843" s="13" t="str">
        <f>Raw_Data!K843</f>
        <v>7</v>
      </c>
      <c r="L843" s="17" t="str">
        <f>Raw_Data!L843</f>
        <v>Hyderabad-South</v>
      </c>
      <c r="M843" s="13" t="str">
        <f t="shared" si="3"/>
        <v>OK</v>
      </c>
      <c r="N843" s="18" t="str">
        <f t="shared" si="4"/>
        <v>VALID</v>
      </c>
    </row>
    <row r="844" ht="15.75" customHeight="1">
      <c r="A844" s="13" t="str">
        <f>Raw_Data!A844</f>
        <v>EMP0887</v>
      </c>
      <c r="B844" s="13" t="str">
        <f>TRIM(CLEAN(Raw_Data!B844))</f>
        <v>Customer Support</v>
      </c>
      <c r="C844" s="18" t="s">
        <v>37</v>
      </c>
      <c r="D844" s="14" t="str">
        <f>IF(ISBLANK(Raw_Data!D844),AVERAGE(Raw_Data!D$2:D$5002),Raw_Data!D844)</f>
        <v>45858.77</v>
      </c>
      <c r="E844" s="15" t="str">
        <f>IF(ISBLANK(Raw_Data!E844),AVERAGE(Raw_Data!E$2:E$5002),Raw_Data!E844)</f>
        <v>13757.63</v>
      </c>
      <c r="F844" s="15" t="str">
        <f>IF(ISBLANK(Raw_Data!F844),AVERAGE(Raw_Data!F$2:F$5002),Raw_Data!F844)</f>
        <v>907.77</v>
      </c>
      <c r="G844" s="14" t="str">
        <f>IF(ISBLANK(Raw_Data!G844),AVERAGE(Raw_Data!G$2:G$5002),Raw_Data!G844)</f>
        <v>2247.20</v>
      </c>
      <c r="H844" s="15" t="str">
        <f t="shared" si="1"/>
        <v>60524.00</v>
      </c>
      <c r="I844" s="14" t="str">
        <f t="shared" si="2"/>
        <v>58277.00</v>
      </c>
      <c r="J844" s="16" t="str">
        <f>TEXT(Raw_Data!J844,"MMM-YYY")</f>
        <v>Apr-2025</v>
      </c>
      <c r="K844" s="13" t="str">
        <f>Raw_Data!K844</f>
        <v>12</v>
      </c>
      <c r="L844" s="17" t="str">
        <f>Raw_Data!L844</f>
        <v>Chandigarh-North</v>
      </c>
      <c r="M844" s="13" t="str">
        <f t="shared" si="3"/>
        <v>OK</v>
      </c>
      <c r="N844" s="18" t="str">
        <f t="shared" si="4"/>
        <v>VALID</v>
      </c>
    </row>
    <row r="845" ht="15.75" customHeight="1">
      <c r="A845" s="13" t="str">
        <f>Raw_Data!A845</f>
        <v>EMP0888</v>
      </c>
      <c r="B845" s="13" t="str">
        <f>TRIM(CLEAN(Raw_Data!B845))</f>
        <v>Customer Support</v>
      </c>
      <c r="C845" s="18" t="s">
        <v>33</v>
      </c>
      <c r="D845" s="14" t="str">
        <f>IF(ISBLANK(Raw_Data!D845),AVERAGE(Raw_Data!D$2:D$5002),Raw_Data!D845)</f>
        <v>29765.39</v>
      </c>
      <c r="E845" s="15" t="str">
        <f>IF(ISBLANK(Raw_Data!E845),AVERAGE(Raw_Data!E$2:E$5002),Raw_Data!E845)</f>
        <v>8929.62</v>
      </c>
      <c r="F845" s="15" t="str">
        <f>IF(ISBLANK(Raw_Data!F845),AVERAGE(Raw_Data!F$2:F$5002),Raw_Data!F845)</f>
        <v>3749.62</v>
      </c>
      <c r="G845" s="14" t="str">
        <f>IF(ISBLANK(Raw_Data!G845),AVERAGE(Raw_Data!G$2:G$5002),Raw_Data!G845)</f>
        <v>4017.03</v>
      </c>
      <c r="H845" s="15" t="str">
        <f t="shared" si="1"/>
        <v>42445.00</v>
      </c>
      <c r="I845" s="14" t="str">
        <f t="shared" si="2"/>
        <v>38428.00</v>
      </c>
      <c r="J845" s="16" t="str">
        <f>TEXT(Raw_Data!J845,"MMM-YYY")</f>
        <v>Jun-2025</v>
      </c>
      <c r="K845" s="13" t="str">
        <f>Raw_Data!K845</f>
        <v>14</v>
      </c>
      <c r="L845" s="17" t="str">
        <f>Raw_Data!L845</f>
        <v>Ahmedabad-West</v>
      </c>
      <c r="M845" s="13" t="str">
        <f t="shared" si="3"/>
        <v>OK</v>
      </c>
      <c r="N845" s="18" t="str">
        <f t="shared" si="4"/>
        <v>VALID</v>
      </c>
    </row>
    <row r="846" ht="15.75" customHeight="1">
      <c r="A846" s="13" t="str">
        <f>Raw_Data!A846</f>
        <v>EMP0889</v>
      </c>
      <c r="B846" s="13" t="str">
        <f>TRIM(CLEAN(Raw_Data!B846))</f>
        <v>IT</v>
      </c>
      <c r="C846" s="18" t="s">
        <v>33</v>
      </c>
      <c r="D846" s="14" t="str">
        <f>IF(ISBLANK(Raw_Data!D846),AVERAGE(Raw_Data!D$2:D$5002),Raw_Data!D846)</f>
        <v>28603.07</v>
      </c>
      <c r="E846" s="15" t="str">
        <f>IF(ISBLANK(Raw_Data!E846),AVERAGE(Raw_Data!E$2:E$5002),Raw_Data!E846)</f>
        <v>8580.92</v>
      </c>
      <c r="F846" s="15" t="str">
        <f>IF(ISBLANK(Raw_Data!F846),AVERAGE(Raw_Data!F$2:F$5002),Raw_Data!F846)</f>
        <v>3189.19</v>
      </c>
      <c r="G846" s="14" t="str">
        <f>IF(ISBLANK(Raw_Data!G846),AVERAGE(Raw_Data!G$2:G$5002),Raw_Data!G846)</f>
        <v>6950.68</v>
      </c>
      <c r="H846" s="15" t="str">
        <f t="shared" si="1"/>
        <v>40373.00</v>
      </c>
      <c r="I846" s="14" t="str">
        <f t="shared" si="2"/>
        <v>33422.00</v>
      </c>
      <c r="J846" s="16" t="str">
        <f>TEXT(Raw_Data!J846,"MMM-YYY")</f>
        <v>Jun-2025</v>
      </c>
      <c r="K846" s="13" t="str">
        <f>Raw_Data!K846</f>
        <v>7</v>
      </c>
      <c r="L846" s="17" t="str">
        <f>Raw_Data!L846</f>
        <v>Jaipur-North</v>
      </c>
      <c r="M846" s="13" t="str">
        <f t="shared" si="3"/>
        <v>OK</v>
      </c>
      <c r="N846" s="18" t="str">
        <f t="shared" si="4"/>
        <v>VALID</v>
      </c>
    </row>
    <row r="847" ht="15.75" customHeight="1">
      <c r="A847" s="13" t="str">
        <f>Raw_Data!A847</f>
        <v>EMP0890</v>
      </c>
      <c r="B847" s="13" t="str">
        <f>TRIM(CLEAN(Raw_Data!B847))</f>
        <v>HR</v>
      </c>
      <c r="C847" s="18" t="s">
        <v>54</v>
      </c>
      <c r="D847" s="14" t="str">
        <f>IF(ISBLANK(Raw_Data!D847),AVERAGE(Raw_Data!D$2:D$5002),Raw_Data!D847)</f>
        <v>36697.32</v>
      </c>
      <c r="E847" s="15" t="str">
        <f>IF(ISBLANK(Raw_Data!E847),AVERAGE(Raw_Data!E$2:E$5002),Raw_Data!E847)</f>
        <v>11009.20</v>
      </c>
      <c r="F847" s="15" t="str">
        <f>IF(ISBLANK(Raw_Data!F847),AVERAGE(Raw_Data!F$2:F$5002),Raw_Data!F847)</f>
        <v>6366.02</v>
      </c>
      <c r="G847" s="14" t="str">
        <f>IF(ISBLANK(Raw_Data!G847),AVERAGE(Raw_Data!G$2:G$5002),Raw_Data!G847)</f>
        <v>10603.14</v>
      </c>
      <c r="H847" s="15" t="str">
        <f t="shared" si="1"/>
        <v>54073.00</v>
      </c>
      <c r="I847" s="14" t="str">
        <f t="shared" si="2"/>
        <v>43470.00</v>
      </c>
      <c r="J847" s="16" t="str">
        <f>TEXT(Raw_Data!J847,"MMM-YYY")</f>
        <v>Apr-2025</v>
      </c>
      <c r="K847" s="13" t="str">
        <f>Raw_Data!K847</f>
        <v>6</v>
      </c>
      <c r="L847" s="17" t="str">
        <f>Raw_Data!L847</f>
        <v>Mumbai-HO</v>
      </c>
      <c r="M847" s="13" t="str">
        <f t="shared" si="3"/>
        <v>OK</v>
      </c>
      <c r="N847" s="18" t="str">
        <f t="shared" si="4"/>
        <v>VALID</v>
      </c>
    </row>
    <row r="848" ht="15.75" customHeight="1">
      <c r="A848" s="13" t="str">
        <f>Raw_Data!A848</f>
        <v>EMP0891</v>
      </c>
      <c r="B848" s="13" t="str">
        <f>TRIM(CLEAN(Raw_Data!B848))</f>
        <v>Operations</v>
      </c>
      <c r="C848" s="18" t="s">
        <v>37</v>
      </c>
      <c r="D848" s="14" t="str">
        <f>IF(ISBLANK(Raw_Data!D848),AVERAGE(Raw_Data!D$2:D$5002),Raw_Data!D848)</f>
        <v>56697.58</v>
      </c>
      <c r="E848" s="15" t="str">
        <f>IF(ISBLANK(Raw_Data!E848),AVERAGE(Raw_Data!E$2:E$5002),Raw_Data!E848)</f>
        <v>17009.27</v>
      </c>
      <c r="F848" s="15" t="str">
        <f>IF(ISBLANK(Raw_Data!F848),AVERAGE(Raw_Data!F$2:F$5002),Raw_Data!F848)</f>
        <v>6105.63</v>
      </c>
      <c r="G848" s="14" t="str">
        <f>IF(ISBLANK(Raw_Data!G848),AVERAGE(Raw_Data!G$2:G$5002),Raw_Data!G848)</f>
        <v>16658.43</v>
      </c>
      <c r="H848" s="15" t="str">
        <f t="shared" si="1"/>
        <v>79812.00</v>
      </c>
      <c r="I848" s="14" t="str">
        <f t="shared" si="2"/>
        <v>63154.00</v>
      </c>
      <c r="J848" s="16" t="str">
        <f>TEXT(Raw_Data!J848,"MMM-YYY")</f>
        <v>May-2025</v>
      </c>
      <c r="K848" s="13" t="str">
        <f>Raw_Data!K848</f>
        <v>7</v>
      </c>
      <c r="L848" s="17" t="str">
        <f>Raw_Data!L848</f>
        <v>Delhi-North</v>
      </c>
      <c r="M848" s="13" t="str">
        <f t="shared" si="3"/>
        <v>OK</v>
      </c>
      <c r="N848" s="18" t="str">
        <f t="shared" si="4"/>
        <v>VALID</v>
      </c>
    </row>
    <row r="849" ht="15.75" customHeight="1">
      <c r="A849" s="13" t="str">
        <f>Raw_Data!A849</f>
        <v>EMP0892</v>
      </c>
      <c r="B849" s="13" t="str">
        <f>TRIM(CLEAN(Raw_Data!B849))</f>
        <v>IT</v>
      </c>
      <c r="C849" s="18" t="s">
        <v>33</v>
      </c>
      <c r="D849" s="14" t="str">
        <f>IF(ISBLANK(Raw_Data!D849),AVERAGE(Raw_Data!D$2:D$5002),Raw_Data!D849)</f>
        <v>31731.93</v>
      </c>
      <c r="E849" s="15" t="str">
        <f>IF(ISBLANK(Raw_Data!E849),AVERAGE(Raw_Data!E$2:E$5002),Raw_Data!E849)</f>
        <v>9519.58</v>
      </c>
      <c r="F849" s="15" t="str">
        <f>IF(ISBLANK(Raw_Data!F849),AVERAGE(Raw_Data!F$2:F$5002),Raw_Data!F849)</f>
        <v>3093.82</v>
      </c>
      <c r="G849" s="14" t="str">
        <f>IF(ISBLANK(Raw_Data!G849),AVERAGE(Raw_Data!G$2:G$5002),Raw_Data!G849)</f>
        <v>7011.42</v>
      </c>
      <c r="H849" s="15" t="str">
        <f t="shared" si="1"/>
        <v>44345.00</v>
      </c>
      <c r="I849" s="14" t="str">
        <f t="shared" si="2"/>
        <v>37334.00</v>
      </c>
      <c r="J849" s="16" t="str">
        <f>TEXT(Raw_Data!J849,"MMM-YYY")</f>
        <v>Feb-2025</v>
      </c>
      <c r="K849" s="13" t="str">
        <f>Raw_Data!K849</f>
        <v>8</v>
      </c>
      <c r="L849" s="17" t="str">
        <f>Raw_Data!L849</f>
        <v>Bangalore-South</v>
      </c>
      <c r="M849" s="13" t="str">
        <f t="shared" si="3"/>
        <v>OK</v>
      </c>
      <c r="N849" s="18" t="str">
        <f t="shared" si="4"/>
        <v>VALID</v>
      </c>
    </row>
    <row r="850" ht="15.75" customHeight="1">
      <c r="A850" s="13" t="str">
        <f>Raw_Data!A850</f>
        <v>EMP0893</v>
      </c>
      <c r="B850" s="13" t="str">
        <f>TRIM(CLEAN(Raw_Data!B850))</f>
        <v>Marketing</v>
      </c>
      <c r="C850" s="18" t="s">
        <v>37</v>
      </c>
      <c r="D850" s="14" t="str">
        <f>IF(ISBLANK(Raw_Data!D850),AVERAGE(Raw_Data!D$2:D$5002),Raw_Data!D850)</f>
        <v>50157.42</v>
      </c>
      <c r="E850" s="15" t="str">
        <f>IF(ISBLANK(Raw_Data!E850),AVERAGE(Raw_Data!E$2:E$5002),Raw_Data!E850)</f>
        <v>15047.23</v>
      </c>
      <c r="F850" s="15" t="str">
        <f>IF(ISBLANK(Raw_Data!F850),AVERAGE(Raw_Data!F$2:F$5002),Raw_Data!F850)</f>
        <v>6337.01</v>
      </c>
      <c r="G850" s="14" t="str">
        <f>IF(ISBLANK(Raw_Data!G850),AVERAGE(Raw_Data!G$2:G$5002),Raw_Data!G850)</f>
        <v>2179.57</v>
      </c>
      <c r="H850" s="15" t="str">
        <f t="shared" si="1"/>
        <v>71542.00</v>
      </c>
      <c r="I850" s="14" t="str">
        <f t="shared" si="2"/>
        <v>69362.00</v>
      </c>
      <c r="J850" s="16" t="str">
        <f>TEXT(Raw_Data!J850,"MMM-YYY")</f>
        <v>Mar-2025</v>
      </c>
      <c r="K850" s="13" t="str">
        <f>Raw_Data!K850</f>
        <v>7</v>
      </c>
      <c r="L850" s="17" t="str">
        <f>Raw_Data!L850</f>
        <v>Chennai-South</v>
      </c>
      <c r="M850" s="13" t="str">
        <f t="shared" si="3"/>
        <v>OK</v>
      </c>
      <c r="N850" s="18" t="str">
        <f t="shared" si="4"/>
        <v>VALID</v>
      </c>
    </row>
    <row r="851" ht="15.75" customHeight="1">
      <c r="A851" s="13" t="str">
        <f>Raw_Data!A851</f>
        <v>EMP0894</v>
      </c>
      <c r="B851" s="13" t="str">
        <f>TRIM(CLEAN(Raw_Data!B851))</f>
        <v>Sales</v>
      </c>
      <c r="C851" s="18" t="s">
        <v>26</v>
      </c>
      <c r="D851" s="14" t="str">
        <f>IF(ISBLANK(Raw_Data!D851),AVERAGE(Raw_Data!D$2:D$5002),Raw_Data!D851)</f>
        <v>123428.40</v>
      </c>
      <c r="E851" s="15" t="str">
        <f>IF(ISBLANK(Raw_Data!E851),AVERAGE(Raw_Data!E$2:E$5002),Raw_Data!E851)</f>
        <v>37028.52</v>
      </c>
      <c r="F851" s="15" t="str">
        <f>IF(ISBLANK(Raw_Data!F851),AVERAGE(Raw_Data!F$2:F$5002),Raw_Data!F851)</f>
        <v>10412.83</v>
      </c>
      <c r="G851" s="14" t="str">
        <f>IF(ISBLANK(Raw_Data!G851),AVERAGE(Raw_Data!G$2:G$5002),Raw_Data!G851)</f>
        <v>22672.94</v>
      </c>
      <c r="H851" s="15" t="str">
        <f t="shared" si="1"/>
        <v>170870.00</v>
      </c>
      <c r="I851" s="14" t="str">
        <f t="shared" si="2"/>
        <v>148197.00</v>
      </c>
      <c r="J851" s="16" t="str">
        <f>TEXT(Raw_Data!J851,"MMM-YYY")</f>
        <v>Jul-2025</v>
      </c>
      <c r="K851" s="13" t="str">
        <f>Raw_Data!K851</f>
        <v>20</v>
      </c>
      <c r="L851" s="17" t="str">
        <f>Raw_Data!L851</f>
        <v>Kolkata-East</v>
      </c>
      <c r="M851" s="13" t="str">
        <f t="shared" si="3"/>
        <v>OK</v>
      </c>
      <c r="N851" s="18" t="str">
        <f t="shared" si="4"/>
        <v>VALID</v>
      </c>
    </row>
    <row r="852" ht="15.75" customHeight="1">
      <c r="A852" s="13" t="str">
        <f>Raw_Data!A852</f>
        <v>EMP0895</v>
      </c>
      <c r="B852" s="13" t="str">
        <f>TRIM(CLEAN(Raw_Data!B852))</f>
        <v>Customer Support</v>
      </c>
      <c r="C852" s="18" t="s">
        <v>14</v>
      </c>
      <c r="D852" s="14" t="str">
        <f>IF(ISBLANK(Raw_Data!D852),AVERAGE(Raw_Data!D$2:D$5002),Raw_Data!D852)</f>
        <v>18569.61</v>
      </c>
      <c r="E852" s="15" t="str">
        <f>IF(ISBLANK(Raw_Data!E852),AVERAGE(Raw_Data!E$2:E$5002),Raw_Data!E852)</f>
        <v>5570.88</v>
      </c>
      <c r="F852" s="15" t="str">
        <f>IF(ISBLANK(Raw_Data!F852),AVERAGE(Raw_Data!F$2:F$5002),Raw_Data!F852)</f>
        <v>1276.20</v>
      </c>
      <c r="G852" s="14" t="str">
        <f>IF(ISBLANK(Raw_Data!G852),AVERAGE(Raw_Data!G$2:G$5002),Raw_Data!G852)</f>
        <v>1746.37</v>
      </c>
      <c r="H852" s="15" t="str">
        <f t="shared" si="1"/>
        <v>25417.00</v>
      </c>
      <c r="I852" s="14" t="str">
        <f t="shared" si="2"/>
        <v>23671.00</v>
      </c>
      <c r="J852" s="16" t="str">
        <f>TEXT(Raw_Data!J852,"MMM-YYY")</f>
        <v>Nov-2025</v>
      </c>
      <c r="K852" s="13" t="str">
        <f>Raw_Data!K852</f>
        <v>11</v>
      </c>
      <c r="L852" s="17" t="str">
        <f>Raw_Data!L852</f>
        <v>Pune-West</v>
      </c>
      <c r="M852" s="13" t="str">
        <f t="shared" si="3"/>
        <v>OK</v>
      </c>
      <c r="N852" s="18" t="str">
        <f t="shared" si="4"/>
        <v>VALID</v>
      </c>
    </row>
    <row r="853" ht="15.75" customHeight="1">
      <c r="A853" s="13" t="str">
        <f>Raw_Data!A853</f>
        <v>EMP0896</v>
      </c>
      <c r="B853" s="13" t="str">
        <f>TRIM(CLEAN(Raw_Data!B853))</f>
        <v>IT</v>
      </c>
      <c r="C853" s="18" t="s">
        <v>18</v>
      </c>
      <c r="D853" s="14" t="str">
        <f>IF(ISBLANK(Raw_Data!D853),AVERAGE(Raw_Data!D$2:D$5002),Raw_Data!D853)</f>
        <v>71954.28</v>
      </c>
      <c r="E853" s="15" t="str">
        <f>IF(ISBLANK(Raw_Data!E853),AVERAGE(Raw_Data!E$2:E$5002),Raw_Data!E853)</f>
        <v>21586.28</v>
      </c>
      <c r="F853" s="15" t="str">
        <f>IF(ISBLANK(Raw_Data!F853),AVERAGE(Raw_Data!F$2:F$5002),Raw_Data!F853)</f>
        <v>9276.98</v>
      </c>
      <c r="G853" s="14" t="str">
        <f>IF(ISBLANK(Raw_Data!G853),AVERAGE(Raw_Data!G$2:G$5002),Raw_Data!G853)</f>
        <v>5855.24</v>
      </c>
      <c r="H853" s="15" t="str">
        <f t="shared" si="1"/>
        <v>102818.00</v>
      </c>
      <c r="I853" s="14" t="str">
        <f t="shared" si="2"/>
        <v>96963.00</v>
      </c>
      <c r="J853" s="16" t="str">
        <f>TEXT(Raw_Data!J853,"MMM-YYY")</f>
        <v>Aug-2025</v>
      </c>
      <c r="K853" s="13" t="str">
        <f>Raw_Data!K853</f>
        <v>19</v>
      </c>
      <c r="L853" s="17" t="str">
        <f>Raw_Data!L853</f>
        <v>Hyderabad-South</v>
      </c>
      <c r="M853" s="13" t="str">
        <f t="shared" si="3"/>
        <v>OK</v>
      </c>
      <c r="N853" s="18" t="str">
        <f t="shared" si="4"/>
        <v>VALID</v>
      </c>
    </row>
    <row r="854" ht="15.75" customHeight="1">
      <c r="A854" s="13" t="str">
        <f>Raw_Data!A854</f>
        <v>EMP0898</v>
      </c>
      <c r="B854" s="13" t="str">
        <f>TRIM(CLEAN(Raw_Data!B854))</f>
        <v>Marketing</v>
      </c>
      <c r="C854" s="18" t="s">
        <v>30</v>
      </c>
      <c r="D854" s="14" t="str">
        <f>IF(ISBLANK(Raw_Data!D854),AVERAGE(Raw_Data!D$2:D$5002),Raw_Data!D854)</f>
        <v>71831.17</v>
      </c>
      <c r="E854" s="15" t="str">
        <f>IF(ISBLANK(Raw_Data!E854),AVERAGE(Raw_Data!E$2:E$5002),Raw_Data!E854)</f>
        <v>7085.46</v>
      </c>
      <c r="F854" s="15" t="str">
        <f>IF(ISBLANK(Raw_Data!F854),AVERAGE(Raw_Data!F$2:F$5002),Raw_Data!F854)</f>
        <v>109.12</v>
      </c>
      <c r="G854" s="14" t="str">
        <f>IF(ISBLANK(Raw_Data!G854),AVERAGE(Raw_Data!G$2:G$5002),Raw_Data!G854)</f>
        <v>5156.60</v>
      </c>
      <c r="H854" s="15" t="str">
        <f t="shared" si="1"/>
        <v>79026.00</v>
      </c>
      <c r="I854" s="14" t="str">
        <f t="shared" si="2"/>
        <v>73869.00</v>
      </c>
      <c r="J854" s="16" t="str">
        <f>TEXT(Raw_Data!J854,"MMM-YYY")</f>
        <v>Nov-2025</v>
      </c>
      <c r="K854" s="13" t="str">
        <f>Raw_Data!K854</f>
        <v>12</v>
      </c>
      <c r="L854" s="17" t="str">
        <f>Raw_Data!L854</f>
        <v>Ahmedabad-West</v>
      </c>
      <c r="M854" s="13" t="str">
        <f t="shared" si="3"/>
        <v>OK</v>
      </c>
      <c r="N854" s="18" t="str">
        <f t="shared" si="4"/>
        <v>VALID</v>
      </c>
    </row>
    <row r="855" ht="15.75" customHeight="1">
      <c r="A855" s="13" t="str">
        <f>Raw_Data!A855</f>
        <v>EMP0899</v>
      </c>
      <c r="B855" s="13" t="str">
        <f>TRIM(CLEAN(Raw_Data!B855))</f>
        <v>IT</v>
      </c>
      <c r="C855" s="18" t="s">
        <v>18</v>
      </c>
      <c r="D855" s="14" t="str">
        <f>IF(ISBLANK(Raw_Data!D855),AVERAGE(Raw_Data!D$2:D$5002),Raw_Data!D855)</f>
        <v>83218.12</v>
      </c>
      <c r="E855" s="15" t="str">
        <f>IF(ISBLANK(Raw_Data!E855),AVERAGE(Raw_Data!E$2:E$5002),Raw_Data!E855)</f>
        <v>24965.44</v>
      </c>
      <c r="F855" s="15" t="str">
        <f>IF(ISBLANK(Raw_Data!F855),AVERAGE(Raw_Data!F$2:F$5002),Raw_Data!F855)</f>
        <v>1332.57</v>
      </c>
      <c r="G855" s="14" t="str">
        <f>IF(ISBLANK(Raw_Data!G855),AVERAGE(Raw_Data!G$2:G$5002),Raw_Data!G855)</f>
        <v>4166.99</v>
      </c>
      <c r="H855" s="15" t="str">
        <f t="shared" si="1"/>
        <v>109516.00</v>
      </c>
      <c r="I855" s="14" t="str">
        <f t="shared" si="2"/>
        <v>105349.00</v>
      </c>
      <c r="J855" s="16" t="str">
        <f>TEXT(Raw_Data!J855,"MMM-YYY")</f>
        <v>Feb-2025</v>
      </c>
      <c r="K855" s="13" t="str">
        <f>Raw_Data!K855</f>
        <v>4</v>
      </c>
      <c r="L855" s="17" t="str">
        <f>Raw_Data!L855</f>
        <v>Jaipur-North</v>
      </c>
      <c r="M855" s="13" t="str">
        <f t="shared" si="3"/>
        <v>OK</v>
      </c>
      <c r="N855" s="18" t="str">
        <f t="shared" si="4"/>
        <v>VALID</v>
      </c>
    </row>
    <row r="856" ht="15.75" customHeight="1">
      <c r="A856" s="13" t="str">
        <f>Raw_Data!A856</f>
        <v>EMP0900</v>
      </c>
      <c r="B856" s="13" t="str">
        <f>TRIM(CLEAN(Raw_Data!B856))</f>
        <v>HR</v>
      </c>
      <c r="C856" s="18" t="s">
        <v>14</v>
      </c>
      <c r="D856" s="14" t="str">
        <f>IF(ISBLANK(Raw_Data!D856),AVERAGE(Raw_Data!D$2:D$5002),Raw_Data!D856)</f>
        <v>24744.91</v>
      </c>
      <c r="E856" s="15" t="str">
        <f>IF(ISBLANK(Raw_Data!E856),AVERAGE(Raw_Data!E$2:E$5002),Raw_Data!E856)</f>
        <v>7423.47</v>
      </c>
      <c r="F856" s="15" t="str">
        <f>IF(ISBLANK(Raw_Data!F856),AVERAGE(Raw_Data!F$2:F$5002),Raw_Data!F856)</f>
        <v>2341.79</v>
      </c>
      <c r="G856" s="14" t="str">
        <f>IF(ISBLANK(Raw_Data!G856),AVERAGE(Raw_Data!G$2:G$5002),Raw_Data!G856)</f>
        <v>399.57</v>
      </c>
      <c r="H856" s="15" t="str">
        <f t="shared" si="1"/>
        <v>34510.00</v>
      </c>
      <c r="I856" s="14" t="str">
        <f t="shared" si="2"/>
        <v>34110.00</v>
      </c>
      <c r="J856" s="16" t="str">
        <f>TEXT(Raw_Data!J856,"MMM-YYY")</f>
        <v>Jul-2025</v>
      </c>
      <c r="K856" s="13" t="str">
        <f>Raw_Data!K856</f>
        <v>5</v>
      </c>
      <c r="L856" s="17" t="str">
        <f>Raw_Data!L856</f>
        <v>Mumbai-HO</v>
      </c>
      <c r="M856" s="13" t="str">
        <f t="shared" si="3"/>
        <v>OK</v>
      </c>
      <c r="N856" s="18" t="str">
        <f t="shared" si="4"/>
        <v>VALID</v>
      </c>
    </row>
    <row r="857" ht="15.75" customHeight="1">
      <c r="A857" s="13" t="str">
        <f>Raw_Data!A857</f>
        <v>EMP0901</v>
      </c>
      <c r="B857" s="13" t="str">
        <f>TRIM(CLEAN(Raw_Data!B857))</f>
        <v>Operations</v>
      </c>
      <c r="C857" s="18" t="s">
        <v>26</v>
      </c>
      <c r="D857" s="14" t="str">
        <f>IF(ISBLANK(Raw_Data!D857),AVERAGE(Raw_Data!D$2:D$5002),Raw_Data!D857)</f>
        <v>125856.49</v>
      </c>
      <c r="E857" s="15" t="str">
        <f>IF(ISBLANK(Raw_Data!E857),AVERAGE(Raw_Data!E$2:E$5002),Raw_Data!E857)</f>
        <v>37756.95</v>
      </c>
      <c r="F857" s="15" t="str">
        <f>IF(ISBLANK(Raw_Data!F857),AVERAGE(Raw_Data!F$2:F$5002),Raw_Data!F857)</f>
        <v>2616.01</v>
      </c>
      <c r="G857" s="14" t="str">
        <f>IF(ISBLANK(Raw_Data!G857),AVERAGE(Raw_Data!G$2:G$5002),Raw_Data!G857)</f>
        <v>23337.65</v>
      </c>
      <c r="H857" s="15" t="str">
        <f t="shared" si="1"/>
        <v>166229.00</v>
      </c>
      <c r="I857" s="14" t="str">
        <f t="shared" si="2"/>
        <v>142891.00</v>
      </c>
      <c r="J857" s="16" t="str">
        <f>TEXT(Raw_Data!J857,"MMM-YYY")</f>
        <v>Feb-2025</v>
      </c>
      <c r="K857" s="13" t="str">
        <f>Raw_Data!K857</f>
        <v>21</v>
      </c>
      <c r="L857" s="17" t="str">
        <f>Raw_Data!L857</f>
        <v>Delhi-North</v>
      </c>
      <c r="M857" s="13" t="str">
        <f t="shared" si="3"/>
        <v>OK</v>
      </c>
      <c r="N857" s="18" t="str">
        <f t="shared" si="4"/>
        <v>VALID</v>
      </c>
    </row>
    <row r="858" ht="15.75" customHeight="1">
      <c r="A858" s="13" t="str">
        <f>Raw_Data!A858</f>
        <v>EMP0902</v>
      </c>
      <c r="B858" s="13" t="str">
        <f>TRIM(CLEAN(Raw_Data!B858))</f>
        <v>Sales</v>
      </c>
      <c r="C858" s="18" t="s">
        <v>54</v>
      </c>
      <c r="D858" s="14" t="str">
        <f>IF(ISBLANK(Raw_Data!D858),AVERAGE(Raw_Data!D$2:D$5002),Raw_Data!D858)</f>
        <v>39331.19</v>
      </c>
      <c r="E858" s="15" t="str">
        <f>IF(ISBLANK(Raw_Data!E858),AVERAGE(Raw_Data!E$2:E$5002),Raw_Data!E858)</f>
        <v>11799.36</v>
      </c>
      <c r="F858" s="15" t="str">
        <f>IF(ISBLANK(Raw_Data!F858),AVERAGE(Raw_Data!F$2:F$5002),Raw_Data!F858)</f>
        <v>1946.08</v>
      </c>
      <c r="G858" s="14" t="str">
        <f>IF(ISBLANK(Raw_Data!G858),AVERAGE(Raw_Data!G$2:G$5002),Raw_Data!G858)</f>
        <v>3353.09</v>
      </c>
      <c r="H858" s="15" t="str">
        <f t="shared" si="1"/>
        <v>53077.00</v>
      </c>
      <c r="I858" s="14" t="str">
        <f t="shared" si="2"/>
        <v>49724.00</v>
      </c>
      <c r="J858" s="16" t="str">
        <f>TEXT(Raw_Data!J858,"MMM-YYY")</f>
        <v>Nov-2025</v>
      </c>
      <c r="K858" s="13" t="str">
        <f>Raw_Data!K858</f>
        <v>25</v>
      </c>
      <c r="L858" s="17" t="str">
        <f>Raw_Data!L858</f>
        <v>Bangalore-South</v>
      </c>
      <c r="M858" s="13" t="str">
        <f t="shared" si="3"/>
        <v>OK</v>
      </c>
      <c r="N858" s="18" t="str">
        <f t="shared" si="4"/>
        <v>VALID</v>
      </c>
    </row>
    <row r="859" ht="15.75" customHeight="1">
      <c r="A859" s="13" t="str">
        <f>Raw_Data!A859</f>
        <v>EMP0903</v>
      </c>
      <c r="B859" s="13" t="str">
        <f>TRIM(CLEAN(Raw_Data!B859))</f>
        <v>Finance</v>
      </c>
      <c r="C859" s="18" t="s">
        <v>30</v>
      </c>
      <c r="D859" s="14" t="str">
        <f>IF(ISBLANK(Raw_Data!D859),AVERAGE(Raw_Data!D$2:D$5002),Raw_Data!D859)</f>
        <v>26635.33</v>
      </c>
      <c r="E859" s="15" t="str">
        <f>IF(ISBLANK(Raw_Data!E859),AVERAGE(Raw_Data!E$2:E$5002),Raw_Data!E859)</f>
        <v>7990.60</v>
      </c>
      <c r="F859" s="15" t="str">
        <f>IF(ISBLANK(Raw_Data!F859),AVERAGE(Raw_Data!F$2:F$5002),Raw_Data!F859)</f>
        <v>908.84</v>
      </c>
      <c r="G859" s="14" t="str">
        <f>IF(ISBLANK(Raw_Data!G859),AVERAGE(Raw_Data!G$2:G$5002),Raw_Data!G859)</f>
        <v>280.91</v>
      </c>
      <c r="H859" s="15" t="str">
        <f t="shared" si="1"/>
        <v>35535.00</v>
      </c>
      <c r="I859" s="14" t="str">
        <f t="shared" si="2"/>
        <v>35254.00</v>
      </c>
      <c r="J859" s="16" t="str">
        <f>TEXT(Raw_Data!J859,"MMM-YYY")</f>
        <v>Jun-2025</v>
      </c>
      <c r="K859" s="13" t="str">
        <f>Raw_Data!K859</f>
        <v>21</v>
      </c>
      <c r="L859" s="17" t="str">
        <f>Raw_Data!L859</f>
        <v>Chennai-South</v>
      </c>
      <c r="M859" s="13" t="str">
        <f t="shared" si="3"/>
        <v>OK</v>
      </c>
      <c r="N859" s="18" t="str">
        <f t="shared" si="4"/>
        <v>VALID</v>
      </c>
    </row>
    <row r="860" ht="15.75" customHeight="1">
      <c r="A860" s="13" t="str">
        <f>Raw_Data!A860</f>
        <v>EMP0904</v>
      </c>
      <c r="B860" s="13" t="str">
        <f>TRIM(CLEAN(Raw_Data!B860))</f>
        <v>Customer Support</v>
      </c>
      <c r="C860" s="18" t="s">
        <v>33</v>
      </c>
      <c r="D860" s="14" t="str">
        <f>IF(ISBLANK(Raw_Data!D860),AVERAGE(Raw_Data!D$2:D$5002),Raw_Data!D860)</f>
        <v>33642.41</v>
      </c>
      <c r="E860" s="15" t="str">
        <f>IF(ISBLANK(Raw_Data!E860),AVERAGE(Raw_Data!E$2:E$5002),Raw_Data!E860)</f>
        <v>10092.72</v>
      </c>
      <c r="F860" s="15" t="str">
        <f>IF(ISBLANK(Raw_Data!F860),AVERAGE(Raw_Data!F$2:F$5002),Raw_Data!F860)</f>
        <v>3143.50</v>
      </c>
      <c r="G860" s="14" t="str">
        <f>IF(ISBLANK(Raw_Data!G860),AVERAGE(Raw_Data!G$2:G$5002),Raw_Data!G860)</f>
        <v>8789.74</v>
      </c>
      <c r="H860" s="15" t="str">
        <f t="shared" si="1"/>
        <v>46879.00</v>
      </c>
      <c r="I860" s="14" t="str">
        <f t="shared" si="2"/>
        <v>38089.00</v>
      </c>
      <c r="J860" s="16" t="str">
        <f>TEXT(Raw_Data!J860,"MMM-YYY")</f>
        <v>Jan-2025</v>
      </c>
      <c r="K860" s="13" t="str">
        <f>Raw_Data!K860</f>
        <v>6</v>
      </c>
      <c r="L860" s="17" t="str">
        <f>Raw_Data!L860</f>
        <v>Kolkata-East</v>
      </c>
      <c r="M860" s="13" t="str">
        <f t="shared" si="3"/>
        <v>OK</v>
      </c>
      <c r="N860" s="18" t="str">
        <f t="shared" si="4"/>
        <v>VALID</v>
      </c>
    </row>
    <row r="861" ht="15.75" customHeight="1">
      <c r="A861" s="13" t="str">
        <f>Raw_Data!A861</f>
        <v>EMP0905</v>
      </c>
      <c r="B861" s="13" t="str">
        <f>TRIM(CLEAN(Raw_Data!B861))</f>
        <v>Operations</v>
      </c>
      <c r="C861" s="18" t="s">
        <v>54</v>
      </c>
      <c r="D861" s="14" t="str">
        <f>IF(ISBLANK(Raw_Data!D861),AVERAGE(Raw_Data!D$2:D$5002),Raw_Data!D861)</f>
        <v>36891.61</v>
      </c>
      <c r="E861" s="15" t="str">
        <f>IF(ISBLANK(Raw_Data!E861),AVERAGE(Raw_Data!E$2:E$5002),Raw_Data!E861)</f>
        <v>11067.48</v>
      </c>
      <c r="F861" s="15" t="str">
        <f>IF(ISBLANK(Raw_Data!F861),AVERAGE(Raw_Data!F$2:F$5002),Raw_Data!F861)</f>
        <v>6998.24</v>
      </c>
      <c r="G861" s="14" t="str">
        <f>IF(ISBLANK(Raw_Data!G861),AVERAGE(Raw_Data!G$2:G$5002),Raw_Data!G861)</f>
        <v>5968.56</v>
      </c>
      <c r="H861" s="15" t="str">
        <f t="shared" si="1"/>
        <v>54957.00</v>
      </c>
      <c r="I861" s="14" t="str">
        <f t="shared" si="2"/>
        <v>48988.00</v>
      </c>
      <c r="J861" s="16" t="str">
        <f>TEXT(Raw_Data!J861,"MMM-YYY")</f>
        <v>Oct-2025</v>
      </c>
      <c r="K861" s="13" t="str">
        <f>Raw_Data!K861</f>
        <v>2</v>
      </c>
      <c r="L861" s="17" t="str">
        <f>Raw_Data!L861</f>
        <v>Pune-West</v>
      </c>
      <c r="M861" s="13" t="str">
        <f t="shared" si="3"/>
        <v>OK</v>
      </c>
      <c r="N861" s="18" t="str">
        <f t="shared" si="4"/>
        <v>VALID</v>
      </c>
    </row>
    <row r="862" ht="15.75" customHeight="1">
      <c r="A862" s="13" t="str">
        <f>Raw_Data!A862</f>
        <v>EMP0906</v>
      </c>
      <c r="B862" s="13" t="str">
        <f>TRIM(CLEAN(Raw_Data!B862))</f>
        <v>Operations</v>
      </c>
      <c r="C862" s="18" t="s">
        <v>54</v>
      </c>
      <c r="D862" s="14" t="str">
        <f>IF(ISBLANK(Raw_Data!D862),AVERAGE(Raw_Data!D$2:D$5002),Raw_Data!D862)</f>
        <v>43834.67</v>
      </c>
      <c r="E862" s="15" t="str">
        <f>IF(ISBLANK(Raw_Data!E862),AVERAGE(Raw_Data!E$2:E$5002),Raw_Data!E862)</f>
        <v>13150.40</v>
      </c>
      <c r="F862" s="15" t="str">
        <f>IF(ISBLANK(Raw_Data!F862),AVERAGE(Raw_Data!F$2:F$5002),Raw_Data!F862)</f>
        <v>5574.46</v>
      </c>
      <c r="G862" s="14" t="str">
        <f>IF(ISBLANK(Raw_Data!G862),AVERAGE(Raw_Data!G$2:G$5002),Raw_Data!G862)</f>
        <v>7416.62</v>
      </c>
      <c r="H862" s="15" t="str">
        <f t="shared" si="1"/>
        <v>62560.00</v>
      </c>
      <c r="I862" s="14" t="str">
        <f t="shared" si="2"/>
        <v>55143.00</v>
      </c>
      <c r="J862" s="16" t="str">
        <f>TEXT(Raw_Data!J862,"MMM-YYY")</f>
        <v>Sep-2025</v>
      </c>
      <c r="K862" s="13" t="str">
        <f>Raw_Data!K862</f>
        <v>8</v>
      </c>
      <c r="L862" s="17" t="str">
        <f>Raw_Data!L862</f>
        <v>Hyderabad-South</v>
      </c>
      <c r="M862" s="13" t="str">
        <f t="shared" si="3"/>
        <v>OK</v>
      </c>
      <c r="N862" s="18" t="str">
        <f t="shared" si="4"/>
        <v>VALID</v>
      </c>
    </row>
    <row r="863" ht="15.75" customHeight="1">
      <c r="A863" s="13" t="str">
        <f>Raw_Data!A863</f>
        <v>EMP0907</v>
      </c>
      <c r="B863" s="13" t="str">
        <f>TRIM(CLEAN(Raw_Data!B863))</f>
        <v>Sales</v>
      </c>
      <c r="C863" s="18" t="s">
        <v>18</v>
      </c>
      <c r="D863" s="14" t="str">
        <f>IF(ISBLANK(Raw_Data!D863),AVERAGE(Raw_Data!D$2:D$5002),Raw_Data!D863)</f>
        <v>78878.39</v>
      </c>
      <c r="E863" s="15" t="str">
        <f>IF(ISBLANK(Raw_Data!E863),AVERAGE(Raw_Data!E$2:E$5002),Raw_Data!E863)</f>
        <v>23663.52</v>
      </c>
      <c r="F863" s="15" t="str">
        <f>IF(ISBLANK(Raw_Data!F863),AVERAGE(Raw_Data!F$2:F$5002),Raw_Data!F863)</f>
        <v>14338.88</v>
      </c>
      <c r="G863" s="14" t="str">
        <f>IF(ISBLANK(Raw_Data!G863),AVERAGE(Raw_Data!G$2:G$5002),Raw_Data!G863)</f>
        <v>11397.57</v>
      </c>
      <c r="H863" s="15" t="str">
        <f t="shared" si="1"/>
        <v>116881.00</v>
      </c>
      <c r="I863" s="14" t="str">
        <f t="shared" si="2"/>
        <v>105483.00</v>
      </c>
      <c r="J863" s="16" t="str">
        <f>TEXT(Raw_Data!J863,"MMM-YYY")</f>
        <v>Apr-2025</v>
      </c>
      <c r="K863" s="13" t="str">
        <f>Raw_Data!K863</f>
        <v>20</v>
      </c>
      <c r="L863" s="17" t="str">
        <f>Raw_Data!L863</f>
        <v>Chandigarh-North</v>
      </c>
      <c r="M863" s="13" t="str">
        <f t="shared" si="3"/>
        <v>OK</v>
      </c>
      <c r="N863" s="18" t="str">
        <f t="shared" si="4"/>
        <v>VALID</v>
      </c>
    </row>
    <row r="864" ht="15.75" customHeight="1">
      <c r="A864" s="13" t="str">
        <f>Raw_Data!A864</f>
        <v>EMP0908</v>
      </c>
      <c r="B864" s="13" t="str">
        <f>TRIM(CLEAN(Raw_Data!B864))</f>
        <v>Customer Support</v>
      </c>
      <c r="C864" s="18" t="s">
        <v>14</v>
      </c>
      <c r="D864" s="14" t="str">
        <f>IF(ISBLANK(Raw_Data!D864),AVERAGE(Raw_Data!D$2:D$5002),Raw_Data!D864)</f>
        <v>21181.39</v>
      </c>
      <c r="E864" s="15" t="str">
        <f>IF(ISBLANK(Raw_Data!E864),AVERAGE(Raw_Data!E$2:E$5002),Raw_Data!E864)</f>
        <v>6354.42</v>
      </c>
      <c r="F864" s="15" t="str">
        <f>IF(ISBLANK(Raw_Data!F864),AVERAGE(Raw_Data!F$2:F$5002),Raw_Data!F864)</f>
        <v>1549.56</v>
      </c>
      <c r="G864" s="14" t="str">
        <f>IF(ISBLANK(Raw_Data!G864),AVERAGE(Raw_Data!G$2:G$5002),Raw_Data!G864)</f>
        <v>1650.92</v>
      </c>
      <c r="H864" s="15" t="str">
        <f t="shared" si="1"/>
        <v>29085.00</v>
      </c>
      <c r="I864" s="14" t="str">
        <f t="shared" si="2"/>
        <v>27434.00</v>
      </c>
      <c r="J864" s="16" t="str">
        <f>TEXT(Raw_Data!J864,"MMM-YYY")</f>
        <v>May-2025</v>
      </c>
      <c r="K864" s="13" t="str">
        <f>Raw_Data!K864</f>
        <v>18</v>
      </c>
      <c r="L864" s="17" t="str">
        <f>Raw_Data!L864</f>
        <v>Ahmedabad-West</v>
      </c>
      <c r="M864" s="13" t="str">
        <f t="shared" si="3"/>
        <v>OK</v>
      </c>
      <c r="N864" s="18" t="str">
        <f t="shared" si="4"/>
        <v>VALID</v>
      </c>
    </row>
    <row r="865" ht="15.75" customHeight="1">
      <c r="A865" s="13" t="str">
        <f>Raw_Data!A865</f>
        <v>EMP0909</v>
      </c>
      <c r="B865" s="13" t="str">
        <f>TRIM(CLEAN(Raw_Data!B865))</f>
        <v>HR</v>
      </c>
      <c r="C865" s="18" t="s">
        <v>14</v>
      </c>
      <c r="D865" s="14" t="str">
        <f>IF(ISBLANK(Raw_Data!D865),AVERAGE(Raw_Data!D$2:D$5002),Raw_Data!D865)</f>
        <v>21767.88</v>
      </c>
      <c r="E865" s="15" t="str">
        <f>IF(ISBLANK(Raw_Data!E865),AVERAGE(Raw_Data!E$2:E$5002),Raw_Data!E865)</f>
        <v>6530.36</v>
      </c>
      <c r="F865" s="15" t="str">
        <f>IF(ISBLANK(Raw_Data!F865),AVERAGE(Raw_Data!F$2:F$5002),Raw_Data!F865)</f>
        <v>3301.29</v>
      </c>
      <c r="G865" s="14" t="str">
        <f>IF(ISBLANK(Raw_Data!G865),AVERAGE(Raw_Data!G$2:G$5002),Raw_Data!G865)</f>
        <v>890.09</v>
      </c>
      <c r="H865" s="15" t="str">
        <f t="shared" si="1"/>
        <v>31600.00</v>
      </c>
      <c r="I865" s="14" t="str">
        <f t="shared" si="2"/>
        <v>30710.00</v>
      </c>
      <c r="J865" s="16" t="str">
        <f>TEXT(Raw_Data!J865,"MMM-YYY")</f>
        <v>May-2025</v>
      </c>
      <c r="K865" s="13" t="str">
        <f>Raw_Data!K865</f>
        <v>16</v>
      </c>
      <c r="L865" s="17" t="str">
        <f>Raw_Data!L865</f>
        <v>Jaipur-North</v>
      </c>
      <c r="M865" s="13" t="str">
        <f t="shared" si="3"/>
        <v>OK</v>
      </c>
      <c r="N865" s="18" t="str">
        <f t="shared" si="4"/>
        <v>VALID</v>
      </c>
    </row>
    <row r="866" ht="15.75" customHeight="1">
      <c r="A866" s="13" t="str">
        <f>Raw_Data!A866</f>
        <v>EMP0910</v>
      </c>
      <c r="B866" s="13" t="str">
        <f>TRIM(CLEAN(Raw_Data!B866))</f>
        <v>Marketing</v>
      </c>
      <c r="C866" s="18" t="s">
        <v>37</v>
      </c>
      <c r="D866" s="14" t="str">
        <f>IF(ISBLANK(Raw_Data!D866),AVERAGE(Raw_Data!D$2:D$5002),Raw_Data!D866)</f>
        <v>45149.71</v>
      </c>
      <c r="E866" s="15" t="str">
        <f>IF(ISBLANK(Raw_Data!E866),AVERAGE(Raw_Data!E$2:E$5002),Raw_Data!E866)</f>
        <v>13544.91</v>
      </c>
      <c r="F866" s="15" t="str">
        <f>IF(ISBLANK(Raw_Data!F866),AVERAGE(Raw_Data!F$2:F$5002),Raw_Data!F866)</f>
        <v>8326.40</v>
      </c>
      <c r="G866" s="14" t="str">
        <f>IF(ISBLANK(Raw_Data!G866),AVERAGE(Raw_Data!G$2:G$5002),Raw_Data!G866)</f>
        <v>12826.46</v>
      </c>
      <c r="H866" s="15" t="str">
        <f t="shared" si="1"/>
        <v>67021.00</v>
      </c>
      <c r="I866" s="14" t="str">
        <f t="shared" si="2"/>
        <v>54195.00</v>
      </c>
      <c r="J866" s="16" t="str">
        <f>TEXT(Raw_Data!J866,"MMM-YYY")</f>
        <v>Aug-2025</v>
      </c>
      <c r="K866" s="13" t="str">
        <f>Raw_Data!K866</f>
        <v>17</v>
      </c>
      <c r="L866" s="17" t="str">
        <f>Raw_Data!L866</f>
        <v>Mumbai-HO</v>
      </c>
      <c r="M866" s="13" t="str">
        <f t="shared" si="3"/>
        <v>OK</v>
      </c>
      <c r="N866" s="18" t="str">
        <f t="shared" si="4"/>
        <v>VALID</v>
      </c>
    </row>
    <row r="867" ht="15.75" customHeight="1">
      <c r="A867" s="13" t="str">
        <f>Raw_Data!A867</f>
        <v>EMP0911</v>
      </c>
      <c r="B867" s="13" t="str">
        <f>TRIM(CLEAN(Raw_Data!B867))</f>
        <v>IT</v>
      </c>
      <c r="C867" s="18" t="s">
        <v>14</v>
      </c>
      <c r="D867" s="14" t="str">
        <f>IF(ISBLANK(Raw_Data!D867),AVERAGE(Raw_Data!D$2:D$5002),Raw_Data!D867)</f>
        <v>23514.26</v>
      </c>
      <c r="E867" s="15" t="str">
        <f>IF(ISBLANK(Raw_Data!E867),AVERAGE(Raw_Data!E$2:E$5002),Raw_Data!E867)</f>
        <v>7054.28</v>
      </c>
      <c r="F867" s="15" t="str">
        <f>IF(ISBLANK(Raw_Data!F867),AVERAGE(Raw_Data!F$2:F$5002),Raw_Data!F867)</f>
        <v>3752.71</v>
      </c>
      <c r="G867" s="14" t="str">
        <f>IF(ISBLANK(Raw_Data!G867),AVERAGE(Raw_Data!G$2:G$5002),Raw_Data!G867)</f>
        <v>4211.43</v>
      </c>
      <c r="H867" s="15" t="str">
        <f t="shared" si="1"/>
        <v>34321.00</v>
      </c>
      <c r="I867" s="14" t="str">
        <f t="shared" si="2"/>
        <v>30110.00</v>
      </c>
      <c r="J867" s="16" t="str">
        <f>TEXT(Raw_Data!J867,"MMM-YYY")</f>
        <v>Jan-2025</v>
      </c>
      <c r="K867" s="13" t="str">
        <f>Raw_Data!K867</f>
        <v>18</v>
      </c>
      <c r="L867" s="17" t="str">
        <f>Raw_Data!L867</f>
        <v>Delhi-North</v>
      </c>
      <c r="M867" s="13" t="str">
        <f t="shared" si="3"/>
        <v>OK</v>
      </c>
      <c r="N867" s="18" t="str">
        <f t="shared" si="4"/>
        <v>VALID</v>
      </c>
    </row>
    <row r="868" ht="15.75" customHeight="1">
      <c r="A868" s="13" t="str">
        <f>Raw_Data!A868</f>
        <v>EMP0912</v>
      </c>
      <c r="B868" s="13" t="str">
        <f>TRIM(CLEAN(Raw_Data!B868))</f>
        <v>Operations</v>
      </c>
      <c r="C868" s="18" t="s">
        <v>33</v>
      </c>
      <c r="D868" s="14" t="str">
        <f>IF(ISBLANK(Raw_Data!D868),AVERAGE(Raw_Data!D$2:D$5002),Raw_Data!D868)</f>
        <v>26885.71</v>
      </c>
      <c r="E868" s="15" t="str">
        <f>IF(ISBLANK(Raw_Data!E868),AVERAGE(Raw_Data!E$2:E$5002),Raw_Data!E868)</f>
        <v>8065.71</v>
      </c>
      <c r="F868" s="15" t="str">
        <f>IF(ISBLANK(Raw_Data!F868),AVERAGE(Raw_Data!F$2:F$5002),Raw_Data!F868)</f>
        <v>4743.51</v>
      </c>
      <c r="G868" s="14" t="str">
        <f>IF(ISBLANK(Raw_Data!G868),AVERAGE(Raw_Data!G$2:G$5002),Raw_Data!G868)</f>
        <v>3525.57</v>
      </c>
      <c r="H868" s="15" t="str">
        <f t="shared" si="1"/>
        <v>39695.00</v>
      </c>
      <c r="I868" s="14" t="str">
        <f t="shared" si="2"/>
        <v>36169.00</v>
      </c>
      <c r="J868" s="16" t="str">
        <f>TEXT(Raw_Data!J868,"MMM-YYY")</f>
        <v>Apr-2025</v>
      </c>
      <c r="K868" s="13" t="str">
        <f>Raw_Data!K868</f>
        <v>18</v>
      </c>
      <c r="L868" s="17" t="str">
        <f>Raw_Data!L868</f>
        <v>Bangalore-South</v>
      </c>
      <c r="M868" s="13" t="str">
        <f t="shared" si="3"/>
        <v>OK</v>
      </c>
      <c r="N868" s="18" t="str">
        <f t="shared" si="4"/>
        <v>VALID</v>
      </c>
    </row>
    <row r="869" ht="15.75" customHeight="1">
      <c r="A869" s="13" t="str">
        <f>Raw_Data!A869</f>
        <v>EMP0914</v>
      </c>
      <c r="B869" s="13" t="str">
        <f>TRIM(CLEAN(Raw_Data!B869))</f>
        <v>HR</v>
      </c>
      <c r="C869" s="18" t="s">
        <v>54</v>
      </c>
      <c r="D869" s="14" t="str">
        <f>IF(ISBLANK(Raw_Data!D869),AVERAGE(Raw_Data!D$2:D$5002),Raw_Data!D869)</f>
        <v>43754.52</v>
      </c>
      <c r="E869" s="15" t="str">
        <f>IF(ISBLANK(Raw_Data!E869),AVERAGE(Raw_Data!E$2:E$5002),Raw_Data!E869)</f>
        <v>13126.36</v>
      </c>
      <c r="F869" s="15" t="str">
        <f>IF(ISBLANK(Raw_Data!F869),AVERAGE(Raw_Data!F$2:F$5002),Raw_Data!F869)</f>
        <v>4520.81</v>
      </c>
      <c r="G869" s="14" t="str">
        <f>IF(ISBLANK(Raw_Data!G869),AVERAGE(Raw_Data!G$2:G$5002),Raw_Data!G869)</f>
        <v>10500.55</v>
      </c>
      <c r="H869" s="15" t="str">
        <f t="shared" si="1"/>
        <v>61402.00</v>
      </c>
      <c r="I869" s="14" t="str">
        <f t="shared" si="2"/>
        <v>50901.00</v>
      </c>
      <c r="J869" s="16" t="str">
        <f>TEXT(Raw_Data!J869,"MMM-YYY")</f>
        <v>Oct-2025</v>
      </c>
      <c r="K869" s="13" t="str">
        <f>Raw_Data!K869</f>
        <v>15</v>
      </c>
      <c r="L869" s="17" t="str">
        <f>Raw_Data!L869</f>
        <v>Kolkata-East</v>
      </c>
      <c r="M869" s="13" t="str">
        <f t="shared" si="3"/>
        <v>OK</v>
      </c>
      <c r="N869" s="18" t="str">
        <f t="shared" si="4"/>
        <v>VALID</v>
      </c>
    </row>
    <row r="870" ht="15.75" customHeight="1">
      <c r="A870" s="13" t="str">
        <f>Raw_Data!A870</f>
        <v>EMP0915</v>
      </c>
      <c r="B870" s="13" t="str">
        <f>TRIM(CLEAN(Raw_Data!B870))</f>
        <v>Customer Support</v>
      </c>
      <c r="C870" s="18" t="s">
        <v>18</v>
      </c>
      <c r="D870" s="14" t="str">
        <f>IF(ISBLANK(Raw_Data!D870),AVERAGE(Raw_Data!D$2:D$5002),Raw_Data!D870)</f>
        <v>82800.65</v>
      </c>
      <c r="E870" s="15" t="str">
        <f>IF(ISBLANK(Raw_Data!E870),AVERAGE(Raw_Data!E$2:E$5002),Raw_Data!E870)</f>
        <v>24840.19</v>
      </c>
      <c r="F870" s="15" t="str">
        <f>IF(ISBLANK(Raw_Data!F870),AVERAGE(Raw_Data!F$2:F$5002),Raw_Data!F870)</f>
        <v>4714.29</v>
      </c>
      <c r="G870" s="14" t="str">
        <f>IF(ISBLANK(Raw_Data!G870),AVERAGE(Raw_Data!G$2:G$5002),Raw_Data!G870)</f>
        <v>18454.45</v>
      </c>
      <c r="H870" s="15" t="str">
        <f t="shared" si="1"/>
        <v>112355.00</v>
      </c>
      <c r="I870" s="14" t="str">
        <f t="shared" si="2"/>
        <v>93901.00</v>
      </c>
      <c r="J870" s="16" t="str">
        <f>TEXT(Raw_Data!J870,"MMM-YYY")</f>
        <v>May-2025</v>
      </c>
      <c r="K870" s="13" t="str">
        <f>Raw_Data!K870</f>
        <v>25</v>
      </c>
      <c r="L870" s="17" t="str">
        <f>Raw_Data!L870</f>
        <v>Pune-West</v>
      </c>
      <c r="M870" s="13" t="str">
        <f t="shared" si="3"/>
        <v>OK</v>
      </c>
      <c r="N870" s="18" t="str">
        <f t="shared" si="4"/>
        <v>VALID</v>
      </c>
    </row>
    <row r="871" ht="15.75" customHeight="1">
      <c r="A871" s="13" t="str">
        <f>Raw_Data!A871</f>
        <v>EMP0916</v>
      </c>
      <c r="B871" s="13" t="str">
        <f>TRIM(CLEAN(Raw_Data!B871))</f>
        <v>Marketing</v>
      </c>
      <c r="C871" s="18" t="s">
        <v>30</v>
      </c>
      <c r="D871" s="14" t="str">
        <f>IF(ISBLANK(Raw_Data!D871),AVERAGE(Raw_Data!D$2:D$5002),Raw_Data!D871)</f>
        <v>29510.64</v>
      </c>
      <c r="E871" s="15" t="str">
        <f>IF(ISBLANK(Raw_Data!E871),AVERAGE(Raw_Data!E$2:E$5002),Raw_Data!E871)</f>
        <v>8853.19</v>
      </c>
      <c r="F871" s="15" t="str">
        <f>IF(ISBLANK(Raw_Data!F871),AVERAGE(Raw_Data!F$2:F$5002),Raw_Data!F871)</f>
        <v>1076.59</v>
      </c>
      <c r="G871" s="14" t="str">
        <f>IF(ISBLANK(Raw_Data!G871),AVERAGE(Raw_Data!G$2:G$5002),Raw_Data!G871)</f>
        <v>2563.84</v>
      </c>
      <c r="H871" s="15" t="str">
        <f t="shared" si="1"/>
        <v>39440.00</v>
      </c>
      <c r="I871" s="14" t="str">
        <f t="shared" si="2"/>
        <v>36876.00</v>
      </c>
      <c r="J871" s="16" t="str">
        <f>TEXT(Raw_Data!J871,"MMM-YYY")</f>
        <v>Nov-2025</v>
      </c>
      <c r="K871" s="13" t="str">
        <f>Raw_Data!K871</f>
        <v>19</v>
      </c>
      <c r="L871" s="17" t="str">
        <f>Raw_Data!L871</f>
        <v>Hyderabad-South</v>
      </c>
      <c r="M871" s="13" t="str">
        <f t="shared" si="3"/>
        <v>OK</v>
      </c>
      <c r="N871" s="18" t="str">
        <f t="shared" si="4"/>
        <v>VALID</v>
      </c>
    </row>
    <row r="872" ht="15.75" customHeight="1">
      <c r="A872" s="13" t="str">
        <f>Raw_Data!A872</f>
        <v>EMP0917</v>
      </c>
      <c r="B872" s="13" t="str">
        <f>TRIM(CLEAN(Raw_Data!B872))</f>
        <v>Marketing</v>
      </c>
      <c r="C872" s="18" t="s">
        <v>37</v>
      </c>
      <c r="D872" s="14" t="str">
        <f>IF(ISBLANK(Raw_Data!D872),AVERAGE(Raw_Data!D$2:D$5002),Raw_Data!D872)</f>
        <v>53149.81</v>
      </c>
      <c r="E872" s="15" t="str">
        <f>IF(ISBLANK(Raw_Data!E872),AVERAGE(Raw_Data!E$2:E$5002),Raw_Data!E872)</f>
        <v>15944.94</v>
      </c>
      <c r="F872" s="15" t="str">
        <f>IF(ISBLANK(Raw_Data!F872),AVERAGE(Raw_Data!F$2:F$5002),Raw_Data!F872)</f>
        <v>7446.00</v>
      </c>
      <c r="G872" s="14" t="str">
        <f>IF(ISBLANK(Raw_Data!G872),AVERAGE(Raw_Data!G$2:G$5002),Raw_Data!G872)</f>
        <v>7844.85</v>
      </c>
      <c r="H872" s="15" t="str">
        <f t="shared" si="1"/>
        <v>76541.00</v>
      </c>
      <c r="I872" s="14" t="str">
        <f t="shared" si="2"/>
        <v>68696.00</v>
      </c>
      <c r="J872" s="16" t="str">
        <f>TEXT(Raw_Data!J872,"MMM-YYY")</f>
        <v>Jun-2025</v>
      </c>
      <c r="K872" s="13" t="str">
        <f>Raw_Data!K872</f>
        <v>15</v>
      </c>
      <c r="L872" s="17" t="str">
        <f>Raw_Data!L872</f>
        <v>Chandigarh-North</v>
      </c>
      <c r="M872" s="13" t="str">
        <f t="shared" si="3"/>
        <v>OK</v>
      </c>
      <c r="N872" s="18" t="str">
        <f t="shared" si="4"/>
        <v>VALID</v>
      </c>
    </row>
    <row r="873" ht="15.75" customHeight="1">
      <c r="A873" s="13" t="str">
        <f>Raw_Data!A873</f>
        <v>EMP0918</v>
      </c>
      <c r="B873" s="13" t="str">
        <f>TRIM(CLEAN(Raw_Data!B873))</f>
        <v>HR</v>
      </c>
      <c r="C873" s="18" t="s">
        <v>30</v>
      </c>
      <c r="D873" s="14" t="str">
        <f>IF(ISBLANK(Raw_Data!D873),AVERAGE(Raw_Data!D$2:D$5002),Raw_Data!D873)</f>
        <v>22436.76</v>
      </c>
      <c r="E873" s="15" t="str">
        <f>IF(ISBLANK(Raw_Data!E873),AVERAGE(Raw_Data!E$2:E$5002),Raw_Data!E873)</f>
        <v>6731.03</v>
      </c>
      <c r="F873" s="15" t="str">
        <f>IF(ISBLANK(Raw_Data!F873),AVERAGE(Raw_Data!F$2:F$5002),Raw_Data!F873)</f>
        <v>2400.60</v>
      </c>
      <c r="G873" s="14" t="str">
        <f>IF(ISBLANK(Raw_Data!G873),AVERAGE(Raw_Data!G$2:G$5002),Raw_Data!G873)</f>
        <v>1251.55</v>
      </c>
      <c r="H873" s="15" t="str">
        <f t="shared" si="1"/>
        <v>31568.00</v>
      </c>
      <c r="I873" s="14" t="str">
        <f t="shared" si="2"/>
        <v>30316.00</v>
      </c>
      <c r="J873" s="16" t="str">
        <f>TEXT(Raw_Data!J873,"MMM-YYY")</f>
        <v>Feb-2025</v>
      </c>
      <c r="K873" s="13" t="str">
        <f>Raw_Data!K873</f>
        <v>19</v>
      </c>
      <c r="L873" s="17" t="str">
        <f>Raw_Data!L873</f>
        <v>Ahmedabad-West</v>
      </c>
      <c r="M873" s="13" t="str">
        <f t="shared" si="3"/>
        <v>OK</v>
      </c>
      <c r="N873" s="18" t="str">
        <f t="shared" si="4"/>
        <v>VALID</v>
      </c>
    </row>
    <row r="874" ht="15.75" customHeight="1">
      <c r="A874" s="13" t="str">
        <f>Raw_Data!A874</f>
        <v>EMP0919</v>
      </c>
      <c r="B874" s="13" t="str">
        <f>TRIM(CLEAN(Raw_Data!B874))</f>
        <v>IT</v>
      </c>
      <c r="C874" s="18" t="s">
        <v>33</v>
      </c>
      <c r="D874" s="14" t="str">
        <f>IF(ISBLANK(Raw_Data!D874),AVERAGE(Raw_Data!D$2:D$5002),Raw_Data!D874)</f>
        <v>26250.39</v>
      </c>
      <c r="E874" s="15" t="str">
        <f>IF(ISBLANK(Raw_Data!E874),AVERAGE(Raw_Data!E$2:E$5002),Raw_Data!E874)</f>
        <v>7875.12</v>
      </c>
      <c r="F874" s="15" t="str">
        <f>IF(ISBLANK(Raw_Data!F874),AVERAGE(Raw_Data!F$2:F$5002),Raw_Data!F874)</f>
        <v>2301.72</v>
      </c>
      <c r="G874" s="14" t="str">
        <f>IF(ISBLANK(Raw_Data!G874),AVERAGE(Raw_Data!G$2:G$5002),Raw_Data!G874)</f>
        <v>64.61</v>
      </c>
      <c r="H874" s="15" t="str">
        <f t="shared" si="1"/>
        <v>36427.00</v>
      </c>
      <c r="I874" s="14" t="str">
        <f t="shared" si="2"/>
        <v>36362.00</v>
      </c>
      <c r="J874" s="16" t="str">
        <f>TEXT(Raw_Data!J874,"MMM-YYY")</f>
        <v>Feb-2025</v>
      </c>
      <c r="K874" s="13" t="str">
        <f>Raw_Data!K874</f>
        <v>21</v>
      </c>
      <c r="L874" s="17" t="str">
        <f>Raw_Data!L874</f>
        <v>Jaipur-North</v>
      </c>
      <c r="M874" s="13" t="str">
        <f t="shared" si="3"/>
        <v>OK</v>
      </c>
      <c r="N874" s="18" t="str">
        <f t="shared" si="4"/>
        <v>VALID</v>
      </c>
    </row>
    <row r="875" ht="15.75" customHeight="1">
      <c r="A875" s="13" t="str">
        <f>Raw_Data!A875</f>
        <v>EMP0920</v>
      </c>
      <c r="B875" s="13" t="str">
        <f>TRIM(CLEAN(Raw_Data!B875))</f>
        <v>Finance</v>
      </c>
      <c r="C875" s="18" t="s">
        <v>14</v>
      </c>
      <c r="D875" s="14" t="str">
        <f>IF(ISBLANK(Raw_Data!D875),AVERAGE(Raw_Data!D$2:D$5002),Raw_Data!D875)</f>
        <v>21553.77</v>
      </c>
      <c r="E875" s="15" t="str">
        <f>IF(ISBLANK(Raw_Data!E875),AVERAGE(Raw_Data!E$2:E$5002),Raw_Data!E875)</f>
        <v>6466.13</v>
      </c>
      <c r="F875" s="15" t="str">
        <f>IF(ISBLANK(Raw_Data!F875),AVERAGE(Raw_Data!F$2:F$5002),Raw_Data!F875)</f>
        <v>1473.90</v>
      </c>
      <c r="G875" s="14" t="str">
        <f>IF(ISBLANK(Raw_Data!G875),AVERAGE(Raw_Data!G$2:G$5002),Raw_Data!G875)</f>
        <v>2014.70</v>
      </c>
      <c r="H875" s="15" t="str">
        <f t="shared" si="1"/>
        <v>29494.00</v>
      </c>
      <c r="I875" s="14" t="str">
        <f t="shared" si="2"/>
        <v>27479.00</v>
      </c>
      <c r="J875" s="16" t="str">
        <f>TEXT(Raw_Data!J875,"MMM-YYY")</f>
        <v>Aug-2025</v>
      </c>
      <c r="K875" s="13" t="str">
        <f>Raw_Data!K875</f>
        <v>6</v>
      </c>
      <c r="L875" s="17" t="str">
        <f>Raw_Data!L875</f>
        <v>Mumbai-HO</v>
      </c>
      <c r="M875" s="13" t="str">
        <f t="shared" si="3"/>
        <v>OK</v>
      </c>
      <c r="N875" s="18" t="str">
        <f t="shared" si="4"/>
        <v>VALID</v>
      </c>
    </row>
    <row r="876" ht="15.75" customHeight="1">
      <c r="A876" s="13" t="str">
        <f>Raw_Data!A876</f>
        <v>EMP0921</v>
      </c>
      <c r="B876" s="13" t="str">
        <f>TRIM(CLEAN(Raw_Data!B876))</f>
        <v>IT</v>
      </c>
      <c r="C876" s="18" t="s">
        <v>54</v>
      </c>
      <c r="D876" s="14" t="str">
        <f>IF(ISBLANK(Raw_Data!D876),AVERAGE(Raw_Data!D$2:D$5002),Raw_Data!D876)</f>
        <v>44757.09</v>
      </c>
      <c r="E876" s="15" t="str">
        <f>IF(ISBLANK(Raw_Data!E876),AVERAGE(Raw_Data!E$2:E$5002),Raw_Data!E876)</f>
        <v>13427.13</v>
      </c>
      <c r="F876" s="15" t="str">
        <f>IF(ISBLANK(Raw_Data!F876),AVERAGE(Raw_Data!F$2:F$5002),Raw_Data!F876)</f>
        <v>284.09</v>
      </c>
      <c r="G876" s="14" t="str">
        <f>IF(ISBLANK(Raw_Data!G876),AVERAGE(Raw_Data!G$2:G$5002),Raw_Data!G876)</f>
        <v>1077.17</v>
      </c>
      <c r="H876" s="15" t="str">
        <f t="shared" si="1"/>
        <v>58468.00</v>
      </c>
      <c r="I876" s="14" t="str">
        <f t="shared" si="2"/>
        <v>57391.00</v>
      </c>
      <c r="J876" s="16" t="str">
        <f>TEXT(Raw_Data!J876,"MMM-YYY")</f>
        <v>Mar-2025</v>
      </c>
      <c r="K876" s="13" t="str">
        <f>Raw_Data!K876</f>
        <v>1</v>
      </c>
      <c r="L876" s="17" t="str">
        <f>Raw_Data!L876</f>
        <v>Delhi-North</v>
      </c>
      <c r="M876" s="13" t="str">
        <f t="shared" si="3"/>
        <v>OK</v>
      </c>
      <c r="N876" s="18" t="str">
        <f t="shared" si="4"/>
        <v>VALID</v>
      </c>
    </row>
    <row r="877" ht="15.75" customHeight="1">
      <c r="A877" s="13" t="str">
        <f>Raw_Data!A877</f>
        <v>EMP0922</v>
      </c>
      <c r="B877" s="13" t="str">
        <f>TRIM(CLEAN(Raw_Data!B877))</f>
        <v>HR</v>
      </c>
      <c r="C877" s="18" t="s">
        <v>33</v>
      </c>
      <c r="D877" s="14" t="str">
        <f>IF(ISBLANK(Raw_Data!D877),AVERAGE(Raw_Data!D$2:D$5002),Raw_Data!D877)</f>
        <v>32756.53</v>
      </c>
      <c r="E877" s="15" t="str">
        <f>IF(ISBLANK(Raw_Data!E877),AVERAGE(Raw_Data!E$2:E$5002),Raw_Data!E877)</f>
        <v>9826.96</v>
      </c>
      <c r="F877" s="15" t="str">
        <f>IF(ISBLANK(Raw_Data!F877),AVERAGE(Raw_Data!F$2:F$5002),Raw_Data!F877)</f>
        <v>467.66</v>
      </c>
      <c r="G877" s="14" t="str">
        <f>IF(ISBLANK(Raw_Data!G877),AVERAGE(Raw_Data!G$2:G$5002),Raw_Data!G877)</f>
        <v>4620.11</v>
      </c>
      <c r="H877" s="15" t="str">
        <f t="shared" si="1"/>
        <v>43051.00</v>
      </c>
      <c r="I877" s="14" t="str">
        <f t="shared" si="2"/>
        <v>38431.00</v>
      </c>
      <c r="J877" s="16" t="str">
        <f>TEXT(Raw_Data!J877,"MMM-YYY")</f>
        <v>Apr-2025</v>
      </c>
      <c r="K877" s="13" t="str">
        <f>Raw_Data!K877</f>
        <v>13</v>
      </c>
      <c r="L877" s="17" t="str">
        <f>Raw_Data!L877</f>
        <v>Bangalore-South</v>
      </c>
      <c r="M877" s="13" t="str">
        <f t="shared" si="3"/>
        <v>OK</v>
      </c>
      <c r="N877" s="18" t="str">
        <f t="shared" si="4"/>
        <v>VALID</v>
      </c>
    </row>
    <row r="878" ht="15.75" customHeight="1">
      <c r="A878" s="13" t="str">
        <f>Raw_Data!A878</f>
        <v>EMP0923</v>
      </c>
      <c r="B878" s="13" t="str">
        <f>TRIM(CLEAN(Raw_Data!B878))</f>
        <v>Customer Support</v>
      </c>
      <c r="C878" s="18" t="s">
        <v>33</v>
      </c>
      <c r="D878" s="14" t="str">
        <f>IF(ISBLANK(Raw_Data!D878),AVERAGE(Raw_Data!D$2:D$5002),Raw_Data!D878)</f>
        <v>33172.51</v>
      </c>
      <c r="E878" s="15" t="str">
        <f>IF(ISBLANK(Raw_Data!E878),AVERAGE(Raw_Data!E$2:E$5002),Raw_Data!E878)</f>
        <v>9951.75</v>
      </c>
      <c r="F878" s="15" t="str">
        <f>IF(ISBLANK(Raw_Data!F878),AVERAGE(Raw_Data!F$2:F$5002),Raw_Data!F878)</f>
        <v>5495.04</v>
      </c>
      <c r="G878" s="14" t="str">
        <f>IF(ISBLANK(Raw_Data!G878),AVERAGE(Raw_Data!G$2:G$5002),Raw_Data!G878)</f>
        <v>1213.73</v>
      </c>
      <c r="H878" s="15" t="str">
        <f t="shared" si="1"/>
        <v>48619.00</v>
      </c>
      <c r="I878" s="14" t="str">
        <f t="shared" si="2"/>
        <v>47405.00</v>
      </c>
      <c r="J878" s="16" t="str">
        <f>TEXT(Raw_Data!J878,"MMM-YYY")</f>
        <v>Dec-2025</v>
      </c>
      <c r="K878" s="13" t="str">
        <f>Raw_Data!K878</f>
        <v>14</v>
      </c>
      <c r="L878" s="17" t="str">
        <f>Raw_Data!L878</f>
        <v>Chennai-South</v>
      </c>
      <c r="M878" s="13" t="str">
        <f t="shared" si="3"/>
        <v>OK</v>
      </c>
      <c r="N878" s="18" t="str">
        <f t="shared" si="4"/>
        <v>VALID</v>
      </c>
    </row>
    <row r="879" ht="15.75" customHeight="1">
      <c r="A879" s="13" t="str">
        <f>Raw_Data!A879</f>
        <v>EMP0924</v>
      </c>
      <c r="B879" s="13" t="str">
        <f>TRIM(CLEAN(Raw_Data!B879))</f>
        <v>Finance</v>
      </c>
      <c r="C879" s="18" t="s">
        <v>54</v>
      </c>
      <c r="D879" s="14" t="str">
        <f>IF(ISBLANK(Raw_Data!D879),AVERAGE(Raw_Data!D$2:D$5002),Raw_Data!D879)</f>
        <v>45797.15</v>
      </c>
      <c r="E879" s="15" t="str">
        <f>IF(ISBLANK(Raw_Data!E879),AVERAGE(Raw_Data!E$2:E$5002),Raw_Data!E879)</f>
        <v>13739.15</v>
      </c>
      <c r="F879" s="15" t="str">
        <f>IF(ISBLANK(Raw_Data!F879),AVERAGE(Raw_Data!F$2:F$5002),Raw_Data!F879)</f>
        <v>4057.27</v>
      </c>
      <c r="G879" s="14" t="str">
        <f>IF(ISBLANK(Raw_Data!G879),AVERAGE(Raw_Data!G$2:G$5002),Raw_Data!G879)</f>
        <v>10134.25</v>
      </c>
      <c r="H879" s="15" t="str">
        <f t="shared" si="1"/>
        <v>63594.00</v>
      </c>
      <c r="I879" s="14" t="str">
        <f t="shared" si="2"/>
        <v>53460.00</v>
      </c>
      <c r="J879" s="16" t="str">
        <f>TEXT(Raw_Data!J879,"MMM-YYY")</f>
        <v>Jan-2025</v>
      </c>
      <c r="K879" s="13" t="str">
        <f>Raw_Data!K879</f>
        <v>14</v>
      </c>
      <c r="L879" s="17" t="str">
        <f>Raw_Data!L879</f>
        <v>Kolkata-East</v>
      </c>
      <c r="M879" s="13" t="str">
        <f t="shared" si="3"/>
        <v>OK</v>
      </c>
      <c r="N879" s="18" t="str">
        <f t="shared" si="4"/>
        <v>VALID</v>
      </c>
    </row>
    <row r="880" ht="15.75" customHeight="1">
      <c r="A880" s="13" t="str">
        <f>Raw_Data!A880</f>
        <v>EMP0925</v>
      </c>
      <c r="B880" s="13" t="str">
        <f>TRIM(CLEAN(Raw_Data!B880))</f>
        <v>Finance</v>
      </c>
      <c r="C880" s="18" t="s">
        <v>54</v>
      </c>
      <c r="D880" s="14" t="str">
        <f>IF(ISBLANK(Raw_Data!D880),AVERAGE(Raw_Data!D$2:D$5002),Raw_Data!D880)</f>
        <v>45294.52</v>
      </c>
      <c r="E880" s="15" t="str">
        <f>IF(ISBLANK(Raw_Data!E880),AVERAGE(Raw_Data!E$2:E$5002),Raw_Data!E880)</f>
        <v>13588.36</v>
      </c>
      <c r="F880" s="15" t="str">
        <f>IF(ISBLANK(Raw_Data!F880),AVERAGE(Raw_Data!F$2:F$5002),Raw_Data!F880)</f>
        <v>851.18</v>
      </c>
      <c r="G880" s="14" t="str">
        <f>IF(ISBLANK(Raw_Data!G880),AVERAGE(Raw_Data!G$2:G$5002),Raw_Data!G880)</f>
        <v>9049.95</v>
      </c>
      <c r="H880" s="15" t="str">
        <f t="shared" si="1"/>
        <v>59734.00</v>
      </c>
      <c r="I880" s="14" t="str">
        <f t="shared" si="2"/>
        <v>50684.00</v>
      </c>
      <c r="J880" s="16" t="str">
        <f>TEXT(Raw_Data!J880,"MMM-YYY")</f>
        <v>Apr-2025</v>
      </c>
      <c r="K880" s="13" t="str">
        <f>Raw_Data!K880</f>
        <v>23</v>
      </c>
      <c r="L880" s="17" t="str">
        <f>Raw_Data!L880</f>
        <v>Pune-West</v>
      </c>
      <c r="M880" s="13" t="str">
        <f t="shared" si="3"/>
        <v>OK</v>
      </c>
      <c r="N880" s="18" t="str">
        <f t="shared" si="4"/>
        <v>VALID</v>
      </c>
    </row>
    <row r="881" ht="15.75" customHeight="1">
      <c r="A881" s="13" t="str">
        <f>Raw_Data!A881</f>
        <v>EMP0926</v>
      </c>
      <c r="B881" s="13" t="str">
        <f>TRIM(CLEAN(Raw_Data!B881))</f>
        <v>Marketing</v>
      </c>
      <c r="C881" s="18" t="s">
        <v>54</v>
      </c>
      <c r="D881" s="14" t="str">
        <f>IF(ISBLANK(Raw_Data!D881),AVERAGE(Raw_Data!D$2:D$5002),Raw_Data!D881)</f>
        <v>44540.19</v>
      </c>
      <c r="E881" s="15" t="str">
        <f>IF(ISBLANK(Raw_Data!E881),AVERAGE(Raw_Data!E$2:E$5002),Raw_Data!E881)</f>
        <v>13362.06</v>
      </c>
      <c r="F881" s="15" t="str">
        <f>IF(ISBLANK(Raw_Data!F881),AVERAGE(Raw_Data!F$2:F$5002),Raw_Data!F881)</f>
        <v>2780.28</v>
      </c>
      <c r="G881" s="14" t="str">
        <f>IF(ISBLANK(Raw_Data!G881),AVERAGE(Raw_Data!G$2:G$5002),Raw_Data!G881)</f>
        <v>4316.79</v>
      </c>
      <c r="H881" s="15" t="str">
        <f t="shared" si="1"/>
        <v>60683.00</v>
      </c>
      <c r="I881" s="14" t="str">
        <f t="shared" si="2"/>
        <v>56366.00</v>
      </c>
      <c r="J881" s="16" t="str">
        <f>TEXT(Raw_Data!J881,"MMM-YYY")</f>
        <v>Nov-2025</v>
      </c>
      <c r="K881" s="13" t="str">
        <f>Raw_Data!K881</f>
        <v>23</v>
      </c>
      <c r="L881" s="17" t="str">
        <f>Raw_Data!L881</f>
        <v>Hyderabad-South</v>
      </c>
      <c r="M881" s="13" t="str">
        <f t="shared" si="3"/>
        <v>OK</v>
      </c>
      <c r="N881" s="18" t="str">
        <f t="shared" si="4"/>
        <v>VALID</v>
      </c>
    </row>
    <row r="882" ht="15.75" customHeight="1">
      <c r="A882" s="13" t="str">
        <f>Raw_Data!A882</f>
        <v>EMP0927</v>
      </c>
      <c r="B882" s="13" t="str">
        <f>TRIM(CLEAN(Raw_Data!B882))</f>
        <v>Sales</v>
      </c>
      <c r="C882" s="18" t="s">
        <v>14</v>
      </c>
      <c r="D882" s="14" t="str">
        <f>IF(ISBLANK(Raw_Data!D882),AVERAGE(Raw_Data!D$2:D$5002),Raw_Data!D882)</f>
        <v>23362.02</v>
      </c>
      <c r="E882" s="15" t="str">
        <f>IF(ISBLANK(Raw_Data!E882),AVERAGE(Raw_Data!E$2:E$5002),Raw_Data!E882)</f>
        <v>7008.61</v>
      </c>
      <c r="F882" s="15" t="str">
        <f>IF(ISBLANK(Raw_Data!F882),AVERAGE(Raw_Data!F$2:F$5002),Raw_Data!F882)</f>
        <v>2567.86</v>
      </c>
      <c r="G882" s="14" t="str">
        <f>IF(ISBLANK(Raw_Data!G882),AVERAGE(Raw_Data!G$2:G$5002),Raw_Data!G882)</f>
        <v>856.04</v>
      </c>
      <c r="H882" s="15" t="str">
        <f t="shared" si="1"/>
        <v>32938.00</v>
      </c>
      <c r="I882" s="14" t="str">
        <f t="shared" si="2"/>
        <v>32082.00</v>
      </c>
      <c r="J882" s="16" t="str">
        <f>TEXT(Raw_Data!J882,"MMM-YYY")</f>
        <v>Aug-2025</v>
      </c>
      <c r="K882" s="13" t="str">
        <f>Raw_Data!K882</f>
        <v>2</v>
      </c>
      <c r="L882" s="17" t="str">
        <f>Raw_Data!L882</f>
        <v>Chandigarh-North</v>
      </c>
      <c r="M882" s="13" t="str">
        <f t="shared" si="3"/>
        <v>OK</v>
      </c>
      <c r="N882" s="18" t="str">
        <f t="shared" si="4"/>
        <v>VALID</v>
      </c>
    </row>
    <row r="883" ht="15.75" customHeight="1">
      <c r="A883" s="13" t="str">
        <f>Raw_Data!A883</f>
        <v>EMP0928</v>
      </c>
      <c r="B883" s="13" t="str">
        <f>TRIM(CLEAN(Raw_Data!B883))</f>
        <v>Sales</v>
      </c>
      <c r="C883" s="18" t="s">
        <v>33</v>
      </c>
      <c r="D883" s="14" t="str">
        <f>IF(ISBLANK(Raw_Data!D883),AVERAGE(Raw_Data!D$2:D$5002),Raw_Data!D883)</f>
        <v>26987.24</v>
      </c>
      <c r="E883" s="15" t="str">
        <f>IF(ISBLANK(Raw_Data!E883),AVERAGE(Raw_Data!E$2:E$5002),Raw_Data!E883)</f>
        <v>8096.17</v>
      </c>
      <c r="F883" s="15" t="str">
        <f>IF(ISBLANK(Raw_Data!F883),AVERAGE(Raw_Data!F$2:F$5002),Raw_Data!F883)</f>
        <v>4790.34</v>
      </c>
      <c r="G883" s="14" t="str">
        <f>IF(ISBLANK(Raw_Data!G883),AVERAGE(Raw_Data!G$2:G$5002),Raw_Data!G883)</f>
        <v>6992.32</v>
      </c>
      <c r="H883" s="15" t="str">
        <f t="shared" si="1"/>
        <v>39874.00</v>
      </c>
      <c r="I883" s="14" t="str">
        <f t="shared" si="2"/>
        <v>32882.00</v>
      </c>
      <c r="J883" s="16" t="str">
        <f>TEXT(Raw_Data!J883,"MMM-YYY")</f>
        <v>Apr-2025</v>
      </c>
      <c r="K883" s="13" t="str">
        <f>Raw_Data!K883</f>
        <v>2</v>
      </c>
      <c r="L883" s="17" t="str">
        <f>Raw_Data!L883</f>
        <v>Ahmedabad-West</v>
      </c>
      <c r="M883" s="13" t="str">
        <f t="shared" si="3"/>
        <v>OK</v>
      </c>
      <c r="N883" s="18" t="str">
        <f t="shared" si="4"/>
        <v>VALID</v>
      </c>
    </row>
    <row r="884" ht="15.75" customHeight="1">
      <c r="A884" s="13" t="str">
        <f>Raw_Data!A884</f>
        <v>EMP0929</v>
      </c>
      <c r="B884" s="13" t="str">
        <f>TRIM(CLEAN(Raw_Data!B884))</f>
        <v>HR</v>
      </c>
      <c r="C884" s="18" t="s">
        <v>30</v>
      </c>
      <c r="D884" s="14" t="str">
        <f>IF(ISBLANK(Raw_Data!D884),AVERAGE(Raw_Data!D$2:D$5002),Raw_Data!D884)</f>
        <v>27569.60</v>
      </c>
      <c r="E884" s="15" t="str">
        <f>IF(ISBLANK(Raw_Data!E884),AVERAGE(Raw_Data!E$2:E$5002),Raw_Data!E884)</f>
        <v>8270.88</v>
      </c>
      <c r="F884" s="15" t="str">
        <f>IF(ISBLANK(Raw_Data!F884),AVERAGE(Raw_Data!F$2:F$5002),Raw_Data!F884)</f>
        <v>1789.34</v>
      </c>
      <c r="G884" s="14" t="str">
        <f>IF(ISBLANK(Raw_Data!G884),AVERAGE(Raw_Data!G$2:G$5002),Raw_Data!G884)</f>
        <v>1384.22</v>
      </c>
      <c r="H884" s="15" t="str">
        <f t="shared" si="1"/>
        <v>37630.00</v>
      </c>
      <c r="I884" s="14" t="str">
        <f t="shared" si="2"/>
        <v>36246.00</v>
      </c>
      <c r="J884" s="16" t="str">
        <f>TEXT(Raw_Data!J884,"MMM-YYY")</f>
        <v>May-2025</v>
      </c>
      <c r="K884" s="13" t="str">
        <f>Raw_Data!K884</f>
        <v>14</v>
      </c>
      <c r="L884" s="17" t="str">
        <f>Raw_Data!L884</f>
        <v>Jaipur-North</v>
      </c>
      <c r="M884" s="13" t="str">
        <f t="shared" si="3"/>
        <v>OK</v>
      </c>
      <c r="N884" s="18" t="str">
        <f t="shared" si="4"/>
        <v>VALID</v>
      </c>
    </row>
    <row r="885" ht="15.75" customHeight="1">
      <c r="A885" s="13" t="str">
        <f>Raw_Data!A885</f>
        <v>EMP0930</v>
      </c>
      <c r="B885" s="13" t="str">
        <f>TRIM(CLEAN(Raw_Data!B885))</f>
        <v>Operations</v>
      </c>
      <c r="C885" s="18" t="s">
        <v>14</v>
      </c>
      <c r="D885" s="14" t="str">
        <f>IF(ISBLANK(Raw_Data!D885),AVERAGE(Raw_Data!D$2:D$5002),Raw_Data!D885)</f>
        <v>20849.82</v>
      </c>
      <c r="E885" s="15" t="str">
        <f>IF(ISBLANK(Raw_Data!E885),AVERAGE(Raw_Data!E$2:E$5002),Raw_Data!E885)</f>
        <v>6254.95</v>
      </c>
      <c r="F885" s="15" t="str">
        <f>IF(ISBLANK(Raw_Data!F885),AVERAGE(Raw_Data!F$2:F$5002),Raw_Data!F885)</f>
        <v>1013.67</v>
      </c>
      <c r="G885" s="14" t="str">
        <f>IF(ISBLANK(Raw_Data!G885),AVERAGE(Raw_Data!G$2:G$5002),Raw_Data!G885)</f>
        <v>6060.01</v>
      </c>
      <c r="H885" s="15" t="str">
        <f t="shared" si="1"/>
        <v>28118.00</v>
      </c>
      <c r="I885" s="14" t="str">
        <f t="shared" si="2"/>
        <v>22058.00</v>
      </c>
      <c r="J885" s="16" t="str">
        <f>TEXT(Raw_Data!J885,"MMM-YYY")</f>
        <v>Oct-2025</v>
      </c>
      <c r="K885" s="13" t="str">
        <f>Raw_Data!K885</f>
        <v>15</v>
      </c>
      <c r="L885" s="17" t="str">
        <f>Raw_Data!L885</f>
        <v>Mumbai-HO</v>
      </c>
      <c r="M885" s="13" t="str">
        <f t="shared" si="3"/>
        <v>OK</v>
      </c>
      <c r="N885" s="18" t="str">
        <f t="shared" si="4"/>
        <v>VALID</v>
      </c>
    </row>
    <row r="886" ht="15.75" customHeight="1">
      <c r="A886" s="13" t="str">
        <f>Raw_Data!A886</f>
        <v>EMP0931</v>
      </c>
      <c r="B886" s="13" t="str">
        <f>TRIM(CLEAN(Raw_Data!B886))</f>
        <v>Customer Support</v>
      </c>
      <c r="C886" s="18" t="s">
        <v>18</v>
      </c>
      <c r="D886" s="14" t="str">
        <f>IF(ISBLANK(Raw_Data!D886),AVERAGE(Raw_Data!D$2:D$5002),Raw_Data!D886)</f>
        <v>77357.04</v>
      </c>
      <c r="E886" s="15" t="str">
        <f>IF(ISBLANK(Raw_Data!E886),AVERAGE(Raw_Data!E$2:E$5002),Raw_Data!E886)</f>
        <v>23207.11</v>
      </c>
      <c r="F886" s="15" t="str">
        <f>IF(ISBLANK(Raw_Data!F886),AVERAGE(Raw_Data!F$2:F$5002),Raw_Data!F886)</f>
        <v>9224.24</v>
      </c>
      <c r="G886" s="14" t="str">
        <f>IF(ISBLANK(Raw_Data!G886),AVERAGE(Raw_Data!G$2:G$5002),Raw_Data!G886)</f>
        <v>8619.09</v>
      </c>
      <c r="H886" s="15" t="str">
        <f t="shared" si="1"/>
        <v>109788.00</v>
      </c>
      <c r="I886" s="14" t="str">
        <f t="shared" si="2"/>
        <v>101169.00</v>
      </c>
      <c r="J886" s="16" t="str">
        <f>TEXT(Raw_Data!J886,"MMM-YYY")</f>
        <v>Feb-2025</v>
      </c>
      <c r="K886" s="13" t="str">
        <f>Raw_Data!K886</f>
        <v>21</v>
      </c>
      <c r="L886" s="17" t="str">
        <f>Raw_Data!L886</f>
        <v>Delhi-North</v>
      </c>
      <c r="M886" s="13" t="str">
        <f t="shared" si="3"/>
        <v>OK</v>
      </c>
      <c r="N886" s="18" t="str">
        <f t="shared" si="4"/>
        <v>VALID</v>
      </c>
    </row>
    <row r="887" ht="15.75" customHeight="1">
      <c r="A887" s="13" t="str">
        <f>Raw_Data!A887</f>
        <v>EMP0932</v>
      </c>
      <c r="B887" s="13" t="str">
        <f>TRIM(CLEAN(Raw_Data!B887))</f>
        <v>Finance</v>
      </c>
      <c r="C887" s="18" t="s">
        <v>30</v>
      </c>
      <c r="D887" s="14" t="str">
        <f>IF(ISBLANK(Raw_Data!D887),AVERAGE(Raw_Data!D$2:D$5002),Raw_Data!D887)</f>
        <v>26399.29</v>
      </c>
      <c r="E887" s="15" t="str">
        <f>IF(ISBLANK(Raw_Data!E887),AVERAGE(Raw_Data!E$2:E$5002),Raw_Data!E887)</f>
        <v>7919.79</v>
      </c>
      <c r="F887" s="15" t="str">
        <f>IF(ISBLANK(Raw_Data!F887),AVERAGE(Raw_Data!F$2:F$5002),Raw_Data!F887)</f>
        <v>3621.69</v>
      </c>
      <c r="G887" s="14" t="str">
        <f>IF(ISBLANK(Raw_Data!G887),AVERAGE(Raw_Data!G$2:G$5002),Raw_Data!G887)</f>
        <v>2680.23</v>
      </c>
      <c r="H887" s="15" t="str">
        <f t="shared" si="1"/>
        <v>37941.00</v>
      </c>
      <c r="I887" s="14" t="str">
        <f t="shared" si="2"/>
        <v>35261.00</v>
      </c>
      <c r="J887" s="16" t="str">
        <f>TEXT(Raw_Data!J887,"MMM-YYY")</f>
        <v>Nov-2025</v>
      </c>
      <c r="K887" s="13" t="str">
        <f>Raw_Data!K887</f>
        <v>1</v>
      </c>
      <c r="L887" s="17" t="str">
        <f>Raw_Data!L887</f>
        <v>Bangalore-South</v>
      </c>
      <c r="M887" s="13" t="str">
        <f t="shared" si="3"/>
        <v>OK</v>
      </c>
      <c r="N887" s="18" t="str">
        <f t="shared" si="4"/>
        <v>VALID</v>
      </c>
    </row>
    <row r="888" ht="15.75" customHeight="1">
      <c r="A888" s="13" t="str">
        <f>Raw_Data!A888</f>
        <v>EMP0933</v>
      </c>
      <c r="B888" s="13" t="str">
        <f>TRIM(CLEAN(Raw_Data!B888))</f>
        <v>HR</v>
      </c>
      <c r="C888" s="18" t="s">
        <v>14</v>
      </c>
      <c r="D888" s="14" t="str">
        <f>IF(ISBLANK(Raw_Data!D888),AVERAGE(Raw_Data!D$2:D$5002),Raw_Data!D888)</f>
        <v>20559.73</v>
      </c>
      <c r="E888" s="15" t="str">
        <f>IF(ISBLANK(Raw_Data!E888),AVERAGE(Raw_Data!E$2:E$5002),Raw_Data!E888)</f>
        <v>6167.92</v>
      </c>
      <c r="F888" s="15" t="str">
        <f>IF(ISBLANK(Raw_Data!F888),AVERAGE(Raw_Data!F$2:F$5002),Raw_Data!F888)</f>
        <v>632.90</v>
      </c>
      <c r="G888" s="14" t="str">
        <f>IF(ISBLANK(Raw_Data!G888),AVERAGE(Raw_Data!G$2:G$5002),Raw_Data!G888)</f>
        <v>3308.18</v>
      </c>
      <c r="H888" s="15" t="str">
        <f t="shared" si="1"/>
        <v>27361.00</v>
      </c>
      <c r="I888" s="14" t="str">
        <f t="shared" si="2"/>
        <v>24053.00</v>
      </c>
      <c r="J888" s="16" t="str">
        <f>TEXT(Raw_Data!J888,"MMM-YYY")</f>
        <v>Feb-2025</v>
      </c>
      <c r="K888" s="13" t="str">
        <f>Raw_Data!K888</f>
        <v>14</v>
      </c>
      <c r="L888" s="17" t="str">
        <f>Raw_Data!L888</f>
        <v>Chennai-South</v>
      </c>
      <c r="M888" s="13" t="str">
        <f t="shared" si="3"/>
        <v>OK</v>
      </c>
      <c r="N888" s="18" t="str">
        <f t="shared" si="4"/>
        <v>VALID</v>
      </c>
    </row>
    <row r="889" ht="15.75" customHeight="1">
      <c r="A889" s="13" t="str">
        <f>Raw_Data!A889</f>
        <v>EMP0935</v>
      </c>
      <c r="B889" s="13" t="str">
        <f>TRIM(CLEAN(Raw_Data!B889))</f>
        <v>Customer Support</v>
      </c>
      <c r="C889" s="18" t="s">
        <v>54</v>
      </c>
      <c r="D889" s="14" t="str">
        <f>IF(ISBLANK(Raw_Data!D889),AVERAGE(Raw_Data!D$2:D$5002),Raw_Data!D889)</f>
        <v>45264.64</v>
      </c>
      <c r="E889" s="15" t="str">
        <f>IF(ISBLANK(Raw_Data!E889),AVERAGE(Raw_Data!E$2:E$5002),Raw_Data!E889)</f>
        <v>13579.39</v>
      </c>
      <c r="F889" s="15" t="str">
        <f>IF(ISBLANK(Raw_Data!F889),AVERAGE(Raw_Data!F$2:F$5002),Raw_Data!F889)</f>
        <v>193.31</v>
      </c>
      <c r="G889" s="14" t="str">
        <f>IF(ISBLANK(Raw_Data!G889),AVERAGE(Raw_Data!G$2:G$5002),Raw_Data!G889)</f>
        <v>5129.87</v>
      </c>
      <c r="H889" s="15" t="str">
        <f t="shared" si="1"/>
        <v>59037.00</v>
      </c>
      <c r="I889" s="14" t="str">
        <f t="shared" si="2"/>
        <v>53907.00</v>
      </c>
      <c r="J889" s="16" t="str">
        <f>TEXT(Raw_Data!J889,"MMM-YYY")</f>
        <v>Dec-2025</v>
      </c>
      <c r="K889" s="13" t="str">
        <f>Raw_Data!K889</f>
        <v>25</v>
      </c>
      <c r="L889" s="17" t="str">
        <f>Raw_Data!L889</f>
        <v>Pune-West</v>
      </c>
      <c r="M889" s="13" t="str">
        <f t="shared" si="3"/>
        <v>OK</v>
      </c>
      <c r="N889" s="18" t="str">
        <f t="shared" si="4"/>
        <v>VALID</v>
      </c>
    </row>
    <row r="890" ht="15.75" customHeight="1">
      <c r="A890" s="13" t="str">
        <f>Raw_Data!A890</f>
        <v>EMP0936</v>
      </c>
      <c r="B890" s="13" t="str">
        <f>TRIM(CLEAN(Raw_Data!B890))</f>
        <v>Finance</v>
      </c>
      <c r="C890" s="18" t="s">
        <v>33</v>
      </c>
      <c r="D890" s="14" t="str">
        <f>IF(ISBLANK(Raw_Data!D890),AVERAGE(Raw_Data!D$2:D$5002),Raw_Data!D890)</f>
        <v>33986.63</v>
      </c>
      <c r="E890" s="15" t="str">
        <f>IF(ISBLANK(Raw_Data!E890),AVERAGE(Raw_Data!E$2:E$5002),Raw_Data!E890)</f>
        <v>10195.99</v>
      </c>
      <c r="F890" s="15" t="str">
        <f>IF(ISBLANK(Raw_Data!F890),AVERAGE(Raw_Data!F$2:F$5002),Raw_Data!F890)</f>
        <v>3298.76</v>
      </c>
      <c r="G890" s="14" t="str">
        <f>IF(ISBLANK(Raw_Data!G890),AVERAGE(Raw_Data!G$2:G$5002),Raw_Data!G890)</f>
        <v>4460.75</v>
      </c>
      <c r="H890" s="15" t="str">
        <f t="shared" si="1"/>
        <v>47481.00</v>
      </c>
      <c r="I890" s="14" t="str">
        <f t="shared" si="2"/>
        <v>43020.00</v>
      </c>
      <c r="J890" s="16" t="str">
        <f>TEXT(Raw_Data!J890,"MMM-YYY")</f>
        <v>May-2025</v>
      </c>
      <c r="K890" s="13" t="str">
        <f>Raw_Data!K890</f>
        <v>14</v>
      </c>
      <c r="L890" s="17" t="str">
        <f>Raw_Data!L890</f>
        <v>Hyderabad-South</v>
      </c>
      <c r="M890" s="13" t="str">
        <f t="shared" si="3"/>
        <v>OK</v>
      </c>
      <c r="N890" s="18" t="str">
        <f t="shared" si="4"/>
        <v>VALID</v>
      </c>
    </row>
    <row r="891" ht="15.75" customHeight="1">
      <c r="A891" s="13" t="str">
        <f>Raw_Data!A891</f>
        <v>EMP0937</v>
      </c>
      <c r="B891" s="13" t="str">
        <f>TRIM(CLEAN(Raw_Data!B891))</f>
        <v>Operations</v>
      </c>
      <c r="C891" s="18" t="s">
        <v>18</v>
      </c>
      <c r="D891" s="14" t="str">
        <f>IF(ISBLANK(Raw_Data!D891),AVERAGE(Raw_Data!D$2:D$5002),Raw_Data!D891)</f>
        <v>77742.39</v>
      </c>
      <c r="E891" s="15" t="str">
        <f>IF(ISBLANK(Raw_Data!E891),AVERAGE(Raw_Data!E$2:E$5002),Raw_Data!E891)</f>
        <v>23322.72</v>
      </c>
      <c r="F891" s="15" t="str">
        <f>IF(ISBLANK(Raw_Data!F891),AVERAGE(Raw_Data!F$2:F$5002),Raw_Data!F891)</f>
        <v>8811.35</v>
      </c>
      <c r="G891" s="14" t="str">
        <f>IF(ISBLANK(Raw_Data!G891),AVERAGE(Raw_Data!G$2:G$5002),Raw_Data!G891)</f>
        <v>12678.71</v>
      </c>
      <c r="H891" s="15" t="str">
        <f t="shared" si="1"/>
        <v>109876.00</v>
      </c>
      <c r="I891" s="14" t="str">
        <f t="shared" si="2"/>
        <v>97197.00</v>
      </c>
      <c r="J891" s="16" t="str">
        <f>TEXT(Raw_Data!J891,"MMM-YYY")</f>
        <v>Jun-2025</v>
      </c>
      <c r="K891" s="13" t="str">
        <f>Raw_Data!K891</f>
        <v>13</v>
      </c>
      <c r="L891" s="17" t="str">
        <f>Raw_Data!L891</f>
        <v>Chandigarh-North</v>
      </c>
      <c r="M891" s="13" t="str">
        <f t="shared" si="3"/>
        <v>OK</v>
      </c>
      <c r="N891" s="18" t="str">
        <f t="shared" si="4"/>
        <v>VALID</v>
      </c>
    </row>
    <row r="892" ht="15.75" customHeight="1">
      <c r="A892" s="13" t="str">
        <f>Raw_Data!A892</f>
        <v>EMP0938</v>
      </c>
      <c r="B892" s="13" t="str">
        <f>TRIM(CLEAN(Raw_Data!B892))</f>
        <v>Sales</v>
      </c>
      <c r="C892" s="18" t="s">
        <v>54</v>
      </c>
      <c r="D892" s="14" t="str">
        <f>IF(ISBLANK(Raw_Data!D892),AVERAGE(Raw_Data!D$2:D$5002),Raw_Data!D892)</f>
        <v>38854.54</v>
      </c>
      <c r="E892" s="15" t="str">
        <f>IF(ISBLANK(Raw_Data!E892),AVERAGE(Raw_Data!E$2:E$5002),Raw_Data!E892)</f>
        <v>11656.36</v>
      </c>
      <c r="F892" s="15" t="str">
        <f>IF(ISBLANK(Raw_Data!F892),AVERAGE(Raw_Data!F$2:F$5002),Raw_Data!F892)</f>
        <v>6460.34</v>
      </c>
      <c r="G892" s="14" t="str">
        <f>IF(ISBLANK(Raw_Data!G892),AVERAGE(Raw_Data!G$2:G$5002),Raw_Data!G892)</f>
        <v>10659.44</v>
      </c>
      <c r="H892" s="15" t="str">
        <f t="shared" si="1"/>
        <v>56971.00</v>
      </c>
      <c r="I892" s="14" t="str">
        <f t="shared" si="2"/>
        <v>46312.00</v>
      </c>
      <c r="J892" s="16" t="str">
        <f>TEXT(Raw_Data!J892,"MMM-YYY")</f>
        <v>Sep-2025</v>
      </c>
      <c r="K892" s="13" t="str">
        <f>Raw_Data!K892</f>
        <v>15</v>
      </c>
      <c r="L892" s="17" t="str">
        <f>Raw_Data!L892</f>
        <v>Ahmedabad-West</v>
      </c>
      <c r="M892" s="13" t="str">
        <f t="shared" si="3"/>
        <v>OK</v>
      </c>
      <c r="N892" s="18" t="str">
        <f t="shared" si="4"/>
        <v>VALID</v>
      </c>
    </row>
    <row r="893" ht="15.75" customHeight="1">
      <c r="A893" s="13" t="str">
        <f>Raw_Data!A893</f>
        <v>EMP0939</v>
      </c>
      <c r="B893" s="13" t="str">
        <f>TRIM(CLEAN(Raw_Data!B893))</f>
        <v>Finance</v>
      </c>
      <c r="C893" s="18" t="s">
        <v>14</v>
      </c>
      <c r="D893" s="14" t="str">
        <f>IF(ISBLANK(Raw_Data!D893),AVERAGE(Raw_Data!D$2:D$5002),Raw_Data!D893)</f>
        <v>21824.19</v>
      </c>
      <c r="E893" s="15" t="str">
        <f>IF(ISBLANK(Raw_Data!E893),AVERAGE(Raw_Data!E$2:E$5002),Raw_Data!E893)</f>
        <v>6547.26</v>
      </c>
      <c r="F893" s="15" t="str">
        <f>IF(ISBLANK(Raw_Data!F893),AVERAGE(Raw_Data!F$2:F$5002),Raw_Data!F893)</f>
        <v>1961.49</v>
      </c>
      <c r="G893" s="14" t="str">
        <f>IF(ISBLANK(Raw_Data!G893),AVERAGE(Raw_Data!G$2:G$5002),Raw_Data!G893)</f>
        <v>5364.94</v>
      </c>
      <c r="H893" s="15" t="str">
        <f t="shared" si="1"/>
        <v>30333.00</v>
      </c>
      <c r="I893" s="14" t="str">
        <f t="shared" si="2"/>
        <v>24968.00</v>
      </c>
      <c r="J893" s="16" t="str">
        <f>TEXT(Raw_Data!J893,"MMM-YYY")</f>
        <v>Sep-2025</v>
      </c>
      <c r="K893" s="13" t="str">
        <f>Raw_Data!K893</f>
        <v>18</v>
      </c>
      <c r="L893" s="17" t="str">
        <f>Raw_Data!L893</f>
        <v>Jaipur-North</v>
      </c>
      <c r="M893" s="13" t="str">
        <f t="shared" si="3"/>
        <v>OK</v>
      </c>
      <c r="N893" s="18" t="str">
        <f t="shared" si="4"/>
        <v>VALID</v>
      </c>
    </row>
    <row r="894" ht="15.75" customHeight="1">
      <c r="A894" s="13" t="str">
        <f>Raw_Data!A894</f>
        <v>EMP0940</v>
      </c>
      <c r="B894" s="13" t="str">
        <f>TRIM(CLEAN(Raw_Data!B894))</f>
        <v>IT</v>
      </c>
      <c r="C894" s="18" t="s">
        <v>54</v>
      </c>
      <c r="D894" s="14" t="str">
        <f>IF(ISBLANK(Raw_Data!D894),AVERAGE(Raw_Data!D$2:D$5002),Raw_Data!D894)</f>
        <v>35010.08</v>
      </c>
      <c r="E894" s="15" t="str">
        <f>IF(ISBLANK(Raw_Data!E894),AVERAGE(Raw_Data!E$2:E$5002),Raw_Data!E894)</f>
        <v>10503.02</v>
      </c>
      <c r="F894" s="15" t="str">
        <f>IF(ISBLANK(Raw_Data!F894),AVERAGE(Raw_Data!F$2:F$5002),Raw_Data!F894)</f>
        <v>4467.47</v>
      </c>
      <c r="G894" s="14" t="str">
        <f>IF(ISBLANK(Raw_Data!G894),AVERAGE(Raw_Data!G$2:G$5002),Raw_Data!G894)</f>
        <v>3981.10</v>
      </c>
      <c r="H894" s="15" t="str">
        <f t="shared" si="1"/>
        <v>49981.00</v>
      </c>
      <c r="I894" s="14" t="str">
        <f t="shared" si="2"/>
        <v>46000.00</v>
      </c>
      <c r="J894" s="16" t="str">
        <f>TEXT(Raw_Data!J894,"MMM-YYY")</f>
        <v>Mar-2025</v>
      </c>
      <c r="K894" s="13" t="str">
        <f>Raw_Data!K894</f>
        <v>19</v>
      </c>
      <c r="L894" s="17" t="str">
        <f>Raw_Data!L894</f>
        <v>Mumbai-HO</v>
      </c>
      <c r="M894" s="13" t="str">
        <f t="shared" si="3"/>
        <v>OK</v>
      </c>
      <c r="N894" s="18" t="str">
        <f t="shared" si="4"/>
        <v>VALID</v>
      </c>
    </row>
    <row r="895" ht="15.75" customHeight="1">
      <c r="A895" s="13" t="str">
        <f>Raw_Data!A895</f>
        <v>EMP0942</v>
      </c>
      <c r="B895" s="13" t="str">
        <f>TRIM(CLEAN(Raw_Data!B895))</f>
        <v>HR</v>
      </c>
      <c r="C895" s="18" t="s">
        <v>18</v>
      </c>
      <c r="D895" s="14" t="str">
        <f>IF(ISBLANK(Raw_Data!D895),AVERAGE(Raw_Data!D$2:D$5002),Raw_Data!D895)</f>
        <v>90146.24</v>
      </c>
      <c r="E895" s="15" t="str">
        <f>IF(ISBLANK(Raw_Data!E895),AVERAGE(Raw_Data!E$2:E$5002),Raw_Data!E895)</f>
        <v>27043.87</v>
      </c>
      <c r="F895" s="15" t="str">
        <f>IF(ISBLANK(Raw_Data!F895),AVERAGE(Raw_Data!F$2:F$5002),Raw_Data!F895)</f>
        <v>14766.85</v>
      </c>
      <c r="G895" s="14" t="str">
        <f>IF(ISBLANK(Raw_Data!G895),AVERAGE(Raw_Data!G$2:G$5002),Raw_Data!G895)</f>
        <v>5134.81</v>
      </c>
      <c r="H895" s="15" t="str">
        <f t="shared" si="1"/>
        <v>131957.00</v>
      </c>
      <c r="I895" s="14" t="str">
        <f t="shared" si="2"/>
        <v>126822.00</v>
      </c>
      <c r="J895" s="16" t="str">
        <f>TEXT(Raw_Data!J895,"MMM-YYY")</f>
        <v>Nov-2025</v>
      </c>
      <c r="K895" s="13" t="str">
        <f>Raw_Data!K895</f>
        <v>16</v>
      </c>
      <c r="L895" s="17" t="str">
        <f>Raw_Data!L895</f>
        <v>Bangalore-South</v>
      </c>
      <c r="M895" s="13" t="str">
        <f t="shared" si="3"/>
        <v>OK</v>
      </c>
      <c r="N895" s="18" t="str">
        <f t="shared" si="4"/>
        <v>VALID</v>
      </c>
    </row>
    <row r="896" ht="15.75" customHeight="1">
      <c r="A896" s="13" t="str">
        <f>Raw_Data!A896</f>
        <v>EMP0943</v>
      </c>
      <c r="B896" s="13" t="str">
        <f>TRIM(CLEAN(Raw_Data!B896))</f>
        <v>Marketing</v>
      </c>
      <c r="C896" s="18" t="s">
        <v>26</v>
      </c>
      <c r="D896" s="14" t="str">
        <f>IF(ISBLANK(Raw_Data!D896),AVERAGE(Raw_Data!D$2:D$5002),Raw_Data!D896)</f>
        <v>109852.84</v>
      </c>
      <c r="E896" s="15" t="str">
        <f>IF(ISBLANK(Raw_Data!E896),AVERAGE(Raw_Data!E$2:E$5002),Raw_Data!E896)</f>
        <v>32955.85</v>
      </c>
      <c r="F896" s="15" t="str">
        <f>IF(ISBLANK(Raw_Data!F896),AVERAGE(Raw_Data!F$2:F$5002),Raw_Data!F896)</f>
        <v>13468.82</v>
      </c>
      <c r="G896" s="14" t="str">
        <f>IF(ISBLANK(Raw_Data!G896),AVERAGE(Raw_Data!G$2:G$5002),Raw_Data!G896)</f>
        <v>10631.56</v>
      </c>
      <c r="H896" s="15" t="str">
        <f t="shared" si="1"/>
        <v>156278.00</v>
      </c>
      <c r="I896" s="14" t="str">
        <f t="shared" si="2"/>
        <v>145646.00</v>
      </c>
      <c r="J896" s="16" t="str">
        <f>TEXT(Raw_Data!J896,"MMM-YYY")</f>
        <v>Nov-2025</v>
      </c>
      <c r="K896" s="13" t="str">
        <f>Raw_Data!K896</f>
        <v>10</v>
      </c>
      <c r="L896" s="17" t="str">
        <f>Raw_Data!L896</f>
        <v>Chennai-South</v>
      </c>
      <c r="M896" s="13" t="str">
        <f t="shared" si="3"/>
        <v>OK</v>
      </c>
      <c r="N896" s="18" t="str">
        <f t="shared" si="4"/>
        <v>VALID</v>
      </c>
    </row>
    <row r="897" ht="15.75" customHeight="1">
      <c r="A897" s="13" t="str">
        <f>Raw_Data!A897</f>
        <v>EMP0944</v>
      </c>
      <c r="B897" s="13" t="str">
        <f>TRIM(CLEAN(Raw_Data!B897))</f>
        <v>IT</v>
      </c>
      <c r="C897" s="18" t="s">
        <v>14</v>
      </c>
      <c r="D897" s="14" t="str">
        <f>IF(ISBLANK(Raw_Data!D897),AVERAGE(Raw_Data!D$2:D$5002),Raw_Data!D897)</f>
        <v>18693.05</v>
      </c>
      <c r="E897" s="15" t="str">
        <f>IF(ISBLANK(Raw_Data!E897),AVERAGE(Raw_Data!E$2:E$5002),Raw_Data!E897)</f>
        <v>5607.91</v>
      </c>
      <c r="F897" s="15" t="str">
        <f>IF(ISBLANK(Raw_Data!F897),AVERAGE(Raw_Data!F$2:F$5002),Raw_Data!F897)</f>
        <v>2463.34</v>
      </c>
      <c r="G897" s="14" t="str">
        <f>IF(ISBLANK(Raw_Data!G897),AVERAGE(Raw_Data!G$2:G$5002),Raw_Data!G897)</f>
        <v>245.50</v>
      </c>
      <c r="H897" s="15" t="str">
        <f t="shared" si="1"/>
        <v>26764.00</v>
      </c>
      <c r="I897" s="14" t="str">
        <f t="shared" si="2"/>
        <v>26519.00</v>
      </c>
      <c r="J897" s="16" t="str">
        <f>TEXT(Raw_Data!J897,"MMM-YYY")</f>
        <v>Mar-2025</v>
      </c>
      <c r="K897" s="13" t="str">
        <f>Raw_Data!K897</f>
        <v>23</v>
      </c>
      <c r="L897" s="17" t="str">
        <f>Raw_Data!L897</f>
        <v>Kolkata-East</v>
      </c>
      <c r="M897" s="13" t="str">
        <f t="shared" si="3"/>
        <v>OK</v>
      </c>
      <c r="N897" s="18" t="str">
        <f t="shared" si="4"/>
        <v>VALID</v>
      </c>
    </row>
    <row r="898" ht="15.75" customHeight="1">
      <c r="A898" s="13" t="str">
        <f>Raw_Data!A898</f>
        <v>EMP0945</v>
      </c>
      <c r="B898" s="13" t="str">
        <f>TRIM(CLEAN(Raw_Data!B898))</f>
        <v>Finance</v>
      </c>
      <c r="C898" s="18" t="s">
        <v>26</v>
      </c>
      <c r="D898" s="14" t="str">
        <f>IF(ISBLANK(Raw_Data!D898),AVERAGE(Raw_Data!D$2:D$5002),Raw_Data!D898)</f>
        <v>91125.86</v>
      </c>
      <c r="E898" s="15" t="str">
        <f>IF(ISBLANK(Raw_Data!E898),AVERAGE(Raw_Data!E$2:E$5002),Raw_Data!E898)</f>
        <v>27337.76</v>
      </c>
      <c r="F898" s="15" t="str">
        <f>IF(ISBLANK(Raw_Data!F898),AVERAGE(Raw_Data!F$2:F$5002),Raw_Data!F898)</f>
        <v>1951.10</v>
      </c>
      <c r="G898" s="14" t="str">
        <f>IF(ISBLANK(Raw_Data!G898),AVERAGE(Raw_Data!G$2:G$5002),Raw_Data!G898)</f>
        <v>5238.37</v>
      </c>
      <c r="H898" s="15" t="str">
        <f t="shared" si="1"/>
        <v>120415.00</v>
      </c>
      <c r="I898" s="14" t="str">
        <f t="shared" si="2"/>
        <v>115177.00</v>
      </c>
      <c r="J898" s="16" t="str">
        <f>TEXT(Raw_Data!J898,"MMM-YYY")</f>
        <v>Jan-2025</v>
      </c>
      <c r="K898" s="13" t="str">
        <f>Raw_Data!K898</f>
        <v>6</v>
      </c>
      <c r="L898" s="17" t="str">
        <f>Raw_Data!L898</f>
        <v>Pune-West</v>
      </c>
      <c r="M898" s="13" t="str">
        <f t="shared" si="3"/>
        <v>OK</v>
      </c>
      <c r="N898" s="18" t="str">
        <f t="shared" si="4"/>
        <v>VALID</v>
      </c>
    </row>
    <row r="899" ht="15.75" customHeight="1">
      <c r="A899" s="13" t="str">
        <f>Raw_Data!A899</f>
        <v>EMP0946</v>
      </c>
      <c r="B899" s="13" t="str">
        <f>TRIM(CLEAN(Raw_Data!B899))</f>
        <v>Operations</v>
      </c>
      <c r="C899" s="18" t="s">
        <v>18</v>
      </c>
      <c r="D899" s="14" t="str">
        <f>IF(ISBLANK(Raw_Data!D899),AVERAGE(Raw_Data!D$2:D$5002),Raw_Data!D899)</f>
        <v>86743.79</v>
      </c>
      <c r="E899" s="15" t="str">
        <f>IF(ISBLANK(Raw_Data!E899),AVERAGE(Raw_Data!E$2:E$5002),Raw_Data!E899)</f>
        <v>26023.14</v>
      </c>
      <c r="F899" s="15" t="str">
        <f>IF(ISBLANK(Raw_Data!F899),AVERAGE(Raw_Data!F$2:F$5002),Raw_Data!F899)</f>
        <v>11414.12</v>
      </c>
      <c r="G899" s="14" t="str">
        <f>IF(ISBLANK(Raw_Data!G899),AVERAGE(Raw_Data!G$2:G$5002),Raw_Data!G899)</f>
        <v>13683.52</v>
      </c>
      <c r="H899" s="15" t="str">
        <f t="shared" si="1"/>
        <v>124181.00</v>
      </c>
      <c r="I899" s="14" t="str">
        <f t="shared" si="2"/>
        <v>110497.00</v>
      </c>
      <c r="J899" s="16" t="str">
        <f>TEXT(Raw_Data!J899,"MMM-YYY")</f>
        <v>Dec-2025</v>
      </c>
      <c r="K899" s="13" t="str">
        <f>Raw_Data!K899</f>
        <v>6</v>
      </c>
      <c r="L899" s="17" t="str">
        <f>Raw_Data!L899</f>
        <v>Hyderabad-South</v>
      </c>
      <c r="M899" s="13" t="str">
        <f t="shared" si="3"/>
        <v>OK</v>
      </c>
      <c r="N899" s="18" t="str">
        <f t="shared" si="4"/>
        <v>VALID</v>
      </c>
    </row>
    <row r="900" ht="15.75" customHeight="1">
      <c r="A900" s="13" t="str">
        <f>Raw_Data!A900</f>
        <v>EMP0947</v>
      </c>
      <c r="B900" s="13" t="str">
        <f>TRIM(CLEAN(Raw_Data!B900))</f>
        <v>Operations</v>
      </c>
      <c r="C900" s="18" t="s">
        <v>33</v>
      </c>
      <c r="D900" s="14" t="str">
        <f>IF(ISBLANK(Raw_Data!D900),AVERAGE(Raw_Data!D$2:D$5002),Raw_Data!D900)</f>
        <v>25490.86</v>
      </c>
      <c r="E900" s="15" t="str">
        <f>IF(ISBLANK(Raw_Data!E900),AVERAGE(Raw_Data!E$2:E$5002),Raw_Data!E900)</f>
        <v>7647.26</v>
      </c>
      <c r="F900" s="15" t="str">
        <f>IF(ISBLANK(Raw_Data!F900),AVERAGE(Raw_Data!F$2:F$5002),Raw_Data!F900)</f>
        <v>1125.28</v>
      </c>
      <c r="G900" s="14" t="str">
        <f>IF(ISBLANK(Raw_Data!G900),AVERAGE(Raw_Data!G$2:G$5002),Raw_Data!G900)</f>
        <v>5489.55</v>
      </c>
      <c r="H900" s="15" t="str">
        <f t="shared" si="1"/>
        <v>34263.00</v>
      </c>
      <c r="I900" s="14" t="str">
        <f t="shared" si="2"/>
        <v>28773.00</v>
      </c>
      <c r="J900" s="16" t="str">
        <f>TEXT(Raw_Data!J900,"MMM-YYY")</f>
        <v>Jan-2025</v>
      </c>
      <c r="K900" s="13" t="str">
        <f>Raw_Data!K900</f>
        <v>19</v>
      </c>
      <c r="L900" s="17" t="str">
        <f>Raw_Data!L900</f>
        <v>Chandigarh-North</v>
      </c>
      <c r="M900" s="13" t="str">
        <f t="shared" si="3"/>
        <v>OK</v>
      </c>
      <c r="N900" s="18" t="str">
        <f t="shared" si="4"/>
        <v>VALID</v>
      </c>
    </row>
    <row r="901" ht="15.75" customHeight="1">
      <c r="A901" s="13" t="str">
        <f>Raw_Data!A901</f>
        <v>EMP0948</v>
      </c>
      <c r="B901" s="13" t="str">
        <f>TRIM(CLEAN(Raw_Data!B901))</f>
        <v>Finance</v>
      </c>
      <c r="C901" s="18" t="s">
        <v>18</v>
      </c>
      <c r="D901" s="14" t="str">
        <f>IF(ISBLANK(Raw_Data!D901),AVERAGE(Raw_Data!D$2:D$5002),Raw_Data!D901)</f>
        <v>77776.54</v>
      </c>
      <c r="E901" s="15" t="str">
        <f>IF(ISBLANK(Raw_Data!E901),AVERAGE(Raw_Data!E$2:E$5002),Raw_Data!E901)</f>
        <v>23332.96</v>
      </c>
      <c r="F901" s="15" t="str">
        <f>IF(ISBLANK(Raw_Data!F901),AVERAGE(Raw_Data!F$2:F$5002),Raw_Data!F901)</f>
        <v>13840.60</v>
      </c>
      <c r="G901" s="14" t="str">
        <f>IF(ISBLANK(Raw_Data!G901),AVERAGE(Raw_Data!G$2:G$5002),Raw_Data!G901)</f>
        <v>1865.63</v>
      </c>
      <c r="H901" s="15" t="str">
        <f t="shared" si="1"/>
        <v>114950.00</v>
      </c>
      <c r="I901" s="14" t="str">
        <f t="shared" si="2"/>
        <v>113084.00</v>
      </c>
      <c r="J901" s="16" t="str">
        <f>TEXT(Raw_Data!J901,"MMM-YYY")</f>
        <v>Nov-2025</v>
      </c>
      <c r="K901" s="13" t="str">
        <f>Raw_Data!K901</f>
        <v>12</v>
      </c>
      <c r="L901" s="17" t="str">
        <f>Raw_Data!L901</f>
        <v>Ahmedabad-West</v>
      </c>
      <c r="M901" s="13" t="str">
        <f t="shared" si="3"/>
        <v>OK</v>
      </c>
      <c r="N901" s="18" t="str">
        <f t="shared" si="4"/>
        <v>VALID</v>
      </c>
    </row>
    <row r="902" ht="15.75" customHeight="1">
      <c r="A902" s="13" t="str">
        <f>Raw_Data!A902</f>
        <v>EMP0949</v>
      </c>
      <c r="B902" s="13" t="str">
        <f>TRIM(CLEAN(Raw_Data!B902))</f>
        <v>HR</v>
      </c>
      <c r="C902" s="18" t="s">
        <v>33</v>
      </c>
      <c r="D902" s="14" t="str">
        <f>IF(ISBLANK(Raw_Data!D902),AVERAGE(Raw_Data!D$2:D$5002),Raw_Data!D902)</f>
        <v>30580.20</v>
      </c>
      <c r="E902" s="15" t="str">
        <f>IF(ISBLANK(Raw_Data!E902),AVERAGE(Raw_Data!E$2:E$5002),Raw_Data!E902)</f>
        <v>9174.06</v>
      </c>
      <c r="F902" s="15" t="str">
        <f>IF(ISBLANK(Raw_Data!F902),AVERAGE(Raw_Data!F$2:F$5002),Raw_Data!F902)</f>
        <v>5738.34</v>
      </c>
      <c r="G902" s="14" t="str">
        <f>IF(ISBLANK(Raw_Data!G902),AVERAGE(Raw_Data!G$2:G$5002),Raw_Data!G902)</f>
        <v>3815.98</v>
      </c>
      <c r="H902" s="15" t="str">
        <f t="shared" si="1"/>
        <v>45493.00</v>
      </c>
      <c r="I902" s="14" t="str">
        <f t="shared" si="2"/>
        <v>41677.00</v>
      </c>
      <c r="J902" s="16" t="str">
        <f>TEXT(Raw_Data!J902,"MMM-YYY")</f>
        <v>Jun-2025</v>
      </c>
      <c r="K902" s="13" t="str">
        <f>Raw_Data!K902</f>
        <v>22</v>
      </c>
      <c r="L902" s="17" t="str">
        <f>Raw_Data!L902</f>
        <v>Jaipur-North</v>
      </c>
      <c r="M902" s="13" t="str">
        <f t="shared" si="3"/>
        <v>OK</v>
      </c>
      <c r="N902" s="18" t="str">
        <f t="shared" si="4"/>
        <v>VALID</v>
      </c>
    </row>
    <row r="903" ht="15.75" customHeight="1">
      <c r="A903" s="13" t="str">
        <f>Raw_Data!A903</f>
        <v>EMP0950</v>
      </c>
      <c r="B903" s="13" t="str">
        <f>TRIM(CLEAN(Raw_Data!B903))</f>
        <v>Customer Support</v>
      </c>
      <c r="C903" s="18" t="s">
        <v>18</v>
      </c>
      <c r="D903" s="14" t="str">
        <f>IF(ISBLANK(Raw_Data!D903),AVERAGE(Raw_Data!D$2:D$5002),Raw_Data!D903)</f>
        <v>66515.80</v>
      </c>
      <c r="E903" s="15" t="str">
        <f>IF(ISBLANK(Raw_Data!E903),AVERAGE(Raw_Data!E$2:E$5002),Raw_Data!E903)</f>
        <v>19954.74</v>
      </c>
      <c r="F903" s="15" t="str">
        <f>IF(ISBLANK(Raw_Data!F903),AVERAGE(Raw_Data!F$2:F$5002),Raw_Data!F903)</f>
        <v>8207.16</v>
      </c>
      <c r="G903" s="14" t="str">
        <f>IF(ISBLANK(Raw_Data!G903),AVERAGE(Raw_Data!G$2:G$5002),Raw_Data!G903)</f>
        <v>10556.47</v>
      </c>
      <c r="H903" s="15" t="str">
        <f t="shared" si="1"/>
        <v>94678.00</v>
      </c>
      <c r="I903" s="14" t="str">
        <f t="shared" si="2"/>
        <v>84122.00</v>
      </c>
      <c r="J903" s="16" t="str">
        <f>TEXT(Raw_Data!J903,"MMM-YYY")</f>
        <v>Dec-2025</v>
      </c>
      <c r="K903" s="13" t="str">
        <f>Raw_Data!K903</f>
        <v>6</v>
      </c>
      <c r="L903" s="17" t="str">
        <f>Raw_Data!L903</f>
        <v>Mumbai-HO</v>
      </c>
      <c r="M903" s="13" t="str">
        <f t="shared" si="3"/>
        <v>OK</v>
      </c>
      <c r="N903" s="18" t="str">
        <f t="shared" si="4"/>
        <v>VALID</v>
      </c>
    </row>
    <row r="904" ht="15.75" customHeight="1">
      <c r="A904" s="13" t="str">
        <f>Raw_Data!A904</f>
        <v>EMP0951</v>
      </c>
      <c r="B904" s="13" t="str">
        <f>TRIM(CLEAN(Raw_Data!B904))</f>
        <v>HR</v>
      </c>
      <c r="C904" s="18" t="s">
        <v>26</v>
      </c>
      <c r="D904" s="14" t="str">
        <f>IF(ISBLANK(Raw_Data!D904),AVERAGE(Raw_Data!D$2:D$5002),Raw_Data!D904)</f>
        <v>100940.56</v>
      </c>
      <c r="E904" s="15" t="str">
        <f>IF(ISBLANK(Raw_Data!E904),AVERAGE(Raw_Data!E$2:E$5002),Raw_Data!E904)</f>
        <v>30282.17</v>
      </c>
      <c r="F904" s="15" t="str">
        <f>IF(ISBLANK(Raw_Data!F904),AVERAGE(Raw_Data!F$2:F$5002),Raw_Data!F904)</f>
        <v>19069.76</v>
      </c>
      <c r="G904" s="14" t="str">
        <f>IF(ISBLANK(Raw_Data!G904),AVERAGE(Raw_Data!G$2:G$5002),Raw_Data!G904)</f>
        <v>29088.65</v>
      </c>
      <c r="H904" s="15" t="str">
        <f t="shared" si="1"/>
        <v>150292.00</v>
      </c>
      <c r="I904" s="14" t="str">
        <f t="shared" si="2"/>
        <v>121203.00</v>
      </c>
      <c r="J904" s="16" t="str">
        <f>TEXT(Raw_Data!J904,"MMM-YYY")</f>
        <v>Feb-2025</v>
      </c>
      <c r="K904" s="13" t="str">
        <f>Raw_Data!K904</f>
        <v>3</v>
      </c>
      <c r="L904" s="17" t="str">
        <f>Raw_Data!L904</f>
        <v>Delhi-North</v>
      </c>
      <c r="M904" s="13" t="str">
        <f t="shared" si="3"/>
        <v>OK</v>
      </c>
      <c r="N904" s="18" t="str">
        <f t="shared" si="4"/>
        <v>VALID</v>
      </c>
    </row>
    <row r="905" ht="15.75" customHeight="1">
      <c r="A905" s="13" t="str">
        <f>Raw_Data!A905</f>
        <v>EMP0952</v>
      </c>
      <c r="B905" s="13" t="str">
        <f>TRIM(CLEAN(Raw_Data!B905))</f>
        <v>HR</v>
      </c>
      <c r="C905" s="18" t="s">
        <v>18</v>
      </c>
      <c r="D905" s="14" t="str">
        <f>IF(ISBLANK(Raw_Data!D905),AVERAGE(Raw_Data!D$2:D$5002),Raw_Data!D905)</f>
        <v>71006.47</v>
      </c>
      <c r="E905" s="15" t="str">
        <f>IF(ISBLANK(Raw_Data!E905),AVERAGE(Raw_Data!E$2:E$5002),Raw_Data!E905)</f>
        <v>21301.94</v>
      </c>
      <c r="F905" s="15" t="str">
        <f>IF(ISBLANK(Raw_Data!F905),AVERAGE(Raw_Data!F$2:F$5002),Raw_Data!F905)</f>
        <v>5472.20</v>
      </c>
      <c r="G905" s="14" t="str">
        <f>IF(ISBLANK(Raw_Data!G905),AVERAGE(Raw_Data!G$2:G$5002),Raw_Data!G905)</f>
        <v>4113.82</v>
      </c>
      <c r="H905" s="15" t="str">
        <f t="shared" si="1"/>
        <v>97781.00</v>
      </c>
      <c r="I905" s="14" t="str">
        <f t="shared" si="2"/>
        <v>93667.00</v>
      </c>
      <c r="J905" s="16" t="str">
        <f>TEXT(Raw_Data!J905,"MMM-YYY")</f>
        <v>Nov-2025</v>
      </c>
      <c r="K905" s="13" t="str">
        <f>Raw_Data!K905</f>
        <v>7</v>
      </c>
      <c r="L905" s="17" t="str">
        <f>Raw_Data!L905</f>
        <v>Bangalore-South</v>
      </c>
      <c r="M905" s="13" t="str">
        <f t="shared" si="3"/>
        <v>OK</v>
      </c>
      <c r="N905" s="18" t="str">
        <f t="shared" si="4"/>
        <v>VALID</v>
      </c>
    </row>
    <row r="906" ht="15.75" customHeight="1">
      <c r="A906" s="13" t="str">
        <f>Raw_Data!A906</f>
        <v>EMP0953</v>
      </c>
      <c r="B906" s="13" t="str">
        <f>TRIM(CLEAN(Raw_Data!B906))</f>
        <v>Finance</v>
      </c>
      <c r="C906" s="18" t="s">
        <v>37</v>
      </c>
      <c r="D906" s="14" t="str">
        <f>IF(ISBLANK(Raw_Data!D906),AVERAGE(Raw_Data!D$2:D$5002),Raw_Data!D906)</f>
        <v>71831.17</v>
      </c>
      <c r="E906" s="15" t="str">
        <f>IF(ISBLANK(Raw_Data!E906),AVERAGE(Raw_Data!E$2:E$5002),Raw_Data!E906)</f>
        <v>16876.75</v>
      </c>
      <c r="F906" s="15" t="str">
        <f>IF(ISBLANK(Raw_Data!F906),AVERAGE(Raw_Data!F$2:F$5002),Raw_Data!F906)</f>
        <v>2012.81</v>
      </c>
      <c r="G906" s="14" t="str">
        <f>IF(ISBLANK(Raw_Data!G906),AVERAGE(Raw_Data!G$2:G$5002),Raw_Data!G906)</f>
        <v>12643.97</v>
      </c>
      <c r="H906" s="15" t="str">
        <f t="shared" si="1"/>
        <v>90721.00</v>
      </c>
      <c r="I906" s="14" t="str">
        <f t="shared" si="2"/>
        <v>78077.00</v>
      </c>
      <c r="J906" s="16" t="str">
        <f>TEXT(Raw_Data!J906,"MMM-YYY")</f>
        <v>Jul-2025</v>
      </c>
      <c r="K906" s="13" t="str">
        <f>Raw_Data!K906</f>
        <v>20</v>
      </c>
      <c r="L906" s="17" t="str">
        <f>Raw_Data!L906</f>
        <v>Chennai-South</v>
      </c>
      <c r="M906" s="13" t="str">
        <f t="shared" si="3"/>
        <v>OK</v>
      </c>
      <c r="N906" s="18" t="str">
        <f t="shared" si="4"/>
        <v>VALID</v>
      </c>
    </row>
    <row r="907" ht="15.75" customHeight="1">
      <c r="A907" s="13" t="str">
        <f>Raw_Data!A907</f>
        <v>EMP0954</v>
      </c>
      <c r="B907" s="13" t="str">
        <f>TRIM(CLEAN(Raw_Data!B907))</f>
        <v>Sales</v>
      </c>
      <c r="C907" s="18" t="s">
        <v>14</v>
      </c>
      <c r="D907" s="14" t="str">
        <f>IF(ISBLANK(Raw_Data!D907),AVERAGE(Raw_Data!D$2:D$5002),Raw_Data!D907)</f>
        <v>23517.24</v>
      </c>
      <c r="E907" s="15" t="str">
        <f>IF(ISBLANK(Raw_Data!E907),AVERAGE(Raw_Data!E$2:E$5002),Raw_Data!E907)</f>
        <v>7055.17</v>
      </c>
      <c r="F907" s="15" t="str">
        <f>IF(ISBLANK(Raw_Data!F907),AVERAGE(Raw_Data!F$2:F$5002),Raw_Data!F907)</f>
        <v>2711.84</v>
      </c>
      <c r="G907" s="14" t="str">
        <f>IF(ISBLANK(Raw_Data!G907),AVERAGE(Raw_Data!G$2:G$5002),Raw_Data!G907)</f>
        <v>4758.66</v>
      </c>
      <c r="H907" s="15" t="str">
        <f t="shared" si="1"/>
        <v>33284.00</v>
      </c>
      <c r="I907" s="14" t="str">
        <f t="shared" si="2"/>
        <v>28525.00</v>
      </c>
      <c r="J907" s="16" t="str">
        <f>TEXT(Raw_Data!J907,"MMM-YYY")</f>
        <v>Dec-2025</v>
      </c>
      <c r="K907" s="13" t="str">
        <f>Raw_Data!K907</f>
        <v>23</v>
      </c>
      <c r="L907" s="17" t="str">
        <f>Raw_Data!L907</f>
        <v>Kolkata-East</v>
      </c>
      <c r="M907" s="13" t="str">
        <f t="shared" si="3"/>
        <v>OK</v>
      </c>
      <c r="N907" s="18" t="str">
        <f t="shared" si="4"/>
        <v>VALID</v>
      </c>
    </row>
    <row r="908" ht="15.75" customHeight="1">
      <c r="A908" s="13" t="str">
        <f>Raw_Data!A908</f>
        <v>EMP0955</v>
      </c>
      <c r="B908" s="13" t="str">
        <f>TRIM(CLEAN(Raw_Data!B908))</f>
        <v>Sales</v>
      </c>
      <c r="C908" s="18" t="s">
        <v>54</v>
      </c>
      <c r="D908" s="14" t="str">
        <f>IF(ISBLANK(Raw_Data!D908),AVERAGE(Raw_Data!D$2:D$5002),Raw_Data!D908)</f>
        <v>47359.54</v>
      </c>
      <c r="E908" s="15" t="str">
        <f>IF(ISBLANK(Raw_Data!E908),AVERAGE(Raw_Data!E$2:E$5002),Raw_Data!E908)</f>
        <v>14207.86</v>
      </c>
      <c r="F908" s="15" t="str">
        <f>IF(ISBLANK(Raw_Data!F908),AVERAGE(Raw_Data!F$2:F$5002),Raw_Data!F908)</f>
        <v>1580.00</v>
      </c>
      <c r="G908" s="14" t="str">
        <f>IF(ISBLANK(Raw_Data!G908),AVERAGE(Raw_Data!G$2:G$5002),Raw_Data!G908)</f>
        <v>2563.05</v>
      </c>
      <c r="H908" s="15" t="str">
        <f t="shared" si="1"/>
        <v>63147.00</v>
      </c>
      <c r="I908" s="14" t="str">
        <f t="shared" si="2"/>
        <v>60584.00</v>
      </c>
      <c r="J908" s="16" t="str">
        <f>TEXT(Raw_Data!J908,"MMM-YYY")</f>
        <v>Jul-2025</v>
      </c>
      <c r="K908" s="13" t="str">
        <f>Raw_Data!K908</f>
        <v>10</v>
      </c>
      <c r="L908" s="17" t="str">
        <f>Raw_Data!L908</f>
        <v>Pune-West</v>
      </c>
      <c r="M908" s="13" t="str">
        <f t="shared" si="3"/>
        <v>OK</v>
      </c>
      <c r="N908" s="18" t="str">
        <f t="shared" si="4"/>
        <v>VALID</v>
      </c>
    </row>
    <row r="909" ht="15.75" customHeight="1">
      <c r="A909" s="13" t="str">
        <f>Raw_Data!A909</f>
        <v>EMP0956</v>
      </c>
      <c r="B909" s="13" t="str">
        <f>TRIM(CLEAN(Raw_Data!B909))</f>
        <v>Operations</v>
      </c>
      <c r="C909" s="18" t="s">
        <v>33</v>
      </c>
      <c r="D909" s="14" t="str">
        <f>IF(ISBLANK(Raw_Data!D909),AVERAGE(Raw_Data!D$2:D$5002),Raw_Data!D909)</f>
        <v>31575.32</v>
      </c>
      <c r="E909" s="15" t="str">
        <f>IF(ISBLANK(Raw_Data!E909),AVERAGE(Raw_Data!E$2:E$5002),Raw_Data!E909)</f>
        <v>9472.60</v>
      </c>
      <c r="F909" s="15" t="str">
        <f>IF(ISBLANK(Raw_Data!F909),AVERAGE(Raw_Data!F$2:F$5002),Raw_Data!F909)</f>
        <v>3371.62</v>
      </c>
      <c r="G909" s="14" t="str">
        <f>IF(ISBLANK(Raw_Data!G909),AVERAGE(Raw_Data!G$2:G$5002),Raw_Data!G909)</f>
        <v>5682.76</v>
      </c>
      <c r="H909" s="15" t="str">
        <f t="shared" si="1"/>
        <v>44420.00</v>
      </c>
      <c r="I909" s="14" t="str">
        <f t="shared" si="2"/>
        <v>38737.00</v>
      </c>
      <c r="J909" s="16" t="str">
        <f>TEXT(Raw_Data!J909,"MMM-YYY")</f>
        <v>Jun-2025</v>
      </c>
      <c r="K909" s="13" t="str">
        <f>Raw_Data!K909</f>
        <v>15</v>
      </c>
      <c r="L909" s="17" t="str">
        <f>Raw_Data!L909</f>
        <v>Hyderabad-South</v>
      </c>
      <c r="M909" s="13" t="str">
        <f t="shared" si="3"/>
        <v>OK</v>
      </c>
      <c r="N909" s="18" t="str">
        <f t="shared" si="4"/>
        <v>VALID</v>
      </c>
    </row>
    <row r="910" ht="15.75" customHeight="1">
      <c r="A910" s="13" t="str">
        <f>Raw_Data!A910</f>
        <v>EMP0957</v>
      </c>
      <c r="B910" s="13" t="str">
        <f>TRIM(CLEAN(Raw_Data!B910))</f>
        <v>IT</v>
      </c>
      <c r="C910" s="18" t="s">
        <v>37</v>
      </c>
      <c r="D910" s="14" t="str">
        <f>IF(ISBLANK(Raw_Data!D910),AVERAGE(Raw_Data!D$2:D$5002),Raw_Data!D910)</f>
        <v>62846.33</v>
      </c>
      <c r="E910" s="15" t="str">
        <f>IF(ISBLANK(Raw_Data!E910),AVERAGE(Raw_Data!E$2:E$5002),Raw_Data!E910)</f>
        <v>18853.90</v>
      </c>
      <c r="F910" s="15" t="str">
        <f>IF(ISBLANK(Raw_Data!F910),AVERAGE(Raw_Data!F$2:F$5002),Raw_Data!F910)</f>
        <v>4080.66</v>
      </c>
      <c r="G910" s="14" t="str">
        <f>IF(ISBLANK(Raw_Data!G910),AVERAGE(Raw_Data!G$2:G$5002),Raw_Data!G910)</f>
        <v>7008.36</v>
      </c>
      <c r="H910" s="15" t="str">
        <f t="shared" si="1"/>
        <v>85781.00</v>
      </c>
      <c r="I910" s="14" t="str">
        <f t="shared" si="2"/>
        <v>78773.00</v>
      </c>
      <c r="J910" s="16" t="str">
        <f>TEXT(Raw_Data!J910,"MMM-YYY")</f>
        <v>Nov-2025</v>
      </c>
      <c r="K910" s="13" t="str">
        <f>Raw_Data!K910</f>
        <v>1</v>
      </c>
      <c r="L910" s="17" t="str">
        <f>Raw_Data!L910</f>
        <v>Chandigarh-North</v>
      </c>
      <c r="M910" s="13" t="str">
        <f t="shared" si="3"/>
        <v>OK</v>
      </c>
      <c r="N910" s="18" t="str">
        <f t="shared" si="4"/>
        <v>VALID</v>
      </c>
    </row>
    <row r="911" ht="15.75" customHeight="1">
      <c r="A911" s="13" t="str">
        <f>Raw_Data!A911</f>
        <v>EMP0959</v>
      </c>
      <c r="B911" s="13" t="str">
        <f>TRIM(CLEAN(Raw_Data!B911))</f>
        <v>Marketing</v>
      </c>
      <c r="C911" s="18" t="s">
        <v>26</v>
      </c>
      <c r="D911" s="14" t="str">
        <f>IF(ISBLANK(Raw_Data!D911),AVERAGE(Raw_Data!D$2:D$5002),Raw_Data!D911)</f>
        <v>109808.59</v>
      </c>
      <c r="E911" s="15" t="str">
        <f>IF(ISBLANK(Raw_Data!E911),AVERAGE(Raw_Data!E$2:E$5002),Raw_Data!E911)</f>
        <v>32942.58</v>
      </c>
      <c r="F911" s="15" t="str">
        <f>IF(ISBLANK(Raw_Data!F911),AVERAGE(Raw_Data!F$2:F$5002),Raw_Data!F911)</f>
        <v>16352.22</v>
      </c>
      <c r="G911" s="14" t="str">
        <f>IF(ISBLANK(Raw_Data!G911),AVERAGE(Raw_Data!G$2:G$5002),Raw_Data!G911)</f>
        <v>11859.61</v>
      </c>
      <c r="H911" s="15" t="str">
        <f t="shared" si="1"/>
        <v>159103.00</v>
      </c>
      <c r="I911" s="14" t="str">
        <f t="shared" si="2"/>
        <v>147243.00</v>
      </c>
      <c r="J911" s="16" t="str">
        <f>TEXT(Raw_Data!J911,"MMM-YYY")</f>
        <v>Aug-2025</v>
      </c>
      <c r="K911" s="13" t="str">
        <f>Raw_Data!K911</f>
        <v>1</v>
      </c>
      <c r="L911" s="17" t="str">
        <f>Raw_Data!L911</f>
        <v>Jaipur-North</v>
      </c>
      <c r="M911" s="13" t="str">
        <f t="shared" si="3"/>
        <v>OK</v>
      </c>
      <c r="N911" s="18" t="str">
        <f t="shared" si="4"/>
        <v>VALID</v>
      </c>
    </row>
    <row r="912" ht="15.75" customHeight="1">
      <c r="A912" s="13" t="str">
        <f>Raw_Data!A912</f>
        <v>EMP0960</v>
      </c>
      <c r="B912" s="13" t="str">
        <f>TRIM(CLEAN(Raw_Data!B912))</f>
        <v>Marketing</v>
      </c>
      <c r="C912" s="18" t="s">
        <v>54</v>
      </c>
      <c r="D912" s="14" t="str">
        <f>IF(ISBLANK(Raw_Data!D912),AVERAGE(Raw_Data!D$2:D$5002),Raw_Data!D912)</f>
        <v>35002.74</v>
      </c>
      <c r="E912" s="15" t="str">
        <f>IF(ISBLANK(Raw_Data!E912),AVERAGE(Raw_Data!E$2:E$5002),Raw_Data!E912)</f>
        <v>10500.82</v>
      </c>
      <c r="F912" s="15" t="str">
        <f>IF(ISBLANK(Raw_Data!F912),AVERAGE(Raw_Data!F$2:F$5002),Raw_Data!F912)</f>
        <v>242.66</v>
      </c>
      <c r="G912" s="14" t="str">
        <f>IF(ISBLANK(Raw_Data!G912),AVERAGE(Raw_Data!G$2:G$5002),Raw_Data!G912)</f>
        <v>2987.30</v>
      </c>
      <c r="H912" s="15" t="str">
        <f t="shared" si="1"/>
        <v>45746.00</v>
      </c>
      <c r="I912" s="14" t="str">
        <f t="shared" si="2"/>
        <v>42759.00</v>
      </c>
      <c r="J912" s="16" t="str">
        <f>TEXT(Raw_Data!J912,"MMM-YYY")</f>
        <v>Jan-2025</v>
      </c>
      <c r="K912" s="13" t="str">
        <f>Raw_Data!K912</f>
        <v>9</v>
      </c>
      <c r="L912" s="17" t="str">
        <f>Raw_Data!L912</f>
        <v>Mumbai-HO</v>
      </c>
      <c r="M912" s="13" t="str">
        <f t="shared" si="3"/>
        <v>OK</v>
      </c>
      <c r="N912" s="18" t="str">
        <f t="shared" si="4"/>
        <v>VALID</v>
      </c>
    </row>
    <row r="913" ht="15.75" customHeight="1">
      <c r="A913" s="13" t="str">
        <f>Raw_Data!A913</f>
        <v>EMP0961</v>
      </c>
      <c r="B913" s="13" t="str">
        <f>TRIM(CLEAN(Raw_Data!B913))</f>
        <v>Operations</v>
      </c>
      <c r="C913" s="18" t="s">
        <v>30</v>
      </c>
      <c r="D913" s="14" t="str">
        <f>IF(ISBLANK(Raw_Data!D913),AVERAGE(Raw_Data!D$2:D$5002),Raw_Data!D913)</f>
        <v>30742.03</v>
      </c>
      <c r="E913" s="15" t="str">
        <f>IF(ISBLANK(Raw_Data!E913),AVERAGE(Raw_Data!E$2:E$5002),Raw_Data!E913)</f>
        <v>9222.61</v>
      </c>
      <c r="F913" s="15" t="str">
        <f>IF(ISBLANK(Raw_Data!F913),AVERAGE(Raw_Data!F$2:F$5002),Raw_Data!F913)</f>
        <v>1855.85</v>
      </c>
      <c r="G913" s="14" t="str">
        <f>IF(ISBLANK(Raw_Data!G913),AVERAGE(Raw_Data!G$2:G$5002),Raw_Data!G913)</f>
        <v>2769.86</v>
      </c>
      <c r="H913" s="15" t="str">
        <f t="shared" si="1"/>
        <v>41820.00</v>
      </c>
      <c r="I913" s="14" t="str">
        <f t="shared" si="2"/>
        <v>39050.00</v>
      </c>
      <c r="J913" s="16" t="str">
        <f>TEXT(Raw_Data!J913,"MMM-YYY")</f>
        <v>Apr-2025</v>
      </c>
      <c r="K913" s="13" t="str">
        <f>Raw_Data!K913</f>
        <v>22</v>
      </c>
      <c r="L913" s="17" t="str">
        <f>Raw_Data!L913</f>
        <v>Delhi-North</v>
      </c>
      <c r="M913" s="13" t="str">
        <f t="shared" si="3"/>
        <v>OK</v>
      </c>
      <c r="N913" s="18" t="str">
        <f t="shared" si="4"/>
        <v>VALID</v>
      </c>
    </row>
    <row r="914" ht="15.75" customHeight="1">
      <c r="A914" s="13" t="str">
        <f>Raw_Data!A914</f>
        <v>EMP0962</v>
      </c>
      <c r="B914" s="13" t="str">
        <f>TRIM(CLEAN(Raw_Data!B914))</f>
        <v>Finance</v>
      </c>
      <c r="C914" s="18" t="s">
        <v>26</v>
      </c>
      <c r="D914" s="14" t="str">
        <f>IF(ISBLANK(Raw_Data!D914),AVERAGE(Raw_Data!D$2:D$5002),Raw_Data!D914)</f>
        <v>101336.57</v>
      </c>
      <c r="E914" s="15" t="str">
        <f>IF(ISBLANK(Raw_Data!E914),AVERAGE(Raw_Data!E$2:E$5002),Raw_Data!E914)</f>
        <v>30400.97</v>
      </c>
      <c r="F914" s="15" t="str">
        <f>IF(ISBLANK(Raw_Data!F914),AVERAGE(Raw_Data!F$2:F$5002),Raw_Data!F914)</f>
        <v>15636.70</v>
      </c>
      <c r="G914" s="14" t="str">
        <f>IF(ISBLANK(Raw_Data!G914),AVERAGE(Raw_Data!G$2:G$5002),Raw_Data!G914)</f>
        <v>28678.69</v>
      </c>
      <c r="H914" s="15" t="str">
        <f t="shared" si="1"/>
        <v>147374.00</v>
      </c>
      <c r="I914" s="14" t="str">
        <f t="shared" si="2"/>
        <v>118695.00</v>
      </c>
      <c r="J914" s="16" t="str">
        <f>TEXT(Raw_Data!J914,"MMM-YYY")</f>
        <v>May-2025</v>
      </c>
      <c r="K914" s="13" t="str">
        <f>Raw_Data!K914</f>
        <v>25</v>
      </c>
      <c r="L914" s="17" t="str">
        <f>Raw_Data!L914</f>
        <v>Bangalore-South</v>
      </c>
      <c r="M914" s="13" t="str">
        <f t="shared" si="3"/>
        <v>OK</v>
      </c>
      <c r="N914" s="18" t="str">
        <f t="shared" si="4"/>
        <v>VALID</v>
      </c>
    </row>
    <row r="915" ht="15.75" customHeight="1">
      <c r="A915" s="13" t="str">
        <f>Raw_Data!A915</f>
        <v>EMP0963</v>
      </c>
      <c r="B915" s="13" t="str">
        <f>TRIM(CLEAN(Raw_Data!B915))</f>
        <v>Operations</v>
      </c>
      <c r="C915" s="18" t="s">
        <v>37</v>
      </c>
      <c r="D915" s="14" t="str">
        <f>IF(ISBLANK(Raw_Data!D915),AVERAGE(Raw_Data!D$2:D$5002),Raw_Data!D915)</f>
        <v>55013.82</v>
      </c>
      <c r="E915" s="15" t="str">
        <f>IF(ISBLANK(Raw_Data!E915),AVERAGE(Raw_Data!E$2:E$5002),Raw_Data!E915)</f>
        <v>16504.15</v>
      </c>
      <c r="F915" s="15" t="str">
        <f>IF(ISBLANK(Raw_Data!F915),AVERAGE(Raw_Data!F$2:F$5002),Raw_Data!F915)</f>
        <v>10187.71</v>
      </c>
      <c r="G915" s="14" t="str">
        <f>IF(ISBLANK(Raw_Data!G915),AVERAGE(Raw_Data!G$2:G$5002),Raw_Data!G915)</f>
        <v>2553.44</v>
      </c>
      <c r="H915" s="15" t="str">
        <f t="shared" si="1"/>
        <v>81706.00</v>
      </c>
      <c r="I915" s="14" t="str">
        <f t="shared" si="2"/>
        <v>79153.00</v>
      </c>
      <c r="J915" s="16" t="str">
        <f>TEXT(Raw_Data!J915,"MMM-YYY")</f>
        <v>Jan-2025</v>
      </c>
      <c r="K915" s="13" t="str">
        <f>Raw_Data!K915</f>
        <v>16</v>
      </c>
      <c r="L915" s="17" t="str">
        <f>Raw_Data!L915</f>
        <v>Chennai-South</v>
      </c>
      <c r="M915" s="13" t="str">
        <f t="shared" si="3"/>
        <v>OK</v>
      </c>
      <c r="N915" s="18" t="str">
        <f t="shared" si="4"/>
        <v>VALID</v>
      </c>
    </row>
    <row r="916" ht="15.75" customHeight="1">
      <c r="A916" s="13" t="str">
        <f>Raw_Data!A916</f>
        <v>EMP0964</v>
      </c>
      <c r="B916" s="13" t="str">
        <f>TRIM(CLEAN(Raw_Data!B916))</f>
        <v>Marketing</v>
      </c>
      <c r="C916" s="18" t="s">
        <v>33</v>
      </c>
      <c r="D916" s="14" t="str">
        <f>IF(ISBLANK(Raw_Data!D916),AVERAGE(Raw_Data!D$2:D$5002),Raw_Data!D916)</f>
        <v>26561.07</v>
      </c>
      <c r="E916" s="15" t="str">
        <f>IF(ISBLANK(Raw_Data!E916),AVERAGE(Raw_Data!E$2:E$5002),Raw_Data!E916)</f>
        <v>7968.32</v>
      </c>
      <c r="F916" s="15" t="str">
        <f>IF(ISBLANK(Raw_Data!F916),AVERAGE(Raw_Data!F$2:F$5002),Raw_Data!F916)</f>
        <v>1407.67</v>
      </c>
      <c r="G916" s="14" t="str">
        <f>IF(ISBLANK(Raw_Data!G916),AVERAGE(Raw_Data!G$2:G$5002),Raw_Data!G916)</f>
        <v>7088.82</v>
      </c>
      <c r="H916" s="15" t="str">
        <f t="shared" si="1"/>
        <v>35937.00</v>
      </c>
      <c r="I916" s="14" t="str">
        <f t="shared" si="2"/>
        <v>28848.00</v>
      </c>
      <c r="J916" s="16" t="str">
        <f>TEXT(Raw_Data!J916,"MMM-YYY")</f>
        <v>Apr-2025</v>
      </c>
      <c r="K916" s="13" t="str">
        <f>Raw_Data!K916</f>
        <v>25</v>
      </c>
      <c r="L916" s="17" t="str">
        <f>Raw_Data!L916</f>
        <v>Kolkata-East</v>
      </c>
      <c r="M916" s="13" t="str">
        <f t="shared" si="3"/>
        <v>OK</v>
      </c>
      <c r="N916" s="18" t="str">
        <f t="shared" si="4"/>
        <v>VALID</v>
      </c>
    </row>
    <row r="917" ht="15.75" customHeight="1">
      <c r="A917" s="13" t="str">
        <f>Raw_Data!A917</f>
        <v>EMP0965</v>
      </c>
      <c r="B917" s="13" t="str">
        <f>TRIM(CLEAN(Raw_Data!B917))</f>
        <v>Finance</v>
      </c>
      <c r="C917" s="18" t="s">
        <v>33</v>
      </c>
      <c r="D917" s="14" t="str">
        <f>IF(ISBLANK(Raw_Data!D917),AVERAGE(Raw_Data!D$2:D$5002),Raw_Data!D917)</f>
        <v>33110.74</v>
      </c>
      <c r="E917" s="15" t="str">
        <f>IF(ISBLANK(Raw_Data!E917),AVERAGE(Raw_Data!E$2:E$5002),Raw_Data!E917)</f>
        <v>9933.22</v>
      </c>
      <c r="F917" s="15" t="str">
        <f>IF(ISBLANK(Raw_Data!F917),AVERAGE(Raw_Data!F$2:F$5002),Raw_Data!F917)</f>
        <v>608.61</v>
      </c>
      <c r="G917" s="14" t="str">
        <f>IF(ISBLANK(Raw_Data!G917),AVERAGE(Raw_Data!G$2:G$5002),Raw_Data!G917)</f>
        <v>3971.28</v>
      </c>
      <c r="H917" s="15" t="str">
        <f t="shared" si="1"/>
        <v>43653.00</v>
      </c>
      <c r="I917" s="14" t="str">
        <f t="shared" si="2"/>
        <v>39682.00</v>
      </c>
      <c r="J917" s="16" t="str">
        <f>TEXT(Raw_Data!J917,"MMM-YYY")</f>
        <v>Apr-2025</v>
      </c>
      <c r="K917" s="13" t="str">
        <f>Raw_Data!K917</f>
        <v>16</v>
      </c>
      <c r="L917" s="17" t="str">
        <f>Raw_Data!L917</f>
        <v>Pune-West</v>
      </c>
      <c r="M917" s="13" t="str">
        <f t="shared" si="3"/>
        <v>OK</v>
      </c>
      <c r="N917" s="18" t="str">
        <f t="shared" si="4"/>
        <v>VALID</v>
      </c>
    </row>
    <row r="918" ht="15.75" customHeight="1">
      <c r="A918" s="13" t="str">
        <f>Raw_Data!A918</f>
        <v>EMP0966</v>
      </c>
      <c r="B918" s="13" t="str">
        <f>TRIM(CLEAN(Raw_Data!B918))</f>
        <v>Sales</v>
      </c>
      <c r="C918" s="18" t="s">
        <v>14</v>
      </c>
      <c r="D918" s="14" t="str">
        <f>IF(ISBLANK(Raw_Data!D918),AVERAGE(Raw_Data!D$2:D$5002),Raw_Data!D918)</f>
        <v>23209.78</v>
      </c>
      <c r="E918" s="15" t="str">
        <f>IF(ISBLANK(Raw_Data!E918),AVERAGE(Raw_Data!E$2:E$5002),Raw_Data!E918)</f>
        <v>6962.93</v>
      </c>
      <c r="F918" s="15" t="str">
        <f>IF(ISBLANK(Raw_Data!F918),AVERAGE(Raw_Data!F$2:F$5002),Raw_Data!F918)</f>
        <v>3680.63</v>
      </c>
      <c r="G918" s="14" t="str">
        <f>IF(ISBLANK(Raw_Data!G918),AVERAGE(Raw_Data!G$2:G$5002),Raw_Data!G918)</f>
        <v>1203.91</v>
      </c>
      <c r="H918" s="15" t="str">
        <f t="shared" si="1"/>
        <v>33853.00</v>
      </c>
      <c r="I918" s="14" t="str">
        <f t="shared" si="2"/>
        <v>32649.00</v>
      </c>
      <c r="J918" s="16" t="str">
        <f>TEXT(Raw_Data!J918,"MMM-YYY")</f>
        <v>Dec-2025</v>
      </c>
      <c r="K918" s="13" t="str">
        <f>Raw_Data!K918</f>
        <v>11</v>
      </c>
      <c r="L918" s="17" t="str">
        <f>Raw_Data!L918</f>
        <v>Hyderabad-South</v>
      </c>
      <c r="M918" s="13" t="str">
        <f t="shared" si="3"/>
        <v>OK</v>
      </c>
      <c r="N918" s="18" t="str">
        <f t="shared" si="4"/>
        <v>VALID</v>
      </c>
    </row>
    <row r="919" ht="15.75" customHeight="1">
      <c r="A919" s="13" t="str">
        <f>Raw_Data!A919</f>
        <v>EMP0967</v>
      </c>
      <c r="B919" s="13" t="str">
        <f>TRIM(CLEAN(Raw_Data!B919))</f>
        <v>Sales</v>
      </c>
      <c r="C919" s="18" t="s">
        <v>37</v>
      </c>
      <c r="D919" s="14" t="str">
        <f>IF(ISBLANK(Raw_Data!D919),AVERAGE(Raw_Data!D$2:D$5002),Raw_Data!D919)</f>
        <v>59751.27</v>
      </c>
      <c r="E919" s="15" t="str">
        <f>IF(ISBLANK(Raw_Data!E919),AVERAGE(Raw_Data!E$2:E$5002),Raw_Data!E919)</f>
        <v>17925.38</v>
      </c>
      <c r="F919" s="15" t="str">
        <f>IF(ISBLANK(Raw_Data!F919),AVERAGE(Raw_Data!F$2:F$5002),Raw_Data!F919)</f>
        <v>1139.62</v>
      </c>
      <c r="G919" s="14" t="str">
        <f>IF(ISBLANK(Raw_Data!G919),AVERAGE(Raw_Data!G$2:G$5002),Raw_Data!G919)</f>
        <v>11512.66</v>
      </c>
      <c r="H919" s="15" t="str">
        <f t="shared" si="1"/>
        <v>78816.00</v>
      </c>
      <c r="I919" s="14" t="str">
        <f t="shared" si="2"/>
        <v>67303.00</v>
      </c>
      <c r="J919" s="16" t="str">
        <f>TEXT(Raw_Data!J919,"MMM-YYY")</f>
        <v>Jan-2025</v>
      </c>
      <c r="K919" s="13" t="str">
        <f>Raw_Data!K919</f>
        <v>4</v>
      </c>
      <c r="L919" s="17" t="str">
        <f>Raw_Data!L919</f>
        <v>Chandigarh-North</v>
      </c>
      <c r="M919" s="13" t="str">
        <f t="shared" si="3"/>
        <v>OK</v>
      </c>
      <c r="N919" s="18" t="str">
        <f t="shared" si="4"/>
        <v>VALID</v>
      </c>
    </row>
    <row r="920" ht="15.75" customHeight="1">
      <c r="A920" s="13" t="str">
        <f>Raw_Data!A920</f>
        <v>EMP0968</v>
      </c>
      <c r="B920" s="13" t="str">
        <f>TRIM(CLEAN(Raw_Data!B920))</f>
        <v>Sales</v>
      </c>
      <c r="C920" s="18" t="s">
        <v>26</v>
      </c>
      <c r="D920" s="14" t="str">
        <f>IF(ISBLANK(Raw_Data!D920),AVERAGE(Raw_Data!D$2:D$5002),Raw_Data!D920)</f>
        <v>110746.21</v>
      </c>
      <c r="E920" s="15" t="str">
        <f>IF(ISBLANK(Raw_Data!E920),AVERAGE(Raw_Data!E$2:E$5002),Raw_Data!E920)</f>
        <v>33223.86</v>
      </c>
      <c r="F920" s="15" t="str">
        <f>IF(ISBLANK(Raw_Data!F920),AVERAGE(Raw_Data!F$2:F$5002),Raw_Data!F920)</f>
        <v>1738.21</v>
      </c>
      <c r="G920" s="14" t="str">
        <f>IF(ISBLANK(Raw_Data!G920),AVERAGE(Raw_Data!G$2:G$5002),Raw_Data!G920)</f>
        <v>1857.97</v>
      </c>
      <c r="H920" s="15" t="str">
        <f t="shared" si="1"/>
        <v>145708.00</v>
      </c>
      <c r="I920" s="14" t="str">
        <f t="shared" si="2"/>
        <v>143850.00</v>
      </c>
      <c r="J920" s="16" t="str">
        <f>TEXT(Raw_Data!J920,"MMM-YYY")</f>
        <v>Jun-2025</v>
      </c>
      <c r="K920" s="13" t="str">
        <f>Raw_Data!K920</f>
        <v>21</v>
      </c>
      <c r="L920" s="17" t="str">
        <f>Raw_Data!L920</f>
        <v>Ahmedabad-West</v>
      </c>
      <c r="M920" s="13" t="str">
        <f t="shared" si="3"/>
        <v>OK</v>
      </c>
      <c r="N920" s="18" t="str">
        <f t="shared" si="4"/>
        <v>VALID</v>
      </c>
    </row>
    <row r="921" ht="15.75" customHeight="1">
      <c r="A921" s="13" t="str">
        <f>Raw_Data!A921</f>
        <v>EMP0970</v>
      </c>
      <c r="B921" s="13" t="str">
        <f>TRIM(CLEAN(Raw_Data!B921))</f>
        <v>Sales</v>
      </c>
      <c r="C921" s="18" t="s">
        <v>18</v>
      </c>
      <c r="D921" s="14" t="str">
        <f>IF(ISBLANK(Raw_Data!D921),AVERAGE(Raw_Data!D$2:D$5002),Raw_Data!D921)</f>
        <v>87086.43</v>
      </c>
      <c r="E921" s="15" t="str">
        <f>IF(ISBLANK(Raw_Data!E921),AVERAGE(Raw_Data!E$2:E$5002),Raw_Data!E921)</f>
        <v>26125.93</v>
      </c>
      <c r="F921" s="15" t="str">
        <f>IF(ISBLANK(Raw_Data!F921),AVERAGE(Raw_Data!F$2:F$5002),Raw_Data!F921)</f>
        <v>16174.62</v>
      </c>
      <c r="G921" s="14" t="str">
        <f>IF(ISBLANK(Raw_Data!G921),AVERAGE(Raw_Data!G$2:G$5002),Raw_Data!G921)</f>
        <v>16560.89</v>
      </c>
      <c r="H921" s="15" t="str">
        <f t="shared" si="1"/>
        <v>129387.00</v>
      </c>
      <c r="I921" s="14" t="str">
        <f t="shared" si="2"/>
        <v>112826.00</v>
      </c>
      <c r="J921" s="16" t="str">
        <f>TEXT(Raw_Data!J921,"MMM-YYY")</f>
        <v>Nov-2025</v>
      </c>
      <c r="K921" s="13" t="str">
        <f>Raw_Data!K921</f>
        <v>16</v>
      </c>
      <c r="L921" s="17" t="str">
        <f>Raw_Data!L921</f>
        <v>Mumbai-HO</v>
      </c>
      <c r="M921" s="13" t="str">
        <f t="shared" si="3"/>
        <v>OK</v>
      </c>
      <c r="N921" s="18" t="str">
        <f t="shared" si="4"/>
        <v>VALID</v>
      </c>
    </row>
    <row r="922" ht="15.75" customHeight="1">
      <c r="A922" s="13" t="str">
        <f>Raw_Data!A922</f>
        <v>EMP0971</v>
      </c>
      <c r="B922" s="13" t="str">
        <f>TRIM(CLEAN(Raw_Data!B922))</f>
        <v>Marketing</v>
      </c>
      <c r="C922" s="18" t="s">
        <v>14</v>
      </c>
      <c r="D922" s="14" t="str">
        <f>IF(ISBLANK(Raw_Data!D922),AVERAGE(Raw_Data!D$2:D$5002),Raw_Data!D922)</f>
        <v>20194.44</v>
      </c>
      <c r="E922" s="15" t="str">
        <f>IF(ISBLANK(Raw_Data!E922),AVERAGE(Raw_Data!E$2:E$5002),Raw_Data!E922)</f>
        <v>6058.33</v>
      </c>
      <c r="F922" s="15" t="str">
        <f>IF(ISBLANK(Raw_Data!F922),AVERAGE(Raw_Data!F$2:F$5002),Raw_Data!F922)</f>
        <v>166.33</v>
      </c>
      <c r="G922" s="14" t="str">
        <f>IF(ISBLANK(Raw_Data!G922),AVERAGE(Raw_Data!G$2:G$5002),Raw_Data!G922)</f>
        <v>3271.07</v>
      </c>
      <c r="H922" s="15" t="str">
        <f t="shared" si="1"/>
        <v>26419.00</v>
      </c>
      <c r="I922" s="14" t="str">
        <f t="shared" si="2"/>
        <v>23148.00</v>
      </c>
      <c r="J922" s="16" t="str">
        <f>TEXT(Raw_Data!J922,"MMM-YYY")</f>
        <v>Mar-2025</v>
      </c>
      <c r="K922" s="13" t="str">
        <f>Raw_Data!K922</f>
        <v>5</v>
      </c>
      <c r="L922" s="17" t="str">
        <f>Raw_Data!L922</f>
        <v>Delhi-North</v>
      </c>
      <c r="M922" s="13" t="str">
        <f t="shared" si="3"/>
        <v>OK</v>
      </c>
      <c r="N922" s="18" t="str">
        <f t="shared" si="4"/>
        <v>VALID</v>
      </c>
    </row>
    <row r="923" ht="15.75" customHeight="1">
      <c r="A923" s="13" t="str">
        <f>Raw_Data!A923</f>
        <v>EMP0972</v>
      </c>
      <c r="B923" s="13" t="str">
        <f>TRIM(CLEAN(Raw_Data!B923))</f>
        <v>IT</v>
      </c>
      <c r="C923" s="18" t="s">
        <v>37</v>
      </c>
      <c r="D923" s="14" t="str">
        <f>IF(ISBLANK(Raw_Data!D923),AVERAGE(Raw_Data!D$2:D$5002),Raw_Data!D923)</f>
        <v>57559.84</v>
      </c>
      <c r="E923" s="15" t="str">
        <f>IF(ISBLANK(Raw_Data!E923),AVERAGE(Raw_Data!E$2:E$5002),Raw_Data!E923)</f>
        <v>17267.95</v>
      </c>
      <c r="F923" s="15" t="str">
        <f>IF(ISBLANK(Raw_Data!F923),AVERAGE(Raw_Data!F$2:F$5002),Raw_Data!F923)</f>
        <v>1763.60</v>
      </c>
      <c r="G923" s="14" t="str">
        <f>IF(ISBLANK(Raw_Data!G923),AVERAGE(Raw_Data!G$2:G$5002),Raw_Data!G923)</f>
        <v>11632.30</v>
      </c>
      <c r="H923" s="15" t="str">
        <f t="shared" si="1"/>
        <v>76591.00</v>
      </c>
      <c r="I923" s="14" t="str">
        <f t="shared" si="2"/>
        <v>64959.00</v>
      </c>
      <c r="J923" s="16" t="str">
        <f>TEXT(Raw_Data!J923,"MMM-YYY")</f>
        <v>Jul-2025</v>
      </c>
      <c r="K923" s="13" t="str">
        <f>Raw_Data!K923</f>
        <v>7</v>
      </c>
      <c r="L923" s="17" t="str">
        <f>Raw_Data!L923</f>
        <v>Bangalore-South</v>
      </c>
      <c r="M923" s="13" t="str">
        <f t="shared" si="3"/>
        <v>OK</v>
      </c>
      <c r="N923" s="18" t="str">
        <f t="shared" si="4"/>
        <v>VALID</v>
      </c>
    </row>
    <row r="924" ht="15.75" customHeight="1">
      <c r="A924" s="13" t="str">
        <f>Raw_Data!A924</f>
        <v>EMP0973</v>
      </c>
      <c r="B924" s="13" t="str">
        <f>TRIM(CLEAN(Raw_Data!B924))</f>
        <v>Marketing</v>
      </c>
      <c r="C924" s="18" t="s">
        <v>26</v>
      </c>
      <c r="D924" s="14" t="str">
        <f>IF(ISBLANK(Raw_Data!D924),AVERAGE(Raw_Data!D$2:D$5002),Raw_Data!D924)</f>
        <v>111424.76</v>
      </c>
      <c r="E924" s="15" t="str">
        <f>IF(ISBLANK(Raw_Data!E924),AVERAGE(Raw_Data!E$2:E$5002),Raw_Data!E924)</f>
        <v>33427.43</v>
      </c>
      <c r="F924" s="15" t="str">
        <f>IF(ISBLANK(Raw_Data!F924),AVERAGE(Raw_Data!F$2:F$5002),Raw_Data!F924)</f>
        <v>11247.87</v>
      </c>
      <c r="G924" s="14" t="str">
        <f>IF(ISBLANK(Raw_Data!G924),AVERAGE(Raw_Data!G$2:G$5002),Raw_Data!G924)</f>
        <v>7423.75</v>
      </c>
      <c r="H924" s="15" t="str">
        <f t="shared" si="1"/>
        <v>156100.00</v>
      </c>
      <c r="I924" s="14" t="str">
        <f t="shared" si="2"/>
        <v>148676.00</v>
      </c>
      <c r="J924" s="16" t="str">
        <f>TEXT(Raw_Data!J924,"MMM-YYY")</f>
        <v>May-2025</v>
      </c>
      <c r="K924" s="13" t="str">
        <f>Raw_Data!K924</f>
        <v>10</v>
      </c>
      <c r="L924" s="17" t="str">
        <f>Raw_Data!L924</f>
        <v>Chennai-South</v>
      </c>
      <c r="M924" s="13" t="str">
        <f t="shared" si="3"/>
        <v>OK</v>
      </c>
      <c r="N924" s="18" t="str">
        <f t="shared" si="4"/>
        <v>VALID</v>
      </c>
    </row>
    <row r="925" ht="15.75" customHeight="1">
      <c r="A925" s="13" t="str">
        <f>Raw_Data!A925</f>
        <v>EMP0974</v>
      </c>
      <c r="B925" s="13" t="str">
        <f>TRIM(CLEAN(Raw_Data!B925))</f>
        <v>Customer Support</v>
      </c>
      <c r="C925" s="18" t="s">
        <v>54</v>
      </c>
      <c r="D925" s="14" t="str">
        <f>IF(ISBLANK(Raw_Data!D925),AVERAGE(Raw_Data!D$2:D$5002),Raw_Data!D925)</f>
        <v>37072.17</v>
      </c>
      <c r="E925" s="15" t="str">
        <f>IF(ISBLANK(Raw_Data!E925),AVERAGE(Raw_Data!E$2:E$5002),Raw_Data!E925)</f>
        <v>11121.65</v>
      </c>
      <c r="F925" s="15" t="str">
        <f>IF(ISBLANK(Raw_Data!F925),AVERAGE(Raw_Data!F$2:F$5002),Raw_Data!F925)</f>
        <v>2492.50</v>
      </c>
      <c r="G925" s="14" t="str">
        <f>IF(ISBLANK(Raw_Data!G925),AVERAGE(Raw_Data!G$2:G$5002),Raw_Data!G925)</f>
        <v>5292.29</v>
      </c>
      <c r="H925" s="15" t="str">
        <f t="shared" si="1"/>
        <v>50686.00</v>
      </c>
      <c r="I925" s="14" t="str">
        <f t="shared" si="2"/>
        <v>45394.00</v>
      </c>
      <c r="J925" s="16" t="str">
        <f>TEXT(Raw_Data!J925,"MMM-YYY")</f>
        <v>Dec-2025</v>
      </c>
      <c r="K925" s="13" t="str">
        <f>Raw_Data!K925</f>
        <v>20</v>
      </c>
      <c r="L925" s="17" t="str">
        <f>Raw_Data!L925</f>
        <v>Kolkata-East</v>
      </c>
      <c r="M925" s="13" t="str">
        <f t="shared" si="3"/>
        <v>OK</v>
      </c>
      <c r="N925" s="18" t="str">
        <f t="shared" si="4"/>
        <v>VALID</v>
      </c>
    </row>
    <row r="926" ht="15.75" customHeight="1">
      <c r="A926" s="13" t="str">
        <f>Raw_Data!A926</f>
        <v>EMP0975</v>
      </c>
      <c r="B926" s="13" t="str">
        <f>TRIM(CLEAN(Raw_Data!B926))</f>
        <v>HR</v>
      </c>
      <c r="C926" s="18" t="s">
        <v>37</v>
      </c>
      <c r="D926" s="14" t="str">
        <f>IF(ISBLANK(Raw_Data!D926),AVERAGE(Raw_Data!D$2:D$5002),Raw_Data!D926)</f>
        <v>52185.44</v>
      </c>
      <c r="E926" s="15" t="str">
        <f>IF(ISBLANK(Raw_Data!E926),AVERAGE(Raw_Data!E$2:E$5002),Raw_Data!E926)</f>
        <v>15655.63</v>
      </c>
      <c r="F926" s="15" t="str">
        <f>IF(ISBLANK(Raw_Data!F926),AVERAGE(Raw_Data!F$2:F$5002),Raw_Data!F926)</f>
        <v>887.98</v>
      </c>
      <c r="G926" s="14" t="str">
        <f>IF(ISBLANK(Raw_Data!G926),AVERAGE(Raw_Data!G$2:G$5002),Raw_Data!G926)</f>
        <v>7856.36</v>
      </c>
      <c r="H926" s="15" t="str">
        <f t="shared" si="1"/>
        <v>68729.00</v>
      </c>
      <c r="I926" s="14" t="str">
        <f t="shared" si="2"/>
        <v>60873.00</v>
      </c>
      <c r="J926" s="16" t="str">
        <f>TEXT(Raw_Data!J926,"MMM-YYY")</f>
        <v>Dec-2025</v>
      </c>
      <c r="K926" s="13" t="str">
        <f>Raw_Data!K926</f>
        <v>23</v>
      </c>
      <c r="L926" s="17" t="str">
        <f>Raw_Data!L926</f>
        <v>Pune-West</v>
      </c>
      <c r="M926" s="13" t="str">
        <f t="shared" si="3"/>
        <v>OK</v>
      </c>
      <c r="N926" s="18" t="str">
        <f t="shared" si="4"/>
        <v>VALID</v>
      </c>
    </row>
    <row r="927" ht="15.75" customHeight="1">
      <c r="A927" s="13" t="str">
        <f>Raw_Data!A927</f>
        <v>EMP0976</v>
      </c>
      <c r="B927" s="13" t="str">
        <f>TRIM(CLEAN(Raw_Data!B927))</f>
        <v>Finance</v>
      </c>
      <c r="C927" s="18" t="s">
        <v>26</v>
      </c>
      <c r="D927" s="14" t="str">
        <f>IF(ISBLANK(Raw_Data!D927),AVERAGE(Raw_Data!D$2:D$5002),Raw_Data!D927)</f>
        <v>94855.35</v>
      </c>
      <c r="E927" s="15" t="str">
        <f>IF(ISBLANK(Raw_Data!E927),AVERAGE(Raw_Data!E$2:E$5002),Raw_Data!E927)</f>
        <v>28456.60</v>
      </c>
      <c r="F927" s="15" t="str">
        <f>IF(ISBLANK(Raw_Data!F927),AVERAGE(Raw_Data!F$2:F$5002),Raw_Data!F927)</f>
        <v>10610.45</v>
      </c>
      <c r="G927" s="14" t="str">
        <f>IF(ISBLANK(Raw_Data!G927),AVERAGE(Raw_Data!G$2:G$5002),Raw_Data!G927)</f>
        <v>13882.87</v>
      </c>
      <c r="H927" s="15" t="str">
        <f t="shared" si="1"/>
        <v>133922.00</v>
      </c>
      <c r="I927" s="14" t="str">
        <f t="shared" si="2"/>
        <v>120039.00</v>
      </c>
      <c r="J927" s="16" t="str">
        <f>TEXT(Raw_Data!J927,"MMM-YYY")</f>
        <v>Nov-2025</v>
      </c>
      <c r="K927" s="13" t="str">
        <f>Raw_Data!K927</f>
        <v>20</v>
      </c>
      <c r="L927" s="17" t="str">
        <f>Raw_Data!L927</f>
        <v>Hyderabad-South</v>
      </c>
      <c r="M927" s="13" t="str">
        <f t="shared" si="3"/>
        <v>OK</v>
      </c>
      <c r="N927" s="18" t="str">
        <f t="shared" si="4"/>
        <v>VALID</v>
      </c>
    </row>
    <row r="928" ht="15.75" customHeight="1">
      <c r="A928" s="13" t="str">
        <f>Raw_Data!A928</f>
        <v>EMP0977</v>
      </c>
      <c r="B928" s="13" t="str">
        <f>TRIM(CLEAN(Raw_Data!B928))</f>
        <v>Operations</v>
      </c>
      <c r="C928" s="18" t="s">
        <v>30</v>
      </c>
      <c r="D928" s="14" t="str">
        <f>IF(ISBLANK(Raw_Data!D928),AVERAGE(Raw_Data!D$2:D$5002),Raw_Data!D928)</f>
        <v>26938.27</v>
      </c>
      <c r="E928" s="15" t="str">
        <f>IF(ISBLANK(Raw_Data!E928),AVERAGE(Raw_Data!E$2:E$5002),Raw_Data!E928)</f>
        <v>8081.48</v>
      </c>
      <c r="F928" s="15" t="str">
        <f>IF(ISBLANK(Raw_Data!F928),AVERAGE(Raw_Data!F$2:F$5002),Raw_Data!F928)</f>
        <v>5371.92</v>
      </c>
      <c r="G928" s="14" t="str">
        <f>IF(ISBLANK(Raw_Data!G928),AVERAGE(Raw_Data!G$2:G$5002),Raw_Data!G928)</f>
        <v>4236.70</v>
      </c>
      <c r="H928" s="15" t="str">
        <f t="shared" si="1"/>
        <v>40392.00</v>
      </c>
      <c r="I928" s="14" t="str">
        <f t="shared" si="2"/>
        <v>36155.00</v>
      </c>
      <c r="J928" s="16" t="str">
        <f>TEXT(Raw_Data!J928,"MMM-YYY")</f>
        <v>Apr-2025</v>
      </c>
      <c r="K928" s="13" t="str">
        <f>Raw_Data!K928</f>
        <v>9</v>
      </c>
      <c r="L928" s="17" t="str">
        <f>Raw_Data!L928</f>
        <v>Chandigarh-North</v>
      </c>
      <c r="M928" s="13" t="str">
        <f t="shared" si="3"/>
        <v>OK</v>
      </c>
      <c r="N928" s="18" t="str">
        <f t="shared" si="4"/>
        <v>VALID</v>
      </c>
    </row>
    <row r="929" ht="15.75" customHeight="1">
      <c r="A929" s="13" t="str">
        <f>Raw_Data!A929</f>
        <v>EMP0978</v>
      </c>
      <c r="B929" s="13" t="str">
        <f>TRIM(CLEAN(Raw_Data!B929))</f>
        <v>HR</v>
      </c>
      <c r="C929" s="18" t="s">
        <v>33</v>
      </c>
      <c r="D929" s="14" t="str">
        <f>IF(ISBLANK(Raw_Data!D929),AVERAGE(Raw_Data!D$2:D$5002),Raw_Data!D929)</f>
        <v>32767.72</v>
      </c>
      <c r="E929" s="15" t="str">
        <f>IF(ISBLANK(Raw_Data!E929),AVERAGE(Raw_Data!E$2:E$5002),Raw_Data!E929)</f>
        <v>9830.32</v>
      </c>
      <c r="F929" s="15" t="str">
        <f>IF(ISBLANK(Raw_Data!F929),AVERAGE(Raw_Data!F$2:F$5002),Raw_Data!F929)</f>
        <v>2119.49</v>
      </c>
      <c r="G929" s="14" t="str">
        <f>IF(ISBLANK(Raw_Data!G929),AVERAGE(Raw_Data!G$2:G$5002),Raw_Data!G929)</f>
        <v>9084.57</v>
      </c>
      <c r="H929" s="15" t="str">
        <f t="shared" si="1"/>
        <v>44718.00</v>
      </c>
      <c r="I929" s="14" t="str">
        <f t="shared" si="2"/>
        <v>35633.00</v>
      </c>
      <c r="J929" s="16" t="str">
        <f>TEXT(Raw_Data!J929,"MMM-YYY")</f>
        <v>Feb-2025</v>
      </c>
      <c r="K929" s="13" t="str">
        <f>Raw_Data!K929</f>
        <v>9</v>
      </c>
      <c r="L929" s="17" t="str">
        <f>Raw_Data!L929</f>
        <v>Ahmedabad-West</v>
      </c>
      <c r="M929" s="13" t="str">
        <f t="shared" si="3"/>
        <v>OK</v>
      </c>
      <c r="N929" s="18" t="str">
        <f t="shared" si="4"/>
        <v>VALID</v>
      </c>
    </row>
    <row r="930" ht="15.75" customHeight="1">
      <c r="A930" s="13" t="str">
        <f>Raw_Data!A930</f>
        <v>EMP0979</v>
      </c>
      <c r="B930" s="13" t="str">
        <f>TRIM(CLEAN(Raw_Data!B930))</f>
        <v>HR</v>
      </c>
      <c r="C930" s="18" t="s">
        <v>18</v>
      </c>
      <c r="D930" s="14" t="str">
        <f>IF(ISBLANK(Raw_Data!D930),AVERAGE(Raw_Data!D$2:D$5002),Raw_Data!D930)</f>
        <v>75753.13</v>
      </c>
      <c r="E930" s="15" t="str">
        <f>IF(ISBLANK(Raw_Data!E930),AVERAGE(Raw_Data!E$2:E$5002),Raw_Data!E930)</f>
        <v>22725.94</v>
      </c>
      <c r="F930" s="15" t="str">
        <f>IF(ISBLANK(Raw_Data!F930),AVERAGE(Raw_Data!F$2:F$5002),Raw_Data!F930)</f>
        <v>5534.03</v>
      </c>
      <c r="G930" s="14" t="str">
        <f>IF(ISBLANK(Raw_Data!G930),AVERAGE(Raw_Data!G$2:G$5002),Raw_Data!G930)</f>
        <v>4329.06</v>
      </c>
      <c r="H930" s="15" t="str">
        <f t="shared" si="1"/>
        <v>104013.00</v>
      </c>
      <c r="I930" s="14" t="str">
        <f t="shared" si="2"/>
        <v>99684.00</v>
      </c>
      <c r="J930" s="16" t="str">
        <f>TEXT(Raw_Data!J930,"MMM-YYY")</f>
        <v>Jun-2025</v>
      </c>
      <c r="K930" s="13" t="str">
        <f>Raw_Data!K930</f>
        <v>14</v>
      </c>
      <c r="L930" s="17" t="str">
        <f>Raw_Data!L930</f>
        <v>Jaipur-North</v>
      </c>
      <c r="M930" s="13" t="str">
        <f t="shared" si="3"/>
        <v>OK</v>
      </c>
      <c r="N930" s="18" t="str">
        <f t="shared" si="4"/>
        <v>VALID</v>
      </c>
    </row>
    <row r="931" ht="15.75" customHeight="1">
      <c r="A931" s="13" t="str">
        <f>Raw_Data!A931</f>
        <v>EMP0980</v>
      </c>
      <c r="B931" s="13" t="str">
        <f>TRIM(CLEAN(Raw_Data!B931))</f>
        <v>Operations</v>
      </c>
      <c r="C931" s="18" t="s">
        <v>18</v>
      </c>
      <c r="D931" s="14" t="str">
        <f>IF(ISBLANK(Raw_Data!D931),AVERAGE(Raw_Data!D$2:D$5002),Raw_Data!D931)</f>
        <v>65629.38</v>
      </c>
      <c r="E931" s="15" t="str">
        <f>IF(ISBLANK(Raw_Data!E931),AVERAGE(Raw_Data!E$2:E$5002),Raw_Data!E931)</f>
        <v>19688.81</v>
      </c>
      <c r="F931" s="15" t="str">
        <f>IF(ISBLANK(Raw_Data!F931),AVERAGE(Raw_Data!F$2:F$5002),Raw_Data!F931)</f>
        <v>4001.01</v>
      </c>
      <c r="G931" s="14" t="str">
        <f>IF(ISBLANK(Raw_Data!G931),AVERAGE(Raw_Data!G$2:G$5002),Raw_Data!G931)</f>
        <v>19445.69</v>
      </c>
      <c r="H931" s="15" t="str">
        <f t="shared" si="1"/>
        <v>89319.00</v>
      </c>
      <c r="I931" s="14" t="str">
        <f t="shared" si="2"/>
        <v>69873.00</v>
      </c>
      <c r="J931" s="16" t="str">
        <f>TEXT(Raw_Data!J931,"MMM-YYY")</f>
        <v>Oct-2025</v>
      </c>
      <c r="K931" s="13" t="str">
        <f>Raw_Data!K931</f>
        <v>2</v>
      </c>
      <c r="L931" s="17" t="str">
        <f>Raw_Data!L931</f>
        <v>Mumbai-HO</v>
      </c>
      <c r="M931" s="13" t="str">
        <f t="shared" si="3"/>
        <v>OK</v>
      </c>
      <c r="N931" s="18" t="str">
        <f t="shared" si="4"/>
        <v>VALID</v>
      </c>
    </row>
    <row r="932" ht="15.75" customHeight="1">
      <c r="A932" s="13" t="str">
        <f>Raw_Data!A932</f>
        <v>EMP0981</v>
      </c>
      <c r="B932" s="13" t="str">
        <f>TRIM(CLEAN(Raw_Data!B932))</f>
        <v>Customer Support</v>
      </c>
      <c r="C932" s="18" t="s">
        <v>26</v>
      </c>
      <c r="D932" s="14" t="str">
        <f>IF(ISBLANK(Raw_Data!D932),AVERAGE(Raw_Data!D$2:D$5002),Raw_Data!D932)</f>
        <v>105919.56</v>
      </c>
      <c r="E932" s="15" t="str">
        <f>IF(ISBLANK(Raw_Data!E932),AVERAGE(Raw_Data!E$2:E$5002),Raw_Data!E932)</f>
        <v>31775.87</v>
      </c>
      <c r="F932" s="15" t="str">
        <f>IF(ISBLANK(Raw_Data!F932),AVERAGE(Raw_Data!F$2:F$5002),Raw_Data!F932)</f>
        <v>3089.01</v>
      </c>
      <c r="G932" s="14" t="str">
        <f>IF(ISBLANK(Raw_Data!G932),AVERAGE(Raw_Data!G$2:G$5002),Raw_Data!G932)</f>
        <v>1426.02</v>
      </c>
      <c r="H932" s="15" t="str">
        <f t="shared" si="1"/>
        <v>140784.00</v>
      </c>
      <c r="I932" s="14" t="str">
        <f t="shared" si="2"/>
        <v>139358.00</v>
      </c>
      <c r="J932" s="16" t="str">
        <f>TEXT(Raw_Data!J932,"MMM-YYY")</f>
        <v>Apr-2025</v>
      </c>
      <c r="K932" s="13" t="str">
        <f>Raw_Data!K932</f>
        <v>10</v>
      </c>
      <c r="L932" s="17" t="str">
        <f>Raw_Data!L932</f>
        <v>Delhi-North</v>
      </c>
      <c r="M932" s="13" t="str">
        <f t="shared" si="3"/>
        <v>OK</v>
      </c>
      <c r="N932" s="18" t="str">
        <f t="shared" si="4"/>
        <v>VALID</v>
      </c>
    </row>
    <row r="933" ht="15.75" customHeight="1">
      <c r="A933" s="13" t="str">
        <f>Raw_Data!A933</f>
        <v>EMP0982</v>
      </c>
      <c r="B933" s="13" t="str">
        <f>TRIM(CLEAN(Raw_Data!B933))</f>
        <v>Finance</v>
      </c>
      <c r="C933" s="18" t="s">
        <v>18</v>
      </c>
      <c r="D933" s="14" t="str">
        <f>IF(ISBLANK(Raw_Data!D933),AVERAGE(Raw_Data!D$2:D$5002),Raw_Data!D933)</f>
        <v>74719.34</v>
      </c>
      <c r="E933" s="15" t="str">
        <f>IF(ISBLANK(Raw_Data!E933),AVERAGE(Raw_Data!E$2:E$5002),Raw_Data!E933)</f>
        <v>22415.80</v>
      </c>
      <c r="F933" s="15" t="str">
        <f>IF(ISBLANK(Raw_Data!F933),AVERAGE(Raw_Data!F$2:F$5002),Raw_Data!F933)</f>
        <v>11323.47</v>
      </c>
      <c r="G933" s="14" t="str">
        <f>IF(ISBLANK(Raw_Data!G933),AVERAGE(Raw_Data!G$2:G$5002),Raw_Data!G933)</f>
        <v>19115.39</v>
      </c>
      <c r="H933" s="15" t="str">
        <f t="shared" si="1"/>
        <v>108459.00</v>
      </c>
      <c r="I933" s="14" t="str">
        <f t="shared" si="2"/>
        <v>89344.00</v>
      </c>
      <c r="J933" s="16" t="str">
        <f>TEXT(Raw_Data!J933,"MMM-YYY")</f>
        <v>Feb-2025</v>
      </c>
      <c r="K933" s="13" t="str">
        <f>Raw_Data!K933</f>
        <v>20</v>
      </c>
      <c r="L933" s="17" t="str">
        <f>Raw_Data!L933</f>
        <v>Bangalore-South</v>
      </c>
      <c r="M933" s="13" t="str">
        <f t="shared" si="3"/>
        <v>OK</v>
      </c>
      <c r="N933" s="18" t="str">
        <f t="shared" si="4"/>
        <v>VALID</v>
      </c>
    </row>
    <row r="934" ht="15.75" customHeight="1">
      <c r="A934" s="13" t="str">
        <f>Raw_Data!A934</f>
        <v>EMP0983</v>
      </c>
      <c r="B934" s="13" t="str">
        <f>TRIM(CLEAN(Raw_Data!B934))</f>
        <v>Sales</v>
      </c>
      <c r="C934" s="18" t="s">
        <v>14</v>
      </c>
      <c r="D934" s="14" t="str">
        <f>IF(ISBLANK(Raw_Data!D934),AVERAGE(Raw_Data!D$2:D$5002),Raw_Data!D934)</f>
        <v>19749.95</v>
      </c>
      <c r="E934" s="15" t="str">
        <f>IF(ISBLANK(Raw_Data!E934),AVERAGE(Raw_Data!E$2:E$5002),Raw_Data!E934)</f>
        <v>5924.98</v>
      </c>
      <c r="F934" s="15" t="str">
        <f>IF(ISBLANK(Raw_Data!F934),AVERAGE(Raw_Data!F$2:F$5002),Raw_Data!F934)</f>
        <v>2452.95</v>
      </c>
      <c r="G934" s="14" t="str">
        <f>IF(ISBLANK(Raw_Data!G934),AVERAGE(Raw_Data!G$2:G$5002),Raw_Data!G934)</f>
        <v>874.98</v>
      </c>
      <c r="H934" s="15" t="str">
        <f t="shared" si="1"/>
        <v>28128.00</v>
      </c>
      <c r="I934" s="14" t="str">
        <f t="shared" si="2"/>
        <v>27253.00</v>
      </c>
      <c r="J934" s="16" t="str">
        <f>TEXT(Raw_Data!J934,"MMM-YYY")</f>
        <v>May-2025</v>
      </c>
      <c r="K934" s="13" t="str">
        <f>Raw_Data!K934</f>
        <v>13</v>
      </c>
      <c r="L934" s="17" t="str">
        <f>Raw_Data!L934</f>
        <v>Chennai-South</v>
      </c>
      <c r="M934" s="13" t="str">
        <f t="shared" si="3"/>
        <v>OK</v>
      </c>
      <c r="N934" s="18" t="str">
        <f t="shared" si="4"/>
        <v>VALID</v>
      </c>
    </row>
    <row r="935" ht="15.75" customHeight="1">
      <c r="A935" s="13" t="str">
        <f>Raw_Data!A935</f>
        <v>EMP0984</v>
      </c>
      <c r="B935" s="13" t="str">
        <f>TRIM(CLEAN(Raw_Data!B935))</f>
        <v>HR</v>
      </c>
      <c r="C935" s="18" t="s">
        <v>33</v>
      </c>
      <c r="D935" s="14" t="str">
        <f>IF(ISBLANK(Raw_Data!D935),AVERAGE(Raw_Data!D$2:D$5002),Raw_Data!D935)</f>
        <v>31937.95</v>
      </c>
      <c r="E935" s="15" t="str">
        <f>IF(ISBLANK(Raw_Data!E935),AVERAGE(Raw_Data!E$2:E$5002),Raw_Data!E935)</f>
        <v>9581.39</v>
      </c>
      <c r="F935" s="15" t="str">
        <f>IF(ISBLANK(Raw_Data!F935),AVERAGE(Raw_Data!F$2:F$5002),Raw_Data!F935)</f>
        <v>710.80</v>
      </c>
      <c r="G935" s="14" t="str">
        <f>IF(ISBLANK(Raw_Data!G935),AVERAGE(Raw_Data!G$2:G$5002),Raw_Data!G935)</f>
        <v>4312.21</v>
      </c>
      <c r="H935" s="15" t="str">
        <f t="shared" si="1"/>
        <v>42230.00</v>
      </c>
      <c r="I935" s="14" t="str">
        <f t="shared" si="2"/>
        <v>37918.00</v>
      </c>
      <c r="J935" s="16" t="str">
        <f>TEXT(Raw_Data!J935,"MMM-YYY")</f>
        <v>Jan-2025</v>
      </c>
      <c r="K935" s="13" t="str">
        <f>Raw_Data!K935</f>
        <v>14</v>
      </c>
      <c r="L935" s="17" t="str">
        <f>Raw_Data!L935</f>
        <v>Kolkata-East</v>
      </c>
      <c r="M935" s="13" t="str">
        <f t="shared" si="3"/>
        <v>OK</v>
      </c>
      <c r="N935" s="18" t="str">
        <f t="shared" si="4"/>
        <v>VALID</v>
      </c>
    </row>
    <row r="936" ht="15.75" customHeight="1">
      <c r="A936" s="13" t="str">
        <f>Raw_Data!A936</f>
        <v>EMP0985</v>
      </c>
      <c r="B936" s="13" t="str">
        <f>TRIM(CLEAN(Raw_Data!B936))</f>
        <v>IT</v>
      </c>
      <c r="C936" s="18" t="s">
        <v>30</v>
      </c>
      <c r="D936" s="14" t="str">
        <f>IF(ISBLANK(Raw_Data!D936),AVERAGE(Raw_Data!D$2:D$5002),Raw_Data!D936)</f>
        <v>28512.11</v>
      </c>
      <c r="E936" s="15" t="str">
        <f>IF(ISBLANK(Raw_Data!E936),AVERAGE(Raw_Data!E$2:E$5002),Raw_Data!E936)</f>
        <v>8553.63</v>
      </c>
      <c r="F936" s="15" t="str">
        <f>IF(ISBLANK(Raw_Data!F936),AVERAGE(Raw_Data!F$2:F$5002),Raw_Data!F936)</f>
        <v>1208.20</v>
      </c>
      <c r="G936" s="14" t="str">
        <f>IF(ISBLANK(Raw_Data!G936),AVERAGE(Raw_Data!G$2:G$5002),Raw_Data!G936)</f>
        <v>4673.91</v>
      </c>
      <c r="H936" s="15" t="str">
        <f t="shared" si="1"/>
        <v>38274.00</v>
      </c>
      <c r="I936" s="14" t="str">
        <f t="shared" si="2"/>
        <v>33600.00</v>
      </c>
      <c r="J936" s="16" t="str">
        <f>TEXT(Raw_Data!J936,"MMM-YYY")</f>
        <v>May-2025</v>
      </c>
      <c r="K936" s="13" t="str">
        <f>Raw_Data!K936</f>
        <v>12</v>
      </c>
      <c r="L936" s="17" t="str">
        <f>Raw_Data!L936</f>
        <v>Pune-West</v>
      </c>
      <c r="M936" s="13" t="str">
        <f t="shared" si="3"/>
        <v>OK</v>
      </c>
      <c r="N936" s="18" t="str">
        <f t="shared" si="4"/>
        <v>VALID</v>
      </c>
    </row>
    <row r="937" ht="15.75" customHeight="1">
      <c r="A937" s="13" t="str">
        <f>Raw_Data!A937</f>
        <v>EMP0986</v>
      </c>
      <c r="B937" s="13" t="str">
        <f>TRIM(CLEAN(Raw_Data!B937))</f>
        <v>Operations</v>
      </c>
      <c r="C937" s="18" t="s">
        <v>54</v>
      </c>
      <c r="D937" s="14" t="str">
        <f>IF(ISBLANK(Raw_Data!D937),AVERAGE(Raw_Data!D$2:D$5002),Raw_Data!D937)</f>
        <v>43722.59</v>
      </c>
      <c r="E937" s="15" t="str">
        <f>IF(ISBLANK(Raw_Data!E937),AVERAGE(Raw_Data!E$2:E$5002),Raw_Data!E937)</f>
        <v>13116.78</v>
      </c>
      <c r="F937" s="15" t="str">
        <f>IF(ISBLANK(Raw_Data!F937),AVERAGE(Raw_Data!F$2:F$5002),Raw_Data!F937)</f>
        <v>8677.20</v>
      </c>
      <c r="G937" s="14" t="str">
        <f>IF(ISBLANK(Raw_Data!G937),AVERAGE(Raw_Data!G$2:G$5002),Raw_Data!G937)</f>
        <v>9117.09</v>
      </c>
      <c r="H937" s="15" t="str">
        <f t="shared" si="1"/>
        <v>65517.00</v>
      </c>
      <c r="I937" s="14" t="str">
        <f t="shared" si="2"/>
        <v>56400.00</v>
      </c>
      <c r="J937" s="16" t="str">
        <f>TEXT(Raw_Data!J937,"MMM-YYY")</f>
        <v>Nov-2025</v>
      </c>
      <c r="K937" s="13" t="str">
        <f>Raw_Data!K937</f>
        <v>18</v>
      </c>
      <c r="L937" s="17" t="str">
        <f>Raw_Data!L937</f>
        <v>Hyderabad-South</v>
      </c>
      <c r="M937" s="13" t="str">
        <f t="shared" si="3"/>
        <v>OK</v>
      </c>
      <c r="N937" s="18" t="str">
        <f t="shared" si="4"/>
        <v>VALID</v>
      </c>
    </row>
    <row r="938" ht="15.75" customHeight="1">
      <c r="A938" s="13" t="str">
        <f>Raw_Data!A938</f>
        <v>EMP0987</v>
      </c>
      <c r="B938" s="13" t="str">
        <f>TRIM(CLEAN(Raw_Data!B938))</f>
        <v>HR</v>
      </c>
      <c r="C938" s="18" t="s">
        <v>54</v>
      </c>
      <c r="D938" s="14" t="str">
        <f>IF(ISBLANK(Raw_Data!D938),AVERAGE(Raw_Data!D$2:D$5002),Raw_Data!D938)</f>
        <v>43162.07</v>
      </c>
      <c r="E938" s="15" t="str">
        <f>IF(ISBLANK(Raw_Data!E938),AVERAGE(Raw_Data!E$2:E$5002),Raw_Data!E938)</f>
        <v>12948.62</v>
      </c>
      <c r="F938" s="15" t="str">
        <f>IF(ISBLANK(Raw_Data!F938),AVERAGE(Raw_Data!F$2:F$5002),Raw_Data!F938)</f>
        <v>5727.85</v>
      </c>
      <c r="G938" s="14" t="str">
        <f>IF(ISBLANK(Raw_Data!G938),AVERAGE(Raw_Data!G$2:G$5002),Raw_Data!G938)</f>
        <v>563.03</v>
      </c>
      <c r="H938" s="15" t="str">
        <f t="shared" si="1"/>
        <v>61839.00</v>
      </c>
      <c r="I938" s="14" t="str">
        <f t="shared" si="2"/>
        <v>61276.00</v>
      </c>
      <c r="J938" s="16" t="str">
        <f>TEXT(Raw_Data!J938,"MMM-YYY")</f>
        <v>Mar-2025</v>
      </c>
      <c r="K938" s="13" t="str">
        <f>Raw_Data!K938</f>
        <v>3</v>
      </c>
      <c r="L938" s="17" t="str">
        <f>Raw_Data!L938</f>
        <v>Chandigarh-North</v>
      </c>
      <c r="M938" s="13" t="str">
        <f t="shared" si="3"/>
        <v>OK</v>
      </c>
      <c r="N938" s="18" t="str">
        <f t="shared" si="4"/>
        <v>VALID</v>
      </c>
    </row>
    <row r="939" ht="15.75" customHeight="1">
      <c r="A939" s="13" t="str">
        <f>Raw_Data!A939</f>
        <v>EMP0988</v>
      </c>
      <c r="B939" s="13" t="str">
        <f>TRIM(CLEAN(Raw_Data!B939))</f>
        <v>HR</v>
      </c>
      <c r="C939" s="18" t="s">
        <v>33</v>
      </c>
      <c r="D939" s="14" t="str">
        <f>IF(ISBLANK(Raw_Data!D939),AVERAGE(Raw_Data!D$2:D$5002),Raw_Data!D939)</f>
        <v>27006.96</v>
      </c>
      <c r="E939" s="15" t="str">
        <f>IF(ISBLANK(Raw_Data!E939),AVERAGE(Raw_Data!E$2:E$5002),Raw_Data!E939)</f>
        <v>8102.09</v>
      </c>
      <c r="F939" s="15" t="str">
        <f>IF(ISBLANK(Raw_Data!F939),AVERAGE(Raw_Data!F$2:F$5002),Raw_Data!F939)</f>
        <v>3762.21</v>
      </c>
      <c r="G939" s="14" t="str">
        <f>IF(ISBLANK(Raw_Data!G939),AVERAGE(Raw_Data!G$2:G$5002),Raw_Data!G939)</f>
        <v>2197.95</v>
      </c>
      <c r="H939" s="15" t="str">
        <f t="shared" si="1"/>
        <v>38871.00</v>
      </c>
      <c r="I939" s="14" t="str">
        <f t="shared" si="2"/>
        <v>36673.00</v>
      </c>
      <c r="J939" s="16" t="str">
        <f>TEXT(Raw_Data!J939,"MMM-YYY")</f>
        <v>Aug-2025</v>
      </c>
      <c r="K939" s="13" t="str">
        <f>Raw_Data!K939</f>
        <v>1</v>
      </c>
      <c r="L939" s="17" t="str">
        <f>Raw_Data!L939</f>
        <v>Ahmedabad-West</v>
      </c>
      <c r="M939" s="13" t="str">
        <f t="shared" si="3"/>
        <v>OK</v>
      </c>
      <c r="N939" s="18" t="str">
        <f t="shared" si="4"/>
        <v>VALID</v>
      </c>
    </row>
    <row r="940" ht="15.75" customHeight="1">
      <c r="A940" s="13" t="str">
        <f>Raw_Data!A940</f>
        <v>EMP0989</v>
      </c>
      <c r="B940" s="13" t="str">
        <f>TRIM(CLEAN(Raw_Data!B940))</f>
        <v>Sales</v>
      </c>
      <c r="C940" s="18" t="s">
        <v>14</v>
      </c>
      <c r="D940" s="14" t="str">
        <f>IF(ISBLANK(Raw_Data!D940),AVERAGE(Raw_Data!D$2:D$5002),Raw_Data!D940)</f>
        <v>18479.50</v>
      </c>
      <c r="E940" s="15" t="str">
        <f>IF(ISBLANK(Raw_Data!E940),AVERAGE(Raw_Data!E$2:E$5002),Raw_Data!E940)</f>
        <v>5543.85</v>
      </c>
      <c r="F940" s="15" t="str">
        <f>IF(ISBLANK(Raw_Data!F940),AVERAGE(Raw_Data!F$2:F$5002),Raw_Data!F940)</f>
        <v>2440.67</v>
      </c>
      <c r="G940" s="14" t="str">
        <f>IF(ISBLANK(Raw_Data!G940),AVERAGE(Raw_Data!G$2:G$5002),Raw_Data!G940)</f>
        <v>3675.47</v>
      </c>
      <c r="H940" s="15" t="str">
        <f t="shared" si="1"/>
        <v>26464.00</v>
      </c>
      <c r="I940" s="14" t="str">
        <f t="shared" si="2"/>
        <v>22789.00</v>
      </c>
      <c r="J940" s="16" t="str">
        <f>TEXT(Raw_Data!J940,"MMM-YYY")</f>
        <v>Nov-2025</v>
      </c>
      <c r="K940" s="13" t="str">
        <f>Raw_Data!K940</f>
        <v>18</v>
      </c>
      <c r="L940" s="17" t="str">
        <f>Raw_Data!L940</f>
        <v>Jaipur-North</v>
      </c>
      <c r="M940" s="13" t="str">
        <f t="shared" si="3"/>
        <v>OK</v>
      </c>
      <c r="N940" s="18" t="str">
        <f t="shared" si="4"/>
        <v>VALID</v>
      </c>
    </row>
    <row r="941" ht="15.75" customHeight="1">
      <c r="A941" s="13" t="str">
        <f>Raw_Data!A941</f>
        <v>EMP0990</v>
      </c>
      <c r="B941" s="13" t="str">
        <f>TRIM(CLEAN(Raw_Data!B941))</f>
        <v>IT</v>
      </c>
      <c r="C941" s="18" t="s">
        <v>26</v>
      </c>
      <c r="D941" s="14" t="str">
        <f>IF(ISBLANK(Raw_Data!D941),AVERAGE(Raw_Data!D$2:D$5002),Raw_Data!D941)</f>
        <v>93884.09</v>
      </c>
      <c r="E941" s="15" t="str">
        <f>IF(ISBLANK(Raw_Data!E941),AVERAGE(Raw_Data!E$2:E$5002),Raw_Data!E941)</f>
        <v>28165.23</v>
      </c>
      <c r="F941" s="15" t="str">
        <f>IF(ISBLANK(Raw_Data!F941),AVERAGE(Raw_Data!F$2:F$5002),Raw_Data!F941)</f>
        <v>5492.14</v>
      </c>
      <c r="G941" s="14" t="str">
        <f>IF(ISBLANK(Raw_Data!G941),AVERAGE(Raw_Data!G$2:G$5002),Raw_Data!G941)</f>
        <v>24881.23</v>
      </c>
      <c r="H941" s="15" t="str">
        <f t="shared" si="1"/>
        <v>127541.00</v>
      </c>
      <c r="I941" s="14" t="str">
        <f t="shared" si="2"/>
        <v>102660.00</v>
      </c>
      <c r="J941" s="16" t="str">
        <f>TEXT(Raw_Data!J941,"MMM-YYY")</f>
        <v>Jul-2025</v>
      </c>
      <c r="K941" s="13" t="str">
        <f>Raw_Data!K941</f>
        <v>12</v>
      </c>
      <c r="L941" s="17" t="str">
        <f>Raw_Data!L941</f>
        <v>Mumbai-HO</v>
      </c>
      <c r="M941" s="13" t="str">
        <f t="shared" si="3"/>
        <v>OK</v>
      </c>
      <c r="N941" s="18" t="str">
        <f t="shared" si="4"/>
        <v>VALID</v>
      </c>
    </row>
    <row r="942" ht="15.75" customHeight="1">
      <c r="A942" s="13" t="str">
        <f>Raw_Data!A942</f>
        <v>EMP0991</v>
      </c>
      <c r="B942" s="13" t="str">
        <f>TRIM(CLEAN(Raw_Data!B942))</f>
        <v>Finance</v>
      </c>
      <c r="C942" s="18" t="s">
        <v>54</v>
      </c>
      <c r="D942" s="14" t="str">
        <f>IF(ISBLANK(Raw_Data!D942),AVERAGE(Raw_Data!D$2:D$5002),Raw_Data!D942)</f>
        <v>42119.56</v>
      </c>
      <c r="E942" s="15" t="str">
        <f>IF(ISBLANK(Raw_Data!E942),AVERAGE(Raw_Data!E$2:E$5002),Raw_Data!E942)</f>
        <v>12635.87</v>
      </c>
      <c r="F942" s="15" t="str">
        <f>IF(ISBLANK(Raw_Data!F942),AVERAGE(Raw_Data!F$2:F$5002),Raw_Data!F942)</f>
        <v>5978.36</v>
      </c>
      <c r="G942" s="14" t="str">
        <f>IF(ISBLANK(Raw_Data!G942),AVERAGE(Raw_Data!G$2:G$5002),Raw_Data!G942)</f>
        <v>11421.21</v>
      </c>
      <c r="H942" s="15" t="str">
        <f t="shared" si="1"/>
        <v>60734.00</v>
      </c>
      <c r="I942" s="14" t="str">
        <f t="shared" si="2"/>
        <v>49313.00</v>
      </c>
      <c r="J942" s="16" t="str">
        <f>TEXT(Raw_Data!J942,"MMM-YYY")</f>
        <v>Aug-2025</v>
      </c>
      <c r="K942" s="13" t="str">
        <f>Raw_Data!K942</f>
        <v>25</v>
      </c>
      <c r="L942" s="17" t="str">
        <f>Raw_Data!L942</f>
        <v>Delhi-North</v>
      </c>
      <c r="M942" s="13" t="str">
        <f t="shared" si="3"/>
        <v>OK</v>
      </c>
      <c r="N942" s="18" t="str">
        <f t="shared" si="4"/>
        <v>VALID</v>
      </c>
    </row>
    <row r="943" ht="15.75" customHeight="1">
      <c r="A943" s="13" t="str">
        <f>Raw_Data!A943</f>
        <v>EMP0992</v>
      </c>
      <c r="B943" s="13" t="str">
        <f>TRIM(CLEAN(Raw_Data!B943))</f>
        <v>Customer Support</v>
      </c>
      <c r="C943" s="18" t="s">
        <v>37</v>
      </c>
      <c r="D943" s="14" t="str">
        <f>IF(ISBLANK(Raw_Data!D943),AVERAGE(Raw_Data!D$2:D$5002),Raw_Data!D943)</f>
        <v>54568.09</v>
      </c>
      <c r="E943" s="15" t="str">
        <f>IF(ISBLANK(Raw_Data!E943),AVERAGE(Raw_Data!E$2:E$5002),Raw_Data!E943)</f>
        <v>16370.43</v>
      </c>
      <c r="F943" s="15" t="str">
        <f>IF(ISBLANK(Raw_Data!F943),AVERAGE(Raw_Data!F$2:F$5002),Raw_Data!F943)</f>
        <v>2034.49</v>
      </c>
      <c r="G943" s="14" t="str">
        <f>IF(ISBLANK(Raw_Data!G943),AVERAGE(Raw_Data!G$2:G$5002),Raw_Data!G943)</f>
        <v>8195.87</v>
      </c>
      <c r="H943" s="15" t="str">
        <f t="shared" si="1"/>
        <v>72973.00</v>
      </c>
      <c r="I943" s="14" t="str">
        <f t="shared" si="2"/>
        <v>64777.00</v>
      </c>
      <c r="J943" s="16" t="str">
        <f>TEXT(Raw_Data!J943,"MMM-YYY")</f>
        <v>Aug-2025</v>
      </c>
      <c r="K943" s="13" t="str">
        <f>Raw_Data!K943</f>
        <v>19</v>
      </c>
      <c r="L943" s="17" t="str">
        <f>Raw_Data!L943</f>
        <v>Bangalore-South</v>
      </c>
      <c r="M943" s="13" t="str">
        <f t="shared" si="3"/>
        <v>OK</v>
      </c>
      <c r="N943" s="18" t="str">
        <f t="shared" si="4"/>
        <v>VALID</v>
      </c>
    </row>
    <row r="944" ht="15.75" customHeight="1">
      <c r="A944" s="13" t="str">
        <f>Raw_Data!A944</f>
        <v>EMP0993</v>
      </c>
      <c r="B944" s="13" t="str">
        <f>TRIM(CLEAN(Raw_Data!B944))</f>
        <v>Operations</v>
      </c>
      <c r="C944" s="18" t="s">
        <v>18</v>
      </c>
      <c r="D944" s="14" t="str">
        <f>IF(ISBLANK(Raw_Data!D944),AVERAGE(Raw_Data!D$2:D$5002),Raw_Data!D944)</f>
        <v>65558.70</v>
      </c>
      <c r="E944" s="15" t="str">
        <f>IF(ISBLANK(Raw_Data!E944),AVERAGE(Raw_Data!E$2:E$5002),Raw_Data!E944)</f>
        <v>19667.61</v>
      </c>
      <c r="F944" s="15" t="str">
        <f>IF(ISBLANK(Raw_Data!F944),AVERAGE(Raw_Data!F$2:F$5002),Raw_Data!F944)</f>
        <v>3243.74</v>
      </c>
      <c r="G944" s="14" t="str">
        <f>IF(ISBLANK(Raw_Data!G944),AVERAGE(Raw_Data!G$2:G$5002),Raw_Data!G944)</f>
        <v>10412.33</v>
      </c>
      <c r="H944" s="15" t="str">
        <f t="shared" si="1"/>
        <v>88470.00</v>
      </c>
      <c r="I944" s="14" t="str">
        <f t="shared" si="2"/>
        <v>78058.00</v>
      </c>
      <c r="J944" s="16" t="str">
        <f>TEXT(Raw_Data!J944,"MMM-YYY")</f>
        <v>Jun-2025</v>
      </c>
      <c r="K944" s="13" t="str">
        <f>Raw_Data!K944</f>
        <v>11</v>
      </c>
      <c r="L944" s="17" t="str">
        <f>Raw_Data!L944</f>
        <v>Chennai-South</v>
      </c>
      <c r="M944" s="13" t="str">
        <f t="shared" si="3"/>
        <v>OK</v>
      </c>
      <c r="N944" s="18" t="str">
        <f t="shared" si="4"/>
        <v>VALID</v>
      </c>
    </row>
    <row r="945" ht="15.75" customHeight="1">
      <c r="A945" s="13" t="str">
        <f>Raw_Data!A945</f>
        <v>EMP0994</v>
      </c>
      <c r="B945" s="13" t="str">
        <f>TRIM(CLEAN(Raw_Data!B945))</f>
        <v>Marketing</v>
      </c>
      <c r="C945" s="18" t="s">
        <v>54</v>
      </c>
      <c r="D945" s="14" t="str">
        <f>IF(ISBLANK(Raw_Data!D945),AVERAGE(Raw_Data!D$2:D$5002),Raw_Data!D945)</f>
        <v>45421.47</v>
      </c>
      <c r="E945" s="15" t="str">
        <f>IF(ISBLANK(Raw_Data!E945),AVERAGE(Raw_Data!E$2:E$5002),Raw_Data!E945)</f>
        <v>13626.44</v>
      </c>
      <c r="F945" s="15" t="str">
        <f>IF(ISBLANK(Raw_Data!F945),AVERAGE(Raw_Data!F$2:F$5002),Raw_Data!F945)</f>
        <v>166.90</v>
      </c>
      <c r="G945" s="14" t="str">
        <f>IF(ISBLANK(Raw_Data!G945),AVERAGE(Raw_Data!G$2:G$5002),Raw_Data!G945)</f>
        <v>9324.73</v>
      </c>
      <c r="H945" s="15" t="str">
        <f t="shared" si="1"/>
        <v>59215.00</v>
      </c>
      <c r="I945" s="14" t="str">
        <f t="shared" si="2"/>
        <v>49890.00</v>
      </c>
      <c r="J945" s="16" t="str">
        <f>TEXT(Raw_Data!J945,"MMM-YYY")</f>
        <v>Jun-2025</v>
      </c>
      <c r="K945" s="13" t="str">
        <f>Raw_Data!K945</f>
        <v>11</v>
      </c>
      <c r="L945" s="17" t="str">
        <f>Raw_Data!L945</f>
        <v>Kolkata-East</v>
      </c>
      <c r="M945" s="13" t="str">
        <f t="shared" si="3"/>
        <v>OK</v>
      </c>
      <c r="N945" s="18" t="str">
        <f t="shared" si="4"/>
        <v>VALID</v>
      </c>
    </row>
    <row r="946" ht="15.75" customHeight="1">
      <c r="A946" s="13" t="str">
        <f>Raw_Data!A946</f>
        <v>EMP0995</v>
      </c>
      <c r="B946" s="13" t="str">
        <f>TRIM(CLEAN(Raw_Data!B946))</f>
        <v>Sales</v>
      </c>
      <c r="C946" s="18" t="s">
        <v>33</v>
      </c>
      <c r="D946" s="14" t="str">
        <f>IF(ISBLANK(Raw_Data!D946),AVERAGE(Raw_Data!D$2:D$5002),Raw_Data!D946)</f>
        <v>27362.05</v>
      </c>
      <c r="E946" s="15" t="str">
        <f>IF(ISBLANK(Raw_Data!E946),AVERAGE(Raw_Data!E$2:E$5002),Raw_Data!E946)</f>
        <v>8208.61</v>
      </c>
      <c r="F946" s="15" t="str">
        <f>IF(ISBLANK(Raw_Data!F946),AVERAGE(Raw_Data!F$2:F$5002),Raw_Data!F946)</f>
        <v>5353.35</v>
      </c>
      <c r="G946" s="14" t="str">
        <f>IF(ISBLANK(Raw_Data!G946),AVERAGE(Raw_Data!G$2:G$5002),Raw_Data!G946)</f>
        <v>4114.58</v>
      </c>
      <c r="H946" s="15" t="str">
        <f t="shared" si="1"/>
        <v>40924.00</v>
      </c>
      <c r="I946" s="14" t="str">
        <f t="shared" si="2"/>
        <v>36809.00</v>
      </c>
      <c r="J946" s="16" t="str">
        <f>TEXT(Raw_Data!J946,"MMM-YYY")</f>
        <v>Jan-2025</v>
      </c>
      <c r="K946" s="13" t="str">
        <f>Raw_Data!K946</f>
        <v>13</v>
      </c>
      <c r="L946" s="17" t="str">
        <f>Raw_Data!L946</f>
        <v>Pune-West</v>
      </c>
      <c r="M946" s="13" t="str">
        <f t="shared" si="3"/>
        <v>OK</v>
      </c>
      <c r="N946" s="18" t="str">
        <f t="shared" si="4"/>
        <v>VALID</v>
      </c>
    </row>
    <row r="947" ht="15.75" customHeight="1">
      <c r="A947" s="13" t="str">
        <f>Raw_Data!A947</f>
        <v>EMP0996</v>
      </c>
      <c r="B947" s="13" t="str">
        <f>TRIM(CLEAN(Raw_Data!B947))</f>
        <v>Sales</v>
      </c>
      <c r="C947" s="18" t="s">
        <v>33</v>
      </c>
      <c r="D947" s="14" t="str">
        <f>IF(ISBLANK(Raw_Data!D947),AVERAGE(Raw_Data!D$2:D$5002),Raw_Data!D947)</f>
        <v>33786.77</v>
      </c>
      <c r="E947" s="15" t="str">
        <f>IF(ISBLANK(Raw_Data!E947),AVERAGE(Raw_Data!E$2:E$5002),Raw_Data!E947)</f>
        <v>10136.03</v>
      </c>
      <c r="F947" s="15" t="str">
        <f>IF(ISBLANK(Raw_Data!F947),AVERAGE(Raw_Data!F$2:F$5002),Raw_Data!F947)</f>
        <v>6016.76</v>
      </c>
      <c r="G947" s="14" t="str">
        <f>IF(ISBLANK(Raw_Data!G947),AVERAGE(Raw_Data!G$2:G$5002),Raw_Data!G947)</f>
        <v>8259.43</v>
      </c>
      <c r="H947" s="15" t="str">
        <f t="shared" si="1"/>
        <v>49940.00</v>
      </c>
      <c r="I947" s="14" t="str">
        <f t="shared" si="2"/>
        <v>41681.00</v>
      </c>
      <c r="J947" s="16" t="str">
        <f>TEXT(Raw_Data!J947,"MMM-YYY")</f>
        <v>Jan-2025</v>
      </c>
      <c r="K947" s="13" t="str">
        <f>Raw_Data!K947</f>
        <v>2</v>
      </c>
      <c r="L947" s="17" t="str">
        <f>Raw_Data!L947</f>
        <v>Hyderabad-South</v>
      </c>
      <c r="M947" s="13" t="str">
        <f t="shared" si="3"/>
        <v>OK</v>
      </c>
      <c r="N947" s="18" t="str">
        <f t="shared" si="4"/>
        <v>VALID</v>
      </c>
    </row>
    <row r="948" ht="15.75" customHeight="1">
      <c r="A948" s="13" t="str">
        <f>Raw_Data!A948</f>
        <v>EMP0997</v>
      </c>
      <c r="B948" s="13" t="str">
        <f>TRIM(CLEAN(Raw_Data!B948))</f>
        <v>Operations</v>
      </c>
      <c r="C948" s="18" t="s">
        <v>33</v>
      </c>
      <c r="D948" s="14" t="str">
        <f>IF(ISBLANK(Raw_Data!D948),AVERAGE(Raw_Data!D$2:D$5002),Raw_Data!D948)</f>
        <v>27255.83</v>
      </c>
      <c r="E948" s="15" t="str">
        <f>IF(ISBLANK(Raw_Data!E948),AVERAGE(Raw_Data!E$2:E$5002),Raw_Data!E948)</f>
        <v>8176.75</v>
      </c>
      <c r="F948" s="15" t="str">
        <f>IF(ISBLANK(Raw_Data!F948),AVERAGE(Raw_Data!F$2:F$5002),Raw_Data!F948)</f>
        <v>1863.13</v>
      </c>
      <c r="G948" s="14" t="str">
        <f>IF(ISBLANK(Raw_Data!G948),AVERAGE(Raw_Data!G$2:G$5002),Raw_Data!G948)</f>
        <v>3212.21</v>
      </c>
      <c r="H948" s="15" t="str">
        <f t="shared" si="1"/>
        <v>37296.00</v>
      </c>
      <c r="I948" s="14" t="str">
        <f t="shared" si="2"/>
        <v>34084.00</v>
      </c>
      <c r="J948" s="16" t="str">
        <f>TEXT(Raw_Data!J948,"MMM-YYY")</f>
        <v>Mar-2025</v>
      </c>
      <c r="K948" s="13" t="str">
        <f>Raw_Data!K948</f>
        <v>10</v>
      </c>
      <c r="L948" s="17" t="str">
        <f>Raw_Data!L948</f>
        <v>Chandigarh-North</v>
      </c>
      <c r="M948" s="13" t="str">
        <f t="shared" si="3"/>
        <v>OK</v>
      </c>
      <c r="N948" s="18" t="str">
        <f t="shared" si="4"/>
        <v>VALID</v>
      </c>
    </row>
    <row r="949" ht="15.75" customHeight="1">
      <c r="A949" s="13" t="str">
        <f>Raw_Data!A949</f>
        <v>EMP0998</v>
      </c>
      <c r="B949" s="13" t="str">
        <f>TRIM(CLEAN(Raw_Data!B949))</f>
        <v>HR</v>
      </c>
      <c r="C949" s="18" t="s">
        <v>18</v>
      </c>
      <c r="D949" s="14" t="str">
        <f>IF(ISBLANK(Raw_Data!D949),AVERAGE(Raw_Data!D$2:D$5002),Raw_Data!D949)</f>
        <v>74937.39</v>
      </c>
      <c r="E949" s="15" t="str">
        <f>IF(ISBLANK(Raw_Data!E949),AVERAGE(Raw_Data!E$2:E$5002),Raw_Data!E949)</f>
        <v>22481.22</v>
      </c>
      <c r="F949" s="15" t="str">
        <f>IF(ISBLANK(Raw_Data!F949),AVERAGE(Raw_Data!F$2:F$5002),Raw_Data!F949)</f>
        <v>14397.06</v>
      </c>
      <c r="G949" s="14" t="str">
        <f>IF(ISBLANK(Raw_Data!G949),AVERAGE(Raw_Data!G$2:G$5002),Raw_Data!G949)</f>
        <v>13768.59</v>
      </c>
      <c r="H949" s="15" t="str">
        <f t="shared" si="1"/>
        <v>111816.00</v>
      </c>
      <c r="I949" s="14" t="str">
        <f t="shared" si="2"/>
        <v>98047.00</v>
      </c>
      <c r="J949" s="16" t="str">
        <f>TEXT(Raw_Data!J949,"MMM-YYY")</f>
        <v>Nov-2025</v>
      </c>
      <c r="K949" s="13" t="str">
        <f>Raw_Data!K949</f>
        <v>18</v>
      </c>
      <c r="L949" s="17" t="str">
        <f>Raw_Data!L949</f>
        <v>Ahmedabad-West</v>
      </c>
      <c r="M949" s="13" t="str">
        <f t="shared" si="3"/>
        <v>OK</v>
      </c>
      <c r="N949" s="18" t="str">
        <f t="shared" si="4"/>
        <v>VALID</v>
      </c>
    </row>
    <row r="950" ht="15.75" customHeight="1">
      <c r="A950" s="13" t="str">
        <f>Raw_Data!A950</f>
        <v>EMP0999</v>
      </c>
      <c r="B950" s="13" t="str">
        <f>TRIM(CLEAN(Raw_Data!B950))</f>
        <v>Sales</v>
      </c>
      <c r="C950" s="18" t="s">
        <v>30</v>
      </c>
      <c r="D950" s="14" t="str">
        <f>IF(ISBLANK(Raw_Data!D950),AVERAGE(Raw_Data!D$2:D$5002),Raw_Data!D950)</f>
        <v>25672.53</v>
      </c>
      <c r="E950" s="15" t="str">
        <f>IF(ISBLANK(Raw_Data!E950),AVERAGE(Raw_Data!E$2:E$5002),Raw_Data!E950)</f>
        <v>7701.76</v>
      </c>
      <c r="F950" s="15" t="str">
        <f>IF(ISBLANK(Raw_Data!F950),AVERAGE(Raw_Data!F$2:F$5002),Raw_Data!F950)</f>
        <v>2941.55</v>
      </c>
      <c r="G950" s="14" t="str">
        <f>IF(ISBLANK(Raw_Data!G950),AVERAGE(Raw_Data!G$2:G$5002),Raw_Data!G950)</f>
        <v>3284.53</v>
      </c>
      <c r="H950" s="15" t="str">
        <f t="shared" si="1"/>
        <v>36316.00</v>
      </c>
      <c r="I950" s="14" t="str">
        <f t="shared" si="2"/>
        <v>33031.00</v>
      </c>
      <c r="J950" s="16" t="str">
        <f>TEXT(Raw_Data!J950,"MMM-YYY")</f>
        <v>May-2025</v>
      </c>
      <c r="K950" s="13" t="str">
        <f>Raw_Data!K950</f>
        <v>16</v>
      </c>
      <c r="L950" s="17" t="str">
        <f>Raw_Data!L950</f>
        <v>Jaipur-North</v>
      </c>
      <c r="M950" s="13" t="str">
        <f t="shared" si="3"/>
        <v>OK</v>
      </c>
      <c r="N950" s="18" t="str">
        <f t="shared" si="4"/>
        <v>VALID</v>
      </c>
    </row>
    <row r="951" ht="15.75" customHeight="1">
      <c r="A951" s="13" t="str">
        <f>Raw_Data!A951</f>
        <v>EMP1000</v>
      </c>
      <c r="B951" s="13" t="str">
        <f>TRIM(CLEAN(Raw_Data!B951))</f>
        <v>Operations</v>
      </c>
      <c r="C951" s="18" t="s">
        <v>33</v>
      </c>
      <c r="D951" s="14" t="str">
        <f>IF(ISBLANK(Raw_Data!D951),AVERAGE(Raw_Data!D$2:D$5002),Raw_Data!D951)</f>
        <v>29491.69</v>
      </c>
      <c r="E951" s="15" t="str">
        <f>IF(ISBLANK(Raw_Data!E951),AVERAGE(Raw_Data!E$2:E$5002),Raw_Data!E951)</f>
        <v>8847.51</v>
      </c>
      <c r="F951" s="15" t="str">
        <f>IF(ISBLANK(Raw_Data!F951),AVERAGE(Raw_Data!F$2:F$5002),Raw_Data!F951)</f>
        <v>777.24</v>
      </c>
      <c r="G951" s="14" t="str">
        <f>IF(ISBLANK(Raw_Data!G951),AVERAGE(Raw_Data!G$2:G$5002),Raw_Data!G951)</f>
        <v>5772.76</v>
      </c>
      <c r="H951" s="15" t="str">
        <f t="shared" si="1"/>
        <v>39116.00</v>
      </c>
      <c r="I951" s="14" t="str">
        <f t="shared" si="2"/>
        <v>33343.00</v>
      </c>
      <c r="J951" s="16" t="str">
        <f>TEXT(Raw_Data!J951,"MMM-YYY")</f>
        <v>Oct-2025</v>
      </c>
      <c r="K951" s="13" t="str">
        <f>Raw_Data!K951</f>
        <v>20</v>
      </c>
      <c r="L951" s="17" t="str">
        <f>Raw_Data!L951</f>
        <v>Mumbai-HO</v>
      </c>
      <c r="M951" s="13" t="str">
        <f t="shared" si="3"/>
        <v>OK</v>
      </c>
      <c r="N951" s="18" t="str">
        <f t="shared" si="4"/>
        <v>VALID</v>
      </c>
    </row>
    <row r="952" ht="15.75" customHeight="1">
      <c r="A952" s="13" t="str">
        <f>Raw_Data!A952</f>
        <v>EMP1001</v>
      </c>
      <c r="B952" s="13" t="str">
        <f>TRIM(CLEAN(Raw_Data!B952))</f>
        <v>HR</v>
      </c>
      <c r="C952" s="18" t="s">
        <v>26</v>
      </c>
      <c r="D952" s="14" t="str">
        <f>IF(ISBLANK(Raw_Data!D952),AVERAGE(Raw_Data!D$2:D$5002),Raw_Data!D952)</f>
        <v>54326.71</v>
      </c>
      <c r="E952" s="15" t="str">
        <f>IF(ISBLANK(Raw_Data!E952),AVERAGE(Raw_Data!E$2:E$5002),Raw_Data!E952)</f>
        <v>24591.85</v>
      </c>
      <c r="F952" s="15" t="str">
        <f>IF(ISBLANK(Raw_Data!F952),AVERAGE(Raw_Data!F$2:F$5002),Raw_Data!F952)</f>
        <v>14405.36</v>
      </c>
      <c r="G952" s="14" t="str">
        <f>IF(ISBLANK(Raw_Data!G952),AVERAGE(Raw_Data!G$2:G$5002),Raw_Data!G952)</f>
        <v>16530.50</v>
      </c>
      <c r="H952" s="15" t="str">
        <f t="shared" si="1"/>
        <v>93324.00</v>
      </c>
      <c r="I952" s="14" t="str">
        <f t="shared" si="2"/>
        <v>76794.00</v>
      </c>
      <c r="J952" s="16" t="str">
        <f>TEXT(Raw_Data!J952,"MMM-YYY")</f>
        <v>May-2025</v>
      </c>
      <c r="K952" s="13" t="str">
        <f>Raw_Data!K952</f>
        <v>17</v>
      </c>
      <c r="L952" s="17" t="str">
        <f>Raw_Data!L952</f>
        <v>Delhi-North</v>
      </c>
      <c r="M952" s="13" t="str">
        <f t="shared" si="3"/>
        <v>OK</v>
      </c>
      <c r="N952" s="18" t="str">
        <f t="shared" si="4"/>
        <v>VALID</v>
      </c>
    </row>
    <row r="953" ht="15.75" customHeight="1">
      <c r="A953" s="13" t="str">
        <f>Raw_Data!A953</f>
        <v>EMP1002</v>
      </c>
      <c r="B953" s="13" t="str">
        <f>TRIM(CLEAN(Raw_Data!B953))</f>
        <v>Finance</v>
      </c>
      <c r="C953" s="18" t="s">
        <v>37</v>
      </c>
      <c r="D953" s="14" t="str">
        <f>IF(ISBLANK(Raw_Data!D953),AVERAGE(Raw_Data!D$2:D$5002),Raw_Data!D953)</f>
        <v>114825.00</v>
      </c>
      <c r="E953" s="15" t="str">
        <f>IF(ISBLANK(Raw_Data!E953),AVERAGE(Raw_Data!E$2:E$5002),Raw_Data!E953)</f>
        <v>32995.56</v>
      </c>
      <c r="F953" s="15" t="str">
        <f>IF(ISBLANK(Raw_Data!F953),AVERAGE(Raw_Data!F$2:F$5002),Raw_Data!F953)</f>
        <v>13745.66</v>
      </c>
      <c r="G953" s="14" t="str">
        <f>IF(ISBLANK(Raw_Data!G953),AVERAGE(Raw_Data!G$2:G$5002),Raw_Data!G953)</f>
        <v>2460.80</v>
      </c>
      <c r="H953" s="15" t="str">
        <f t="shared" si="1"/>
        <v>161566.00</v>
      </c>
      <c r="I953" s="14" t="str">
        <f t="shared" si="2"/>
        <v>159105.00</v>
      </c>
      <c r="J953" s="16" t="str">
        <f>TEXT(Raw_Data!J953,"MMM-YYY")</f>
        <v>Feb-2025</v>
      </c>
      <c r="K953" s="13" t="str">
        <f>Raw_Data!K953</f>
        <v>3</v>
      </c>
      <c r="L953" s="17" t="str">
        <f>Raw_Data!L953</f>
        <v>Bangalore-South</v>
      </c>
      <c r="M953" s="13" t="str">
        <f t="shared" si="3"/>
        <v>OK</v>
      </c>
      <c r="N953" s="18" t="str">
        <f t="shared" si="4"/>
        <v>VALID</v>
      </c>
    </row>
    <row r="954" ht="15.75" customHeight="1">
      <c r="A954" s="13" t="str">
        <f>Raw_Data!A954</f>
        <v>EMP1003</v>
      </c>
      <c r="B954" s="13" t="str">
        <f>TRIM(CLEAN(Raw_Data!B954))</f>
        <v>Sales</v>
      </c>
      <c r="C954" s="18" t="s">
        <v>26</v>
      </c>
      <c r="D954" s="14" t="str">
        <f>IF(ISBLANK(Raw_Data!D954),AVERAGE(Raw_Data!D$2:D$5002),Raw_Data!D954)</f>
        <v>91859.36</v>
      </c>
      <c r="E954" s="15" t="str">
        <f>IF(ISBLANK(Raw_Data!E954),AVERAGE(Raw_Data!E$2:E$5002),Raw_Data!E954)</f>
        <v>31365.79</v>
      </c>
      <c r="F954" s="15" t="str">
        <f>IF(ISBLANK(Raw_Data!F954),AVERAGE(Raw_Data!F$2:F$5002),Raw_Data!F954)</f>
        <v>1915.08</v>
      </c>
      <c r="G954" s="14" t="str">
        <f>IF(ISBLANK(Raw_Data!G954),AVERAGE(Raw_Data!G$2:G$5002),Raw_Data!G954)</f>
        <v>6437.08</v>
      </c>
      <c r="H954" s="15" t="str">
        <f t="shared" si="1"/>
        <v>125140.00</v>
      </c>
      <c r="I954" s="14" t="str">
        <f t="shared" si="2"/>
        <v>118703.00</v>
      </c>
      <c r="J954" s="16" t="str">
        <f>TEXT(Raw_Data!J954,"MMM-YYY")</f>
        <v>Dec-2025</v>
      </c>
      <c r="K954" s="13" t="str">
        <f>Raw_Data!K954</f>
        <v>23</v>
      </c>
      <c r="L954" s="17" t="str">
        <f>Raw_Data!L954</f>
        <v>Chennai-South</v>
      </c>
      <c r="M954" s="13" t="str">
        <f t="shared" si="3"/>
        <v>OK</v>
      </c>
      <c r="N954" s="18" t="str">
        <f t="shared" si="4"/>
        <v>VALID</v>
      </c>
    </row>
    <row r="955" ht="15.75" customHeight="1">
      <c r="A955" s="13" t="str">
        <f>Raw_Data!A955</f>
        <v>EMP1004</v>
      </c>
      <c r="B955" s="13" t="str">
        <f>TRIM(CLEAN(Raw_Data!B955))</f>
        <v>Customer Support</v>
      </c>
      <c r="C955" s="18" t="s">
        <v>54</v>
      </c>
      <c r="D955" s="14" t="str">
        <f>IF(ISBLANK(Raw_Data!D955),AVERAGE(Raw_Data!D$2:D$5002),Raw_Data!D955)</f>
        <v>77859.14</v>
      </c>
      <c r="E955" s="15" t="str">
        <f>IF(ISBLANK(Raw_Data!E955),AVERAGE(Raw_Data!E$2:E$5002),Raw_Data!E955)</f>
        <v>9540.40</v>
      </c>
      <c r="F955" s="15" t="str">
        <f>IF(ISBLANK(Raw_Data!F955),AVERAGE(Raw_Data!F$2:F$5002),Raw_Data!F955)</f>
        <v>18451.45</v>
      </c>
      <c r="G955" s="14" t="str">
        <f>IF(ISBLANK(Raw_Data!G955),AVERAGE(Raw_Data!G$2:G$5002),Raw_Data!G955)</f>
        <v>19455.14</v>
      </c>
      <c r="H955" s="15" t="str">
        <f t="shared" si="1"/>
        <v>105851.00</v>
      </c>
      <c r="I955" s="14" t="str">
        <f t="shared" si="2"/>
        <v>86396.00</v>
      </c>
      <c r="J955" s="16" t="str">
        <f>TEXT(Raw_Data!J955,"MMM-YYY")</f>
        <v>Apr-2025</v>
      </c>
      <c r="K955" s="13" t="str">
        <f>Raw_Data!K955</f>
        <v>4</v>
      </c>
      <c r="L955" s="17" t="str">
        <f>Raw_Data!L955</f>
        <v>Kolkata-East</v>
      </c>
      <c r="M955" s="13" t="str">
        <f t="shared" si="3"/>
        <v>OK</v>
      </c>
      <c r="N955" s="18" t="str">
        <f t="shared" si="4"/>
        <v>VALID</v>
      </c>
    </row>
    <row r="956" ht="15.75" customHeight="1">
      <c r="A956" s="13" t="str">
        <f>Raw_Data!A956</f>
        <v>EMP1005</v>
      </c>
      <c r="B956" s="13" t="str">
        <f>TRIM(CLEAN(Raw_Data!B956))</f>
        <v>Finance</v>
      </c>
      <c r="C956" s="18" t="s">
        <v>37</v>
      </c>
      <c r="D956" s="14" t="str">
        <f>IF(ISBLANK(Raw_Data!D956),AVERAGE(Raw_Data!D$2:D$5002),Raw_Data!D956)</f>
        <v>31381.96</v>
      </c>
      <c r="E956" s="15" t="str">
        <f>IF(ISBLANK(Raw_Data!E956),AVERAGE(Raw_Data!E$2:E$5002),Raw_Data!E956)</f>
        <v>9372.98</v>
      </c>
      <c r="F956" s="15" t="str">
        <f>IF(ISBLANK(Raw_Data!F956),AVERAGE(Raw_Data!F$2:F$5002),Raw_Data!F956)</f>
        <v>11369.44</v>
      </c>
      <c r="G956" s="14" t="str">
        <f>IF(ISBLANK(Raw_Data!G956),AVERAGE(Raw_Data!G$2:G$5002),Raw_Data!G956)</f>
        <v>13452.80</v>
      </c>
      <c r="H956" s="15" t="str">
        <f t="shared" si="1"/>
        <v>52124.00</v>
      </c>
      <c r="I956" s="14" t="str">
        <f t="shared" si="2"/>
        <v>38671.00</v>
      </c>
      <c r="J956" s="16" t="str">
        <f>TEXT(Raw_Data!J956,"MMM-YYY")</f>
        <v>Dec-2025</v>
      </c>
      <c r="K956" s="13" t="str">
        <f>Raw_Data!K956</f>
        <v>2</v>
      </c>
      <c r="L956" s="17" t="str">
        <f>Raw_Data!L956</f>
        <v>Pune-West</v>
      </c>
      <c r="M956" s="13" t="str">
        <f t="shared" si="3"/>
        <v>OK</v>
      </c>
      <c r="N956" s="18" t="str">
        <f t="shared" si="4"/>
        <v>VALID</v>
      </c>
    </row>
    <row r="957" ht="15.75" customHeight="1">
      <c r="A957" s="13" t="str">
        <f>Raw_Data!A957</f>
        <v>EMP1007</v>
      </c>
      <c r="B957" s="13" t="str">
        <f>TRIM(CLEAN(Raw_Data!B957))</f>
        <v>Marketing</v>
      </c>
      <c r="C957" s="18" t="s">
        <v>54</v>
      </c>
      <c r="D957" s="14" t="str">
        <f>IF(ISBLANK(Raw_Data!D957),AVERAGE(Raw_Data!D$2:D$5002),Raw_Data!D957)</f>
        <v>21098.78</v>
      </c>
      <c r="E957" s="15" t="str">
        <f>IF(ISBLANK(Raw_Data!E957),AVERAGE(Raw_Data!E$2:E$5002),Raw_Data!E957)</f>
        <v>16998.69</v>
      </c>
      <c r="F957" s="15" t="str">
        <f>IF(ISBLANK(Raw_Data!F957),AVERAGE(Raw_Data!F$2:F$5002),Raw_Data!F957)</f>
        <v>15130.77</v>
      </c>
      <c r="G957" s="14" t="str">
        <f>IF(ISBLANK(Raw_Data!G957),AVERAGE(Raw_Data!G$2:G$5002),Raw_Data!G957)</f>
        <v>11004.41</v>
      </c>
      <c r="H957" s="15" t="str">
        <f t="shared" si="1"/>
        <v>53228.00</v>
      </c>
      <c r="I957" s="14" t="str">
        <f t="shared" si="2"/>
        <v>42224.00</v>
      </c>
      <c r="J957" s="16" t="str">
        <f>TEXT(Raw_Data!J957,"MMM-YYY")</f>
        <v>Mar-2025</v>
      </c>
      <c r="K957" s="13" t="str">
        <f>Raw_Data!K957</f>
        <v>5</v>
      </c>
      <c r="L957" s="17" t="str">
        <f>Raw_Data!L957</f>
        <v>Chandigarh-North</v>
      </c>
      <c r="M957" s="13" t="str">
        <f t="shared" si="3"/>
        <v>OK</v>
      </c>
      <c r="N957" s="18" t="str">
        <f t="shared" si="4"/>
        <v>VALID</v>
      </c>
    </row>
    <row r="958" ht="15.75" customHeight="1">
      <c r="A958" s="13" t="str">
        <f>Raw_Data!A958</f>
        <v>EMP1008</v>
      </c>
      <c r="B958" s="13" t="str">
        <f>TRIM(CLEAN(Raw_Data!B958))</f>
        <v>Finance</v>
      </c>
      <c r="C958" s="18" t="s">
        <v>30</v>
      </c>
      <c r="D958" s="14" t="str">
        <f>IF(ISBLANK(Raw_Data!D958),AVERAGE(Raw_Data!D$2:D$5002),Raw_Data!D958)</f>
        <v>105948.50</v>
      </c>
      <c r="E958" s="15" t="str">
        <f>IF(ISBLANK(Raw_Data!E958),AVERAGE(Raw_Data!E$2:E$5002),Raw_Data!E958)</f>
        <v>18704.40</v>
      </c>
      <c r="F958" s="15" t="str">
        <f>IF(ISBLANK(Raw_Data!F958),AVERAGE(Raw_Data!F$2:F$5002),Raw_Data!F958)</f>
        <v>5147.31</v>
      </c>
      <c r="G958" s="14" t="str">
        <f>IF(ISBLANK(Raw_Data!G958),AVERAGE(Raw_Data!G$2:G$5002),Raw_Data!G958)</f>
        <v>21810.40</v>
      </c>
      <c r="H958" s="15" t="str">
        <f t="shared" si="1"/>
        <v>129800.00</v>
      </c>
      <c r="I958" s="14" t="str">
        <f t="shared" si="2"/>
        <v>107990.00</v>
      </c>
      <c r="J958" s="16" t="str">
        <f>TEXT(Raw_Data!J958,"MMM-YYY")</f>
        <v>Sep-2025</v>
      </c>
      <c r="K958" s="13" t="str">
        <f>Raw_Data!K958</f>
        <v>21</v>
      </c>
      <c r="L958" s="17" t="str">
        <f>Raw_Data!L958</f>
        <v>Ahmedabad-West</v>
      </c>
      <c r="M958" s="13" t="str">
        <f t="shared" si="3"/>
        <v>OK</v>
      </c>
      <c r="N958" s="18" t="str">
        <f t="shared" si="4"/>
        <v>VALID</v>
      </c>
    </row>
    <row r="959" ht="15.75" customHeight="1">
      <c r="A959" s="13" t="str">
        <f>Raw_Data!A959</f>
        <v>EMP1009</v>
      </c>
      <c r="B959" s="13" t="str">
        <f>TRIM(CLEAN(Raw_Data!B959))</f>
        <v>Finance</v>
      </c>
      <c r="C959" s="18" t="s">
        <v>18</v>
      </c>
      <c r="D959" s="14" t="str">
        <f>IF(ISBLANK(Raw_Data!D959),AVERAGE(Raw_Data!D$2:D$5002),Raw_Data!D959)</f>
        <v>78117.08</v>
      </c>
      <c r="E959" s="15" t="str">
        <f>IF(ISBLANK(Raw_Data!E959),AVERAGE(Raw_Data!E$2:E$5002),Raw_Data!E959)</f>
        <v>28469.10</v>
      </c>
      <c r="F959" s="15" t="str">
        <f>IF(ISBLANK(Raw_Data!F959),AVERAGE(Raw_Data!F$2:F$5002),Raw_Data!F959)</f>
        <v>13870.20</v>
      </c>
      <c r="G959" s="14" t="str">
        <f>IF(ISBLANK(Raw_Data!G959),AVERAGE(Raw_Data!G$2:G$5002),Raw_Data!G959)</f>
        <v>11499.41</v>
      </c>
      <c r="H959" s="15" t="str">
        <f t="shared" si="1"/>
        <v>120456.00</v>
      </c>
      <c r="I959" s="14" t="str">
        <f t="shared" si="2"/>
        <v>108957.00</v>
      </c>
      <c r="J959" s="16" t="str">
        <f>TEXT(Raw_Data!J959,"MMM-YYY")</f>
        <v>May-2025</v>
      </c>
      <c r="K959" s="13" t="str">
        <f>Raw_Data!K959</f>
        <v>2</v>
      </c>
      <c r="L959" s="17" t="str">
        <f>Raw_Data!L959</f>
        <v>Jaipur-North</v>
      </c>
      <c r="M959" s="13" t="str">
        <f t="shared" si="3"/>
        <v>OK</v>
      </c>
      <c r="N959" s="18" t="str">
        <f t="shared" si="4"/>
        <v>VALID</v>
      </c>
    </row>
    <row r="960" ht="15.75" customHeight="1">
      <c r="A960" s="13" t="str">
        <f>Raw_Data!A960</f>
        <v>EMP1010</v>
      </c>
      <c r="B960" s="13" t="str">
        <f>TRIM(CLEAN(Raw_Data!B960))</f>
        <v>Marketing</v>
      </c>
      <c r="C960" s="18" t="s">
        <v>33</v>
      </c>
      <c r="D960" s="14" t="str">
        <f>IF(ISBLANK(Raw_Data!D960),AVERAGE(Raw_Data!D$2:D$5002),Raw_Data!D960)</f>
        <v>89347.62</v>
      </c>
      <c r="E960" s="15" t="str">
        <f>IF(ISBLANK(Raw_Data!E960),AVERAGE(Raw_Data!E$2:E$5002),Raw_Data!E960)</f>
        <v>6040.50</v>
      </c>
      <c r="F960" s="15" t="str">
        <f>IF(ISBLANK(Raw_Data!F960),AVERAGE(Raw_Data!F$2:F$5002),Raw_Data!F960)</f>
        <v>794.22</v>
      </c>
      <c r="G960" s="14" t="str">
        <f>IF(ISBLANK(Raw_Data!G960),AVERAGE(Raw_Data!G$2:G$5002),Raw_Data!G960)</f>
        <v>24491.58</v>
      </c>
      <c r="H960" s="15" t="str">
        <f t="shared" si="1"/>
        <v>96182.00</v>
      </c>
      <c r="I960" s="14" t="str">
        <f t="shared" si="2"/>
        <v>71690.00</v>
      </c>
      <c r="J960" s="16" t="str">
        <f>TEXT(Raw_Data!J960,"MMM-YYY")</f>
        <v>Jan-2025</v>
      </c>
      <c r="K960" s="13" t="str">
        <f>Raw_Data!K960</f>
        <v>15</v>
      </c>
      <c r="L960" s="17" t="str">
        <f>Raw_Data!L960</f>
        <v>Mumbai-HO</v>
      </c>
      <c r="M960" s="13" t="str">
        <f t="shared" si="3"/>
        <v>OK</v>
      </c>
      <c r="N960" s="18" t="str">
        <f t="shared" si="4"/>
        <v>VALID</v>
      </c>
    </row>
    <row r="961" ht="15.75" customHeight="1">
      <c r="A961" s="13" t="str">
        <f>Raw_Data!A961</f>
        <v>EMP1011</v>
      </c>
      <c r="B961" s="13" t="str">
        <f>TRIM(CLEAN(Raw_Data!B961))</f>
        <v>Sales</v>
      </c>
      <c r="C961" s="18" t="s">
        <v>14</v>
      </c>
      <c r="D961" s="14" t="str">
        <f>IF(ISBLANK(Raw_Data!D961),AVERAGE(Raw_Data!D$2:D$5002),Raw_Data!D961)</f>
        <v>17161.37</v>
      </c>
      <c r="E961" s="15" t="str">
        <f>IF(ISBLANK(Raw_Data!E961),AVERAGE(Raw_Data!E$2:E$5002),Raw_Data!E961)</f>
        <v>5248.22</v>
      </c>
      <c r="F961" s="15" t="str">
        <f>IF(ISBLANK(Raw_Data!F961),AVERAGE(Raw_Data!F$2:F$5002),Raw_Data!F961)</f>
        <v>16788.16</v>
      </c>
      <c r="G961" s="14" t="str">
        <f>IF(ISBLANK(Raw_Data!G961),AVERAGE(Raw_Data!G$2:G$5002),Raw_Data!G961)</f>
        <v>24015.94</v>
      </c>
      <c r="H961" s="15" t="str">
        <f t="shared" si="1"/>
        <v>39198.00</v>
      </c>
      <c r="I961" s="14" t="str">
        <f t="shared" si="2"/>
        <v>15182.00</v>
      </c>
      <c r="J961" s="16" t="str">
        <f>TEXT(Raw_Data!J961,"MMM-YYY")</f>
        <v>Apr-2025</v>
      </c>
      <c r="K961" s="13" t="str">
        <f>Raw_Data!K961</f>
        <v>11</v>
      </c>
      <c r="L961" s="17" t="str">
        <f>Raw_Data!L961</f>
        <v>Delhi-North</v>
      </c>
      <c r="M961" s="13" t="str">
        <f t="shared" si="3"/>
        <v>OK</v>
      </c>
      <c r="N961" s="18" t="str">
        <f t="shared" si="4"/>
        <v>VALID</v>
      </c>
    </row>
    <row r="962" ht="15.75" customHeight="1">
      <c r="A962" s="13" t="str">
        <f>Raw_Data!A962</f>
        <v>EMP1012</v>
      </c>
      <c r="B962" s="13" t="str">
        <f>TRIM(CLEAN(Raw_Data!B962))</f>
        <v>IT</v>
      </c>
      <c r="C962" s="18" t="s">
        <v>26</v>
      </c>
      <c r="D962" s="14" t="str">
        <f>IF(ISBLANK(Raw_Data!D962),AVERAGE(Raw_Data!D$2:D$5002),Raw_Data!D962)</f>
        <v>116840.53</v>
      </c>
      <c r="E962" s="15" t="str">
        <f>IF(ISBLANK(Raw_Data!E962),AVERAGE(Raw_Data!E$2:E$5002),Raw_Data!E962)</f>
        <v>18108.78</v>
      </c>
      <c r="F962" s="15" t="str">
        <f>IF(ISBLANK(Raw_Data!F962),AVERAGE(Raw_Data!F$2:F$5002),Raw_Data!F962)</f>
        <v>8963.42</v>
      </c>
      <c r="G962" s="14" t="str">
        <f>IF(ISBLANK(Raw_Data!G962),AVERAGE(Raw_Data!G$2:G$5002),Raw_Data!G962)</f>
        <v>8563.85</v>
      </c>
      <c r="H962" s="15" t="str">
        <f t="shared" si="1"/>
        <v>143913.00</v>
      </c>
      <c r="I962" s="14" t="str">
        <f t="shared" si="2"/>
        <v>135349.00</v>
      </c>
      <c r="J962" s="16" t="str">
        <f>TEXT(Raw_Data!J962,"MMM-YYY")</f>
        <v>Apr-2025</v>
      </c>
      <c r="K962" s="13" t="str">
        <f>Raw_Data!K962</f>
        <v>22</v>
      </c>
      <c r="L962" s="17" t="str">
        <f>Raw_Data!L962</f>
        <v>Bangalore-South</v>
      </c>
      <c r="M962" s="13" t="str">
        <f t="shared" si="3"/>
        <v>OK</v>
      </c>
      <c r="N962" s="18" t="str">
        <f t="shared" si="4"/>
        <v>VALID</v>
      </c>
    </row>
    <row r="963" ht="15.75" customHeight="1">
      <c r="A963" s="13" t="str">
        <f>Raw_Data!A963</f>
        <v>EMP1013</v>
      </c>
      <c r="B963" s="13" t="str">
        <f>TRIM(CLEAN(Raw_Data!B963))</f>
        <v>HR</v>
      </c>
      <c r="C963" s="18" t="s">
        <v>14</v>
      </c>
      <c r="D963" s="14" t="str">
        <f>IF(ISBLANK(Raw_Data!D963),AVERAGE(Raw_Data!D$2:D$5002),Raw_Data!D963)</f>
        <v>102406.48</v>
      </c>
      <c r="E963" s="15" t="str">
        <f>IF(ISBLANK(Raw_Data!E963),AVERAGE(Raw_Data!E$2:E$5002),Raw_Data!E963)</f>
        <v>29097.89</v>
      </c>
      <c r="F963" s="15" t="str">
        <f>IF(ISBLANK(Raw_Data!F963),AVERAGE(Raw_Data!F$2:F$5002),Raw_Data!F963)</f>
        <v>12733.86</v>
      </c>
      <c r="G963" s="14" t="str">
        <f>IF(ISBLANK(Raw_Data!G963),AVERAGE(Raw_Data!G$2:G$5002),Raw_Data!G963)</f>
        <v>22205.13</v>
      </c>
      <c r="H963" s="15" t="str">
        <f t="shared" si="1"/>
        <v>144238.00</v>
      </c>
      <c r="I963" s="14" t="str">
        <f t="shared" si="2"/>
        <v>122033.00</v>
      </c>
      <c r="J963" s="16" t="str">
        <f>TEXT(Raw_Data!J963,"MMM-YYY")</f>
        <v>Apr-2025</v>
      </c>
      <c r="K963" s="13" t="str">
        <f>Raw_Data!K963</f>
        <v>10</v>
      </c>
      <c r="L963" s="17" t="str">
        <f>Raw_Data!L963</f>
        <v>Chennai-South</v>
      </c>
      <c r="M963" s="13" t="str">
        <f t="shared" si="3"/>
        <v>OK</v>
      </c>
      <c r="N963" s="18" t="str">
        <f t="shared" si="4"/>
        <v>VALID</v>
      </c>
    </row>
    <row r="964" ht="15.75" customHeight="1">
      <c r="A964" s="13" t="str">
        <f>Raw_Data!A964</f>
        <v>EMP1014</v>
      </c>
      <c r="B964" s="13" t="str">
        <f>TRIM(CLEAN(Raw_Data!B964))</f>
        <v>HR</v>
      </c>
      <c r="C964" s="18" t="s">
        <v>33</v>
      </c>
      <c r="D964" s="14" t="str">
        <f>IF(ISBLANK(Raw_Data!D964),AVERAGE(Raw_Data!D$2:D$5002),Raw_Data!D964)</f>
        <v>37295.61</v>
      </c>
      <c r="E964" s="15" t="str">
        <f>IF(ISBLANK(Raw_Data!E964),AVERAGE(Raw_Data!E$2:E$5002),Raw_Data!E964)</f>
        <v>10963.67</v>
      </c>
      <c r="F964" s="15" t="str">
        <f>IF(ISBLANK(Raw_Data!F964),AVERAGE(Raw_Data!F$2:F$5002),Raw_Data!F964)</f>
        <v>4424.76</v>
      </c>
      <c r="G964" s="14" t="str">
        <f>IF(ISBLANK(Raw_Data!G964),AVERAGE(Raw_Data!G$2:G$5002),Raw_Data!G964)</f>
        <v>21266.48</v>
      </c>
      <c r="H964" s="15" t="str">
        <f t="shared" si="1"/>
        <v>52684.00</v>
      </c>
      <c r="I964" s="14" t="str">
        <f t="shared" si="2"/>
        <v>31418.00</v>
      </c>
      <c r="J964" s="16" t="str">
        <f>TEXT(Raw_Data!J964,"MMM-YYY")</f>
        <v>Oct-2025</v>
      </c>
      <c r="K964" s="13" t="str">
        <f>Raw_Data!K964</f>
        <v>20</v>
      </c>
      <c r="L964" s="17" t="str">
        <f>Raw_Data!L964</f>
        <v>Kolkata-East</v>
      </c>
      <c r="M964" s="13" t="str">
        <f t="shared" si="3"/>
        <v>OK</v>
      </c>
      <c r="N964" s="18" t="str">
        <f t="shared" si="4"/>
        <v>VALID</v>
      </c>
    </row>
    <row r="965" ht="15.75" customHeight="1">
      <c r="A965" s="13" t="str">
        <f>Raw_Data!A965</f>
        <v>EMP1015</v>
      </c>
      <c r="B965" s="13" t="str">
        <f>TRIM(CLEAN(Raw_Data!B965))</f>
        <v>Operations</v>
      </c>
      <c r="C965" s="18" t="s">
        <v>37</v>
      </c>
      <c r="D965" s="14" t="str">
        <f>IF(ISBLANK(Raw_Data!D965),AVERAGE(Raw_Data!D$2:D$5002),Raw_Data!D965)</f>
        <v>34091.62</v>
      </c>
      <c r="E965" s="15" t="str">
        <f>IF(ISBLANK(Raw_Data!E965),AVERAGE(Raw_Data!E$2:E$5002),Raw_Data!E965)</f>
        <v>27094.16</v>
      </c>
      <c r="F965" s="15" t="str">
        <f>IF(ISBLANK(Raw_Data!F965),AVERAGE(Raw_Data!F$2:F$5002),Raw_Data!F965)</f>
        <v>13541.47</v>
      </c>
      <c r="G965" s="14" t="str">
        <f>IF(ISBLANK(Raw_Data!G965),AVERAGE(Raw_Data!G$2:G$5002),Raw_Data!G965)</f>
        <v>5661.67</v>
      </c>
      <c r="H965" s="15" t="str">
        <f t="shared" si="1"/>
        <v>74727.00</v>
      </c>
      <c r="I965" s="14" t="str">
        <f t="shared" si="2"/>
        <v>69065.00</v>
      </c>
      <c r="J965" s="16" t="str">
        <f>TEXT(Raw_Data!J965,"MMM-YYY")</f>
        <v>Oct-2025</v>
      </c>
      <c r="K965" s="13" t="str">
        <f>Raw_Data!K965</f>
        <v>1</v>
      </c>
      <c r="L965" s="17" t="str">
        <f>Raw_Data!L965</f>
        <v>Pune-West</v>
      </c>
      <c r="M965" s="13" t="str">
        <f t="shared" si="3"/>
        <v>OK</v>
      </c>
      <c r="N965" s="18" t="str">
        <f t="shared" si="4"/>
        <v>VALID</v>
      </c>
    </row>
    <row r="966" ht="15.75" customHeight="1">
      <c r="A966" s="13" t="str">
        <f>Raw_Data!A966</f>
        <v>EMP1016</v>
      </c>
      <c r="B966" s="13" t="str">
        <f>TRIM(CLEAN(Raw_Data!B966))</f>
        <v>IT</v>
      </c>
      <c r="C966" s="18" t="s">
        <v>37</v>
      </c>
      <c r="D966" s="14" t="str">
        <f>IF(ISBLANK(Raw_Data!D966),AVERAGE(Raw_Data!D$2:D$5002),Raw_Data!D966)</f>
        <v>34257.47</v>
      </c>
      <c r="E966" s="15" t="str">
        <f>IF(ISBLANK(Raw_Data!E966),AVERAGE(Raw_Data!E$2:E$5002),Raw_Data!E966)</f>
        <v>13353.81</v>
      </c>
      <c r="F966" s="15" t="str">
        <f>IF(ISBLANK(Raw_Data!F966),AVERAGE(Raw_Data!F$2:F$5002),Raw_Data!F966)</f>
        <v>15444.81</v>
      </c>
      <c r="G966" s="14" t="str">
        <f>IF(ISBLANK(Raw_Data!G966),AVERAGE(Raw_Data!G$2:G$5002),Raw_Data!G966)</f>
        <v>15795.11</v>
      </c>
      <c r="H966" s="15" t="str">
        <f t="shared" si="1"/>
        <v>63056.00</v>
      </c>
      <c r="I966" s="14" t="str">
        <f t="shared" si="2"/>
        <v>47261.00</v>
      </c>
      <c r="J966" s="16" t="str">
        <f>TEXT(Raw_Data!J966,"MMM-YYY")</f>
        <v>Aug-2025</v>
      </c>
      <c r="K966" s="13" t="str">
        <f>Raw_Data!K966</f>
        <v>19</v>
      </c>
      <c r="L966" s="17" t="str">
        <f>Raw_Data!L966</f>
        <v>Hyderabad-South</v>
      </c>
      <c r="M966" s="13" t="str">
        <f t="shared" si="3"/>
        <v>OK</v>
      </c>
      <c r="N966" s="18" t="str">
        <f t="shared" si="4"/>
        <v>VALID</v>
      </c>
    </row>
    <row r="967" ht="15.75" customHeight="1">
      <c r="A967" s="13" t="str">
        <f>Raw_Data!A967</f>
        <v>EMP1017</v>
      </c>
      <c r="B967" s="13" t="str">
        <f>TRIM(CLEAN(Raw_Data!B967))</f>
        <v>IT</v>
      </c>
      <c r="C967" s="18" t="s">
        <v>30</v>
      </c>
      <c r="D967" s="14" t="str">
        <f>IF(ISBLANK(Raw_Data!D967),AVERAGE(Raw_Data!D$2:D$5002),Raw_Data!D967)</f>
        <v>46945.44</v>
      </c>
      <c r="E967" s="15" t="str">
        <f>IF(ISBLANK(Raw_Data!E967),AVERAGE(Raw_Data!E$2:E$5002),Raw_Data!E967)</f>
        <v>35899.10</v>
      </c>
      <c r="F967" s="15" t="str">
        <f>IF(ISBLANK(Raw_Data!F967),AVERAGE(Raw_Data!F$2:F$5002),Raw_Data!F967)</f>
        <v>9464.26</v>
      </c>
      <c r="G967" s="14" t="str">
        <f>IF(ISBLANK(Raw_Data!G967),AVERAGE(Raw_Data!G$2:G$5002),Raw_Data!G967)</f>
        <v>2280.72</v>
      </c>
      <c r="H967" s="15" t="str">
        <f t="shared" si="1"/>
        <v>92309.00</v>
      </c>
      <c r="I967" s="14" t="str">
        <f t="shared" si="2"/>
        <v>90028.00</v>
      </c>
      <c r="J967" s="16" t="str">
        <f>TEXT(Raw_Data!J967,"MMM-YYY")</f>
        <v>Aug-2025</v>
      </c>
      <c r="K967" s="13" t="str">
        <f>Raw_Data!K967</f>
        <v>14</v>
      </c>
      <c r="L967" s="17" t="str">
        <f>Raw_Data!L967</f>
        <v>Chandigarh-North</v>
      </c>
      <c r="M967" s="13" t="str">
        <f t="shared" si="3"/>
        <v>OK</v>
      </c>
      <c r="N967" s="18" t="str">
        <f t="shared" si="4"/>
        <v>VALID</v>
      </c>
    </row>
    <row r="968" ht="15.75" customHeight="1">
      <c r="A968" s="13" t="str">
        <f>Raw_Data!A968</f>
        <v>EMP1018</v>
      </c>
      <c r="B968" s="13" t="str">
        <f>TRIM(CLEAN(Raw_Data!B968))</f>
        <v>IT</v>
      </c>
      <c r="C968" s="18" t="s">
        <v>26</v>
      </c>
      <c r="D968" s="14" t="str">
        <f>IF(ISBLANK(Raw_Data!D968),AVERAGE(Raw_Data!D$2:D$5002),Raw_Data!D968)</f>
        <v>70099.43</v>
      </c>
      <c r="E968" s="15" t="str">
        <f>IF(ISBLANK(Raw_Data!E968),AVERAGE(Raw_Data!E$2:E$5002),Raw_Data!E968)</f>
        <v>36244.84</v>
      </c>
      <c r="F968" s="15" t="str">
        <f>IF(ISBLANK(Raw_Data!F968),AVERAGE(Raw_Data!F$2:F$5002),Raw_Data!F968)</f>
        <v>12354.54</v>
      </c>
      <c r="G968" s="14" t="str">
        <f>IF(ISBLANK(Raw_Data!G968),AVERAGE(Raw_Data!G$2:G$5002),Raw_Data!G968)</f>
        <v>20999.41</v>
      </c>
      <c r="H968" s="15" t="str">
        <f t="shared" si="1"/>
        <v>118699.00</v>
      </c>
      <c r="I968" s="14" t="str">
        <f t="shared" si="2"/>
        <v>97700.00</v>
      </c>
      <c r="J968" s="16" t="str">
        <f>TEXT(Raw_Data!J968,"MMM-YYY")</f>
        <v>Feb-2025</v>
      </c>
      <c r="K968" s="13" t="str">
        <f>Raw_Data!K968</f>
        <v>25</v>
      </c>
      <c r="L968" s="17" t="str">
        <f>Raw_Data!L968</f>
        <v>Ahmedabad-West</v>
      </c>
      <c r="M968" s="13" t="str">
        <f t="shared" si="3"/>
        <v>OK</v>
      </c>
      <c r="N968" s="18" t="str">
        <f t="shared" si="4"/>
        <v>VALID</v>
      </c>
    </row>
    <row r="969" ht="15.75" customHeight="1">
      <c r="A969" s="13" t="str">
        <f>Raw_Data!A969</f>
        <v>EMP1019</v>
      </c>
      <c r="B969" s="13" t="str">
        <f>TRIM(CLEAN(Raw_Data!B969))</f>
        <v>IT</v>
      </c>
      <c r="C969" s="18" t="s">
        <v>30</v>
      </c>
      <c r="D969" s="14" t="str">
        <f>IF(ISBLANK(Raw_Data!D969),AVERAGE(Raw_Data!D$2:D$5002),Raw_Data!D969)</f>
        <v>60354.23</v>
      </c>
      <c r="E969" s="15" t="str">
        <f>IF(ISBLANK(Raw_Data!E969),AVERAGE(Raw_Data!E$2:E$5002),Raw_Data!E969)</f>
        <v>14702.34</v>
      </c>
      <c r="F969" s="15" t="str">
        <f>IF(ISBLANK(Raw_Data!F969),AVERAGE(Raw_Data!F$2:F$5002),Raw_Data!F969)</f>
        <v>9126.52</v>
      </c>
      <c r="G969" s="14" t="str">
        <f>IF(ISBLANK(Raw_Data!G969),AVERAGE(Raw_Data!G$2:G$5002),Raw_Data!G969)</f>
        <v>4776.37</v>
      </c>
      <c r="H969" s="15" t="str">
        <f t="shared" si="1"/>
        <v>84183.00</v>
      </c>
      <c r="I969" s="14" t="str">
        <f t="shared" si="2"/>
        <v>79407.00</v>
      </c>
      <c r="J969" s="16" t="str">
        <f>TEXT(Raw_Data!J969,"MMM-YYY")</f>
        <v>Sep-2025</v>
      </c>
      <c r="K969" s="13" t="str">
        <f>Raw_Data!K969</f>
        <v>23</v>
      </c>
      <c r="L969" s="17" t="str">
        <f>Raw_Data!L969</f>
        <v>Jaipur-North</v>
      </c>
      <c r="M969" s="13" t="str">
        <f t="shared" si="3"/>
        <v>OK</v>
      </c>
      <c r="N969" s="18" t="str">
        <f t="shared" si="4"/>
        <v>VALID</v>
      </c>
    </row>
    <row r="970" ht="15.75" customHeight="1">
      <c r="A970" s="13" t="str">
        <f>Raw_Data!A970</f>
        <v>EMP1020</v>
      </c>
      <c r="B970" s="13" t="str">
        <f>TRIM(CLEAN(Raw_Data!B970))</f>
        <v>HR</v>
      </c>
      <c r="C970" s="18" t="s">
        <v>18</v>
      </c>
      <c r="D970" s="14" t="str">
        <f>IF(ISBLANK(Raw_Data!D970),AVERAGE(Raw_Data!D$2:D$5002),Raw_Data!D970)</f>
        <v>45579.06</v>
      </c>
      <c r="E970" s="15" t="str">
        <f>IF(ISBLANK(Raw_Data!E970),AVERAGE(Raw_Data!E$2:E$5002),Raw_Data!E970)</f>
        <v>12279.78</v>
      </c>
      <c r="F970" s="15" t="str">
        <f>IF(ISBLANK(Raw_Data!F970),AVERAGE(Raw_Data!F$2:F$5002),Raw_Data!F970)</f>
        <v>17881.83</v>
      </c>
      <c r="G970" s="14" t="str">
        <f>IF(ISBLANK(Raw_Data!G970),AVERAGE(Raw_Data!G$2:G$5002),Raw_Data!G970)</f>
        <v>2234.96</v>
      </c>
      <c r="H970" s="15" t="str">
        <f t="shared" si="1"/>
        <v>75741.00</v>
      </c>
      <c r="I970" s="14" t="str">
        <f t="shared" si="2"/>
        <v>73506.00</v>
      </c>
      <c r="J970" s="16" t="str">
        <f>TEXT(Raw_Data!J970,"MMM-YYY")</f>
        <v>Jan-2025</v>
      </c>
      <c r="K970" s="13" t="str">
        <f>Raw_Data!K970</f>
        <v>22</v>
      </c>
      <c r="L970" s="17" t="str">
        <f>Raw_Data!L970</f>
        <v>Mumbai-HO</v>
      </c>
      <c r="M970" s="13" t="str">
        <f t="shared" si="3"/>
        <v>OK</v>
      </c>
      <c r="N970" s="18" t="str">
        <f t="shared" si="4"/>
        <v>VALID</v>
      </c>
    </row>
    <row r="971" ht="15.75" customHeight="1">
      <c r="A971" s="13" t="str">
        <f>Raw_Data!A971</f>
        <v>EMP1021</v>
      </c>
      <c r="B971" s="13" t="str">
        <f>TRIM(CLEAN(Raw_Data!B971))</f>
        <v>Customer Support</v>
      </c>
      <c r="C971" s="18" t="s">
        <v>14</v>
      </c>
      <c r="D971" s="14" t="str">
        <f>IF(ISBLANK(Raw_Data!D971),AVERAGE(Raw_Data!D$2:D$5002),Raw_Data!D971)</f>
        <v>79244.55</v>
      </c>
      <c r="E971" s="15" t="str">
        <f>IF(ISBLANK(Raw_Data!E971),AVERAGE(Raw_Data!E$2:E$5002),Raw_Data!E971)</f>
        <v>18806.94</v>
      </c>
      <c r="F971" s="15" t="str">
        <f>IF(ISBLANK(Raw_Data!F971),AVERAGE(Raw_Data!F$2:F$5002),Raw_Data!F971)</f>
        <v>9957.38</v>
      </c>
      <c r="G971" s="14" t="str">
        <f>IF(ISBLANK(Raw_Data!G971),AVERAGE(Raw_Data!G$2:G$5002),Raw_Data!G971)</f>
        <v>10305.37</v>
      </c>
      <c r="H971" s="15" t="str">
        <f t="shared" si="1"/>
        <v>108009.00</v>
      </c>
      <c r="I971" s="14" t="str">
        <f t="shared" si="2"/>
        <v>97704.00</v>
      </c>
      <c r="J971" s="16" t="str">
        <f>TEXT(Raw_Data!J971,"MMM-YYY")</f>
        <v>Jun-2025</v>
      </c>
      <c r="K971" s="13" t="str">
        <f>Raw_Data!K971</f>
        <v>14</v>
      </c>
      <c r="L971" s="17" t="str">
        <f>Raw_Data!L971</f>
        <v>Delhi-North</v>
      </c>
      <c r="M971" s="13" t="str">
        <f t="shared" si="3"/>
        <v>OK</v>
      </c>
      <c r="N971" s="18" t="str">
        <f t="shared" si="4"/>
        <v>VALID</v>
      </c>
    </row>
    <row r="972" ht="15.75" customHeight="1">
      <c r="A972" s="13" t="str">
        <f>Raw_Data!A972</f>
        <v>EMP1022</v>
      </c>
      <c r="B972" s="13" t="str">
        <f>TRIM(CLEAN(Raw_Data!B972))</f>
        <v>Finance</v>
      </c>
      <c r="C972" s="18" t="s">
        <v>30</v>
      </c>
      <c r="D972" s="14" t="str">
        <f>IF(ISBLANK(Raw_Data!D972),AVERAGE(Raw_Data!D$2:D$5002),Raw_Data!D972)</f>
        <v>29646.86</v>
      </c>
      <c r="E972" s="15" t="str">
        <f>IF(ISBLANK(Raw_Data!E972),AVERAGE(Raw_Data!E$2:E$5002),Raw_Data!E972)</f>
        <v>12659.14</v>
      </c>
      <c r="F972" s="15" t="str">
        <f>IF(ISBLANK(Raw_Data!F972),AVERAGE(Raw_Data!F$2:F$5002),Raw_Data!F972)</f>
        <v>16836.17</v>
      </c>
      <c r="G972" s="14" t="str">
        <f>IF(ISBLANK(Raw_Data!G972),AVERAGE(Raw_Data!G$2:G$5002),Raw_Data!G972)</f>
        <v>14634.59</v>
      </c>
      <c r="H972" s="15" t="str">
        <f t="shared" si="1"/>
        <v>59142.00</v>
      </c>
      <c r="I972" s="14" t="str">
        <f t="shared" si="2"/>
        <v>44507.00</v>
      </c>
      <c r="J972" s="16" t="str">
        <f>TEXT(Raw_Data!J972,"MMM-YYY")</f>
        <v>Nov-2025</v>
      </c>
      <c r="K972" s="13" t="str">
        <f>Raw_Data!K972</f>
        <v>1</v>
      </c>
      <c r="L972" s="17" t="str">
        <f>Raw_Data!L972</f>
        <v>Bangalore-South</v>
      </c>
      <c r="M972" s="13" t="str">
        <f t="shared" si="3"/>
        <v>OK</v>
      </c>
      <c r="N972" s="18" t="str">
        <f t="shared" si="4"/>
        <v>VALID</v>
      </c>
    </row>
    <row r="973" ht="15.75" customHeight="1">
      <c r="A973" s="13" t="str">
        <f>Raw_Data!A973</f>
        <v>EMP1023</v>
      </c>
      <c r="B973" s="13" t="str">
        <f>TRIM(CLEAN(Raw_Data!B973))</f>
        <v>Finance</v>
      </c>
      <c r="C973" s="18" t="s">
        <v>30</v>
      </c>
      <c r="D973" s="14" t="str">
        <f>IF(ISBLANK(Raw_Data!D973),AVERAGE(Raw_Data!D$2:D$5002),Raw_Data!D973)</f>
        <v>45675.19</v>
      </c>
      <c r="E973" s="15" t="str">
        <f>IF(ISBLANK(Raw_Data!E973),AVERAGE(Raw_Data!E$2:E$5002),Raw_Data!E973)</f>
        <v>28205.82</v>
      </c>
      <c r="F973" s="15" t="str">
        <f>IF(ISBLANK(Raw_Data!F973),AVERAGE(Raw_Data!F$2:F$5002),Raw_Data!F973)</f>
        <v>16027.04</v>
      </c>
      <c r="G973" s="14" t="str">
        <f>IF(ISBLANK(Raw_Data!G973),AVERAGE(Raw_Data!G$2:G$5002),Raw_Data!G973)</f>
        <v>21445.47</v>
      </c>
      <c r="H973" s="15" t="str">
        <f t="shared" si="1"/>
        <v>89908.00</v>
      </c>
      <c r="I973" s="14" t="str">
        <f t="shared" si="2"/>
        <v>68463.00</v>
      </c>
      <c r="J973" s="16" t="str">
        <f>TEXT(Raw_Data!J973,"MMM-YYY")</f>
        <v>Feb-2025</v>
      </c>
      <c r="K973" s="13" t="str">
        <f>Raw_Data!K973</f>
        <v>25</v>
      </c>
      <c r="L973" s="17" t="str">
        <f>Raw_Data!L973</f>
        <v>Chennai-South</v>
      </c>
      <c r="M973" s="13" t="str">
        <f t="shared" si="3"/>
        <v>OK</v>
      </c>
      <c r="N973" s="18" t="str">
        <f t="shared" si="4"/>
        <v>VALID</v>
      </c>
    </row>
    <row r="974" ht="15.75" customHeight="1">
      <c r="A974" s="13" t="str">
        <f>Raw_Data!A974</f>
        <v>EMP1024</v>
      </c>
      <c r="B974" s="13" t="str">
        <f>TRIM(CLEAN(Raw_Data!B974))</f>
        <v>Marketing</v>
      </c>
      <c r="C974" s="18" t="s">
        <v>37</v>
      </c>
      <c r="D974" s="14" t="str">
        <f>IF(ISBLANK(Raw_Data!D974),AVERAGE(Raw_Data!D$2:D$5002),Raw_Data!D974)</f>
        <v>53467.99</v>
      </c>
      <c r="E974" s="15" t="str">
        <f>IF(ISBLANK(Raw_Data!E974),AVERAGE(Raw_Data!E$2:E$5002),Raw_Data!E974)</f>
        <v>33738.33</v>
      </c>
      <c r="F974" s="15" t="str">
        <f>IF(ISBLANK(Raw_Data!F974),AVERAGE(Raw_Data!F$2:F$5002),Raw_Data!F974)</f>
        <v>8210.10</v>
      </c>
      <c r="G974" s="14" t="str">
        <f>IF(ISBLANK(Raw_Data!G974),AVERAGE(Raw_Data!G$2:G$5002),Raw_Data!G974)</f>
        <v>24368.94</v>
      </c>
      <c r="H974" s="15" t="str">
        <f t="shared" si="1"/>
        <v>95416.00</v>
      </c>
      <c r="I974" s="14" t="str">
        <f t="shared" si="2"/>
        <v>71047.00</v>
      </c>
      <c r="J974" s="16" t="str">
        <f>TEXT(Raw_Data!J974,"MMM-YYY")</f>
        <v>Apr-2025</v>
      </c>
      <c r="K974" s="13" t="str">
        <f>Raw_Data!K974</f>
        <v>9</v>
      </c>
      <c r="L974" s="17" t="str">
        <f>Raw_Data!L974</f>
        <v>Kolkata-East</v>
      </c>
      <c r="M974" s="13" t="str">
        <f t="shared" si="3"/>
        <v>OK</v>
      </c>
      <c r="N974" s="18" t="str">
        <f t="shared" si="4"/>
        <v>VALID</v>
      </c>
    </row>
    <row r="975" ht="15.75" customHeight="1">
      <c r="A975" s="13" t="str">
        <f>Raw_Data!A975</f>
        <v>EMP1025</v>
      </c>
      <c r="B975" s="13" t="str">
        <f>TRIM(CLEAN(Raw_Data!B975))</f>
        <v>Finance</v>
      </c>
      <c r="C975" s="18" t="s">
        <v>18</v>
      </c>
      <c r="D975" s="14" t="str">
        <f>IF(ISBLANK(Raw_Data!D975),AVERAGE(Raw_Data!D$2:D$5002),Raw_Data!D975)</f>
        <v>62887.35</v>
      </c>
      <c r="E975" s="15" t="str">
        <f>IF(ISBLANK(Raw_Data!E975),AVERAGE(Raw_Data!E$2:E$5002),Raw_Data!E975)</f>
        <v>28231.32</v>
      </c>
      <c r="F975" s="15" t="str">
        <f>IF(ISBLANK(Raw_Data!F975),AVERAGE(Raw_Data!F$2:F$5002),Raw_Data!F975)</f>
        <v>4601.69</v>
      </c>
      <c r="G975" s="14" t="str">
        <f>IF(ISBLANK(Raw_Data!G975),AVERAGE(Raw_Data!G$2:G$5002),Raw_Data!G975)</f>
        <v>11267.57</v>
      </c>
      <c r="H975" s="15" t="str">
        <f t="shared" si="1"/>
        <v>95720.00</v>
      </c>
      <c r="I975" s="14" t="str">
        <f t="shared" si="2"/>
        <v>84452.00</v>
      </c>
      <c r="J975" s="16" t="str">
        <f>TEXT(Raw_Data!J975,"MMM-YYY")</f>
        <v>Aug-2025</v>
      </c>
      <c r="K975" s="13" t="str">
        <f>Raw_Data!K975</f>
        <v>17</v>
      </c>
      <c r="L975" s="17" t="str">
        <f>Raw_Data!L975</f>
        <v>Pune-West</v>
      </c>
      <c r="M975" s="13" t="str">
        <f t="shared" si="3"/>
        <v>OK</v>
      </c>
      <c r="N975" s="18" t="str">
        <f t="shared" si="4"/>
        <v>VALID</v>
      </c>
    </row>
    <row r="976" ht="15.75" customHeight="1">
      <c r="A976" s="13" t="str">
        <f>Raw_Data!A976</f>
        <v>EMP1026</v>
      </c>
      <c r="B976" s="13" t="str">
        <f>TRIM(CLEAN(Raw_Data!B976))</f>
        <v>Customer Support</v>
      </c>
      <c r="C976" s="18" t="s">
        <v>33</v>
      </c>
      <c r="D976" s="14" t="str">
        <f>IF(ISBLANK(Raw_Data!D976),AVERAGE(Raw_Data!D$2:D$5002),Raw_Data!D976)</f>
        <v>97443.48</v>
      </c>
      <c r="E976" s="15" t="str">
        <f>IF(ISBLANK(Raw_Data!E976),AVERAGE(Raw_Data!E$2:E$5002),Raw_Data!E976)</f>
        <v>33676.62</v>
      </c>
      <c r="F976" s="15" t="str">
        <f>IF(ISBLANK(Raw_Data!F976),AVERAGE(Raw_Data!F$2:F$5002),Raw_Data!F976)</f>
        <v>8121.64</v>
      </c>
      <c r="G976" s="14" t="str">
        <f>IF(ISBLANK(Raw_Data!G976),AVERAGE(Raw_Data!G$2:G$5002),Raw_Data!G976)</f>
        <v>1980.95</v>
      </c>
      <c r="H976" s="15" t="str">
        <f t="shared" si="1"/>
        <v>139242.00</v>
      </c>
      <c r="I976" s="14" t="str">
        <f t="shared" si="2"/>
        <v>137261.00</v>
      </c>
      <c r="J976" s="16" t="str">
        <f>TEXT(Raw_Data!J976,"MMM-YYY")</f>
        <v>Feb-2025</v>
      </c>
      <c r="K976" s="13" t="str">
        <f>Raw_Data!K976</f>
        <v>14</v>
      </c>
      <c r="L976" s="17" t="str">
        <f>Raw_Data!L976</f>
        <v>Hyderabad-South</v>
      </c>
      <c r="M976" s="13" t="str">
        <f t="shared" si="3"/>
        <v>OK</v>
      </c>
      <c r="N976" s="18" t="str">
        <f t="shared" si="4"/>
        <v>VALID</v>
      </c>
    </row>
    <row r="977" ht="15.75" customHeight="1">
      <c r="A977" s="13" t="str">
        <f>Raw_Data!A977</f>
        <v>EMP1027</v>
      </c>
      <c r="B977" s="13" t="str">
        <f>TRIM(CLEAN(Raw_Data!B977))</f>
        <v>Customer Support</v>
      </c>
      <c r="C977" s="18" t="s">
        <v>18</v>
      </c>
      <c r="D977" s="14" t="str">
        <f>IF(ISBLANK(Raw_Data!D977),AVERAGE(Raw_Data!D$2:D$5002),Raw_Data!D977)</f>
        <v>35965.75</v>
      </c>
      <c r="E977" s="15" t="str">
        <f>IF(ISBLANK(Raw_Data!E977),AVERAGE(Raw_Data!E$2:E$5002),Raw_Data!E977)</f>
        <v>18291.72</v>
      </c>
      <c r="F977" s="15" t="str">
        <f>IF(ISBLANK(Raw_Data!F977),AVERAGE(Raw_Data!F$2:F$5002),Raw_Data!F977)</f>
        <v>16524.35</v>
      </c>
      <c r="G977" s="14" t="str">
        <f>IF(ISBLANK(Raw_Data!G977),AVERAGE(Raw_Data!G$2:G$5002),Raw_Data!G977)</f>
        <v>18853.33</v>
      </c>
      <c r="H977" s="15" t="str">
        <f t="shared" si="1"/>
        <v>70782.00</v>
      </c>
      <c r="I977" s="14" t="str">
        <f t="shared" si="2"/>
        <v>51929.00</v>
      </c>
      <c r="J977" s="16" t="str">
        <f>TEXT(Raw_Data!J977,"MMM-YYY")</f>
        <v>Aug-2025</v>
      </c>
      <c r="K977" s="13" t="str">
        <f>Raw_Data!K977</f>
        <v>13</v>
      </c>
      <c r="L977" s="17" t="str">
        <f>Raw_Data!L977</f>
        <v>Chandigarh-North</v>
      </c>
      <c r="M977" s="13" t="str">
        <f t="shared" si="3"/>
        <v>OK</v>
      </c>
      <c r="N977" s="18" t="str">
        <f t="shared" si="4"/>
        <v>VALID</v>
      </c>
    </row>
    <row r="978" ht="15.75" customHeight="1">
      <c r="A978" s="13" t="str">
        <f>Raw_Data!A978</f>
        <v>EMP1028</v>
      </c>
      <c r="B978" s="13" t="str">
        <f>TRIM(CLEAN(Raw_Data!B978))</f>
        <v>Operations</v>
      </c>
      <c r="C978" s="18" t="s">
        <v>30</v>
      </c>
      <c r="D978" s="14" t="str">
        <f>IF(ISBLANK(Raw_Data!D978),AVERAGE(Raw_Data!D$2:D$5002),Raw_Data!D978)</f>
        <v>68994.62</v>
      </c>
      <c r="E978" s="15" t="str">
        <f>IF(ISBLANK(Raw_Data!E978),AVERAGE(Raw_Data!E$2:E$5002),Raw_Data!E978)</f>
        <v>9627.41</v>
      </c>
      <c r="F978" s="15" t="str">
        <f>IF(ISBLANK(Raw_Data!F978),AVERAGE(Raw_Data!F$2:F$5002),Raw_Data!F978)</f>
        <v>4552.65</v>
      </c>
      <c r="G978" s="14" t="str">
        <f>IF(ISBLANK(Raw_Data!G978),AVERAGE(Raw_Data!G$2:G$5002),Raw_Data!G978)</f>
        <v>14346.74</v>
      </c>
      <c r="H978" s="15" t="str">
        <f t="shared" si="1"/>
        <v>83175.00</v>
      </c>
      <c r="I978" s="14" t="str">
        <f t="shared" si="2"/>
        <v>68828.00</v>
      </c>
      <c r="J978" s="16" t="str">
        <f>TEXT(Raw_Data!J978,"MMM-YYY")</f>
        <v>Feb-2025</v>
      </c>
      <c r="K978" s="13" t="str">
        <f>Raw_Data!K978</f>
        <v>13</v>
      </c>
      <c r="L978" s="17" t="str">
        <f>Raw_Data!L978</f>
        <v>Ahmedabad-West</v>
      </c>
      <c r="M978" s="13" t="str">
        <f t="shared" si="3"/>
        <v>OK</v>
      </c>
      <c r="N978" s="18" t="str">
        <f t="shared" si="4"/>
        <v>VALID</v>
      </c>
    </row>
    <row r="979" ht="15.75" customHeight="1">
      <c r="A979" s="13" t="str">
        <f>Raw_Data!A979</f>
        <v>EMP1029</v>
      </c>
      <c r="B979" s="13" t="str">
        <f>TRIM(CLEAN(Raw_Data!B979))</f>
        <v>Sales</v>
      </c>
      <c r="C979" s="18" t="s">
        <v>30</v>
      </c>
      <c r="D979" s="14" t="str">
        <f>IF(ISBLANK(Raw_Data!D979),AVERAGE(Raw_Data!D$2:D$5002),Raw_Data!D979)</f>
        <v>77203.53</v>
      </c>
      <c r="E979" s="15" t="str">
        <f>IF(ISBLANK(Raw_Data!E979),AVERAGE(Raw_Data!E$2:E$5002),Raw_Data!E979)</f>
        <v>30566.23</v>
      </c>
      <c r="F979" s="15" t="str">
        <f>IF(ISBLANK(Raw_Data!F979),AVERAGE(Raw_Data!F$2:F$5002),Raw_Data!F979)</f>
        <v>10488.73</v>
      </c>
      <c r="G979" s="14" t="str">
        <f>IF(ISBLANK(Raw_Data!G979),AVERAGE(Raw_Data!G$2:G$5002),Raw_Data!G979)</f>
        <v>11473.34</v>
      </c>
      <c r="H979" s="15" t="str">
        <f t="shared" si="1"/>
        <v>118258.00</v>
      </c>
      <c r="I979" s="14" t="str">
        <f t="shared" si="2"/>
        <v>106785.00</v>
      </c>
      <c r="J979" s="16" t="str">
        <f>TEXT(Raw_Data!J979,"MMM-YYY")</f>
        <v>Aug-2025</v>
      </c>
      <c r="K979" s="13" t="str">
        <f>Raw_Data!K979</f>
        <v>6</v>
      </c>
      <c r="L979" s="17" t="str">
        <f>Raw_Data!L979</f>
        <v>Jaipur-North</v>
      </c>
      <c r="M979" s="13" t="str">
        <f t="shared" si="3"/>
        <v>OK</v>
      </c>
      <c r="N979" s="18" t="str">
        <f t="shared" si="4"/>
        <v>VALID</v>
      </c>
    </row>
    <row r="980" ht="15.75" customHeight="1">
      <c r="A980" s="13" t="str">
        <f>Raw_Data!A980</f>
        <v>EMP1030</v>
      </c>
      <c r="B980" s="13" t="str">
        <f>TRIM(CLEAN(Raw_Data!B980))</f>
        <v>Sales</v>
      </c>
      <c r="C980" s="18" t="s">
        <v>33</v>
      </c>
      <c r="D980" s="14" t="str">
        <f>IF(ISBLANK(Raw_Data!D980),AVERAGE(Raw_Data!D$2:D$5002),Raw_Data!D980)</f>
        <v>19877.29</v>
      </c>
      <c r="E980" s="15" t="str">
        <f>IF(ISBLANK(Raw_Data!E980),AVERAGE(Raw_Data!E$2:E$5002),Raw_Data!E980)</f>
        <v>16977.08</v>
      </c>
      <c r="F980" s="15" t="str">
        <f>IF(ISBLANK(Raw_Data!F980),AVERAGE(Raw_Data!F$2:F$5002),Raw_Data!F980)</f>
        <v>16121.93</v>
      </c>
      <c r="G980" s="14" t="str">
        <f>IF(ISBLANK(Raw_Data!G980),AVERAGE(Raw_Data!G$2:G$5002),Raw_Data!G980)</f>
        <v>8077.09</v>
      </c>
      <c r="H980" s="15" t="str">
        <f t="shared" si="1"/>
        <v>52976.00</v>
      </c>
      <c r="I980" s="14" t="str">
        <f t="shared" si="2"/>
        <v>44899.00</v>
      </c>
      <c r="J980" s="16" t="str">
        <f>TEXT(Raw_Data!J980,"MMM-YYY")</f>
        <v>Apr-2025</v>
      </c>
      <c r="K980" s="13" t="str">
        <f>Raw_Data!K980</f>
        <v>7</v>
      </c>
      <c r="L980" s="17" t="str">
        <f>Raw_Data!L980</f>
        <v>Mumbai-HO</v>
      </c>
      <c r="M980" s="13" t="str">
        <f t="shared" si="3"/>
        <v>OK</v>
      </c>
      <c r="N980" s="18" t="str">
        <f t="shared" si="4"/>
        <v>VALID</v>
      </c>
    </row>
    <row r="981" ht="15.75" customHeight="1">
      <c r="A981" s="13" t="str">
        <f>Raw_Data!A981</f>
        <v>EMP1031</v>
      </c>
      <c r="B981" s="13" t="str">
        <f>TRIM(CLEAN(Raw_Data!B981))</f>
        <v>Operations</v>
      </c>
      <c r="C981" s="18" t="s">
        <v>14</v>
      </c>
      <c r="D981" s="14" t="str">
        <f>IF(ISBLANK(Raw_Data!D981),AVERAGE(Raw_Data!D$2:D$5002),Raw_Data!D981)</f>
        <v>78792.21</v>
      </c>
      <c r="E981" s="15" t="str">
        <f>IF(ISBLANK(Raw_Data!E981),AVERAGE(Raw_Data!E$2:E$5002),Raw_Data!E981)</f>
        <v>28165.75</v>
      </c>
      <c r="F981" s="15" t="str">
        <f>IF(ISBLANK(Raw_Data!F981),AVERAGE(Raw_Data!F$2:F$5002),Raw_Data!F981)</f>
        <v>7069.55</v>
      </c>
      <c r="G981" s="14" t="str">
        <f>IF(ISBLANK(Raw_Data!G981),AVERAGE(Raw_Data!G$2:G$5002),Raw_Data!G981)</f>
        <v>12808.76</v>
      </c>
      <c r="H981" s="15" t="str">
        <f t="shared" si="1"/>
        <v>114028.00</v>
      </c>
      <c r="I981" s="14" t="str">
        <f t="shared" si="2"/>
        <v>101219.00</v>
      </c>
      <c r="J981" s="16" t="str">
        <f>TEXT(Raw_Data!J981,"MMM-YYY")</f>
        <v>Feb-2025</v>
      </c>
      <c r="K981" s="13" t="str">
        <f>Raw_Data!K981</f>
        <v>2</v>
      </c>
      <c r="L981" s="17" t="str">
        <f>Raw_Data!L981</f>
        <v>Delhi-North</v>
      </c>
      <c r="M981" s="13" t="str">
        <f t="shared" si="3"/>
        <v>OK</v>
      </c>
      <c r="N981" s="18" t="str">
        <f t="shared" si="4"/>
        <v>VALID</v>
      </c>
    </row>
    <row r="982" ht="15.75" customHeight="1">
      <c r="A982" s="13" t="str">
        <f>Raw_Data!A982</f>
        <v>EMP1032</v>
      </c>
      <c r="B982" s="13" t="str">
        <f>TRIM(CLEAN(Raw_Data!B982))</f>
        <v>IT</v>
      </c>
      <c r="C982" s="18" t="s">
        <v>14</v>
      </c>
      <c r="D982" s="14" t="str">
        <f>IF(ISBLANK(Raw_Data!D982),AVERAGE(Raw_Data!D$2:D$5002),Raw_Data!D982)</f>
        <v>32905.03</v>
      </c>
      <c r="E982" s="15" t="str">
        <f>IF(ISBLANK(Raw_Data!E982),AVERAGE(Raw_Data!E$2:E$5002),Raw_Data!E982)</f>
        <v>13743.18</v>
      </c>
      <c r="F982" s="15" t="str">
        <f>IF(ISBLANK(Raw_Data!F982),AVERAGE(Raw_Data!F$2:F$5002),Raw_Data!F982)</f>
        <v>12844.19</v>
      </c>
      <c r="G982" s="14" t="str">
        <f>IF(ISBLANK(Raw_Data!G982),AVERAGE(Raw_Data!G$2:G$5002),Raw_Data!G982)</f>
        <v>8797.65</v>
      </c>
      <c r="H982" s="15" t="str">
        <f t="shared" si="1"/>
        <v>59492.00</v>
      </c>
      <c r="I982" s="14" t="str">
        <f t="shared" si="2"/>
        <v>50694.00</v>
      </c>
      <c r="J982" s="16" t="str">
        <f>TEXT(Raw_Data!J982,"MMM-YYY")</f>
        <v>Sep-2025</v>
      </c>
      <c r="K982" s="13" t="str">
        <f>Raw_Data!K982</f>
        <v>8</v>
      </c>
      <c r="L982" s="17" t="str">
        <f>Raw_Data!L982</f>
        <v>Bangalore-South</v>
      </c>
      <c r="M982" s="13" t="str">
        <f t="shared" si="3"/>
        <v>OK</v>
      </c>
      <c r="N982" s="18" t="str">
        <f t="shared" si="4"/>
        <v>VALID</v>
      </c>
    </row>
    <row r="983" ht="15.75" customHeight="1">
      <c r="A983" s="13" t="str">
        <f>Raw_Data!A983</f>
        <v>EMP1033</v>
      </c>
      <c r="B983" s="13" t="str">
        <f>TRIM(CLEAN(Raw_Data!B983))</f>
        <v>Marketing</v>
      </c>
      <c r="C983" s="18" t="s">
        <v>26</v>
      </c>
      <c r="D983" s="14" t="str">
        <f>IF(ISBLANK(Raw_Data!D983),AVERAGE(Raw_Data!D$2:D$5002),Raw_Data!D983)</f>
        <v>21830.42</v>
      </c>
      <c r="E983" s="15" t="str">
        <f>IF(ISBLANK(Raw_Data!E983),AVERAGE(Raw_Data!E$2:E$5002),Raw_Data!E983)</f>
        <v>6924.27</v>
      </c>
      <c r="F983" s="15" t="str">
        <f>IF(ISBLANK(Raw_Data!F983),AVERAGE(Raw_Data!F$2:F$5002),Raw_Data!F983)</f>
        <v>4912.63</v>
      </c>
      <c r="G983" s="14" t="str">
        <f>IF(ISBLANK(Raw_Data!G983),AVERAGE(Raw_Data!G$2:G$5002),Raw_Data!G983)</f>
        <v>19046.79</v>
      </c>
      <c r="H983" s="15" t="str">
        <f t="shared" si="1"/>
        <v>33667.00</v>
      </c>
      <c r="I983" s="14" t="str">
        <f t="shared" si="2"/>
        <v>14620.00</v>
      </c>
      <c r="J983" s="16" t="str">
        <f>TEXT(Raw_Data!J983,"MMM-YYY")</f>
        <v>Oct-2025</v>
      </c>
      <c r="K983" s="13" t="str">
        <f>Raw_Data!K983</f>
        <v>24</v>
      </c>
      <c r="L983" s="17" t="str">
        <f>Raw_Data!L983</f>
        <v>Chennai-South</v>
      </c>
      <c r="M983" s="13" t="str">
        <f t="shared" si="3"/>
        <v>OK</v>
      </c>
      <c r="N983" s="18" t="str">
        <f t="shared" si="4"/>
        <v>VALID</v>
      </c>
    </row>
    <row r="984" ht="15.75" customHeight="1">
      <c r="A984" s="13" t="str">
        <f>Raw_Data!A984</f>
        <v>EMP1034</v>
      </c>
      <c r="B984" s="13" t="str">
        <f>TRIM(CLEAN(Raw_Data!B984))</f>
        <v>HR</v>
      </c>
      <c r="C984" s="18" t="s">
        <v>37</v>
      </c>
      <c r="D984" s="14" t="str">
        <f>IF(ISBLANK(Raw_Data!D984),AVERAGE(Raw_Data!D$2:D$5002),Raw_Data!D984)</f>
        <v>114632.98</v>
      </c>
      <c r="E984" s="15" t="str">
        <f>IF(ISBLANK(Raw_Data!E984),AVERAGE(Raw_Data!E$2:E$5002),Raw_Data!E984)</f>
        <v>39732.94</v>
      </c>
      <c r="F984" s="15" t="str">
        <f>IF(ISBLANK(Raw_Data!F984),AVERAGE(Raw_Data!F$2:F$5002),Raw_Data!F984)</f>
        <v>2185.59</v>
      </c>
      <c r="G984" s="14" t="str">
        <f>IF(ISBLANK(Raw_Data!G984),AVERAGE(Raw_Data!G$2:G$5002),Raw_Data!G984)</f>
        <v>13825.40</v>
      </c>
      <c r="H984" s="15" t="str">
        <f t="shared" si="1"/>
        <v>156552.00</v>
      </c>
      <c r="I984" s="14" t="str">
        <f t="shared" si="2"/>
        <v>142727.00</v>
      </c>
      <c r="J984" s="16" t="str">
        <f>TEXT(Raw_Data!J984,"MMM-YYY")</f>
        <v>Apr-2025</v>
      </c>
      <c r="K984" s="13" t="str">
        <f>Raw_Data!K984</f>
        <v>6</v>
      </c>
      <c r="L984" s="17" t="str">
        <f>Raw_Data!L984</f>
        <v>Kolkata-East</v>
      </c>
      <c r="M984" s="13" t="str">
        <f t="shared" si="3"/>
        <v>OK</v>
      </c>
      <c r="N984" s="18" t="str">
        <f t="shared" si="4"/>
        <v>VALID</v>
      </c>
    </row>
    <row r="985" ht="15.75" customHeight="1">
      <c r="A985" s="13" t="str">
        <f>Raw_Data!A985</f>
        <v>EMP1035</v>
      </c>
      <c r="B985" s="13" t="str">
        <f>TRIM(CLEAN(Raw_Data!B985))</f>
        <v>Operations</v>
      </c>
      <c r="C985" s="18" t="s">
        <v>18</v>
      </c>
      <c r="D985" s="14" t="str">
        <f>IF(ISBLANK(Raw_Data!D985),AVERAGE(Raw_Data!D$2:D$5002),Raw_Data!D985)</f>
        <v>116391.36</v>
      </c>
      <c r="E985" s="15" t="str">
        <f>IF(ISBLANK(Raw_Data!E985),AVERAGE(Raw_Data!E$2:E$5002),Raw_Data!E985)</f>
        <v>9623.25</v>
      </c>
      <c r="F985" s="15" t="str">
        <f>IF(ISBLANK(Raw_Data!F985),AVERAGE(Raw_Data!F$2:F$5002),Raw_Data!F985)</f>
        <v>15887.68</v>
      </c>
      <c r="G985" s="14" t="str">
        <f>IF(ISBLANK(Raw_Data!G985),AVERAGE(Raw_Data!G$2:G$5002),Raw_Data!G985)</f>
        <v>21982.77</v>
      </c>
      <c r="H985" s="15" t="str">
        <f t="shared" si="1"/>
        <v>141902.00</v>
      </c>
      <c r="I985" s="14" t="str">
        <f t="shared" si="2"/>
        <v>119919.00</v>
      </c>
      <c r="J985" s="16" t="str">
        <f>TEXT(Raw_Data!J985,"MMM-YYY")</f>
        <v>Oct-2025</v>
      </c>
      <c r="K985" s="13" t="str">
        <f>Raw_Data!K985</f>
        <v>25</v>
      </c>
      <c r="L985" s="17" t="str">
        <f>Raw_Data!L985</f>
        <v>Pune-West</v>
      </c>
      <c r="M985" s="13" t="str">
        <f t="shared" si="3"/>
        <v>OK</v>
      </c>
      <c r="N985" s="18" t="str">
        <f t="shared" si="4"/>
        <v>VALID</v>
      </c>
    </row>
    <row r="986" ht="15.75" customHeight="1">
      <c r="A986" s="13" t="str">
        <f>Raw_Data!A986</f>
        <v>EMP1036</v>
      </c>
      <c r="B986" s="13" t="str">
        <f>TRIM(CLEAN(Raw_Data!B986))</f>
        <v>Finance</v>
      </c>
      <c r="C986" s="18" t="s">
        <v>14</v>
      </c>
      <c r="D986" s="14" t="str">
        <f>IF(ISBLANK(Raw_Data!D986),AVERAGE(Raw_Data!D$2:D$5002),Raw_Data!D986)</f>
        <v>99881.72</v>
      </c>
      <c r="E986" s="15" t="str">
        <f>IF(ISBLANK(Raw_Data!E986),AVERAGE(Raw_Data!E$2:E$5002),Raw_Data!E986)</f>
        <v>39583.16</v>
      </c>
      <c r="F986" s="15" t="str">
        <f>IF(ISBLANK(Raw_Data!F986),AVERAGE(Raw_Data!F$2:F$5002),Raw_Data!F986)</f>
        <v>1979.37</v>
      </c>
      <c r="G986" s="14" t="str">
        <f>IF(ISBLANK(Raw_Data!G986),AVERAGE(Raw_Data!G$2:G$5002),Raw_Data!G986)</f>
        <v>13816.83</v>
      </c>
      <c r="H986" s="15" t="str">
        <f t="shared" si="1"/>
        <v>141444.00</v>
      </c>
      <c r="I986" s="14" t="str">
        <f t="shared" si="2"/>
        <v>127627.00</v>
      </c>
      <c r="J986" s="16" t="str">
        <f>TEXT(Raw_Data!J986,"MMM-YYY")</f>
        <v>Aug-2025</v>
      </c>
      <c r="K986" s="13" t="str">
        <f>Raw_Data!K986</f>
        <v>3</v>
      </c>
      <c r="L986" s="17" t="str">
        <f>Raw_Data!L986</f>
        <v>Hyderabad-South</v>
      </c>
      <c r="M986" s="13" t="str">
        <f t="shared" si="3"/>
        <v>OK</v>
      </c>
      <c r="N986" s="18" t="str">
        <f t="shared" si="4"/>
        <v>VALID</v>
      </c>
    </row>
    <row r="987" ht="15.75" customHeight="1">
      <c r="A987" s="13" t="str">
        <f>Raw_Data!A987</f>
        <v>EMP1037</v>
      </c>
      <c r="B987" s="13" t="str">
        <f>TRIM(CLEAN(Raw_Data!B987))</f>
        <v>Finance</v>
      </c>
      <c r="C987" s="18" t="s">
        <v>54</v>
      </c>
      <c r="D987" s="14" t="str">
        <f>IF(ISBLANK(Raw_Data!D987),AVERAGE(Raw_Data!D$2:D$5002),Raw_Data!D987)</f>
        <v>46984.45</v>
      </c>
      <c r="E987" s="15" t="str">
        <f>IF(ISBLANK(Raw_Data!E987),AVERAGE(Raw_Data!E$2:E$5002),Raw_Data!E987)</f>
        <v>39182.08</v>
      </c>
      <c r="F987" s="15" t="str">
        <f>IF(ISBLANK(Raw_Data!F987),AVERAGE(Raw_Data!F$2:F$5002),Raw_Data!F987)</f>
        <v>5427.63</v>
      </c>
      <c r="G987" s="14" t="str">
        <f>IF(ISBLANK(Raw_Data!G987),AVERAGE(Raw_Data!G$2:G$5002),Raw_Data!G987)</f>
        <v>6337.43</v>
      </c>
      <c r="H987" s="15" t="str">
        <f t="shared" si="1"/>
        <v>91594.00</v>
      </c>
      <c r="I987" s="14" t="str">
        <f t="shared" si="2"/>
        <v>85257.00</v>
      </c>
      <c r="J987" s="16" t="str">
        <f>TEXT(Raw_Data!J987,"MMM-YYY")</f>
        <v>May-2025</v>
      </c>
      <c r="K987" s="13" t="str">
        <f>Raw_Data!K987</f>
        <v>18</v>
      </c>
      <c r="L987" s="17" t="str">
        <f>Raw_Data!L987</f>
        <v>Chandigarh-North</v>
      </c>
      <c r="M987" s="13" t="str">
        <f t="shared" si="3"/>
        <v>OK</v>
      </c>
      <c r="N987" s="18" t="str">
        <f t="shared" si="4"/>
        <v>VALID</v>
      </c>
    </row>
    <row r="988" ht="15.75" customHeight="1">
      <c r="A988" s="13" t="str">
        <f>Raw_Data!A988</f>
        <v>EMP1038</v>
      </c>
      <c r="B988" s="13" t="str">
        <f>TRIM(CLEAN(Raw_Data!B988))</f>
        <v>HR</v>
      </c>
      <c r="C988" s="18" t="s">
        <v>30</v>
      </c>
      <c r="D988" s="14" t="str">
        <f>IF(ISBLANK(Raw_Data!D988),AVERAGE(Raw_Data!D$2:D$5002),Raw_Data!D988)</f>
        <v>25255.57</v>
      </c>
      <c r="E988" s="15" t="str">
        <f>IF(ISBLANK(Raw_Data!E988),AVERAGE(Raw_Data!E$2:E$5002),Raw_Data!E988)</f>
        <v>32577.45</v>
      </c>
      <c r="F988" s="15" t="str">
        <f>IF(ISBLANK(Raw_Data!F988),AVERAGE(Raw_Data!F$2:F$5002),Raw_Data!F988)</f>
        <v>17102.19</v>
      </c>
      <c r="G988" s="14" t="str">
        <f>IF(ISBLANK(Raw_Data!G988),AVERAGE(Raw_Data!G$2:G$5002),Raw_Data!G988)</f>
        <v>21351.75</v>
      </c>
      <c r="H988" s="15" t="str">
        <f t="shared" si="1"/>
        <v>74935.00</v>
      </c>
      <c r="I988" s="14" t="str">
        <f t="shared" si="2"/>
        <v>53583.00</v>
      </c>
      <c r="J988" s="16" t="str">
        <f>TEXT(Raw_Data!J988,"MMM-YYY")</f>
        <v>Oct-2025</v>
      </c>
      <c r="K988" s="13" t="str">
        <f>Raw_Data!K988</f>
        <v>18</v>
      </c>
      <c r="L988" s="17" t="str">
        <f>Raw_Data!L988</f>
        <v>Ahmedabad-West</v>
      </c>
      <c r="M988" s="13" t="str">
        <f t="shared" si="3"/>
        <v>OK</v>
      </c>
      <c r="N988" s="18" t="str">
        <f t="shared" si="4"/>
        <v>VALID</v>
      </c>
    </row>
    <row r="989" ht="15.75" customHeight="1">
      <c r="A989" s="13" t="str">
        <f>Raw_Data!A989</f>
        <v>EMP1039</v>
      </c>
      <c r="B989" s="13" t="str">
        <f>TRIM(CLEAN(Raw_Data!B989))</f>
        <v>Sales</v>
      </c>
      <c r="C989" s="18" t="s">
        <v>37</v>
      </c>
      <c r="D989" s="14" t="str">
        <f>IF(ISBLANK(Raw_Data!D989),AVERAGE(Raw_Data!D$2:D$5002),Raw_Data!D989)</f>
        <v>86844.47</v>
      </c>
      <c r="E989" s="15" t="str">
        <f>IF(ISBLANK(Raw_Data!E989),AVERAGE(Raw_Data!E$2:E$5002),Raw_Data!E989)</f>
        <v>27739.23</v>
      </c>
      <c r="F989" s="15" t="str">
        <f>IF(ISBLANK(Raw_Data!F989),AVERAGE(Raw_Data!F$2:F$5002),Raw_Data!F989)</f>
        <v>6929.39</v>
      </c>
      <c r="G989" s="14" t="str">
        <f>IF(ISBLANK(Raw_Data!G989),AVERAGE(Raw_Data!G$2:G$5002),Raw_Data!G989)</f>
        <v>14151.87</v>
      </c>
      <c r="H989" s="15" t="str">
        <f t="shared" si="1"/>
        <v>121513.00</v>
      </c>
      <c r="I989" s="14" t="str">
        <f t="shared" si="2"/>
        <v>107361.00</v>
      </c>
      <c r="J989" s="16" t="str">
        <f>TEXT(Raw_Data!J989,"MMM-YYY")</f>
        <v>Jan-2025</v>
      </c>
      <c r="K989" s="13" t="str">
        <f>Raw_Data!K989</f>
        <v>22</v>
      </c>
      <c r="L989" s="17" t="str">
        <f>Raw_Data!L989</f>
        <v>Jaipur-North</v>
      </c>
      <c r="M989" s="13" t="str">
        <f t="shared" si="3"/>
        <v>OK</v>
      </c>
      <c r="N989" s="18" t="str">
        <f t="shared" si="4"/>
        <v>VALID</v>
      </c>
    </row>
    <row r="990" ht="15.75" customHeight="1">
      <c r="A990" s="13" t="str">
        <f>Raw_Data!A990</f>
        <v>EMP1040</v>
      </c>
      <c r="B990" s="13" t="str">
        <f>TRIM(CLEAN(Raw_Data!B990))</f>
        <v>Operations</v>
      </c>
      <c r="C990" s="18" t="s">
        <v>54</v>
      </c>
      <c r="D990" s="14" t="str">
        <f>IF(ISBLANK(Raw_Data!D990),AVERAGE(Raw_Data!D$2:D$5002),Raw_Data!D990)</f>
        <v>61216.01</v>
      </c>
      <c r="E990" s="15" t="str">
        <f>IF(ISBLANK(Raw_Data!E990),AVERAGE(Raw_Data!E$2:E$5002),Raw_Data!E990)</f>
        <v>24801.05</v>
      </c>
      <c r="F990" s="15" t="str">
        <f>IF(ISBLANK(Raw_Data!F990),AVERAGE(Raw_Data!F$2:F$5002),Raw_Data!F990)</f>
        <v>19460.91</v>
      </c>
      <c r="G990" s="14" t="str">
        <f>IF(ISBLANK(Raw_Data!G990),AVERAGE(Raw_Data!G$2:G$5002),Raw_Data!G990)</f>
        <v>5567.61</v>
      </c>
      <c r="H990" s="15" t="str">
        <f t="shared" si="1"/>
        <v>105478.00</v>
      </c>
      <c r="I990" s="14" t="str">
        <f t="shared" si="2"/>
        <v>99910.00</v>
      </c>
      <c r="J990" s="16" t="str">
        <f>TEXT(Raw_Data!J990,"MMM-YYY")</f>
        <v>Oct-2025</v>
      </c>
      <c r="K990" s="13" t="str">
        <f>Raw_Data!K990</f>
        <v>23</v>
      </c>
      <c r="L990" s="17" t="str">
        <f>Raw_Data!L990</f>
        <v>Mumbai-HO</v>
      </c>
      <c r="M990" s="13" t="str">
        <f t="shared" si="3"/>
        <v>OK</v>
      </c>
      <c r="N990" s="18" t="str">
        <f t="shared" si="4"/>
        <v>VALID</v>
      </c>
    </row>
    <row r="991" ht="15.75" customHeight="1">
      <c r="A991" s="13" t="str">
        <f>Raw_Data!A991</f>
        <v>EMP1041</v>
      </c>
      <c r="B991" s="13" t="str">
        <f>TRIM(CLEAN(Raw_Data!B991))</f>
        <v>IT</v>
      </c>
      <c r="C991" s="18" t="s">
        <v>18</v>
      </c>
      <c r="D991" s="14" t="str">
        <f>IF(ISBLANK(Raw_Data!D991),AVERAGE(Raw_Data!D$2:D$5002),Raw_Data!D991)</f>
        <v>27814.01</v>
      </c>
      <c r="E991" s="15" t="str">
        <f>IF(ISBLANK(Raw_Data!E991),AVERAGE(Raw_Data!E$2:E$5002),Raw_Data!E991)</f>
        <v>35179.66</v>
      </c>
      <c r="F991" s="15" t="str">
        <f>IF(ISBLANK(Raw_Data!F991),AVERAGE(Raw_Data!F$2:F$5002),Raw_Data!F991)</f>
        <v>19594.69</v>
      </c>
      <c r="G991" s="14" t="str">
        <f>IF(ISBLANK(Raw_Data!G991),AVERAGE(Raw_Data!G$2:G$5002),Raw_Data!G991)</f>
        <v>15775.94</v>
      </c>
      <c r="H991" s="15" t="str">
        <f t="shared" si="1"/>
        <v>82588.00</v>
      </c>
      <c r="I991" s="14" t="str">
        <f t="shared" si="2"/>
        <v>66812.00</v>
      </c>
      <c r="J991" s="16" t="str">
        <f>TEXT(Raw_Data!J991,"MMM-YYY")</f>
        <v>Jul-2025</v>
      </c>
      <c r="K991" s="13" t="str">
        <f>Raw_Data!K991</f>
        <v>6</v>
      </c>
      <c r="L991" s="17" t="str">
        <f>Raw_Data!L991</f>
        <v>Delhi-North</v>
      </c>
      <c r="M991" s="13" t="str">
        <f t="shared" si="3"/>
        <v>OK</v>
      </c>
      <c r="N991" s="18" t="str">
        <f t="shared" si="4"/>
        <v>VALID</v>
      </c>
    </row>
    <row r="992" ht="15.75" customHeight="1">
      <c r="A992" s="13" t="str">
        <f>Raw_Data!A992</f>
        <v>EMP1042</v>
      </c>
      <c r="B992" s="13" t="s">
        <v>25</v>
      </c>
      <c r="C992" s="18" t="s">
        <v>54</v>
      </c>
      <c r="D992" s="14" t="str">
        <f>IF(ISBLANK(Raw_Data!D992),AVERAGE(Raw_Data!D$2:D$5002),Raw_Data!D992)</f>
        <v>66993.58</v>
      </c>
      <c r="E992" s="15" t="str">
        <f>IF(ISBLANK(Raw_Data!E992),AVERAGE(Raw_Data!E$2:E$5002),Raw_Data!E992)</f>
        <v>14419.82</v>
      </c>
      <c r="F992" s="15" t="str">
        <f>IF(ISBLANK(Raw_Data!F992),AVERAGE(Raw_Data!F$2:F$5002),Raw_Data!F992)</f>
        <v>5365.52</v>
      </c>
      <c r="G992" s="14" t="str">
        <f>IF(ISBLANK(Raw_Data!G992),AVERAGE(Raw_Data!G$2:G$5002),Raw_Data!G992)</f>
        <v>9264.06</v>
      </c>
      <c r="H992" s="15" t="str">
        <f t="shared" si="1"/>
        <v>86779.00</v>
      </c>
      <c r="I992" s="14" t="str">
        <f t="shared" si="2"/>
        <v>77515.00</v>
      </c>
      <c r="J992" s="16" t="str">
        <f>TEXT(Raw_Data!J992,"MMM-YYY")</f>
        <v>Feb-2025</v>
      </c>
      <c r="K992" s="13" t="str">
        <f>Raw_Data!K992</f>
        <v>11</v>
      </c>
      <c r="L992" s="17" t="str">
        <f>Raw_Data!L992</f>
        <v>Bangalore-South</v>
      </c>
      <c r="M992" s="13" t="str">
        <f t="shared" si="3"/>
        <v>OK</v>
      </c>
      <c r="N992" s="18" t="str">
        <f t="shared" si="4"/>
        <v>VALID</v>
      </c>
    </row>
    <row r="993" ht="15.75" customHeight="1">
      <c r="A993" s="13" t="str">
        <f>Raw_Data!A993</f>
        <v>EMP1043</v>
      </c>
      <c r="B993" s="13" t="str">
        <f>TRIM(CLEAN(Raw_Data!B993))</f>
        <v>Customer Support</v>
      </c>
      <c r="C993" s="18" t="s">
        <v>18</v>
      </c>
      <c r="D993" s="14" t="str">
        <f>IF(ISBLANK(Raw_Data!D993),AVERAGE(Raw_Data!D$2:D$5002),Raw_Data!D993)</f>
        <v>18610.79</v>
      </c>
      <c r="E993" s="15" t="str">
        <f>IF(ISBLANK(Raw_Data!E993),AVERAGE(Raw_Data!E$2:E$5002),Raw_Data!E993)</f>
        <v>20836.52</v>
      </c>
      <c r="F993" s="15" t="str">
        <f>IF(ISBLANK(Raw_Data!F993),AVERAGE(Raw_Data!F$2:F$5002),Raw_Data!F993)</f>
        <v>819.56</v>
      </c>
      <c r="G993" s="14" t="str">
        <f>IF(ISBLANK(Raw_Data!G993),AVERAGE(Raw_Data!G$2:G$5002),Raw_Data!G993)</f>
        <v>21187.94</v>
      </c>
      <c r="H993" s="15" t="str">
        <f t="shared" si="1"/>
        <v>40267.00</v>
      </c>
      <c r="I993" s="14" t="str">
        <f t="shared" si="2"/>
        <v>19079.00</v>
      </c>
      <c r="J993" s="16" t="str">
        <f>TEXT(Raw_Data!J993,"MMM-YYY")</f>
        <v>Dec-2025</v>
      </c>
      <c r="K993" s="13" t="str">
        <f>Raw_Data!K993</f>
        <v>3</v>
      </c>
      <c r="L993" s="17" t="str">
        <f>Raw_Data!L993</f>
        <v>Chennai-South</v>
      </c>
      <c r="M993" s="13" t="str">
        <f t="shared" si="3"/>
        <v>OK</v>
      </c>
      <c r="N993" s="18" t="str">
        <f t="shared" si="4"/>
        <v>VALID</v>
      </c>
    </row>
    <row r="994" ht="15.75" customHeight="1">
      <c r="A994" s="13" t="str">
        <f>Raw_Data!A994</f>
        <v>EMP1044</v>
      </c>
      <c r="B994" s="13" t="str">
        <f>TRIM(CLEAN(Raw_Data!B994))</f>
        <v>Sales</v>
      </c>
      <c r="C994" s="18" t="s">
        <v>26</v>
      </c>
      <c r="D994" s="14" t="str">
        <f>IF(ISBLANK(Raw_Data!D994),AVERAGE(Raw_Data!D$2:D$5002),Raw_Data!D994)</f>
        <v>110478.64</v>
      </c>
      <c r="E994" s="15" t="str">
        <f>IF(ISBLANK(Raw_Data!E994),AVERAGE(Raw_Data!E$2:E$5002),Raw_Data!E994)</f>
        <v>26298.04</v>
      </c>
      <c r="F994" s="15" t="str">
        <f>IF(ISBLANK(Raw_Data!F994),AVERAGE(Raw_Data!F$2:F$5002),Raw_Data!F994)</f>
        <v>14101.27</v>
      </c>
      <c r="G994" s="14" t="str">
        <f>IF(ISBLANK(Raw_Data!G994),AVERAGE(Raw_Data!G$2:G$5002),Raw_Data!G994)</f>
        <v>11605.84</v>
      </c>
      <c r="H994" s="15" t="str">
        <f t="shared" si="1"/>
        <v>150878.00</v>
      </c>
      <c r="I994" s="14" t="str">
        <f t="shared" si="2"/>
        <v>139272.00</v>
      </c>
      <c r="J994" s="16" t="str">
        <f>TEXT(Raw_Data!J994,"MMM-YYY")</f>
        <v>Aug-2025</v>
      </c>
      <c r="K994" s="13" t="str">
        <f>Raw_Data!K994</f>
        <v>16</v>
      </c>
      <c r="L994" s="17" t="str">
        <f>Raw_Data!L994</f>
        <v>Kolkata-East</v>
      </c>
      <c r="M994" s="13" t="str">
        <f t="shared" si="3"/>
        <v>OK</v>
      </c>
      <c r="N994" s="18" t="str">
        <f t="shared" si="4"/>
        <v>VALID</v>
      </c>
    </row>
    <row r="995" ht="15.75" customHeight="1">
      <c r="A995" s="13" t="str">
        <f>Raw_Data!A995</f>
        <v>EMP1045</v>
      </c>
      <c r="B995" s="13" t="str">
        <f>TRIM(CLEAN(Raw_Data!B995))</f>
        <v>Marketing</v>
      </c>
      <c r="C995" s="18" t="s">
        <v>37</v>
      </c>
      <c r="D995" s="14" t="str">
        <f>IF(ISBLANK(Raw_Data!D995),AVERAGE(Raw_Data!D$2:D$5002),Raw_Data!D995)</f>
        <v>42171.90</v>
      </c>
      <c r="E995" s="15" t="str">
        <f>IF(ISBLANK(Raw_Data!E995),AVERAGE(Raw_Data!E$2:E$5002),Raw_Data!E995)</f>
        <v>18802.86</v>
      </c>
      <c r="F995" s="15" t="str">
        <f>IF(ISBLANK(Raw_Data!F995),AVERAGE(Raw_Data!F$2:F$5002),Raw_Data!F995)</f>
        <v>9019.73</v>
      </c>
      <c r="G995" s="14" t="str">
        <f>IF(ISBLANK(Raw_Data!G995),AVERAGE(Raw_Data!G$2:G$5002),Raw_Data!G995)</f>
        <v>18297.81</v>
      </c>
      <c r="H995" s="15" t="str">
        <f t="shared" si="1"/>
        <v>69994.00</v>
      </c>
      <c r="I995" s="14" t="str">
        <f t="shared" si="2"/>
        <v>51696.00</v>
      </c>
      <c r="J995" s="16" t="str">
        <f>TEXT(Raw_Data!J995,"MMM-YYY")</f>
        <v>Nov-2025</v>
      </c>
      <c r="K995" s="13" t="str">
        <f>Raw_Data!K995</f>
        <v>5</v>
      </c>
      <c r="L995" s="17" t="str">
        <f>Raw_Data!L995</f>
        <v>Pune-West</v>
      </c>
      <c r="M995" s="13" t="str">
        <f t="shared" si="3"/>
        <v>OK</v>
      </c>
      <c r="N995" s="18" t="str">
        <f t="shared" si="4"/>
        <v>VALID</v>
      </c>
    </row>
    <row r="996" ht="15.75" customHeight="1">
      <c r="A996" s="13" t="str">
        <f>Raw_Data!A996</f>
        <v>EMP1046</v>
      </c>
      <c r="B996" s="13" t="str">
        <f>TRIM(CLEAN(Raw_Data!B996))</f>
        <v>IT</v>
      </c>
      <c r="C996" s="18" t="s">
        <v>30</v>
      </c>
      <c r="D996" s="14" t="str">
        <f>IF(ISBLANK(Raw_Data!D996),AVERAGE(Raw_Data!D$2:D$5002),Raw_Data!D996)</f>
        <v>84564.84</v>
      </c>
      <c r="E996" s="15" t="str">
        <f>IF(ISBLANK(Raw_Data!E996),AVERAGE(Raw_Data!E$2:E$5002),Raw_Data!E996)</f>
        <v>19389.51</v>
      </c>
      <c r="F996" s="15" t="str">
        <f>IF(ISBLANK(Raw_Data!F996),AVERAGE(Raw_Data!F$2:F$5002),Raw_Data!F996)</f>
        <v>2015.06</v>
      </c>
      <c r="G996" s="14" t="str">
        <f>IF(ISBLANK(Raw_Data!G996),AVERAGE(Raw_Data!G$2:G$5002),Raw_Data!G996)</f>
        <v>2840.64</v>
      </c>
      <c r="H996" s="15" t="str">
        <f t="shared" si="1"/>
        <v>105969.00</v>
      </c>
      <c r="I996" s="14" t="str">
        <f t="shared" si="2"/>
        <v>103128.00</v>
      </c>
      <c r="J996" s="16" t="str">
        <f>TEXT(Raw_Data!J996,"MMM-YYY")</f>
        <v>Apr-2025</v>
      </c>
      <c r="K996" s="13" t="str">
        <f>Raw_Data!K996</f>
        <v>24</v>
      </c>
      <c r="L996" s="17" t="str">
        <f>Raw_Data!L996</f>
        <v>Hyderabad-South</v>
      </c>
      <c r="M996" s="13" t="str">
        <f t="shared" si="3"/>
        <v>OK</v>
      </c>
      <c r="N996" s="18" t="str">
        <f t="shared" si="4"/>
        <v>VALID</v>
      </c>
    </row>
    <row r="997" ht="15.75" customHeight="1">
      <c r="A997" s="13" t="str">
        <f>Raw_Data!A997</f>
        <v>EMP1047</v>
      </c>
      <c r="B997" s="13" t="str">
        <f>TRIM(CLEAN(Raw_Data!B997))</f>
        <v>Finance</v>
      </c>
      <c r="C997" s="18" t="s">
        <v>30</v>
      </c>
      <c r="D997" s="14" t="str">
        <f>IF(ISBLANK(Raw_Data!D997),AVERAGE(Raw_Data!D$2:D$5002),Raw_Data!D997)</f>
        <v>47729.66</v>
      </c>
      <c r="E997" s="15" t="str">
        <f>IF(ISBLANK(Raw_Data!E997),AVERAGE(Raw_Data!E$2:E$5002),Raw_Data!E997)</f>
        <v>15890.25</v>
      </c>
      <c r="F997" s="15" t="str">
        <f>IF(ISBLANK(Raw_Data!F997),AVERAGE(Raw_Data!F$2:F$5002),Raw_Data!F997)</f>
        <v>14150.46</v>
      </c>
      <c r="G997" s="14" t="str">
        <f>IF(ISBLANK(Raw_Data!G997),AVERAGE(Raw_Data!G$2:G$5002),Raw_Data!G997)</f>
        <v>10202.60</v>
      </c>
      <c r="H997" s="15" t="str">
        <f t="shared" si="1"/>
        <v>77770.00</v>
      </c>
      <c r="I997" s="14" t="str">
        <f t="shared" si="2"/>
        <v>67567.00</v>
      </c>
      <c r="J997" s="16" t="str">
        <f>TEXT(Raw_Data!J997,"MMM-YYY")</f>
        <v>Oct-2025</v>
      </c>
      <c r="K997" s="13" t="str">
        <f>Raw_Data!K997</f>
        <v>22</v>
      </c>
      <c r="L997" s="17" t="str">
        <f>Raw_Data!L997</f>
        <v>Chandigarh-North</v>
      </c>
      <c r="M997" s="13" t="str">
        <f t="shared" si="3"/>
        <v>OK</v>
      </c>
      <c r="N997" s="18" t="str">
        <f t="shared" si="4"/>
        <v>VALID</v>
      </c>
    </row>
    <row r="998" ht="15.75" customHeight="1">
      <c r="A998" s="13" t="str">
        <f>Raw_Data!A998</f>
        <v>EMP1048</v>
      </c>
      <c r="B998" s="13" t="str">
        <f>TRIM(CLEAN(Raw_Data!B998))</f>
        <v>Operations</v>
      </c>
      <c r="C998" s="18" t="s">
        <v>18</v>
      </c>
      <c r="D998" s="14" t="str">
        <f>IF(ISBLANK(Raw_Data!D998),AVERAGE(Raw_Data!D$2:D$5002),Raw_Data!D998)</f>
        <v>69607.14</v>
      </c>
      <c r="E998" s="15" t="str">
        <f>IF(ISBLANK(Raw_Data!E998),AVERAGE(Raw_Data!E$2:E$5002),Raw_Data!E998)</f>
        <v>24312.35</v>
      </c>
      <c r="F998" s="15" t="str">
        <f>IF(ISBLANK(Raw_Data!F998),AVERAGE(Raw_Data!F$2:F$5002),Raw_Data!F998)</f>
        <v>623.50</v>
      </c>
      <c r="G998" s="14" t="str">
        <f>IF(ISBLANK(Raw_Data!G998),AVERAGE(Raw_Data!G$2:G$5002),Raw_Data!G998)</f>
        <v>24589.42</v>
      </c>
      <c r="H998" s="15" t="str">
        <f t="shared" si="1"/>
        <v>94543.00</v>
      </c>
      <c r="I998" s="14" t="str">
        <f t="shared" si="2"/>
        <v>69954.00</v>
      </c>
      <c r="J998" s="16" t="str">
        <f>TEXT(Raw_Data!J998,"MMM-YYY")</f>
        <v>Nov-2025</v>
      </c>
      <c r="K998" s="13" t="str">
        <f>Raw_Data!K998</f>
        <v>2</v>
      </c>
      <c r="L998" s="17" t="str">
        <f>Raw_Data!L998</f>
        <v>Ahmedabad-West</v>
      </c>
      <c r="M998" s="13" t="str">
        <f t="shared" si="3"/>
        <v>OK</v>
      </c>
      <c r="N998" s="18" t="str">
        <f t="shared" si="4"/>
        <v>VALID</v>
      </c>
    </row>
    <row r="999" ht="15.75" customHeight="1">
      <c r="A999" s="13" t="str">
        <f>Raw_Data!A999</f>
        <v>EMP1050</v>
      </c>
      <c r="B999" s="13" t="str">
        <f>TRIM(CLEAN(Raw_Data!B999))</f>
        <v>Sales</v>
      </c>
      <c r="C999" s="18" t="s">
        <v>26</v>
      </c>
      <c r="D999" s="14" t="str">
        <f>IF(ISBLANK(Raw_Data!D999),AVERAGE(Raw_Data!D$2:D$5002),Raw_Data!D999)</f>
        <v>71831.17</v>
      </c>
      <c r="E999" s="15" t="str">
        <f>IF(ISBLANK(Raw_Data!E999),AVERAGE(Raw_Data!E$2:E$5002),Raw_Data!E999)</f>
        <v>11255.02</v>
      </c>
      <c r="F999" s="15" t="str">
        <f>IF(ISBLANK(Raw_Data!F999),AVERAGE(Raw_Data!F$2:F$5002),Raw_Data!F999)</f>
        <v>2773.05</v>
      </c>
      <c r="G999" s="14" t="str">
        <f>IF(ISBLANK(Raw_Data!G999),AVERAGE(Raw_Data!G$2:G$5002),Raw_Data!G999)</f>
        <v>4418.55</v>
      </c>
      <c r="H999" s="15" t="str">
        <f t="shared" si="1"/>
        <v>85859.00</v>
      </c>
      <c r="I999" s="14" t="str">
        <f t="shared" si="2"/>
        <v>81440.00</v>
      </c>
      <c r="J999" s="16" t="str">
        <f>TEXT(Raw_Data!J999,"MMM-YYY")</f>
        <v>Aug-2025</v>
      </c>
      <c r="K999" s="13" t="str">
        <f>Raw_Data!K999</f>
        <v>16</v>
      </c>
      <c r="L999" s="17" t="str">
        <f>Raw_Data!L999</f>
        <v>Mumbai-HO</v>
      </c>
      <c r="M999" s="13" t="str">
        <f t="shared" si="3"/>
        <v>OK</v>
      </c>
      <c r="N999" s="18" t="str">
        <f t="shared" si="4"/>
        <v>VALID</v>
      </c>
    </row>
    <row r="1000" ht="15.75" customHeight="1">
      <c r="A1000" s="13" t="str">
        <f>Raw_Data!A1000</f>
        <v>EMP1051</v>
      </c>
      <c r="B1000" s="13" t="str">
        <f>TRIM(CLEAN(Raw_Data!B1000))</f>
        <v>Finance</v>
      </c>
      <c r="C1000" s="18" t="s">
        <v>14</v>
      </c>
      <c r="D1000" s="14" t="str">
        <f>IF(ISBLANK(Raw_Data!D1000),AVERAGE(Raw_Data!D$2:D$5002),Raw_Data!D1000)</f>
        <v>116806.39</v>
      </c>
      <c r="E1000" s="15" t="str">
        <f>IF(ISBLANK(Raw_Data!E1000),AVERAGE(Raw_Data!E$2:E$5002),Raw_Data!E1000)</f>
        <v>37639.59</v>
      </c>
      <c r="F1000" s="15" t="str">
        <f>IF(ISBLANK(Raw_Data!F1000),AVERAGE(Raw_Data!F$2:F$5002),Raw_Data!F1000)</f>
        <v>2546.24</v>
      </c>
      <c r="G1000" s="14" t="str">
        <f>IF(ISBLANK(Raw_Data!G1000),AVERAGE(Raw_Data!G$2:G$5002),Raw_Data!G1000)</f>
        <v>7305.22</v>
      </c>
      <c r="H1000" s="15" t="str">
        <f t="shared" si="1"/>
        <v>156992.00</v>
      </c>
      <c r="I1000" s="14" t="str">
        <f t="shared" si="2"/>
        <v>149687.00</v>
      </c>
      <c r="J1000" s="16" t="str">
        <f>TEXT(Raw_Data!J1000,"MMM-YYY")</f>
        <v>Jan-2025</v>
      </c>
      <c r="K1000" s="13" t="str">
        <f>Raw_Data!K1000</f>
        <v>7</v>
      </c>
      <c r="L1000" s="17" t="str">
        <f>Raw_Data!L1000</f>
        <v>Delhi-North</v>
      </c>
      <c r="M1000" s="13" t="str">
        <f t="shared" si="3"/>
        <v>OK</v>
      </c>
      <c r="N1000" s="18" t="str">
        <f t="shared" si="4"/>
        <v>VALID</v>
      </c>
    </row>
    <row r="1001" ht="15.75" customHeight="1">
      <c r="A1001" s="13" t="str">
        <f>Raw_Data!A1001</f>
        <v>EMP1052</v>
      </c>
      <c r="B1001" s="13" t="str">
        <f>TRIM(CLEAN(Raw_Data!B1001))</f>
        <v>Customer Support</v>
      </c>
      <c r="C1001" s="18" t="s">
        <v>37</v>
      </c>
      <c r="D1001" s="14" t="str">
        <f>IF(ISBLANK(Raw_Data!D1001),AVERAGE(Raw_Data!D$2:D$5002),Raw_Data!D1001)</f>
        <v>96388.95</v>
      </c>
      <c r="E1001" s="15" t="str">
        <f>IF(ISBLANK(Raw_Data!E1001),AVERAGE(Raw_Data!E$2:E$5002),Raw_Data!E1001)</f>
        <v>28807.16</v>
      </c>
      <c r="F1001" s="15" t="str">
        <f>IF(ISBLANK(Raw_Data!F1001),AVERAGE(Raw_Data!F$2:F$5002),Raw_Data!F1001)</f>
        <v>3513.45</v>
      </c>
      <c r="G1001" s="14" t="str">
        <f>IF(ISBLANK(Raw_Data!G1001),AVERAGE(Raw_Data!G$2:G$5002),Raw_Data!G1001)</f>
        <v>8580.49</v>
      </c>
      <c r="H1001" s="15" t="str">
        <f t="shared" si="1"/>
        <v>128710.00</v>
      </c>
      <c r="I1001" s="14" t="str">
        <f t="shared" si="2"/>
        <v>120130.00</v>
      </c>
      <c r="J1001" s="16" t="str">
        <f>TEXT(Raw_Data!J1001,"MMM-YYY")</f>
        <v>May-2025</v>
      </c>
      <c r="K1001" s="13" t="str">
        <f>Raw_Data!K1001</f>
        <v>16</v>
      </c>
      <c r="L1001" s="17" t="str">
        <f>Raw_Data!L1001</f>
        <v>Bangalore-South</v>
      </c>
      <c r="M1001" s="13" t="str">
        <f t="shared" si="3"/>
        <v>OK</v>
      </c>
      <c r="N1001" s="18" t="str">
        <f t="shared" si="4"/>
        <v>VALID</v>
      </c>
    </row>
    <row r="1002" ht="15.75" customHeight="1">
      <c r="A1002" s="13" t="str">
        <f>Raw_Data!A1002</f>
        <v>EMP1053</v>
      </c>
      <c r="B1002" s="13" t="str">
        <f>TRIM(CLEAN(Raw_Data!B1002))</f>
        <v>Customer Support</v>
      </c>
      <c r="C1002" s="18" t="s">
        <v>54</v>
      </c>
      <c r="D1002" s="14" t="str">
        <f>IF(ISBLANK(Raw_Data!D1002),AVERAGE(Raw_Data!D$2:D$5002),Raw_Data!D1002)</f>
        <v>113647.39</v>
      </c>
      <c r="E1002" s="15" t="str">
        <f>IF(ISBLANK(Raw_Data!E1002),AVERAGE(Raw_Data!E$2:E$5002),Raw_Data!E1002)</f>
        <v>33637.84</v>
      </c>
      <c r="F1002" s="15" t="str">
        <f>IF(ISBLANK(Raw_Data!F1002),AVERAGE(Raw_Data!F$2:F$5002),Raw_Data!F1002)</f>
        <v>19205.33</v>
      </c>
      <c r="G1002" s="14" t="str">
        <f>IF(ISBLANK(Raw_Data!G1002),AVERAGE(Raw_Data!G$2:G$5002),Raw_Data!G1002)</f>
        <v>16433.96</v>
      </c>
      <c r="H1002" s="15" t="str">
        <f t="shared" si="1"/>
        <v>166491.00</v>
      </c>
      <c r="I1002" s="14" t="str">
        <f t="shared" si="2"/>
        <v>150057.00</v>
      </c>
      <c r="J1002" s="16" t="str">
        <f>TEXT(Raw_Data!J1002,"MMM-YYY")</f>
        <v>Jul-2025</v>
      </c>
      <c r="K1002" s="13" t="str">
        <f>Raw_Data!K1002</f>
        <v>24</v>
      </c>
      <c r="L1002" s="17" t="str">
        <f>Raw_Data!L1002</f>
        <v>Chennai-South</v>
      </c>
      <c r="M1002" s="13" t="str">
        <f t="shared" si="3"/>
        <v>OK</v>
      </c>
      <c r="N1002" s="18" t="str">
        <f t="shared" si="4"/>
        <v>VALID</v>
      </c>
    </row>
    <row r="1003" ht="15.75" customHeight="1">
      <c r="A1003" s="13" t="str">
        <f>Raw_Data!A1003</f>
        <v>EMP1054</v>
      </c>
      <c r="B1003" s="13" t="s">
        <v>53</v>
      </c>
      <c r="C1003" s="18" t="s">
        <v>30</v>
      </c>
      <c r="D1003" s="14" t="str">
        <f>IF(ISBLANK(Raw_Data!D1003),AVERAGE(Raw_Data!D$2:D$5002),Raw_Data!D1003)</f>
        <v>108956.87</v>
      </c>
      <c r="E1003" s="15" t="str">
        <f>IF(ISBLANK(Raw_Data!E1003),AVERAGE(Raw_Data!E$2:E$5002),Raw_Data!E1003)</f>
        <v>24022.86</v>
      </c>
      <c r="F1003" s="15" t="str">
        <f>IF(ISBLANK(Raw_Data!F1003),AVERAGE(Raw_Data!F$2:F$5002),Raw_Data!F1003)</f>
        <v>13863.39</v>
      </c>
      <c r="G1003" s="14" t="str">
        <f>IF(ISBLANK(Raw_Data!G1003),AVERAGE(Raw_Data!G$2:G$5002),Raw_Data!G1003)</f>
        <v>19046.37</v>
      </c>
      <c r="H1003" s="15" t="str">
        <f t="shared" si="1"/>
        <v>146843.00</v>
      </c>
      <c r="I1003" s="14" t="str">
        <f t="shared" si="2"/>
        <v>127797.00</v>
      </c>
      <c r="J1003" s="16" t="str">
        <f>TEXT(Raw_Data!J1003,"MMM-YYY")</f>
        <v>Oct-2025</v>
      </c>
      <c r="K1003" s="13" t="str">
        <f>Raw_Data!K1003</f>
        <v>4</v>
      </c>
      <c r="L1003" s="17" t="str">
        <f>Raw_Data!L1003</f>
        <v>Kolkata-East</v>
      </c>
      <c r="M1003" s="13" t="str">
        <f t="shared" si="3"/>
        <v>OK</v>
      </c>
      <c r="N1003" s="18" t="str">
        <f t="shared" si="4"/>
        <v>VALID</v>
      </c>
    </row>
    <row r="1004" ht="15.75" customHeight="1">
      <c r="A1004" s="13" t="str">
        <f>Raw_Data!A1004</f>
        <v>EMP1055</v>
      </c>
      <c r="B1004" s="13" t="str">
        <f>TRIM(CLEAN(Raw_Data!B1004))</f>
        <v>Finance</v>
      </c>
      <c r="C1004" s="18" t="s">
        <v>54</v>
      </c>
      <c r="D1004" s="14" t="str">
        <f>IF(ISBLANK(Raw_Data!D1004),AVERAGE(Raw_Data!D$2:D$5002),Raw_Data!D1004)</f>
        <v>77779.50</v>
      </c>
      <c r="E1004" s="15" t="str">
        <f>IF(ISBLANK(Raw_Data!E1004),AVERAGE(Raw_Data!E$2:E$5002),Raw_Data!E1004)</f>
        <v>32062.60</v>
      </c>
      <c r="F1004" s="15" t="str">
        <f>IF(ISBLANK(Raw_Data!F1004),AVERAGE(Raw_Data!F$2:F$5002),Raw_Data!F1004)</f>
        <v>16027.43</v>
      </c>
      <c r="G1004" s="14" t="str">
        <f>IF(ISBLANK(Raw_Data!G1004),AVERAGE(Raw_Data!G$2:G$5002),Raw_Data!G1004)</f>
        <v>18863.40</v>
      </c>
      <c r="H1004" s="15" t="str">
        <f t="shared" si="1"/>
        <v>125870.00</v>
      </c>
      <c r="I1004" s="14" t="str">
        <f t="shared" si="2"/>
        <v>107007.00</v>
      </c>
      <c r="J1004" s="16" t="str">
        <f>TEXT(Raw_Data!J1004,"MMM-YYY")</f>
        <v>May-2025</v>
      </c>
      <c r="K1004" s="13" t="str">
        <f>Raw_Data!K1004</f>
        <v>16</v>
      </c>
      <c r="L1004" s="17" t="str">
        <f>Raw_Data!L1004</f>
        <v>Pune-West</v>
      </c>
      <c r="M1004" s="13" t="str">
        <f t="shared" si="3"/>
        <v>OK</v>
      </c>
      <c r="N1004" s="18" t="str">
        <f t="shared" si="4"/>
        <v>VALID</v>
      </c>
    </row>
    <row r="1005" ht="15.75" customHeight="1">
      <c r="A1005" s="13" t="str">
        <f>Raw_Data!A1005</f>
        <v>EMP1056</v>
      </c>
      <c r="B1005" s="13" t="str">
        <f>TRIM(CLEAN(Raw_Data!B1005))</f>
        <v>Customer Support</v>
      </c>
      <c r="C1005" s="18" t="s">
        <v>14</v>
      </c>
      <c r="D1005" s="14" t="str">
        <f>IF(ISBLANK(Raw_Data!D1005),AVERAGE(Raw_Data!D$2:D$5002),Raw_Data!D1005)</f>
        <v>111796.79</v>
      </c>
      <c r="E1005" s="15" t="str">
        <f>IF(ISBLANK(Raw_Data!E1005),AVERAGE(Raw_Data!E$2:E$5002),Raw_Data!E1005)</f>
        <v>4583.21</v>
      </c>
      <c r="F1005" s="15" t="str">
        <f>IF(ISBLANK(Raw_Data!F1005),AVERAGE(Raw_Data!F$2:F$5002),Raw_Data!F1005)</f>
        <v>7952.70</v>
      </c>
      <c r="G1005" s="14" t="str">
        <f>IF(ISBLANK(Raw_Data!G1005),AVERAGE(Raw_Data!G$2:G$5002),Raw_Data!G1005)</f>
        <v>12991.91</v>
      </c>
      <c r="H1005" s="15" t="str">
        <f t="shared" si="1"/>
        <v>124333.00</v>
      </c>
      <c r="I1005" s="14" t="str">
        <f t="shared" si="2"/>
        <v>111341.00</v>
      </c>
      <c r="J1005" s="16" t="str">
        <f>TEXT(Raw_Data!J1005,"MMM-YYY")</f>
        <v>Aug-2025</v>
      </c>
      <c r="K1005" s="13" t="str">
        <f>Raw_Data!K1005</f>
        <v>17</v>
      </c>
      <c r="L1005" s="17" t="str">
        <f>Raw_Data!L1005</f>
        <v>Hyderabad-South</v>
      </c>
      <c r="M1005" s="13" t="str">
        <f t="shared" si="3"/>
        <v>OK</v>
      </c>
      <c r="N1005" s="18" t="str">
        <f t="shared" si="4"/>
        <v>VALID</v>
      </c>
    </row>
    <row r="1006" ht="15.75" customHeight="1">
      <c r="A1006" s="13" t="str">
        <f>Raw_Data!A1006</f>
        <v>EMP1057</v>
      </c>
      <c r="B1006" s="13" t="str">
        <f>TRIM(CLEAN(Raw_Data!B1006))</f>
        <v>Finance</v>
      </c>
      <c r="C1006" s="18" t="s">
        <v>26</v>
      </c>
      <c r="D1006" s="14" t="str">
        <f>IF(ISBLANK(Raw_Data!D1006),AVERAGE(Raw_Data!D$2:D$5002),Raw_Data!D1006)</f>
        <v>24291.71</v>
      </c>
      <c r="E1006" s="15" t="str">
        <f>IF(ISBLANK(Raw_Data!E1006),AVERAGE(Raw_Data!E$2:E$5002),Raw_Data!E1006)</f>
        <v>33461.70</v>
      </c>
      <c r="F1006" s="15" t="str">
        <f>IF(ISBLANK(Raw_Data!F1006),AVERAGE(Raw_Data!F$2:F$5002),Raw_Data!F1006)</f>
        <v>6726.25</v>
      </c>
      <c r="G1006" s="14" t="str">
        <f>IF(ISBLANK(Raw_Data!G1006),AVERAGE(Raw_Data!G$2:G$5002),Raw_Data!G1006)</f>
        <v>20365.10</v>
      </c>
      <c r="H1006" s="15" t="str">
        <f t="shared" si="1"/>
        <v>64480.00</v>
      </c>
      <c r="I1006" s="14" t="str">
        <f t="shared" si="2"/>
        <v>44115.00</v>
      </c>
      <c r="J1006" s="16" t="str">
        <f>TEXT(Raw_Data!J1006,"MMM-YYY")</f>
        <v>Nov-2025</v>
      </c>
      <c r="K1006" s="13" t="str">
        <f>Raw_Data!K1006</f>
        <v>2</v>
      </c>
      <c r="L1006" s="17" t="str">
        <f>Raw_Data!L1006</f>
        <v>Chandigarh-North</v>
      </c>
      <c r="M1006" s="13" t="str">
        <f t="shared" si="3"/>
        <v>OK</v>
      </c>
      <c r="N1006" s="18" t="str">
        <f t="shared" si="4"/>
        <v>VALID</v>
      </c>
    </row>
    <row r="1007" ht="15.75" customHeight="1">
      <c r="A1007" s="13" t="str">
        <f>Raw_Data!A1007</f>
        <v>EMP1058</v>
      </c>
      <c r="B1007" s="13" t="str">
        <f>TRIM(CLEAN(Raw_Data!B1007))</f>
        <v>Marketing</v>
      </c>
      <c r="C1007" s="18" t="s">
        <v>37</v>
      </c>
      <c r="D1007" s="14" t="str">
        <f>IF(ISBLANK(Raw_Data!D1007),AVERAGE(Raw_Data!D$2:D$5002),Raw_Data!D1007)</f>
        <v>35578.20</v>
      </c>
      <c r="E1007" s="15" t="str">
        <f>IF(ISBLANK(Raw_Data!E1007),AVERAGE(Raw_Data!E$2:E$5002),Raw_Data!E1007)</f>
        <v>5445.00</v>
      </c>
      <c r="F1007" s="15" t="str">
        <f>IF(ISBLANK(Raw_Data!F1007),AVERAGE(Raw_Data!F$2:F$5002),Raw_Data!F1007)</f>
        <v>4689.68</v>
      </c>
      <c r="G1007" s="14" t="str">
        <f>IF(ISBLANK(Raw_Data!G1007),AVERAGE(Raw_Data!G$2:G$5002),Raw_Data!G1007)</f>
        <v>11208.41</v>
      </c>
      <c r="H1007" s="15" t="str">
        <f t="shared" si="1"/>
        <v>45713.00</v>
      </c>
      <c r="I1007" s="14" t="str">
        <f t="shared" si="2"/>
        <v>34505.00</v>
      </c>
      <c r="J1007" s="16" t="str">
        <f>TEXT(Raw_Data!J1007,"MMM-YYY")</f>
        <v>Mar-2025</v>
      </c>
      <c r="K1007" s="13" t="str">
        <f>Raw_Data!K1007</f>
        <v>16</v>
      </c>
      <c r="L1007" s="17" t="str">
        <f>Raw_Data!L1007</f>
        <v>Ahmedabad-West</v>
      </c>
      <c r="M1007" s="13" t="str">
        <f t="shared" si="3"/>
        <v>OK</v>
      </c>
      <c r="N1007" s="18" t="str">
        <f t="shared" si="4"/>
        <v>VALID</v>
      </c>
    </row>
    <row r="1008" ht="15.75" customHeight="1">
      <c r="A1008" s="13" t="str">
        <f>Raw_Data!A1008</f>
        <v>EMP1059</v>
      </c>
      <c r="B1008" s="13" t="str">
        <f>TRIM(CLEAN(Raw_Data!B1008))</f>
        <v>Marketing</v>
      </c>
      <c r="C1008" s="18" t="s">
        <v>33</v>
      </c>
      <c r="D1008" s="14" t="str">
        <f>IF(ISBLANK(Raw_Data!D1008),AVERAGE(Raw_Data!D$2:D$5002),Raw_Data!D1008)</f>
        <v>19748.87</v>
      </c>
      <c r="E1008" s="15" t="str">
        <f>IF(ISBLANK(Raw_Data!E1008),AVERAGE(Raw_Data!E$2:E$5002),Raw_Data!E1008)</f>
        <v>36036.88</v>
      </c>
      <c r="F1008" s="15" t="str">
        <f>IF(ISBLANK(Raw_Data!F1008),AVERAGE(Raw_Data!F$2:F$5002),Raw_Data!F1008)</f>
        <v>9612.96</v>
      </c>
      <c r="G1008" s="14" t="str">
        <f>IF(ISBLANK(Raw_Data!G1008),AVERAGE(Raw_Data!G$2:G$5002),Raw_Data!G1008)</f>
        <v>3535.07</v>
      </c>
      <c r="H1008" s="15" t="str">
        <f t="shared" si="1"/>
        <v>65399.00</v>
      </c>
      <c r="I1008" s="14" t="str">
        <f t="shared" si="2"/>
        <v>61864.00</v>
      </c>
      <c r="J1008" s="16" t="str">
        <f>TEXT(Raw_Data!J1008,"MMM-YYY")</f>
        <v>Jun-2025</v>
      </c>
      <c r="K1008" s="13" t="str">
        <f>Raw_Data!K1008</f>
        <v>4</v>
      </c>
      <c r="L1008" s="17" t="str">
        <f>Raw_Data!L1008</f>
        <v>Jaipur-North</v>
      </c>
      <c r="M1008" s="13" t="str">
        <f t="shared" si="3"/>
        <v>OK</v>
      </c>
      <c r="N1008" s="18" t="str">
        <f t="shared" si="4"/>
        <v>VALID</v>
      </c>
    </row>
    <row r="1009" ht="15.75" customHeight="1">
      <c r="A1009" s="13" t="str">
        <f>Raw_Data!A1009</f>
        <v>EMP1060</v>
      </c>
      <c r="B1009" s="13" t="str">
        <f>TRIM(CLEAN(Raw_Data!B1009))</f>
        <v>Sales</v>
      </c>
      <c r="C1009" s="18" t="s">
        <v>54</v>
      </c>
      <c r="D1009" s="14" t="str">
        <f>IF(ISBLANK(Raw_Data!D1009),AVERAGE(Raw_Data!D$2:D$5002),Raw_Data!D1009)</f>
        <v>49159.68</v>
      </c>
      <c r="E1009" s="15" t="str">
        <f>IF(ISBLANK(Raw_Data!E1009),AVERAGE(Raw_Data!E$2:E$5002),Raw_Data!E1009)</f>
        <v>39710.66</v>
      </c>
      <c r="F1009" s="15" t="str">
        <f>IF(ISBLANK(Raw_Data!F1009),AVERAGE(Raw_Data!F$2:F$5002),Raw_Data!F1009)</f>
        <v>11036.57</v>
      </c>
      <c r="G1009" s="14" t="str">
        <f>IF(ISBLANK(Raw_Data!G1009),AVERAGE(Raw_Data!G$2:G$5002),Raw_Data!G1009)</f>
        <v>14328.83</v>
      </c>
      <c r="H1009" s="15" t="str">
        <f t="shared" si="1"/>
        <v>99907.00</v>
      </c>
      <c r="I1009" s="14" t="str">
        <f t="shared" si="2"/>
        <v>85578.00</v>
      </c>
      <c r="J1009" s="16" t="str">
        <f>TEXT(Raw_Data!J1009,"MMM-YYY")</f>
        <v>Sep-2025</v>
      </c>
      <c r="K1009" s="13" t="str">
        <f>Raw_Data!K1009</f>
        <v>7</v>
      </c>
      <c r="L1009" s="17" t="str">
        <f>Raw_Data!L1009</f>
        <v>Mumbai-HO</v>
      </c>
      <c r="M1009" s="13" t="str">
        <f t="shared" si="3"/>
        <v>OK</v>
      </c>
      <c r="N1009" s="18" t="str">
        <f t="shared" si="4"/>
        <v>VALID</v>
      </c>
    </row>
    <row r="1010" ht="15.75" customHeight="1">
      <c r="A1010" s="13" t="str">
        <f>Raw_Data!A1010</f>
        <v>EMP1061</v>
      </c>
      <c r="B1010" s="13" t="str">
        <f>TRIM(CLEAN(Raw_Data!B1010))</f>
        <v>IT</v>
      </c>
      <c r="C1010" s="18" t="s">
        <v>14</v>
      </c>
      <c r="D1010" s="14" t="str">
        <f>IF(ISBLANK(Raw_Data!D1010),AVERAGE(Raw_Data!D$2:D$5002),Raw_Data!D1010)</f>
        <v>55811.12</v>
      </c>
      <c r="E1010" s="15" t="str">
        <f>IF(ISBLANK(Raw_Data!E1010),AVERAGE(Raw_Data!E$2:E$5002),Raw_Data!E1010)</f>
        <v>14586.43</v>
      </c>
      <c r="F1010" s="15" t="str">
        <f>IF(ISBLANK(Raw_Data!F1010),AVERAGE(Raw_Data!F$2:F$5002),Raw_Data!F1010)</f>
        <v>12635.50</v>
      </c>
      <c r="G1010" s="14" t="str">
        <f>IF(ISBLANK(Raw_Data!G1010),AVERAGE(Raw_Data!G$2:G$5002),Raw_Data!G1010)</f>
        <v>23831.38</v>
      </c>
      <c r="H1010" s="15" t="str">
        <f t="shared" si="1"/>
        <v>83033.00</v>
      </c>
      <c r="I1010" s="14" t="str">
        <f t="shared" si="2"/>
        <v>59202.00</v>
      </c>
      <c r="J1010" s="16" t="str">
        <f>TEXT(Raw_Data!J1010,"MMM-YYY")</f>
        <v>Aug-2025</v>
      </c>
      <c r="K1010" s="13" t="str">
        <f>Raw_Data!K1010</f>
        <v>18</v>
      </c>
      <c r="L1010" s="17" t="str">
        <f>Raw_Data!L1010</f>
        <v>Delhi-North</v>
      </c>
      <c r="M1010" s="13" t="str">
        <f t="shared" si="3"/>
        <v>OK</v>
      </c>
      <c r="N1010" s="18" t="str">
        <f t="shared" si="4"/>
        <v>VALID</v>
      </c>
    </row>
    <row r="1011" ht="15.75" customHeight="1">
      <c r="A1011" s="13" t="str">
        <f>Raw_Data!A1011</f>
        <v>EMP1062</v>
      </c>
      <c r="B1011" s="13" t="str">
        <f>TRIM(CLEAN(Raw_Data!B1011))</f>
        <v>Operations</v>
      </c>
      <c r="C1011" s="18" t="s">
        <v>33</v>
      </c>
      <c r="D1011" s="14" t="str">
        <f>IF(ISBLANK(Raw_Data!D1011),AVERAGE(Raw_Data!D$2:D$5002),Raw_Data!D1011)</f>
        <v>43491.65</v>
      </c>
      <c r="E1011" s="15" t="str">
        <f>IF(ISBLANK(Raw_Data!E1011),AVERAGE(Raw_Data!E$2:E$5002),Raw_Data!E1011)</f>
        <v>11571.47</v>
      </c>
      <c r="F1011" s="15" t="str">
        <f>IF(ISBLANK(Raw_Data!F1011),AVERAGE(Raw_Data!F$2:F$5002),Raw_Data!F1011)</f>
        <v>5142.37</v>
      </c>
      <c r="G1011" s="14" t="str">
        <f>IF(ISBLANK(Raw_Data!G1011),AVERAGE(Raw_Data!G$2:G$5002),Raw_Data!G1011)</f>
        <v>19928.34</v>
      </c>
      <c r="H1011" s="15" t="str">
        <f t="shared" si="1"/>
        <v>60205.00</v>
      </c>
      <c r="I1011" s="14" t="str">
        <f t="shared" si="2"/>
        <v>40277.00</v>
      </c>
      <c r="J1011" s="16" t="str">
        <f>TEXT(Raw_Data!J1011,"MMM-YYY")</f>
        <v>Sep-2025</v>
      </c>
      <c r="K1011" s="13" t="str">
        <f>Raw_Data!K1011</f>
        <v>6</v>
      </c>
      <c r="L1011" s="17" t="str">
        <f>Raw_Data!L1011</f>
        <v>Bangalore-South</v>
      </c>
      <c r="M1011" s="13" t="str">
        <f t="shared" si="3"/>
        <v>OK</v>
      </c>
      <c r="N1011" s="18" t="str">
        <f t="shared" si="4"/>
        <v>VALID</v>
      </c>
    </row>
    <row r="1012" ht="15.75" customHeight="1">
      <c r="A1012" s="13" t="str">
        <f>Raw_Data!A1012</f>
        <v>EMP1063</v>
      </c>
      <c r="B1012" s="13" t="str">
        <f>TRIM(CLEAN(Raw_Data!B1012))</f>
        <v>HR</v>
      </c>
      <c r="C1012" s="18" t="s">
        <v>37</v>
      </c>
      <c r="D1012" s="14" t="str">
        <f>IF(ISBLANK(Raw_Data!D1012),AVERAGE(Raw_Data!D$2:D$5002),Raw_Data!D1012)</f>
        <v>102017.44</v>
      </c>
      <c r="E1012" s="15" t="str">
        <f>IF(ISBLANK(Raw_Data!E1012),AVERAGE(Raw_Data!E$2:E$5002),Raw_Data!E1012)</f>
        <v>31553.08</v>
      </c>
      <c r="F1012" s="15" t="str">
        <f>IF(ISBLANK(Raw_Data!F1012),AVERAGE(Raw_Data!F$2:F$5002),Raw_Data!F1012)</f>
        <v>18973.08</v>
      </c>
      <c r="G1012" s="14" t="str">
        <f>IF(ISBLANK(Raw_Data!G1012),AVERAGE(Raw_Data!G$2:G$5002),Raw_Data!G1012)</f>
        <v>14678.17</v>
      </c>
      <c r="H1012" s="15" t="str">
        <f t="shared" si="1"/>
        <v>152544.00</v>
      </c>
      <c r="I1012" s="14" t="str">
        <f t="shared" si="2"/>
        <v>137866.00</v>
      </c>
      <c r="J1012" s="16" t="str">
        <f>TEXT(Raw_Data!J1012,"MMM-YYY")</f>
        <v>May-2025</v>
      </c>
      <c r="K1012" s="13" t="str">
        <f>Raw_Data!K1012</f>
        <v>18</v>
      </c>
      <c r="L1012" s="17" t="str">
        <f>Raw_Data!L1012</f>
        <v>Chennai-South</v>
      </c>
      <c r="M1012" s="13" t="str">
        <f t="shared" si="3"/>
        <v>OK</v>
      </c>
      <c r="N1012" s="18" t="str">
        <f t="shared" si="4"/>
        <v>VALID</v>
      </c>
    </row>
    <row r="1013" ht="15.75" customHeight="1">
      <c r="A1013" s="13" t="str">
        <f>Raw_Data!A1013</f>
        <v>EMP1064</v>
      </c>
      <c r="B1013" s="13" t="str">
        <f>TRIM(CLEAN(Raw_Data!B1013))</f>
        <v>IT</v>
      </c>
      <c r="C1013" s="18" t="s">
        <v>18</v>
      </c>
      <c r="D1013" s="14" t="str">
        <f>IF(ISBLANK(Raw_Data!D1013),AVERAGE(Raw_Data!D$2:D$5002),Raw_Data!D1013)</f>
        <v>52459.10</v>
      </c>
      <c r="E1013" s="15" t="str">
        <f>IF(ISBLANK(Raw_Data!E1013),AVERAGE(Raw_Data!E$2:E$5002),Raw_Data!E1013)</f>
        <v>13108.95</v>
      </c>
      <c r="F1013" s="15" t="str">
        <f>IF(ISBLANK(Raw_Data!F1013),AVERAGE(Raw_Data!F$2:F$5002),Raw_Data!F1013)</f>
        <v>3395.17</v>
      </c>
      <c r="G1013" s="14" t="str">
        <f>IF(ISBLANK(Raw_Data!G1013),AVERAGE(Raw_Data!G$2:G$5002),Raw_Data!G1013)</f>
        <v>16346.74</v>
      </c>
      <c r="H1013" s="15" t="str">
        <f t="shared" si="1"/>
        <v>68963.00</v>
      </c>
      <c r="I1013" s="14" t="str">
        <f t="shared" si="2"/>
        <v>52616.00</v>
      </c>
      <c r="J1013" s="16" t="str">
        <f>TEXT(Raw_Data!J1013,"MMM-YYY")</f>
        <v>Nov-2025</v>
      </c>
      <c r="K1013" s="13" t="str">
        <f>Raw_Data!K1013</f>
        <v>7</v>
      </c>
      <c r="L1013" s="17" t="str">
        <f>Raw_Data!L1013</f>
        <v>Kolkata-East</v>
      </c>
      <c r="M1013" s="13" t="str">
        <f t="shared" si="3"/>
        <v>OK</v>
      </c>
      <c r="N1013" s="18" t="str">
        <f t="shared" si="4"/>
        <v>VALID</v>
      </c>
    </row>
    <row r="1014" ht="15.75" customHeight="1">
      <c r="A1014" s="13" t="str">
        <f>Raw_Data!A1014</f>
        <v>EMP1065</v>
      </c>
      <c r="B1014" s="13" t="str">
        <f>TRIM(CLEAN(Raw_Data!B1014))</f>
        <v>Finance</v>
      </c>
      <c r="C1014" s="18" t="s">
        <v>30</v>
      </c>
      <c r="D1014" s="14" t="str">
        <f>IF(ISBLANK(Raw_Data!D1014),AVERAGE(Raw_Data!D$2:D$5002),Raw_Data!D1014)</f>
        <v>44498.12</v>
      </c>
      <c r="E1014" s="15" t="str">
        <f>IF(ISBLANK(Raw_Data!E1014),AVERAGE(Raw_Data!E$2:E$5002),Raw_Data!E1014)</f>
        <v>35160.25</v>
      </c>
      <c r="F1014" s="15" t="str">
        <f>IF(ISBLANK(Raw_Data!F1014),AVERAGE(Raw_Data!F$2:F$5002),Raw_Data!F1014)</f>
        <v>19313.06</v>
      </c>
      <c r="G1014" s="14" t="str">
        <f>IF(ISBLANK(Raw_Data!G1014),AVERAGE(Raw_Data!G$2:G$5002),Raw_Data!G1014)</f>
        <v>23298.77</v>
      </c>
      <c r="H1014" s="15" t="str">
        <f t="shared" si="1"/>
        <v>98971.00</v>
      </c>
      <c r="I1014" s="14" t="str">
        <f t="shared" si="2"/>
        <v>75672.00</v>
      </c>
      <c r="J1014" s="16" t="str">
        <f>TEXT(Raw_Data!J1014,"MMM-YYY")</f>
        <v>May-2025</v>
      </c>
      <c r="K1014" s="13" t="str">
        <f>Raw_Data!K1014</f>
        <v>2</v>
      </c>
      <c r="L1014" s="17" t="str">
        <f>Raw_Data!L1014</f>
        <v>Pune-West</v>
      </c>
      <c r="M1014" s="13" t="str">
        <f t="shared" si="3"/>
        <v>OK</v>
      </c>
      <c r="N1014" s="18" t="str">
        <f t="shared" si="4"/>
        <v>VALID</v>
      </c>
    </row>
    <row r="1015" ht="15.75" customHeight="1">
      <c r="A1015" s="13" t="str">
        <f>Raw_Data!A1015</f>
        <v>EMP1066</v>
      </c>
      <c r="B1015" s="13" t="str">
        <f>TRIM(CLEAN(Raw_Data!B1015))</f>
        <v>Sales</v>
      </c>
      <c r="C1015" s="18" t="s">
        <v>33</v>
      </c>
      <c r="D1015" s="14" t="str">
        <f>IF(ISBLANK(Raw_Data!D1015),AVERAGE(Raw_Data!D$2:D$5002),Raw_Data!D1015)</f>
        <v>71983.09</v>
      </c>
      <c r="E1015" s="15" t="str">
        <f>IF(ISBLANK(Raw_Data!E1015),AVERAGE(Raw_Data!E$2:E$5002),Raw_Data!E1015)</f>
        <v>7702.33</v>
      </c>
      <c r="F1015" s="15" t="str">
        <f>IF(ISBLANK(Raw_Data!F1015),AVERAGE(Raw_Data!F$2:F$5002),Raw_Data!F1015)</f>
        <v>297.12</v>
      </c>
      <c r="G1015" s="14" t="str">
        <f>IF(ISBLANK(Raw_Data!G1015),AVERAGE(Raw_Data!G$2:G$5002),Raw_Data!G1015)</f>
        <v>10994.40</v>
      </c>
      <c r="H1015" s="15" t="str">
        <f t="shared" si="1"/>
        <v>79983.00</v>
      </c>
      <c r="I1015" s="14" t="str">
        <f t="shared" si="2"/>
        <v>68989.00</v>
      </c>
      <c r="J1015" s="16" t="str">
        <f>TEXT(Raw_Data!J1015,"MMM-YYY")</f>
        <v>May-2025</v>
      </c>
      <c r="K1015" s="13" t="str">
        <f>Raw_Data!K1015</f>
        <v>19</v>
      </c>
      <c r="L1015" s="17" t="str">
        <f>Raw_Data!L1015</f>
        <v>Hyderabad-South</v>
      </c>
      <c r="M1015" s="13" t="str">
        <f t="shared" si="3"/>
        <v>OK</v>
      </c>
      <c r="N1015" s="18" t="str">
        <f t="shared" si="4"/>
        <v>VALID</v>
      </c>
    </row>
    <row r="1016" ht="15.75" customHeight="1">
      <c r="A1016" s="13" t="str">
        <f>Raw_Data!A1016</f>
        <v>EMP1067</v>
      </c>
      <c r="B1016" s="13" t="str">
        <f>TRIM(CLEAN(Raw_Data!B1016))</f>
        <v>Sales</v>
      </c>
      <c r="C1016" s="18" t="s">
        <v>37</v>
      </c>
      <c r="D1016" s="14" t="str">
        <f>IF(ISBLANK(Raw_Data!D1016),AVERAGE(Raw_Data!D$2:D$5002),Raw_Data!D1016)</f>
        <v>29797.04</v>
      </c>
      <c r="E1016" s="15" t="str">
        <f>IF(ISBLANK(Raw_Data!E1016),AVERAGE(Raw_Data!E$2:E$5002),Raw_Data!E1016)</f>
        <v>8534.39</v>
      </c>
      <c r="F1016" s="15" t="str">
        <f>IF(ISBLANK(Raw_Data!F1016),AVERAGE(Raw_Data!F$2:F$5002),Raw_Data!F1016)</f>
        <v>9622.51</v>
      </c>
      <c r="G1016" s="14" t="str">
        <f>IF(ISBLANK(Raw_Data!G1016),AVERAGE(Raw_Data!G$2:G$5002),Raw_Data!G1016)</f>
        <v>8619.16</v>
      </c>
      <c r="H1016" s="15" t="str">
        <f t="shared" si="1"/>
        <v>47954.00</v>
      </c>
      <c r="I1016" s="14" t="str">
        <f t="shared" si="2"/>
        <v>39335.00</v>
      </c>
      <c r="J1016" s="16" t="str">
        <f>TEXT(Raw_Data!J1016,"MMM-YYY")</f>
        <v>Sep-2025</v>
      </c>
      <c r="K1016" s="13" t="str">
        <f>Raw_Data!K1016</f>
        <v>9</v>
      </c>
      <c r="L1016" s="17" t="str">
        <f>Raw_Data!L1016</f>
        <v>Chandigarh-North</v>
      </c>
      <c r="M1016" s="13" t="str">
        <f t="shared" si="3"/>
        <v>OK</v>
      </c>
      <c r="N1016" s="18" t="str">
        <f t="shared" si="4"/>
        <v>VALID</v>
      </c>
    </row>
    <row r="1017" ht="15.75" customHeight="1">
      <c r="A1017" s="13" t="str">
        <f>Raw_Data!A1017</f>
        <v>EMP1068</v>
      </c>
      <c r="B1017" s="13" t="str">
        <f>TRIM(CLEAN(Raw_Data!B1017))</f>
        <v>HR</v>
      </c>
      <c r="C1017" s="18" t="s">
        <v>33</v>
      </c>
      <c r="D1017" s="14" t="str">
        <f>IF(ISBLANK(Raw_Data!D1017),AVERAGE(Raw_Data!D$2:D$5002),Raw_Data!D1017)</f>
        <v>99230.68</v>
      </c>
      <c r="E1017" s="15" t="str">
        <f>IF(ISBLANK(Raw_Data!E1017),AVERAGE(Raw_Data!E$2:E$5002),Raw_Data!E1017)</f>
        <v>39249.46</v>
      </c>
      <c r="F1017" s="15" t="str">
        <f>IF(ISBLANK(Raw_Data!F1017),AVERAGE(Raw_Data!F$2:F$5002),Raw_Data!F1017)</f>
        <v>6667.36</v>
      </c>
      <c r="G1017" s="14" t="str">
        <f>IF(ISBLANK(Raw_Data!G1017),AVERAGE(Raw_Data!G$2:G$5002),Raw_Data!G1017)</f>
        <v>24442.42</v>
      </c>
      <c r="H1017" s="15" t="str">
        <f t="shared" si="1"/>
        <v>145148.00</v>
      </c>
      <c r="I1017" s="14" t="str">
        <f t="shared" si="2"/>
        <v>120706.00</v>
      </c>
      <c r="J1017" s="16" t="str">
        <f>TEXT(Raw_Data!J1017,"MMM-YYY")</f>
        <v>Apr-2025</v>
      </c>
      <c r="K1017" s="13" t="str">
        <f>Raw_Data!K1017</f>
        <v>4</v>
      </c>
      <c r="L1017" s="17" t="str">
        <f>Raw_Data!L1017</f>
        <v>Ahmedabad-West</v>
      </c>
      <c r="M1017" s="13" t="str">
        <f t="shared" si="3"/>
        <v>OK</v>
      </c>
      <c r="N1017" s="18" t="str">
        <f t="shared" si="4"/>
        <v>VALID</v>
      </c>
    </row>
    <row r="1018" ht="15.75" customHeight="1">
      <c r="A1018" s="13" t="str">
        <f>Raw_Data!A1018</f>
        <v>EMP1069</v>
      </c>
      <c r="B1018" s="13" t="str">
        <f>TRIM(CLEAN(Raw_Data!B1018))</f>
        <v>Customer Support</v>
      </c>
      <c r="C1018" s="18" t="s">
        <v>14</v>
      </c>
      <c r="D1018" s="14" t="str">
        <f>IF(ISBLANK(Raw_Data!D1018),AVERAGE(Raw_Data!D$2:D$5002),Raw_Data!D1018)</f>
        <v>22827.82</v>
      </c>
      <c r="E1018" s="15" t="str">
        <f>IF(ISBLANK(Raw_Data!E1018),AVERAGE(Raw_Data!E$2:E$5002),Raw_Data!E1018)</f>
        <v>28258.20</v>
      </c>
      <c r="F1018" s="15" t="str">
        <f>IF(ISBLANK(Raw_Data!F1018),AVERAGE(Raw_Data!F$2:F$5002),Raw_Data!F1018)</f>
        <v>8982.47</v>
      </c>
      <c r="G1018" s="14" t="str">
        <f>IF(ISBLANK(Raw_Data!G1018),AVERAGE(Raw_Data!G$2:G$5002),Raw_Data!G1018)</f>
        <v>21654.36</v>
      </c>
      <c r="H1018" s="15" t="str">
        <f t="shared" si="1"/>
        <v>60068.00</v>
      </c>
      <c r="I1018" s="14" t="str">
        <f t="shared" si="2"/>
        <v>38414.00</v>
      </c>
      <c r="J1018" s="16" t="str">
        <f>TEXT(Raw_Data!J1018,"MMM-YYY")</f>
        <v>Jun-2025</v>
      </c>
      <c r="K1018" s="13" t="str">
        <f>Raw_Data!K1018</f>
        <v>14</v>
      </c>
      <c r="L1018" s="17" t="str">
        <f>Raw_Data!L1018</f>
        <v>Jaipur-North</v>
      </c>
      <c r="M1018" s="13" t="str">
        <f t="shared" si="3"/>
        <v>OK</v>
      </c>
      <c r="N1018" s="18" t="str">
        <f t="shared" si="4"/>
        <v>VALID</v>
      </c>
    </row>
    <row r="1019" ht="15.75" customHeight="1">
      <c r="A1019" s="13" t="str">
        <f>Raw_Data!A1019</f>
        <v>EMP1070</v>
      </c>
      <c r="B1019" s="13" t="str">
        <f>TRIM(CLEAN(Raw_Data!B1019))</f>
        <v>Finance</v>
      </c>
      <c r="C1019" s="18" t="s">
        <v>37</v>
      </c>
      <c r="D1019" s="14" t="str">
        <f>IF(ISBLANK(Raw_Data!D1019),AVERAGE(Raw_Data!D$2:D$5002),Raw_Data!D1019)</f>
        <v>118623.13</v>
      </c>
      <c r="E1019" s="15" t="str">
        <f>IF(ISBLANK(Raw_Data!E1019),AVERAGE(Raw_Data!E$2:E$5002),Raw_Data!E1019)</f>
        <v>34487.94</v>
      </c>
      <c r="F1019" s="15" t="str">
        <f>IF(ISBLANK(Raw_Data!F1019),AVERAGE(Raw_Data!F$2:F$5002),Raw_Data!F1019)</f>
        <v>11413.29</v>
      </c>
      <c r="G1019" s="14" t="str">
        <f>IF(ISBLANK(Raw_Data!G1019),AVERAGE(Raw_Data!G$2:G$5002),Raw_Data!G1019)</f>
        <v>8414.57</v>
      </c>
      <c r="H1019" s="15" t="str">
        <f t="shared" si="1"/>
        <v>164524.00</v>
      </c>
      <c r="I1019" s="14" t="str">
        <f t="shared" si="2"/>
        <v>156109.00</v>
      </c>
      <c r="J1019" s="16" t="str">
        <f>TEXT(Raw_Data!J1019,"MMM-YYY")</f>
        <v>May-2025</v>
      </c>
      <c r="K1019" s="13" t="str">
        <f>Raw_Data!K1019</f>
        <v>5</v>
      </c>
      <c r="L1019" s="17" t="str">
        <f>Raw_Data!L1019</f>
        <v>Mumbai-HO</v>
      </c>
      <c r="M1019" s="13" t="str">
        <f t="shared" si="3"/>
        <v>OK</v>
      </c>
      <c r="N1019" s="18" t="str">
        <f t="shared" si="4"/>
        <v>VALID</v>
      </c>
    </row>
    <row r="1020" ht="15.75" customHeight="1">
      <c r="A1020" s="13" t="str">
        <f>Raw_Data!A1020</f>
        <v>EMP1071</v>
      </c>
      <c r="B1020" s="13" t="str">
        <f>TRIM(CLEAN(Raw_Data!B1020))</f>
        <v>Finance</v>
      </c>
      <c r="C1020" s="18" t="s">
        <v>37</v>
      </c>
      <c r="D1020" s="14" t="str">
        <f>IF(ISBLANK(Raw_Data!D1020),AVERAGE(Raw_Data!D$2:D$5002),Raw_Data!D1020)</f>
        <v>96085.70</v>
      </c>
      <c r="E1020" s="15" t="str">
        <f>IF(ISBLANK(Raw_Data!E1020),AVERAGE(Raw_Data!E$2:E$5002),Raw_Data!E1020)</f>
        <v>15675.86</v>
      </c>
      <c r="F1020" s="15" t="str">
        <f>IF(ISBLANK(Raw_Data!F1020),AVERAGE(Raw_Data!F$2:F$5002),Raw_Data!F1020)</f>
        <v>8711.78</v>
      </c>
      <c r="G1020" s="14" t="str">
        <f>IF(ISBLANK(Raw_Data!G1020),AVERAGE(Raw_Data!G$2:G$5002),Raw_Data!G1020)</f>
        <v>11862.62</v>
      </c>
      <c r="H1020" s="15" t="str">
        <f t="shared" si="1"/>
        <v>120473.00</v>
      </c>
      <c r="I1020" s="14" t="str">
        <f t="shared" si="2"/>
        <v>108610.00</v>
      </c>
      <c r="J1020" s="16" t="str">
        <f>TEXT(Raw_Data!J1020,"MMM-YYY")</f>
        <v>Nov-2025</v>
      </c>
      <c r="K1020" s="13" t="str">
        <f>Raw_Data!K1020</f>
        <v>25</v>
      </c>
      <c r="L1020" s="17" t="str">
        <f>Raw_Data!L1020</f>
        <v>Delhi-North</v>
      </c>
      <c r="M1020" s="13" t="str">
        <f t="shared" si="3"/>
        <v>OK</v>
      </c>
      <c r="N1020" s="18" t="str">
        <f t="shared" si="4"/>
        <v>VALID</v>
      </c>
    </row>
    <row r="1021" ht="15.75" customHeight="1">
      <c r="A1021" s="13" t="str">
        <f>Raw_Data!A1021</f>
        <v>EMP1072</v>
      </c>
      <c r="B1021" s="13" t="str">
        <f>TRIM(CLEAN(Raw_Data!B1021))</f>
        <v>Sales</v>
      </c>
      <c r="C1021" s="18" t="s">
        <v>18</v>
      </c>
      <c r="D1021" s="14" t="str">
        <f>IF(ISBLANK(Raw_Data!D1021),AVERAGE(Raw_Data!D$2:D$5002),Raw_Data!D1021)</f>
        <v>35865.15</v>
      </c>
      <c r="E1021" s="15" t="str">
        <f>IF(ISBLANK(Raw_Data!E1021),AVERAGE(Raw_Data!E$2:E$5002),Raw_Data!E1021)</f>
        <v>28353.41</v>
      </c>
      <c r="F1021" s="15" t="str">
        <f>IF(ISBLANK(Raw_Data!F1021),AVERAGE(Raw_Data!F$2:F$5002),Raw_Data!F1021)</f>
        <v>8296.94</v>
      </c>
      <c r="G1021" s="14" t="str">
        <f>IF(ISBLANK(Raw_Data!G1021),AVERAGE(Raw_Data!G$2:G$5002),Raw_Data!G1021)</f>
        <v>10669.41</v>
      </c>
      <c r="H1021" s="15" t="str">
        <f t="shared" si="1"/>
        <v>72516.00</v>
      </c>
      <c r="I1021" s="14" t="str">
        <f t="shared" si="2"/>
        <v>61847.00</v>
      </c>
      <c r="J1021" s="16" t="str">
        <f>TEXT(Raw_Data!J1021,"MMM-YYY")</f>
        <v>Sep-2025</v>
      </c>
      <c r="K1021" s="13" t="str">
        <f>Raw_Data!K1021</f>
        <v>7</v>
      </c>
      <c r="L1021" s="17" t="str">
        <f>Raw_Data!L1021</f>
        <v>Bangalore-South</v>
      </c>
      <c r="M1021" s="13" t="str">
        <f t="shared" si="3"/>
        <v>OK</v>
      </c>
      <c r="N1021" s="18" t="str">
        <f t="shared" si="4"/>
        <v>VALID</v>
      </c>
    </row>
    <row r="1022" ht="15.75" customHeight="1">
      <c r="A1022" s="13" t="str">
        <f>Raw_Data!A1022</f>
        <v>EMP1073</v>
      </c>
      <c r="B1022" s="13" t="str">
        <f>TRIM(CLEAN(Raw_Data!B1022))</f>
        <v>Operations</v>
      </c>
      <c r="C1022" s="18" t="s">
        <v>30</v>
      </c>
      <c r="D1022" s="14" t="str">
        <f>IF(ISBLANK(Raw_Data!D1022),AVERAGE(Raw_Data!D$2:D$5002),Raw_Data!D1022)</f>
        <v>15579.82</v>
      </c>
      <c r="E1022" s="15" t="str">
        <f>IF(ISBLANK(Raw_Data!E1022),AVERAGE(Raw_Data!E$2:E$5002),Raw_Data!E1022)</f>
        <v>25392.71</v>
      </c>
      <c r="F1022" s="15" t="str">
        <f>IF(ISBLANK(Raw_Data!F1022),AVERAGE(Raw_Data!F$2:F$5002),Raw_Data!F1022)</f>
        <v>14654.47</v>
      </c>
      <c r="G1022" s="14" t="str">
        <f>IF(ISBLANK(Raw_Data!G1022),AVERAGE(Raw_Data!G$2:G$5002),Raw_Data!G1022)</f>
        <v>4152.84</v>
      </c>
      <c r="H1022" s="15" t="str">
        <f t="shared" si="1"/>
        <v>55627.00</v>
      </c>
      <c r="I1022" s="14" t="str">
        <f t="shared" si="2"/>
        <v>51474.00</v>
      </c>
      <c r="J1022" s="16" t="str">
        <f>TEXT(Raw_Data!J1022,"MMM-YYY")</f>
        <v>Sep-2025</v>
      </c>
      <c r="K1022" s="13" t="str">
        <f>Raw_Data!K1022</f>
        <v>8</v>
      </c>
      <c r="L1022" s="17" t="str">
        <f>Raw_Data!L1022</f>
        <v>Chennai-South</v>
      </c>
      <c r="M1022" s="13" t="str">
        <f t="shared" si="3"/>
        <v>OK</v>
      </c>
      <c r="N1022" s="18" t="str">
        <f t="shared" si="4"/>
        <v>VALID</v>
      </c>
    </row>
    <row r="1023" ht="15.75" customHeight="1">
      <c r="A1023" s="13" t="str">
        <f>Raw_Data!A1023</f>
        <v>EMP1074</v>
      </c>
      <c r="B1023" s="13" t="str">
        <f>TRIM(CLEAN(Raw_Data!B1023))</f>
        <v>Sales</v>
      </c>
      <c r="C1023" s="18" t="s">
        <v>37</v>
      </c>
      <c r="D1023" s="14" t="str">
        <f>IF(ISBLANK(Raw_Data!D1023),AVERAGE(Raw_Data!D$2:D$5002),Raw_Data!D1023)</f>
        <v>100623.45</v>
      </c>
      <c r="E1023" s="15" t="str">
        <f>IF(ISBLANK(Raw_Data!E1023),AVERAGE(Raw_Data!E$2:E$5002),Raw_Data!E1023)</f>
        <v>25713.40</v>
      </c>
      <c r="F1023" s="15" t="str">
        <f>IF(ISBLANK(Raw_Data!F1023),AVERAGE(Raw_Data!F$2:F$5002),Raw_Data!F1023)</f>
        <v>13717.53</v>
      </c>
      <c r="G1023" s="14" t="str">
        <f>IF(ISBLANK(Raw_Data!G1023),AVERAGE(Raw_Data!G$2:G$5002),Raw_Data!G1023)</f>
        <v>23966.57</v>
      </c>
      <c r="H1023" s="15" t="str">
        <f t="shared" si="1"/>
        <v>140054.00</v>
      </c>
      <c r="I1023" s="14" t="str">
        <f t="shared" si="2"/>
        <v>116087.00</v>
      </c>
      <c r="J1023" s="16" t="str">
        <f>TEXT(Raw_Data!J1023,"MMM-YYY")</f>
        <v>May-2025</v>
      </c>
      <c r="K1023" s="13" t="str">
        <f>Raw_Data!K1023</f>
        <v>15</v>
      </c>
      <c r="L1023" s="17" t="str">
        <f>Raw_Data!L1023</f>
        <v>Kolkata-East</v>
      </c>
      <c r="M1023" s="13" t="str">
        <f t="shared" si="3"/>
        <v>OK</v>
      </c>
      <c r="N1023" s="18" t="str">
        <f t="shared" si="4"/>
        <v>VALID</v>
      </c>
    </row>
    <row r="1024" ht="15.75" customHeight="1">
      <c r="A1024" s="13" t="str">
        <f>Raw_Data!A1024</f>
        <v>EMP1075</v>
      </c>
      <c r="B1024" s="13" t="str">
        <f>TRIM(CLEAN(Raw_Data!B1024))</f>
        <v>HR</v>
      </c>
      <c r="C1024" s="18" t="s">
        <v>14</v>
      </c>
      <c r="D1024" s="14" t="str">
        <f>IF(ISBLANK(Raw_Data!D1024),AVERAGE(Raw_Data!D$2:D$5002),Raw_Data!D1024)</f>
        <v>89220.02</v>
      </c>
      <c r="E1024" s="15" t="str">
        <f>IF(ISBLANK(Raw_Data!E1024),AVERAGE(Raw_Data!E$2:E$5002),Raw_Data!E1024)</f>
        <v>28571.17</v>
      </c>
      <c r="F1024" s="15" t="str">
        <f>IF(ISBLANK(Raw_Data!F1024),AVERAGE(Raw_Data!F$2:F$5002),Raw_Data!F1024)</f>
        <v>16665.43</v>
      </c>
      <c r="G1024" s="14" t="str">
        <f>IF(ISBLANK(Raw_Data!G1024),AVERAGE(Raw_Data!G$2:G$5002),Raw_Data!G1024)</f>
        <v>10405.65</v>
      </c>
      <c r="H1024" s="15" t="str">
        <f t="shared" si="1"/>
        <v>134457.00</v>
      </c>
      <c r="I1024" s="14" t="str">
        <f t="shared" si="2"/>
        <v>124051.00</v>
      </c>
      <c r="J1024" s="16" t="str">
        <f>TEXT(Raw_Data!J1024,"MMM-YYY")</f>
        <v>Nov-2025</v>
      </c>
      <c r="K1024" s="13" t="str">
        <f>Raw_Data!K1024</f>
        <v>19</v>
      </c>
      <c r="L1024" s="17" t="str">
        <f>Raw_Data!L1024</f>
        <v>Pune-West</v>
      </c>
      <c r="M1024" s="13" t="str">
        <f t="shared" si="3"/>
        <v>OK</v>
      </c>
      <c r="N1024" s="18" t="str">
        <f t="shared" si="4"/>
        <v>VALID</v>
      </c>
    </row>
    <row r="1025" ht="15.75" customHeight="1">
      <c r="A1025" s="13" t="str">
        <f>Raw_Data!A1025</f>
        <v>EMP1076</v>
      </c>
      <c r="B1025" s="13" t="str">
        <f>TRIM(CLEAN(Raw_Data!B1025))</f>
        <v>Operations</v>
      </c>
      <c r="C1025" s="18" t="s">
        <v>37</v>
      </c>
      <c r="D1025" s="14" t="str">
        <f>IF(ISBLANK(Raw_Data!D1025),AVERAGE(Raw_Data!D$2:D$5002),Raw_Data!D1025)</f>
        <v>91545.75</v>
      </c>
      <c r="E1025" s="15" t="str">
        <f>IF(ISBLANK(Raw_Data!E1025),AVERAGE(Raw_Data!E$2:E$5002),Raw_Data!E1025)</f>
        <v>24712.93</v>
      </c>
      <c r="F1025" s="15" t="str">
        <f>IF(ISBLANK(Raw_Data!F1025),AVERAGE(Raw_Data!F$2:F$5002),Raw_Data!F1025)</f>
        <v>4999.18</v>
      </c>
      <c r="G1025" s="14" t="str">
        <f>IF(ISBLANK(Raw_Data!G1025),AVERAGE(Raw_Data!G$2:G$5002),Raw_Data!G1025)</f>
        <v>21945.56</v>
      </c>
      <c r="H1025" s="15" t="str">
        <f t="shared" si="1"/>
        <v>121258.00</v>
      </c>
      <c r="I1025" s="14" t="str">
        <f t="shared" si="2"/>
        <v>99312.00</v>
      </c>
      <c r="J1025" s="16" t="str">
        <f>TEXT(Raw_Data!J1025,"MMM-YYY")</f>
        <v>Aug-2025</v>
      </c>
      <c r="K1025" s="13" t="str">
        <f>Raw_Data!K1025</f>
        <v>11</v>
      </c>
      <c r="L1025" s="17" t="str">
        <f>Raw_Data!L1025</f>
        <v>Hyderabad-South</v>
      </c>
      <c r="M1025" s="13" t="str">
        <f t="shared" si="3"/>
        <v>OK</v>
      </c>
      <c r="N1025" s="18" t="str">
        <f t="shared" si="4"/>
        <v>VALID</v>
      </c>
    </row>
    <row r="1026" ht="15.75" customHeight="1">
      <c r="A1026" s="13" t="str">
        <f>Raw_Data!A1026</f>
        <v>EMP1077</v>
      </c>
      <c r="B1026" s="13" t="str">
        <f>TRIM(CLEAN(Raw_Data!B1026))</f>
        <v>Operations</v>
      </c>
      <c r="C1026" s="18" t="s">
        <v>37</v>
      </c>
      <c r="D1026" s="14" t="str">
        <f>IF(ISBLANK(Raw_Data!D1026),AVERAGE(Raw_Data!D$2:D$5002),Raw_Data!D1026)</f>
        <v>95983.39</v>
      </c>
      <c r="E1026" s="15" t="str">
        <f>IF(ISBLANK(Raw_Data!E1026),AVERAGE(Raw_Data!E$2:E$5002),Raw_Data!E1026)</f>
        <v>19446.25</v>
      </c>
      <c r="F1026" s="15" t="str">
        <f>IF(ISBLANK(Raw_Data!F1026),AVERAGE(Raw_Data!F$2:F$5002),Raw_Data!F1026)</f>
        <v>12190.57</v>
      </c>
      <c r="G1026" s="14" t="str">
        <f>IF(ISBLANK(Raw_Data!G1026),AVERAGE(Raw_Data!G$2:G$5002),Raw_Data!G1026)</f>
        <v>5139.23</v>
      </c>
      <c r="H1026" s="15" t="str">
        <f t="shared" si="1"/>
        <v>127620.00</v>
      </c>
      <c r="I1026" s="14" t="str">
        <f t="shared" si="2"/>
        <v>122481.00</v>
      </c>
      <c r="J1026" s="16" t="str">
        <f>TEXT(Raw_Data!J1026,"MMM-YYY")</f>
        <v>Feb-2025</v>
      </c>
      <c r="K1026" s="13" t="str">
        <f>Raw_Data!K1026</f>
        <v>20</v>
      </c>
      <c r="L1026" s="17" t="str">
        <f>Raw_Data!L1026</f>
        <v>Chandigarh-North</v>
      </c>
      <c r="M1026" s="13" t="str">
        <f t="shared" si="3"/>
        <v>OK</v>
      </c>
      <c r="N1026" s="18" t="str">
        <f t="shared" si="4"/>
        <v>VALID</v>
      </c>
    </row>
    <row r="1027" ht="15.75" customHeight="1">
      <c r="A1027" s="13" t="str">
        <f>Raw_Data!A1027</f>
        <v>EMP1078</v>
      </c>
      <c r="B1027" s="13" t="str">
        <f>TRIM(CLEAN(Raw_Data!B1027))</f>
        <v>Customer Support</v>
      </c>
      <c r="C1027" s="18" t="s">
        <v>54</v>
      </c>
      <c r="D1027" s="14" t="str">
        <f>IF(ISBLANK(Raw_Data!D1027),AVERAGE(Raw_Data!D$2:D$5002),Raw_Data!D1027)</f>
        <v>22774.69</v>
      </c>
      <c r="E1027" s="15" t="str">
        <f>IF(ISBLANK(Raw_Data!E1027),AVERAGE(Raw_Data!E$2:E$5002),Raw_Data!E1027)</f>
        <v>13933.22</v>
      </c>
      <c r="F1027" s="15" t="str">
        <f>IF(ISBLANK(Raw_Data!F1027),AVERAGE(Raw_Data!F$2:F$5002),Raw_Data!F1027)</f>
        <v>11703.90</v>
      </c>
      <c r="G1027" s="14" t="str">
        <f>IF(ISBLANK(Raw_Data!G1027),AVERAGE(Raw_Data!G$2:G$5002),Raw_Data!G1027)</f>
        <v>13922.83</v>
      </c>
      <c r="H1027" s="15" t="str">
        <f t="shared" si="1"/>
        <v>48412.00</v>
      </c>
      <c r="I1027" s="14" t="str">
        <f t="shared" si="2"/>
        <v>34489.00</v>
      </c>
      <c r="J1027" s="16" t="str">
        <f>TEXT(Raw_Data!J1027,"MMM-YYY")</f>
        <v>Mar-2025</v>
      </c>
      <c r="K1027" s="13" t="str">
        <f>Raw_Data!K1027</f>
        <v>23</v>
      </c>
      <c r="L1027" s="17" t="str">
        <f>Raw_Data!L1027</f>
        <v>Ahmedabad-West</v>
      </c>
      <c r="M1027" s="13" t="str">
        <f t="shared" si="3"/>
        <v>OK</v>
      </c>
      <c r="N1027" s="18" t="str">
        <f t="shared" si="4"/>
        <v>VALID</v>
      </c>
    </row>
    <row r="1028" ht="15.75" customHeight="1">
      <c r="A1028" s="13" t="str">
        <f>Raw_Data!A1028</f>
        <v>EMP1079</v>
      </c>
      <c r="B1028" s="13" t="str">
        <f>TRIM(CLEAN(Raw_Data!B1028))</f>
        <v>HR</v>
      </c>
      <c r="C1028" s="18" t="s">
        <v>30</v>
      </c>
      <c r="D1028" s="14" t="str">
        <f>IF(ISBLANK(Raw_Data!D1028),AVERAGE(Raw_Data!D$2:D$5002),Raw_Data!D1028)</f>
        <v>52638.90</v>
      </c>
      <c r="E1028" s="15" t="str">
        <f>IF(ISBLANK(Raw_Data!E1028),AVERAGE(Raw_Data!E$2:E$5002),Raw_Data!E1028)</f>
        <v>31668.93</v>
      </c>
      <c r="F1028" s="15" t="str">
        <f>IF(ISBLANK(Raw_Data!F1028),AVERAGE(Raw_Data!F$2:F$5002),Raw_Data!F1028)</f>
        <v>7394.76</v>
      </c>
      <c r="G1028" s="14" t="str">
        <f>IF(ISBLANK(Raw_Data!G1028),AVERAGE(Raw_Data!G$2:G$5002),Raw_Data!G1028)</f>
        <v>1087.05</v>
      </c>
      <c r="H1028" s="15" t="str">
        <f t="shared" si="1"/>
        <v>91703.00</v>
      </c>
      <c r="I1028" s="14" t="str">
        <f t="shared" si="2"/>
        <v>90616.00</v>
      </c>
      <c r="J1028" s="16" t="str">
        <f>TEXT(Raw_Data!J1028,"MMM-YYY")</f>
        <v>Aug-2025</v>
      </c>
      <c r="K1028" s="13" t="str">
        <f>Raw_Data!K1028</f>
        <v>4</v>
      </c>
      <c r="L1028" s="17" t="str">
        <f>Raw_Data!L1028</f>
        <v>Jaipur-North</v>
      </c>
      <c r="M1028" s="13" t="str">
        <f t="shared" si="3"/>
        <v>OK</v>
      </c>
      <c r="N1028" s="18" t="str">
        <f t="shared" si="4"/>
        <v>VALID</v>
      </c>
    </row>
    <row r="1029" ht="15.75" customHeight="1">
      <c r="A1029" s="13" t="str">
        <f>Raw_Data!A1029</f>
        <v>EMP1080</v>
      </c>
      <c r="B1029" s="13" t="str">
        <f>TRIM(CLEAN(Raw_Data!B1029))</f>
        <v>Customer Support</v>
      </c>
      <c r="C1029" s="18" t="s">
        <v>14</v>
      </c>
      <c r="D1029" s="14" t="str">
        <f>IF(ISBLANK(Raw_Data!D1029),AVERAGE(Raw_Data!D$2:D$5002),Raw_Data!D1029)</f>
        <v>27166.25</v>
      </c>
      <c r="E1029" s="15" t="str">
        <f>IF(ISBLANK(Raw_Data!E1029),AVERAGE(Raw_Data!E$2:E$5002),Raw_Data!E1029)</f>
        <v>12145.81</v>
      </c>
      <c r="F1029" s="15" t="str">
        <f>IF(ISBLANK(Raw_Data!F1029),AVERAGE(Raw_Data!F$2:F$5002),Raw_Data!F1029)</f>
        <v>9721.15</v>
      </c>
      <c r="G1029" s="14" t="str">
        <f>IF(ISBLANK(Raw_Data!G1029),AVERAGE(Raw_Data!G$2:G$5002),Raw_Data!G1029)</f>
        <v>19223.40</v>
      </c>
      <c r="H1029" s="15" t="str">
        <f t="shared" si="1"/>
        <v>49033.00</v>
      </c>
      <c r="I1029" s="14" t="str">
        <f t="shared" si="2"/>
        <v>29810.00</v>
      </c>
      <c r="J1029" s="16" t="str">
        <f>TEXT(Raw_Data!J1029,"MMM-YYY")</f>
        <v>Jan-2025</v>
      </c>
      <c r="K1029" s="13" t="str">
        <f>Raw_Data!K1029</f>
        <v>18</v>
      </c>
      <c r="L1029" s="17" t="str">
        <f>Raw_Data!L1029</f>
        <v>Mumbai-HO</v>
      </c>
      <c r="M1029" s="13" t="str">
        <f t="shared" si="3"/>
        <v>OK</v>
      </c>
      <c r="N1029" s="18" t="str">
        <f t="shared" si="4"/>
        <v>VALID</v>
      </c>
    </row>
    <row r="1030" ht="15.75" customHeight="1">
      <c r="A1030" s="13" t="str">
        <f>Raw_Data!A1030</f>
        <v>EMP1081</v>
      </c>
      <c r="B1030" s="13" t="str">
        <f>TRIM(CLEAN(Raw_Data!B1030))</f>
        <v>Operations</v>
      </c>
      <c r="C1030" s="18" t="s">
        <v>54</v>
      </c>
      <c r="D1030" s="14" t="str">
        <f>IF(ISBLANK(Raw_Data!D1030),AVERAGE(Raw_Data!D$2:D$5002),Raw_Data!D1030)</f>
        <v>105625.86</v>
      </c>
      <c r="E1030" s="15" t="str">
        <f>IF(ISBLANK(Raw_Data!E1030),AVERAGE(Raw_Data!E$2:E$5002),Raw_Data!E1030)</f>
        <v>28924.76</v>
      </c>
      <c r="F1030" s="15" t="str">
        <f>IF(ISBLANK(Raw_Data!F1030),AVERAGE(Raw_Data!F$2:F$5002),Raw_Data!F1030)</f>
        <v>6275.64</v>
      </c>
      <c r="G1030" s="14" t="str">
        <f>IF(ISBLANK(Raw_Data!G1030),AVERAGE(Raw_Data!G$2:G$5002),Raw_Data!G1030)</f>
        <v>14732.39</v>
      </c>
      <c r="H1030" s="15" t="str">
        <f t="shared" si="1"/>
        <v>140826.00</v>
      </c>
      <c r="I1030" s="14" t="str">
        <f t="shared" si="2"/>
        <v>126094.00</v>
      </c>
      <c r="J1030" s="16" t="str">
        <f>TEXT(Raw_Data!J1030,"MMM-YYY")</f>
        <v>Jun-2025</v>
      </c>
      <c r="K1030" s="13" t="str">
        <f>Raw_Data!K1030</f>
        <v>14</v>
      </c>
      <c r="L1030" s="17" t="str">
        <f>Raw_Data!L1030</f>
        <v>Delhi-North</v>
      </c>
      <c r="M1030" s="13" t="str">
        <f t="shared" si="3"/>
        <v>OK</v>
      </c>
      <c r="N1030" s="18" t="str">
        <f t="shared" si="4"/>
        <v>VALID</v>
      </c>
    </row>
    <row r="1031" ht="15.75" customHeight="1">
      <c r="A1031" s="13" t="str">
        <f>Raw_Data!A1031</f>
        <v>EMP1082</v>
      </c>
      <c r="B1031" s="13" t="str">
        <f>TRIM(CLEAN(Raw_Data!B1031))</f>
        <v>Marketing</v>
      </c>
      <c r="C1031" s="18" t="s">
        <v>33</v>
      </c>
      <c r="D1031" s="14" t="str">
        <f>IF(ISBLANK(Raw_Data!D1031),AVERAGE(Raw_Data!D$2:D$5002),Raw_Data!D1031)</f>
        <v>80446.30</v>
      </c>
      <c r="E1031" s="15" t="str">
        <f>IF(ISBLANK(Raw_Data!E1031),AVERAGE(Raw_Data!E$2:E$5002),Raw_Data!E1031)</f>
        <v>12399.98</v>
      </c>
      <c r="F1031" s="15" t="str">
        <f>IF(ISBLANK(Raw_Data!F1031),AVERAGE(Raw_Data!F$2:F$5002),Raw_Data!F1031)</f>
        <v>2836.89</v>
      </c>
      <c r="G1031" s="14" t="str">
        <f>IF(ISBLANK(Raw_Data!G1031),AVERAGE(Raw_Data!G$2:G$5002),Raw_Data!G1031)</f>
        <v>15826.94</v>
      </c>
      <c r="H1031" s="15" t="str">
        <f t="shared" si="1"/>
        <v>95683.00</v>
      </c>
      <c r="I1031" s="14" t="str">
        <f t="shared" si="2"/>
        <v>79856.00</v>
      </c>
      <c r="J1031" s="16" t="str">
        <f>TEXT(Raw_Data!J1031,"MMM-YYY")</f>
        <v>Sep-2025</v>
      </c>
      <c r="K1031" s="13" t="str">
        <f>Raw_Data!K1031</f>
        <v>6</v>
      </c>
      <c r="L1031" s="17" t="str">
        <f>Raw_Data!L1031</f>
        <v>Bangalore-South</v>
      </c>
      <c r="M1031" s="13" t="str">
        <f t="shared" si="3"/>
        <v>OK</v>
      </c>
      <c r="N1031" s="18" t="str">
        <f t="shared" si="4"/>
        <v>VALID</v>
      </c>
    </row>
    <row r="1032" ht="15.75" customHeight="1">
      <c r="A1032" s="13" t="str">
        <f>Raw_Data!A1032</f>
        <v>EMP1083</v>
      </c>
      <c r="B1032" s="13" t="str">
        <f>TRIM(CLEAN(Raw_Data!B1032))</f>
        <v>Customer Support</v>
      </c>
      <c r="C1032" s="18" t="s">
        <v>26</v>
      </c>
      <c r="D1032" s="14" t="str">
        <f>IF(ISBLANK(Raw_Data!D1032),AVERAGE(Raw_Data!D$2:D$5002),Raw_Data!D1032)</f>
        <v>49744.29</v>
      </c>
      <c r="E1032" s="15" t="str">
        <f>IF(ISBLANK(Raw_Data!E1032),AVERAGE(Raw_Data!E$2:E$5002),Raw_Data!E1032)</f>
        <v>26511.89</v>
      </c>
      <c r="F1032" s="15" t="str">
        <f>IF(ISBLANK(Raw_Data!F1032),AVERAGE(Raw_Data!F$2:F$5002),Raw_Data!F1032)</f>
        <v>4276.02</v>
      </c>
      <c r="G1032" s="14" t="str">
        <f>IF(ISBLANK(Raw_Data!G1032),AVERAGE(Raw_Data!G$2:G$5002),Raw_Data!G1032)</f>
        <v>1767.16</v>
      </c>
      <c r="H1032" s="15" t="str">
        <f t="shared" si="1"/>
        <v>80532.00</v>
      </c>
      <c r="I1032" s="14" t="str">
        <f t="shared" si="2"/>
        <v>78765.00</v>
      </c>
      <c r="J1032" s="16" t="str">
        <f>TEXT(Raw_Data!J1032,"MMM-YYY")</f>
        <v>Aug-2025</v>
      </c>
      <c r="K1032" s="13" t="str">
        <f>Raw_Data!K1032</f>
        <v>25</v>
      </c>
      <c r="L1032" s="17" t="str">
        <f>Raw_Data!L1032</f>
        <v>Chennai-South</v>
      </c>
      <c r="M1032" s="13" t="str">
        <f t="shared" si="3"/>
        <v>OK</v>
      </c>
      <c r="N1032" s="18" t="str">
        <f t="shared" si="4"/>
        <v>VALID</v>
      </c>
    </row>
    <row r="1033" ht="15.75" customHeight="1">
      <c r="A1033" s="13" t="str">
        <f>Raw_Data!A1033</f>
        <v>EMP1084</v>
      </c>
      <c r="B1033" s="13" t="str">
        <f>TRIM(CLEAN(Raw_Data!B1033))</f>
        <v>Sales</v>
      </c>
      <c r="C1033" s="18" t="s">
        <v>30</v>
      </c>
      <c r="D1033" s="14" t="str">
        <f>IF(ISBLANK(Raw_Data!D1033),AVERAGE(Raw_Data!D$2:D$5002),Raw_Data!D1033)</f>
        <v>21673.63</v>
      </c>
      <c r="E1033" s="15" t="str">
        <f>IF(ISBLANK(Raw_Data!E1033),AVERAGE(Raw_Data!E$2:E$5002),Raw_Data!E1033)</f>
        <v>30894.82</v>
      </c>
      <c r="F1033" s="15" t="str">
        <f>IF(ISBLANK(Raw_Data!F1033),AVERAGE(Raw_Data!F$2:F$5002),Raw_Data!F1033)</f>
        <v>2110.27</v>
      </c>
      <c r="G1033" s="14" t="str">
        <f>IF(ISBLANK(Raw_Data!G1033),AVERAGE(Raw_Data!G$2:G$5002),Raw_Data!G1033)</f>
        <v>5670.44</v>
      </c>
      <c r="H1033" s="15" t="str">
        <f t="shared" si="1"/>
        <v>54679.00</v>
      </c>
      <c r="I1033" s="14" t="str">
        <f t="shared" si="2"/>
        <v>49009.00</v>
      </c>
      <c r="J1033" s="16" t="str">
        <f>TEXT(Raw_Data!J1033,"MMM-YYY")</f>
        <v>Aug-2025</v>
      </c>
      <c r="K1033" s="13" t="str">
        <f>Raw_Data!K1033</f>
        <v>16</v>
      </c>
      <c r="L1033" s="17" t="str">
        <f>Raw_Data!L1033</f>
        <v>Kolkata-East</v>
      </c>
      <c r="M1033" s="13" t="str">
        <f t="shared" si="3"/>
        <v>OK</v>
      </c>
      <c r="N1033" s="18" t="str">
        <f t="shared" si="4"/>
        <v>VALID</v>
      </c>
    </row>
    <row r="1034" ht="15.75" customHeight="1">
      <c r="A1034" s="13" t="str">
        <f>Raw_Data!A1034</f>
        <v>EMP1085</v>
      </c>
      <c r="B1034" s="13" t="str">
        <f>TRIM(CLEAN(Raw_Data!B1034))</f>
        <v>HR</v>
      </c>
      <c r="C1034" s="18" t="s">
        <v>33</v>
      </c>
      <c r="D1034" s="14" t="str">
        <f>IF(ISBLANK(Raw_Data!D1034),AVERAGE(Raw_Data!D$2:D$5002),Raw_Data!D1034)</f>
        <v>47653.14</v>
      </c>
      <c r="E1034" s="15" t="str">
        <f>IF(ISBLANK(Raw_Data!E1034),AVERAGE(Raw_Data!E$2:E$5002),Raw_Data!E1034)</f>
        <v>11873.70</v>
      </c>
      <c r="F1034" s="15" t="str">
        <f>IF(ISBLANK(Raw_Data!F1034),AVERAGE(Raw_Data!F$2:F$5002),Raw_Data!F1034)</f>
        <v>13661.39</v>
      </c>
      <c r="G1034" s="14" t="str">
        <f>IF(ISBLANK(Raw_Data!G1034),AVERAGE(Raw_Data!G$2:G$5002),Raw_Data!G1034)</f>
        <v>2321.11</v>
      </c>
      <c r="H1034" s="15" t="str">
        <f t="shared" si="1"/>
        <v>73188.00</v>
      </c>
      <c r="I1034" s="14" t="str">
        <f t="shared" si="2"/>
        <v>70867.00</v>
      </c>
      <c r="J1034" s="16" t="str">
        <f>TEXT(Raw_Data!J1034,"MMM-YYY")</f>
        <v>Mar-2025</v>
      </c>
      <c r="K1034" s="13" t="str">
        <f>Raw_Data!K1034</f>
        <v>18</v>
      </c>
      <c r="L1034" s="17" t="str">
        <f>Raw_Data!L1034</f>
        <v>Pune-West</v>
      </c>
      <c r="M1034" s="13" t="str">
        <f t="shared" si="3"/>
        <v>OK</v>
      </c>
      <c r="N1034" s="18" t="str">
        <f t="shared" si="4"/>
        <v>VALID</v>
      </c>
    </row>
    <row r="1035" ht="15.75" customHeight="1">
      <c r="A1035" s="13" t="str">
        <f>Raw_Data!A1035</f>
        <v>EMP1087</v>
      </c>
      <c r="B1035" s="13" t="str">
        <f>TRIM(CLEAN(Raw_Data!B1035))</f>
        <v>Customer Support</v>
      </c>
      <c r="C1035" s="18" t="s">
        <v>14</v>
      </c>
      <c r="D1035" s="14" t="str">
        <f>IF(ISBLANK(Raw_Data!D1035),AVERAGE(Raw_Data!D$2:D$5002),Raw_Data!D1035)</f>
        <v>91608.65</v>
      </c>
      <c r="E1035" s="15" t="str">
        <f>IF(ISBLANK(Raw_Data!E1035),AVERAGE(Raw_Data!E$2:E$5002),Raw_Data!E1035)</f>
        <v>8715.05</v>
      </c>
      <c r="F1035" s="15" t="str">
        <f>IF(ISBLANK(Raw_Data!F1035),AVERAGE(Raw_Data!F$2:F$5002),Raw_Data!F1035)</f>
        <v>19012.13</v>
      </c>
      <c r="G1035" s="14" t="str">
        <f>IF(ISBLANK(Raw_Data!G1035),AVERAGE(Raw_Data!G$2:G$5002),Raw_Data!G1035)</f>
        <v>15872.26</v>
      </c>
      <c r="H1035" s="15" t="str">
        <f t="shared" si="1"/>
        <v>119336.00</v>
      </c>
      <c r="I1035" s="14" t="str">
        <f t="shared" si="2"/>
        <v>103464.00</v>
      </c>
      <c r="J1035" s="16" t="str">
        <f>TEXT(Raw_Data!J1035,"MMM-YYY")</f>
        <v>Feb-2025</v>
      </c>
      <c r="K1035" s="13" t="str">
        <f>Raw_Data!K1035</f>
        <v>8</v>
      </c>
      <c r="L1035" s="17" t="str">
        <f>Raw_Data!L1035</f>
        <v>Chandigarh-North</v>
      </c>
      <c r="M1035" s="13" t="str">
        <f t="shared" si="3"/>
        <v>OK</v>
      </c>
      <c r="N1035" s="18" t="str">
        <f t="shared" si="4"/>
        <v>VALID</v>
      </c>
    </row>
    <row r="1036" ht="15.75" customHeight="1">
      <c r="A1036" s="13" t="str">
        <f>Raw_Data!A1036</f>
        <v>EMP1088</v>
      </c>
      <c r="B1036" s="13" t="str">
        <f>TRIM(CLEAN(Raw_Data!B1036))</f>
        <v>Operations</v>
      </c>
      <c r="C1036" s="18" t="s">
        <v>54</v>
      </c>
      <c r="D1036" s="14" t="str">
        <f>IF(ISBLANK(Raw_Data!D1036),AVERAGE(Raw_Data!D$2:D$5002),Raw_Data!D1036)</f>
        <v>81943.53</v>
      </c>
      <c r="E1036" s="15" t="str">
        <f>IF(ISBLANK(Raw_Data!E1036),AVERAGE(Raw_Data!E$2:E$5002),Raw_Data!E1036)</f>
        <v>25815.89</v>
      </c>
      <c r="F1036" s="15" t="str">
        <f>IF(ISBLANK(Raw_Data!F1036),AVERAGE(Raw_Data!F$2:F$5002),Raw_Data!F1036)</f>
        <v>14593.57</v>
      </c>
      <c r="G1036" s="14" t="str">
        <f>IF(ISBLANK(Raw_Data!G1036),AVERAGE(Raw_Data!G$2:G$5002),Raw_Data!G1036)</f>
        <v>14371.56</v>
      </c>
      <c r="H1036" s="15" t="str">
        <f t="shared" si="1"/>
        <v>122353.00</v>
      </c>
      <c r="I1036" s="14" t="str">
        <f t="shared" si="2"/>
        <v>107981.00</v>
      </c>
      <c r="J1036" s="16" t="str">
        <f>TEXT(Raw_Data!J1036,"MMM-YYY")</f>
        <v>Jul-2025</v>
      </c>
      <c r="K1036" s="13" t="str">
        <f>Raw_Data!K1036</f>
        <v>1</v>
      </c>
      <c r="L1036" s="17" t="str">
        <f>Raw_Data!L1036</f>
        <v>Ahmedabad-West</v>
      </c>
      <c r="M1036" s="13" t="str">
        <f t="shared" si="3"/>
        <v>OK</v>
      </c>
      <c r="N1036" s="18" t="str">
        <f t="shared" si="4"/>
        <v>VALID</v>
      </c>
    </row>
    <row r="1037" ht="15.75" customHeight="1">
      <c r="A1037" s="13" t="str">
        <f>Raw_Data!A1037</f>
        <v>EMP1089</v>
      </c>
      <c r="B1037" s="13" t="str">
        <f>TRIM(CLEAN(Raw_Data!B1037))</f>
        <v>Operations</v>
      </c>
      <c r="C1037" s="18" t="s">
        <v>26</v>
      </c>
      <c r="D1037" s="14" t="str">
        <f>IF(ISBLANK(Raw_Data!D1037),AVERAGE(Raw_Data!D$2:D$5002),Raw_Data!D1037)</f>
        <v>108157.34</v>
      </c>
      <c r="E1037" s="15" t="str">
        <f>IF(ISBLANK(Raw_Data!E1037),AVERAGE(Raw_Data!E$2:E$5002),Raw_Data!E1037)</f>
        <v>34580.07</v>
      </c>
      <c r="F1037" s="15" t="str">
        <f>IF(ISBLANK(Raw_Data!F1037),AVERAGE(Raw_Data!F$2:F$5002),Raw_Data!F1037)</f>
        <v>1040.92</v>
      </c>
      <c r="G1037" s="14" t="str">
        <f>IF(ISBLANK(Raw_Data!G1037),AVERAGE(Raw_Data!G$2:G$5002),Raw_Data!G1037)</f>
        <v>15497.67</v>
      </c>
      <c r="H1037" s="15" t="str">
        <f t="shared" si="1"/>
        <v>143778.00</v>
      </c>
      <c r="I1037" s="14" t="str">
        <f t="shared" si="2"/>
        <v>128280.00</v>
      </c>
      <c r="J1037" s="16" t="str">
        <f>TEXT(Raw_Data!J1037,"MMM-YYY")</f>
        <v>Nov-2025</v>
      </c>
      <c r="K1037" s="13" t="str">
        <f>Raw_Data!K1037</f>
        <v>1</v>
      </c>
      <c r="L1037" s="17" t="str">
        <f>Raw_Data!L1037</f>
        <v>Jaipur-North</v>
      </c>
      <c r="M1037" s="13" t="str">
        <f t="shared" si="3"/>
        <v>OK</v>
      </c>
      <c r="N1037" s="18" t="str">
        <f t="shared" si="4"/>
        <v>VALID</v>
      </c>
    </row>
    <row r="1038" ht="15.75" customHeight="1">
      <c r="A1038" s="13" t="str">
        <f>Raw_Data!A1038</f>
        <v>EMP1090</v>
      </c>
      <c r="B1038" s="13" t="str">
        <f>TRIM(CLEAN(Raw_Data!B1038))</f>
        <v>Customer Support</v>
      </c>
      <c r="C1038" s="18" t="s">
        <v>33</v>
      </c>
      <c r="D1038" s="14" t="str">
        <f>IF(ISBLANK(Raw_Data!D1038),AVERAGE(Raw_Data!D$2:D$5002),Raw_Data!D1038)</f>
        <v>64582.57</v>
      </c>
      <c r="E1038" s="15" t="str">
        <f>IF(ISBLANK(Raw_Data!E1038),AVERAGE(Raw_Data!E$2:E$5002),Raw_Data!E1038)</f>
        <v>5619.89</v>
      </c>
      <c r="F1038" s="15" t="str">
        <f>IF(ISBLANK(Raw_Data!F1038),AVERAGE(Raw_Data!F$2:F$5002),Raw_Data!F1038)</f>
        <v>17684.90</v>
      </c>
      <c r="G1038" s="14" t="str">
        <f>IF(ISBLANK(Raw_Data!G1038),AVERAGE(Raw_Data!G$2:G$5002),Raw_Data!G1038)</f>
        <v>13956.66</v>
      </c>
      <c r="H1038" s="15" t="str">
        <f t="shared" si="1"/>
        <v>87887.00</v>
      </c>
      <c r="I1038" s="14" t="str">
        <f t="shared" si="2"/>
        <v>73930.00</v>
      </c>
      <c r="J1038" s="16" t="str">
        <f>TEXT(Raw_Data!J1038,"MMM-YYY")</f>
        <v>May-2025</v>
      </c>
      <c r="K1038" s="13" t="str">
        <f>Raw_Data!K1038</f>
        <v>19</v>
      </c>
      <c r="L1038" s="17" t="str">
        <f>Raw_Data!L1038</f>
        <v>Mumbai-HO</v>
      </c>
      <c r="M1038" s="13" t="str">
        <f t="shared" si="3"/>
        <v>OK</v>
      </c>
      <c r="N1038" s="18" t="str">
        <f t="shared" si="4"/>
        <v>VALID</v>
      </c>
    </row>
    <row r="1039" ht="15.75" customHeight="1">
      <c r="A1039" s="13" t="str">
        <f>Raw_Data!A1039</f>
        <v>EMP1091</v>
      </c>
      <c r="B1039" s="13" t="str">
        <f>TRIM(CLEAN(Raw_Data!B1039))</f>
        <v>Marketing</v>
      </c>
      <c r="C1039" s="18" t="s">
        <v>54</v>
      </c>
      <c r="D1039" s="14" t="str">
        <f>IF(ISBLANK(Raw_Data!D1039),AVERAGE(Raw_Data!D$2:D$5002),Raw_Data!D1039)</f>
        <v>71831.17</v>
      </c>
      <c r="E1039" s="15" t="str">
        <f>IF(ISBLANK(Raw_Data!E1039),AVERAGE(Raw_Data!E$2:E$5002),Raw_Data!E1039)</f>
        <v>30429.45</v>
      </c>
      <c r="F1039" s="15" t="str">
        <f>IF(ISBLANK(Raw_Data!F1039),AVERAGE(Raw_Data!F$2:F$5002),Raw_Data!F1039)</f>
        <v>17253.50</v>
      </c>
      <c r="G1039" s="14" t="str">
        <f>IF(ISBLANK(Raw_Data!G1039),AVERAGE(Raw_Data!G$2:G$5002),Raw_Data!G1039)</f>
        <v>7189.21</v>
      </c>
      <c r="H1039" s="15" t="str">
        <f t="shared" si="1"/>
        <v>119514.00</v>
      </c>
      <c r="I1039" s="14" t="str">
        <f t="shared" si="2"/>
        <v>112325.00</v>
      </c>
      <c r="J1039" s="16" t="str">
        <f>TEXT(Raw_Data!J1039,"MMM-YYY")</f>
        <v>Feb-2025</v>
      </c>
      <c r="K1039" s="13" t="str">
        <f>Raw_Data!K1039</f>
        <v>21</v>
      </c>
      <c r="L1039" s="17" t="str">
        <f>Raw_Data!L1039</f>
        <v>Delhi-North</v>
      </c>
      <c r="M1039" s="13" t="str">
        <f t="shared" si="3"/>
        <v>OK</v>
      </c>
      <c r="N1039" s="18" t="str">
        <f t="shared" si="4"/>
        <v>VALID</v>
      </c>
    </row>
    <row r="1040" ht="15.75" customHeight="1">
      <c r="A1040" s="13" t="str">
        <f>Raw_Data!A1040</f>
        <v>EMP1092</v>
      </c>
      <c r="B1040" s="13" t="str">
        <f>TRIM(CLEAN(Raw_Data!B1040))</f>
        <v>Operations</v>
      </c>
      <c r="C1040" s="18" t="s">
        <v>37</v>
      </c>
      <c r="D1040" s="14" t="str">
        <f>IF(ISBLANK(Raw_Data!D1040),AVERAGE(Raw_Data!D$2:D$5002),Raw_Data!D1040)</f>
        <v>89890.70</v>
      </c>
      <c r="E1040" s="15" t="str">
        <f>IF(ISBLANK(Raw_Data!E1040),AVERAGE(Raw_Data!E$2:E$5002),Raw_Data!E1040)</f>
        <v>16287.47</v>
      </c>
      <c r="F1040" s="15" t="str">
        <f>IF(ISBLANK(Raw_Data!F1040),AVERAGE(Raw_Data!F$2:F$5002),Raw_Data!F1040)</f>
        <v>8866.41</v>
      </c>
      <c r="G1040" s="14" t="str">
        <f>IF(ISBLANK(Raw_Data!G1040),AVERAGE(Raw_Data!G$2:G$5002),Raw_Data!G1040)</f>
        <v>6490.43</v>
      </c>
      <c r="H1040" s="15" t="str">
        <f t="shared" si="1"/>
        <v>115045.00</v>
      </c>
      <c r="I1040" s="14" t="str">
        <f t="shared" si="2"/>
        <v>108555.00</v>
      </c>
      <c r="J1040" s="16" t="str">
        <f>TEXT(Raw_Data!J1040,"MMM-YYY")</f>
        <v>Aug-2025</v>
      </c>
      <c r="K1040" s="13" t="str">
        <f>Raw_Data!K1040</f>
        <v>25</v>
      </c>
      <c r="L1040" s="17" t="str">
        <f>Raw_Data!L1040</f>
        <v>Bangalore-South</v>
      </c>
      <c r="M1040" s="13" t="str">
        <f t="shared" si="3"/>
        <v>OK</v>
      </c>
      <c r="N1040" s="18" t="str">
        <f t="shared" si="4"/>
        <v>VALID</v>
      </c>
    </row>
    <row r="1041" ht="15.75" customHeight="1">
      <c r="A1041" s="13" t="str">
        <f>Raw_Data!A1041</f>
        <v>EMP1093</v>
      </c>
      <c r="B1041" s="13" t="str">
        <f>TRIM(CLEAN(Raw_Data!B1041))</f>
        <v>Customer Support</v>
      </c>
      <c r="C1041" s="18" t="s">
        <v>26</v>
      </c>
      <c r="D1041" s="14" t="str">
        <f>IF(ISBLANK(Raw_Data!D1041),AVERAGE(Raw_Data!D$2:D$5002),Raw_Data!D1041)</f>
        <v>94882.43</v>
      </c>
      <c r="E1041" s="15" t="str">
        <f>IF(ISBLANK(Raw_Data!E1041),AVERAGE(Raw_Data!E$2:E$5002),Raw_Data!E1041)</f>
        <v>21227.02</v>
      </c>
      <c r="F1041" s="15" t="str">
        <f>IF(ISBLANK(Raw_Data!F1041),AVERAGE(Raw_Data!F$2:F$5002),Raw_Data!F1041)</f>
        <v>11717.26</v>
      </c>
      <c r="G1041" s="14" t="str">
        <f>IF(ISBLANK(Raw_Data!G1041),AVERAGE(Raw_Data!G$2:G$5002),Raw_Data!G1041)</f>
        <v>3857.96</v>
      </c>
      <c r="H1041" s="15" t="str">
        <f t="shared" si="1"/>
        <v>127827.00</v>
      </c>
      <c r="I1041" s="14" t="str">
        <f t="shared" si="2"/>
        <v>123969.00</v>
      </c>
      <c r="J1041" s="16" t="str">
        <f>TEXT(Raw_Data!J1041,"MMM-YYY")</f>
        <v>Jun-2025</v>
      </c>
      <c r="K1041" s="13" t="str">
        <f>Raw_Data!K1041</f>
        <v>10</v>
      </c>
      <c r="L1041" s="17" t="str">
        <f>Raw_Data!L1041</f>
        <v>Chennai-South</v>
      </c>
      <c r="M1041" s="13" t="str">
        <f t="shared" si="3"/>
        <v>OK</v>
      </c>
      <c r="N1041" s="18" t="str">
        <f t="shared" si="4"/>
        <v>VALID</v>
      </c>
    </row>
    <row r="1042" ht="15.75" customHeight="1">
      <c r="A1042" s="13" t="str">
        <f>Raw_Data!A1042</f>
        <v>EMP1094</v>
      </c>
      <c r="B1042" s="13" t="str">
        <f>TRIM(CLEAN(Raw_Data!B1042))</f>
        <v>Sales</v>
      </c>
      <c r="C1042" s="18" t="s">
        <v>37</v>
      </c>
      <c r="D1042" s="14" t="str">
        <f>IF(ISBLANK(Raw_Data!D1042),AVERAGE(Raw_Data!D$2:D$5002),Raw_Data!D1042)</f>
        <v>73934.11</v>
      </c>
      <c r="E1042" s="15" t="str">
        <f>IF(ISBLANK(Raw_Data!E1042),AVERAGE(Raw_Data!E$2:E$5002),Raw_Data!E1042)</f>
        <v>37438.94</v>
      </c>
      <c r="F1042" s="15" t="str">
        <f>IF(ISBLANK(Raw_Data!F1042),AVERAGE(Raw_Data!F$2:F$5002),Raw_Data!F1042)</f>
        <v>19521.57</v>
      </c>
      <c r="G1042" s="14" t="str">
        <f>IF(ISBLANK(Raw_Data!G1042),AVERAGE(Raw_Data!G$2:G$5002),Raw_Data!G1042)</f>
        <v>21302.24</v>
      </c>
      <c r="H1042" s="15" t="str">
        <f t="shared" si="1"/>
        <v>130895.00</v>
      </c>
      <c r="I1042" s="14" t="str">
        <f t="shared" si="2"/>
        <v>109593.00</v>
      </c>
      <c r="J1042" s="16" t="str">
        <f>TEXT(Raw_Data!J1042,"MMM-YYY")</f>
        <v>Nov-2025</v>
      </c>
      <c r="K1042" s="13" t="str">
        <f>Raw_Data!K1042</f>
        <v>18</v>
      </c>
      <c r="L1042" s="17" t="str">
        <f>Raw_Data!L1042</f>
        <v>Kolkata-East</v>
      </c>
      <c r="M1042" s="13" t="str">
        <f t="shared" si="3"/>
        <v>OK</v>
      </c>
      <c r="N1042" s="18" t="str">
        <f t="shared" si="4"/>
        <v>VALID</v>
      </c>
    </row>
    <row r="1043" ht="15.75" customHeight="1">
      <c r="A1043" s="13" t="str">
        <f>Raw_Data!A1043</f>
        <v>EMP1096</v>
      </c>
      <c r="B1043" s="13" t="str">
        <f>TRIM(CLEAN(Raw_Data!B1043))</f>
        <v>Operations</v>
      </c>
      <c r="C1043" s="18" t="s">
        <v>26</v>
      </c>
      <c r="D1043" s="14" t="str">
        <f>IF(ISBLANK(Raw_Data!D1043),AVERAGE(Raw_Data!D$2:D$5002),Raw_Data!D1043)</f>
        <v>66848.54</v>
      </c>
      <c r="E1043" s="15" t="str">
        <f>IF(ISBLANK(Raw_Data!E1043),AVERAGE(Raw_Data!E$2:E$5002),Raw_Data!E1043)</f>
        <v>20752.13</v>
      </c>
      <c r="F1043" s="15" t="str">
        <f>IF(ISBLANK(Raw_Data!F1043),AVERAGE(Raw_Data!F$2:F$5002),Raw_Data!F1043)</f>
        <v>18106.44</v>
      </c>
      <c r="G1043" s="14" t="str">
        <f>IF(ISBLANK(Raw_Data!G1043),AVERAGE(Raw_Data!G$2:G$5002),Raw_Data!G1043)</f>
        <v>5069.52</v>
      </c>
      <c r="H1043" s="15" t="str">
        <f t="shared" si="1"/>
        <v>105707.00</v>
      </c>
      <c r="I1043" s="14" t="str">
        <f t="shared" si="2"/>
        <v>100637.00</v>
      </c>
      <c r="J1043" s="16" t="str">
        <f>TEXT(Raw_Data!J1043,"MMM-YYY")</f>
        <v>Sep-2025</v>
      </c>
      <c r="K1043" s="13" t="str">
        <f>Raw_Data!K1043</f>
        <v>17</v>
      </c>
      <c r="L1043" s="17" t="str">
        <f>Raw_Data!L1043</f>
        <v>Hyderabad-South</v>
      </c>
      <c r="M1043" s="13" t="str">
        <f t="shared" si="3"/>
        <v>OK</v>
      </c>
      <c r="N1043" s="18" t="str">
        <f t="shared" si="4"/>
        <v>VALID</v>
      </c>
    </row>
    <row r="1044" ht="15.75" customHeight="1">
      <c r="A1044" s="13" t="str">
        <f>Raw_Data!A1044</f>
        <v>EMP1097</v>
      </c>
      <c r="B1044" s="13" t="str">
        <f>TRIM(CLEAN(Raw_Data!B1044))</f>
        <v>HR</v>
      </c>
      <c r="C1044" s="18" t="s">
        <v>30</v>
      </c>
      <c r="D1044" s="14" t="str">
        <f>IF(ISBLANK(Raw_Data!D1044),AVERAGE(Raw_Data!D$2:D$5002),Raw_Data!D1044)</f>
        <v>69886.95</v>
      </c>
      <c r="E1044" s="15" t="str">
        <f>IF(ISBLANK(Raw_Data!E1044),AVERAGE(Raw_Data!E$2:E$5002),Raw_Data!E1044)</f>
        <v>4492.57</v>
      </c>
      <c r="F1044" s="15" t="str">
        <f>IF(ISBLANK(Raw_Data!F1044),AVERAGE(Raw_Data!F$2:F$5002),Raw_Data!F1044)</f>
        <v>1660.78</v>
      </c>
      <c r="G1044" s="14" t="str">
        <f>IF(ISBLANK(Raw_Data!G1044),AVERAGE(Raw_Data!G$2:G$5002),Raw_Data!G1044)</f>
        <v>4841.63</v>
      </c>
      <c r="H1044" s="15" t="str">
        <f t="shared" si="1"/>
        <v>76040.00</v>
      </c>
      <c r="I1044" s="14" t="str">
        <f t="shared" si="2"/>
        <v>71198.00</v>
      </c>
      <c r="J1044" s="16" t="str">
        <f>TEXT(Raw_Data!J1044,"MMM-YYY")</f>
        <v>Mar-2025</v>
      </c>
      <c r="K1044" s="13" t="str">
        <f>Raw_Data!K1044</f>
        <v>1</v>
      </c>
      <c r="L1044" s="17" t="str">
        <f>Raw_Data!L1044</f>
        <v>Chandigarh-North</v>
      </c>
      <c r="M1044" s="13" t="str">
        <f t="shared" si="3"/>
        <v>OK</v>
      </c>
      <c r="N1044" s="18" t="str">
        <f t="shared" si="4"/>
        <v>VALID</v>
      </c>
    </row>
    <row r="1045" ht="15.75" customHeight="1">
      <c r="A1045" s="13" t="str">
        <f>Raw_Data!A1045</f>
        <v>EMP1098</v>
      </c>
      <c r="B1045" s="13" t="str">
        <f>TRIM(CLEAN(Raw_Data!B1045))</f>
        <v>Sales</v>
      </c>
      <c r="C1045" s="18" t="s">
        <v>26</v>
      </c>
      <c r="D1045" s="14" t="str">
        <f>IF(ISBLANK(Raw_Data!D1045),AVERAGE(Raw_Data!D$2:D$5002),Raw_Data!D1045)</f>
        <v>59891.81</v>
      </c>
      <c r="E1045" s="15" t="str">
        <f>IF(ISBLANK(Raw_Data!E1045),AVERAGE(Raw_Data!E$2:E$5002),Raw_Data!E1045)</f>
        <v>6937.55</v>
      </c>
      <c r="F1045" s="15" t="str">
        <f>IF(ISBLANK(Raw_Data!F1045),AVERAGE(Raw_Data!F$2:F$5002),Raw_Data!F1045)</f>
        <v>3821.04</v>
      </c>
      <c r="G1045" s="14" t="str">
        <f>IF(ISBLANK(Raw_Data!G1045),AVERAGE(Raw_Data!G$2:G$5002),Raw_Data!G1045)</f>
        <v>21889.37</v>
      </c>
      <c r="H1045" s="15" t="str">
        <f t="shared" si="1"/>
        <v>70650.00</v>
      </c>
      <c r="I1045" s="14" t="str">
        <f t="shared" si="2"/>
        <v>48761.00</v>
      </c>
      <c r="J1045" s="16" t="str">
        <f>TEXT(Raw_Data!J1045,"MMM-YYY")</f>
        <v>Apr-2025</v>
      </c>
      <c r="K1045" s="13" t="str">
        <f>Raw_Data!K1045</f>
        <v>8</v>
      </c>
      <c r="L1045" s="17" t="str">
        <f>Raw_Data!L1045</f>
        <v>Ahmedabad-West</v>
      </c>
      <c r="M1045" s="13" t="str">
        <f t="shared" si="3"/>
        <v>OK</v>
      </c>
      <c r="N1045" s="18" t="str">
        <f t="shared" si="4"/>
        <v>VALID</v>
      </c>
    </row>
    <row r="1046" ht="15.75" customHeight="1">
      <c r="A1046" s="13" t="str">
        <f>Raw_Data!A1046</f>
        <v>EMP1099</v>
      </c>
      <c r="B1046" s="13" t="str">
        <f>TRIM(CLEAN(Raw_Data!B1046))</f>
        <v>Marketing</v>
      </c>
      <c r="C1046" s="18" t="s">
        <v>37</v>
      </c>
      <c r="D1046" s="14" t="str">
        <f>IF(ISBLANK(Raw_Data!D1046),AVERAGE(Raw_Data!D$2:D$5002),Raw_Data!D1046)</f>
        <v>17669.01</v>
      </c>
      <c r="E1046" s="15" t="str">
        <f>IF(ISBLANK(Raw_Data!E1046),AVERAGE(Raw_Data!E$2:E$5002),Raw_Data!E1046)</f>
        <v>13309.30</v>
      </c>
      <c r="F1046" s="15" t="str">
        <f>IF(ISBLANK(Raw_Data!F1046),AVERAGE(Raw_Data!F$2:F$5002),Raw_Data!F1046)</f>
        <v>8815.10</v>
      </c>
      <c r="G1046" s="14" t="str">
        <f>IF(ISBLANK(Raw_Data!G1046),AVERAGE(Raw_Data!G$2:G$5002),Raw_Data!G1046)</f>
        <v>18696.91</v>
      </c>
      <c r="H1046" s="15" t="str">
        <f t="shared" si="1"/>
        <v>39793.00</v>
      </c>
      <c r="I1046" s="14" t="str">
        <f t="shared" si="2"/>
        <v>21096.00</v>
      </c>
      <c r="J1046" s="16" t="str">
        <f>TEXT(Raw_Data!J1046,"MMM-YYY")</f>
        <v>Feb-2025</v>
      </c>
      <c r="K1046" s="13" t="str">
        <f>Raw_Data!K1046</f>
        <v>10</v>
      </c>
      <c r="L1046" s="17" t="str">
        <f>Raw_Data!L1046</f>
        <v>Jaipur-North</v>
      </c>
      <c r="M1046" s="13" t="str">
        <f t="shared" si="3"/>
        <v>OK</v>
      </c>
      <c r="N1046" s="18" t="str">
        <f t="shared" si="4"/>
        <v>VALID</v>
      </c>
    </row>
    <row r="1047" ht="15.75" customHeight="1">
      <c r="A1047" s="13" t="str">
        <f>Raw_Data!A1047</f>
        <v>EMP1100</v>
      </c>
      <c r="B1047" s="13" t="str">
        <f>TRIM(CLEAN(Raw_Data!B1047))</f>
        <v>Operations</v>
      </c>
      <c r="C1047" s="18" t="s">
        <v>37</v>
      </c>
      <c r="D1047" s="14" t="str">
        <f>IF(ISBLANK(Raw_Data!D1047),AVERAGE(Raw_Data!D$2:D$5002),Raw_Data!D1047)</f>
        <v>26328.60</v>
      </c>
      <c r="E1047" s="15" t="str">
        <f>IF(ISBLANK(Raw_Data!E1047),AVERAGE(Raw_Data!E$2:E$5002),Raw_Data!E1047)</f>
        <v>5002.68</v>
      </c>
      <c r="F1047" s="15" t="str">
        <f>IF(ISBLANK(Raw_Data!F1047),AVERAGE(Raw_Data!F$2:F$5002),Raw_Data!F1047)</f>
        <v>11695.14</v>
      </c>
      <c r="G1047" s="14" t="str">
        <f>IF(ISBLANK(Raw_Data!G1047),AVERAGE(Raw_Data!G$2:G$5002),Raw_Data!G1047)</f>
        <v>16655.28</v>
      </c>
      <c r="H1047" s="15" t="str">
        <f t="shared" si="1"/>
        <v>43026.00</v>
      </c>
      <c r="I1047" s="14" t="str">
        <f t="shared" si="2"/>
        <v>26371.00</v>
      </c>
      <c r="J1047" s="16" t="str">
        <f>TEXT(Raw_Data!J1047,"MMM-YYY")</f>
        <v>Apr-2025</v>
      </c>
      <c r="K1047" s="13" t="str">
        <f>Raw_Data!K1047</f>
        <v>10</v>
      </c>
      <c r="L1047" s="17" t="str">
        <f>Raw_Data!L1047</f>
        <v>Mumbai-HO</v>
      </c>
      <c r="M1047" s="13" t="str">
        <f t="shared" si="3"/>
        <v>OK</v>
      </c>
      <c r="N1047" s="18" t="str">
        <f t="shared" si="4"/>
        <v>VALID</v>
      </c>
    </row>
    <row r="1048" ht="15.75" customHeight="1">
      <c r="A1048" s="13" t="str">
        <f>Raw_Data!A1048</f>
        <v>EMP1101</v>
      </c>
      <c r="B1048" s="13" t="str">
        <f>TRIM(CLEAN(Raw_Data!B1048))</f>
        <v>IT</v>
      </c>
      <c r="C1048" s="18" t="s">
        <v>30</v>
      </c>
      <c r="D1048" s="14" t="str">
        <f>IF(ISBLANK(Raw_Data!D1048),AVERAGE(Raw_Data!D$2:D$5002),Raw_Data!D1048)</f>
        <v>18300.06</v>
      </c>
      <c r="E1048" s="15" t="str">
        <f>IF(ISBLANK(Raw_Data!E1048),AVERAGE(Raw_Data!E$2:E$5002),Raw_Data!E1048)</f>
        <v>26729.51</v>
      </c>
      <c r="F1048" s="15" t="str">
        <f>IF(ISBLANK(Raw_Data!F1048),AVERAGE(Raw_Data!F$2:F$5002),Raw_Data!F1048)</f>
        <v>16324.56</v>
      </c>
      <c r="G1048" s="14" t="str">
        <f>IF(ISBLANK(Raw_Data!G1048),AVERAGE(Raw_Data!G$2:G$5002),Raw_Data!G1048)</f>
        <v>10468.17</v>
      </c>
      <c r="H1048" s="15" t="str">
        <f t="shared" si="1"/>
        <v>61354.00</v>
      </c>
      <c r="I1048" s="14" t="str">
        <f t="shared" si="2"/>
        <v>50886.00</v>
      </c>
      <c r="J1048" s="16" t="str">
        <f>TEXT(Raw_Data!J1048,"MMM-YYY")</f>
        <v>Apr-2025</v>
      </c>
      <c r="K1048" s="13" t="str">
        <f>Raw_Data!K1048</f>
        <v>18</v>
      </c>
      <c r="L1048" s="17" t="str">
        <f>Raw_Data!L1048</f>
        <v>Delhi-North</v>
      </c>
      <c r="M1048" s="13" t="str">
        <f t="shared" si="3"/>
        <v>OK</v>
      </c>
      <c r="N1048" s="18" t="str">
        <f t="shared" si="4"/>
        <v>VALID</v>
      </c>
    </row>
    <row r="1049" ht="15.75" customHeight="1">
      <c r="A1049" s="13" t="str">
        <f>Raw_Data!A1049</f>
        <v>EMP1102</v>
      </c>
      <c r="B1049" s="13" t="str">
        <f>TRIM(CLEAN(Raw_Data!B1049))</f>
        <v>Sales</v>
      </c>
      <c r="C1049" s="18" t="s">
        <v>30</v>
      </c>
      <c r="D1049" s="14" t="str">
        <f>IF(ISBLANK(Raw_Data!D1049),AVERAGE(Raw_Data!D$2:D$5002),Raw_Data!D1049)</f>
        <v>81823.09</v>
      </c>
      <c r="E1049" s="15" t="str">
        <f>IF(ISBLANK(Raw_Data!E1049),AVERAGE(Raw_Data!E$2:E$5002),Raw_Data!E1049)</f>
        <v>19350.34</v>
      </c>
      <c r="F1049" s="15" t="str">
        <f>IF(ISBLANK(Raw_Data!F1049),AVERAGE(Raw_Data!F$2:F$5002),Raw_Data!F1049)</f>
        <v>19765.24</v>
      </c>
      <c r="G1049" s="14" t="str">
        <f>IF(ISBLANK(Raw_Data!G1049),AVERAGE(Raw_Data!G$2:G$5002),Raw_Data!G1049)</f>
        <v>6918.40</v>
      </c>
      <c r="H1049" s="15" t="str">
        <f t="shared" si="1"/>
        <v>120939.00</v>
      </c>
      <c r="I1049" s="14" t="str">
        <f t="shared" si="2"/>
        <v>114021.00</v>
      </c>
      <c r="J1049" s="16" t="str">
        <f>TEXT(Raw_Data!J1049,"MMM-YYY")</f>
        <v>May-2025</v>
      </c>
      <c r="K1049" s="13" t="str">
        <f>Raw_Data!K1049</f>
        <v>9</v>
      </c>
      <c r="L1049" s="17" t="str">
        <f>Raw_Data!L1049</f>
        <v>Bangalore-South</v>
      </c>
      <c r="M1049" s="13" t="str">
        <f t="shared" si="3"/>
        <v>OK</v>
      </c>
      <c r="N1049" s="18" t="str">
        <f t="shared" si="4"/>
        <v>VALID</v>
      </c>
    </row>
    <row r="1050" ht="15.75" customHeight="1">
      <c r="A1050" s="13" t="str">
        <f>Raw_Data!A1050</f>
        <v>EMP1103</v>
      </c>
      <c r="B1050" s="13" t="str">
        <f>TRIM(CLEAN(Raw_Data!B1050))</f>
        <v>Sales</v>
      </c>
      <c r="C1050" s="18" t="s">
        <v>30</v>
      </c>
      <c r="D1050" s="14" t="str">
        <f>IF(ISBLANK(Raw_Data!D1050),AVERAGE(Raw_Data!D$2:D$5002),Raw_Data!D1050)</f>
        <v>48007.38</v>
      </c>
      <c r="E1050" s="15" t="str">
        <f>IF(ISBLANK(Raw_Data!E1050),AVERAGE(Raw_Data!E$2:E$5002),Raw_Data!E1050)</f>
        <v>23733.23</v>
      </c>
      <c r="F1050" s="15" t="str">
        <f>IF(ISBLANK(Raw_Data!F1050),AVERAGE(Raw_Data!F$2:F$5002),Raw_Data!F1050)</f>
        <v>7777.03</v>
      </c>
      <c r="G1050" s="14" t="str">
        <f>IF(ISBLANK(Raw_Data!G1050),AVERAGE(Raw_Data!G$2:G$5002),Raw_Data!G1050)</f>
        <v>24496.54</v>
      </c>
      <c r="H1050" s="15" t="str">
        <f t="shared" si="1"/>
        <v>79518.00</v>
      </c>
      <c r="I1050" s="14" t="str">
        <f t="shared" si="2"/>
        <v>55021.00</v>
      </c>
      <c r="J1050" s="16" t="str">
        <f>TEXT(Raw_Data!J1050,"MMM-YYY")</f>
        <v>Sep-2025</v>
      </c>
      <c r="K1050" s="13" t="str">
        <f>Raw_Data!K1050</f>
        <v>25</v>
      </c>
      <c r="L1050" s="17" t="str">
        <f>Raw_Data!L1050</f>
        <v>Chennai-South</v>
      </c>
      <c r="M1050" s="13" t="str">
        <f t="shared" si="3"/>
        <v>OK</v>
      </c>
      <c r="N1050" s="18" t="str">
        <f t="shared" si="4"/>
        <v>VALID</v>
      </c>
    </row>
    <row r="1051" ht="15.75" customHeight="1">
      <c r="A1051" s="13" t="str">
        <f>Raw_Data!A1051</f>
        <v>EMP1104</v>
      </c>
      <c r="B1051" s="13" t="str">
        <f>TRIM(CLEAN(Raw_Data!B1051))</f>
        <v>Sales</v>
      </c>
      <c r="C1051" s="18" t="s">
        <v>37</v>
      </c>
      <c r="D1051" s="14" t="str">
        <f>IF(ISBLANK(Raw_Data!D1051),AVERAGE(Raw_Data!D$2:D$5002),Raw_Data!D1051)</f>
        <v>68399.92</v>
      </c>
      <c r="E1051" s="15" t="str">
        <f>IF(ISBLANK(Raw_Data!E1051),AVERAGE(Raw_Data!E$2:E$5002),Raw_Data!E1051)</f>
        <v>10287.30</v>
      </c>
      <c r="F1051" s="15" t="str">
        <f>IF(ISBLANK(Raw_Data!F1051),AVERAGE(Raw_Data!F$2:F$5002),Raw_Data!F1051)</f>
        <v>948.31</v>
      </c>
      <c r="G1051" s="14" t="str">
        <f>IF(ISBLANK(Raw_Data!G1051),AVERAGE(Raw_Data!G$2:G$5002),Raw_Data!G1051)</f>
        <v>20032.37</v>
      </c>
      <c r="H1051" s="15" t="str">
        <f t="shared" si="1"/>
        <v>79636.00</v>
      </c>
      <c r="I1051" s="14" t="str">
        <f t="shared" si="2"/>
        <v>59604.00</v>
      </c>
      <c r="J1051" s="16" t="str">
        <f>TEXT(Raw_Data!J1051,"MMM-YYY")</f>
        <v>May-2025</v>
      </c>
      <c r="K1051" s="13" t="str">
        <f>Raw_Data!K1051</f>
        <v>2</v>
      </c>
      <c r="L1051" s="17" t="str">
        <f>Raw_Data!L1051</f>
        <v>Kolkata-East</v>
      </c>
      <c r="M1051" s="13" t="str">
        <f t="shared" si="3"/>
        <v>OK</v>
      </c>
      <c r="N1051" s="18" t="str">
        <f t="shared" si="4"/>
        <v>VALID</v>
      </c>
    </row>
    <row r="1052" ht="15.75" customHeight="1">
      <c r="A1052" s="13" t="str">
        <f>Raw_Data!A1052</f>
        <v>EMP1105</v>
      </c>
      <c r="B1052" s="13" t="str">
        <f>TRIM(CLEAN(Raw_Data!B1052))</f>
        <v>Sales</v>
      </c>
      <c r="C1052" s="18" t="s">
        <v>14</v>
      </c>
      <c r="D1052" s="14" t="str">
        <f>IF(ISBLANK(Raw_Data!D1052),AVERAGE(Raw_Data!D$2:D$5002),Raw_Data!D1052)</f>
        <v>110294.48</v>
      </c>
      <c r="E1052" s="15" t="str">
        <f>IF(ISBLANK(Raw_Data!E1052),AVERAGE(Raw_Data!E$2:E$5002),Raw_Data!E1052)</f>
        <v>14653.55</v>
      </c>
      <c r="F1052" s="15" t="str">
        <f>IF(ISBLANK(Raw_Data!F1052),AVERAGE(Raw_Data!F$2:F$5002),Raw_Data!F1052)</f>
        <v>16023.43</v>
      </c>
      <c r="G1052" s="14" t="str">
        <f>IF(ISBLANK(Raw_Data!G1052),AVERAGE(Raw_Data!G$2:G$5002),Raw_Data!G1052)</f>
        <v>7893.59</v>
      </c>
      <c r="H1052" s="15" t="str">
        <f t="shared" si="1"/>
        <v>140971.00</v>
      </c>
      <c r="I1052" s="14" t="str">
        <f t="shared" si="2"/>
        <v>133077.00</v>
      </c>
      <c r="J1052" s="16" t="str">
        <f>TEXT(Raw_Data!J1052,"MMM-YYY")</f>
        <v>Jun-2025</v>
      </c>
      <c r="K1052" s="13" t="str">
        <f>Raw_Data!K1052</f>
        <v>3</v>
      </c>
      <c r="L1052" s="17" t="str">
        <f>Raw_Data!L1052</f>
        <v>Pune-West</v>
      </c>
      <c r="M1052" s="13" t="str">
        <f t="shared" si="3"/>
        <v>OK</v>
      </c>
      <c r="N1052" s="18" t="str">
        <f t="shared" si="4"/>
        <v>VALID</v>
      </c>
    </row>
    <row r="1053" ht="15.75" customHeight="1">
      <c r="A1053" s="13" t="str">
        <f>Raw_Data!A1053</f>
        <v>EMP1106</v>
      </c>
      <c r="B1053" s="13" t="str">
        <f>TRIM(CLEAN(Raw_Data!B1053))</f>
        <v>HR</v>
      </c>
      <c r="C1053" s="18" t="s">
        <v>54</v>
      </c>
      <c r="D1053" s="14" t="str">
        <f>IF(ISBLANK(Raw_Data!D1053),AVERAGE(Raw_Data!D$2:D$5002),Raw_Data!D1053)</f>
        <v>41175.68</v>
      </c>
      <c r="E1053" s="15" t="str">
        <f>IF(ISBLANK(Raw_Data!E1053),AVERAGE(Raw_Data!E$2:E$5002),Raw_Data!E1053)</f>
        <v>27897.68</v>
      </c>
      <c r="F1053" s="15" t="str">
        <f>IF(ISBLANK(Raw_Data!F1053),AVERAGE(Raw_Data!F$2:F$5002),Raw_Data!F1053)</f>
        <v>12087.61</v>
      </c>
      <c r="G1053" s="14" t="str">
        <f>IF(ISBLANK(Raw_Data!G1053),AVERAGE(Raw_Data!G$2:G$5002),Raw_Data!G1053)</f>
        <v>21265.34</v>
      </c>
      <c r="H1053" s="15" t="str">
        <f t="shared" si="1"/>
        <v>81161.00</v>
      </c>
      <c r="I1053" s="14" t="str">
        <f t="shared" si="2"/>
        <v>59896.00</v>
      </c>
      <c r="J1053" s="16" t="str">
        <f>TEXT(Raw_Data!J1053,"MMM-YYY")</f>
        <v>Sep-2025</v>
      </c>
      <c r="K1053" s="13" t="str">
        <f>Raw_Data!K1053</f>
        <v>2</v>
      </c>
      <c r="L1053" s="17" t="str">
        <f>Raw_Data!L1053</f>
        <v>Hyderabad-South</v>
      </c>
      <c r="M1053" s="13" t="str">
        <f t="shared" si="3"/>
        <v>OK</v>
      </c>
      <c r="N1053" s="18" t="str">
        <f t="shared" si="4"/>
        <v>VALID</v>
      </c>
    </row>
    <row r="1054" ht="15.75" customHeight="1">
      <c r="A1054" s="13" t="str">
        <f>Raw_Data!A1054</f>
        <v>EMP1107</v>
      </c>
      <c r="B1054" s="13" t="str">
        <f>TRIM(CLEAN(Raw_Data!B1054))</f>
        <v>Customer Support</v>
      </c>
      <c r="C1054" s="18" t="s">
        <v>54</v>
      </c>
      <c r="D1054" s="14" t="str">
        <f>IF(ISBLANK(Raw_Data!D1054),AVERAGE(Raw_Data!D$2:D$5002),Raw_Data!D1054)</f>
        <v>58090.21</v>
      </c>
      <c r="E1054" s="15" t="str">
        <f>IF(ISBLANK(Raw_Data!E1054),AVERAGE(Raw_Data!E$2:E$5002),Raw_Data!E1054)</f>
        <v>38750.90</v>
      </c>
      <c r="F1054" s="15" t="str">
        <f>IF(ISBLANK(Raw_Data!F1054),AVERAGE(Raw_Data!F$2:F$5002),Raw_Data!F1054)</f>
        <v>3970.86</v>
      </c>
      <c r="G1054" s="14" t="str">
        <f>IF(ISBLANK(Raw_Data!G1054),AVERAGE(Raw_Data!G$2:G$5002),Raw_Data!G1054)</f>
        <v>19093.83</v>
      </c>
      <c r="H1054" s="15" t="str">
        <f t="shared" si="1"/>
        <v>100812.00</v>
      </c>
      <c r="I1054" s="14" t="str">
        <f t="shared" si="2"/>
        <v>81718.00</v>
      </c>
      <c r="J1054" s="16" t="str">
        <f>TEXT(Raw_Data!J1054,"MMM-YYY")</f>
        <v>Aug-2025</v>
      </c>
      <c r="K1054" s="13" t="str">
        <f>Raw_Data!K1054</f>
        <v>6</v>
      </c>
      <c r="L1054" s="17" t="str">
        <f>Raw_Data!L1054</f>
        <v>Chandigarh-North</v>
      </c>
      <c r="M1054" s="13" t="str">
        <f t="shared" si="3"/>
        <v>OK</v>
      </c>
      <c r="N1054" s="18" t="str">
        <f t="shared" si="4"/>
        <v>VALID</v>
      </c>
    </row>
    <row r="1055" ht="15.75" customHeight="1">
      <c r="A1055" s="13" t="str">
        <f>Raw_Data!A1055</f>
        <v>EMP1108</v>
      </c>
      <c r="B1055" s="13" t="str">
        <f>TRIM(CLEAN(Raw_Data!B1055))</f>
        <v>IT</v>
      </c>
      <c r="C1055" s="18" t="s">
        <v>37</v>
      </c>
      <c r="D1055" s="14" t="str">
        <f>IF(ISBLANK(Raw_Data!D1055),AVERAGE(Raw_Data!D$2:D$5002),Raw_Data!D1055)</f>
        <v>94332.87</v>
      </c>
      <c r="E1055" s="15" t="str">
        <f>IF(ISBLANK(Raw_Data!E1055),AVERAGE(Raw_Data!E$2:E$5002),Raw_Data!E1055)</f>
        <v>5815.00</v>
      </c>
      <c r="F1055" s="15" t="str">
        <f>IF(ISBLANK(Raw_Data!F1055),AVERAGE(Raw_Data!F$2:F$5002),Raw_Data!F1055)</f>
        <v>9896.57</v>
      </c>
      <c r="G1055" s="14" t="str">
        <f>IF(ISBLANK(Raw_Data!G1055),AVERAGE(Raw_Data!G$2:G$5002),Raw_Data!G1055)</f>
        <v>7778.47</v>
      </c>
      <c r="H1055" s="15" t="str">
        <f t="shared" si="1"/>
        <v>110044.00</v>
      </c>
      <c r="I1055" s="14" t="str">
        <f t="shared" si="2"/>
        <v>102266.00</v>
      </c>
      <c r="J1055" s="16" t="str">
        <f>TEXT(Raw_Data!J1055,"MMM-YYY")</f>
        <v>Feb-2025</v>
      </c>
      <c r="K1055" s="13" t="str">
        <f>Raw_Data!K1055</f>
        <v>23</v>
      </c>
      <c r="L1055" s="17" t="str">
        <f>Raw_Data!L1055</f>
        <v>Ahmedabad-West</v>
      </c>
      <c r="M1055" s="13" t="str">
        <f t="shared" si="3"/>
        <v>OK</v>
      </c>
      <c r="N1055" s="18" t="str">
        <f t="shared" si="4"/>
        <v>VALID</v>
      </c>
    </row>
    <row r="1056" ht="15.75" customHeight="1">
      <c r="A1056" s="13" t="str">
        <f>Raw_Data!A1056</f>
        <v>EMP1109</v>
      </c>
      <c r="B1056" s="13" t="str">
        <f>TRIM(CLEAN(Raw_Data!B1056))</f>
        <v>Finance</v>
      </c>
      <c r="C1056" s="18" t="s">
        <v>26</v>
      </c>
      <c r="D1056" s="14" t="str">
        <f>IF(ISBLANK(Raw_Data!D1056),AVERAGE(Raw_Data!D$2:D$5002),Raw_Data!D1056)</f>
        <v>39023.81</v>
      </c>
      <c r="E1056" s="15" t="str">
        <f>IF(ISBLANK(Raw_Data!E1056),AVERAGE(Raw_Data!E$2:E$5002),Raw_Data!E1056)</f>
        <v>36053.84</v>
      </c>
      <c r="F1056" s="15" t="str">
        <f>IF(ISBLANK(Raw_Data!F1056),AVERAGE(Raw_Data!F$2:F$5002),Raw_Data!F1056)</f>
        <v>14846.20</v>
      </c>
      <c r="G1056" s="14" t="str">
        <f>IF(ISBLANK(Raw_Data!G1056),AVERAGE(Raw_Data!G$2:G$5002),Raw_Data!G1056)</f>
        <v>10950.54</v>
      </c>
      <c r="H1056" s="15" t="str">
        <f t="shared" si="1"/>
        <v>89924.00</v>
      </c>
      <c r="I1056" s="14" t="str">
        <f t="shared" si="2"/>
        <v>78973.00</v>
      </c>
      <c r="J1056" s="16" t="str">
        <f>TEXT(Raw_Data!J1056,"MMM-YYY")</f>
        <v>Nov-2025</v>
      </c>
      <c r="K1056" s="13" t="str">
        <f>Raw_Data!K1056</f>
        <v>12</v>
      </c>
      <c r="L1056" s="17" t="str">
        <f>Raw_Data!L1056</f>
        <v>Jaipur-North</v>
      </c>
      <c r="M1056" s="13" t="str">
        <f t="shared" si="3"/>
        <v>OK</v>
      </c>
      <c r="N1056" s="18" t="str">
        <f t="shared" si="4"/>
        <v>VALID</v>
      </c>
    </row>
    <row r="1057" ht="15.75" customHeight="1">
      <c r="A1057" s="13" t="str">
        <f>Raw_Data!A1057</f>
        <v>EMP1110</v>
      </c>
      <c r="B1057" s="13" t="str">
        <f>TRIM(CLEAN(Raw_Data!B1057))</f>
        <v>Sales</v>
      </c>
      <c r="C1057" s="18" t="s">
        <v>33</v>
      </c>
      <c r="D1057" s="14" t="str">
        <f>IF(ISBLANK(Raw_Data!D1057),AVERAGE(Raw_Data!D$2:D$5002),Raw_Data!D1057)</f>
        <v>23082.89</v>
      </c>
      <c r="E1057" s="15" t="str">
        <f>IF(ISBLANK(Raw_Data!E1057),AVERAGE(Raw_Data!E$2:E$5002),Raw_Data!E1057)</f>
        <v>24767.72</v>
      </c>
      <c r="F1057" s="15" t="str">
        <f>IF(ISBLANK(Raw_Data!F1057),AVERAGE(Raw_Data!F$2:F$5002),Raw_Data!F1057)</f>
        <v>15408.24</v>
      </c>
      <c r="G1057" s="14" t="str">
        <f>IF(ISBLANK(Raw_Data!G1057),AVERAGE(Raw_Data!G$2:G$5002),Raw_Data!G1057)</f>
        <v>5055.86</v>
      </c>
      <c r="H1057" s="15" t="str">
        <f t="shared" si="1"/>
        <v>63259.00</v>
      </c>
      <c r="I1057" s="14" t="str">
        <f t="shared" si="2"/>
        <v>58203.00</v>
      </c>
      <c r="J1057" s="16" t="str">
        <f>TEXT(Raw_Data!J1057,"MMM-YYY")</f>
        <v>May-2025</v>
      </c>
      <c r="K1057" s="13" t="str">
        <f>Raw_Data!K1057</f>
        <v>22</v>
      </c>
      <c r="L1057" s="17" t="str">
        <f>Raw_Data!L1057</f>
        <v>Mumbai-HO</v>
      </c>
      <c r="M1057" s="13" t="str">
        <f t="shared" si="3"/>
        <v>OK</v>
      </c>
      <c r="N1057" s="18" t="str">
        <f t="shared" si="4"/>
        <v>VALID</v>
      </c>
    </row>
    <row r="1058" ht="15.75" customHeight="1">
      <c r="A1058" s="13" t="str">
        <f>Raw_Data!A1058</f>
        <v>EMP1111</v>
      </c>
      <c r="B1058" s="13" t="str">
        <f>TRIM(CLEAN(Raw_Data!B1058))</f>
        <v>Finance</v>
      </c>
      <c r="C1058" s="18" t="s">
        <v>14</v>
      </c>
      <c r="D1058" s="14" t="str">
        <f>IF(ISBLANK(Raw_Data!D1058),AVERAGE(Raw_Data!D$2:D$5002),Raw_Data!D1058)</f>
        <v>45423.90</v>
      </c>
      <c r="E1058" s="15" t="str">
        <f>IF(ISBLANK(Raw_Data!E1058),AVERAGE(Raw_Data!E$2:E$5002),Raw_Data!E1058)</f>
        <v>24301.10</v>
      </c>
      <c r="F1058" s="15" t="str">
        <f>IF(ISBLANK(Raw_Data!F1058),AVERAGE(Raw_Data!F$2:F$5002),Raw_Data!F1058)</f>
        <v>9992.37</v>
      </c>
      <c r="G1058" s="14" t="str">
        <f>IF(ISBLANK(Raw_Data!G1058),AVERAGE(Raw_Data!G$2:G$5002),Raw_Data!G1058)</f>
        <v>3220.78</v>
      </c>
      <c r="H1058" s="15" t="str">
        <f t="shared" si="1"/>
        <v>79717.00</v>
      </c>
      <c r="I1058" s="14" t="str">
        <f t="shared" si="2"/>
        <v>76496.00</v>
      </c>
      <c r="J1058" s="16" t="str">
        <f>TEXT(Raw_Data!J1058,"MMM-YYY")</f>
        <v>Oct-2025</v>
      </c>
      <c r="K1058" s="13" t="str">
        <f>Raw_Data!K1058</f>
        <v>19</v>
      </c>
      <c r="L1058" s="17" t="str">
        <f>Raw_Data!L1058</f>
        <v>Delhi-North</v>
      </c>
      <c r="M1058" s="13" t="str">
        <f t="shared" si="3"/>
        <v>OK</v>
      </c>
      <c r="N1058" s="18" t="str">
        <f t="shared" si="4"/>
        <v>VALID</v>
      </c>
    </row>
    <row r="1059" ht="15.75" customHeight="1">
      <c r="A1059" s="13" t="str">
        <f>Raw_Data!A1059</f>
        <v>EMP1112</v>
      </c>
      <c r="B1059" s="13" t="str">
        <f>TRIM(CLEAN(Raw_Data!B1059))</f>
        <v>Customer Support</v>
      </c>
      <c r="C1059" s="18" t="s">
        <v>33</v>
      </c>
      <c r="D1059" s="14" t="str">
        <f>IF(ISBLANK(Raw_Data!D1059),AVERAGE(Raw_Data!D$2:D$5002),Raw_Data!D1059)</f>
        <v>31928.24</v>
      </c>
      <c r="E1059" s="15" t="str">
        <f>IF(ISBLANK(Raw_Data!E1059),AVERAGE(Raw_Data!E$2:E$5002),Raw_Data!E1059)</f>
        <v>22010.03</v>
      </c>
      <c r="F1059" s="15" t="str">
        <f>IF(ISBLANK(Raw_Data!F1059),AVERAGE(Raw_Data!F$2:F$5002),Raw_Data!F1059)</f>
        <v>6104.29</v>
      </c>
      <c r="G1059" s="14" t="str">
        <f>IF(ISBLANK(Raw_Data!G1059),AVERAGE(Raw_Data!G$2:G$5002),Raw_Data!G1059)</f>
        <v>18207.67</v>
      </c>
      <c r="H1059" s="15" t="str">
        <f t="shared" si="1"/>
        <v>60043.00</v>
      </c>
      <c r="I1059" s="14" t="str">
        <f t="shared" si="2"/>
        <v>41835.00</v>
      </c>
      <c r="J1059" s="16" t="str">
        <f>TEXT(Raw_Data!J1059,"MMM-YYY")</f>
        <v>Apr-2025</v>
      </c>
      <c r="K1059" s="13" t="str">
        <f>Raw_Data!K1059</f>
        <v>15</v>
      </c>
      <c r="L1059" s="17" t="str">
        <f>Raw_Data!L1059</f>
        <v>Bangalore-South</v>
      </c>
      <c r="M1059" s="13" t="str">
        <f t="shared" si="3"/>
        <v>OK</v>
      </c>
      <c r="N1059" s="18" t="str">
        <f t="shared" si="4"/>
        <v>VALID</v>
      </c>
    </row>
    <row r="1060" ht="15.75" customHeight="1">
      <c r="A1060" s="13" t="str">
        <f>Raw_Data!A1060</f>
        <v>EMP1113</v>
      </c>
      <c r="B1060" s="13" t="str">
        <f>TRIM(CLEAN(Raw_Data!B1060))</f>
        <v>HR</v>
      </c>
      <c r="C1060" s="18" t="s">
        <v>54</v>
      </c>
      <c r="D1060" s="14" t="str">
        <f>IF(ISBLANK(Raw_Data!D1060),AVERAGE(Raw_Data!D$2:D$5002),Raw_Data!D1060)</f>
        <v>112618.25</v>
      </c>
      <c r="E1060" s="15" t="str">
        <f>IF(ISBLANK(Raw_Data!E1060),AVERAGE(Raw_Data!E$2:E$5002),Raw_Data!E1060)</f>
        <v>6498.19</v>
      </c>
      <c r="F1060" s="15" t="str">
        <f>IF(ISBLANK(Raw_Data!F1060),AVERAGE(Raw_Data!F$2:F$5002),Raw_Data!F1060)</f>
        <v>19474.85</v>
      </c>
      <c r="G1060" s="14" t="str">
        <f>IF(ISBLANK(Raw_Data!G1060),AVERAGE(Raw_Data!G$2:G$5002),Raw_Data!G1060)</f>
        <v>7054.04</v>
      </c>
      <c r="H1060" s="15" t="str">
        <f t="shared" si="1"/>
        <v>138591.00</v>
      </c>
      <c r="I1060" s="14" t="str">
        <f t="shared" si="2"/>
        <v>131537.00</v>
      </c>
      <c r="J1060" s="16" t="str">
        <f>TEXT(Raw_Data!J1060,"MMM-YYY")</f>
        <v>Oct-2025</v>
      </c>
      <c r="K1060" s="13" t="str">
        <f>Raw_Data!K1060</f>
        <v>19</v>
      </c>
      <c r="L1060" s="17" t="str">
        <f>Raw_Data!L1060</f>
        <v>Chennai-South</v>
      </c>
      <c r="M1060" s="13" t="str">
        <f t="shared" si="3"/>
        <v>OK</v>
      </c>
      <c r="N1060" s="18" t="str">
        <f t="shared" si="4"/>
        <v>VALID</v>
      </c>
    </row>
    <row r="1061" ht="15.75" customHeight="1">
      <c r="A1061" s="13" t="str">
        <f>Raw_Data!A1061</f>
        <v>EMP1114</v>
      </c>
      <c r="B1061" s="13" t="str">
        <f>TRIM(CLEAN(Raw_Data!B1061))</f>
        <v>IT</v>
      </c>
      <c r="C1061" s="18" t="s">
        <v>37</v>
      </c>
      <c r="D1061" s="14" t="str">
        <f>IF(ISBLANK(Raw_Data!D1061),AVERAGE(Raw_Data!D$2:D$5002),Raw_Data!D1061)</f>
        <v>99852.64</v>
      </c>
      <c r="E1061" s="15" t="str">
        <f>IF(ISBLANK(Raw_Data!E1061),AVERAGE(Raw_Data!E$2:E$5002),Raw_Data!E1061)</f>
        <v>7235.57</v>
      </c>
      <c r="F1061" s="15" t="str">
        <f>IF(ISBLANK(Raw_Data!F1061),AVERAGE(Raw_Data!F$2:F$5002),Raw_Data!F1061)</f>
        <v>13267.25</v>
      </c>
      <c r="G1061" s="14" t="str">
        <f>IF(ISBLANK(Raw_Data!G1061),AVERAGE(Raw_Data!G$2:G$5002),Raw_Data!G1061)</f>
        <v>20591.45</v>
      </c>
      <c r="H1061" s="15" t="str">
        <f t="shared" si="1"/>
        <v>120355.00</v>
      </c>
      <c r="I1061" s="14" t="str">
        <f t="shared" si="2"/>
        <v>99764.00</v>
      </c>
      <c r="J1061" s="16" t="str">
        <f>TEXT(Raw_Data!J1061,"MMM-YYY")</f>
        <v>Nov-2025</v>
      </c>
      <c r="K1061" s="13" t="str">
        <f>Raw_Data!K1061</f>
        <v>12</v>
      </c>
      <c r="L1061" s="17" t="str">
        <f>Raw_Data!L1061</f>
        <v>Kolkata-East</v>
      </c>
      <c r="M1061" s="13" t="str">
        <f t="shared" si="3"/>
        <v>OK</v>
      </c>
      <c r="N1061" s="18" t="str">
        <f t="shared" si="4"/>
        <v>VALID</v>
      </c>
    </row>
    <row r="1062" ht="15.75" customHeight="1">
      <c r="A1062" s="13" t="str">
        <f>Raw_Data!A1062</f>
        <v>EMP1115</v>
      </c>
      <c r="B1062" s="13" t="str">
        <f>TRIM(CLEAN(Raw_Data!B1062))</f>
        <v>Marketing</v>
      </c>
      <c r="C1062" s="18" t="s">
        <v>37</v>
      </c>
      <c r="D1062" s="14" t="str">
        <f>IF(ISBLANK(Raw_Data!D1062),AVERAGE(Raw_Data!D$2:D$5002),Raw_Data!D1062)</f>
        <v>81507.39</v>
      </c>
      <c r="E1062" s="15" t="str">
        <f>IF(ISBLANK(Raw_Data!E1062),AVERAGE(Raw_Data!E$2:E$5002),Raw_Data!E1062)</f>
        <v>25632.83</v>
      </c>
      <c r="F1062" s="15" t="str">
        <f>IF(ISBLANK(Raw_Data!F1062),AVERAGE(Raw_Data!F$2:F$5002),Raw_Data!F1062)</f>
        <v>8164.75</v>
      </c>
      <c r="G1062" s="14" t="str">
        <f>IF(ISBLANK(Raw_Data!G1062),AVERAGE(Raw_Data!G$2:G$5002),Raw_Data!G1062)</f>
        <v>24892.41</v>
      </c>
      <c r="H1062" s="15" t="str">
        <f t="shared" si="1"/>
        <v>115305.00</v>
      </c>
      <c r="I1062" s="14" t="str">
        <f t="shared" si="2"/>
        <v>90413.00</v>
      </c>
      <c r="J1062" s="16" t="str">
        <f>TEXT(Raw_Data!J1062,"MMM-YYY")</f>
        <v>Mar-2025</v>
      </c>
      <c r="K1062" s="13" t="str">
        <f>Raw_Data!K1062</f>
        <v>18</v>
      </c>
      <c r="L1062" s="17" t="str">
        <f>Raw_Data!L1062</f>
        <v>Pune-West</v>
      </c>
      <c r="M1062" s="13" t="str">
        <f t="shared" si="3"/>
        <v>OK</v>
      </c>
      <c r="N1062" s="18" t="str">
        <f t="shared" si="4"/>
        <v>VALID</v>
      </c>
    </row>
    <row r="1063" ht="15.75" customHeight="1">
      <c r="A1063" s="13" t="str">
        <f>Raw_Data!A1063</f>
        <v>EMP1116</v>
      </c>
      <c r="B1063" s="13" t="str">
        <f>TRIM(CLEAN(Raw_Data!B1063))</f>
        <v>Marketing</v>
      </c>
      <c r="C1063" s="18" t="s">
        <v>26</v>
      </c>
      <c r="D1063" s="14" t="str">
        <f>IF(ISBLANK(Raw_Data!D1063),AVERAGE(Raw_Data!D$2:D$5002),Raw_Data!D1063)</f>
        <v>106503.36</v>
      </c>
      <c r="E1063" s="15" t="str">
        <f>IF(ISBLANK(Raw_Data!E1063),AVERAGE(Raw_Data!E$2:E$5002),Raw_Data!E1063)</f>
        <v>16274.51</v>
      </c>
      <c r="F1063" s="15" t="str">
        <f>IF(ISBLANK(Raw_Data!F1063),AVERAGE(Raw_Data!F$2:F$5002),Raw_Data!F1063)</f>
        <v>5609.26</v>
      </c>
      <c r="G1063" s="14" t="str">
        <f>IF(ISBLANK(Raw_Data!G1063),AVERAGE(Raw_Data!G$2:G$5002),Raw_Data!G1063)</f>
        <v>2377.19</v>
      </c>
      <c r="H1063" s="15" t="str">
        <f t="shared" si="1"/>
        <v>128387.00</v>
      </c>
      <c r="I1063" s="14" t="str">
        <f t="shared" si="2"/>
        <v>126010.00</v>
      </c>
      <c r="J1063" s="16" t="str">
        <f>TEXT(Raw_Data!J1063,"MMM-YYY")</f>
        <v>Jun-2025</v>
      </c>
      <c r="K1063" s="13" t="str">
        <f>Raw_Data!K1063</f>
        <v>16</v>
      </c>
      <c r="L1063" s="17" t="str">
        <f>Raw_Data!L1063</f>
        <v>Hyderabad-South</v>
      </c>
      <c r="M1063" s="13" t="str">
        <f t="shared" si="3"/>
        <v>OK</v>
      </c>
      <c r="N1063" s="18" t="str">
        <f t="shared" si="4"/>
        <v>VALID</v>
      </c>
    </row>
    <row r="1064" ht="15.75" customHeight="1">
      <c r="A1064" s="13" t="str">
        <f>Raw_Data!A1064</f>
        <v>EMP1117</v>
      </c>
      <c r="B1064" s="13" t="str">
        <f>TRIM(CLEAN(Raw_Data!B1064))</f>
        <v>Marketing</v>
      </c>
      <c r="C1064" s="18" t="s">
        <v>18</v>
      </c>
      <c r="D1064" s="14" t="str">
        <f>IF(ISBLANK(Raw_Data!D1064),AVERAGE(Raw_Data!D$2:D$5002),Raw_Data!D1064)</f>
        <v>99385.57</v>
      </c>
      <c r="E1064" s="15" t="str">
        <f>IF(ISBLANK(Raw_Data!E1064),AVERAGE(Raw_Data!E$2:E$5002),Raw_Data!E1064)</f>
        <v>37021.65</v>
      </c>
      <c r="F1064" s="15" t="str">
        <f>IF(ISBLANK(Raw_Data!F1064),AVERAGE(Raw_Data!F$2:F$5002),Raw_Data!F1064)</f>
        <v>14622.06</v>
      </c>
      <c r="G1064" s="14" t="str">
        <f>IF(ISBLANK(Raw_Data!G1064),AVERAGE(Raw_Data!G$2:G$5002),Raw_Data!G1064)</f>
        <v>12089.36</v>
      </c>
      <c r="H1064" s="15" t="str">
        <f t="shared" si="1"/>
        <v>151029.00</v>
      </c>
      <c r="I1064" s="14" t="str">
        <f t="shared" si="2"/>
        <v>138940.00</v>
      </c>
      <c r="J1064" s="16" t="str">
        <f>TEXT(Raw_Data!J1064,"MMM-YYY")</f>
        <v>Mar-2025</v>
      </c>
      <c r="K1064" s="13" t="str">
        <f>Raw_Data!K1064</f>
        <v>2</v>
      </c>
      <c r="L1064" s="17" t="str">
        <f>Raw_Data!L1064</f>
        <v>Chandigarh-North</v>
      </c>
      <c r="M1064" s="13" t="str">
        <f t="shared" si="3"/>
        <v>OK</v>
      </c>
      <c r="N1064" s="18" t="str">
        <f t="shared" si="4"/>
        <v>VALID</v>
      </c>
    </row>
    <row r="1065" ht="15.75" customHeight="1">
      <c r="A1065" s="13" t="str">
        <f>Raw_Data!A1065</f>
        <v>EMP1118</v>
      </c>
      <c r="B1065" s="13" t="str">
        <f>TRIM(CLEAN(Raw_Data!B1065))</f>
        <v>Operations</v>
      </c>
      <c r="C1065" s="18" t="s">
        <v>18</v>
      </c>
      <c r="D1065" s="14" t="str">
        <f>IF(ISBLANK(Raw_Data!D1065),AVERAGE(Raw_Data!D$2:D$5002),Raw_Data!D1065)</f>
        <v>34589.86</v>
      </c>
      <c r="E1065" s="15" t="str">
        <f>IF(ISBLANK(Raw_Data!E1065),AVERAGE(Raw_Data!E$2:E$5002),Raw_Data!E1065)</f>
        <v>18637.26</v>
      </c>
      <c r="F1065" s="15" t="str">
        <f>IF(ISBLANK(Raw_Data!F1065),AVERAGE(Raw_Data!F$2:F$5002),Raw_Data!F1065)</f>
        <v>4843.67</v>
      </c>
      <c r="G1065" s="14" t="str">
        <f>IF(ISBLANK(Raw_Data!G1065),AVERAGE(Raw_Data!G$2:G$5002),Raw_Data!G1065)</f>
        <v>20150.53</v>
      </c>
      <c r="H1065" s="15" t="str">
        <f t="shared" si="1"/>
        <v>58071.00</v>
      </c>
      <c r="I1065" s="14" t="str">
        <f t="shared" si="2"/>
        <v>37920.00</v>
      </c>
      <c r="J1065" s="16" t="str">
        <f>TEXT(Raw_Data!J1065,"MMM-YYY")</f>
        <v>Apr-2025</v>
      </c>
      <c r="K1065" s="13" t="str">
        <f>Raw_Data!K1065</f>
        <v>11</v>
      </c>
      <c r="L1065" s="17" t="str">
        <f>Raw_Data!L1065</f>
        <v>Ahmedabad-West</v>
      </c>
      <c r="M1065" s="13" t="str">
        <f t="shared" si="3"/>
        <v>OK</v>
      </c>
      <c r="N1065" s="18" t="str">
        <f t="shared" si="4"/>
        <v>VALID</v>
      </c>
    </row>
    <row r="1066" ht="15.75" customHeight="1">
      <c r="A1066" s="13" t="str">
        <f>Raw_Data!A1066</f>
        <v>EMP1119</v>
      </c>
      <c r="B1066" s="13" t="str">
        <f>TRIM(CLEAN(Raw_Data!B1066))</f>
        <v>Marketing</v>
      </c>
      <c r="C1066" s="18" t="s">
        <v>37</v>
      </c>
      <c r="D1066" s="14" t="str">
        <f>IF(ISBLANK(Raw_Data!D1066),AVERAGE(Raw_Data!D$2:D$5002),Raw_Data!D1066)</f>
        <v>108718.69</v>
      </c>
      <c r="E1066" s="15" t="str">
        <f>IF(ISBLANK(Raw_Data!E1066),AVERAGE(Raw_Data!E$2:E$5002),Raw_Data!E1066)</f>
        <v>9158.13</v>
      </c>
      <c r="F1066" s="15" t="str">
        <f>IF(ISBLANK(Raw_Data!F1066),AVERAGE(Raw_Data!F$2:F$5002),Raw_Data!F1066)</f>
        <v>3434.20</v>
      </c>
      <c r="G1066" s="14" t="str">
        <f>IF(ISBLANK(Raw_Data!G1066),AVERAGE(Raw_Data!G$2:G$5002),Raw_Data!G1066)</f>
        <v>19829.30</v>
      </c>
      <c r="H1066" s="15" t="str">
        <f t="shared" si="1"/>
        <v>121311.00</v>
      </c>
      <c r="I1066" s="14" t="str">
        <f t="shared" si="2"/>
        <v>101482.00</v>
      </c>
      <c r="J1066" s="16" t="str">
        <f>TEXT(Raw_Data!J1066,"MMM-YYY")</f>
        <v>Jul-2025</v>
      </c>
      <c r="K1066" s="13" t="str">
        <f>Raw_Data!K1066</f>
        <v>12</v>
      </c>
      <c r="L1066" s="17" t="str">
        <f>Raw_Data!L1066</f>
        <v>Jaipur-North</v>
      </c>
      <c r="M1066" s="13" t="str">
        <f t="shared" si="3"/>
        <v>OK</v>
      </c>
      <c r="N1066" s="18" t="str">
        <f t="shared" si="4"/>
        <v>VALID</v>
      </c>
    </row>
    <row r="1067" ht="15.75" customHeight="1">
      <c r="A1067" s="13" t="str">
        <f>Raw_Data!A1067</f>
        <v>EMP1120</v>
      </c>
      <c r="B1067" s="13" t="str">
        <f>TRIM(CLEAN(Raw_Data!B1067))</f>
        <v>Marketing</v>
      </c>
      <c r="C1067" s="18" t="s">
        <v>33</v>
      </c>
      <c r="D1067" s="14" t="str">
        <f>IF(ISBLANK(Raw_Data!D1067),AVERAGE(Raw_Data!D$2:D$5002),Raw_Data!D1067)</f>
        <v>71630.94</v>
      </c>
      <c r="E1067" s="15" t="str">
        <f>IF(ISBLANK(Raw_Data!E1067),AVERAGE(Raw_Data!E$2:E$5002),Raw_Data!E1067)</f>
        <v>29729.88</v>
      </c>
      <c r="F1067" s="15" t="str">
        <f>IF(ISBLANK(Raw_Data!F1067),AVERAGE(Raw_Data!F$2:F$5002),Raw_Data!F1067)</f>
        <v>10596.68</v>
      </c>
      <c r="G1067" s="14" t="str">
        <f>IF(ISBLANK(Raw_Data!G1067),AVERAGE(Raw_Data!G$2:G$5002),Raw_Data!G1067)</f>
        <v>19119.93</v>
      </c>
      <c r="H1067" s="15" t="str">
        <f t="shared" si="1"/>
        <v>111958.00</v>
      </c>
      <c r="I1067" s="14" t="str">
        <f t="shared" si="2"/>
        <v>92838.00</v>
      </c>
      <c r="J1067" s="16" t="str">
        <f>TEXT(Raw_Data!J1067,"MMM-YYY")</f>
        <v>Mar-2025</v>
      </c>
      <c r="K1067" s="13" t="str">
        <f>Raw_Data!K1067</f>
        <v>5</v>
      </c>
      <c r="L1067" s="17" t="str">
        <f>Raw_Data!L1067</f>
        <v>Mumbai-HO</v>
      </c>
      <c r="M1067" s="13" t="str">
        <f t="shared" si="3"/>
        <v>OK</v>
      </c>
      <c r="N1067" s="18" t="str">
        <f t="shared" si="4"/>
        <v>VALID</v>
      </c>
    </row>
    <row r="1068" ht="15.75" customHeight="1">
      <c r="A1068" s="13" t="str">
        <f>Raw_Data!A1068</f>
        <v>EMP1121</v>
      </c>
      <c r="B1068" s="13" t="str">
        <f>TRIM(CLEAN(Raw_Data!B1068))</f>
        <v>IT</v>
      </c>
      <c r="C1068" s="18" t="s">
        <v>14</v>
      </c>
      <c r="D1068" s="14" t="str">
        <f>IF(ISBLANK(Raw_Data!D1068),AVERAGE(Raw_Data!D$2:D$5002),Raw_Data!D1068)</f>
        <v>99781.22</v>
      </c>
      <c r="E1068" s="15" t="str">
        <f>IF(ISBLANK(Raw_Data!E1068),AVERAGE(Raw_Data!E$2:E$5002),Raw_Data!E1068)</f>
        <v>14560.72</v>
      </c>
      <c r="F1068" s="15" t="str">
        <f>IF(ISBLANK(Raw_Data!F1068),AVERAGE(Raw_Data!F$2:F$5002),Raw_Data!F1068)</f>
        <v>5799.75</v>
      </c>
      <c r="G1068" s="14" t="str">
        <f>IF(ISBLANK(Raw_Data!G1068),AVERAGE(Raw_Data!G$2:G$5002),Raw_Data!G1068)</f>
        <v>9050.38</v>
      </c>
      <c r="H1068" s="15" t="str">
        <f t="shared" si="1"/>
        <v>120142.00</v>
      </c>
      <c r="I1068" s="14" t="str">
        <f t="shared" si="2"/>
        <v>111092.00</v>
      </c>
      <c r="J1068" s="16" t="str">
        <f>TEXT(Raw_Data!J1068,"MMM-YYY")</f>
        <v>Mar-2025</v>
      </c>
      <c r="K1068" s="13" t="str">
        <f>Raw_Data!K1068</f>
        <v>24</v>
      </c>
      <c r="L1068" s="17" t="str">
        <f>Raw_Data!L1068</f>
        <v>Delhi-North</v>
      </c>
      <c r="M1068" s="13" t="str">
        <f t="shared" si="3"/>
        <v>OK</v>
      </c>
      <c r="N1068" s="18" t="str">
        <f t="shared" si="4"/>
        <v>VALID</v>
      </c>
    </row>
    <row r="1069" ht="15.75" customHeight="1">
      <c r="A1069" s="13" t="str">
        <f>Raw_Data!A1069</f>
        <v>EMP1122</v>
      </c>
      <c r="B1069" s="13" t="str">
        <f>TRIM(CLEAN(Raw_Data!B1069))</f>
        <v>Sales</v>
      </c>
      <c r="C1069" s="18" t="s">
        <v>33</v>
      </c>
      <c r="D1069" s="14" t="str">
        <f>IF(ISBLANK(Raw_Data!D1069),AVERAGE(Raw_Data!D$2:D$5002),Raw_Data!D1069)</f>
        <v>109089.59</v>
      </c>
      <c r="E1069" s="15" t="str">
        <f>IF(ISBLANK(Raw_Data!E1069),AVERAGE(Raw_Data!E$2:E$5002),Raw_Data!E1069)</f>
        <v>22916.93</v>
      </c>
      <c r="F1069" s="15" t="str">
        <f>IF(ISBLANK(Raw_Data!F1069),AVERAGE(Raw_Data!F$2:F$5002),Raw_Data!F1069)</f>
        <v>12578.10</v>
      </c>
      <c r="G1069" s="14" t="str">
        <f>IF(ISBLANK(Raw_Data!G1069),AVERAGE(Raw_Data!G$2:G$5002),Raw_Data!G1069)</f>
        <v>11619.40</v>
      </c>
      <c r="H1069" s="15" t="str">
        <f t="shared" si="1"/>
        <v>144585.00</v>
      </c>
      <c r="I1069" s="14" t="str">
        <f t="shared" si="2"/>
        <v>132966.00</v>
      </c>
      <c r="J1069" s="16" t="str">
        <f>TEXT(Raw_Data!J1069,"MMM-YYY")</f>
        <v>Oct-2025</v>
      </c>
      <c r="K1069" s="13" t="str">
        <f>Raw_Data!K1069</f>
        <v>6</v>
      </c>
      <c r="L1069" s="17" t="str">
        <f>Raw_Data!L1069</f>
        <v>Bangalore-South</v>
      </c>
      <c r="M1069" s="13" t="str">
        <f t="shared" si="3"/>
        <v>OK</v>
      </c>
      <c r="N1069" s="18" t="str">
        <f t="shared" si="4"/>
        <v>VALID</v>
      </c>
    </row>
    <row r="1070" ht="15.75" customHeight="1">
      <c r="A1070" s="13" t="str">
        <f>Raw_Data!A1070</f>
        <v>EMP1123</v>
      </c>
      <c r="B1070" s="13" t="str">
        <f>TRIM(CLEAN(Raw_Data!B1070))</f>
        <v>Marketing</v>
      </c>
      <c r="C1070" s="18" t="s">
        <v>33</v>
      </c>
      <c r="D1070" s="14" t="str">
        <f>IF(ISBLANK(Raw_Data!D1070),AVERAGE(Raw_Data!D$2:D$5002),Raw_Data!D1070)</f>
        <v>48390.36</v>
      </c>
      <c r="E1070" s="15" t="str">
        <f>IF(ISBLANK(Raw_Data!E1070),AVERAGE(Raw_Data!E$2:E$5002),Raw_Data!E1070)</f>
        <v>29121.98</v>
      </c>
      <c r="F1070" s="15" t="str">
        <f>IF(ISBLANK(Raw_Data!F1070),AVERAGE(Raw_Data!F$2:F$5002),Raw_Data!F1070)</f>
        <v>2358.77</v>
      </c>
      <c r="G1070" s="14" t="str">
        <f>IF(ISBLANK(Raw_Data!G1070),AVERAGE(Raw_Data!G$2:G$5002),Raw_Data!G1070)</f>
        <v>15076.72</v>
      </c>
      <c r="H1070" s="15" t="str">
        <f t="shared" si="1"/>
        <v>79871.00</v>
      </c>
      <c r="I1070" s="14" t="str">
        <f t="shared" si="2"/>
        <v>64794.00</v>
      </c>
      <c r="J1070" s="16" t="str">
        <f>TEXT(Raw_Data!J1070,"MMM-YYY")</f>
        <v>Nov-2025</v>
      </c>
      <c r="K1070" s="13" t="str">
        <f>Raw_Data!K1070</f>
        <v>25</v>
      </c>
      <c r="L1070" s="17" t="str">
        <f>Raw_Data!L1070</f>
        <v>Chennai-South</v>
      </c>
      <c r="M1070" s="13" t="str">
        <f t="shared" si="3"/>
        <v>OK</v>
      </c>
      <c r="N1070" s="18" t="str">
        <f t="shared" si="4"/>
        <v>VALID</v>
      </c>
    </row>
    <row r="1071" ht="15.75" customHeight="1">
      <c r="A1071" s="13" t="str">
        <f>Raw_Data!A1071</f>
        <v>EMP1124</v>
      </c>
      <c r="B1071" s="13" t="str">
        <f>TRIM(CLEAN(Raw_Data!B1071))</f>
        <v>Operations</v>
      </c>
      <c r="C1071" s="18" t="s">
        <v>54</v>
      </c>
      <c r="D1071" s="14" t="str">
        <f>IF(ISBLANK(Raw_Data!D1071),AVERAGE(Raw_Data!D$2:D$5002),Raw_Data!D1071)</f>
        <v>26555.45</v>
      </c>
      <c r="E1071" s="15" t="str">
        <f>IF(ISBLANK(Raw_Data!E1071),AVERAGE(Raw_Data!E$2:E$5002),Raw_Data!E1071)</f>
        <v>36409.51</v>
      </c>
      <c r="F1071" s="15" t="str">
        <f>IF(ISBLANK(Raw_Data!F1071),AVERAGE(Raw_Data!F$2:F$5002),Raw_Data!F1071)</f>
        <v>13098.82</v>
      </c>
      <c r="G1071" s="14" t="str">
        <f>IF(ISBLANK(Raw_Data!G1071),AVERAGE(Raw_Data!G$2:G$5002),Raw_Data!G1071)</f>
        <v>24361.54</v>
      </c>
      <c r="H1071" s="15" t="str">
        <f t="shared" si="1"/>
        <v>76064.00</v>
      </c>
      <c r="I1071" s="14" t="str">
        <f t="shared" si="2"/>
        <v>51702.00</v>
      </c>
      <c r="J1071" s="16" t="str">
        <f>TEXT(Raw_Data!J1071,"MMM-YYY")</f>
        <v>Mar-2025</v>
      </c>
      <c r="K1071" s="13" t="str">
        <f>Raw_Data!K1071</f>
        <v>11</v>
      </c>
      <c r="L1071" s="17" t="str">
        <f>Raw_Data!L1071</f>
        <v>Kolkata-East</v>
      </c>
      <c r="M1071" s="13" t="str">
        <f t="shared" si="3"/>
        <v>OK</v>
      </c>
      <c r="N1071" s="18" t="str">
        <f t="shared" si="4"/>
        <v>VALID</v>
      </c>
    </row>
    <row r="1072" ht="15.75" customHeight="1">
      <c r="A1072" s="13" t="str">
        <f>Raw_Data!A1072</f>
        <v>EMP1125</v>
      </c>
      <c r="B1072" s="13" t="str">
        <f>TRIM(CLEAN(Raw_Data!B1072))</f>
        <v>Sales</v>
      </c>
      <c r="C1072" s="18" t="s">
        <v>33</v>
      </c>
      <c r="D1072" s="14" t="str">
        <f>IF(ISBLANK(Raw_Data!D1072),AVERAGE(Raw_Data!D$2:D$5002),Raw_Data!D1072)</f>
        <v>38933.19</v>
      </c>
      <c r="E1072" s="15" t="str">
        <f>IF(ISBLANK(Raw_Data!E1072),AVERAGE(Raw_Data!E$2:E$5002),Raw_Data!E1072)</f>
        <v>32518.88</v>
      </c>
      <c r="F1072" s="15" t="str">
        <f>IF(ISBLANK(Raw_Data!F1072),AVERAGE(Raw_Data!F$2:F$5002),Raw_Data!F1072)</f>
        <v>5665.93</v>
      </c>
      <c r="G1072" s="14" t="str">
        <f>IF(ISBLANK(Raw_Data!G1072),AVERAGE(Raw_Data!G$2:G$5002),Raw_Data!G1072)</f>
        <v>8524.91</v>
      </c>
      <c r="H1072" s="15" t="str">
        <f t="shared" si="1"/>
        <v>77118.00</v>
      </c>
      <c r="I1072" s="14" t="str">
        <f t="shared" si="2"/>
        <v>68593.00</v>
      </c>
      <c r="J1072" s="16" t="str">
        <f>TEXT(Raw_Data!J1072,"MMM-YYY")</f>
        <v>Jun-2025</v>
      </c>
      <c r="K1072" s="13" t="str">
        <f>Raw_Data!K1072</f>
        <v>21</v>
      </c>
      <c r="L1072" s="17" t="str">
        <f>Raw_Data!L1072</f>
        <v>Pune-West</v>
      </c>
      <c r="M1072" s="13" t="str">
        <f t="shared" si="3"/>
        <v>OK</v>
      </c>
      <c r="N1072" s="18" t="str">
        <f t="shared" si="4"/>
        <v>VALID</v>
      </c>
    </row>
    <row r="1073" ht="15.75" customHeight="1">
      <c r="A1073" s="13" t="str">
        <f>Raw_Data!A1073</f>
        <v>EMP1126</v>
      </c>
      <c r="B1073" s="13" t="str">
        <f>TRIM(CLEAN(Raw_Data!B1073))</f>
        <v>Finance</v>
      </c>
      <c r="C1073" s="18" t="s">
        <v>26</v>
      </c>
      <c r="D1073" s="14" t="str">
        <f>IF(ISBLANK(Raw_Data!D1073),AVERAGE(Raw_Data!D$2:D$5002),Raw_Data!D1073)</f>
        <v>59846.32</v>
      </c>
      <c r="E1073" s="15" t="str">
        <f>IF(ISBLANK(Raw_Data!E1073),AVERAGE(Raw_Data!E$2:E$5002),Raw_Data!E1073)</f>
        <v>28349.00</v>
      </c>
      <c r="F1073" s="15" t="str">
        <f>IF(ISBLANK(Raw_Data!F1073),AVERAGE(Raw_Data!F$2:F$5002),Raw_Data!F1073)</f>
        <v>4.86</v>
      </c>
      <c r="G1073" s="14" t="str">
        <f>IF(ISBLANK(Raw_Data!G1073),AVERAGE(Raw_Data!G$2:G$5002),Raw_Data!G1073)</f>
        <v>23117.03</v>
      </c>
      <c r="H1073" s="15" t="str">
        <f t="shared" si="1"/>
        <v>88200.00</v>
      </c>
      <c r="I1073" s="14" t="str">
        <f t="shared" si="2"/>
        <v>65083.00</v>
      </c>
      <c r="J1073" s="16" t="str">
        <f>TEXT(Raw_Data!J1073,"MMM-YYY")</f>
        <v>Sep-2025</v>
      </c>
      <c r="K1073" s="13" t="str">
        <f>Raw_Data!K1073</f>
        <v>10</v>
      </c>
      <c r="L1073" s="17" t="str">
        <f>Raw_Data!L1073</f>
        <v>Hyderabad-South</v>
      </c>
      <c r="M1073" s="13" t="str">
        <f t="shared" si="3"/>
        <v>OK</v>
      </c>
      <c r="N1073" s="18" t="str">
        <f t="shared" si="4"/>
        <v>VALID</v>
      </c>
    </row>
    <row r="1074" ht="15.75" customHeight="1">
      <c r="A1074" s="13" t="str">
        <f>Raw_Data!A1074</f>
        <v>EMP1127</v>
      </c>
      <c r="B1074" s="13" t="str">
        <f>TRIM(CLEAN(Raw_Data!B1074))</f>
        <v>Sales</v>
      </c>
      <c r="C1074" s="18" t="s">
        <v>33</v>
      </c>
      <c r="D1074" s="14" t="str">
        <f>IF(ISBLANK(Raw_Data!D1074),AVERAGE(Raw_Data!D$2:D$5002),Raw_Data!D1074)</f>
        <v>100891.55</v>
      </c>
      <c r="E1074" s="15" t="str">
        <f>IF(ISBLANK(Raw_Data!E1074),AVERAGE(Raw_Data!E$2:E$5002),Raw_Data!E1074)</f>
        <v>28466.79</v>
      </c>
      <c r="F1074" s="15" t="str">
        <f>IF(ISBLANK(Raw_Data!F1074),AVERAGE(Raw_Data!F$2:F$5002),Raw_Data!F1074)</f>
        <v>2538.72</v>
      </c>
      <c r="G1074" s="14" t="str">
        <f>IF(ISBLANK(Raw_Data!G1074),AVERAGE(Raw_Data!G$2:G$5002),Raw_Data!G1074)</f>
        <v>7099.24</v>
      </c>
      <c r="H1074" s="15" t="str">
        <f t="shared" si="1"/>
        <v>131897.00</v>
      </c>
      <c r="I1074" s="14" t="str">
        <f t="shared" si="2"/>
        <v>124798.00</v>
      </c>
      <c r="J1074" s="16" t="str">
        <f>TEXT(Raw_Data!J1074,"MMM-YYY")</f>
        <v>Aug-2025</v>
      </c>
      <c r="K1074" s="13" t="str">
        <f>Raw_Data!K1074</f>
        <v>4</v>
      </c>
      <c r="L1074" s="17" t="str">
        <f>Raw_Data!L1074</f>
        <v>Chandigarh-North</v>
      </c>
      <c r="M1074" s="13" t="str">
        <f t="shared" si="3"/>
        <v>OK</v>
      </c>
      <c r="N1074" s="18" t="str">
        <f t="shared" si="4"/>
        <v>VALID</v>
      </c>
    </row>
    <row r="1075" ht="15.75" customHeight="1">
      <c r="A1075" s="13" t="str">
        <f>Raw_Data!A1075</f>
        <v>EMP1128</v>
      </c>
      <c r="B1075" s="13" t="str">
        <f>TRIM(CLEAN(Raw_Data!B1075))</f>
        <v>Operations</v>
      </c>
      <c r="C1075" s="18" t="s">
        <v>26</v>
      </c>
      <c r="D1075" s="14" t="str">
        <f>IF(ISBLANK(Raw_Data!D1075),AVERAGE(Raw_Data!D$2:D$5002),Raw_Data!D1075)</f>
        <v>105376.71</v>
      </c>
      <c r="E1075" s="15" t="str">
        <f>IF(ISBLANK(Raw_Data!E1075),AVERAGE(Raw_Data!E$2:E$5002),Raw_Data!E1075)</f>
        <v>38053.29</v>
      </c>
      <c r="F1075" s="15" t="str">
        <f>IF(ISBLANK(Raw_Data!F1075),AVERAGE(Raw_Data!F$2:F$5002),Raw_Data!F1075)</f>
        <v>18672.31</v>
      </c>
      <c r="G1075" s="14" t="str">
        <f>IF(ISBLANK(Raw_Data!G1075),AVERAGE(Raw_Data!G$2:G$5002),Raw_Data!G1075)</f>
        <v>24732.32</v>
      </c>
      <c r="H1075" s="15" t="str">
        <f t="shared" si="1"/>
        <v>162102.00</v>
      </c>
      <c r="I1075" s="14" t="str">
        <f t="shared" si="2"/>
        <v>137370.00</v>
      </c>
      <c r="J1075" s="16" t="str">
        <f>TEXT(Raw_Data!J1075,"MMM-YYY")</f>
        <v>Nov-2025</v>
      </c>
      <c r="K1075" s="13" t="str">
        <f>Raw_Data!K1075</f>
        <v>9</v>
      </c>
      <c r="L1075" s="17" t="str">
        <f>Raw_Data!L1075</f>
        <v>Ahmedabad-West</v>
      </c>
      <c r="M1075" s="13" t="str">
        <f t="shared" si="3"/>
        <v>OK</v>
      </c>
      <c r="N1075" s="18" t="str">
        <f t="shared" si="4"/>
        <v>VALID</v>
      </c>
    </row>
    <row r="1076" ht="15.75" customHeight="1">
      <c r="A1076" s="13" t="str">
        <f>Raw_Data!A1076</f>
        <v>EMP1129</v>
      </c>
      <c r="B1076" s="13" t="str">
        <f>TRIM(CLEAN(Raw_Data!B1076))</f>
        <v>Operations</v>
      </c>
      <c r="C1076" s="18" t="s">
        <v>54</v>
      </c>
      <c r="D1076" s="14" t="str">
        <f>IF(ISBLANK(Raw_Data!D1076),AVERAGE(Raw_Data!D$2:D$5002),Raw_Data!D1076)</f>
        <v>15729.97</v>
      </c>
      <c r="E1076" s="15" t="str">
        <f>IF(ISBLANK(Raw_Data!E1076),AVERAGE(Raw_Data!E$2:E$5002),Raw_Data!E1076)</f>
        <v>14649.67</v>
      </c>
      <c r="F1076" s="15" t="str">
        <f>IF(ISBLANK(Raw_Data!F1076),AVERAGE(Raw_Data!F$2:F$5002),Raw_Data!F1076)</f>
        <v>17347.09</v>
      </c>
      <c r="G1076" s="14" t="str">
        <f>IF(ISBLANK(Raw_Data!G1076),AVERAGE(Raw_Data!G$2:G$5002),Raw_Data!G1076)</f>
        <v>16921.46</v>
      </c>
      <c r="H1076" s="15" t="str">
        <f t="shared" si="1"/>
        <v>47727.00</v>
      </c>
      <c r="I1076" s="14" t="str">
        <f t="shared" si="2"/>
        <v>30806.00</v>
      </c>
      <c r="J1076" s="16" t="str">
        <f>TEXT(Raw_Data!J1076,"MMM-YYY")</f>
        <v>Oct-2025</v>
      </c>
      <c r="K1076" s="13" t="str">
        <f>Raw_Data!K1076</f>
        <v>12</v>
      </c>
      <c r="L1076" s="17" t="str">
        <f>Raw_Data!L1076</f>
        <v>Jaipur-North</v>
      </c>
      <c r="M1076" s="13" t="str">
        <f t="shared" si="3"/>
        <v>OK</v>
      </c>
      <c r="N1076" s="18" t="str">
        <f t="shared" si="4"/>
        <v>VALID</v>
      </c>
    </row>
    <row r="1077" ht="15.75" customHeight="1">
      <c r="A1077" s="13" t="str">
        <f>Raw_Data!A1077</f>
        <v>EMP1130</v>
      </c>
      <c r="B1077" s="13" t="str">
        <f>TRIM(CLEAN(Raw_Data!B1077))</f>
        <v>Finance</v>
      </c>
      <c r="C1077" s="18" t="s">
        <v>54</v>
      </c>
      <c r="D1077" s="14" t="str">
        <f>IF(ISBLANK(Raw_Data!D1077),AVERAGE(Raw_Data!D$2:D$5002),Raw_Data!D1077)</f>
        <v>68628.47</v>
      </c>
      <c r="E1077" s="15" t="str">
        <f>IF(ISBLANK(Raw_Data!E1077),AVERAGE(Raw_Data!E$2:E$5002),Raw_Data!E1077)</f>
        <v>4040.04</v>
      </c>
      <c r="F1077" s="15" t="str">
        <f>IF(ISBLANK(Raw_Data!F1077),AVERAGE(Raw_Data!F$2:F$5002),Raw_Data!F1077)</f>
        <v>4672.18</v>
      </c>
      <c r="G1077" s="14" t="str">
        <f>IF(ISBLANK(Raw_Data!G1077),AVERAGE(Raw_Data!G$2:G$5002),Raw_Data!G1077)</f>
        <v>11856.03</v>
      </c>
      <c r="H1077" s="15" t="str">
        <f t="shared" si="1"/>
        <v>77341.00</v>
      </c>
      <c r="I1077" s="14" t="str">
        <f t="shared" si="2"/>
        <v>65485.00</v>
      </c>
      <c r="J1077" s="16" t="str">
        <f>TEXT(Raw_Data!J1077,"MMM-YYY")</f>
        <v>Jul-2025</v>
      </c>
      <c r="K1077" s="13" t="str">
        <f>Raw_Data!K1077</f>
        <v>10</v>
      </c>
      <c r="L1077" s="17" t="str">
        <f>Raw_Data!L1077</f>
        <v>Mumbai-HO</v>
      </c>
      <c r="M1077" s="13" t="str">
        <f t="shared" si="3"/>
        <v>OK</v>
      </c>
      <c r="N1077" s="18" t="str">
        <f t="shared" si="4"/>
        <v>VALID</v>
      </c>
    </row>
    <row r="1078" ht="15.75" customHeight="1">
      <c r="A1078" s="13" t="str">
        <f>Raw_Data!A1078</f>
        <v>EMP1131</v>
      </c>
      <c r="B1078" s="13" t="str">
        <f>TRIM(CLEAN(Raw_Data!B1078))</f>
        <v>Sales</v>
      </c>
      <c r="C1078" s="18" t="s">
        <v>30</v>
      </c>
      <c r="D1078" s="14" t="str">
        <f>IF(ISBLANK(Raw_Data!D1078),AVERAGE(Raw_Data!D$2:D$5002),Raw_Data!D1078)</f>
        <v>58828.16</v>
      </c>
      <c r="E1078" s="15" t="str">
        <f>IF(ISBLANK(Raw_Data!E1078),AVERAGE(Raw_Data!E$2:E$5002),Raw_Data!E1078)</f>
        <v>13790.36</v>
      </c>
      <c r="F1078" s="15" t="str">
        <f>IF(ISBLANK(Raw_Data!F1078),AVERAGE(Raw_Data!F$2:F$5002),Raw_Data!F1078)</f>
        <v>15567.44</v>
      </c>
      <c r="G1078" s="14" t="str">
        <f>IF(ISBLANK(Raw_Data!G1078),AVERAGE(Raw_Data!G$2:G$5002),Raw_Data!G1078)</f>
        <v>15528.07</v>
      </c>
      <c r="H1078" s="15" t="str">
        <f t="shared" si="1"/>
        <v>88186.00</v>
      </c>
      <c r="I1078" s="14" t="str">
        <f t="shared" si="2"/>
        <v>72658.00</v>
      </c>
      <c r="J1078" s="16" t="str">
        <f>TEXT(Raw_Data!J1078,"MMM-YYY")</f>
        <v>Dec-2025</v>
      </c>
      <c r="K1078" s="13" t="str">
        <f>Raw_Data!K1078</f>
        <v>14</v>
      </c>
      <c r="L1078" s="17" t="str">
        <f>Raw_Data!L1078</f>
        <v>Delhi-North</v>
      </c>
      <c r="M1078" s="13" t="str">
        <f t="shared" si="3"/>
        <v>OK</v>
      </c>
      <c r="N1078" s="18" t="str">
        <f t="shared" si="4"/>
        <v>VALID</v>
      </c>
    </row>
    <row r="1079" ht="15.75" customHeight="1">
      <c r="A1079" s="13" t="str">
        <f>Raw_Data!A1079</f>
        <v>EMP1132</v>
      </c>
      <c r="B1079" s="13" t="str">
        <f>TRIM(CLEAN(Raw_Data!B1079))</f>
        <v>Customer Support</v>
      </c>
      <c r="C1079" s="18" t="s">
        <v>26</v>
      </c>
      <c r="D1079" s="14" t="str">
        <f>IF(ISBLANK(Raw_Data!D1079),AVERAGE(Raw_Data!D$2:D$5002),Raw_Data!D1079)</f>
        <v>38321.32</v>
      </c>
      <c r="E1079" s="15" t="str">
        <f>IF(ISBLANK(Raw_Data!E1079),AVERAGE(Raw_Data!E$2:E$5002),Raw_Data!E1079)</f>
        <v>11844.09</v>
      </c>
      <c r="F1079" s="15" t="str">
        <f>IF(ISBLANK(Raw_Data!F1079),AVERAGE(Raw_Data!F$2:F$5002),Raw_Data!F1079)</f>
        <v>12171.43</v>
      </c>
      <c r="G1079" s="14" t="str">
        <f>IF(ISBLANK(Raw_Data!G1079),AVERAGE(Raw_Data!G$2:G$5002),Raw_Data!G1079)</f>
        <v>7177.01</v>
      </c>
      <c r="H1079" s="15" t="str">
        <f t="shared" si="1"/>
        <v>62337.00</v>
      </c>
      <c r="I1079" s="14" t="str">
        <f t="shared" si="2"/>
        <v>55160.00</v>
      </c>
      <c r="J1079" s="16" t="str">
        <f>TEXT(Raw_Data!J1079,"MMM-YYY")</f>
        <v>May-2025</v>
      </c>
      <c r="K1079" s="13" t="str">
        <f>Raw_Data!K1079</f>
        <v>5</v>
      </c>
      <c r="L1079" s="17" t="str">
        <f>Raw_Data!L1079</f>
        <v>Bangalore-South</v>
      </c>
      <c r="M1079" s="13" t="str">
        <f t="shared" si="3"/>
        <v>OK</v>
      </c>
      <c r="N1079" s="18" t="str">
        <f t="shared" si="4"/>
        <v>VALID</v>
      </c>
    </row>
    <row r="1080" ht="15.75" customHeight="1">
      <c r="A1080" s="13" t="str">
        <f>Raw_Data!A1080</f>
        <v>EMP1133</v>
      </c>
      <c r="B1080" s="13" t="str">
        <f>TRIM(CLEAN(Raw_Data!B1080))</f>
        <v>Operations</v>
      </c>
      <c r="C1080" s="18" t="s">
        <v>54</v>
      </c>
      <c r="D1080" s="14" t="str">
        <f>IF(ISBLANK(Raw_Data!D1080),AVERAGE(Raw_Data!D$2:D$5002),Raw_Data!D1080)</f>
        <v>27585.86</v>
      </c>
      <c r="E1080" s="15" t="str">
        <f>IF(ISBLANK(Raw_Data!E1080),AVERAGE(Raw_Data!E$2:E$5002),Raw_Data!E1080)</f>
        <v>27826.05</v>
      </c>
      <c r="F1080" s="15" t="str">
        <f>IF(ISBLANK(Raw_Data!F1080),AVERAGE(Raw_Data!F$2:F$5002),Raw_Data!F1080)</f>
        <v>19418.09</v>
      </c>
      <c r="G1080" s="14" t="str">
        <f>IF(ISBLANK(Raw_Data!G1080),AVERAGE(Raw_Data!G$2:G$5002),Raw_Data!G1080)</f>
        <v>7217.26</v>
      </c>
      <c r="H1080" s="15" t="str">
        <f t="shared" si="1"/>
        <v>74830.00</v>
      </c>
      <c r="I1080" s="14" t="str">
        <f t="shared" si="2"/>
        <v>67613.00</v>
      </c>
      <c r="J1080" s="16" t="str">
        <f>TEXT(Raw_Data!J1080,"MMM-YYY")</f>
        <v>Apr-2025</v>
      </c>
      <c r="K1080" s="13" t="str">
        <f>Raw_Data!K1080</f>
        <v>1</v>
      </c>
      <c r="L1080" s="17" t="str">
        <f>Raw_Data!L1080</f>
        <v>Chennai-South</v>
      </c>
      <c r="M1080" s="13" t="str">
        <f t="shared" si="3"/>
        <v>OK</v>
      </c>
      <c r="N1080" s="18" t="str">
        <f t="shared" si="4"/>
        <v>VALID</v>
      </c>
    </row>
    <row r="1081" ht="15.75" customHeight="1">
      <c r="A1081" s="13" t="str">
        <f>Raw_Data!A1081</f>
        <v>EMP1134</v>
      </c>
      <c r="B1081" s="13" t="str">
        <f>TRIM(CLEAN(Raw_Data!B1081))</f>
        <v>Finance</v>
      </c>
      <c r="C1081" s="18" t="s">
        <v>26</v>
      </c>
      <c r="D1081" s="14" t="str">
        <f>IF(ISBLANK(Raw_Data!D1081),AVERAGE(Raw_Data!D$2:D$5002),Raw_Data!D1081)</f>
        <v>50449.59</v>
      </c>
      <c r="E1081" s="15" t="str">
        <f>IF(ISBLANK(Raw_Data!E1081),AVERAGE(Raw_Data!E$2:E$5002),Raw_Data!E1081)</f>
        <v>26813.62</v>
      </c>
      <c r="F1081" s="15" t="str">
        <f>IF(ISBLANK(Raw_Data!F1081),AVERAGE(Raw_Data!F$2:F$5002),Raw_Data!F1081)</f>
        <v>7472.11</v>
      </c>
      <c r="G1081" s="14" t="str">
        <f>IF(ISBLANK(Raw_Data!G1081),AVERAGE(Raw_Data!G$2:G$5002),Raw_Data!G1081)</f>
        <v>3282.09</v>
      </c>
      <c r="H1081" s="15" t="str">
        <f t="shared" si="1"/>
        <v>84735.00</v>
      </c>
      <c r="I1081" s="14" t="str">
        <f t="shared" si="2"/>
        <v>81453.00</v>
      </c>
      <c r="J1081" s="16" t="str">
        <f>TEXT(Raw_Data!J1081,"MMM-YYY")</f>
        <v>May-2025</v>
      </c>
      <c r="K1081" s="13" t="str">
        <f>Raw_Data!K1081</f>
        <v>5</v>
      </c>
      <c r="L1081" s="17" t="str">
        <f>Raw_Data!L1081</f>
        <v>Kolkata-East</v>
      </c>
      <c r="M1081" s="13" t="str">
        <f t="shared" si="3"/>
        <v>OK</v>
      </c>
      <c r="N1081" s="18" t="str">
        <f t="shared" si="4"/>
        <v>VALID</v>
      </c>
    </row>
    <row r="1082" ht="15.75" customHeight="1">
      <c r="A1082" s="13" t="str">
        <f>Raw_Data!A1082</f>
        <v>EMP1135</v>
      </c>
      <c r="B1082" s="13" t="str">
        <f>TRIM(CLEAN(Raw_Data!B1082))</f>
        <v>Sales</v>
      </c>
      <c r="C1082" s="18" t="s">
        <v>54</v>
      </c>
      <c r="D1082" s="14" t="str">
        <f>IF(ISBLANK(Raw_Data!D1082),AVERAGE(Raw_Data!D$2:D$5002),Raw_Data!D1082)</f>
        <v>114005.52</v>
      </c>
      <c r="E1082" s="15" t="str">
        <f>IF(ISBLANK(Raw_Data!E1082),AVERAGE(Raw_Data!E$2:E$5002),Raw_Data!E1082)</f>
        <v>25364.61</v>
      </c>
      <c r="F1082" s="15" t="str">
        <f>IF(ISBLANK(Raw_Data!F1082),AVERAGE(Raw_Data!F$2:F$5002),Raw_Data!F1082)</f>
        <v>13629.21</v>
      </c>
      <c r="G1082" s="14" t="str">
        <f>IF(ISBLANK(Raw_Data!G1082),AVERAGE(Raw_Data!G$2:G$5002),Raw_Data!G1082)</f>
        <v>3294.23</v>
      </c>
      <c r="H1082" s="15" t="str">
        <f t="shared" si="1"/>
        <v>152999.00</v>
      </c>
      <c r="I1082" s="14" t="str">
        <f t="shared" si="2"/>
        <v>149705.00</v>
      </c>
      <c r="J1082" s="16" t="str">
        <f>TEXT(Raw_Data!J1082,"MMM-YYY")</f>
        <v>Aug-2025</v>
      </c>
      <c r="K1082" s="13" t="str">
        <f>Raw_Data!K1082</f>
        <v>16</v>
      </c>
      <c r="L1082" s="17" t="str">
        <f>Raw_Data!L1082</f>
        <v>Pune-West</v>
      </c>
      <c r="M1082" s="13" t="str">
        <f t="shared" si="3"/>
        <v>OK</v>
      </c>
      <c r="N1082" s="18" t="str">
        <f t="shared" si="4"/>
        <v>VALID</v>
      </c>
    </row>
    <row r="1083" ht="15.75" customHeight="1">
      <c r="A1083" s="13" t="str">
        <f>Raw_Data!A1083</f>
        <v>EMP1136</v>
      </c>
      <c r="B1083" s="13" t="str">
        <f>TRIM(CLEAN(Raw_Data!B1083))</f>
        <v>Operations</v>
      </c>
      <c r="C1083" s="18" t="s">
        <v>30</v>
      </c>
      <c r="D1083" s="14" t="str">
        <f>IF(ISBLANK(Raw_Data!D1083),AVERAGE(Raw_Data!D$2:D$5002),Raw_Data!D1083)</f>
        <v>48936.31</v>
      </c>
      <c r="E1083" s="15" t="str">
        <f>IF(ISBLANK(Raw_Data!E1083),AVERAGE(Raw_Data!E$2:E$5002),Raw_Data!E1083)</f>
        <v>4584.76</v>
      </c>
      <c r="F1083" s="15" t="str">
        <f>IF(ISBLANK(Raw_Data!F1083),AVERAGE(Raw_Data!F$2:F$5002),Raw_Data!F1083)</f>
        <v>1270.71</v>
      </c>
      <c r="G1083" s="14" t="str">
        <f>IF(ISBLANK(Raw_Data!G1083),AVERAGE(Raw_Data!G$2:G$5002),Raw_Data!G1083)</f>
        <v>9017.96</v>
      </c>
      <c r="H1083" s="15" t="str">
        <f t="shared" si="1"/>
        <v>54792.00</v>
      </c>
      <c r="I1083" s="14" t="str">
        <f t="shared" si="2"/>
        <v>45774.00</v>
      </c>
      <c r="J1083" s="16" t="str">
        <f>TEXT(Raw_Data!J1083,"MMM-YYY")</f>
        <v>May-2025</v>
      </c>
      <c r="K1083" s="13" t="str">
        <f>Raw_Data!K1083</f>
        <v>5</v>
      </c>
      <c r="L1083" s="17" t="str">
        <f>Raw_Data!L1083</f>
        <v>Hyderabad-South</v>
      </c>
      <c r="M1083" s="13" t="str">
        <f t="shared" si="3"/>
        <v>OK</v>
      </c>
      <c r="N1083" s="18" t="str">
        <f t="shared" si="4"/>
        <v>VALID</v>
      </c>
    </row>
    <row r="1084" ht="15.75" customHeight="1">
      <c r="A1084" s="13" t="str">
        <f>Raw_Data!A1084</f>
        <v>EMP1137</v>
      </c>
      <c r="B1084" s="13" t="str">
        <f>TRIM(CLEAN(Raw_Data!B1084))</f>
        <v>Customer Support</v>
      </c>
      <c r="C1084" s="18" t="s">
        <v>54</v>
      </c>
      <c r="D1084" s="14" t="str">
        <f>IF(ISBLANK(Raw_Data!D1084),AVERAGE(Raw_Data!D$2:D$5002),Raw_Data!D1084)</f>
        <v>69473.02</v>
      </c>
      <c r="E1084" s="15" t="str">
        <f>IF(ISBLANK(Raw_Data!E1084),AVERAGE(Raw_Data!E$2:E$5002),Raw_Data!E1084)</f>
        <v>30236.01</v>
      </c>
      <c r="F1084" s="15" t="str">
        <f>IF(ISBLANK(Raw_Data!F1084),AVERAGE(Raw_Data!F$2:F$5002),Raw_Data!F1084)</f>
        <v>7924.95</v>
      </c>
      <c r="G1084" s="14" t="str">
        <f>IF(ISBLANK(Raw_Data!G1084),AVERAGE(Raw_Data!G$2:G$5002),Raw_Data!G1084)</f>
        <v>19189.96</v>
      </c>
      <c r="H1084" s="15" t="str">
        <f t="shared" si="1"/>
        <v>107634.00</v>
      </c>
      <c r="I1084" s="14" t="str">
        <f t="shared" si="2"/>
        <v>88444.00</v>
      </c>
      <c r="J1084" s="16" t="str">
        <f>TEXT(Raw_Data!J1084,"MMM-YYY")</f>
        <v>Jun-2025</v>
      </c>
      <c r="K1084" s="13" t="str">
        <f>Raw_Data!K1084</f>
        <v>5</v>
      </c>
      <c r="L1084" s="17" t="str">
        <f>Raw_Data!L1084</f>
        <v>Chandigarh-North</v>
      </c>
      <c r="M1084" s="13" t="str">
        <f t="shared" si="3"/>
        <v>OK</v>
      </c>
      <c r="N1084" s="18" t="str">
        <f t="shared" si="4"/>
        <v>VALID</v>
      </c>
    </row>
    <row r="1085" ht="15.75" customHeight="1">
      <c r="A1085" s="13" t="str">
        <f>Raw_Data!A1085</f>
        <v>EMP1138</v>
      </c>
      <c r="B1085" s="13" t="str">
        <f>TRIM(CLEAN(Raw_Data!B1085))</f>
        <v>Sales</v>
      </c>
      <c r="C1085" s="18" t="s">
        <v>30</v>
      </c>
      <c r="D1085" s="14" t="str">
        <f>IF(ISBLANK(Raw_Data!D1085),AVERAGE(Raw_Data!D$2:D$5002),Raw_Data!D1085)</f>
        <v>88816.99</v>
      </c>
      <c r="E1085" s="15" t="str">
        <f>IF(ISBLANK(Raw_Data!E1085),AVERAGE(Raw_Data!E$2:E$5002),Raw_Data!E1085)</f>
        <v>15647.09</v>
      </c>
      <c r="F1085" s="15" t="str">
        <f>IF(ISBLANK(Raw_Data!F1085),AVERAGE(Raw_Data!F$2:F$5002),Raw_Data!F1085)</f>
        <v>19276.35</v>
      </c>
      <c r="G1085" s="14" t="str">
        <f>IF(ISBLANK(Raw_Data!G1085),AVERAGE(Raw_Data!G$2:G$5002),Raw_Data!G1085)</f>
        <v>15395.29</v>
      </c>
      <c r="H1085" s="15" t="str">
        <f t="shared" si="1"/>
        <v>123740.00</v>
      </c>
      <c r="I1085" s="14" t="str">
        <f t="shared" si="2"/>
        <v>108345.00</v>
      </c>
      <c r="J1085" s="16" t="str">
        <f>TEXT(Raw_Data!J1085,"MMM-YYY")</f>
        <v>Mar-2025</v>
      </c>
      <c r="K1085" s="13" t="str">
        <f>Raw_Data!K1085</f>
        <v>18</v>
      </c>
      <c r="L1085" s="17" t="str">
        <f>Raw_Data!L1085</f>
        <v>Ahmedabad-West</v>
      </c>
      <c r="M1085" s="13" t="str">
        <f t="shared" si="3"/>
        <v>OK</v>
      </c>
      <c r="N1085" s="18" t="str">
        <f t="shared" si="4"/>
        <v>VALID</v>
      </c>
    </row>
    <row r="1086" ht="15.75" customHeight="1">
      <c r="A1086" s="13" t="str">
        <f>Raw_Data!A1086</f>
        <v>EMP1139</v>
      </c>
      <c r="B1086" s="13" t="str">
        <f>TRIM(CLEAN(Raw_Data!B1086))</f>
        <v>IT</v>
      </c>
      <c r="C1086" s="18" t="s">
        <v>26</v>
      </c>
      <c r="D1086" s="14" t="str">
        <f>IF(ISBLANK(Raw_Data!D1086),AVERAGE(Raw_Data!D$2:D$5002),Raw_Data!D1086)</f>
        <v>53181.11</v>
      </c>
      <c r="E1086" s="15" t="str">
        <f>IF(ISBLANK(Raw_Data!E1086),AVERAGE(Raw_Data!E$2:E$5002),Raw_Data!E1086)</f>
        <v>27942.02</v>
      </c>
      <c r="F1086" s="15" t="str">
        <f>IF(ISBLANK(Raw_Data!F1086),AVERAGE(Raw_Data!F$2:F$5002),Raw_Data!F1086)</f>
        <v>10779.62</v>
      </c>
      <c r="G1086" s="14" t="str">
        <f>IF(ISBLANK(Raw_Data!G1086),AVERAGE(Raw_Data!G$2:G$5002),Raw_Data!G1086)</f>
        <v>3013.32</v>
      </c>
      <c r="H1086" s="15" t="str">
        <f t="shared" si="1"/>
        <v>91903.00</v>
      </c>
      <c r="I1086" s="14" t="str">
        <f t="shared" si="2"/>
        <v>88890.00</v>
      </c>
      <c r="J1086" s="16" t="str">
        <f>TEXT(Raw_Data!J1086,"MMM-YYY")</f>
        <v>May-2025</v>
      </c>
      <c r="K1086" s="13" t="str">
        <f>Raw_Data!K1086</f>
        <v>6</v>
      </c>
      <c r="L1086" s="17" t="str">
        <f>Raw_Data!L1086</f>
        <v>Jaipur-North</v>
      </c>
      <c r="M1086" s="13" t="str">
        <f t="shared" si="3"/>
        <v>OK</v>
      </c>
      <c r="N1086" s="18" t="str">
        <f t="shared" si="4"/>
        <v>VALID</v>
      </c>
    </row>
    <row r="1087" ht="15.75" customHeight="1">
      <c r="A1087" s="13" t="str">
        <f>Raw_Data!A1087</f>
        <v>EMP1140</v>
      </c>
      <c r="B1087" s="13" t="str">
        <f>TRIM(CLEAN(Raw_Data!B1087))</f>
        <v>Finance</v>
      </c>
      <c r="C1087" s="18" t="s">
        <v>26</v>
      </c>
      <c r="D1087" s="14" t="str">
        <f>IF(ISBLANK(Raw_Data!D1087),AVERAGE(Raw_Data!D$2:D$5002),Raw_Data!D1087)</f>
        <v>117037.12</v>
      </c>
      <c r="E1087" s="15" t="str">
        <f>IF(ISBLANK(Raw_Data!E1087),AVERAGE(Raw_Data!E$2:E$5002),Raw_Data!E1087)</f>
        <v>24036.82</v>
      </c>
      <c r="F1087" s="15" t="str">
        <f>IF(ISBLANK(Raw_Data!F1087),AVERAGE(Raw_Data!F$2:F$5002),Raw_Data!F1087)</f>
        <v>5757.59</v>
      </c>
      <c r="G1087" s="14" t="str">
        <f>IF(ISBLANK(Raw_Data!G1087),AVERAGE(Raw_Data!G$2:G$5002),Raw_Data!G1087)</f>
        <v>21379.79</v>
      </c>
      <c r="H1087" s="15" t="str">
        <f t="shared" si="1"/>
        <v>146832.00</v>
      </c>
      <c r="I1087" s="14" t="str">
        <f t="shared" si="2"/>
        <v>125452.00</v>
      </c>
      <c r="J1087" s="16" t="str">
        <f>TEXT(Raw_Data!J1087,"MMM-YYY")</f>
        <v>Jun-2025</v>
      </c>
      <c r="K1087" s="13" t="str">
        <f>Raw_Data!K1087</f>
        <v>21</v>
      </c>
      <c r="L1087" s="17" t="str">
        <f>Raw_Data!L1087</f>
        <v>Mumbai-HO</v>
      </c>
      <c r="M1087" s="13" t="str">
        <f t="shared" si="3"/>
        <v>OK</v>
      </c>
      <c r="N1087" s="18" t="str">
        <f t="shared" si="4"/>
        <v>VALID</v>
      </c>
    </row>
    <row r="1088" ht="15.75" customHeight="1">
      <c r="A1088" s="13" t="str">
        <f>Raw_Data!A1088</f>
        <v>EMP1141</v>
      </c>
      <c r="B1088" s="13" t="str">
        <f>TRIM(CLEAN(Raw_Data!B1088))</f>
        <v>Sales</v>
      </c>
      <c r="C1088" s="18" t="s">
        <v>14</v>
      </c>
      <c r="D1088" s="14" t="str">
        <f>IF(ISBLANK(Raw_Data!D1088),AVERAGE(Raw_Data!D$2:D$5002),Raw_Data!D1088)</f>
        <v>116056.97</v>
      </c>
      <c r="E1088" s="15" t="str">
        <f>IF(ISBLANK(Raw_Data!E1088),AVERAGE(Raw_Data!E$2:E$5002),Raw_Data!E1088)</f>
        <v>16338.31</v>
      </c>
      <c r="F1088" s="15" t="str">
        <f>IF(ISBLANK(Raw_Data!F1088),AVERAGE(Raw_Data!F$2:F$5002),Raw_Data!F1088)</f>
        <v>2405.42</v>
      </c>
      <c r="G1088" s="14" t="str">
        <f>IF(ISBLANK(Raw_Data!G1088),AVERAGE(Raw_Data!G$2:G$5002),Raw_Data!G1088)</f>
        <v>15233.51</v>
      </c>
      <c r="H1088" s="15" t="str">
        <f t="shared" si="1"/>
        <v>134801.00</v>
      </c>
      <c r="I1088" s="14" t="str">
        <f t="shared" si="2"/>
        <v>119567.00</v>
      </c>
      <c r="J1088" s="16" t="str">
        <f>TEXT(Raw_Data!J1088,"MMM-YYY")</f>
        <v>Dec-2025</v>
      </c>
      <c r="K1088" s="13" t="str">
        <f>Raw_Data!K1088</f>
        <v>18</v>
      </c>
      <c r="L1088" s="17" t="str">
        <f>Raw_Data!L1088</f>
        <v>Delhi-North</v>
      </c>
      <c r="M1088" s="13" t="str">
        <f t="shared" si="3"/>
        <v>OK</v>
      </c>
      <c r="N1088" s="18" t="str">
        <f t="shared" si="4"/>
        <v>VALID</v>
      </c>
    </row>
    <row r="1089" ht="15.75" customHeight="1">
      <c r="A1089" s="13" t="str">
        <f>Raw_Data!A1089</f>
        <v>EMP1142</v>
      </c>
      <c r="B1089" s="13" t="str">
        <f>TRIM(CLEAN(Raw_Data!B1089))</f>
        <v>IT</v>
      </c>
      <c r="C1089" s="18" t="s">
        <v>18</v>
      </c>
      <c r="D1089" s="14" t="str">
        <f>IF(ISBLANK(Raw_Data!D1089),AVERAGE(Raw_Data!D$2:D$5002),Raw_Data!D1089)</f>
        <v>41437.14</v>
      </c>
      <c r="E1089" s="15" t="str">
        <f>IF(ISBLANK(Raw_Data!E1089),AVERAGE(Raw_Data!E$2:E$5002),Raw_Data!E1089)</f>
        <v>8844.75</v>
      </c>
      <c r="F1089" s="15" t="str">
        <f>IF(ISBLANK(Raw_Data!F1089),AVERAGE(Raw_Data!F$2:F$5002),Raw_Data!F1089)</f>
        <v>14070.57</v>
      </c>
      <c r="G1089" s="14" t="str">
        <f>IF(ISBLANK(Raw_Data!G1089),AVERAGE(Raw_Data!G$2:G$5002),Raw_Data!G1089)</f>
        <v>24040.96</v>
      </c>
      <c r="H1089" s="15" t="str">
        <f t="shared" si="1"/>
        <v>64352.00</v>
      </c>
      <c r="I1089" s="14" t="str">
        <f t="shared" si="2"/>
        <v>40311.00</v>
      </c>
      <c r="J1089" s="16" t="str">
        <f>TEXT(Raw_Data!J1089,"MMM-YYY")</f>
        <v>Jun-2025</v>
      </c>
      <c r="K1089" s="13" t="str">
        <f>Raw_Data!K1089</f>
        <v>10</v>
      </c>
      <c r="L1089" s="17" t="str">
        <f>Raw_Data!L1089</f>
        <v>Bangalore-South</v>
      </c>
      <c r="M1089" s="13" t="str">
        <f t="shared" si="3"/>
        <v>OK</v>
      </c>
      <c r="N1089" s="18" t="str">
        <f t="shared" si="4"/>
        <v>VALID</v>
      </c>
    </row>
    <row r="1090" ht="15.75" customHeight="1">
      <c r="A1090" s="13" t="str">
        <f>Raw_Data!A1090</f>
        <v>EMP1143</v>
      </c>
      <c r="B1090" s="13" t="str">
        <f>TRIM(CLEAN(Raw_Data!B1090))</f>
        <v>Customer Support</v>
      </c>
      <c r="C1090" s="18" t="s">
        <v>18</v>
      </c>
      <c r="D1090" s="14" t="str">
        <f>IF(ISBLANK(Raw_Data!D1090),AVERAGE(Raw_Data!D$2:D$5002),Raw_Data!D1090)</f>
        <v>67211.09</v>
      </c>
      <c r="E1090" s="15" t="str">
        <f>IF(ISBLANK(Raw_Data!E1090),AVERAGE(Raw_Data!E$2:E$5002),Raw_Data!E1090)</f>
        <v>7399.08</v>
      </c>
      <c r="F1090" s="15" t="str">
        <f>IF(ISBLANK(Raw_Data!F1090),AVERAGE(Raw_Data!F$2:F$5002),Raw_Data!F1090)</f>
        <v>12897.12</v>
      </c>
      <c r="G1090" s="14" t="str">
        <f>IF(ISBLANK(Raw_Data!G1090),AVERAGE(Raw_Data!G$2:G$5002),Raw_Data!G1090)</f>
        <v>16919.54</v>
      </c>
      <c r="H1090" s="15" t="str">
        <f t="shared" si="1"/>
        <v>87507.00</v>
      </c>
      <c r="I1090" s="14" t="str">
        <f t="shared" si="2"/>
        <v>70587.00</v>
      </c>
      <c r="J1090" s="16" t="str">
        <f>TEXT(Raw_Data!J1090,"MMM-YYY")</f>
        <v>Dec-2025</v>
      </c>
      <c r="K1090" s="13" t="str">
        <f>Raw_Data!K1090</f>
        <v>15</v>
      </c>
      <c r="L1090" s="17" t="str">
        <f>Raw_Data!L1090</f>
        <v>Chennai-South</v>
      </c>
      <c r="M1090" s="13" t="str">
        <f t="shared" si="3"/>
        <v>OK</v>
      </c>
      <c r="N1090" s="18" t="str">
        <f t="shared" si="4"/>
        <v>VALID</v>
      </c>
    </row>
    <row r="1091" ht="15.75" customHeight="1">
      <c r="A1091" s="13" t="str">
        <f>Raw_Data!A1091</f>
        <v>EMP1144</v>
      </c>
      <c r="B1091" s="13" t="str">
        <f>TRIM(CLEAN(Raw_Data!B1091))</f>
        <v>Operations</v>
      </c>
      <c r="C1091" s="18" t="s">
        <v>14</v>
      </c>
      <c r="D1091" s="14" t="str">
        <f>IF(ISBLANK(Raw_Data!D1091),AVERAGE(Raw_Data!D$2:D$5002),Raw_Data!D1091)</f>
        <v>46592.22</v>
      </c>
      <c r="E1091" s="15" t="str">
        <f>IF(ISBLANK(Raw_Data!E1091),AVERAGE(Raw_Data!E$2:E$5002),Raw_Data!E1091)</f>
        <v>33934.66</v>
      </c>
      <c r="F1091" s="15" t="str">
        <f>IF(ISBLANK(Raw_Data!F1091),AVERAGE(Raw_Data!F$2:F$5002),Raw_Data!F1091)</f>
        <v>100.00</v>
      </c>
      <c r="G1091" s="14" t="str">
        <f>IF(ISBLANK(Raw_Data!G1091),AVERAGE(Raw_Data!G$2:G$5002),Raw_Data!G1091)</f>
        <v>4791.78</v>
      </c>
      <c r="H1091" s="15" t="str">
        <f t="shared" si="1"/>
        <v>80627.00</v>
      </c>
      <c r="I1091" s="14" t="str">
        <f t="shared" si="2"/>
        <v>75835.00</v>
      </c>
      <c r="J1091" s="16" t="str">
        <f>TEXT(Raw_Data!J1091,"MMM-YYY")</f>
        <v>Jun-2025</v>
      </c>
      <c r="K1091" s="13" t="str">
        <f>Raw_Data!K1091</f>
        <v>24</v>
      </c>
      <c r="L1091" s="17" t="str">
        <f>Raw_Data!L1091</f>
        <v>Kolkata-East</v>
      </c>
      <c r="M1091" s="13" t="str">
        <f t="shared" si="3"/>
        <v>OK</v>
      </c>
      <c r="N1091" s="18" t="str">
        <f t="shared" si="4"/>
        <v>VALID</v>
      </c>
    </row>
    <row r="1092" ht="15.75" customHeight="1">
      <c r="A1092" s="13" t="str">
        <f>Raw_Data!A1092</f>
        <v>EMP1146</v>
      </c>
      <c r="B1092" s="13" t="str">
        <f>TRIM(CLEAN(Raw_Data!B1092))</f>
        <v>Finance</v>
      </c>
      <c r="C1092" s="18" t="s">
        <v>26</v>
      </c>
      <c r="D1092" s="14" t="str">
        <f>IF(ISBLANK(Raw_Data!D1092),AVERAGE(Raw_Data!D$2:D$5002),Raw_Data!D1092)</f>
        <v>18873.13</v>
      </c>
      <c r="E1092" s="15" t="str">
        <f>IF(ISBLANK(Raw_Data!E1092),AVERAGE(Raw_Data!E$2:E$5002),Raw_Data!E1092)</f>
        <v>27392.37</v>
      </c>
      <c r="F1092" s="15" t="str">
        <f>IF(ISBLANK(Raw_Data!F1092),AVERAGE(Raw_Data!F$2:F$5002),Raw_Data!F1092)</f>
        <v>9999.74</v>
      </c>
      <c r="G1092" s="14" t="str">
        <f>IF(ISBLANK(Raw_Data!G1092),AVERAGE(Raw_Data!G$2:G$5002),Raw_Data!G1092)</f>
        <v>16388.19</v>
      </c>
      <c r="H1092" s="15" t="str">
        <f t="shared" si="1"/>
        <v>56265.00</v>
      </c>
      <c r="I1092" s="14" t="str">
        <f t="shared" si="2"/>
        <v>39877.00</v>
      </c>
      <c r="J1092" s="16" t="str">
        <f>TEXT(Raw_Data!J1092,"MMM-YYY")</f>
        <v>May-2025</v>
      </c>
      <c r="K1092" s="13" t="str">
        <f>Raw_Data!K1092</f>
        <v>11</v>
      </c>
      <c r="L1092" s="17" t="str">
        <f>Raw_Data!L1092</f>
        <v>Hyderabad-South</v>
      </c>
      <c r="M1092" s="13" t="str">
        <f t="shared" si="3"/>
        <v>OK</v>
      </c>
      <c r="N1092" s="18" t="str">
        <f t="shared" si="4"/>
        <v>VALID</v>
      </c>
    </row>
    <row r="1093" ht="15.75" customHeight="1">
      <c r="A1093" s="13" t="str">
        <f>Raw_Data!A1093</f>
        <v>EMP1147</v>
      </c>
      <c r="B1093" s="13" t="str">
        <f>TRIM(CLEAN(Raw_Data!B1093))</f>
        <v>Sales</v>
      </c>
      <c r="C1093" s="18" t="s">
        <v>33</v>
      </c>
      <c r="D1093" s="14" t="str">
        <f>IF(ISBLANK(Raw_Data!D1093),AVERAGE(Raw_Data!D$2:D$5002),Raw_Data!D1093)</f>
        <v>79004.26</v>
      </c>
      <c r="E1093" s="15" t="str">
        <f>IF(ISBLANK(Raw_Data!E1093),AVERAGE(Raw_Data!E$2:E$5002),Raw_Data!E1093)</f>
        <v>7723.63</v>
      </c>
      <c r="F1093" s="15" t="str">
        <f>IF(ISBLANK(Raw_Data!F1093),AVERAGE(Raw_Data!F$2:F$5002),Raw_Data!F1093)</f>
        <v>9996.97</v>
      </c>
      <c r="G1093" s="14" t="str">
        <f>IF(ISBLANK(Raw_Data!G1093),AVERAGE(Raw_Data!G$2:G$5002),Raw_Data!G1093)</f>
        <v>1192.49</v>
      </c>
      <c r="H1093" s="15" t="str">
        <f t="shared" si="1"/>
        <v>96725.00</v>
      </c>
      <c r="I1093" s="14" t="str">
        <f t="shared" si="2"/>
        <v>95533.00</v>
      </c>
      <c r="J1093" s="16" t="str">
        <f>TEXT(Raw_Data!J1093,"MMM-YYY")</f>
        <v>Jul-2025</v>
      </c>
      <c r="K1093" s="13" t="str">
        <f>Raw_Data!K1093</f>
        <v>19</v>
      </c>
      <c r="L1093" s="17" t="str">
        <f>Raw_Data!L1093</f>
        <v>Chandigarh-North</v>
      </c>
      <c r="M1093" s="13" t="str">
        <f t="shared" si="3"/>
        <v>OK</v>
      </c>
      <c r="N1093" s="18" t="str">
        <f t="shared" si="4"/>
        <v>VALID</v>
      </c>
    </row>
    <row r="1094" ht="15.75" customHeight="1">
      <c r="A1094" s="13" t="str">
        <f>Raw_Data!A1094</f>
        <v>EMP1148</v>
      </c>
      <c r="B1094" s="13" t="str">
        <f>TRIM(CLEAN(Raw_Data!B1094))</f>
        <v>IT</v>
      </c>
      <c r="C1094" s="18" t="s">
        <v>14</v>
      </c>
      <c r="D1094" s="14" t="str">
        <f>IF(ISBLANK(Raw_Data!D1094),AVERAGE(Raw_Data!D$2:D$5002),Raw_Data!D1094)</f>
        <v>67781.30</v>
      </c>
      <c r="E1094" s="15" t="str">
        <f>IF(ISBLANK(Raw_Data!E1094),AVERAGE(Raw_Data!E$2:E$5002),Raw_Data!E1094)</f>
        <v>18472.98</v>
      </c>
      <c r="F1094" s="15" t="str">
        <f>IF(ISBLANK(Raw_Data!F1094),AVERAGE(Raw_Data!F$2:F$5002),Raw_Data!F1094)</f>
        <v>9994.20</v>
      </c>
      <c r="G1094" s="14" t="str">
        <f>IF(ISBLANK(Raw_Data!G1094),AVERAGE(Raw_Data!G$2:G$5002),Raw_Data!G1094)</f>
        <v>865.30</v>
      </c>
      <c r="H1094" s="15" t="str">
        <f t="shared" si="1"/>
        <v>96248.00</v>
      </c>
      <c r="I1094" s="14" t="str">
        <f t="shared" si="2"/>
        <v>95383.00</v>
      </c>
      <c r="J1094" s="16" t="str">
        <f>TEXT(Raw_Data!J1094,"MMM-YYY")</f>
        <v>Oct-2025</v>
      </c>
      <c r="K1094" s="13" t="str">
        <f>Raw_Data!K1094</f>
        <v>25</v>
      </c>
      <c r="L1094" s="17" t="str">
        <f>Raw_Data!L1094</f>
        <v>Ahmedabad-West</v>
      </c>
      <c r="M1094" s="13" t="str">
        <f t="shared" si="3"/>
        <v>OK</v>
      </c>
      <c r="N1094" s="18" t="str">
        <f t="shared" si="4"/>
        <v>VALID</v>
      </c>
    </row>
    <row r="1095" ht="15.75" customHeight="1">
      <c r="A1095" s="13" t="str">
        <f>Raw_Data!A1095</f>
        <v>EMP1149</v>
      </c>
      <c r="B1095" s="13" t="str">
        <f>TRIM(CLEAN(Raw_Data!B1095))</f>
        <v>Customer Support</v>
      </c>
      <c r="C1095" s="18" t="s">
        <v>18</v>
      </c>
      <c r="D1095" s="14" t="str">
        <f>IF(ISBLANK(Raw_Data!D1095),AVERAGE(Raw_Data!D$2:D$5002),Raw_Data!D1095)</f>
        <v>20405.27</v>
      </c>
      <c r="E1095" s="15" t="str">
        <f>IF(ISBLANK(Raw_Data!E1095),AVERAGE(Raw_Data!E$2:E$5002),Raw_Data!E1095)</f>
        <v>30241.81</v>
      </c>
      <c r="F1095" s="15" t="str">
        <f>IF(ISBLANK(Raw_Data!F1095),AVERAGE(Raw_Data!F$2:F$5002),Raw_Data!F1095)</f>
        <v>9991.42</v>
      </c>
      <c r="G1095" s="14" t="str">
        <f>IF(ISBLANK(Raw_Data!G1095),AVERAGE(Raw_Data!G$2:G$5002),Raw_Data!G1095)</f>
        <v>3670.37</v>
      </c>
      <c r="H1095" s="15" t="str">
        <f t="shared" si="1"/>
        <v>60639.00</v>
      </c>
      <c r="I1095" s="14" t="str">
        <f t="shared" si="2"/>
        <v>56969.00</v>
      </c>
      <c r="J1095" s="16" t="str">
        <f>TEXT(Raw_Data!J1095,"MMM-YYY")</f>
        <v>Jul-2025</v>
      </c>
      <c r="K1095" s="13" t="str">
        <f>Raw_Data!K1095</f>
        <v>13</v>
      </c>
      <c r="L1095" s="17" t="str">
        <f>Raw_Data!L1095</f>
        <v>Jaipur-North</v>
      </c>
      <c r="M1095" s="13" t="str">
        <f t="shared" si="3"/>
        <v>OK</v>
      </c>
      <c r="N1095" s="18" t="str">
        <f t="shared" si="4"/>
        <v>VALID</v>
      </c>
    </row>
    <row r="1096" ht="15.75" customHeight="1">
      <c r="A1096" s="13" t="str">
        <f>Raw_Data!A1096</f>
        <v>EMP1150</v>
      </c>
      <c r="B1096" s="13" t="str">
        <f>TRIM(CLEAN(Raw_Data!B1096))</f>
        <v>Marketing</v>
      </c>
      <c r="C1096" s="18" t="s">
        <v>37</v>
      </c>
      <c r="D1096" s="14" t="str">
        <f>IF(ISBLANK(Raw_Data!D1096),AVERAGE(Raw_Data!D$2:D$5002),Raw_Data!D1096)</f>
        <v>44257.88</v>
      </c>
      <c r="E1096" s="15" t="str">
        <f>IF(ISBLANK(Raw_Data!E1096),AVERAGE(Raw_Data!E$2:E$5002),Raw_Data!E1096)</f>
        <v>32073.55</v>
      </c>
      <c r="F1096" s="15" t="str">
        <f>IF(ISBLANK(Raw_Data!F1096),AVERAGE(Raw_Data!F$2:F$5002),Raw_Data!F1096)</f>
        <v>9988.65</v>
      </c>
      <c r="G1096" s="14" t="str">
        <f>IF(ISBLANK(Raw_Data!G1096),AVERAGE(Raw_Data!G$2:G$5002),Raw_Data!G1096)</f>
        <v>6665.78</v>
      </c>
      <c r="H1096" s="15" t="str">
        <f t="shared" si="1"/>
        <v>86320.00</v>
      </c>
      <c r="I1096" s="14" t="str">
        <f t="shared" si="2"/>
        <v>79654.00</v>
      </c>
      <c r="J1096" s="16" t="str">
        <f>TEXT(Raw_Data!J1096,"MMM-YYY")</f>
        <v>Jul-2025</v>
      </c>
      <c r="K1096" s="13" t="str">
        <f>Raw_Data!K1096</f>
        <v>20</v>
      </c>
      <c r="L1096" s="17" t="str">
        <f>Raw_Data!L1096</f>
        <v>Mumbai-HO</v>
      </c>
      <c r="M1096" s="13" t="str">
        <f t="shared" si="3"/>
        <v>OK</v>
      </c>
      <c r="N1096" s="18" t="str">
        <f t="shared" si="4"/>
        <v>VALID</v>
      </c>
    </row>
    <row r="1097" ht="15.75" customHeight="1">
      <c r="A1097" s="13" t="str">
        <f>Raw_Data!A1097</f>
        <v>EMP1151</v>
      </c>
      <c r="B1097" s="13" t="str">
        <f>TRIM(CLEAN(Raw_Data!B1097))</f>
        <v>Marketing</v>
      </c>
      <c r="C1097" s="18" t="s">
        <v>37</v>
      </c>
      <c r="D1097" s="14" t="str">
        <f>IF(ISBLANK(Raw_Data!D1097),AVERAGE(Raw_Data!D$2:D$5002),Raw_Data!D1097)</f>
        <v>110367.92</v>
      </c>
      <c r="E1097" s="15" t="str">
        <f>IF(ISBLANK(Raw_Data!E1097),AVERAGE(Raw_Data!E$2:E$5002),Raw_Data!E1097)</f>
        <v>8255.87</v>
      </c>
      <c r="F1097" s="15" t="str">
        <f>IF(ISBLANK(Raw_Data!F1097),AVERAGE(Raw_Data!F$2:F$5002),Raw_Data!F1097)</f>
        <v>9985.88</v>
      </c>
      <c r="G1097" s="14" t="str">
        <f>IF(ISBLANK(Raw_Data!G1097),AVERAGE(Raw_Data!G$2:G$5002),Raw_Data!G1097)</f>
        <v>11023.95</v>
      </c>
      <c r="H1097" s="15" t="str">
        <f t="shared" si="1"/>
        <v>128610.00</v>
      </c>
      <c r="I1097" s="14" t="str">
        <f t="shared" si="2"/>
        <v>117586.00</v>
      </c>
      <c r="J1097" s="16" t="str">
        <f>TEXT(Raw_Data!J1097,"MMM-YYY")</f>
        <v>Jan-2025</v>
      </c>
      <c r="K1097" s="13" t="str">
        <f>Raw_Data!K1097</f>
        <v>3</v>
      </c>
      <c r="L1097" s="17" t="str">
        <f>Raw_Data!L1097</f>
        <v>Delhi-North</v>
      </c>
      <c r="M1097" s="13" t="str">
        <f t="shared" si="3"/>
        <v>OK</v>
      </c>
      <c r="N1097" s="18" t="str">
        <f t="shared" si="4"/>
        <v>VALID</v>
      </c>
    </row>
    <row r="1098" ht="15.75" customHeight="1">
      <c r="A1098" s="13" t="str">
        <f>Raw_Data!A1098</f>
        <v>EMP1152</v>
      </c>
      <c r="B1098" s="13" t="str">
        <f>TRIM(CLEAN(Raw_Data!B1098))</f>
        <v>Marketing</v>
      </c>
      <c r="C1098" s="18" t="s">
        <v>30</v>
      </c>
      <c r="D1098" s="14" t="str">
        <f>IF(ISBLANK(Raw_Data!D1098),AVERAGE(Raw_Data!D$2:D$5002),Raw_Data!D1098)</f>
        <v>40154.00</v>
      </c>
      <c r="E1098" s="15" t="str">
        <f>IF(ISBLANK(Raw_Data!E1098),AVERAGE(Raw_Data!E$2:E$5002),Raw_Data!E1098)</f>
        <v>4001.11</v>
      </c>
      <c r="F1098" s="15" t="str">
        <f>IF(ISBLANK(Raw_Data!F1098),AVERAGE(Raw_Data!F$2:F$5002),Raw_Data!F1098)</f>
        <v>9983.10</v>
      </c>
      <c r="G1098" s="14" t="str">
        <f>IF(ISBLANK(Raw_Data!G1098),AVERAGE(Raw_Data!G$2:G$5002),Raw_Data!G1098)</f>
        <v>12442.29</v>
      </c>
      <c r="H1098" s="15" t="str">
        <f t="shared" si="1"/>
        <v>54138.00</v>
      </c>
      <c r="I1098" s="14" t="str">
        <f t="shared" si="2"/>
        <v>41696.00</v>
      </c>
      <c r="J1098" s="16" t="str">
        <f>TEXT(Raw_Data!J1098,"MMM-YYY")</f>
        <v>Jul-2025</v>
      </c>
      <c r="K1098" s="13" t="str">
        <f>Raw_Data!K1098</f>
        <v>16</v>
      </c>
      <c r="L1098" s="17" t="str">
        <f>Raw_Data!L1098</f>
        <v>Bangalore-South</v>
      </c>
      <c r="M1098" s="13" t="str">
        <f t="shared" si="3"/>
        <v>OK</v>
      </c>
      <c r="N1098" s="18" t="str">
        <f t="shared" si="4"/>
        <v>VALID</v>
      </c>
    </row>
    <row r="1099" ht="15.75" customHeight="1">
      <c r="A1099" s="13" t="str">
        <f>Raw_Data!A1099</f>
        <v>EMP1153</v>
      </c>
      <c r="B1099" s="13" t="str">
        <f>TRIM(CLEAN(Raw_Data!B1099))</f>
        <v>Customer Support</v>
      </c>
      <c r="C1099" s="18" t="s">
        <v>37</v>
      </c>
      <c r="D1099" s="14" t="str">
        <f>IF(ISBLANK(Raw_Data!D1099),AVERAGE(Raw_Data!D$2:D$5002),Raw_Data!D1099)</f>
        <v>30213.96</v>
      </c>
      <c r="E1099" s="15" t="str">
        <f>IF(ISBLANK(Raw_Data!E1099),AVERAGE(Raw_Data!E$2:E$5002),Raw_Data!E1099)</f>
        <v>29636.93</v>
      </c>
      <c r="F1099" s="15" t="str">
        <f>IF(ISBLANK(Raw_Data!F1099),AVERAGE(Raw_Data!F$2:F$5002),Raw_Data!F1099)</f>
        <v>9980.33</v>
      </c>
      <c r="G1099" s="14" t="str">
        <f>IF(ISBLANK(Raw_Data!G1099),AVERAGE(Raw_Data!G$2:G$5002),Raw_Data!G1099)</f>
        <v>3881.68</v>
      </c>
      <c r="H1099" s="15" t="str">
        <f t="shared" si="1"/>
        <v>69831.00</v>
      </c>
      <c r="I1099" s="14" t="str">
        <f t="shared" si="2"/>
        <v>65949.00</v>
      </c>
      <c r="J1099" s="16" t="str">
        <f>TEXT(Raw_Data!J1099,"MMM-YYY")</f>
        <v>Jan-2025</v>
      </c>
      <c r="K1099" s="13" t="str">
        <f>Raw_Data!K1099</f>
        <v>7</v>
      </c>
      <c r="L1099" s="17" t="str">
        <f>Raw_Data!L1099</f>
        <v>Chennai-South</v>
      </c>
      <c r="M1099" s="13" t="str">
        <f t="shared" si="3"/>
        <v>OK</v>
      </c>
      <c r="N1099" s="18" t="str">
        <f t="shared" si="4"/>
        <v>VALID</v>
      </c>
    </row>
    <row r="1100" ht="15.75" customHeight="1">
      <c r="A1100" s="13" t="str">
        <f>Raw_Data!A1100</f>
        <v>EMP1154</v>
      </c>
      <c r="B1100" s="13" t="str">
        <f>TRIM(CLEAN(Raw_Data!B1100))</f>
        <v>Operations</v>
      </c>
      <c r="C1100" s="18" t="s">
        <v>33</v>
      </c>
      <c r="D1100" s="14" t="str">
        <f>IF(ISBLANK(Raw_Data!D1100),AVERAGE(Raw_Data!D$2:D$5002),Raw_Data!D1100)</f>
        <v>66392.54</v>
      </c>
      <c r="E1100" s="15" t="str">
        <f>IF(ISBLANK(Raw_Data!E1100),AVERAGE(Raw_Data!E$2:E$5002),Raw_Data!E1100)</f>
        <v>16837.46</v>
      </c>
      <c r="F1100" s="15" t="str">
        <f>IF(ISBLANK(Raw_Data!F1100),AVERAGE(Raw_Data!F$2:F$5002),Raw_Data!F1100)</f>
        <v>9977.56</v>
      </c>
      <c r="G1100" s="14" t="str">
        <f>IF(ISBLANK(Raw_Data!G1100),AVERAGE(Raw_Data!G$2:G$5002),Raw_Data!G1100)</f>
        <v>16998.09</v>
      </c>
      <c r="H1100" s="15" t="str">
        <f t="shared" si="1"/>
        <v>93208.00</v>
      </c>
      <c r="I1100" s="14" t="str">
        <f t="shared" si="2"/>
        <v>76210.00</v>
      </c>
      <c r="J1100" s="16" t="str">
        <f>TEXT(Raw_Data!J1100,"MMM-YYY")</f>
        <v>Jul-2025</v>
      </c>
      <c r="K1100" s="13" t="str">
        <f>Raw_Data!K1100</f>
        <v>12</v>
      </c>
      <c r="L1100" s="17" t="str">
        <f>Raw_Data!L1100</f>
        <v>Kolkata-East</v>
      </c>
      <c r="M1100" s="13" t="str">
        <f t="shared" si="3"/>
        <v>OK</v>
      </c>
      <c r="N1100" s="18" t="str">
        <f t="shared" si="4"/>
        <v>VALID</v>
      </c>
    </row>
    <row r="1101" ht="15.75" customHeight="1">
      <c r="A1101" s="13" t="str">
        <f>Raw_Data!A1101</f>
        <v>EMP1155</v>
      </c>
      <c r="B1101" s="13" t="str">
        <f>TRIM(CLEAN(Raw_Data!B1101))</f>
        <v>Sales</v>
      </c>
      <c r="C1101" s="18" t="s">
        <v>26</v>
      </c>
      <c r="D1101" s="14" t="str">
        <f>IF(ISBLANK(Raw_Data!D1101),AVERAGE(Raw_Data!D$2:D$5002),Raw_Data!D1101)</f>
        <v>118493.30</v>
      </c>
      <c r="E1101" s="15" t="str">
        <f>IF(ISBLANK(Raw_Data!E1101),AVERAGE(Raw_Data!E$2:E$5002),Raw_Data!E1101)</f>
        <v>13161.33</v>
      </c>
      <c r="F1101" s="15" t="str">
        <f>IF(ISBLANK(Raw_Data!F1101),AVERAGE(Raw_Data!F$2:F$5002),Raw_Data!F1101)</f>
        <v>9974.78</v>
      </c>
      <c r="G1101" s="14" t="str">
        <f>IF(ISBLANK(Raw_Data!G1101),AVERAGE(Raw_Data!G$2:G$5002),Raw_Data!G1101)</f>
        <v>15105.38</v>
      </c>
      <c r="H1101" s="15" t="str">
        <f t="shared" si="1"/>
        <v>141629.00</v>
      </c>
      <c r="I1101" s="14" t="str">
        <f t="shared" si="2"/>
        <v>126524.00</v>
      </c>
      <c r="J1101" s="16" t="str">
        <f>TEXT(Raw_Data!J1101,"MMM-YYY")</f>
        <v>Jun-2025</v>
      </c>
      <c r="K1101" s="13" t="str">
        <f>Raw_Data!K1101</f>
        <v>15</v>
      </c>
      <c r="L1101" s="17" t="str">
        <f>Raw_Data!L1101</f>
        <v>Pune-West</v>
      </c>
      <c r="M1101" s="13" t="str">
        <f t="shared" si="3"/>
        <v>OK</v>
      </c>
      <c r="N1101" s="18" t="str">
        <f t="shared" si="4"/>
        <v>VALID</v>
      </c>
    </row>
    <row r="1102" ht="15.75" customHeight="1">
      <c r="A1102" s="13" t="str">
        <f>Raw_Data!A1102</f>
        <v>EMP1156</v>
      </c>
      <c r="B1102" s="13" t="str">
        <f>TRIM(CLEAN(Raw_Data!B1102))</f>
        <v>Marketing</v>
      </c>
      <c r="C1102" s="18" t="s">
        <v>18</v>
      </c>
      <c r="D1102" s="14" t="str">
        <f>IF(ISBLANK(Raw_Data!D1102),AVERAGE(Raw_Data!D$2:D$5002),Raw_Data!D1102)</f>
        <v>40415.80</v>
      </c>
      <c r="E1102" s="15" t="str">
        <f>IF(ISBLANK(Raw_Data!E1102),AVERAGE(Raw_Data!E$2:E$5002),Raw_Data!E1102)</f>
        <v>4464.31</v>
      </c>
      <c r="F1102" s="15" t="str">
        <f>IF(ISBLANK(Raw_Data!F1102),AVERAGE(Raw_Data!F$2:F$5002),Raw_Data!F1102)</f>
        <v>9972.01</v>
      </c>
      <c r="G1102" s="14" t="str">
        <f>IF(ISBLANK(Raw_Data!G1102),AVERAGE(Raw_Data!G$2:G$5002),Raw_Data!G1102)</f>
        <v>7714.37</v>
      </c>
      <c r="H1102" s="15" t="str">
        <f t="shared" si="1"/>
        <v>54852.00</v>
      </c>
      <c r="I1102" s="14" t="str">
        <f t="shared" si="2"/>
        <v>47138.00</v>
      </c>
      <c r="J1102" s="16" t="str">
        <f>TEXT(Raw_Data!J1102,"MMM-YYY")</f>
        <v>Nov-2025</v>
      </c>
      <c r="K1102" s="13" t="str">
        <f>Raw_Data!K1102</f>
        <v>8</v>
      </c>
      <c r="L1102" s="17" t="str">
        <f>Raw_Data!L1102</f>
        <v>Hyderabad-South</v>
      </c>
      <c r="M1102" s="13" t="str">
        <f t="shared" si="3"/>
        <v>OK</v>
      </c>
      <c r="N1102" s="18" t="str">
        <f t="shared" si="4"/>
        <v>VALID</v>
      </c>
    </row>
    <row r="1103" ht="15.75" customHeight="1">
      <c r="A1103" s="13" t="str">
        <f>Raw_Data!A1103</f>
        <v>EMP1157</v>
      </c>
      <c r="B1103" s="13" t="str">
        <f>TRIM(CLEAN(Raw_Data!B1103))</f>
        <v>HR</v>
      </c>
      <c r="C1103" s="18" t="s">
        <v>54</v>
      </c>
      <c r="D1103" s="14" t="str">
        <f>IF(ISBLANK(Raw_Data!D1103),AVERAGE(Raw_Data!D$2:D$5002),Raw_Data!D1103)</f>
        <v>85574.23</v>
      </c>
      <c r="E1103" s="15" t="str">
        <f>IF(ISBLANK(Raw_Data!E1103),AVERAGE(Raw_Data!E$2:E$5002),Raw_Data!E1103)</f>
        <v>23450.78</v>
      </c>
      <c r="F1103" s="15" t="str">
        <f>IF(ISBLANK(Raw_Data!F1103),AVERAGE(Raw_Data!F$2:F$5002),Raw_Data!F1103)</f>
        <v>9969.24</v>
      </c>
      <c r="G1103" s="14" t="str">
        <f>IF(ISBLANK(Raw_Data!G1103),AVERAGE(Raw_Data!G$2:G$5002),Raw_Data!G1103)</f>
        <v>834.67</v>
      </c>
      <c r="H1103" s="15" t="str">
        <f t="shared" si="1"/>
        <v>118994.00</v>
      </c>
      <c r="I1103" s="14" t="str">
        <f t="shared" si="2"/>
        <v>118159.00</v>
      </c>
      <c r="J1103" s="16" t="str">
        <f>TEXT(Raw_Data!J1103,"MMM-YYY")</f>
        <v>Mar-2025</v>
      </c>
      <c r="K1103" s="13" t="str">
        <f>Raw_Data!K1103</f>
        <v>23</v>
      </c>
      <c r="L1103" s="17" t="str">
        <f>Raw_Data!L1103</f>
        <v>Chandigarh-North</v>
      </c>
      <c r="M1103" s="13" t="str">
        <f t="shared" si="3"/>
        <v>OK</v>
      </c>
      <c r="N1103" s="18" t="str">
        <f t="shared" si="4"/>
        <v>VALID</v>
      </c>
    </row>
    <row r="1104" ht="15.75" customHeight="1">
      <c r="A1104" s="13" t="str">
        <f>Raw_Data!A1104</f>
        <v>EMP1158</v>
      </c>
      <c r="B1104" s="13" t="str">
        <f>TRIM(CLEAN(Raw_Data!B1104))</f>
        <v>Finance</v>
      </c>
      <c r="C1104" s="18" t="s">
        <v>54</v>
      </c>
      <c r="D1104" s="14" t="str">
        <f>IF(ISBLANK(Raw_Data!D1104),AVERAGE(Raw_Data!D$2:D$5002),Raw_Data!D1104)</f>
        <v>94970.06</v>
      </c>
      <c r="E1104" s="15" t="str">
        <f>IF(ISBLANK(Raw_Data!E1104),AVERAGE(Raw_Data!E$2:E$5002),Raw_Data!E1104)</f>
        <v>34641.43</v>
      </c>
      <c r="F1104" s="15" t="str">
        <f>IF(ISBLANK(Raw_Data!F1104),AVERAGE(Raw_Data!F$2:F$5002),Raw_Data!F1104)</f>
        <v>9966.46</v>
      </c>
      <c r="G1104" s="14" t="str">
        <f>IF(ISBLANK(Raw_Data!G1104),AVERAGE(Raw_Data!G$2:G$5002),Raw_Data!G1104)</f>
        <v>2402.37</v>
      </c>
      <c r="H1104" s="15" t="str">
        <f t="shared" si="1"/>
        <v>139578.00</v>
      </c>
      <c r="I1104" s="14" t="str">
        <f t="shared" si="2"/>
        <v>137176.00</v>
      </c>
      <c r="J1104" s="16" t="str">
        <f>TEXT(Raw_Data!J1104,"MMM-YYY")</f>
        <v>Aug-2025</v>
      </c>
      <c r="K1104" s="13" t="str">
        <f>Raw_Data!K1104</f>
        <v>17</v>
      </c>
      <c r="L1104" s="17" t="str">
        <f>Raw_Data!L1104</f>
        <v>Ahmedabad-West</v>
      </c>
      <c r="M1104" s="13" t="str">
        <f t="shared" si="3"/>
        <v>OK</v>
      </c>
      <c r="N1104" s="18" t="str">
        <f t="shared" si="4"/>
        <v>VALID</v>
      </c>
    </row>
    <row r="1105" ht="15.75" customHeight="1">
      <c r="A1105" s="13" t="str">
        <f>Raw_Data!A1105</f>
        <v>EMP1159</v>
      </c>
      <c r="B1105" s="13" t="str">
        <f>TRIM(CLEAN(Raw_Data!B1105))</f>
        <v>HR</v>
      </c>
      <c r="C1105" s="18" t="s">
        <v>26</v>
      </c>
      <c r="D1105" s="14" t="str">
        <f>IF(ISBLANK(Raw_Data!D1105),AVERAGE(Raw_Data!D$2:D$5002),Raw_Data!D1105)</f>
        <v>39951.94</v>
      </c>
      <c r="E1105" s="15" t="str">
        <f>IF(ISBLANK(Raw_Data!E1105),AVERAGE(Raw_Data!E$2:E$5002),Raw_Data!E1105)</f>
        <v>38474.74</v>
      </c>
      <c r="F1105" s="15" t="str">
        <f>IF(ISBLANK(Raw_Data!F1105),AVERAGE(Raw_Data!F$2:F$5002),Raw_Data!F1105)</f>
        <v>9963.69</v>
      </c>
      <c r="G1105" s="14" t="str">
        <f>IF(ISBLANK(Raw_Data!G1105),AVERAGE(Raw_Data!G$2:G$5002),Raw_Data!G1105)</f>
        <v>14562.73</v>
      </c>
      <c r="H1105" s="15" t="str">
        <f t="shared" si="1"/>
        <v>88390.00</v>
      </c>
      <c r="I1105" s="14" t="str">
        <f t="shared" si="2"/>
        <v>73827.00</v>
      </c>
      <c r="J1105" s="16" t="str">
        <f>TEXT(Raw_Data!J1105,"MMM-YYY")</f>
        <v>May-2025</v>
      </c>
      <c r="K1105" s="13" t="str">
        <f>Raw_Data!K1105</f>
        <v>1</v>
      </c>
      <c r="L1105" s="17" t="str">
        <f>Raw_Data!L1105</f>
        <v>Jaipur-North</v>
      </c>
      <c r="M1105" s="13" t="str">
        <f t="shared" si="3"/>
        <v>OK</v>
      </c>
      <c r="N1105" s="18" t="str">
        <f t="shared" si="4"/>
        <v>VALID</v>
      </c>
    </row>
    <row r="1106" ht="15.75" customHeight="1">
      <c r="A1106" s="13" t="str">
        <f>Raw_Data!A1106</f>
        <v>EMP1161</v>
      </c>
      <c r="B1106" s="13" t="str">
        <f>TRIM(CLEAN(Raw_Data!B1106))</f>
        <v>Operations</v>
      </c>
      <c r="C1106" s="18" t="s">
        <v>33</v>
      </c>
      <c r="D1106" s="14" t="str">
        <f>IF(ISBLANK(Raw_Data!D1106),AVERAGE(Raw_Data!D$2:D$5002),Raw_Data!D1106)</f>
        <v>53617.23</v>
      </c>
      <c r="E1106" s="15" t="str">
        <f>IF(ISBLANK(Raw_Data!E1106),AVERAGE(Raw_Data!E$2:E$5002),Raw_Data!E1106)</f>
        <v>22520.61</v>
      </c>
      <c r="F1106" s="15" t="str">
        <f>IF(ISBLANK(Raw_Data!F1106),AVERAGE(Raw_Data!F$2:F$5002),Raw_Data!F1106)</f>
        <v>9958.14</v>
      </c>
      <c r="G1106" s="14" t="str">
        <f>IF(ISBLANK(Raw_Data!G1106),AVERAGE(Raw_Data!G$2:G$5002),Raw_Data!G1106)</f>
        <v>9732.08</v>
      </c>
      <c r="H1106" s="15" t="str">
        <f t="shared" si="1"/>
        <v>86096.00</v>
      </c>
      <c r="I1106" s="14" t="str">
        <f t="shared" si="2"/>
        <v>76364.00</v>
      </c>
      <c r="J1106" s="16" t="str">
        <f>TEXT(Raw_Data!J1106,"MMM-YYY")</f>
        <v>Dec-2025</v>
      </c>
      <c r="K1106" s="13" t="str">
        <f>Raw_Data!K1106</f>
        <v>8</v>
      </c>
      <c r="L1106" s="17" t="str">
        <f>Raw_Data!L1106</f>
        <v>Delhi-North</v>
      </c>
      <c r="M1106" s="13" t="str">
        <f t="shared" si="3"/>
        <v>OK</v>
      </c>
      <c r="N1106" s="18" t="str">
        <f t="shared" si="4"/>
        <v>VALID</v>
      </c>
    </row>
    <row r="1107" ht="15.75" customHeight="1">
      <c r="A1107" s="13" t="str">
        <f>Raw_Data!A1107</f>
        <v>EMP1162</v>
      </c>
      <c r="B1107" s="13" t="str">
        <f>TRIM(CLEAN(Raw_Data!B1107))</f>
        <v>Marketing</v>
      </c>
      <c r="C1107" s="18" t="s">
        <v>30</v>
      </c>
      <c r="D1107" s="14" t="str">
        <f>IF(ISBLANK(Raw_Data!D1107),AVERAGE(Raw_Data!D$2:D$5002),Raw_Data!D1107)</f>
        <v>81392.11</v>
      </c>
      <c r="E1107" s="15" t="str">
        <f>IF(ISBLANK(Raw_Data!E1107),AVERAGE(Raw_Data!E$2:E$5002),Raw_Data!E1107)</f>
        <v>7062.03</v>
      </c>
      <c r="F1107" s="15" t="str">
        <f>IF(ISBLANK(Raw_Data!F1107),AVERAGE(Raw_Data!F$2:F$5002),Raw_Data!F1107)</f>
        <v>9955.37</v>
      </c>
      <c r="G1107" s="14" t="str">
        <f>IF(ISBLANK(Raw_Data!G1107),AVERAGE(Raw_Data!G$2:G$5002),Raw_Data!G1107)</f>
        <v>15890.47</v>
      </c>
      <c r="H1107" s="15" t="str">
        <f t="shared" si="1"/>
        <v>98410.00</v>
      </c>
      <c r="I1107" s="14" t="str">
        <f t="shared" si="2"/>
        <v>82520.00</v>
      </c>
      <c r="J1107" s="16" t="str">
        <f>TEXT(Raw_Data!J1107,"MMM-YYY")</f>
        <v>Apr-2025</v>
      </c>
      <c r="K1107" s="13" t="str">
        <f>Raw_Data!K1107</f>
        <v>14</v>
      </c>
      <c r="L1107" s="17" t="str">
        <f>Raw_Data!L1107</f>
        <v>Bangalore-South</v>
      </c>
      <c r="M1107" s="13" t="str">
        <f t="shared" si="3"/>
        <v>OK</v>
      </c>
      <c r="N1107" s="18" t="str">
        <f t="shared" si="4"/>
        <v>VALID</v>
      </c>
    </row>
    <row r="1108" ht="15.75" customHeight="1">
      <c r="A1108" s="13" t="str">
        <f>Raw_Data!A1108</f>
        <v>EMP1163</v>
      </c>
      <c r="B1108" s="13" t="str">
        <f>TRIM(CLEAN(Raw_Data!B1108))</f>
        <v>Customer Support</v>
      </c>
      <c r="C1108" s="18" t="s">
        <v>37</v>
      </c>
      <c r="D1108" s="14" t="str">
        <f>IF(ISBLANK(Raw_Data!D1108),AVERAGE(Raw_Data!D$2:D$5002),Raw_Data!D1108)</f>
        <v>81520.62</v>
      </c>
      <c r="E1108" s="15" t="str">
        <f>IF(ISBLANK(Raw_Data!E1108),AVERAGE(Raw_Data!E$2:E$5002),Raw_Data!E1108)</f>
        <v>23759.42</v>
      </c>
      <c r="F1108" s="15" t="str">
        <f>IF(ISBLANK(Raw_Data!F1108),AVERAGE(Raw_Data!F$2:F$5002),Raw_Data!F1108)</f>
        <v>9952.60</v>
      </c>
      <c r="G1108" s="14" t="str">
        <f>IF(ISBLANK(Raw_Data!G1108),AVERAGE(Raw_Data!G$2:G$5002),Raw_Data!G1108)</f>
        <v>13907.32</v>
      </c>
      <c r="H1108" s="15" t="str">
        <f t="shared" si="1"/>
        <v>115233.00</v>
      </c>
      <c r="I1108" s="14" t="str">
        <f t="shared" si="2"/>
        <v>101326.00</v>
      </c>
      <c r="J1108" s="16" t="str">
        <f>TEXT(Raw_Data!J1108,"MMM-YYY")</f>
        <v>Apr-2025</v>
      </c>
      <c r="K1108" s="13" t="str">
        <f>Raw_Data!K1108</f>
        <v>10</v>
      </c>
      <c r="L1108" s="17" t="str">
        <f>Raw_Data!L1108</f>
        <v>Chennai-South</v>
      </c>
      <c r="M1108" s="13" t="str">
        <f t="shared" si="3"/>
        <v>OK</v>
      </c>
      <c r="N1108" s="18" t="str">
        <f t="shared" si="4"/>
        <v>VALID</v>
      </c>
    </row>
    <row r="1109" ht="15.75" customHeight="1">
      <c r="A1109" s="13" t="str">
        <f>Raw_Data!A1109</f>
        <v>EMP1164</v>
      </c>
      <c r="B1109" s="13" t="str">
        <f>TRIM(CLEAN(Raw_Data!B1109))</f>
        <v>Customer Support</v>
      </c>
      <c r="C1109" s="18" t="s">
        <v>14</v>
      </c>
      <c r="D1109" s="14" t="str">
        <f>IF(ISBLANK(Raw_Data!D1109),AVERAGE(Raw_Data!D$2:D$5002),Raw_Data!D1109)</f>
        <v>71256.34</v>
      </c>
      <c r="E1109" s="15" t="str">
        <f>IF(ISBLANK(Raw_Data!E1109),AVERAGE(Raw_Data!E$2:E$5002),Raw_Data!E1109)</f>
        <v>17679.25</v>
      </c>
      <c r="F1109" s="15" t="str">
        <f>IF(ISBLANK(Raw_Data!F1109),AVERAGE(Raw_Data!F$2:F$5002),Raw_Data!F1109)</f>
        <v>9949.82</v>
      </c>
      <c r="G1109" s="14" t="str">
        <f>IF(ISBLANK(Raw_Data!G1109),AVERAGE(Raw_Data!G$2:G$5002),Raw_Data!G1109)</f>
        <v>6163.81</v>
      </c>
      <c r="H1109" s="15" t="str">
        <f t="shared" si="1"/>
        <v>98885.00</v>
      </c>
      <c r="I1109" s="14" t="str">
        <f t="shared" si="2"/>
        <v>92721.00</v>
      </c>
      <c r="J1109" s="16" t="str">
        <f>TEXT(Raw_Data!J1109,"MMM-YYY")</f>
        <v>Nov-2025</v>
      </c>
      <c r="K1109" s="13" t="str">
        <f>Raw_Data!K1109</f>
        <v>19</v>
      </c>
      <c r="L1109" s="17" t="str">
        <f>Raw_Data!L1109</f>
        <v>Kolkata-East</v>
      </c>
      <c r="M1109" s="13" t="str">
        <f t="shared" si="3"/>
        <v>OK</v>
      </c>
      <c r="N1109" s="18" t="str">
        <f t="shared" si="4"/>
        <v>VALID</v>
      </c>
    </row>
    <row r="1110" ht="15.75" customHeight="1">
      <c r="A1110" s="13" t="str">
        <f>Raw_Data!A1110</f>
        <v>EMP1165</v>
      </c>
      <c r="B1110" s="13" t="str">
        <f>TRIM(CLEAN(Raw_Data!B1110))</f>
        <v>Customer Support</v>
      </c>
      <c r="C1110" s="18" t="s">
        <v>30</v>
      </c>
      <c r="D1110" s="14" t="str">
        <f>IF(ISBLANK(Raw_Data!D1110),AVERAGE(Raw_Data!D$2:D$5002),Raw_Data!D1110)</f>
        <v>24480.43</v>
      </c>
      <c r="E1110" s="15" t="str">
        <f>IF(ISBLANK(Raw_Data!E1110),AVERAGE(Raw_Data!E$2:E$5002),Raw_Data!E1110)</f>
        <v>25856.87</v>
      </c>
      <c r="F1110" s="15" t="str">
        <f>IF(ISBLANK(Raw_Data!F1110),AVERAGE(Raw_Data!F$2:F$5002),Raw_Data!F1110)</f>
        <v>9947.05</v>
      </c>
      <c r="G1110" s="14" t="str">
        <f>IF(ISBLANK(Raw_Data!G1110),AVERAGE(Raw_Data!G$2:G$5002),Raw_Data!G1110)</f>
        <v>8923.65</v>
      </c>
      <c r="H1110" s="15" t="str">
        <f t="shared" si="1"/>
        <v>60284.00</v>
      </c>
      <c r="I1110" s="14" t="str">
        <f t="shared" si="2"/>
        <v>51360.00</v>
      </c>
      <c r="J1110" s="16" t="str">
        <f>TEXT(Raw_Data!J1110,"MMM-YYY")</f>
        <v>Dec-2025</v>
      </c>
      <c r="K1110" s="13" t="str">
        <f>Raw_Data!K1110</f>
        <v>8</v>
      </c>
      <c r="L1110" s="17" t="str">
        <f>Raw_Data!L1110</f>
        <v>Pune-West</v>
      </c>
      <c r="M1110" s="13" t="str">
        <f t="shared" si="3"/>
        <v>OK</v>
      </c>
      <c r="N1110" s="18" t="str">
        <f t="shared" si="4"/>
        <v>VALID</v>
      </c>
    </row>
    <row r="1111" ht="15.75" customHeight="1">
      <c r="A1111" s="13" t="str">
        <f>Raw_Data!A1111</f>
        <v>EMP1166</v>
      </c>
      <c r="B1111" s="13" t="str">
        <f>TRIM(CLEAN(Raw_Data!B1111))</f>
        <v>Finance</v>
      </c>
      <c r="C1111" s="18" t="s">
        <v>26</v>
      </c>
      <c r="D1111" s="14" t="str">
        <f>IF(ISBLANK(Raw_Data!D1111),AVERAGE(Raw_Data!D$2:D$5002),Raw_Data!D1111)</f>
        <v>102706.76</v>
      </c>
      <c r="E1111" s="15" t="str">
        <f>IF(ISBLANK(Raw_Data!E1111),AVERAGE(Raw_Data!E$2:E$5002),Raw_Data!E1111)</f>
        <v>17994.15</v>
      </c>
      <c r="F1111" s="15" t="str">
        <f>IF(ISBLANK(Raw_Data!F1111),AVERAGE(Raw_Data!F$2:F$5002),Raw_Data!F1111)</f>
        <v>9944.28</v>
      </c>
      <c r="G1111" s="14" t="str">
        <f>IF(ISBLANK(Raw_Data!G1111),AVERAGE(Raw_Data!G$2:G$5002),Raw_Data!G1111)</f>
        <v>15543.76</v>
      </c>
      <c r="H1111" s="15" t="str">
        <f t="shared" si="1"/>
        <v>130645.00</v>
      </c>
      <c r="I1111" s="14" t="str">
        <f t="shared" si="2"/>
        <v>115101.00</v>
      </c>
      <c r="J1111" s="16" t="str">
        <f>TEXT(Raw_Data!J1111,"MMM-YYY")</f>
        <v>May-2025</v>
      </c>
      <c r="K1111" s="13" t="str">
        <f>Raw_Data!K1111</f>
        <v>19</v>
      </c>
      <c r="L1111" s="17" t="str">
        <f>Raw_Data!L1111</f>
        <v>Hyderabad-South</v>
      </c>
      <c r="M1111" s="13" t="str">
        <f t="shared" si="3"/>
        <v>OK</v>
      </c>
      <c r="N1111" s="18" t="str">
        <f t="shared" si="4"/>
        <v>VALID</v>
      </c>
    </row>
    <row r="1112" ht="15.75" customHeight="1">
      <c r="A1112" s="13" t="str">
        <f>Raw_Data!A1112</f>
        <v>EMP1167</v>
      </c>
      <c r="B1112" s="13" t="str">
        <f>TRIM(CLEAN(Raw_Data!B1112))</f>
        <v>IT</v>
      </c>
      <c r="C1112" s="18" t="s">
        <v>14</v>
      </c>
      <c r="D1112" s="14" t="str">
        <f>IF(ISBLANK(Raw_Data!D1112),AVERAGE(Raw_Data!D$2:D$5002),Raw_Data!D1112)</f>
        <v>48681.91</v>
      </c>
      <c r="E1112" s="15" t="str">
        <f>IF(ISBLANK(Raw_Data!E1112),AVERAGE(Raw_Data!E$2:E$5002),Raw_Data!E1112)</f>
        <v>12650.77</v>
      </c>
      <c r="F1112" s="15" t="str">
        <f>IF(ISBLANK(Raw_Data!F1112),AVERAGE(Raw_Data!F$2:F$5002),Raw_Data!F1112)</f>
        <v>9941.50</v>
      </c>
      <c r="G1112" s="14" t="str">
        <f>IF(ISBLANK(Raw_Data!G1112),AVERAGE(Raw_Data!G$2:G$5002),Raw_Data!G1112)</f>
        <v>21590.95</v>
      </c>
      <c r="H1112" s="15" t="str">
        <f t="shared" si="1"/>
        <v>71274.00</v>
      </c>
      <c r="I1112" s="14" t="str">
        <f t="shared" si="2"/>
        <v>49683.00</v>
      </c>
      <c r="J1112" s="16" t="str">
        <f>TEXT(Raw_Data!J1112,"MMM-YYY")</f>
        <v>May-2025</v>
      </c>
      <c r="K1112" s="13" t="str">
        <f>Raw_Data!K1112</f>
        <v>4</v>
      </c>
      <c r="L1112" s="17" t="str">
        <f>Raw_Data!L1112</f>
        <v>Chandigarh-North</v>
      </c>
      <c r="M1112" s="13" t="str">
        <f t="shared" si="3"/>
        <v>OK</v>
      </c>
      <c r="N1112" s="18" t="str">
        <f t="shared" si="4"/>
        <v>VALID</v>
      </c>
    </row>
    <row r="1113" ht="15.75" customHeight="1">
      <c r="A1113" s="13" t="str">
        <f>Raw_Data!A1113</f>
        <v>EMP1168</v>
      </c>
      <c r="B1113" s="13" t="str">
        <f>TRIM(CLEAN(Raw_Data!B1113))</f>
        <v>Operations</v>
      </c>
      <c r="C1113" s="18" t="s">
        <v>33</v>
      </c>
      <c r="D1113" s="14" t="str">
        <f>IF(ISBLANK(Raw_Data!D1113),AVERAGE(Raw_Data!D$2:D$5002),Raw_Data!D1113)</f>
        <v>34584.44</v>
      </c>
      <c r="E1113" s="15" t="str">
        <f>IF(ISBLANK(Raw_Data!E1113),AVERAGE(Raw_Data!E$2:E$5002),Raw_Data!E1113)</f>
        <v>7418.75</v>
      </c>
      <c r="F1113" s="15" t="str">
        <f>IF(ISBLANK(Raw_Data!F1113),AVERAGE(Raw_Data!F$2:F$5002),Raw_Data!F1113)</f>
        <v>9938.73</v>
      </c>
      <c r="G1113" s="14" t="str">
        <f>IF(ISBLANK(Raw_Data!G1113),AVERAGE(Raw_Data!G$2:G$5002),Raw_Data!G1113)</f>
        <v>18953.73</v>
      </c>
      <c r="H1113" s="15" t="str">
        <f t="shared" si="1"/>
        <v>51942.00</v>
      </c>
      <c r="I1113" s="14" t="str">
        <f t="shared" si="2"/>
        <v>32988.00</v>
      </c>
      <c r="J1113" s="16" t="str">
        <f>TEXT(Raw_Data!J1113,"MMM-YYY")</f>
        <v>Jun-2025</v>
      </c>
      <c r="K1113" s="13" t="str">
        <f>Raw_Data!K1113</f>
        <v>10</v>
      </c>
      <c r="L1113" s="17" t="str">
        <f>Raw_Data!L1113</f>
        <v>Ahmedabad-West</v>
      </c>
      <c r="M1113" s="13" t="str">
        <f t="shared" si="3"/>
        <v>OK</v>
      </c>
      <c r="N1113" s="18" t="str">
        <f t="shared" si="4"/>
        <v>VALID</v>
      </c>
    </row>
    <row r="1114" ht="15.75" customHeight="1">
      <c r="A1114" s="13" t="str">
        <f>Raw_Data!A1114</f>
        <v>EMP1169</v>
      </c>
      <c r="B1114" s="13" t="str">
        <f>TRIM(CLEAN(Raw_Data!B1114))</f>
        <v>HR</v>
      </c>
      <c r="C1114" s="18" t="s">
        <v>33</v>
      </c>
      <c r="D1114" s="14" t="str">
        <f>IF(ISBLANK(Raw_Data!D1114),AVERAGE(Raw_Data!D$2:D$5002),Raw_Data!D1114)</f>
        <v>19281.39</v>
      </c>
      <c r="E1114" s="15" t="str">
        <f>IF(ISBLANK(Raw_Data!E1114),AVERAGE(Raw_Data!E$2:E$5002),Raw_Data!E1114)</f>
        <v>15337.06</v>
      </c>
      <c r="F1114" s="15" t="str">
        <f>IF(ISBLANK(Raw_Data!F1114),AVERAGE(Raw_Data!F$2:F$5002),Raw_Data!F1114)</f>
        <v>9935.96</v>
      </c>
      <c r="G1114" s="14" t="str">
        <f>IF(ISBLANK(Raw_Data!G1114),AVERAGE(Raw_Data!G$2:G$5002),Raw_Data!G1114)</f>
        <v>14058.30</v>
      </c>
      <c r="H1114" s="15" t="str">
        <f t="shared" si="1"/>
        <v>44554.00</v>
      </c>
      <c r="I1114" s="14" t="str">
        <f t="shared" si="2"/>
        <v>30496.00</v>
      </c>
      <c r="J1114" s="16" t="str">
        <f>TEXT(Raw_Data!J1114,"MMM-YYY")</f>
        <v>Jan-2025</v>
      </c>
      <c r="K1114" s="13" t="str">
        <f>Raw_Data!K1114</f>
        <v>23</v>
      </c>
      <c r="L1114" s="17" t="str">
        <f>Raw_Data!L1114</f>
        <v>Jaipur-North</v>
      </c>
      <c r="M1114" s="13" t="str">
        <f t="shared" si="3"/>
        <v>OK</v>
      </c>
      <c r="N1114" s="18" t="str">
        <f t="shared" si="4"/>
        <v>VALID</v>
      </c>
    </row>
    <row r="1115" ht="15.75" customHeight="1">
      <c r="A1115" s="13" t="str">
        <f>Raw_Data!A1115</f>
        <v>EMP1170</v>
      </c>
      <c r="B1115" s="13" t="str">
        <f>TRIM(CLEAN(Raw_Data!B1115))</f>
        <v>IT</v>
      </c>
      <c r="C1115" s="18" t="s">
        <v>26</v>
      </c>
      <c r="D1115" s="14" t="str">
        <f>IF(ISBLANK(Raw_Data!D1115),AVERAGE(Raw_Data!D$2:D$5002),Raw_Data!D1115)</f>
        <v>77043.76</v>
      </c>
      <c r="E1115" s="15" t="str">
        <f>IF(ISBLANK(Raw_Data!E1115),AVERAGE(Raw_Data!E$2:E$5002),Raw_Data!E1115)</f>
        <v>7479.21</v>
      </c>
      <c r="F1115" s="15" t="str">
        <f>IF(ISBLANK(Raw_Data!F1115),AVERAGE(Raw_Data!F$2:F$5002),Raw_Data!F1115)</f>
        <v>9156.86</v>
      </c>
      <c r="G1115" s="14" t="str">
        <f>IF(ISBLANK(Raw_Data!G1115),AVERAGE(Raw_Data!G$2:G$5002),Raw_Data!G1115)</f>
        <v>9376.18</v>
      </c>
      <c r="H1115" s="15" t="str">
        <f t="shared" si="1"/>
        <v>93680.00</v>
      </c>
      <c r="I1115" s="14" t="str">
        <f t="shared" si="2"/>
        <v>84304.00</v>
      </c>
      <c r="J1115" s="16" t="str">
        <f>TEXT(Raw_Data!J1115,"MMM-YYY")</f>
        <v>Jun-2025</v>
      </c>
      <c r="K1115" s="13" t="str">
        <f>Raw_Data!K1115</f>
        <v>3</v>
      </c>
      <c r="L1115" s="17" t="str">
        <f>Raw_Data!L1115</f>
        <v>Mumbai-HO</v>
      </c>
      <c r="M1115" s="13" t="str">
        <f t="shared" si="3"/>
        <v>OK</v>
      </c>
      <c r="N1115" s="18" t="str">
        <f t="shared" si="4"/>
        <v>VALID</v>
      </c>
    </row>
    <row r="1116" ht="15.75" customHeight="1">
      <c r="A1116" s="13" t="str">
        <f>Raw_Data!A1116</f>
        <v>EMP1171</v>
      </c>
      <c r="B1116" s="13" t="str">
        <f>TRIM(CLEAN(Raw_Data!B1116))</f>
        <v>Operations</v>
      </c>
      <c r="C1116" s="18" t="s">
        <v>30</v>
      </c>
      <c r="D1116" s="14" t="str">
        <f>IF(ISBLANK(Raw_Data!D1116),AVERAGE(Raw_Data!D$2:D$5002),Raw_Data!D1116)</f>
        <v>86144.26</v>
      </c>
      <c r="E1116" s="15" t="str">
        <f>IF(ISBLANK(Raw_Data!E1116),AVERAGE(Raw_Data!E$2:E$5002),Raw_Data!E1116)</f>
        <v>10368.29</v>
      </c>
      <c r="F1116" s="15" t="str">
        <f>IF(ISBLANK(Raw_Data!F1116),AVERAGE(Raw_Data!F$2:F$5002),Raw_Data!F1116)</f>
        <v>9164.54</v>
      </c>
      <c r="G1116" s="14" t="str">
        <f>IF(ISBLANK(Raw_Data!G1116),AVERAGE(Raw_Data!G$2:G$5002),Raw_Data!G1116)</f>
        <v>9443.76</v>
      </c>
      <c r="H1116" s="15" t="str">
        <f t="shared" si="1"/>
        <v>105677.00</v>
      </c>
      <c r="I1116" s="14" t="str">
        <f t="shared" si="2"/>
        <v>96233.00</v>
      </c>
      <c r="J1116" s="16" t="str">
        <f>TEXT(Raw_Data!J1116,"MMM-YYY")</f>
        <v>Jul-2025</v>
      </c>
      <c r="K1116" s="13" t="str">
        <f>Raw_Data!K1116</f>
        <v>4</v>
      </c>
      <c r="L1116" s="17" t="str">
        <f>Raw_Data!L1116</f>
        <v>Delhi-North</v>
      </c>
      <c r="M1116" s="13" t="str">
        <f t="shared" si="3"/>
        <v>OK</v>
      </c>
      <c r="N1116" s="18" t="str">
        <f t="shared" si="4"/>
        <v>VALID</v>
      </c>
    </row>
    <row r="1117" ht="15.75" customHeight="1">
      <c r="A1117" s="13" t="str">
        <f>Raw_Data!A1117</f>
        <v>EMP1172</v>
      </c>
      <c r="B1117" s="13" t="str">
        <f>TRIM(CLEAN(Raw_Data!B1117))</f>
        <v>Customer Support</v>
      </c>
      <c r="C1117" s="18" t="s">
        <v>33</v>
      </c>
      <c r="D1117" s="14" t="str">
        <f>IF(ISBLANK(Raw_Data!D1117),AVERAGE(Raw_Data!D$2:D$5002),Raw_Data!D1117)</f>
        <v>16741.72</v>
      </c>
      <c r="E1117" s="15" t="str">
        <f>IF(ISBLANK(Raw_Data!E1117),AVERAGE(Raw_Data!E$2:E$5002),Raw_Data!E1117)</f>
        <v>39544.10</v>
      </c>
      <c r="F1117" s="15" t="str">
        <f>IF(ISBLANK(Raw_Data!F1117),AVERAGE(Raw_Data!F$2:F$5002),Raw_Data!F1117)</f>
        <v>9172.22</v>
      </c>
      <c r="G1117" s="14" t="str">
        <f>IF(ISBLANK(Raw_Data!G1117),AVERAGE(Raw_Data!G$2:G$5002),Raw_Data!G1117)</f>
        <v>22045.72</v>
      </c>
      <c r="H1117" s="15" t="str">
        <f t="shared" si="1"/>
        <v>65458.00</v>
      </c>
      <c r="I1117" s="14" t="str">
        <f t="shared" si="2"/>
        <v>43412.00</v>
      </c>
      <c r="J1117" s="16" t="str">
        <f>TEXT(Raw_Data!J1117,"MMM-YYY")</f>
        <v>Jul-2025</v>
      </c>
      <c r="K1117" s="13" t="str">
        <f>Raw_Data!K1117</f>
        <v>16</v>
      </c>
      <c r="L1117" s="17" t="str">
        <f>Raw_Data!L1117</f>
        <v>Bangalore-South</v>
      </c>
      <c r="M1117" s="13" t="str">
        <f t="shared" si="3"/>
        <v>OK</v>
      </c>
      <c r="N1117" s="18" t="str">
        <f t="shared" si="4"/>
        <v>VALID</v>
      </c>
    </row>
    <row r="1118" ht="15.75" customHeight="1">
      <c r="A1118" s="13" t="str">
        <f>Raw_Data!A1118</f>
        <v>EMP1173</v>
      </c>
      <c r="B1118" s="13" t="str">
        <f>TRIM(CLEAN(Raw_Data!B1118))</f>
        <v>Customer Support</v>
      </c>
      <c r="C1118" s="18" t="s">
        <v>30</v>
      </c>
      <c r="D1118" s="14" t="str">
        <f>IF(ISBLANK(Raw_Data!D1118),AVERAGE(Raw_Data!D$2:D$5002),Raw_Data!D1118)</f>
        <v>68769.77</v>
      </c>
      <c r="E1118" s="15" t="str">
        <f>IF(ISBLANK(Raw_Data!E1118),AVERAGE(Raw_Data!E$2:E$5002),Raw_Data!E1118)</f>
        <v>19987.73</v>
      </c>
      <c r="F1118" s="15" t="str">
        <f>IF(ISBLANK(Raw_Data!F1118),AVERAGE(Raw_Data!F$2:F$5002),Raw_Data!F1118)</f>
        <v>9179.90</v>
      </c>
      <c r="G1118" s="14" t="str">
        <f>IF(ISBLANK(Raw_Data!G1118),AVERAGE(Raw_Data!G$2:G$5002),Raw_Data!G1118)</f>
        <v>1461.47</v>
      </c>
      <c r="H1118" s="15" t="str">
        <f t="shared" si="1"/>
        <v>97937.00</v>
      </c>
      <c r="I1118" s="14" t="str">
        <f t="shared" si="2"/>
        <v>96476.00</v>
      </c>
      <c r="J1118" s="16" t="str">
        <f>TEXT(Raw_Data!J1118,"MMM-YYY")</f>
        <v>Jun-2025</v>
      </c>
      <c r="K1118" s="13" t="str">
        <f>Raw_Data!K1118</f>
        <v>24</v>
      </c>
      <c r="L1118" s="17" t="str">
        <f>Raw_Data!L1118</f>
        <v>Chennai-South</v>
      </c>
      <c r="M1118" s="13" t="str">
        <f t="shared" si="3"/>
        <v>OK</v>
      </c>
      <c r="N1118" s="18" t="str">
        <f t="shared" si="4"/>
        <v>VALID</v>
      </c>
    </row>
    <row r="1119" ht="15.75" customHeight="1">
      <c r="A1119" s="13" t="str">
        <f>Raw_Data!A1119</f>
        <v>EMP1174</v>
      </c>
      <c r="B1119" s="13" t="str">
        <f>TRIM(CLEAN(Raw_Data!B1119))</f>
        <v>Operations</v>
      </c>
      <c r="C1119" s="18" t="s">
        <v>33</v>
      </c>
      <c r="D1119" s="14" t="str">
        <f>IF(ISBLANK(Raw_Data!D1119),AVERAGE(Raw_Data!D$2:D$5002),Raw_Data!D1119)</f>
        <v>38782.06</v>
      </c>
      <c r="E1119" s="15" t="str">
        <f>IF(ISBLANK(Raw_Data!E1119),AVERAGE(Raw_Data!E$2:E$5002),Raw_Data!E1119)</f>
        <v>23147.38</v>
      </c>
      <c r="F1119" s="15" t="str">
        <f>IF(ISBLANK(Raw_Data!F1119),AVERAGE(Raw_Data!F$2:F$5002),Raw_Data!F1119)</f>
        <v>9187.58</v>
      </c>
      <c r="G1119" s="14" t="str">
        <f>IF(ISBLANK(Raw_Data!G1119),AVERAGE(Raw_Data!G$2:G$5002),Raw_Data!G1119)</f>
        <v>24705.57</v>
      </c>
      <c r="H1119" s="15" t="str">
        <f t="shared" si="1"/>
        <v>71117.00</v>
      </c>
      <c r="I1119" s="14" t="str">
        <f t="shared" si="2"/>
        <v>46411.00</v>
      </c>
      <c r="J1119" s="16" t="str">
        <f>TEXT(Raw_Data!J1119,"MMM-YYY")</f>
        <v>Sep-2025</v>
      </c>
      <c r="K1119" s="13" t="str">
        <f>Raw_Data!K1119</f>
        <v>4</v>
      </c>
      <c r="L1119" s="17" t="str">
        <f>Raw_Data!L1119</f>
        <v>Kolkata-East</v>
      </c>
      <c r="M1119" s="13" t="str">
        <f t="shared" si="3"/>
        <v>OK</v>
      </c>
      <c r="N1119" s="18" t="str">
        <f t="shared" si="4"/>
        <v>VALID</v>
      </c>
    </row>
    <row r="1120" ht="15.75" customHeight="1">
      <c r="A1120" s="13" t="str">
        <f>Raw_Data!A1120</f>
        <v>EMP1175</v>
      </c>
      <c r="B1120" s="13" t="str">
        <f>TRIM(CLEAN(Raw_Data!B1120))</f>
        <v>Operations</v>
      </c>
      <c r="C1120" s="18" t="s">
        <v>37</v>
      </c>
      <c r="D1120" s="14" t="str">
        <f>IF(ISBLANK(Raw_Data!D1120),AVERAGE(Raw_Data!D$2:D$5002),Raw_Data!D1120)</f>
        <v>82743.14</v>
      </c>
      <c r="E1120" s="15" t="str">
        <f>IF(ISBLANK(Raw_Data!E1120),AVERAGE(Raw_Data!E$2:E$5002),Raw_Data!E1120)</f>
        <v>35450.27</v>
      </c>
      <c r="F1120" s="15" t="str">
        <f>IF(ISBLANK(Raw_Data!F1120),AVERAGE(Raw_Data!F$2:F$5002),Raw_Data!F1120)</f>
        <v>9195.26</v>
      </c>
      <c r="G1120" s="14" t="str">
        <f>IF(ISBLANK(Raw_Data!G1120),AVERAGE(Raw_Data!G$2:G$5002),Raw_Data!G1120)</f>
        <v>16777.20</v>
      </c>
      <c r="H1120" s="15" t="str">
        <f t="shared" si="1"/>
        <v>127389.00</v>
      </c>
      <c r="I1120" s="14" t="str">
        <f t="shared" si="2"/>
        <v>110612.00</v>
      </c>
      <c r="J1120" s="16" t="str">
        <f>TEXT(Raw_Data!J1120,"MMM-YYY")</f>
        <v>Sep-2025</v>
      </c>
      <c r="K1120" s="13" t="str">
        <f>Raw_Data!K1120</f>
        <v>25</v>
      </c>
      <c r="L1120" s="17" t="str">
        <f>Raw_Data!L1120</f>
        <v>Pune-West</v>
      </c>
      <c r="M1120" s="13" t="str">
        <f t="shared" si="3"/>
        <v>OK</v>
      </c>
      <c r="N1120" s="18" t="str">
        <f t="shared" si="4"/>
        <v>VALID</v>
      </c>
    </row>
    <row r="1121" ht="15.75" customHeight="1">
      <c r="A1121" s="13" t="str">
        <f>Raw_Data!A1121</f>
        <v>EMP1176</v>
      </c>
      <c r="B1121" s="13" t="str">
        <f>TRIM(CLEAN(Raw_Data!B1121))</f>
        <v>IT</v>
      </c>
      <c r="C1121" s="18" t="s">
        <v>33</v>
      </c>
      <c r="D1121" s="14" t="str">
        <f>IF(ISBLANK(Raw_Data!D1121),AVERAGE(Raw_Data!D$2:D$5002),Raw_Data!D1121)</f>
        <v>33308.48</v>
      </c>
      <c r="E1121" s="15" t="str">
        <f>IF(ISBLANK(Raw_Data!E1121),AVERAGE(Raw_Data!E$2:E$5002),Raw_Data!E1121)</f>
        <v>39840.48</v>
      </c>
      <c r="F1121" s="15" t="str">
        <f>IF(ISBLANK(Raw_Data!F1121),AVERAGE(Raw_Data!F$2:F$5002),Raw_Data!F1121)</f>
        <v>9202.94</v>
      </c>
      <c r="G1121" s="14" t="str">
        <f>IF(ISBLANK(Raw_Data!G1121),AVERAGE(Raw_Data!G$2:G$5002),Raw_Data!G1121)</f>
        <v>17187.87</v>
      </c>
      <c r="H1121" s="15" t="str">
        <f t="shared" si="1"/>
        <v>82352.00</v>
      </c>
      <c r="I1121" s="14" t="str">
        <f t="shared" si="2"/>
        <v>65164.00</v>
      </c>
      <c r="J1121" s="16" t="str">
        <f>TEXT(Raw_Data!J1121,"MMM-YYY")</f>
        <v>Dec-2025</v>
      </c>
      <c r="K1121" s="13" t="str">
        <f>Raw_Data!K1121</f>
        <v>20</v>
      </c>
      <c r="L1121" s="17" t="str">
        <f>Raw_Data!L1121</f>
        <v>Hyderabad-South</v>
      </c>
      <c r="M1121" s="13" t="str">
        <f t="shared" si="3"/>
        <v>OK</v>
      </c>
      <c r="N1121" s="18" t="str">
        <f t="shared" si="4"/>
        <v>VALID</v>
      </c>
    </row>
    <row r="1122" ht="15.75" customHeight="1">
      <c r="A1122" s="13" t="str">
        <f>Raw_Data!A1122</f>
        <v>EMP1177</v>
      </c>
      <c r="B1122" s="13" t="str">
        <f>TRIM(CLEAN(Raw_Data!B1122))</f>
        <v>Sales</v>
      </c>
      <c r="C1122" s="18" t="s">
        <v>33</v>
      </c>
      <c r="D1122" s="14" t="str">
        <f>IF(ISBLANK(Raw_Data!D1122),AVERAGE(Raw_Data!D$2:D$5002),Raw_Data!D1122)</f>
        <v>87548.46</v>
      </c>
      <c r="E1122" s="15" t="str">
        <f>IF(ISBLANK(Raw_Data!E1122),AVERAGE(Raw_Data!E$2:E$5002),Raw_Data!E1122)</f>
        <v>24977.72</v>
      </c>
      <c r="F1122" s="15" t="str">
        <f>IF(ISBLANK(Raw_Data!F1122),AVERAGE(Raw_Data!F$2:F$5002),Raw_Data!F1122)</f>
        <v>9210.62</v>
      </c>
      <c r="G1122" s="14" t="str">
        <f>IF(ISBLANK(Raw_Data!G1122),AVERAGE(Raw_Data!G$2:G$5002),Raw_Data!G1122)</f>
        <v>1430.95</v>
      </c>
      <c r="H1122" s="15" t="str">
        <f t="shared" si="1"/>
        <v>121737.00</v>
      </c>
      <c r="I1122" s="14" t="str">
        <f t="shared" si="2"/>
        <v>120306.00</v>
      </c>
      <c r="J1122" s="16" t="str">
        <f>TEXT(Raw_Data!J1122,"MMM-YYY")</f>
        <v>Apr-2025</v>
      </c>
      <c r="K1122" s="13" t="str">
        <f>Raw_Data!K1122</f>
        <v>20</v>
      </c>
      <c r="L1122" s="17" t="str">
        <f>Raw_Data!L1122</f>
        <v>Chandigarh-North</v>
      </c>
      <c r="M1122" s="13" t="str">
        <f t="shared" si="3"/>
        <v>OK</v>
      </c>
      <c r="N1122" s="18" t="str">
        <f t="shared" si="4"/>
        <v>VALID</v>
      </c>
    </row>
    <row r="1123" ht="15.75" customHeight="1">
      <c r="A1123" s="13" t="str">
        <f>Raw_Data!A1123</f>
        <v>EMP1179</v>
      </c>
      <c r="B1123" s="13" t="str">
        <f>TRIM(CLEAN(Raw_Data!B1123))</f>
        <v>Customer Support</v>
      </c>
      <c r="C1123" s="18" t="s">
        <v>14</v>
      </c>
      <c r="D1123" s="14" t="str">
        <f>IF(ISBLANK(Raw_Data!D1123),AVERAGE(Raw_Data!D$2:D$5002),Raw_Data!D1123)</f>
        <v>113356.65</v>
      </c>
      <c r="E1123" s="15" t="str">
        <f>IF(ISBLANK(Raw_Data!E1123),AVERAGE(Raw_Data!E$2:E$5002),Raw_Data!E1123)</f>
        <v>15769.88</v>
      </c>
      <c r="F1123" s="15" t="str">
        <f>IF(ISBLANK(Raw_Data!F1123),AVERAGE(Raw_Data!F$2:F$5002),Raw_Data!F1123)</f>
        <v>9225.98</v>
      </c>
      <c r="G1123" s="14" t="str">
        <f>IF(ISBLANK(Raw_Data!G1123),AVERAGE(Raw_Data!G$2:G$5002),Raw_Data!G1123)</f>
        <v>12377.06</v>
      </c>
      <c r="H1123" s="15" t="str">
        <f t="shared" si="1"/>
        <v>138353.00</v>
      </c>
      <c r="I1123" s="14" t="str">
        <f t="shared" si="2"/>
        <v>125976.00</v>
      </c>
      <c r="J1123" s="16" t="str">
        <f>TEXT(Raw_Data!J1123,"MMM-YYY")</f>
        <v>Oct-2025</v>
      </c>
      <c r="K1123" s="13" t="str">
        <f>Raw_Data!K1123</f>
        <v>21</v>
      </c>
      <c r="L1123" s="17" t="str">
        <f>Raw_Data!L1123</f>
        <v>Jaipur-North</v>
      </c>
      <c r="M1123" s="13" t="str">
        <f t="shared" si="3"/>
        <v>OK</v>
      </c>
      <c r="N1123" s="18" t="str">
        <f t="shared" si="4"/>
        <v>VALID</v>
      </c>
    </row>
    <row r="1124" ht="15.75" customHeight="1">
      <c r="A1124" s="13" t="str">
        <f>Raw_Data!A1124</f>
        <v>EMP1180</v>
      </c>
      <c r="B1124" s="13" t="str">
        <f>TRIM(CLEAN(Raw_Data!B1124))</f>
        <v>Finance</v>
      </c>
      <c r="C1124" s="18" t="s">
        <v>18</v>
      </c>
      <c r="D1124" s="14" t="str">
        <f>IF(ISBLANK(Raw_Data!D1124),AVERAGE(Raw_Data!D$2:D$5002),Raw_Data!D1124)</f>
        <v>29439.70</v>
      </c>
      <c r="E1124" s="15" t="str">
        <f>IF(ISBLANK(Raw_Data!E1124),AVERAGE(Raw_Data!E$2:E$5002),Raw_Data!E1124)</f>
        <v>15006.78</v>
      </c>
      <c r="F1124" s="15" t="str">
        <f>IF(ISBLANK(Raw_Data!F1124),AVERAGE(Raw_Data!F$2:F$5002),Raw_Data!F1124)</f>
        <v>9233.66</v>
      </c>
      <c r="G1124" s="14" t="str">
        <f>IF(ISBLANK(Raw_Data!G1124),AVERAGE(Raw_Data!G$2:G$5002),Raw_Data!G1124)</f>
        <v>3091.58</v>
      </c>
      <c r="H1124" s="15" t="str">
        <f t="shared" si="1"/>
        <v>53680.00</v>
      </c>
      <c r="I1124" s="14" t="str">
        <f t="shared" si="2"/>
        <v>50588.00</v>
      </c>
      <c r="J1124" s="16" t="str">
        <f>TEXT(Raw_Data!J1124,"MMM-YYY")</f>
        <v>Sep-2025</v>
      </c>
      <c r="K1124" s="13" t="str">
        <f>Raw_Data!K1124</f>
        <v>17</v>
      </c>
      <c r="L1124" s="17" t="str">
        <f>Raw_Data!L1124</f>
        <v>Mumbai-HO</v>
      </c>
      <c r="M1124" s="13" t="str">
        <f t="shared" si="3"/>
        <v>OK</v>
      </c>
      <c r="N1124" s="18" t="str">
        <f t="shared" si="4"/>
        <v>VALID</v>
      </c>
    </row>
    <row r="1125" ht="15.75" customHeight="1">
      <c r="A1125" s="13" t="str">
        <f>Raw_Data!A1125</f>
        <v>EMP1181</v>
      </c>
      <c r="B1125" s="13" t="str">
        <f>TRIM(CLEAN(Raw_Data!B1125))</f>
        <v>HR</v>
      </c>
      <c r="C1125" s="18" t="s">
        <v>30</v>
      </c>
      <c r="D1125" s="14" t="str">
        <f>IF(ISBLANK(Raw_Data!D1125),AVERAGE(Raw_Data!D$2:D$5002),Raw_Data!D1125)</f>
        <v>50811.97</v>
      </c>
      <c r="E1125" s="15" t="str">
        <f>IF(ISBLANK(Raw_Data!E1125),AVERAGE(Raw_Data!E$2:E$5002),Raw_Data!E1125)</f>
        <v>18497.33</v>
      </c>
      <c r="F1125" s="15" t="str">
        <f>IF(ISBLANK(Raw_Data!F1125),AVERAGE(Raw_Data!F$2:F$5002),Raw_Data!F1125)</f>
        <v>9241.34</v>
      </c>
      <c r="G1125" s="14" t="str">
        <f>IF(ISBLANK(Raw_Data!G1125),AVERAGE(Raw_Data!G$2:G$5002),Raw_Data!G1125)</f>
        <v>7309.09</v>
      </c>
      <c r="H1125" s="15" t="str">
        <f t="shared" si="1"/>
        <v>78551.00</v>
      </c>
      <c r="I1125" s="14" t="str">
        <f t="shared" si="2"/>
        <v>71242.00</v>
      </c>
      <c r="J1125" s="16" t="str">
        <f>TEXT(Raw_Data!J1125,"MMM-YYY")</f>
        <v>Aug-2025</v>
      </c>
      <c r="K1125" s="13" t="str">
        <f>Raw_Data!K1125</f>
        <v>23</v>
      </c>
      <c r="L1125" s="17" t="str">
        <f>Raw_Data!L1125</f>
        <v>Delhi-North</v>
      </c>
      <c r="M1125" s="13" t="str">
        <f t="shared" si="3"/>
        <v>OK</v>
      </c>
      <c r="N1125" s="18" t="str">
        <f t="shared" si="4"/>
        <v>VALID</v>
      </c>
    </row>
    <row r="1126" ht="15.75" customHeight="1">
      <c r="A1126" s="13" t="str">
        <f>Raw_Data!A1126</f>
        <v>EMP1182</v>
      </c>
      <c r="B1126" s="13" t="str">
        <f>TRIM(CLEAN(Raw_Data!B1126))</f>
        <v>Sales</v>
      </c>
      <c r="C1126" s="18" t="s">
        <v>26</v>
      </c>
      <c r="D1126" s="14" t="str">
        <f>IF(ISBLANK(Raw_Data!D1126),AVERAGE(Raw_Data!D$2:D$5002),Raw_Data!D1126)</f>
        <v>26914.72</v>
      </c>
      <c r="E1126" s="15" t="str">
        <f>IF(ISBLANK(Raw_Data!E1126),AVERAGE(Raw_Data!E$2:E$5002),Raw_Data!E1126)</f>
        <v>28210.26</v>
      </c>
      <c r="F1126" s="15" t="str">
        <f>IF(ISBLANK(Raw_Data!F1126),AVERAGE(Raw_Data!F$2:F$5002),Raw_Data!F1126)</f>
        <v>9249.02</v>
      </c>
      <c r="G1126" s="14" t="str">
        <f>IF(ISBLANK(Raw_Data!G1126),AVERAGE(Raw_Data!G$2:G$5002),Raw_Data!G1126)</f>
        <v>22312.70</v>
      </c>
      <c r="H1126" s="15" t="str">
        <f t="shared" si="1"/>
        <v>64374.00</v>
      </c>
      <c r="I1126" s="14" t="str">
        <f t="shared" si="2"/>
        <v>42061.00</v>
      </c>
      <c r="J1126" s="16" t="str">
        <f>TEXT(Raw_Data!J1126,"MMM-YYY")</f>
        <v>May-2025</v>
      </c>
      <c r="K1126" s="13" t="str">
        <f>Raw_Data!K1126</f>
        <v>25</v>
      </c>
      <c r="L1126" s="17" t="str">
        <f>Raw_Data!L1126</f>
        <v>Bangalore-South</v>
      </c>
      <c r="M1126" s="13" t="str">
        <f t="shared" si="3"/>
        <v>OK</v>
      </c>
      <c r="N1126" s="18" t="str">
        <f t="shared" si="4"/>
        <v>VALID</v>
      </c>
    </row>
    <row r="1127" ht="15.75" customHeight="1">
      <c r="A1127" s="13" t="str">
        <f>Raw_Data!A1127</f>
        <v>EMP1183</v>
      </c>
      <c r="B1127" s="13" t="str">
        <f>TRIM(CLEAN(Raw_Data!B1127))</f>
        <v>Sales</v>
      </c>
      <c r="C1127" s="18" t="s">
        <v>26</v>
      </c>
      <c r="D1127" s="14" t="str">
        <f>IF(ISBLANK(Raw_Data!D1127),AVERAGE(Raw_Data!D$2:D$5002),Raw_Data!D1127)</f>
        <v>112092.83</v>
      </c>
      <c r="E1127" s="15" t="str">
        <f>IF(ISBLANK(Raw_Data!E1127),AVERAGE(Raw_Data!E$2:E$5002),Raw_Data!E1127)</f>
        <v>28558.90</v>
      </c>
      <c r="F1127" s="15" t="str">
        <f>IF(ISBLANK(Raw_Data!F1127),AVERAGE(Raw_Data!F$2:F$5002),Raw_Data!F1127)</f>
        <v>9256.70</v>
      </c>
      <c r="G1127" s="14" t="str">
        <f>IF(ISBLANK(Raw_Data!G1127),AVERAGE(Raw_Data!G$2:G$5002),Raw_Data!G1127)</f>
        <v>13974.72</v>
      </c>
      <c r="H1127" s="15" t="str">
        <f t="shared" si="1"/>
        <v>149908.00</v>
      </c>
      <c r="I1127" s="14" t="str">
        <f t="shared" si="2"/>
        <v>135933.00</v>
      </c>
      <c r="J1127" s="16" t="str">
        <f>TEXT(Raw_Data!J1127,"MMM-YYY")</f>
        <v>Feb-2025</v>
      </c>
      <c r="K1127" s="13" t="str">
        <f>Raw_Data!K1127</f>
        <v>16</v>
      </c>
      <c r="L1127" s="17" t="str">
        <f>Raw_Data!L1127</f>
        <v>Chennai-South</v>
      </c>
      <c r="M1127" s="13" t="str">
        <f t="shared" si="3"/>
        <v>OK</v>
      </c>
      <c r="N1127" s="18" t="str">
        <f t="shared" si="4"/>
        <v>VALID</v>
      </c>
    </row>
    <row r="1128" ht="15.75" customHeight="1">
      <c r="A1128" s="13" t="str">
        <f>Raw_Data!A1128</f>
        <v>EMP1184</v>
      </c>
      <c r="B1128" s="13" t="str">
        <f>TRIM(CLEAN(Raw_Data!B1128))</f>
        <v>Sales</v>
      </c>
      <c r="C1128" s="18" t="s">
        <v>14</v>
      </c>
      <c r="D1128" s="14" t="str">
        <f>IF(ISBLANK(Raw_Data!D1128),AVERAGE(Raw_Data!D$2:D$5002),Raw_Data!D1128)</f>
        <v>107120.63</v>
      </c>
      <c r="E1128" s="15" t="str">
        <f>IF(ISBLANK(Raw_Data!E1128),AVERAGE(Raw_Data!E$2:E$5002),Raw_Data!E1128)</f>
        <v>15348.62</v>
      </c>
      <c r="F1128" s="15" t="str">
        <f>IF(ISBLANK(Raw_Data!F1128),AVERAGE(Raw_Data!F$2:F$5002),Raw_Data!F1128)</f>
        <v>9264.38</v>
      </c>
      <c r="G1128" s="14" t="str">
        <f>IF(ISBLANK(Raw_Data!G1128),AVERAGE(Raw_Data!G$2:G$5002),Raw_Data!G1128)</f>
        <v>10628.71</v>
      </c>
      <c r="H1128" s="15" t="str">
        <f t="shared" si="1"/>
        <v>131734.00</v>
      </c>
      <c r="I1128" s="14" t="str">
        <f t="shared" si="2"/>
        <v>121105.00</v>
      </c>
      <c r="J1128" s="16" t="str">
        <f>TEXT(Raw_Data!J1128,"MMM-YYY")</f>
        <v>Feb-2025</v>
      </c>
      <c r="K1128" s="13" t="str">
        <f>Raw_Data!K1128</f>
        <v>25</v>
      </c>
      <c r="L1128" s="17" t="str">
        <f>Raw_Data!L1128</f>
        <v>Kolkata-East</v>
      </c>
      <c r="M1128" s="13" t="str">
        <f t="shared" si="3"/>
        <v>OK</v>
      </c>
      <c r="N1128" s="18" t="str">
        <f t="shared" si="4"/>
        <v>VALID</v>
      </c>
    </row>
    <row r="1129" ht="15.75" customHeight="1">
      <c r="A1129" s="13" t="str">
        <f>Raw_Data!A1129</f>
        <v>EMP1185</v>
      </c>
      <c r="B1129" s="13" t="str">
        <f>TRIM(CLEAN(Raw_Data!B1129))</f>
        <v>Finance</v>
      </c>
      <c r="C1129" s="18" t="s">
        <v>14</v>
      </c>
      <c r="D1129" s="14" t="str">
        <f>IF(ISBLANK(Raw_Data!D1129),AVERAGE(Raw_Data!D$2:D$5002),Raw_Data!D1129)</f>
        <v>42083.87</v>
      </c>
      <c r="E1129" s="15" t="str">
        <f>IF(ISBLANK(Raw_Data!E1129),AVERAGE(Raw_Data!E$2:E$5002),Raw_Data!E1129)</f>
        <v>8795.56</v>
      </c>
      <c r="F1129" s="15" t="str">
        <f>IF(ISBLANK(Raw_Data!F1129),AVERAGE(Raw_Data!F$2:F$5002),Raw_Data!F1129)</f>
        <v>9272.06</v>
      </c>
      <c r="G1129" s="14" t="str">
        <f>IF(ISBLANK(Raw_Data!G1129),AVERAGE(Raw_Data!G$2:G$5002),Raw_Data!G1129)</f>
        <v>2280.71</v>
      </c>
      <c r="H1129" s="15" t="str">
        <f t="shared" si="1"/>
        <v>60151.00</v>
      </c>
      <c r="I1129" s="14" t="str">
        <f t="shared" si="2"/>
        <v>57870.00</v>
      </c>
      <c r="J1129" s="16" t="str">
        <f>TEXT(Raw_Data!J1129,"MMM-YYY")</f>
        <v>Apr-2025</v>
      </c>
      <c r="K1129" s="13" t="str">
        <f>Raw_Data!K1129</f>
        <v>17</v>
      </c>
      <c r="L1129" s="17" t="str">
        <f>Raw_Data!L1129</f>
        <v>Pune-West</v>
      </c>
      <c r="M1129" s="13" t="str">
        <f t="shared" si="3"/>
        <v>OK</v>
      </c>
      <c r="N1129" s="18" t="str">
        <f t="shared" si="4"/>
        <v>VALID</v>
      </c>
    </row>
    <row r="1130" ht="15.75" customHeight="1">
      <c r="A1130" s="13" t="str">
        <f>Raw_Data!A1130</f>
        <v>EMP1186</v>
      </c>
      <c r="B1130" s="13" t="str">
        <f>TRIM(CLEAN(Raw_Data!B1130))</f>
        <v>Finance</v>
      </c>
      <c r="C1130" s="18" t="s">
        <v>14</v>
      </c>
      <c r="D1130" s="14" t="str">
        <f>IF(ISBLANK(Raw_Data!D1130),AVERAGE(Raw_Data!D$2:D$5002),Raw_Data!D1130)</f>
        <v>84298.32</v>
      </c>
      <c r="E1130" s="15" t="str">
        <f>IF(ISBLANK(Raw_Data!E1130),AVERAGE(Raw_Data!E$2:E$5002),Raw_Data!E1130)</f>
        <v>26766.27</v>
      </c>
      <c r="F1130" s="15" t="str">
        <f>IF(ISBLANK(Raw_Data!F1130),AVERAGE(Raw_Data!F$2:F$5002),Raw_Data!F1130)</f>
        <v>9279.74</v>
      </c>
      <c r="G1130" s="14" t="str">
        <f>IF(ISBLANK(Raw_Data!G1130),AVERAGE(Raw_Data!G$2:G$5002),Raw_Data!G1130)</f>
        <v>17995.98</v>
      </c>
      <c r="H1130" s="15" t="str">
        <f t="shared" si="1"/>
        <v>120344.00</v>
      </c>
      <c r="I1130" s="14" t="str">
        <f t="shared" si="2"/>
        <v>102348.00</v>
      </c>
      <c r="J1130" s="16" t="str">
        <f>TEXT(Raw_Data!J1130,"MMM-YYY")</f>
        <v>Mar-2025</v>
      </c>
      <c r="K1130" s="13" t="str">
        <f>Raw_Data!K1130</f>
        <v>6</v>
      </c>
      <c r="L1130" s="17" t="str">
        <f>Raw_Data!L1130</f>
        <v>Hyderabad-South</v>
      </c>
      <c r="M1130" s="13" t="str">
        <f t="shared" si="3"/>
        <v>OK</v>
      </c>
      <c r="N1130" s="18" t="str">
        <f t="shared" si="4"/>
        <v>VALID</v>
      </c>
    </row>
    <row r="1131" ht="15.75" customHeight="1">
      <c r="A1131" s="13" t="str">
        <f>Raw_Data!A1131</f>
        <v>EMP1187</v>
      </c>
      <c r="B1131" s="13" t="str">
        <f>TRIM(CLEAN(Raw_Data!B1131))</f>
        <v>Marketing</v>
      </c>
      <c r="C1131" s="18" t="s">
        <v>26</v>
      </c>
      <c r="D1131" s="14" t="str">
        <f>IF(ISBLANK(Raw_Data!D1131),AVERAGE(Raw_Data!D$2:D$5002),Raw_Data!D1131)</f>
        <v>100808.33</v>
      </c>
      <c r="E1131" s="15" t="str">
        <f>IF(ISBLANK(Raw_Data!E1131),AVERAGE(Raw_Data!E$2:E$5002),Raw_Data!E1131)</f>
        <v>8619.73</v>
      </c>
      <c r="F1131" s="15" t="str">
        <f>IF(ISBLANK(Raw_Data!F1131),AVERAGE(Raw_Data!F$2:F$5002),Raw_Data!F1131)</f>
        <v>9287.42</v>
      </c>
      <c r="G1131" s="14" t="str">
        <f>IF(ISBLANK(Raw_Data!G1131),AVERAGE(Raw_Data!G$2:G$5002),Raw_Data!G1131)</f>
        <v>17719.85</v>
      </c>
      <c r="H1131" s="15" t="str">
        <f t="shared" si="1"/>
        <v>118715.00</v>
      </c>
      <c r="I1131" s="14" t="str">
        <f t="shared" si="2"/>
        <v>100995.00</v>
      </c>
      <c r="J1131" s="16" t="str">
        <f>TEXT(Raw_Data!J1131,"MMM-YYY")</f>
        <v>Jun-2025</v>
      </c>
      <c r="K1131" s="13" t="str">
        <f>Raw_Data!K1131</f>
        <v>3</v>
      </c>
      <c r="L1131" s="17" t="str">
        <f>Raw_Data!L1131</f>
        <v>Chandigarh-North</v>
      </c>
      <c r="M1131" s="13" t="str">
        <f t="shared" si="3"/>
        <v>OK</v>
      </c>
      <c r="N1131" s="18" t="str">
        <f t="shared" si="4"/>
        <v>VALID</v>
      </c>
    </row>
    <row r="1132" ht="15.75" customHeight="1">
      <c r="A1132" s="13" t="str">
        <f>Raw_Data!A1132</f>
        <v>EMP1188</v>
      </c>
      <c r="B1132" s="13" t="str">
        <f>TRIM(CLEAN(Raw_Data!B1132))</f>
        <v>Finance</v>
      </c>
      <c r="C1132" s="18" t="s">
        <v>18</v>
      </c>
      <c r="D1132" s="14" t="str">
        <f>IF(ISBLANK(Raw_Data!D1132),AVERAGE(Raw_Data!D$2:D$5002),Raw_Data!D1132)</f>
        <v>73296.09</v>
      </c>
      <c r="E1132" s="15" t="str">
        <f>IF(ISBLANK(Raw_Data!E1132),AVERAGE(Raw_Data!E$2:E$5002),Raw_Data!E1132)</f>
        <v>24825.73</v>
      </c>
      <c r="F1132" s="15" t="str">
        <f>IF(ISBLANK(Raw_Data!F1132),AVERAGE(Raw_Data!F$2:F$5002),Raw_Data!F1132)</f>
        <v>9295.10</v>
      </c>
      <c r="G1132" s="14" t="str">
        <f>IF(ISBLANK(Raw_Data!G1132),AVERAGE(Raw_Data!G$2:G$5002),Raw_Data!G1132)</f>
        <v>15544.07</v>
      </c>
      <c r="H1132" s="15" t="str">
        <f t="shared" si="1"/>
        <v>107417.00</v>
      </c>
      <c r="I1132" s="14" t="str">
        <f t="shared" si="2"/>
        <v>91873.00</v>
      </c>
      <c r="J1132" s="16" t="str">
        <f>TEXT(Raw_Data!J1132,"MMM-YYY")</f>
        <v>Dec-2025</v>
      </c>
      <c r="K1132" s="13" t="str">
        <f>Raw_Data!K1132</f>
        <v>20</v>
      </c>
      <c r="L1132" s="17" t="str">
        <f>Raw_Data!L1132</f>
        <v>Ahmedabad-West</v>
      </c>
      <c r="M1132" s="13" t="str">
        <f t="shared" si="3"/>
        <v>OK</v>
      </c>
      <c r="N1132" s="18" t="str">
        <f t="shared" si="4"/>
        <v>VALID</v>
      </c>
    </row>
    <row r="1133" ht="15.75" customHeight="1">
      <c r="A1133" s="13" t="str">
        <f>Raw_Data!A1133</f>
        <v>EMP1189</v>
      </c>
      <c r="B1133" s="13" t="str">
        <f>TRIM(CLEAN(Raw_Data!B1133))</f>
        <v>Finance</v>
      </c>
      <c r="C1133" s="18" t="s">
        <v>26</v>
      </c>
      <c r="D1133" s="14" t="str">
        <f>IF(ISBLANK(Raw_Data!D1133),AVERAGE(Raw_Data!D$2:D$5002),Raw_Data!D1133)</f>
        <v>70613.31</v>
      </c>
      <c r="E1133" s="15" t="str">
        <f>IF(ISBLANK(Raw_Data!E1133),AVERAGE(Raw_Data!E$2:E$5002),Raw_Data!E1133)</f>
        <v>28963.20</v>
      </c>
      <c r="F1133" s="15" t="str">
        <f>IF(ISBLANK(Raw_Data!F1133),AVERAGE(Raw_Data!F$2:F$5002),Raw_Data!F1133)</f>
        <v>9302.78</v>
      </c>
      <c r="G1133" s="14" t="str">
        <f>IF(ISBLANK(Raw_Data!G1133),AVERAGE(Raw_Data!G$2:G$5002),Raw_Data!G1133)</f>
        <v>13001.43</v>
      </c>
      <c r="H1133" s="15" t="str">
        <f t="shared" si="1"/>
        <v>108879.00</v>
      </c>
      <c r="I1133" s="14" t="str">
        <f t="shared" si="2"/>
        <v>95878.00</v>
      </c>
      <c r="J1133" s="16" t="str">
        <f>TEXT(Raw_Data!J1133,"MMM-YYY")</f>
        <v>Aug-2025</v>
      </c>
      <c r="K1133" s="13" t="str">
        <f>Raw_Data!K1133</f>
        <v>24</v>
      </c>
      <c r="L1133" s="17" t="str">
        <f>Raw_Data!L1133</f>
        <v>Jaipur-North</v>
      </c>
      <c r="M1133" s="13" t="str">
        <f t="shared" si="3"/>
        <v>OK</v>
      </c>
      <c r="N1133" s="18" t="str">
        <f t="shared" si="4"/>
        <v>VALID</v>
      </c>
    </row>
    <row r="1134" ht="15.75" customHeight="1">
      <c r="A1134" s="13" t="str">
        <f>Raw_Data!A1134</f>
        <v>EMP1190</v>
      </c>
      <c r="B1134" s="13" t="str">
        <f>TRIM(CLEAN(Raw_Data!B1134))</f>
        <v>Sales</v>
      </c>
      <c r="C1134" s="18" t="s">
        <v>18</v>
      </c>
      <c r="D1134" s="14" t="str">
        <f>IF(ISBLANK(Raw_Data!D1134),AVERAGE(Raw_Data!D$2:D$5002),Raw_Data!D1134)</f>
        <v>40394.49</v>
      </c>
      <c r="E1134" s="15" t="str">
        <f>IF(ISBLANK(Raw_Data!E1134),AVERAGE(Raw_Data!E$2:E$5002),Raw_Data!E1134)</f>
        <v>29222.01</v>
      </c>
      <c r="F1134" s="15" t="str">
        <f>IF(ISBLANK(Raw_Data!F1134),AVERAGE(Raw_Data!F$2:F$5002),Raw_Data!F1134)</f>
        <v>9310.46</v>
      </c>
      <c r="G1134" s="14" t="str">
        <f>IF(ISBLANK(Raw_Data!G1134),AVERAGE(Raw_Data!G$2:G$5002),Raw_Data!G1134)</f>
        <v>11127.72</v>
      </c>
      <c r="H1134" s="15" t="str">
        <f t="shared" si="1"/>
        <v>78927.00</v>
      </c>
      <c r="I1134" s="14" t="str">
        <f t="shared" si="2"/>
        <v>67799.00</v>
      </c>
      <c r="J1134" s="16" t="str">
        <f>TEXT(Raw_Data!J1134,"MMM-YYY")</f>
        <v>Dec-2025</v>
      </c>
      <c r="K1134" s="13" t="str">
        <f>Raw_Data!K1134</f>
        <v>4</v>
      </c>
      <c r="L1134" s="17" t="str">
        <f>Raw_Data!L1134</f>
        <v>Mumbai-HO</v>
      </c>
      <c r="M1134" s="13" t="str">
        <f t="shared" si="3"/>
        <v>OK</v>
      </c>
      <c r="N1134" s="18" t="str">
        <f t="shared" si="4"/>
        <v>VALID</v>
      </c>
    </row>
    <row r="1135" ht="15.75" customHeight="1">
      <c r="A1135" s="13" t="str">
        <f>Raw_Data!A1135</f>
        <v>EMP1191</v>
      </c>
      <c r="B1135" s="13" t="str">
        <f>TRIM(CLEAN(Raw_Data!B1135))</f>
        <v>IT</v>
      </c>
      <c r="C1135" s="18" t="s">
        <v>14</v>
      </c>
      <c r="D1135" s="14" t="str">
        <f>IF(ISBLANK(Raw_Data!D1135),AVERAGE(Raw_Data!D$2:D$5002),Raw_Data!D1135)</f>
        <v>24775.79</v>
      </c>
      <c r="E1135" s="15" t="str">
        <f>IF(ISBLANK(Raw_Data!E1135),AVERAGE(Raw_Data!E$2:E$5002),Raw_Data!E1135)</f>
        <v>31125.00</v>
      </c>
      <c r="F1135" s="15" t="str">
        <f>IF(ISBLANK(Raw_Data!F1135),AVERAGE(Raw_Data!F$2:F$5002),Raw_Data!F1135)</f>
        <v>9318.14</v>
      </c>
      <c r="G1135" s="14" t="str">
        <f>IF(ISBLANK(Raw_Data!G1135),AVERAGE(Raw_Data!G$2:G$5002),Raw_Data!G1135)</f>
        <v>15035.14</v>
      </c>
      <c r="H1135" s="15" t="str">
        <f t="shared" si="1"/>
        <v>65219.00</v>
      </c>
      <c r="I1135" s="14" t="str">
        <f t="shared" si="2"/>
        <v>50184.00</v>
      </c>
      <c r="J1135" s="16" t="str">
        <f>TEXT(Raw_Data!J1135,"MMM-YYY")</f>
        <v>Oct-2025</v>
      </c>
      <c r="K1135" s="13" t="str">
        <f>Raw_Data!K1135</f>
        <v>8</v>
      </c>
      <c r="L1135" s="17" t="str">
        <f>Raw_Data!L1135</f>
        <v>Delhi-North</v>
      </c>
      <c r="M1135" s="13" t="str">
        <f t="shared" si="3"/>
        <v>OK</v>
      </c>
      <c r="N1135" s="18" t="str">
        <f t="shared" si="4"/>
        <v>VALID</v>
      </c>
    </row>
    <row r="1136" ht="15.75" customHeight="1">
      <c r="A1136" s="13" t="str">
        <f>Raw_Data!A1136</f>
        <v>EMP1192</v>
      </c>
      <c r="B1136" s="13" t="str">
        <f>TRIM(CLEAN(Raw_Data!B1136))</f>
        <v>HR</v>
      </c>
      <c r="C1136" s="18" t="s">
        <v>33</v>
      </c>
      <c r="D1136" s="14" t="str">
        <f>IF(ISBLANK(Raw_Data!D1136),AVERAGE(Raw_Data!D$2:D$5002),Raw_Data!D1136)</f>
        <v>109207.65</v>
      </c>
      <c r="E1136" s="15" t="str">
        <f>IF(ISBLANK(Raw_Data!E1136),AVERAGE(Raw_Data!E$2:E$5002),Raw_Data!E1136)</f>
        <v>35422.94</v>
      </c>
      <c r="F1136" s="15" t="str">
        <f>IF(ISBLANK(Raw_Data!F1136),AVERAGE(Raw_Data!F$2:F$5002),Raw_Data!F1136)</f>
        <v>9325.82</v>
      </c>
      <c r="G1136" s="14" t="str">
        <f>IF(ISBLANK(Raw_Data!G1136),AVERAGE(Raw_Data!G$2:G$5002),Raw_Data!G1136)</f>
        <v>6218.19</v>
      </c>
      <c r="H1136" s="15" t="str">
        <f t="shared" si="1"/>
        <v>153956.00</v>
      </c>
      <c r="I1136" s="14" t="str">
        <f t="shared" si="2"/>
        <v>147738.00</v>
      </c>
      <c r="J1136" s="16" t="str">
        <f>TEXT(Raw_Data!J1136,"MMM-YYY")</f>
        <v>Aug-2025</v>
      </c>
      <c r="K1136" s="13" t="str">
        <f>Raw_Data!K1136</f>
        <v>20</v>
      </c>
      <c r="L1136" s="17" t="str">
        <f>Raw_Data!L1136</f>
        <v>Bangalore-South</v>
      </c>
      <c r="M1136" s="13" t="str">
        <f t="shared" si="3"/>
        <v>OK</v>
      </c>
      <c r="N1136" s="18" t="str">
        <f t="shared" si="4"/>
        <v>VALID</v>
      </c>
    </row>
    <row r="1137" ht="15.75" customHeight="1">
      <c r="A1137" s="13" t="str">
        <f>Raw_Data!A1137</f>
        <v>EMP1193</v>
      </c>
      <c r="B1137" s="13" t="str">
        <f>TRIM(CLEAN(Raw_Data!B1137))</f>
        <v>Operations</v>
      </c>
      <c r="C1137" s="18" t="s">
        <v>14</v>
      </c>
      <c r="D1137" s="14" t="str">
        <f>IF(ISBLANK(Raw_Data!D1137),AVERAGE(Raw_Data!D$2:D$5002),Raw_Data!D1137)</f>
        <v>109543.90</v>
      </c>
      <c r="E1137" s="15" t="str">
        <f>IF(ISBLANK(Raw_Data!E1137),AVERAGE(Raw_Data!E$2:E$5002),Raw_Data!E1137)</f>
        <v>21998.52</v>
      </c>
      <c r="F1137" s="15" t="str">
        <f>IF(ISBLANK(Raw_Data!F1137),AVERAGE(Raw_Data!F$2:F$5002),Raw_Data!F1137)</f>
        <v>9333.50</v>
      </c>
      <c r="G1137" s="14" t="str">
        <f>IF(ISBLANK(Raw_Data!G1137),AVERAGE(Raw_Data!G$2:G$5002),Raw_Data!G1137)</f>
        <v>23560.85</v>
      </c>
      <c r="H1137" s="15" t="str">
        <f t="shared" si="1"/>
        <v>140876.00</v>
      </c>
      <c r="I1137" s="14" t="str">
        <f t="shared" si="2"/>
        <v>117315.00</v>
      </c>
      <c r="J1137" s="16" t="str">
        <f>TEXT(Raw_Data!J1137,"MMM-YYY")</f>
        <v>Jan-2025</v>
      </c>
      <c r="K1137" s="13" t="str">
        <f>Raw_Data!K1137</f>
        <v>9</v>
      </c>
      <c r="L1137" s="17" t="str">
        <f>Raw_Data!L1137</f>
        <v>Chennai-South</v>
      </c>
      <c r="M1137" s="13" t="str">
        <f t="shared" si="3"/>
        <v>OK</v>
      </c>
      <c r="N1137" s="18" t="str">
        <f t="shared" si="4"/>
        <v>VALID</v>
      </c>
    </row>
    <row r="1138" ht="15.75" customHeight="1">
      <c r="A1138" s="13" t="str">
        <f>Raw_Data!A1138</f>
        <v>EMP1195</v>
      </c>
      <c r="B1138" s="13" t="str">
        <f>TRIM(CLEAN(Raw_Data!B1138))</f>
        <v>Operations</v>
      </c>
      <c r="C1138" s="18" t="s">
        <v>26</v>
      </c>
      <c r="D1138" s="14" t="str">
        <f>IF(ISBLANK(Raw_Data!D1138),AVERAGE(Raw_Data!D$2:D$5002),Raw_Data!D1138)</f>
        <v>50598.13</v>
      </c>
      <c r="E1138" s="15" t="str">
        <f>IF(ISBLANK(Raw_Data!E1138),AVERAGE(Raw_Data!E$2:E$5002),Raw_Data!E1138)</f>
        <v>26290.22</v>
      </c>
      <c r="F1138" s="15" t="str">
        <f>IF(ISBLANK(Raw_Data!F1138),AVERAGE(Raw_Data!F$2:F$5002),Raw_Data!F1138)</f>
        <v>9348.86</v>
      </c>
      <c r="G1138" s="14" t="str">
        <f>IF(ISBLANK(Raw_Data!G1138),AVERAGE(Raw_Data!G$2:G$5002),Raw_Data!G1138)</f>
        <v>8124.21</v>
      </c>
      <c r="H1138" s="15" t="str">
        <f t="shared" si="1"/>
        <v>86237.00</v>
      </c>
      <c r="I1138" s="14" t="str">
        <f t="shared" si="2"/>
        <v>78113.00</v>
      </c>
      <c r="J1138" s="16" t="str">
        <f>TEXT(Raw_Data!J1138,"MMM-YYY")</f>
        <v>Jul-2025</v>
      </c>
      <c r="K1138" s="13" t="str">
        <f>Raw_Data!K1138</f>
        <v>1</v>
      </c>
      <c r="L1138" s="17" t="str">
        <f>Raw_Data!L1138</f>
        <v>Pune-West</v>
      </c>
      <c r="M1138" s="13" t="str">
        <f t="shared" si="3"/>
        <v>OK</v>
      </c>
      <c r="N1138" s="18" t="str">
        <f t="shared" si="4"/>
        <v>VALID</v>
      </c>
    </row>
    <row r="1139" ht="15.75" customHeight="1">
      <c r="A1139" s="13" t="str">
        <f>Raw_Data!A1139</f>
        <v>EMP1196</v>
      </c>
      <c r="B1139" s="13" t="str">
        <f>TRIM(CLEAN(Raw_Data!B1139))</f>
        <v>IT</v>
      </c>
      <c r="C1139" s="18" t="s">
        <v>30</v>
      </c>
      <c r="D1139" s="14" t="str">
        <f>IF(ISBLANK(Raw_Data!D1139),AVERAGE(Raw_Data!D$2:D$5002),Raw_Data!D1139)</f>
        <v>51667.01</v>
      </c>
      <c r="E1139" s="15" t="str">
        <f>IF(ISBLANK(Raw_Data!E1139),AVERAGE(Raw_Data!E$2:E$5002),Raw_Data!E1139)</f>
        <v>10719.04</v>
      </c>
      <c r="F1139" s="15" t="str">
        <f>IF(ISBLANK(Raw_Data!F1139),AVERAGE(Raw_Data!F$2:F$5002),Raw_Data!F1139)</f>
        <v>9356.54</v>
      </c>
      <c r="G1139" s="14" t="str">
        <f>IF(ISBLANK(Raw_Data!G1139),AVERAGE(Raw_Data!G$2:G$5002),Raw_Data!G1139)</f>
        <v>11517.16</v>
      </c>
      <c r="H1139" s="15" t="str">
        <f t="shared" si="1"/>
        <v>71743.00</v>
      </c>
      <c r="I1139" s="14" t="str">
        <f t="shared" si="2"/>
        <v>60226.00</v>
      </c>
      <c r="J1139" s="16" t="str">
        <f>TEXT(Raw_Data!J1139,"MMM-YYY")</f>
        <v>Dec-2025</v>
      </c>
      <c r="K1139" s="13" t="str">
        <f>Raw_Data!K1139</f>
        <v>13</v>
      </c>
      <c r="L1139" s="17" t="str">
        <f>Raw_Data!L1139</f>
        <v>Hyderabad-South</v>
      </c>
      <c r="M1139" s="13" t="str">
        <f t="shared" si="3"/>
        <v>OK</v>
      </c>
      <c r="N1139" s="18" t="str">
        <f t="shared" si="4"/>
        <v>VALID</v>
      </c>
    </row>
    <row r="1140" ht="15.75" customHeight="1">
      <c r="A1140" s="13" t="str">
        <f>Raw_Data!A1140</f>
        <v>EMP1197</v>
      </c>
      <c r="B1140" s="13" t="str">
        <f>TRIM(CLEAN(Raw_Data!B1140))</f>
        <v>HR</v>
      </c>
      <c r="C1140" s="18" t="s">
        <v>54</v>
      </c>
      <c r="D1140" s="14" t="str">
        <f>IF(ISBLANK(Raw_Data!D1140),AVERAGE(Raw_Data!D$2:D$5002),Raw_Data!D1140)</f>
        <v>91225.35</v>
      </c>
      <c r="E1140" s="15" t="str">
        <f>IF(ISBLANK(Raw_Data!E1140),AVERAGE(Raw_Data!E$2:E$5002),Raw_Data!E1140)</f>
        <v>4924.83</v>
      </c>
      <c r="F1140" s="15" t="str">
        <f>IF(ISBLANK(Raw_Data!F1140),AVERAGE(Raw_Data!F$2:F$5002),Raw_Data!F1140)</f>
        <v>9364.22</v>
      </c>
      <c r="G1140" s="14" t="str">
        <f>IF(ISBLANK(Raw_Data!G1140),AVERAGE(Raw_Data!G$2:G$5002),Raw_Data!G1140)</f>
        <v>20239.28</v>
      </c>
      <c r="H1140" s="15" t="str">
        <f t="shared" si="1"/>
        <v>105514.00</v>
      </c>
      <c r="I1140" s="14" t="str">
        <f t="shared" si="2"/>
        <v>85275.00</v>
      </c>
      <c r="J1140" s="16" t="str">
        <f>TEXT(Raw_Data!J1140,"MMM-YYY")</f>
        <v>Dec-2025</v>
      </c>
      <c r="K1140" s="13" t="str">
        <f>Raw_Data!K1140</f>
        <v>2</v>
      </c>
      <c r="L1140" s="17" t="str">
        <f>Raw_Data!L1140</f>
        <v>Chandigarh-North</v>
      </c>
      <c r="M1140" s="13" t="str">
        <f t="shared" si="3"/>
        <v>OK</v>
      </c>
      <c r="N1140" s="18" t="str">
        <f t="shared" si="4"/>
        <v>VALID</v>
      </c>
    </row>
    <row r="1141" ht="15.75" customHeight="1">
      <c r="A1141" s="13" t="str">
        <f>Raw_Data!A1141</f>
        <v>EMP1198</v>
      </c>
      <c r="B1141" s="13" t="str">
        <f>TRIM(CLEAN(Raw_Data!B1141))</f>
        <v>Marketing</v>
      </c>
      <c r="C1141" s="18" t="s">
        <v>54</v>
      </c>
      <c r="D1141" s="14" t="str">
        <f>IF(ISBLANK(Raw_Data!D1141),AVERAGE(Raw_Data!D$2:D$5002),Raw_Data!D1141)</f>
        <v>109196.58</v>
      </c>
      <c r="E1141" s="15" t="str">
        <f>IF(ISBLANK(Raw_Data!E1141),AVERAGE(Raw_Data!E$2:E$5002),Raw_Data!E1141)</f>
        <v>14243.49</v>
      </c>
      <c r="F1141" s="15" t="str">
        <f>IF(ISBLANK(Raw_Data!F1141),AVERAGE(Raw_Data!F$2:F$5002),Raw_Data!F1141)</f>
        <v>9371.90</v>
      </c>
      <c r="G1141" s="14" t="str">
        <f>IF(ISBLANK(Raw_Data!G1141),AVERAGE(Raw_Data!G$2:G$5002),Raw_Data!G1141)</f>
        <v>4459.59</v>
      </c>
      <c r="H1141" s="15" t="str">
        <f t="shared" si="1"/>
        <v>132812.00</v>
      </c>
      <c r="I1141" s="14" t="str">
        <f t="shared" si="2"/>
        <v>128352.00</v>
      </c>
      <c r="J1141" s="16" t="str">
        <f>TEXT(Raw_Data!J1141,"MMM-YYY")</f>
        <v>Aug-2025</v>
      </c>
      <c r="K1141" s="13" t="str">
        <f>Raw_Data!K1141</f>
        <v>23</v>
      </c>
      <c r="L1141" s="17" t="str">
        <f>Raw_Data!L1141</f>
        <v>Ahmedabad-West</v>
      </c>
      <c r="M1141" s="13" t="str">
        <f t="shared" si="3"/>
        <v>OK</v>
      </c>
      <c r="N1141" s="18" t="str">
        <f t="shared" si="4"/>
        <v>VALID</v>
      </c>
    </row>
    <row r="1142" ht="15.75" customHeight="1">
      <c r="A1142" s="13" t="str">
        <f>Raw_Data!A1142</f>
        <v>EMP1199</v>
      </c>
      <c r="B1142" s="13" t="str">
        <f>TRIM(CLEAN(Raw_Data!B1142))</f>
        <v>Operations</v>
      </c>
      <c r="C1142" s="18" t="s">
        <v>14</v>
      </c>
      <c r="D1142" s="14" t="str">
        <f>IF(ISBLANK(Raw_Data!D1142),AVERAGE(Raw_Data!D$2:D$5002),Raw_Data!D1142)</f>
        <v>108144.07</v>
      </c>
      <c r="E1142" s="15" t="str">
        <f>IF(ISBLANK(Raw_Data!E1142),AVERAGE(Raw_Data!E$2:E$5002),Raw_Data!E1142)</f>
        <v>19949.21</v>
      </c>
      <c r="F1142" s="15" t="str">
        <f>IF(ISBLANK(Raw_Data!F1142),AVERAGE(Raw_Data!F$2:F$5002),Raw_Data!F1142)</f>
        <v>9379.58</v>
      </c>
      <c r="G1142" s="14" t="str">
        <f>IF(ISBLANK(Raw_Data!G1142),AVERAGE(Raw_Data!G$2:G$5002),Raw_Data!G1142)</f>
        <v>7674.47</v>
      </c>
      <c r="H1142" s="15" t="str">
        <f t="shared" si="1"/>
        <v>137473.00</v>
      </c>
      <c r="I1142" s="14" t="str">
        <f t="shared" si="2"/>
        <v>129799.00</v>
      </c>
      <c r="J1142" s="16" t="str">
        <f>TEXT(Raw_Data!J1142,"MMM-YYY")</f>
        <v>Apr-2025</v>
      </c>
      <c r="K1142" s="13" t="str">
        <f>Raw_Data!K1142</f>
        <v>10</v>
      </c>
      <c r="L1142" s="17" t="str">
        <f>Raw_Data!L1142</f>
        <v>Jaipur-North</v>
      </c>
      <c r="M1142" s="13" t="str">
        <f t="shared" si="3"/>
        <v>OK</v>
      </c>
      <c r="N1142" s="18" t="str">
        <f t="shared" si="4"/>
        <v>VALID</v>
      </c>
    </row>
    <row r="1143" ht="15.75" customHeight="1">
      <c r="A1143" s="13" t="str">
        <f>Raw_Data!A1143</f>
        <v>EMP1200</v>
      </c>
      <c r="B1143" s="13" t="str">
        <f>TRIM(CLEAN(Raw_Data!B1143))</f>
        <v>Customer Support</v>
      </c>
      <c r="C1143" s="18" t="s">
        <v>18</v>
      </c>
      <c r="D1143" s="14" t="str">
        <f>IF(ISBLANK(Raw_Data!D1143),AVERAGE(Raw_Data!D$2:D$5002),Raw_Data!D1143)</f>
        <v>96886.93</v>
      </c>
      <c r="E1143" s="15" t="str">
        <f>IF(ISBLANK(Raw_Data!E1143),AVERAGE(Raw_Data!E$2:E$5002),Raw_Data!E1143)</f>
        <v>26215.81</v>
      </c>
      <c r="F1143" s="15" t="str">
        <f>IF(ISBLANK(Raw_Data!F1143),AVERAGE(Raw_Data!F$2:F$5002),Raw_Data!F1143)</f>
        <v>9387.26</v>
      </c>
      <c r="G1143" s="14" t="str">
        <f>IF(ISBLANK(Raw_Data!G1143),AVERAGE(Raw_Data!G$2:G$5002),Raw_Data!G1143)</f>
        <v>17147.95</v>
      </c>
      <c r="H1143" s="15" t="str">
        <f t="shared" si="1"/>
        <v>132490.00</v>
      </c>
      <c r="I1143" s="14" t="str">
        <f t="shared" si="2"/>
        <v>115342.00</v>
      </c>
      <c r="J1143" s="16" t="str">
        <f>TEXT(Raw_Data!J1143,"MMM-YYY")</f>
        <v>May-2025</v>
      </c>
      <c r="K1143" s="13" t="str">
        <f>Raw_Data!K1143</f>
        <v>23</v>
      </c>
      <c r="L1143" s="17" t="str">
        <f>Raw_Data!L1143</f>
        <v>Mumbai-HO</v>
      </c>
      <c r="M1143" s="13" t="str">
        <f t="shared" si="3"/>
        <v>OK</v>
      </c>
      <c r="N1143" s="18" t="str">
        <f t="shared" si="4"/>
        <v>VALID</v>
      </c>
    </row>
    <row r="1144" ht="15.75" customHeight="1">
      <c r="A1144" s="13" t="str">
        <f>Raw_Data!A1144</f>
        <v>EMP1201</v>
      </c>
      <c r="B1144" s="13" t="str">
        <f>TRIM(CLEAN(Raw_Data!B1144))</f>
        <v>Finance</v>
      </c>
      <c r="C1144" s="18" t="s">
        <v>14</v>
      </c>
      <c r="D1144" s="14" t="str">
        <f>IF(ISBLANK(Raw_Data!D1144),AVERAGE(Raw_Data!D$2:D$5002),Raw_Data!D1144)</f>
        <v>82413.32</v>
      </c>
      <c r="E1144" s="15" t="str">
        <f>IF(ISBLANK(Raw_Data!E1144),AVERAGE(Raw_Data!E$2:E$5002),Raw_Data!E1144)</f>
        <v>34598.54</v>
      </c>
      <c r="F1144" s="15" t="str">
        <f>IF(ISBLANK(Raw_Data!F1144),AVERAGE(Raw_Data!F$2:F$5002),Raw_Data!F1144)</f>
        <v>9394.94</v>
      </c>
      <c r="G1144" s="14" t="str">
        <f>IF(ISBLANK(Raw_Data!G1144),AVERAGE(Raw_Data!G$2:G$5002),Raw_Data!G1144)</f>
        <v>8229.49</v>
      </c>
      <c r="H1144" s="15" t="str">
        <f t="shared" si="1"/>
        <v>126407.00</v>
      </c>
      <c r="I1144" s="14" t="str">
        <f t="shared" si="2"/>
        <v>118178.00</v>
      </c>
      <c r="J1144" s="16" t="str">
        <f>TEXT(Raw_Data!J1144,"MMM-YYY")</f>
        <v>Oct-2025</v>
      </c>
      <c r="K1144" s="13" t="str">
        <f>Raw_Data!K1144</f>
        <v>19</v>
      </c>
      <c r="L1144" s="17" t="str">
        <f>Raw_Data!L1144</f>
        <v>Delhi-North</v>
      </c>
      <c r="M1144" s="13" t="str">
        <f t="shared" si="3"/>
        <v>OK</v>
      </c>
      <c r="N1144" s="18" t="str">
        <f t="shared" si="4"/>
        <v>VALID</v>
      </c>
    </row>
    <row r="1145" ht="15.75" customHeight="1">
      <c r="A1145" s="13" t="str">
        <f>Raw_Data!A1145</f>
        <v>EMP1202</v>
      </c>
      <c r="B1145" s="13" t="str">
        <f>TRIM(CLEAN(Raw_Data!B1145))</f>
        <v>HR</v>
      </c>
      <c r="C1145" s="18" t="s">
        <v>37</v>
      </c>
      <c r="D1145" s="14" t="str">
        <f>IF(ISBLANK(Raw_Data!D1145),AVERAGE(Raw_Data!D$2:D$5002),Raw_Data!D1145)</f>
        <v>23834.70</v>
      </c>
      <c r="E1145" s="15" t="str">
        <f>IF(ISBLANK(Raw_Data!E1145),AVERAGE(Raw_Data!E$2:E$5002),Raw_Data!E1145)</f>
        <v>11064.85</v>
      </c>
      <c r="F1145" s="15" t="str">
        <f>IF(ISBLANK(Raw_Data!F1145),AVERAGE(Raw_Data!F$2:F$5002),Raw_Data!F1145)</f>
        <v>9402.62</v>
      </c>
      <c r="G1145" s="14" t="str">
        <f>IF(ISBLANK(Raw_Data!G1145),AVERAGE(Raw_Data!G$2:G$5002),Raw_Data!G1145)</f>
        <v>19916.29</v>
      </c>
      <c r="H1145" s="15" t="str">
        <f t="shared" si="1"/>
        <v>44302.00</v>
      </c>
      <c r="I1145" s="14" t="str">
        <f t="shared" si="2"/>
        <v>24386.00</v>
      </c>
      <c r="J1145" s="16" t="str">
        <f>TEXT(Raw_Data!J1145,"MMM-YYY")</f>
        <v>Oct-2025</v>
      </c>
      <c r="K1145" s="13" t="str">
        <f>Raw_Data!K1145</f>
        <v>17</v>
      </c>
      <c r="L1145" s="17" t="str">
        <f>Raw_Data!L1145</f>
        <v>Bangalore-South</v>
      </c>
      <c r="M1145" s="13" t="str">
        <f t="shared" si="3"/>
        <v>OK</v>
      </c>
      <c r="N1145" s="18" t="str">
        <f t="shared" si="4"/>
        <v>VALID</v>
      </c>
    </row>
    <row r="1146" ht="15.75" customHeight="1">
      <c r="A1146" s="13" t="str">
        <f>Raw_Data!A1146</f>
        <v>EMP1203</v>
      </c>
      <c r="B1146" s="13" t="str">
        <f>TRIM(CLEAN(Raw_Data!B1146))</f>
        <v>HR</v>
      </c>
      <c r="C1146" s="18" t="s">
        <v>14</v>
      </c>
      <c r="D1146" s="14" t="str">
        <f>IF(ISBLANK(Raw_Data!D1146),AVERAGE(Raw_Data!D$2:D$5002),Raw_Data!D1146)</f>
        <v>31971.01</v>
      </c>
      <c r="E1146" s="15" t="str">
        <f>IF(ISBLANK(Raw_Data!E1146),AVERAGE(Raw_Data!E$2:E$5002),Raw_Data!E1146)</f>
        <v>8519.79</v>
      </c>
      <c r="F1146" s="15" t="str">
        <f>IF(ISBLANK(Raw_Data!F1146),AVERAGE(Raw_Data!F$2:F$5002),Raw_Data!F1146)</f>
        <v>9410.30</v>
      </c>
      <c r="G1146" s="14" t="str">
        <f>IF(ISBLANK(Raw_Data!G1146),AVERAGE(Raw_Data!G$2:G$5002),Raw_Data!G1146)</f>
        <v>3696.11</v>
      </c>
      <c r="H1146" s="15" t="str">
        <f t="shared" si="1"/>
        <v>49901.00</v>
      </c>
      <c r="I1146" s="14" t="str">
        <f t="shared" si="2"/>
        <v>46205.00</v>
      </c>
      <c r="J1146" s="16" t="str">
        <f>TEXT(Raw_Data!J1146,"MMM-YYY")</f>
        <v>Jul-2025</v>
      </c>
      <c r="K1146" s="13" t="str">
        <f>Raw_Data!K1146</f>
        <v>24</v>
      </c>
      <c r="L1146" s="17" t="str">
        <f>Raw_Data!L1146</f>
        <v>Chennai-South</v>
      </c>
      <c r="M1146" s="13" t="str">
        <f t="shared" si="3"/>
        <v>OK</v>
      </c>
      <c r="N1146" s="18" t="str">
        <f t="shared" si="4"/>
        <v>VALID</v>
      </c>
    </row>
    <row r="1147" ht="15.75" customHeight="1">
      <c r="A1147" s="13" t="str">
        <f>Raw_Data!A1147</f>
        <v>EMP1204</v>
      </c>
      <c r="B1147" s="13" t="str">
        <f>TRIM(CLEAN(Raw_Data!B1147))</f>
        <v>HR</v>
      </c>
      <c r="C1147" s="18" t="s">
        <v>14</v>
      </c>
      <c r="D1147" s="14" t="str">
        <f>IF(ISBLANK(Raw_Data!D1147),AVERAGE(Raw_Data!D$2:D$5002),Raw_Data!D1147)</f>
        <v>109348.19</v>
      </c>
      <c r="E1147" s="15" t="str">
        <f>IF(ISBLANK(Raw_Data!E1147),AVERAGE(Raw_Data!E$2:E$5002),Raw_Data!E1147)</f>
        <v>38685.28</v>
      </c>
      <c r="F1147" s="15" t="str">
        <f>IF(ISBLANK(Raw_Data!F1147),AVERAGE(Raw_Data!F$2:F$5002),Raw_Data!F1147)</f>
        <v>9417.98</v>
      </c>
      <c r="G1147" s="14" t="str">
        <f>IF(ISBLANK(Raw_Data!G1147),AVERAGE(Raw_Data!G$2:G$5002),Raw_Data!G1147)</f>
        <v>19185.81</v>
      </c>
      <c r="H1147" s="15" t="str">
        <f t="shared" si="1"/>
        <v>157451.00</v>
      </c>
      <c r="I1147" s="14" t="str">
        <f t="shared" si="2"/>
        <v>138265.00</v>
      </c>
      <c r="J1147" s="16" t="str">
        <f>TEXT(Raw_Data!J1147,"MMM-YYY")</f>
        <v>Jan-2025</v>
      </c>
      <c r="K1147" s="13" t="str">
        <f>Raw_Data!K1147</f>
        <v>13</v>
      </c>
      <c r="L1147" s="17" t="str">
        <f>Raw_Data!L1147</f>
        <v>Kolkata-East</v>
      </c>
      <c r="M1147" s="13" t="str">
        <f t="shared" si="3"/>
        <v>OK</v>
      </c>
      <c r="N1147" s="18" t="str">
        <f t="shared" si="4"/>
        <v>VALID</v>
      </c>
    </row>
    <row r="1148" ht="15.75" customHeight="1">
      <c r="A1148" s="13" t="str">
        <f>Raw_Data!A1148</f>
        <v>EMP1205</v>
      </c>
      <c r="B1148" s="13" t="str">
        <f>TRIM(CLEAN(Raw_Data!B1148))</f>
        <v>HR</v>
      </c>
      <c r="C1148" s="18" t="s">
        <v>37</v>
      </c>
      <c r="D1148" s="14" t="str">
        <f>IF(ISBLANK(Raw_Data!D1148),AVERAGE(Raw_Data!D$2:D$5002),Raw_Data!D1148)</f>
        <v>78675.00</v>
      </c>
      <c r="E1148" s="15" t="str">
        <f>IF(ISBLANK(Raw_Data!E1148),AVERAGE(Raw_Data!E$2:E$5002),Raw_Data!E1148)</f>
        <v>19551.36</v>
      </c>
      <c r="F1148" s="15" t="str">
        <f>IF(ISBLANK(Raw_Data!F1148),AVERAGE(Raw_Data!F$2:F$5002),Raw_Data!F1148)</f>
        <v>9425.66</v>
      </c>
      <c r="G1148" s="14" t="str">
        <f>IF(ISBLANK(Raw_Data!G1148),AVERAGE(Raw_Data!G$2:G$5002),Raw_Data!G1148)</f>
        <v>11003.83</v>
      </c>
      <c r="H1148" s="15" t="str">
        <f t="shared" si="1"/>
        <v>107652.00</v>
      </c>
      <c r="I1148" s="14" t="str">
        <f t="shared" si="2"/>
        <v>96648.00</v>
      </c>
      <c r="J1148" s="16" t="str">
        <f>TEXT(Raw_Data!J1148,"MMM-YYY")</f>
        <v>Dec-2025</v>
      </c>
      <c r="K1148" s="13" t="str">
        <f>Raw_Data!K1148</f>
        <v>23</v>
      </c>
      <c r="L1148" s="17" t="str">
        <f>Raw_Data!L1148</f>
        <v>Pune-West</v>
      </c>
      <c r="M1148" s="13" t="str">
        <f t="shared" si="3"/>
        <v>OK</v>
      </c>
      <c r="N1148" s="18" t="str">
        <f t="shared" si="4"/>
        <v>VALID</v>
      </c>
    </row>
    <row r="1149" ht="15.75" customHeight="1">
      <c r="A1149" s="13" t="str">
        <f>Raw_Data!A1149</f>
        <v>EMP1206</v>
      </c>
      <c r="B1149" s="13" t="str">
        <f>TRIM(CLEAN(Raw_Data!B1149))</f>
        <v>Sales</v>
      </c>
      <c r="C1149" s="18" t="s">
        <v>14</v>
      </c>
      <c r="D1149" s="14" t="str">
        <f>IF(ISBLANK(Raw_Data!D1149),AVERAGE(Raw_Data!D$2:D$5002),Raw_Data!D1149)</f>
        <v>20500.00</v>
      </c>
      <c r="E1149" s="15" t="str">
        <f>IF(ISBLANK(Raw_Data!E1149),AVERAGE(Raw_Data!E$2:E$5002),Raw_Data!E1149)</f>
        <v>19555.97</v>
      </c>
      <c r="F1149" s="15" t="str">
        <f>IF(ISBLANK(Raw_Data!F1149),AVERAGE(Raw_Data!F$2:F$5002),Raw_Data!F1149)</f>
        <v>9433.34</v>
      </c>
      <c r="G1149" s="14" t="str">
        <f>IF(ISBLANK(Raw_Data!G1149),AVERAGE(Raw_Data!G$2:G$5002),Raw_Data!G1149)</f>
        <v>11007.23</v>
      </c>
      <c r="H1149" s="15" t="str">
        <f t="shared" si="1"/>
        <v>49489.00</v>
      </c>
      <c r="I1149" s="14" t="str">
        <f t="shared" si="2"/>
        <v>38482.00</v>
      </c>
      <c r="J1149" s="16" t="str">
        <f>TEXT(Raw_Data!J1149,"MMM-YYY")</f>
        <v>Jan-2025</v>
      </c>
      <c r="K1149" s="13" t="str">
        <f>Raw_Data!K1149</f>
        <v>18</v>
      </c>
      <c r="L1149" s="17" t="str">
        <f>Raw_Data!L1149</f>
        <v>Hyderabad-South</v>
      </c>
      <c r="M1149" s="13" t="str">
        <f t="shared" si="3"/>
        <v>OK</v>
      </c>
      <c r="N1149" s="18" t="str">
        <f t="shared" si="4"/>
        <v>VALID</v>
      </c>
    </row>
    <row r="1150" ht="15.75" customHeight="1">
      <c r="A1150" s="13" t="str">
        <f>Raw_Data!A1150</f>
        <v>EMP1207</v>
      </c>
      <c r="B1150" s="13" t="str">
        <f>TRIM(CLEAN(Raw_Data!B1150))</f>
        <v>HR</v>
      </c>
      <c r="C1150" s="18" t="s">
        <v>18</v>
      </c>
      <c r="D1150" s="14" t="str">
        <f>IF(ISBLANK(Raw_Data!D1150),AVERAGE(Raw_Data!D$2:D$5002),Raw_Data!D1150)</f>
        <v>21000.00</v>
      </c>
      <c r="E1150" s="15" t="str">
        <f>IF(ISBLANK(Raw_Data!E1150),AVERAGE(Raw_Data!E$2:E$5002),Raw_Data!E1150)</f>
        <v>19560.59</v>
      </c>
      <c r="F1150" s="15" t="str">
        <f>IF(ISBLANK(Raw_Data!F1150),AVERAGE(Raw_Data!F$2:F$5002),Raw_Data!F1150)</f>
        <v>9441.02</v>
      </c>
      <c r="G1150" s="14" t="str">
        <f>IF(ISBLANK(Raw_Data!G1150),AVERAGE(Raw_Data!G$2:G$5002),Raw_Data!G1150)</f>
        <v>11010.62</v>
      </c>
      <c r="H1150" s="15" t="str">
        <f t="shared" si="1"/>
        <v>50002.00</v>
      </c>
      <c r="I1150" s="14" t="str">
        <f t="shared" si="2"/>
        <v>38991.00</v>
      </c>
      <c r="J1150" s="16" t="str">
        <f>TEXT(Raw_Data!J1150,"MMM-YYY")</f>
        <v>Apr-2025</v>
      </c>
      <c r="K1150" s="13" t="str">
        <f>Raw_Data!K1150</f>
        <v>13</v>
      </c>
      <c r="L1150" s="17" t="str">
        <f>Raw_Data!L1150</f>
        <v>Chandigarh-North</v>
      </c>
      <c r="M1150" s="13" t="str">
        <f t="shared" si="3"/>
        <v>OK</v>
      </c>
      <c r="N1150" s="18" t="str">
        <f t="shared" si="4"/>
        <v>VALID</v>
      </c>
    </row>
    <row r="1151" ht="15.75" customHeight="1">
      <c r="A1151" s="13" t="str">
        <f>Raw_Data!A1151</f>
        <v>EMP1208</v>
      </c>
      <c r="B1151" s="13" t="str">
        <f>TRIM(CLEAN(Raw_Data!B1151))</f>
        <v>HR</v>
      </c>
      <c r="C1151" s="18" t="s">
        <v>14</v>
      </c>
      <c r="D1151" s="14" t="str">
        <f>IF(ISBLANK(Raw_Data!D1151),AVERAGE(Raw_Data!D$2:D$5002),Raw_Data!D1151)</f>
        <v>21500.00</v>
      </c>
      <c r="E1151" s="15" t="str">
        <f>IF(ISBLANK(Raw_Data!E1151),AVERAGE(Raw_Data!E$2:E$5002),Raw_Data!E1151)</f>
        <v>19565.20</v>
      </c>
      <c r="F1151" s="15" t="str">
        <f>IF(ISBLANK(Raw_Data!F1151),AVERAGE(Raw_Data!F$2:F$5002),Raw_Data!F1151)</f>
        <v>9448.70</v>
      </c>
      <c r="G1151" s="14" t="str">
        <f>IF(ISBLANK(Raw_Data!G1151),AVERAGE(Raw_Data!G$2:G$5002),Raw_Data!G1151)</f>
        <v>11014.02</v>
      </c>
      <c r="H1151" s="15" t="str">
        <f t="shared" si="1"/>
        <v>50514.00</v>
      </c>
      <c r="I1151" s="14" t="str">
        <f t="shared" si="2"/>
        <v>39500.00</v>
      </c>
      <c r="J1151" s="16" t="str">
        <f>TEXT(Raw_Data!J1151,"MMM-YYY")</f>
        <v>May-2025</v>
      </c>
      <c r="K1151" s="13" t="str">
        <f>Raw_Data!K1151</f>
        <v>8</v>
      </c>
      <c r="L1151" s="17" t="str">
        <f>Raw_Data!L1151</f>
        <v>Ahmedabad-West</v>
      </c>
      <c r="M1151" s="13" t="str">
        <f t="shared" si="3"/>
        <v>OK</v>
      </c>
      <c r="N1151" s="18" t="str">
        <f t="shared" si="4"/>
        <v>VALID</v>
      </c>
    </row>
    <row r="1152" ht="15.75" customHeight="1">
      <c r="A1152" s="13" t="str">
        <f>Raw_Data!A1152</f>
        <v>EMP1209</v>
      </c>
      <c r="B1152" s="13" t="str">
        <f>TRIM(CLEAN(Raw_Data!B1152))</f>
        <v>Sales</v>
      </c>
      <c r="C1152" s="18" t="s">
        <v>18</v>
      </c>
      <c r="D1152" s="14" t="str">
        <f>IF(ISBLANK(Raw_Data!D1152),AVERAGE(Raw_Data!D$2:D$5002),Raw_Data!D1152)</f>
        <v>21500.00</v>
      </c>
      <c r="E1152" s="15" t="str">
        <f>IF(ISBLANK(Raw_Data!E1152),AVERAGE(Raw_Data!E$2:E$5002),Raw_Data!E1152)</f>
        <v>19569.82</v>
      </c>
      <c r="F1152" s="15" t="str">
        <f>IF(ISBLANK(Raw_Data!F1152),AVERAGE(Raw_Data!F$2:F$5002),Raw_Data!F1152)</f>
        <v>9456.38</v>
      </c>
      <c r="G1152" s="14" t="str">
        <f>IF(ISBLANK(Raw_Data!G1152),AVERAGE(Raw_Data!G$2:G$5002),Raw_Data!G1152)</f>
        <v>11017.42</v>
      </c>
      <c r="H1152" s="15" t="str">
        <f t="shared" si="1"/>
        <v>50526.00</v>
      </c>
      <c r="I1152" s="14" t="str">
        <f t="shared" si="2"/>
        <v>39509.00</v>
      </c>
      <c r="J1152" s="16" t="str">
        <f>TEXT(Raw_Data!J1152,"MMM-YYY")</f>
        <v>Jun-2025</v>
      </c>
      <c r="K1152" s="13" t="str">
        <f>Raw_Data!K1152</f>
        <v>12</v>
      </c>
      <c r="L1152" s="17" t="str">
        <f>Raw_Data!L1152</f>
        <v>Jaipur-North</v>
      </c>
      <c r="M1152" s="13" t="str">
        <f t="shared" si="3"/>
        <v>OK</v>
      </c>
      <c r="N1152" s="18" t="str">
        <f t="shared" si="4"/>
        <v>VALID</v>
      </c>
    </row>
    <row r="1153" ht="15.75" customHeight="1">
      <c r="A1153" s="13" t="str">
        <f>Raw_Data!A1153</f>
        <v>EMP1210</v>
      </c>
      <c r="B1153" s="13" t="str">
        <f>TRIM(CLEAN(Raw_Data!B1153))</f>
        <v>Customer Support</v>
      </c>
      <c r="C1153" s="18" t="s">
        <v>26</v>
      </c>
      <c r="D1153" s="14" t="str">
        <f>IF(ISBLANK(Raw_Data!D1153),AVERAGE(Raw_Data!D$2:D$5002),Raw_Data!D1153)</f>
        <v>312740.00</v>
      </c>
      <c r="E1153" s="15" t="str">
        <f>IF(ISBLANK(Raw_Data!E1153),AVERAGE(Raw_Data!E$2:E$5002),Raw_Data!E1153)</f>
        <v>19574.43</v>
      </c>
      <c r="F1153" s="15" t="str">
        <f>IF(ISBLANK(Raw_Data!F1153),AVERAGE(Raw_Data!F$2:F$5002),Raw_Data!F1153)</f>
        <v>9464.06</v>
      </c>
      <c r="G1153" s="14" t="str">
        <f>IF(ISBLANK(Raw_Data!G1153),AVERAGE(Raw_Data!G$2:G$5002),Raw_Data!G1153)</f>
        <v>11020.82</v>
      </c>
      <c r="H1153" s="15" t="str">
        <f t="shared" si="1"/>
        <v>341778.00</v>
      </c>
      <c r="I1153" s="14" t="str">
        <f t="shared" si="2"/>
        <v>330757.00</v>
      </c>
      <c r="J1153" s="16" t="str">
        <f>TEXT(Raw_Data!J1153,"MMM-YYY")</f>
        <v>Jul-2025</v>
      </c>
      <c r="K1153" s="13" t="str">
        <f>Raw_Data!K1153</f>
        <v>7</v>
      </c>
      <c r="L1153" s="17" t="str">
        <f>Raw_Data!L1153</f>
        <v>Mumbai-HO</v>
      </c>
      <c r="M1153" s="13" t="str">
        <f t="shared" si="3"/>
        <v>OK</v>
      </c>
      <c r="N1153" s="18" t="str">
        <f t="shared" si="4"/>
        <v>VALID</v>
      </c>
    </row>
    <row r="1154" ht="15.75" customHeight="1">
      <c r="A1154" s="13" t="str">
        <f>Raw_Data!A1154</f>
        <v>EMP1211</v>
      </c>
      <c r="B1154" s="13" t="str">
        <f>TRIM(CLEAN(Raw_Data!B1154))</f>
        <v>IT</v>
      </c>
      <c r="C1154" s="18" t="s">
        <v>30</v>
      </c>
      <c r="D1154" s="14" t="str">
        <f>IF(ISBLANK(Raw_Data!D1154),AVERAGE(Raw_Data!D$2:D$5002),Raw_Data!D1154)</f>
        <v>61325.39</v>
      </c>
      <c r="E1154" s="15" t="str">
        <f>IF(ISBLANK(Raw_Data!E1154),AVERAGE(Raw_Data!E$2:E$5002),Raw_Data!E1154)</f>
        <v>19579.05</v>
      </c>
      <c r="F1154" s="15" t="str">
        <f>IF(ISBLANK(Raw_Data!F1154),AVERAGE(Raw_Data!F$2:F$5002),Raw_Data!F1154)</f>
        <v>9471.74</v>
      </c>
      <c r="G1154" s="14" t="str">
        <f>IF(ISBLANK(Raw_Data!G1154),AVERAGE(Raw_Data!G$2:G$5002),Raw_Data!G1154)</f>
        <v>11024.21</v>
      </c>
      <c r="H1154" s="15" t="str">
        <f t="shared" si="1"/>
        <v>90376.00</v>
      </c>
      <c r="I1154" s="14" t="str">
        <f t="shared" si="2"/>
        <v>79352.00</v>
      </c>
      <c r="J1154" s="16" t="str">
        <f>TEXT(Raw_Data!J1154,"MMM-YYY")</f>
        <v>Dec-2025</v>
      </c>
      <c r="K1154" s="13" t="str">
        <f>Raw_Data!K1154</f>
        <v>19</v>
      </c>
      <c r="L1154" s="17" t="str">
        <f>Raw_Data!L1154</f>
        <v>Delhi-North</v>
      </c>
      <c r="M1154" s="13" t="str">
        <f t="shared" si="3"/>
        <v>OK</v>
      </c>
      <c r="N1154" s="18" t="str">
        <f t="shared" si="4"/>
        <v>VALID</v>
      </c>
    </row>
    <row r="1155" ht="15.75" customHeight="1">
      <c r="A1155" s="13" t="str">
        <f>Raw_Data!A1155</f>
        <v>EMP1212</v>
      </c>
      <c r="B1155" s="13" t="str">
        <f>TRIM(CLEAN(Raw_Data!B1155))</f>
        <v>HR</v>
      </c>
      <c r="C1155" s="18" t="s">
        <v>33</v>
      </c>
      <c r="D1155" s="14" t="str">
        <f>IF(ISBLANK(Raw_Data!D1155),AVERAGE(Raw_Data!D$2:D$5002),Raw_Data!D1155)</f>
        <v>61336.27</v>
      </c>
      <c r="E1155" s="15" t="str">
        <f>IF(ISBLANK(Raw_Data!E1155),AVERAGE(Raw_Data!E$2:E$5002),Raw_Data!E1155)</f>
        <v>19583.66</v>
      </c>
      <c r="F1155" s="15" t="str">
        <f>IF(ISBLANK(Raw_Data!F1155),AVERAGE(Raw_Data!F$2:F$5002),Raw_Data!F1155)</f>
        <v>9479.42</v>
      </c>
      <c r="G1155" s="14" t="str">
        <f>IF(ISBLANK(Raw_Data!G1155),AVERAGE(Raw_Data!G$2:G$5002),Raw_Data!G1155)</f>
        <v>11027.61</v>
      </c>
      <c r="H1155" s="15" t="str">
        <f t="shared" si="1"/>
        <v>90399.00</v>
      </c>
      <c r="I1155" s="14" t="str">
        <f t="shared" si="2"/>
        <v>79371.00</v>
      </c>
      <c r="J1155" s="16" t="str">
        <f>TEXT(Raw_Data!J1155,"MMM-YYY")</f>
        <v>May-2025</v>
      </c>
      <c r="K1155" s="13" t="str">
        <f>Raw_Data!K1155</f>
        <v>15</v>
      </c>
      <c r="L1155" s="17" t="str">
        <f>Raw_Data!L1155</f>
        <v>Bangalore-South</v>
      </c>
      <c r="M1155" s="13" t="str">
        <f t="shared" si="3"/>
        <v>OK</v>
      </c>
      <c r="N1155" s="18" t="str">
        <f t="shared" si="4"/>
        <v>VALID</v>
      </c>
    </row>
    <row r="1156" ht="15.75" customHeight="1">
      <c r="A1156" s="13" t="str">
        <f>Raw_Data!A1156</f>
        <v>EMP1213</v>
      </c>
      <c r="B1156" s="13" t="str">
        <f>TRIM(CLEAN(Raw_Data!B1156))</f>
        <v>Marketing</v>
      </c>
      <c r="C1156" s="18" t="s">
        <v>37</v>
      </c>
      <c r="D1156" s="14" t="str">
        <f>IF(ISBLANK(Raw_Data!D1156),AVERAGE(Raw_Data!D$2:D$5002),Raw_Data!D1156)</f>
        <v>61347.15</v>
      </c>
      <c r="E1156" s="15" t="str">
        <f>IF(ISBLANK(Raw_Data!E1156),AVERAGE(Raw_Data!E$2:E$5002),Raw_Data!E1156)</f>
        <v>19588.28</v>
      </c>
      <c r="F1156" s="15" t="str">
        <f>IF(ISBLANK(Raw_Data!F1156),AVERAGE(Raw_Data!F$2:F$5002),Raw_Data!F1156)</f>
        <v>9487.10</v>
      </c>
      <c r="G1156" s="14" t="str">
        <f>IF(ISBLANK(Raw_Data!G1156),AVERAGE(Raw_Data!G$2:G$5002),Raw_Data!G1156)</f>
        <v>11031.01</v>
      </c>
      <c r="H1156" s="15" t="str">
        <f t="shared" si="1"/>
        <v>90423.00</v>
      </c>
      <c r="I1156" s="14" t="str">
        <f t="shared" si="2"/>
        <v>79392.00</v>
      </c>
      <c r="J1156" s="16" t="str">
        <f>TEXT(Raw_Data!J1156,"MMM-YYY")</f>
        <v>Dec-2025</v>
      </c>
      <c r="K1156" s="13" t="str">
        <f>Raw_Data!K1156</f>
        <v>9</v>
      </c>
      <c r="L1156" s="17" t="str">
        <f>Raw_Data!L1156</f>
        <v>Chennai-South</v>
      </c>
      <c r="M1156" s="13" t="str">
        <f t="shared" si="3"/>
        <v>OK</v>
      </c>
      <c r="N1156" s="18" t="str">
        <f t="shared" si="4"/>
        <v>VALID</v>
      </c>
    </row>
    <row r="1157" ht="15.75" customHeight="1">
      <c r="A1157" s="13" t="str">
        <f>Raw_Data!A1157</f>
        <v>EMP1214</v>
      </c>
      <c r="B1157" s="13" t="str">
        <f>TRIM(CLEAN(Raw_Data!B1157))</f>
        <v>Customer Support</v>
      </c>
      <c r="C1157" s="18" t="s">
        <v>18</v>
      </c>
      <c r="D1157" s="14" t="str">
        <f>IF(ISBLANK(Raw_Data!D1157),AVERAGE(Raw_Data!D$2:D$5002),Raw_Data!D1157)</f>
        <v>61358.03</v>
      </c>
      <c r="E1157" s="15" t="str">
        <f>IF(ISBLANK(Raw_Data!E1157),AVERAGE(Raw_Data!E$2:E$5002),Raw_Data!E1157)</f>
        <v>19592.89</v>
      </c>
      <c r="F1157" s="15" t="str">
        <f>IF(ISBLANK(Raw_Data!F1157),AVERAGE(Raw_Data!F$2:F$5002),Raw_Data!F1157)</f>
        <v>9494.78</v>
      </c>
      <c r="G1157" s="14" t="str">
        <f>IF(ISBLANK(Raw_Data!G1157),AVERAGE(Raw_Data!G$2:G$5002),Raw_Data!G1157)</f>
        <v>11034.41</v>
      </c>
      <c r="H1157" s="15" t="str">
        <f t="shared" si="1"/>
        <v>90446.00</v>
      </c>
      <c r="I1157" s="14" t="str">
        <f t="shared" si="2"/>
        <v>79412.00</v>
      </c>
      <c r="J1157" s="16" t="str">
        <f>TEXT(Raw_Data!J1157,"MMM-YYY")</f>
        <v>Apr-2025</v>
      </c>
      <c r="K1157" s="13" t="str">
        <f>Raw_Data!K1157</f>
        <v>21</v>
      </c>
      <c r="L1157" s="17" t="str">
        <f>Raw_Data!L1157</f>
        <v>Kolkata-East</v>
      </c>
      <c r="M1157" s="13" t="str">
        <f t="shared" si="3"/>
        <v>OK</v>
      </c>
      <c r="N1157" s="18" t="str">
        <f t="shared" si="4"/>
        <v>VALID</v>
      </c>
    </row>
    <row r="1158" ht="15.75" customHeight="1">
      <c r="A1158" s="13" t="str">
        <f>Raw_Data!A1158</f>
        <v>EMP1215</v>
      </c>
      <c r="B1158" s="13" t="str">
        <f>TRIM(CLEAN(Raw_Data!B1158))</f>
        <v>HR</v>
      </c>
      <c r="C1158" s="18" t="s">
        <v>14</v>
      </c>
      <c r="D1158" s="14" t="str">
        <f>IF(ISBLANK(Raw_Data!D1158),AVERAGE(Raw_Data!D$2:D$5002),Raw_Data!D1158)</f>
        <v>61368.92</v>
      </c>
      <c r="E1158" s="15" t="str">
        <f>IF(ISBLANK(Raw_Data!E1158),AVERAGE(Raw_Data!E$2:E$5002),Raw_Data!E1158)</f>
        <v>19597.51</v>
      </c>
      <c r="F1158" s="15" t="str">
        <f>IF(ISBLANK(Raw_Data!F1158),AVERAGE(Raw_Data!F$2:F$5002),Raw_Data!F1158)</f>
        <v>9502.46</v>
      </c>
      <c r="G1158" s="14" t="str">
        <f>IF(ISBLANK(Raw_Data!G1158),AVERAGE(Raw_Data!G$2:G$5002),Raw_Data!G1158)</f>
        <v>11037.80</v>
      </c>
      <c r="H1158" s="15" t="str">
        <f t="shared" si="1"/>
        <v>90469.00</v>
      </c>
      <c r="I1158" s="14" t="str">
        <f t="shared" si="2"/>
        <v>79431.00</v>
      </c>
      <c r="J1158" s="16" t="str">
        <f>TEXT(Raw_Data!J1158,"MMM-YYY")</f>
        <v>Mar-2025</v>
      </c>
      <c r="K1158" s="13" t="str">
        <f>Raw_Data!K1158</f>
        <v>13</v>
      </c>
      <c r="L1158" s="17" t="str">
        <f>Raw_Data!L1158</f>
        <v>Pune-West</v>
      </c>
      <c r="M1158" s="13" t="str">
        <f t="shared" si="3"/>
        <v>OK</v>
      </c>
      <c r="N1158" s="18" t="str">
        <f t="shared" si="4"/>
        <v>VALID</v>
      </c>
    </row>
    <row r="1159" ht="15.75" customHeight="1">
      <c r="A1159" s="13" t="str">
        <f>Raw_Data!A1159</f>
        <v>EMP1216</v>
      </c>
      <c r="B1159" s="13" t="str">
        <f>TRIM(CLEAN(Raw_Data!B1159))</f>
        <v>Customer Support</v>
      </c>
      <c r="C1159" s="18" t="s">
        <v>14</v>
      </c>
      <c r="D1159" s="14" t="str">
        <f>IF(ISBLANK(Raw_Data!D1159),AVERAGE(Raw_Data!D$2:D$5002),Raw_Data!D1159)</f>
        <v>61379.80</v>
      </c>
      <c r="E1159" s="15" t="str">
        <f>IF(ISBLANK(Raw_Data!E1159),AVERAGE(Raw_Data!E$2:E$5002),Raw_Data!E1159)</f>
        <v>19602.12</v>
      </c>
      <c r="F1159" s="15" t="str">
        <f>IF(ISBLANK(Raw_Data!F1159),AVERAGE(Raw_Data!F$2:F$5002),Raw_Data!F1159)</f>
        <v>9510.14</v>
      </c>
      <c r="G1159" s="14" t="str">
        <f>IF(ISBLANK(Raw_Data!G1159),AVERAGE(Raw_Data!G$2:G$5002),Raw_Data!G1159)</f>
        <v>11041.20</v>
      </c>
      <c r="H1159" s="15" t="str">
        <f t="shared" si="1"/>
        <v>90492.00</v>
      </c>
      <c r="I1159" s="14" t="str">
        <f t="shared" si="2"/>
        <v>79451.00</v>
      </c>
      <c r="J1159" s="16" t="str">
        <f>TEXT(Raw_Data!J1159,"MMM-YYY")</f>
        <v>Nov-2025</v>
      </c>
      <c r="K1159" s="13" t="str">
        <f>Raw_Data!K1159</f>
        <v>24</v>
      </c>
      <c r="L1159" s="17" t="str">
        <f>Raw_Data!L1159</f>
        <v>Hyderabad-South</v>
      </c>
      <c r="M1159" s="13" t="str">
        <f t="shared" si="3"/>
        <v>OK</v>
      </c>
      <c r="N1159" s="18" t="str">
        <f t="shared" si="4"/>
        <v>VALID</v>
      </c>
    </row>
    <row r="1160" ht="15.75" customHeight="1">
      <c r="A1160" s="13" t="str">
        <f>Raw_Data!A1160</f>
        <v>EMP1217</v>
      </c>
      <c r="B1160" s="13" t="str">
        <f>TRIM(CLEAN(Raw_Data!B1160))</f>
        <v>IT</v>
      </c>
      <c r="C1160" s="18" t="s">
        <v>33</v>
      </c>
      <c r="D1160" s="14" t="str">
        <f>IF(ISBLANK(Raw_Data!D1160),AVERAGE(Raw_Data!D$2:D$5002),Raw_Data!D1160)</f>
        <v>61390.68</v>
      </c>
      <c r="E1160" s="15" t="str">
        <f>IF(ISBLANK(Raw_Data!E1160),AVERAGE(Raw_Data!E$2:E$5002),Raw_Data!E1160)</f>
        <v>19606.74</v>
      </c>
      <c r="F1160" s="15" t="str">
        <f>IF(ISBLANK(Raw_Data!F1160),AVERAGE(Raw_Data!F$2:F$5002),Raw_Data!F1160)</f>
        <v>9517.82</v>
      </c>
      <c r="G1160" s="14" t="str">
        <f>IF(ISBLANK(Raw_Data!G1160),AVERAGE(Raw_Data!G$2:G$5002),Raw_Data!G1160)</f>
        <v>11044.60</v>
      </c>
      <c r="H1160" s="15" t="str">
        <f t="shared" si="1"/>
        <v>90515.00</v>
      </c>
      <c r="I1160" s="14" t="str">
        <f t="shared" si="2"/>
        <v>79470.00</v>
      </c>
      <c r="J1160" s="16" t="str">
        <f>TEXT(Raw_Data!J1160,"MMM-YYY")</f>
        <v>Aug-2025</v>
      </c>
      <c r="K1160" s="13" t="str">
        <f>Raw_Data!K1160</f>
        <v>2</v>
      </c>
      <c r="L1160" s="17" t="str">
        <f>Raw_Data!L1160</f>
        <v>Chandigarh-North</v>
      </c>
      <c r="M1160" s="13" t="str">
        <f t="shared" si="3"/>
        <v>OK</v>
      </c>
      <c r="N1160" s="18" t="str">
        <f t="shared" si="4"/>
        <v>VALID</v>
      </c>
    </row>
    <row r="1161" ht="15.75" customHeight="1">
      <c r="A1161" s="13" t="str">
        <f>Raw_Data!A1161</f>
        <v>EMP1218</v>
      </c>
      <c r="B1161" s="13" t="str">
        <f>TRIM(CLEAN(Raw_Data!B1161))</f>
        <v>HR</v>
      </c>
      <c r="C1161" s="18" t="s">
        <v>37</v>
      </c>
      <c r="D1161" s="14" t="str">
        <f>IF(ISBLANK(Raw_Data!D1161),AVERAGE(Raw_Data!D$2:D$5002),Raw_Data!D1161)</f>
        <v>61401.57</v>
      </c>
      <c r="E1161" s="15" t="str">
        <f>IF(ISBLANK(Raw_Data!E1161),AVERAGE(Raw_Data!E$2:E$5002),Raw_Data!E1161)</f>
        <v>19611.35</v>
      </c>
      <c r="F1161" s="15" t="str">
        <f>IF(ISBLANK(Raw_Data!F1161),AVERAGE(Raw_Data!F$2:F$5002),Raw_Data!F1161)</f>
        <v>9525.50</v>
      </c>
      <c r="G1161" s="14" t="str">
        <f>IF(ISBLANK(Raw_Data!G1161),AVERAGE(Raw_Data!G$2:G$5002),Raw_Data!G1161)</f>
        <v>11048.00</v>
      </c>
      <c r="H1161" s="15" t="str">
        <f t="shared" si="1"/>
        <v>90538.00</v>
      </c>
      <c r="I1161" s="14" t="str">
        <f t="shared" si="2"/>
        <v>79490.00</v>
      </c>
      <c r="J1161" s="16" t="str">
        <f>TEXT(Raw_Data!J1161,"MMM-YYY")</f>
        <v>Nov-2025</v>
      </c>
      <c r="K1161" s="13" t="str">
        <f>Raw_Data!K1161</f>
        <v>17</v>
      </c>
      <c r="L1161" s="17" t="str">
        <f>Raw_Data!L1161</f>
        <v>Ahmedabad-West</v>
      </c>
      <c r="M1161" s="13" t="str">
        <f t="shared" si="3"/>
        <v>OK</v>
      </c>
      <c r="N1161" s="18" t="str">
        <f t="shared" si="4"/>
        <v>VALID</v>
      </c>
    </row>
    <row r="1162" ht="15.75" customHeight="1">
      <c r="A1162" s="13" t="str">
        <f>Raw_Data!A1162</f>
        <v>EMP1219</v>
      </c>
      <c r="B1162" s="13" t="str">
        <f>TRIM(CLEAN(Raw_Data!B1162))</f>
        <v>Marketing</v>
      </c>
      <c r="C1162" s="18" t="s">
        <v>33</v>
      </c>
      <c r="D1162" s="14" t="str">
        <f>IF(ISBLANK(Raw_Data!D1162),AVERAGE(Raw_Data!D$2:D$5002),Raw_Data!D1162)</f>
        <v>61412.45</v>
      </c>
      <c r="E1162" s="15" t="str">
        <f>IF(ISBLANK(Raw_Data!E1162),AVERAGE(Raw_Data!E$2:E$5002),Raw_Data!E1162)</f>
        <v>19615.97</v>
      </c>
      <c r="F1162" s="15" t="str">
        <f>IF(ISBLANK(Raw_Data!F1162),AVERAGE(Raw_Data!F$2:F$5002),Raw_Data!F1162)</f>
        <v>9533.18</v>
      </c>
      <c r="G1162" s="14" t="str">
        <f>IF(ISBLANK(Raw_Data!G1162),AVERAGE(Raw_Data!G$2:G$5002),Raw_Data!G1162)</f>
        <v>11051.39</v>
      </c>
      <c r="H1162" s="15" t="str">
        <f t="shared" si="1"/>
        <v>90562.00</v>
      </c>
      <c r="I1162" s="14" t="str">
        <f t="shared" si="2"/>
        <v>79511.00</v>
      </c>
      <c r="J1162" s="16" t="str">
        <f>TEXT(Raw_Data!J1162,"MMM-YYY")</f>
        <v>Jun-2025</v>
      </c>
      <c r="K1162" s="13" t="str">
        <f>Raw_Data!K1162</f>
        <v>15</v>
      </c>
      <c r="L1162" s="17" t="str">
        <f>Raw_Data!L1162</f>
        <v>Jaipur-North</v>
      </c>
      <c r="M1162" s="13" t="str">
        <f t="shared" si="3"/>
        <v>OK</v>
      </c>
      <c r="N1162" s="18" t="str">
        <f t="shared" si="4"/>
        <v>VALID</v>
      </c>
    </row>
    <row r="1163" ht="15.75" customHeight="1">
      <c r="A1163" s="13" t="str">
        <f>Raw_Data!A1163</f>
        <v>EMP1220</v>
      </c>
      <c r="B1163" s="13" t="str">
        <f>TRIM(CLEAN(Raw_Data!B1163))</f>
        <v>IT</v>
      </c>
      <c r="C1163" s="18" t="s">
        <v>26</v>
      </c>
      <c r="D1163" s="14" t="str">
        <f>IF(ISBLANK(Raw_Data!D1163),AVERAGE(Raw_Data!D$2:D$5002),Raw_Data!D1163)</f>
        <v>61423.33</v>
      </c>
      <c r="E1163" s="15" t="str">
        <f>IF(ISBLANK(Raw_Data!E1163),AVERAGE(Raw_Data!E$2:E$5002),Raw_Data!E1163)</f>
        <v>19620.58</v>
      </c>
      <c r="F1163" s="15" t="str">
        <f>IF(ISBLANK(Raw_Data!F1163),AVERAGE(Raw_Data!F$2:F$5002),Raw_Data!F1163)</f>
        <v>9540.86</v>
      </c>
      <c r="G1163" s="14" t="str">
        <f>IF(ISBLANK(Raw_Data!G1163),AVERAGE(Raw_Data!G$2:G$5002),Raw_Data!G1163)</f>
        <v>11054.79</v>
      </c>
      <c r="H1163" s="15" t="str">
        <f t="shared" si="1"/>
        <v>90585.00</v>
      </c>
      <c r="I1163" s="14" t="str">
        <f t="shared" si="2"/>
        <v>79530.00</v>
      </c>
      <c r="J1163" s="16" t="str">
        <f>TEXT(Raw_Data!J1163,"MMM-YYY")</f>
        <v>Dec-2025</v>
      </c>
      <c r="K1163" s="13" t="str">
        <f>Raw_Data!K1163</f>
        <v>12</v>
      </c>
      <c r="L1163" s="17" t="str">
        <f>Raw_Data!L1163</f>
        <v>Mumbai-HO</v>
      </c>
      <c r="M1163" s="13" t="str">
        <f t="shared" si="3"/>
        <v>OK</v>
      </c>
      <c r="N1163" s="18" t="str">
        <f t="shared" si="4"/>
        <v>VALID</v>
      </c>
    </row>
    <row r="1164" ht="15.75" customHeight="1">
      <c r="A1164" s="13" t="str">
        <f>Raw_Data!A1164</f>
        <v>EMP1221</v>
      </c>
      <c r="B1164" s="13" t="str">
        <f>TRIM(CLEAN(Raw_Data!B1164))</f>
        <v>Marketing</v>
      </c>
      <c r="C1164" s="18" t="s">
        <v>33</v>
      </c>
      <c r="D1164" s="14" t="str">
        <f>IF(ISBLANK(Raw_Data!D1164),AVERAGE(Raw_Data!D$2:D$5002),Raw_Data!D1164)</f>
        <v>61434.22</v>
      </c>
      <c r="E1164" s="15" t="str">
        <f>IF(ISBLANK(Raw_Data!E1164),AVERAGE(Raw_Data!E$2:E$5002),Raw_Data!E1164)</f>
        <v>19625.20</v>
      </c>
      <c r="F1164" s="15" t="str">
        <f>IF(ISBLANK(Raw_Data!F1164),AVERAGE(Raw_Data!F$2:F$5002),Raw_Data!F1164)</f>
        <v>9548.54</v>
      </c>
      <c r="G1164" s="14" t="str">
        <f>IF(ISBLANK(Raw_Data!G1164),AVERAGE(Raw_Data!G$2:G$5002),Raw_Data!G1164)</f>
        <v>11058.19</v>
      </c>
      <c r="H1164" s="15" t="str">
        <f t="shared" si="1"/>
        <v>90608.00</v>
      </c>
      <c r="I1164" s="14" t="str">
        <f t="shared" si="2"/>
        <v>79550.00</v>
      </c>
      <c r="J1164" s="16" t="str">
        <f>TEXT(Raw_Data!J1164,"MMM-YYY")</f>
        <v>Aug-2025</v>
      </c>
      <c r="K1164" s="13" t="str">
        <f>Raw_Data!K1164</f>
        <v>20</v>
      </c>
      <c r="L1164" s="17" t="str">
        <f>Raw_Data!L1164</f>
        <v>Delhi-North</v>
      </c>
      <c r="M1164" s="13" t="str">
        <f t="shared" si="3"/>
        <v>OK</v>
      </c>
      <c r="N1164" s="18" t="str">
        <f t="shared" si="4"/>
        <v>VALID</v>
      </c>
    </row>
    <row r="1165" ht="15.75" customHeight="1">
      <c r="A1165" s="13" t="str">
        <f>Raw_Data!A1165</f>
        <v>EMP1222</v>
      </c>
      <c r="B1165" s="13" t="str">
        <f>TRIM(CLEAN(Raw_Data!B1165))</f>
        <v>IT</v>
      </c>
      <c r="C1165" s="18" t="s">
        <v>30</v>
      </c>
      <c r="D1165" s="14" t="str">
        <f>IF(ISBLANK(Raw_Data!D1165),AVERAGE(Raw_Data!D$2:D$5002),Raw_Data!D1165)</f>
        <v>61445.10</v>
      </c>
      <c r="E1165" s="15" t="str">
        <f>IF(ISBLANK(Raw_Data!E1165),AVERAGE(Raw_Data!E$2:E$5002),Raw_Data!E1165)</f>
        <v>19629.81</v>
      </c>
      <c r="F1165" s="15" t="str">
        <f>IF(ISBLANK(Raw_Data!F1165),AVERAGE(Raw_Data!F$2:F$5002),Raw_Data!F1165)</f>
        <v>9556.22</v>
      </c>
      <c r="G1165" s="14" t="str">
        <f>IF(ISBLANK(Raw_Data!G1165),AVERAGE(Raw_Data!G$2:G$5002),Raw_Data!G1165)</f>
        <v>11061.59</v>
      </c>
      <c r="H1165" s="15" t="str">
        <f t="shared" si="1"/>
        <v>90631.00</v>
      </c>
      <c r="I1165" s="14" t="str">
        <f t="shared" si="2"/>
        <v>79569.00</v>
      </c>
      <c r="J1165" s="16" t="str">
        <f>TEXT(Raw_Data!J1165,"MMM-YYY")</f>
        <v>Dec-2025</v>
      </c>
      <c r="K1165" s="13" t="str">
        <f>Raw_Data!K1165</f>
        <v>2</v>
      </c>
      <c r="L1165" s="17" t="str">
        <f>Raw_Data!L1165</f>
        <v>Bangalore-South</v>
      </c>
      <c r="M1165" s="13" t="str">
        <f t="shared" si="3"/>
        <v>OK</v>
      </c>
      <c r="N1165" s="18" t="str">
        <f t="shared" si="4"/>
        <v>VALID</v>
      </c>
    </row>
    <row r="1166" ht="15.75" customHeight="1">
      <c r="A1166" s="13" t="str">
        <f>Raw_Data!A1166</f>
        <v>EMP1223</v>
      </c>
      <c r="B1166" s="13" t="str">
        <f>TRIM(CLEAN(Raw_Data!B1166))</f>
        <v>Finance</v>
      </c>
      <c r="C1166" s="18" t="s">
        <v>33</v>
      </c>
      <c r="D1166" s="14" t="str">
        <f>IF(ISBLANK(Raw_Data!D1166),AVERAGE(Raw_Data!D$2:D$5002),Raw_Data!D1166)</f>
        <v>61455.98</v>
      </c>
      <c r="E1166" s="15" t="str">
        <f>IF(ISBLANK(Raw_Data!E1166),AVERAGE(Raw_Data!E$2:E$5002),Raw_Data!E1166)</f>
        <v>19634.42</v>
      </c>
      <c r="F1166" s="15" t="str">
        <f>IF(ISBLANK(Raw_Data!F1166),AVERAGE(Raw_Data!F$2:F$5002),Raw_Data!F1166)</f>
        <v>9563.90</v>
      </c>
      <c r="G1166" s="14" t="str">
        <f>IF(ISBLANK(Raw_Data!G1166),AVERAGE(Raw_Data!G$2:G$5002),Raw_Data!G1166)</f>
        <v>11064.98</v>
      </c>
      <c r="H1166" s="15" t="str">
        <f t="shared" si="1"/>
        <v>90654.00</v>
      </c>
      <c r="I1166" s="14" t="str">
        <f t="shared" si="2"/>
        <v>79589.00</v>
      </c>
      <c r="J1166" s="16" t="str">
        <f>TEXT(Raw_Data!J1166,"MMM-YYY")</f>
        <v>Mar-2025</v>
      </c>
      <c r="K1166" s="13" t="str">
        <f>Raw_Data!K1166</f>
        <v>6</v>
      </c>
      <c r="L1166" s="17" t="str">
        <f>Raw_Data!L1166</f>
        <v>Chennai-South</v>
      </c>
      <c r="M1166" s="13" t="str">
        <f t="shared" si="3"/>
        <v>OK</v>
      </c>
      <c r="N1166" s="18" t="str">
        <f t="shared" si="4"/>
        <v>VALID</v>
      </c>
    </row>
    <row r="1167" ht="15.75" customHeight="1">
      <c r="A1167" s="13" t="str">
        <f>Raw_Data!A1167</f>
        <v>EMP1224</v>
      </c>
      <c r="B1167" s="13" t="str">
        <f>TRIM(CLEAN(Raw_Data!B1167))</f>
        <v>Operations</v>
      </c>
      <c r="C1167" s="18" t="s">
        <v>54</v>
      </c>
      <c r="D1167" s="14" t="str">
        <f>IF(ISBLANK(Raw_Data!D1167),AVERAGE(Raw_Data!D$2:D$5002),Raw_Data!D1167)</f>
        <v>71831.17</v>
      </c>
      <c r="E1167" s="15" t="str">
        <f>IF(ISBLANK(Raw_Data!E1167),AVERAGE(Raw_Data!E$2:E$5002),Raw_Data!E1167)</f>
        <v>19639.04</v>
      </c>
      <c r="F1167" s="15" t="str">
        <f>IF(ISBLANK(Raw_Data!F1167),AVERAGE(Raw_Data!F$2:F$5002),Raw_Data!F1167)</f>
        <v>9571.58</v>
      </c>
      <c r="G1167" s="14" t="str">
        <f>IF(ISBLANK(Raw_Data!G1167),AVERAGE(Raw_Data!G$2:G$5002),Raw_Data!G1167)</f>
        <v>11068.38</v>
      </c>
      <c r="H1167" s="15" t="str">
        <f t="shared" si="1"/>
        <v>101042.00</v>
      </c>
      <c r="I1167" s="14" t="str">
        <f t="shared" si="2"/>
        <v>89974.00</v>
      </c>
      <c r="J1167" s="16" t="str">
        <f>TEXT(Raw_Data!J1167,"MMM-YYY")</f>
        <v>Nov-2025</v>
      </c>
      <c r="K1167" s="13" t="str">
        <f>Raw_Data!K1167</f>
        <v>20</v>
      </c>
      <c r="L1167" s="17" t="str">
        <f>Raw_Data!L1167</f>
        <v>Kolkata-East</v>
      </c>
      <c r="M1167" s="13" t="str">
        <f t="shared" si="3"/>
        <v>OK</v>
      </c>
      <c r="N1167" s="18" t="str">
        <f t="shared" si="4"/>
        <v>VALID</v>
      </c>
    </row>
    <row r="1168" ht="15.75" customHeight="1">
      <c r="A1168" s="13" t="str">
        <f>Raw_Data!A1168</f>
        <v>EMP1225</v>
      </c>
      <c r="B1168" s="13" t="str">
        <f>TRIM(CLEAN(Raw_Data!B1168))</f>
        <v>Operations</v>
      </c>
      <c r="C1168" s="18" t="s">
        <v>54</v>
      </c>
      <c r="D1168" s="14" t="str">
        <f>IF(ISBLANK(Raw_Data!D1168),AVERAGE(Raw_Data!D$2:D$5002),Raw_Data!D1168)</f>
        <v>61477.75</v>
      </c>
      <c r="E1168" s="15" t="str">
        <f>IF(ISBLANK(Raw_Data!E1168),AVERAGE(Raw_Data!E$2:E$5002),Raw_Data!E1168)</f>
        <v>19643.65</v>
      </c>
      <c r="F1168" s="15" t="str">
        <f>IF(ISBLANK(Raw_Data!F1168),AVERAGE(Raw_Data!F$2:F$5002),Raw_Data!F1168)</f>
        <v>9579.26</v>
      </c>
      <c r="G1168" s="14" t="str">
        <f>IF(ISBLANK(Raw_Data!G1168),AVERAGE(Raw_Data!G$2:G$5002),Raw_Data!G1168)</f>
        <v>11071.78</v>
      </c>
      <c r="H1168" s="15" t="str">
        <f t="shared" si="1"/>
        <v>90701.00</v>
      </c>
      <c r="I1168" s="14" t="str">
        <f t="shared" si="2"/>
        <v>79629.00</v>
      </c>
      <c r="J1168" s="16" t="str">
        <f>TEXT(Raw_Data!J1168,"MMM-YYY")</f>
        <v>Oct-2025</v>
      </c>
      <c r="K1168" s="13" t="str">
        <f>Raw_Data!K1168</f>
        <v>8</v>
      </c>
      <c r="L1168" s="17" t="str">
        <f>Raw_Data!L1168</f>
        <v>Pune-West</v>
      </c>
      <c r="M1168" s="13" t="str">
        <f t="shared" si="3"/>
        <v>OK</v>
      </c>
      <c r="N1168" s="18" t="str">
        <f t="shared" si="4"/>
        <v>VALID</v>
      </c>
    </row>
    <row r="1169" ht="15.75" customHeight="1">
      <c r="A1169" s="13" t="str">
        <f>Raw_Data!A1169</f>
        <v>EMP1226</v>
      </c>
      <c r="B1169" s="13" t="str">
        <f>TRIM(CLEAN(Raw_Data!B1169))</f>
        <v>Finance</v>
      </c>
      <c r="C1169" s="18" t="s">
        <v>26</v>
      </c>
      <c r="D1169" s="14" t="str">
        <f>IF(ISBLANK(Raw_Data!D1169),AVERAGE(Raw_Data!D$2:D$5002),Raw_Data!D1169)</f>
        <v>61488.63</v>
      </c>
      <c r="E1169" s="15" t="str">
        <f>IF(ISBLANK(Raw_Data!E1169),AVERAGE(Raw_Data!E$2:E$5002),Raw_Data!E1169)</f>
        <v>19648.27</v>
      </c>
      <c r="F1169" s="15" t="str">
        <f>IF(ISBLANK(Raw_Data!F1169),AVERAGE(Raw_Data!F$2:F$5002),Raw_Data!F1169)</f>
        <v>9586.94</v>
      </c>
      <c r="G1169" s="14" t="str">
        <f>IF(ISBLANK(Raw_Data!G1169),AVERAGE(Raw_Data!G$2:G$5002),Raw_Data!G1169)</f>
        <v>11075.18</v>
      </c>
      <c r="H1169" s="15" t="str">
        <f t="shared" si="1"/>
        <v>90724.00</v>
      </c>
      <c r="I1169" s="14" t="str">
        <f t="shared" si="2"/>
        <v>79649.00</v>
      </c>
      <c r="J1169" s="16" t="str">
        <f>TEXT(Raw_Data!J1169,"MMM-YYY")</f>
        <v>Nov-2025</v>
      </c>
      <c r="K1169" s="13" t="str">
        <f>Raw_Data!K1169</f>
        <v>23</v>
      </c>
      <c r="L1169" s="17" t="str">
        <f>Raw_Data!L1169</f>
        <v>Hyderabad-South</v>
      </c>
      <c r="M1169" s="13" t="str">
        <f t="shared" si="3"/>
        <v>OK</v>
      </c>
      <c r="N1169" s="18" t="str">
        <f t="shared" si="4"/>
        <v>VALID</v>
      </c>
    </row>
    <row r="1170" ht="15.75" customHeight="1">
      <c r="A1170" s="13" t="str">
        <f>Raw_Data!A1170</f>
        <v>EMP1227</v>
      </c>
      <c r="B1170" s="13" t="str">
        <f>TRIM(CLEAN(Raw_Data!B1170))</f>
        <v>Marketing</v>
      </c>
      <c r="C1170" s="18" t="s">
        <v>37</v>
      </c>
      <c r="D1170" s="14" t="str">
        <f>IF(ISBLANK(Raw_Data!D1170),AVERAGE(Raw_Data!D$2:D$5002),Raw_Data!D1170)</f>
        <v>61499.51</v>
      </c>
      <c r="E1170" s="15" t="str">
        <f>IF(ISBLANK(Raw_Data!E1170),AVERAGE(Raw_Data!E$2:E$5002),Raw_Data!E1170)</f>
        <v>19652.88</v>
      </c>
      <c r="F1170" s="15" t="str">
        <f>IF(ISBLANK(Raw_Data!F1170),AVERAGE(Raw_Data!F$2:F$5002),Raw_Data!F1170)</f>
        <v>9594.62</v>
      </c>
      <c r="G1170" s="14" t="str">
        <f>IF(ISBLANK(Raw_Data!G1170),AVERAGE(Raw_Data!G$2:G$5002),Raw_Data!G1170)</f>
        <v>11078.57</v>
      </c>
      <c r="H1170" s="15" t="str">
        <f t="shared" si="1"/>
        <v>90747.00</v>
      </c>
      <c r="I1170" s="14" t="str">
        <f t="shared" si="2"/>
        <v>79668.00</v>
      </c>
      <c r="J1170" s="16" t="str">
        <f>TEXT(Raw_Data!J1170,"MMM-YYY")</f>
        <v>Nov-2025</v>
      </c>
      <c r="K1170" s="13" t="str">
        <f>Raw_Data!K1170</f>
        <v>11</v>
      </c>
      <c r="L1170" s="17" t="str">
        <f>Raw_Data!L1170</f>
        <v>Chandigarh-North</v>
      </c>
      <c r="M1170" s="13" t="str">
        <f t="shared" si="3"/>
        <v>OK</v>
      </c>
      <c r="N1170" s="18" t="str">
        <f t="shared" si="4"/>
        <v>VALID</v>
      </c>
    </row>
    <row r="1171" ht="15.75" customHeight="1">
      <c r="A1171" s="13" t="str">
        <f>Raw_Data!A1171</f>
        <v>EMP1228</v>
      </c>
      <c r="B1171" s="13" t="str">
        <f>TRIM(CLEAN(Raw_Data!B1171))</f>
        <v>Sales</v>
      </c>
      <c r="C1171" s="18" t="s">
        <v>14</v>
      </c>
      <c r="D1171" s="14" t="str">
        <f>IF(ISBLANK(Raw_Data!D1171),AVERAGE(Raw_Data!D$2:D$5002),Raw_Data!D1171)</f>
        <v>61510.40</v>
      </c>
      <c r="E1171" s="15" t="str">
        <f>IF(ISBLANK(Raw_Data!E1171),AVERAGE(Raw_Data!E$2:E$5002),Raw_Data!E1171)</f>
        <v>19657.50</v>
      </c>
      <c r="F1171" s="15" t="str">
        <f>IF(ISBLANK(Raw_Data!F1171),AVERAGE(Raw_Data!F$2:F$5002),Raw_Data!F1171)</f>
        <v>9602.30</v>
      </c>
      <c r="G1171" s="14" t="str">
        <f>IF(ISBLANK(Raw_Data!G1171),AVERAGE(Raw_Data!G$2:G$5002),Raw_Data!G1171)</f>
        <v>14562.73</v>
      </c>
      <c r="H1171" s="15" t="str">
        <f t="shared" si="1"/>
        <v>90770.00</v>
      </c>
      <c r="I1171" s="14" t="str">
        <f t="shared" si="2"/>
        <v>76207.00</v>
      </c>
      <c r="J1171" s="16" t="str">
        <f>TEXT(Raw_Data!J1171,"MMM-YYY")</f>
        <v>Dec-2025</v>
      </c>
      <c r="K1171" s="13" t="str">
        <f>Raw_Data!K1171</f>
        <v>20</v>
      </c>
      <c r="L1171" s="17" t="str">
        <f>Raw_Data!L1171</f>
        <v>Ahmedabad-West</v>
      </c>
      <c r="M1171" s="13" t="str">
        <f t="shared" si="3"/>
        <v>OK</v>
      </c>
      <c r="N1171" s="18" t="str">
        <f t="shared" si="4"/>
        <v>VALID</v>
      </c>
    </row>
    <row r="1172" ht="15.75" customHeight="1">
      <c r="A1172" s="13" t="str">
        <f>Raw_Data!A1172</f>
        <v>EMP1229</v>
      </c>
      <c r="B1172" s="13" t="str">
        <f>TRIM(CLEAN(Raw_Data!B1172))</f>
        <v>IT</v>
      </c>
      <c r="C1172" s="18" t="s">
        <v>14</v>
      </c>
      <c r="D1172" s="14" t="str">
        <f>IF(ISBLANK(Raw_Data!D1172),AVERAGE(Raw_Data!D$2:D$5002),Raw_Data!D1172)</f>
        <v>61521.28</v>
      </c>
      <c r="E1172" s="15" t="str">
        <f>IF(ISBLANK(Raw_Data!E1172),AVERAGE(Raw_Data!E$2:E$5002),Raw_Data!E1172)</f>
        <v>19662.11</v>
      </c>
      <c r="F1172" s="15" t="str">
        <f>IF(ISBLANK(Raw_Data!F1172),AVERAGE(Raw_Data!F$2:F$5002),Raw_Data!F1172)</f>
        <v>9609.98</v>
      </c>
      <c r="G1172" s="14" t="str">
        <f>IF(ISBLANK(Raw_Data!G1172),AVERAGE(Raw_Data!G$2:G$5002),Raw_Data!G1172)</f>
        <v>11085.37</v>
      </c>
      <c r="H1172" s="15" t="str">
        <f t="shared" si="1"/>
        <v>90793.00</v>
      </c>
      <c r="I1172" s="14" t="str">
        <f t="shared" si="2"/>
        <v>79708.00</v>
      </c>
      <c r="J1172" s="16" t="str">
        <f>TEXT(Raw_Data!J1172,"MMM-YYY")</f>
        <v>Feb-2025</v>
      </c>
      <c r="K1172" s="13" t="str">
        <f>Raw_Data!K1172</f>
        <v>7</v>
      </c>
      <c r="L1172" s="17" t="str">
        <f>Raw_Data!L1172</f>
        <v>Jaipur-North</v>
      </c>
      <c r="M1172" s="13" t="str">
        <f t="shared" si="3"/>
        <v>OK</v>
      </c>
      <c r="N1172" s="18" t="str">
        <f t="shared" si="4"/>
        <v>VALID</v>
      </c>
    </row>
    <row r="1173" ht="15.75" customHeight="1">
      <c r="A1173" s="13" t="str">
        <f>Raw_Data!A1173</f>
        <v>EMP1230</v>
      </c>
      <c r="B1173" s="13" t="str">
        <f>TRIM(CLEAN(Raw_Data!B1173))</f>
        <v>Sales</v>
      </c>
      <c r="C1173" s="18" t="s">
        <v>33</v>
      </c>
      <c r="D1173" s="14" t="str">
        <f>IF(ISBLANK(Raw_Data!D1173),AVERAGE(Raw_Data!D$2:D$5002),Raw_Data!D1173)</f>
        <v>61532.16</v>
      </c>
      <c r="E1173" s="15" t="str">
        <f>IF(ISBLANK(Raw_Data!E1173),AVERAGE(Raw_Data!E$2:E$5002),Raw_Data!E1173)</f>
        <v>19666.73</v>
      </c>
      <c r="F1173" s="15" t="str">
        <f>IF(ISBLANK(Raw_Data!F1173),AVERAGE(Raw_Data!F$2:F$5002),Raw_Data!F1173)</f>
        <v>9617.66</v>
      </c>
      <c r="G1173" s="14" t="str">
        <f>IF(ISBLANK(Raw_Data!G1173),AVERAGE(Raw_Data!G$2:G$5002),Raw_Data!G1173)</f>
        <v>11088.77</v>
      </c>
      <c r="H1173" s="15" t="str">
        <f t="shared" si="1"/>
        <v>90817.00</v>
      </c>
      <c r="I1173" s="14" t="str">
        <f t="shared" si="2"/>
        <v>79728.00</v>
      </c>
      <c r="J1173" s="16" t="str">
        <f>TEXT(Raw_Data!J1173,"MMM-YYY")</f>
        <v>Jan-2025</v>
      </c>
      <c r="K1173" s="13" t="str">
        <f>Raw_Data!K1173</f>
        <v>15</v>
      </c>
      <c r="L1173" s="17" t="str">
        <f>Raw_Data!L1173</f>
        <v>Mumbai-HO</v>
      </c>
      <c r="M1173" s="13" t="str">
        <f t="shared" si="3"/>
        <v>OK</v>
      </c>
      <c r="N1173" s="18" t="str">
        <f t="shared" si="4"/>
        <v>VALID</v>
      </c>
    </row>
    <row r="1174" ht="15.75" customHeight="1">
      <c r="A1174" s="13" t="str">
        <f>Raw_Data!A1174</f>
        <v>EMP1231</v>
      </c>
      <c r="B1174" s="13" t="str">
        <f>TRIM(CLEAN(Raw_Data!B1174))</f>
        <v>Customer Support</v>
      </c>
      <c r="C1174" s="18" t="s">
        <v>18</v>
      </c>
      <c r="D1174" s="14" t="str">
        <f>IF(ISBLANK(Raw_Data!D1174),AVERAGE(Raw_Data!D$2:D$5002),Raw_Data!D1174)</f>
        <v>61543.05</v>
      </c>
      <c r="E1174" s="15" t="str">
        <f>IF(ISBLANK(Raw_Data!E1174),AVERAGE(Raw_Data!E$2:E$5002),Raw_Data!E1174)</f>
        <v>19671.34</v>
      </c>
      <c r="F1174" s="15" t="str">
        <f>IF(ISBLANK(Raw_Data!F1174),AVERAGE(Raw_Data!F$2:F$5002),Raw_Data!F1174)</f>
        <v>9625.34</v>
      </c>
      <c r="G1174" s="14" t="str">
        <f>IF(ISBLANK(Raw_Data!G1174),AVERAGE(Raw_Data!G$2:G$5002),Raw_Data!G1174)</f>
        <v>14562.73</v>
      </c>
      <c r="H1174" s="15" t="str">
        <f t="shared" si="1"/>
        <v>90840.00</v>
      </c>
      <c r="I1174" s="14" t="str">
        <f t="shared" si="2"/>
        <v>76277.00</v>
      </c>
      <c r="J1174" s="16" t="str">
        <f>TEXT(Raw_Data!J1174,"MMM-YYY")</f>
        <v>Jan-2025</v>
      </c>
      <c r="K1174" s="13" t="str">
        <f>Raw_Data!K1174</f>
        <v>4</v>
      </c>
      <c r="L1174" s="17" t="str">
        <f>Raw_Data!L1174</f>
        <v>Delhi-North</v>
      </c>
      <c r="M1174" s="13" t="str">
        <f t="shared" si="3"/>
        <v>OK</v>
      </c>
      <c r="N1174" s="18" t="str">
        <f t="shared" si="4"/>
        <v>VALID</v>
      </c>
    </row>
    <row r="1175" ht="15.75" customHeight="1">
      <c r="A1175" s="13" t="str">
        <f>Raw_Data!A1175</f>
        <v>EMP1232</v>
      </c>
      <c r="B1175" s="13" t="str">
        <f>TRIM(CLEAN(Raw_Data!B1175))</f>
        <v>IT</v>
      </c>
      <c r="C1175" s="18" t="s">
        <v>26</v>
      </c>
      <c r="D1175" s="14" t="str">
        <f>IF(ISBLANK(Raw_Data!D1175),AVERAGE(Raw_Data!D$2:D$5002),Raw_Data!D1175)</f>
        <v>61553.93</v>
      </c>
      <c r="E1175" s="15" t="str">
        <f>IF(ISBLANK(Raw_Data!E1175),AVERAGE(Raw_Data!E$2:E$5002),Raw_Data!E1175)</f>
        <v>19675.96</v>
      </c>
      <c r="F1175" s="15" t="str">
        <f>IF(ISBLANK(Raw_Data!F1175),AVERAGE(Raw_Data!F$2:F$5002),Raw_Data!F1175)</f>
        <v>9633.02</v>
      </c>
      <c r="G1175" s="14" t="str">
        <f>IF(ISBLANK(Raw_Data!G1175),AVERAGE(Raw_Data!G$2:G$5002),Raw_Data!G1175)</f>
        <v>11095.56</v>
      </c>
      <c r="H1175" s="15" t="str">
        <f t="shared" si="1"/>
        <v>90863.00</v>
      </c>
      <c r="I1175" s="14" t="str">
        <f t="shared" si="2"/>
        <v>79767.00</v>
      </c>
      <c r="J1175" s="16" t="str">
        <f>TEXT(Raw_Data!J1175,"MMM-YYY")</f>
        <v>May-2025</v>
      </c>
      <c r="K1175" s="13" t="str">
        <f>Raw_Data!K1175</f>
        <v>8</v>
      </c>
      <c r="L1175" s="17" t="str">
        <f>Raw_Data!L1175</f>
        <v>Bangalore-South</v>
      </c>
      <c r="M1175" s="13" t="str">
        <f t="shared" si="3"/>
        <v>OK</v>
      </c>
      <c r="N1175" s="18" t="str">
        <f t="shared" si="4"/>
        <v>VALID</v>
      </c>
    </row>
    <row r="1176" ht="15.75" customHeight="1">
      <c r="A1176" s="13" t="str">
        <f>Raw_Data!A1176</f>
        <v>EMP1233</v>
      </c>
      <c r="B1176" s="13" t="str">
        <f>TRIM(CLEAN(Raw_Data!B1176))</f>
        <v>Operations</v>
      </c>
      <c r="C1176" s="18" t="s">
        <v>33</v>
      </c>
      <c r="D1176" s="14" t="str">
        <f>IF(ISBLANK(Raw_Data!D1176),AVERAGE(Raw_Data!D$2:D$5002),Raw_Data!D1176)</f>
        <v>61564.81</v>
      </c>
      <c r="E1176" s="15" t="str">
        <f>IF(ISBLANK(Raw_Data!E1176),AVERAGE(Raw_Data!E$2:E$5002),Raw_Data!E1176)</f>
        <v>19680.57</v>
      </c>
      <c r="F1176" s="15" t="str">
        <f>IF(ISBLANK(Raw_Data!F1176),AVERAGE(Raw_Data!F$2:F$5002),Raw_Data!F1176)</f>
        <v>9640.70</v>
      </c>
      <c r="G1176" s="14" t="str">
        <f>IF(ISBLANK(Raw_Data!G1176),AVERAGE(Raw_Data!G$2:G$5002),Raw_Data!G1176)</f>
        <v>11098.96</v>
      </c>
      <c r="H1176" s="15" t="str">
        <f t="shared" si="1"/>
        <v>90886.00</v>
      </c>
      <c r="I1176" s="14" t="str">
        <f t="shared" si="2"/>
        <v>79787.00</v>
      </c>
      <c r="J1176" s="16" t="str">
        <f>TEXT(Raw_Data!J1176,"MMM-YYY")</f>
        <v>Dec-2025</v>
      </c>
      <c r="K1176" s="13" t="str">
        <f>Raw_Data!K1176</f>
        <v>7</v>
      </c>
      <c r="L1176" s="17" t="str">
        <f>Raw_Data!L1176</f>
        <v>Chennai-South</v>
      </c>
      <c r="M1176" s="13" t="str">
        <f t="shared" si="3"/>
        <v>OK</v>
      </c>
      <c r="N1176" s="18" t="str">
        <f t="shared" si="4"/>
        <v>VALID</v>
      </c>
    </row>
    <row r="1177" ht="15.75" customHeight="1">
      <c r="A1177" s="13" t="str">
        <f>Raw_Data!A1177</f>
        <v>EMP1234</v>
      </c>
      <c r="B1177" s="13" t="str">
        <f>TRIM(CLEAN(Raw_Data!B1177))</f>
        <v>Finance</v>
      </c>
      <c r="C1177" s="18" t="s">
        <v>14</v>
      </c>
      <c r="D1177" s="14" t="str">
        <f>IF(ISBLANK(Raw_Data!D1177),AVERAGE(Raw_Data!D$2:D$5002),Raw_Data!D1177)</f>
        <v>61575.69</v>
      </c>
      <c r="E1177" s="15" t="str">
        <f>IF(ISBLANK(Raw_Data!E1177),AVERAGE(Raw_Data!E$2:E$5002),Raw_Data!E1177)</f>
        <v>19685.19</v>
      </c>
      <c r="F1177" s="15" t="str">
        <f>IF(ISBLANK(Raw_Data!F1177),AVERAGE(Raw_Data!F$2:F$5002),Raw_Data!F1177)</f>
        <v>9648.38</v>
      </c>
      <c r="G1177" s="14" t="str">
        <f>IF(ISBLANK(Raw_Data!G1177),AVERAGE(Raw_Data!G$2:G$5002),Raw_Data!G1177)</f>
        <v>11102.36</v>
      </c>
      <c r="H1177" s="15" t="str">
        <f t="shared" si="1"/>
        <v>90909.00</v>
      </c>
      <c r="I1177" s="14" t="str">
        <f t="shared" si="2"/>
        <v>79807.00</v>
      </c>
      <c r="J1177" s="16" t="str">
        <f>TEXT(Raw_Data!J1177,"MMM-YYY")</f>
        <v>Mar-2025</v>
      </c>
      <c r="K1177" s="13" t="str">
        <f>Raw_Data!K1177</f>
        <v>21</v>
      </c>
      <c r="L1177" s="17" t="str">
        <f>Raw_Data!L1177</f>
        <v>Kolkata-East</v>
      </c>
      <c r="M1177" s="13" t="str">
        <f t="shared" si="3"/>
        <v>OK</v>
      </c>
      <c r="N1177" s="18" t="str">
        <f t="shared" si="4"/>
        <v>VALID</v>
      </c>
    </row>
    <row r="1178" ht="15.75" customHeight="1">
      <c r="A1178" s="13" t="str">
        <f>Raw_Data!A1178</f>
        <v>EMP1235</v>
      </c>
      <c r="B1178" s="13" t="str">
        <f>TRIM(CLEAN(Raw_Data!B1178))</f>
        <v>Marketing</v>
      </c>
      <c r="C1178" s="18" t="s">
        <v>26</v>
      </c>
      <c r="D1178" s="14" t="str">
        <f>IF(ISBLANK(Raw_Data!D1178),AVERAGE(Raw_Data!D$2:D$5002),Raw_Data!D1178)</f>
        <v>61586.58</v>
      </c>
      <c r="E1178" s="15" t="str">
        <f>IF(ISBLANK(Raw_Data!E1178),AVERAGE(Raw_Data!E$2:E$5002),Raw_Data!E1178)</f>
        <v>19689.80</v>
      </c>
      <c r="F1178" s="15" t="str">
        <f>IF(ISBLANK(Raw_Data!F1178),AVERAGE(Raw_Data!F$2:F$5002),Raw_Data!F1178)</f>
        <v>9656.06</v>
      </c>
      <c r="G1178" s="14" t="str">
        <f>IF(ISBLANK(Raw_Data!G1178),AVERAGE(Raw_Data!G$2:G$5002),Raw_Data!G1178)</f>
        <v>11105.75</v>
      </c>
      <c r="H1178" s="15" t="str">
        <f t="shared" si="1"/>
        <v>90932.00</v>
      </c>
      <c r="I1178" s="14" t="str">
        <f t="shared" si="2"/>
        <v>79826.00</v>
      </c>
      <c r="J1178" s="16" t="str">
        <f>TEXT(Raw_Data!J1178,"MMM-YYY")</f>
        <v>Oct-2025</v>
      </c>
      <c r="K1178" s="13" t="str">
        <f>Raw_Data!K1178</f>
        <v>3</v>
      </c>
      <c r="L1178" s="17" t="str">
        <f>Raw_Data!L1178</f>
        <v>Pune-West</v>
      </c>
      <c r="M1178" s="13" t="str">
        <f t="shared" si="3"/>
        <v>OK</v>
      </c>
      <c r="N1178" s="18" t="str">
        <f t="shared" si="4"/>
        <v>VALID</v>
      </c>
    </row>
    <row r="1179" ht="15.75" customHeight="1">
      <c r="A1179" s="13" t="str">
        <f>Raw_Data!A1179</f>
        <v>EMP1236</v>
      </c>
      <c r="B1179" s="13" t="str">
        <f>TRIM(CLEAN(Raw_Data!B1179))</f>
        <v>Sales</v>
      </c>
      <c r="C1179" s="18" t="s">
        <v>54</v>
      </c>
      <c r="D1179" s="14" t="str">
        <f>IF(ISBLANK(Raw_Data!D1179),AVERAGE(Raw_Data!D$2:D$5002),Raw_Data!D1179)</f>
        <v>61597.46</v>
      </c>
      <c r="E1179" s="15" t="str">
        <f>IF(ISBLANK(Raw_Data!E1179),AVERAGE(Raw_Data!E$2:E$5002),Raw_Data!E1179)</f>
        <v>19694.42</v>
      </c>
      <c r="F1179" s="15" t="str">
        <f>IF(ISBLANK(Raw_Data!F1179),AVERAGE(Raw_Data!F$2:F$5002),Raw_Data!F1179)</f>
        <v>9663.74</v>
      </c>
      <c r="G1179" s="14" t="str">
        <f>IF(ISBLANK(Raw_Data!G1179),AVERAGE(Raw_Data!G$2:G$5002),Raw_Data!G1179)</f>
        <v>11109.15</v>
      </c>
      <c r="H1179" s="15" t="str">
        <f t="shared" si="1"/>
        <v>90956.00</v>
      </c>
      <c r="I1179" s="14" t="str">
        <f t="shared" si="2"/>
        <v>79847.00</v>
      </c>
      <c r="J1179" s="16" t="str">
        <f>TEXT(Raw_Data!J1179,"MMM-YYY")</f>
        <v>Dec-2025</v>
      </c>
      <c r="K1179" s="13" t="str">
        <f>Raw_Data!K1179</f>
        <v>4</v>
      </c>
      <c r="L1179" s="17" t="str">
        <f>Raw_Data!L1179</f>
        <v>Hyderabad-South</v>
      </c>
      <c r="M1179" s="13" t="str">
        <f t="shared" si="3"/>
        <v>OK</v>
      </c>
      <c r="N1179" s="18" t="str">
        <f t="shared" si="4"/>
        <v>VALID</v>
      </c>
    </row>
    <row r="1180" ht="15.75" customHeight="1">
      <c r="A1180" s="13" t="str">
        <f>Raw_Data!A1180</f>
        <v>EMP1237</v>
      </c>
      <c r="B1180" s="13" t="str">
        <f>TRIM(CLEAN(Raw_Data!B1180))</f>
        <v>Marketing</v>
      </c>
      <c r="C1180" s="18" t="s">
        <v>30</v>
      </c>
      <c r="D1180" s="14" t="str">
        <f>IF(ISBLANK(Raw_Data!D1180),AVERAGE(Raw_Data!D$2:D$5002),Raw_Data!D1180)</f>
        <v>61608.34</v>
      </c>
      <c r="E1180" s="15" t="str">
        <f>IF(ISBLANK(Raw_Data!E1180),AVERAGE(Raw_Data!E$2:E$5002),Raw_Data!E1180)</f>
        <v>19699.03</v>
      </c>
      <c r="F1180" s="15" t="str">
        <f>IF(ISBLANK(Raw_Data!F1180),AVERAGE(Raw_Data!F$2:F$5002),Raw_Data!F1180)</f>
        <v>9671.42</v>
      </c>
      <c r="G1180" s="14" t="str">
        <f>IF(ISBLANK(Raw_Data!G1180),AVERAGE(Raw_Data!G$2:G$5002),Raw_Data!G1180)</f>
        <v>11112.55</v>
      </c>
      <c r="H1180" s="15" t="str">
        <f t="shared" si="1"/>
        <v>90979.00</v>
      </c>
      <c r="I1180" s="14" t="str">
        <f t="shared" si="2"/>
        <v>79866.00</v>
      </c>
      <c r="J1180" s="16" t="str">
        <f>TEXT(Raw_Data!J1180,"MMM-YYY")</f>
        <v>Sep-2025</v>
      </c>
      <c r="K1180" s="13" t="str">
        <f>Raw_Data!K1180</f>
        <v>20</v>
      </c>
      <c r="L1180" s="17" t="str">
        <f>Raw_Data!L1180</f>
        <v>Chandigarh-North</v>
      </c>
      <c r="M1180" s="13" t="str">
        <f t="shared" si="3"/>
        <v>OK</v>
      </c>
      <c r="N1180" s="18" t="str">
        <f t="shared" si="4"/>
        <v>VALID</v>
      </c>
    </row>
    <row r="1181" ht="15.75" customHeight="1">
      <c r="A1181" s="13" t="str">
        <f>Raw_Data!A1181</f>
        <v>EMP1238</v>
      </c>
      <c r="B1181" s="13" t="str">
        <f>TRIM(CLEAN(Raw_Data!B1181))</f>
        <v>IT</v>
      </c>
      <c r="C1181" s="18" t="s">
        <v>54</v>
      </c>
      <c r="D1181" s="14" t="str">
        <f>IF(ISBLANK(Raw_Data!D1181),AVERAGE(Raw_Data!D$2:D$5002),Raw_Data!D1181)</f>
        <v>61619.23</v>
      </c>
      <c r="E1181" s="15" t="str">
        <f>IF(ISBLANK(Raw_Data!E1181),AVERAGE(Raw_Data!E$2:E$5002),Raw_Data!E1181)</f>
        <v>19703.65</v>
      </c>
      <c r="F1181" s="15" t="str">
        <f>IF(ISBLANK(Raw_Data!F1181),AVERAGE(Raw_Data!F$2:F$5002),Raw_Data!F1181)</f>
        <v>9679.10</v>
      </c>
      <c r="G1181" s="14" t="str">
        <f>IF(ISBLANK(Raw_Data!G1181),AVERAGE(Raw_Data!G$2:G$5002),Raw_Data!G1181)</f>
        <v>11115.95</v>
      </c>
      <c r="H1181" s="15" t="str">
        <f t="shared" si="1"/>
        <v>91002.00</v>
      </c>
      <c r="I1181" s="14" t="str">
        <f t="shared" si="2"/>
        <v>79886.00</v>
      </c>
      <c r="J1181" s="16" t="str">
        <f>TEXT(Raw_Data!J1181,"MMM-YYY")</f>
        <v>Sep-2025</v>
      </c>
      <c r="K1181" s="13" t="str">
        <f>Raw_Data!K1181</f>
        <v>2</v>
      </c>
      <c r="L1181" s="17" t="str">
        <f>Raw_Data!L1181</f>
        <v>Ahmedabad-West</v>
      </c>
      <c r="M1181" s="13" t="str">
        <f t="shared" si="3"/>
        <v>OK</v>
      </c>
      <c r="N1181" s="18" t="str">
        <f t="shared" si="4"/>
        <v>VALID</v>
      </c>
    </row>
    <row r="1182" ht="15.75" customHeight="1">
      <c r="A1182" s="13" t="str">
        <f>Raw_Data!A1182</f>
        <v>EMP1239</v>
      </c>
      <c r="B1182" s="13" t="str">
        <f>TRIM(CLEAN(Raw_Data!B1182))</f>
        <v>Marketing</v>
      </c>
      <c r="C1182" s="18" t="s">
        <v>14</v>
      </c>
      <c r="D1182" s="14" t="str">
        <f>IF(ISBLANK(Raw_Data!D1182),AVERAGE(Raw_Data!D$2:D$5002),Raw_Data!D1182)</f>
        <v>61630.11</v>
      </c>
      <c r="E1182" s="15" t="str">
        <f>IF(ISBLANK(Raw_Data!E1182),AVERAGE(Raw_Data!E$2:E$5002),Raw_Data!E1182)</f>
        <v>19708.26</v>
      </c>
      <c r="F1182" s="15" t="str">
        <f>IF(ISBLANK(Raw_Data!F1182),AVERAGE(Raw_Data!F$2:F$5002),Raw_Data!F1182)</f>
        <v>9686.78</v>
      </c>
      <c r="G1182" s="14" t="str">
        <f>IF(ISBLANK(Raw_Data!G1182),AVERAGE(Raw_Data!G$2:G$5002),Raw_Data!G1182)</f>
        <v>11119.34</v>
      </c>
      <c r="H1182" s="15" t="str">
        <f t="shared" si="1"/>
        <v>91025.00</v>
      </c>
      <c r="I1182" s="14" t="str">
        <f t="shared" si="2"/>
        <v>79906.00</v>
      </c>
      <c r="J1182" s="16" t="str">
        <f>TEXT(Raw_Data!J1182,"MMM-YYY")</f>
        <v>Apr-2025</v>
      </c>
      <c r="K1182" s="13" t="str">
        <f>Raw_Data!K1182</f>
        <v>24</v>
      </c>
      <c r="L1182" s="17" t="str">
        <f>Raw_Data!L1182</f>
        <v>Jaipur-North</v>
      </c>
      <c r="M1182" s="13" t="str">
        <f t="shared" si="3"/>
        <v>OK</v>
      </c>
      <c r="N1182" s="18" t="str">
        <f t="shared" si="4"/>
        <v>VALID</v>
      </c>
    </row>
    <row r="1183" ht="15.75" customHeight="1">
      <c r="A1183" s="13" t="str">
        <f>Raw_Data!A1183</f>
        <v>EMP1240</v>
      </c>
      <c r="B1183" s="13" t="str">
        <f>TRIM(CLEAN(Raw_Data!B1183))</f>
        <v>Finance</v>
      </c>
      <c r="C1183" s="18" t="s">
        <v>37</v>
      </c>
      <c r="D1183" s="14" t="str">
        <f>IF(ISBLANK(Raw_Data!D1183),AVERAGE(Raw_Data!D$2:D$5002),Raw_Data!D1183)</f>
        <v>61640.99</v>
      </c>
      <c r="E1183" s="15" t="str">
        <f>IF(ISBLANK(Raw_Data!E1183),AVERAGE(Raw_Data!E$2:E$5002),Raw_Data!E1183)</f>
        <v>19712.87</v>
      </c>
      <c r="F1183" s="15" t="str">
        <f>IF(ISBLANK(Raw_Data!F1183),AVERAGE(Raw_Data!F$2:F$5002),Raw_Data!F1183)</f>
        <v>9694.46</v>
      </c>
      <c r="G1183" s="14" t="str">
        <f>IF(ISBLANK(Raw_Data!G1183),AVERAGE(Raw_Data!G$2:G$5002),Raw_Data!G1183)</f>
        <v>11122.74</v>
      </c>
      <c r="H1183" s="15" t="str">
        <f t="shared" si="1"/>
        <v>91048.00</v>
      </c>
      <c r="I1183" s="14" t="str">
        <f t="shared" si="2"/>
        <v>79925.00</v>
      </c>
      <c r="J1183" s="16" t="str">
        <f>TEXT(Raw_Data!J1183,"MMM-YYY")</f>
        <v>Nov-2025</v>
      </c>
      <c r="K1183" s="13" t="str">
        <f>Raw_Data!K1183</f>
        <v>23</v>
      </c>
      <c r="L1183" s="17" t="str">
        <f>Raw_Data!L1183</f>
        <v>Mumbai-HO</v>
      </c>
      <c r="M1183" s="13" t="str">
        <f t="shared" si="3"/>
        <v>OK</v>
      </c>
      <c r="N1183" s="18" t="str">
        <f t="shared" si="4"/>
        <v>VALID</v>
      </c>
    </row>
    <row r="1184" ht="15.75" customHeight="1">
      <c r="A1184" s="13" t="str">
        <f>Raw_Data!A1184</f>
        <v>EMP1241</v>
      </c>
      <c r="B1184" s="13" t="str">
        <f>TRIM(CLEAN(Raw_Data!B1184))</f>
        <v>HR</v>
      </c>
      <c r="C1184" s="18" t="s">
        <v>14</v>
      </c>
      <c r="D1184" s="14" t="str">
        <f>IF(ISBLANK(Raw_Data!D1184),AVERAGE(Raw_Data!D$2:D$5002),Raw_Data!D1184)</f>
        <v>71831.17</v>
      </c>
      <c r="E1184" s="15" t="str">
        <f>IF(ISBLANK(Raw_Data!E1184),AVERAGE(Raw_Data!E$2:E$5002),Raw_Data!E1184)</f>
        <v>19717.49</v>
      </c>
      <c r="F1184" s="15" t="str">
        <f>IF(ISBLANK(Raw_Data!F1184),AVERAGE(Raw_Data!F$2:F$5002),Raw_Data!F1184)</f>
        <v>9702.14</v>
      </c>
      <c r="G1184" s="14" t="str">
        <f>IF(ISBLANK(Raw_Data!G1184),AVERAGE(Raw_Data!G$2:G$5002),Raw_Data!G1184)</f>
        <v>11126.14</v>
      </c>
      <c r="H1184" s="15" t="str">
        <f t="shared" si="1"/>
        <v>101251.00</v>
      </c>
      <c r="I1184" s="14" t="str">
        <f t="shared" si="2"/>
        <v>90125.00</v>
      </c>
      <c r="J1184" s="16" t="str">
        <f>TEXT(Raw_Data!J1184,"MMM-YYY")</f>
        <v>Oct-2025</v>
      </c>
      <c r="K1184" s="13" t="str">
        <f>Raw_Data!K1184</f>
        <v>1</v>
      </c>
      <c r="L1184" s="17" t="str">
        <f>Raw_Data!L1184</f>
        <v>Delhi-North</v>
      </c>
      <c r="M1184" s="13" t="str">
        <f t="shared" si="3"/>
        <v>OK</v>
      </c>
      <c r="N1184" s="18" t="str">
        <f t="shared" si="4"/>
        <v>VALID</v>
      </c>
    </row>
    <row r="1185" ht="15.75" customHeight="1">
      <c r="A1185" s="13" t="str">
        <f>Raw_Data!A1185</f>
        <v>EMP1242</v>
      </c>
      <c r="B1185" s="13" t="str">
        <f>TRIM(CLEAN(Raw_Data!B1185))</f>
        <v>Marketing</v>
      </c>
      <c r="C1185" s="18" t="s">
        <v>30</v>
      </c>
      <c r="D1185" s="14" t="str">
        <f>IF(ISBLANK(Raw_Data!D1185),AVERAGE(Raw_Data!D$2:D$5002),Raw_Data!D1185)</f>
        <v>61662.76</v>
      </c>
      <c r="E1185" s="15" t="str">
        <f>IF(ISBLANK(Raw_Data!E1185),AVERAGE(Raw_Data!E$2:E$5002),Raw_Data!E1185)</f>
        <v>19722.10</v>
      </c>
      <c r="F1185" s="15" t="str">
        <f>IF(ISBLANK(Raw_Data!F1185),AVERAGE(Raw_Data!F$2:F$5002),Raw_Data!F1185)</f>
        <v>9709.82</v>
      </c>
      <c r="G1185" s="14" t="str">
        <f>IF(ISBLANK(Raw_Data!G1185),AVERAGE(Raw_Data!G$2:G$5002),Raw_Data!G1185)</f>
        <v>11129.54</v>
      </c>
      <c r="H1185" s="15" t="str">
        <f t="shared" si="1"/>
        <v>91095.00</v>
      </c>
      <c r="I1185" s="14" t="str">
        <f t="shared" si="2"/>
        <v>79965.00</v>
      </c>
      <c r="J1185" s="16" t="str">
        <f>TEXT(Raw_Data!J1185,"MMM-YYY")</f>
        <v>Feb-2025</v>
      </c>
      <c r="K1185" s="13" t="str">
        <f>Raw_Data!K1185</f>
        <v>15</v>
      </c>
      <c r="L1185" s="17" t="str">
        <f>Raw_Data!L1185</f>
        <v>Bangalore-South</v>
      </c>
      <c r="M1185" s="13" t="str">
        <f t="shared" si="3"/>
        <v>OK</v>
      </c>
      <c r="N1185" s="18" t="str">
        <f t="shared" si="4"/>
        <v>VALID</v>
      </c>
    </row>
    <row r="1186" ht="15.75" customHeight="1">
      <c r="A1186" s="13" t="str">
        <f>Raw_Data!A1186</f>
        <v>EMP1243</v>
      </c>
      <c r="B1186" s="13" t="str">
        <f>TRIM(CLEAN(Raw_Data!B1186))</f>
        <v>Marketing</v>
      </c>
      <c r="C1186" s="18" t="s">
        <v>30</v>
      </c>
      <c r="D1186" s="14" t="str">
        <f>IF(ISBLANK(Raw_Data!D1186),AVERAGE(Raw_Data!D$2:D$5002),Raw_Data!D1186)</f>
        <v>61673.64</v>
      </c>
      <c r="E1186" s="15" t="str">
        <f>IF(ISBLANK(Raw_Data!E1186),AVERAGE(Raw_Data!E$2:E$5002),Raw_Data!E1186)</f>
        <v>19726.72</v>
      </c>
      <c r="F1186" s="15" t="str">
        <f>IF(ISBLANK(Raw_Data!F1186),AVERAGE(Raw_Data!F$2:F$5002),Raw_Data!F1186)</f>
        <v>9717.50</v>
      </c>
      <c r="G1186" s="14" t="str">
        <f>IF(ISBLANK(Raw_Data!G1186),AVERAGE(Raw_Data!G$2:G$5002),Raw_Data!G1186)</f>
        <v>11132.93</v>
      </c>
      <c r="H1186" s="15" t="str">
        <f t="shared" si="1"/>
        <v>91118.00</v>
      </c>
      <c r="I1186" s="14" t="str">
        <f t="shared" si="2"/>
        <v>79985.00</v>
      </c>
      <c r="J1186" s="16" t="str">
        <f>TEXT(Raw_Data!J1186,"MMM-YYY")</f>
        <v>Jan-2025</v>
      </c>
      <c r="K1186" s="13" t="str">
        <f>Raw_Data!K1186</f>
        <v>1</v>
      </c>
      <c r="L1186" s="17" t="str">
        <f>Raw_Data!L1186</f>
        <v>Chennai-South</v>
      </c>
      <c r="M1186" s="13" t="str">
        <f t="shared" si="3"/>
        <v>OK</v>
      </c>
      <c r="N1186" s="18" t="str">
        <f t="shared" si="4"/>
        <v>VALID</v>
      </c>
    </row>
    <row r="1187" ht="15.75" customHeight="1">
      <c r="A1187" s="13" t="str">
        <f>Raw_Data!A1187</f>
        <v>EMP1244</v>
      </c>
      <c r="B1187" s="13" t="str">
        <f>TRIM(CLEAN(Raw_Data!B1187))</f>
        <v>Sales</v>
      </c>
      <c r="C1187" s="18" t="s">
        <v>54</v>
      </c>
      <c r="D1187" s="14" t="str">
        <f>IF(ISBLANK(Raw_Data!D1187),AVERAGE(Raw_Data!D$2:D$5002),Raw_Data!D1187)</f>
        <v>61684.52</v>
      </c>
      <c r="E1187" s="15" t="str">
        <f>IF(ISBLANK(Raw_Data!E1187),AVERAGE(Raw_Data!E$2:E$5002),Raw_Data!E1187)</f>
        <v>19731.33</v>
      </c>
      <c r="F1187" s="15" t="str">
        <f>IF(ISBLANK(Raw_Data!F1187),AVERAGE(Raw_Data!F$2:F$5002),Raw_Data!F1187)</f>
        <v>9725.18</v>
      </c>
      <c r="G1187" s="14" t="str">
        <f>IF(ISBLANK(Raw_Data!G1187),AVERAGE(Raw_Data!G$2:G$5002),Raw_Data!G1187)</f>
        <v>11136.33</v>
      </c>
      <c r="H1187" s="15" t="str">
        <f t="shared" si="1"/>
        <v>91141.00</v>
      </c>
      <c r="I1187" s="14" t="str">
        <f t="shared" si="2"/>
        <v>80005.00</v>
      </c>
      <c r="J1187" s="16" t="str">
        <f>TEXT(Raw_Data!J1187,"MMM-YYY")</f>
        <v>Jun-2025</v>
      </c>
      <c r="K1187" s="13" t="str">
        <f>Raw_Data!K1187</f>
        <v>24</v>
      </c>
      <c r="L1187" s="17" t="str">
        <f>Raw_Data!L1187</f>
        <v>Kolkata-East</v>
      </c>
      <c r="M1187" s="13" t="str">
        <f t="shared" si="3"/>
        <v>OK</v>
      </c>
      <c r="N1187" s="18" t="str">
        <f t="shared" si="4"/>
        <v>VALID</v>
      </c>
    </row>
    <row r="1188" ht="15.75" customHeight="1">
      <c r="A1188" s="13" t="str">
        <f>Raw_Data!A1188</f>
        <v>EMP1245</v>
      </c>
      <c r="B1188" s="13" t="str">
        <f>TRIM(CLEAN(Raw_Data!B1188))</f>
        <v>Sales</v>
      </c>
      <c r="C1188" s="18" t="s">
        <v>18</v>
      </c>
      <c r="D1188" s="14" t="str">
        <f>IF(ISBLANK(Raw_Data!D1188),AVERAGE(Raw_Data!D$2:D$5002),Raw_Data!D1188)</f>
        <v>61695.41</v>
      </c>
      <c r="E1188" s="15" t="str">
        <f>IF(ISBLANK(Raw_Data!E1188),AVERAGE(Raw_Data!E$2:E$5002),Raw_Data!E1188)</f>
        <v>19735.95</v>
      </c>
      <c r="F1188" s="15" t="str">
        <f>IF(ISBLANK(Raw_Data!F1188),AVERAGE(Raw_Data!F$2:F$5002),Raw_Data!F1188)</f>
        <v>9732.86</v>
      </c>
      <c r="G1188" s="14" t="str">
        <f>IF(ISBLANK(Raw_Data!G1188),AVERAGE(Raw_Data!G$2:G$5002),Raw_Data!G1188)</f>
        <v>11139.73</v>
      </c>
      <c r="H1188" s="15" t="str">
        <f t="shared" si="1"/>
        <v>91164.00</v>
      </c>
      <c r="I1188" s="14" t="str">
        <f t="shared" si="2"/>
        <v>80024.00</v>
      </c>
      <c r="J1188" s="16" t="str">
        <f>TEXT(Raw_Data!J1188,"MMM-YYY")</f>
        <v>Mar-2025</v>
      </c>
      <c r="K1188" s="13" t="str">
        <f>Raw_Data!K1188</f>
        <v>17</v>
      </c>
      <c r="L1188" s="17" t="str">
        <f>Raw_Data!L1188</f>
        <v>Pune-West</v>
      </c>
      <c r="M1188" s="13" t="str">
        <f t="shared" si="3"/>
        <v>OK</v>
      </c>
      <c r="N1188" s="18" t="str">
        <f t="shared" si="4"/>
        <v>VALID</v>
      </c>
    </row>
    <row r="1189" ht="15.75" customHeight="1">
      <c r="A1189" s="13" t="str">
        <f>Raw_Data!A1189</f>
        <v>EMP1246</v>
      </c>
      <c r="B1189" s="13" t="str">
        <f>TRIM(CLEAN(Raw_Data!B1189))</f>
        <v>Customer Support</v>
      </c>
      <c r="C1189" s="18" t="s">
        <v>26</v>
      </c>
      <c r="D1189" s="14" t="str">
        <f>IF(ISBLANK(Raw_Data!D1189),AVERAGE(Raw_Data!D$2:D$5002),Raw_Data!D1189)</f>
        <v>61706.29</v>
      </c>
      <c r="E1189" s="15" t="str">
        <f>IF(ISBLANK(Raw_Data!E1189),AVERAGE(Raw_Data!E$2:E$5002),Raw_Data!E1189)</f>
        <v>19740.56</v>
      </c>
      <c r="F1189" s="15" t="str">
        <f>IF(ISBLANK(Raw_Data!F1189),AVERAGE(Raw_Data!F$2:F$5002),Raw_Data!F1189)</f>
        <v>9740.54</v>
      </c>
      <c r="G1189" s="14" t="str">
        <f>IF(ISBLANK(Raw_Data!G1189),AVERAGE(Raw_Data!G$2:G$5002),Raw_Data!G1189)</f>
        <v>14562.73</v>
      </c>
      <c r="H1189" s="15" t="str">
        <f t="shared" si="1"/>
        <v>91187.00</v>
      </c>
      <c r="I1189" s="14" t="str">
        <f t="shared" si="2"/>
        <v>76624.00</v>
      </c>
      <c r="J1189" s="16" t="str">
        <f>TEXT(Raw_Data!J1189,"MMM-YYY")</f>
        <v>Aug-2025</v>
      </c>
      <c r="K1189" s="13" t="str">
        <f>Raw_Data!K1189</f>
        <v>24</v>
      </c>
      <c r="L1189" s="17" t="str">
        <f>Raw_Data!L1189</f>
        <v>Hyderabad-South</v>
      </c>
      <c r="M1189" s="13" t="str">
        <f t="shared" si="3"/>
        <v>OK</v>
      </c>
      <c r="N1189" s="18" t="str">
        <f t="shared" si="4"/>
        <v>VALID</v>
      </c>
    </row>
    <row r="1190" ht="15.75" customHeight="1">
      <c r="A1190" s="13" t="str">
        <f>Raw_Data!A1190</f>
        <v>EMP1247</v>
      </c>
      <c r="B1190" s="13" t="str">
        <f>TRIM(CLEAN(Raw_Data!B1190))</f>
        <v>Marketing</v>
      </c>
      <c r="C1190" s="18" t="s">
        <v>30</v>
      </c>
      <c r="D1190" s="14" t="str">
        <f>IF(ISBLANK(Raw_Data!D1190),AVERAGE(Raw_Data!D$2:D$5002),Raw_Data!D1190)</f>
        <v>61717.17</v>
      </c>
      <c r="E1190" s="15" t="str">
        <f>IF(ISBLANK(Raw_Data!E1190),AVERAGE(Raw_Data!E$2:E$5002),Raw_Data!E1190)</f>
        <v>19745.18</v>
      </c>
      <c r="F1190" s="15" t="str">
        <f>IF(ISBLANK(Raw_Data!F1190),AVERAGE(Raw_Data!F$2:F$5002),Raw_Data!F1190)</f>
        <v>9748.22</v>
      </c>
      <c r="G1190" s="14" t="str">
        <f>IF(ISBLANK(Raw_Data!G1190),AVERAGE(Raw_Data!G$2:G$5002),Raw_Data!G1190)</f>
        <v>11146.52</v>
      </c>
      <c r="H1190" s="15" t="str">
        <f t="shared" si="1"/>
        <v>91211.00</v>
      </c>
      <c r="I1190" s="14" t="str">
        <f t="shared" si="2"/>
        <v>80064.00</v>
      </c>
      <c r="J1190" s="16" t="str">
        <f>TEXT(Raw_Data!J1190,"MMM-YYY")</f>
        <v>Sep-2025</v>
      </c>
      <c r="K1190" s="13" t="str">
        <f>Raw_Data!K1190</f>
        <v>17</v>
      </c>
      <c r="L1190" s="17" t="str">
        <f>Raw_Data!L1190</f>
        <v>Chandigarh-North</v>
      </c>
      <c r="M1190" s="13" t="str">
        <f t="shared" si="3"/>
        <v>OK</v>
      </c>
      <c r="N1190" s="18" t="str">
        <f t="shared" si="4"/>
        <v>VALID</v>
      </c>
    </row>
    <row r="1191" ht="15.75" customHeight="1">
      <c r="A1191" s="13" t="str">
        <f>Raw_Data!A1191</f>
        <v>EMP1248</v>
      </c>
      <c r="B1191" s="13" t="str">
        <f>TRIM(CLEAN(Raw_Data!B1191))</f>
        <v>Customer Support</v>
      </c>
      <c r="C1191" s="18" t="s">
        <v>26</v>
      </c>
      <c r="D1191" s="14" t="str">
        <f>IF(ISBLANK(Raw_Data!D1191),AVERAGE(Raw_Data!D$2:D$5002),Raw_Data!D1191)</f>
        <v>61728.06</v>
      </c>
      <c r="E1191" s="15" t="str">
        <f>IF(ISBLANK(Raw_Data!E1191),AVERAGE(Raw_Data!E$2:E$5002),Raw_Data!E1191)</f>
        <v>19749.79</v>
      </c>
      <c r="F1191" s="15" t="str">
        <f>IF(ISBLANK(Raw_Data!F1191),AVERAGE(Raw_Data!F$2:F$5002),Raw_Data!F1191)</f>
        <v>9755.90</v>
      </c>
      <c r="G1191" s="14" t="str">
        <f>IF(ISBLANK(Raw_Data!G1191),AVERAGE(Raw_Data!G$2:G$5002),Raw_Data!G1191)</f>
        <v>11149.92</v>
      </c>
      <c r="H1191" s="15" t="str">
        <f t="shared" si="1"/>
        <v>91234.00</v>
      </c>
      <c r="I1191" s="14" t="str">
        <f t="shared" si="2"/>
        <v>80084.00</v>
      </c>
      <c r="J1191" s="16" t="str">
        <f>TEXT(Raw_Data!J1191,"MMM-YYY")</f>
        <v>Mar-2025</v>
      </c>
      <c r="K1191" s="13" t="str">
        <f>Raw_Data!K1191</f>
        <v>19</v>
      </c>
      <c r="L1191" s="17" t="str">
        <f>Raw_Data!L1191</f>
        <v>Ahmedabad-West</v>
      </c>
      <c r="M1191" s="13" t="str">
        <f t="shared" si="3"/>
        <v>OK</v>
      </c>
      <c r="N1191" s="18" t="str">
        <f t="shared" si="4"/>
        <v>VALID</v>
      </c>
    </row>
    <row r="1192" ht="15.75" customHeight="1">
      <c r="A1192" s="13" t="str">
        <f>Raw_Data!A1192</f>
        <v>EMP1249</v>
      </c>
      <c r="B1192" s="13" t="str">
        <f>TRIM(CLEAN(Raw_Data!B1192))</f>
        <v>Customer Support</v>
      </c>
      <c r="C1192" s="18" t="s">
        <v>14</v>
      </c>
      <c r="D1192" s="14" t="str">
        <f>IF(ISBLANK(Raw_Data!D1192),AVERAGE(Raw_Data!D$2:D$5002),Raw_Data!D1192)</f>
        <v>61738.94</v>
      </c>
      <c r="E1192" s="15" t="str">
        <f>IF(ISBLANK(Raw_Data!E1192),AVERAGE(Raw_Data!E$2:E$5002),Raw_Data!E1192)</f>
        <v>19754.41</v>
      </c>
      <c r="F1192" s="15" t="str">
        <f>IF(ISBLANK(Raw_Data!F1192),AVERAGE(Raw_Data!F$2:F$5002),Raw_Data!F1192)</f>
        <v>9763.58</v>
      </c>
      <c r="G1192" s="14" t="str">
        <f>IF(ISBLANK(Raw_Data!G1192),AVERAGE(Raw_Data!G$2:G$5002),Raw_Data!G1192)</f>
        <v>11153.32</v>
      </c>
      <c r="H1192" s="15" t="str">
        <f t="shared" si="1"/>
        <v>91257.00</v>
      </c>
      <c r="I1192" s="14" t="str">
        <f t="shared" si="2"/>
        <v>80104.00</v>
      </c>
      <c r="J1192" s="16" t="str">
        <f>TEXT(Raw_Data!J1192,"MMM-YYY")</f>
        <v>Mar-2025</v>
      </c>
      <c r="K1192" s="13" t="str">
        <f>Raw_Data!K1192</f>
        <v>18</v>
      </c>
      <c r="L1192" s="17" t="str">
        <f>Raw_Data!L1192</f>
        <v>Jaipur-North</v>
      </c>
      <c r="M1192" s="13" t="str">
        <f t="shared" si="3"/>
        <v>OK</v>
      </c>
      <c r="N1192" s="18" t="str">
        <f t="shared" si="4"/>
        <v>VALID</v>
      </c>
    </row>
    <row r="1193" ht="15.75" customHeight="1">
      <c r="A1193" s="13" t="str">
        <f>Raw_Data!A1193</f>
        <v>EMP1250</v>
      </c>
      <c r="B1193" s="13" t="str">
        <f>TRIM(CLEAN(Raw_Data!B1193))</f>
        <v>Marketing</v>
      </c>
      <c r="C1193" s="18" t="s">
        <v>54</v>
      </c>
      <c r="D1193" s="14" t="str">
        <f>IF(ISBLANK(Raw_Data!D1193),AVERAGE(Raw_Data!D$2:D$5002),Raw_Data!D1193)</f>
        <v>61749.00</v>
      </c>
      <c r="E1193" s="15" t="str">
        <f>IF(ISBLANK(Raw_Data!E1193),AVERAGE(Raw_Data!E$2:E$5002),Raw_Data!E1193)</f>
        <v>19759.02</v>
      </c>
      <c r="F1193" s="15" t="str">
        <f>IF(ISBLANK(Raw_Data!F1193),AVERAGE(Raw_Data!F$2:F$5002),Raw_Data!F1193)</f>
        <v>9771.26</v>
      </c>
      <c r="G1193" s="14" t="str">
        <f>IF(ISBLANK(Raw_Data!G1193),AVERAGE(Raw_Data!G$2:G$5002),Raw_Data!G1193)</f>
        <v>11156.72</v>
      </c>
      <c r="H1193" s="15" t="str">
        <f t="shared" si="1"/>
        <v>91279.00</v>
      </c>
      <c r="I1193" s="14" t="str">
        <f t="shared" si="2"/>
        <v>80122.00</v>
      </c>
      <c r="J1193" s="16" t="str">
        <f>TEXT(Raw_Data!J1193,"MMM-YYY")</f>
        <v>Aug-2025</v>
      </c>
      <c r="K1193" s="13" t="str">
        <f>Raw_Data!K1193</f>
        <v>21</v>
      </c>
      <c r="L1193" s="17" t="str">
        <f>Raw_Data!L1193</f>
        <v>Mumbai-HO</v>
      </c>
      <c r="M1193" s="13" t="str">
        <f t="shared" si="3"/>
        <v>OK</v>
      </c>
      <c r="N1193" s="18" t="str">
        <f t="shared" si="4"/>
        <v>VALID</v>
      </c>
    </row>
    <row r="1194" ht="15.75" customHeight="1">
      <c r="A1194" s="13" t="str">
        <f>Raw_Data!A1194</f>
        <v>EMP1251</v>
      </c>
      <c r="B1194" s="13" t="str">
        <f>TRIM(CLEAN(Raw_Data!B1194))</f>
        <v>Marketing</v>
      </c>
      <c r="C1194" s="18" t="s">
        <v>14</v>
      </c>
      <c r="D1194" s="14" t="str">
        <f>IF(ISBLANK(Raw_Data!D1194),AVERAGE(Raw_Data!D$2:D$5002),Raw_Data!D1194)</f>
        <v>61760.70</v>
      </c>
      <c r="E1194" s="15" t="str">
        <f>IF(ISBLANK(Raw_Data!E1194),AVERAGE(Raw_Data!E$2:E$5002),Raw_Data!E1194)</f>
        <v>19763.64</v>
      </c>
      <c r="F1194" s="15" t="str">
        <f>IF(ISBLANK(Raw_Data!F1194),AVERAGE(Raw_Data!F$2:F$5002),Raw_Data!F1194)</f>
        <v>9778.94</v>
      </c>
      <c r="G1194" s="14" t="str">
        <f>IF(ISBLANK(Raw_Data!G1194),AVERAGE(Raw_Data!G$2:G$5002),Raw_Data!G1194)</f>
        <v>11160.11</v>
      </c>
      <c r="H1194" s="15" t="str">
        <f t="shared" si="1"/>
        <v>91303.00</v>
      </c>
      <c r="I1194" s="14" t="str">
        <f t="shared" si="2"/>
        <v>80143.00</v>
      </c>
      <c r="J1194" s="16" t="str">
        <f>TEXT(Raw_Data!J1194,"MMM-YYY")</f>
        <v>Nov-2025</v>
      </c>
      <c r="K1194" s="13" t="str">
        <f>Raw_Data!K1194</f>
        <v>21</v>
      </c>
      <c r="L1194" s="17" t="str">
        <f>Raw_Data!L1194</f>
        <v>Delhi-North</v>
      </c>
      <c r="M1194" s="13" t="str">
        <f t="shared" si="3"/>
        <v>OK</v>
      </c>
      <c r="N1194" s="18" t="str">
        <f t="shared" si="4"/>
        <v>VALID</v>
      </c>
    </row>
    <row r="1195" ht="15.75" customHeight="1">
      <c r="A1195" s="13" t="str">
        <f>Raw_Data!A1195</f>
        <v>EMP1252</v>
      </c>
      <c r="B1195" s="13" t="str">
        <f>TRIM(CLEAN(Raw_Data!B1195))</f>
        <v>IT</v>
      </c>
      <c r="C1195" s="18" t="s">
        <v>54</v>
      </c>
      <c r="D1195" s="14" t="str">
        <f>IF(ISBLANK(Raw_Data!D1195),AVERAGE(Raw_Data!D$2:D$5002),Raw_Data!D1195)</f>
        <v>61771.59</v>
      </c>
      <c r="E1195" s="15" t="str">
        <f>IF(ISBLANK(Raw_Data!E1195),AVERAGE(Raw_Data!E$2:E$5002),Raw_Data!E1195)</f>
        <v>19768.25</v>
      </c>
      <c r="F1195" s="15" t="str">
        <f>IF(ISBLANK(Raw_Data!F1195),AVERAGE(Raw_Data!F$2:F$5002),Raw_Data!F1195)</f>
        <v>9786.62</v>
      </c>
      <c r="G1195" s="14" t="str">
        <f>IF(ISBLANK(Raw_Data!G1195),AVERAGE(Raw_Data!G$2:G$5002),Raw_Data!G1195)</f>
        <v>11163.51</v>
      </c>
      <c r="H1195" s="15" t="str">
        <f t="shared" si="1"/>
        <v>91326.00</v>
      </c>
      <c r="I1195" s="14" t="str">
        <f t="shared" si="2"/>
        <v>80162.00</v>
      </c>
      <c r="J1195" s="16" t="str">
        <f>TEXT(Raw_Data!J1195,"MMM-YYY")</f>
        <v>Oct-2025</v>
      </c>
      <c r="K1195" s="13" t="str">
        <f>Raw_Data!K1195</f>
        <v>8</v>
      </c>
      <c r="L1195" s="17" t="str">
        <f>Raw_Data!L1195</f>
        <v>Bangalore-South</v>
      </c>
      <c r="M1195" s="13" t="str">
        <f t="shared" si="3"/>
        <v>OK</v>
      </c>
      <c r="N1195" s="18" t="str">
        <f t="shared" si="4"/>
        <v>VALID</v>
      </c>
    </row>
    <row r="1196" ht="15.75" customHeight="1">
      <c r="A1196" s="13" t="str">
        <f>Raw_Data!A1196</f>
        <v>EMP1253</v>
      </c>
      <c r="B1196" s="13" t="str">
        <f>TRIM(CLEAN(Raw_Data!B1196))</f>
        <v>Sales</v>
      </c>
      <c r="C1196" s="18" t="s">
        <v>54</v>
      </c>
      <c r="D1196" s="14" t="str">
        <f>IF(ISBLANK(Raw_Data!D1196),AVERAGE(Raw_Data!D$2:D$5002),Raw_Data!D1196)</f>
        <v>61782.47</v>
      </c>
      <c r="E1196" s="15" t="str">
        <f>IF(ISBLANK(Raw_Data!E1196),AVERAGE(Raw_Data!E$2:E$5002),Raw_Data!E1196)</f>
        <v>19772.87</v>
      </c>
      <c r="F1196" s="15" t="str">
        <f>IF(ISBLANK(Raw_Data!F1196),AVERAGE(Raw_Data!F$2:F$5002),Raw_Data!F1196)</f>
        <v>9794.30</v>
      </c>
      <c r="G1196" s="14" t="str">
        <f>IF(ISBLANK(Raw_Data!G1196),AVERAGE(Raw_Data!G$2:G$5002),Raw_Data!G1196)</f>
        <v>11166.91</v>
      </c>
      <c r="H1196" s="15" t="str">
        <f t="shared" si="1"/>
        <v>91350.00</v>
      </c>
      <c r="I1196" s="14" t="str">
        <f t="shared" si="2"/>
        <v>80183.00</v>
      </c>
      <c r="J1196" s="16" t="str">
        <f>TEXT(Raw_Data!J1196,"MMM-YYY")</f>
        <v>Aug-2025</v>
      </c>
      <c r="K1196" s="13" t="str">
        <f>Raw_Data!K1196</f>
        <v>9</v>
      </c>
      <c r="L1196" s="17" t="str">
        <f>Raw_Data!L1196</f>
        <v>Chennai-South</v>
      </c>
      <c r="M1196" s="13" t="str">
        <f t="shared" si="3"/>
        <v>OK</v>
      </c>
      <c r="N1196" s="18" t="str">
        <f t="shared" si="4"/>
        <v>VALID</v>
      </c>
    </row>
    <row r="1197" ht="15.75" customHeight="1">
      <c r="A1197" s="13" t="str">
        <f>Raw_Data!A1197</f>
        <v>EMP1254</v>
      </c>
      <c r="B1197" s="13" t="str">
        <f>TRIM(CLEAN(Raw_Data!B1197))</f>
        <v>Sales</v>
      </c>
      <c r="C1197" s="18" t="s">
        <v>37</v>
      </c>
      <c r="D1197" s="14" t="str">
        <f>IF(ISBLANK(Raw_Data!D1197),AVERAGE(Raw_Data!D$2:D$5002),Raw_Data!D1197)</f>
        <v>61793.35</v>
      </c>
      <c r="E1197" s="15" t="str">
        <f>IF(ISBLANK(Raw_Data!E1197),AVERAGE(Raw_Data!E$2:E$5002),Raw_Data!E1197)</f>
        <v>19777.48</v>
      </c>
      <c r="F1197" s="15" t="str">
        <f>IF(ISBLANK(Raw_Data!F1197),AVERAGE(Raw_Data!F$2:F$5002),Raw_Data!F1197)</f>
        <v>9801.98</v>
      </c>
      <c r="G1197" s="14" t="str">
        <f>IF(ISBLANK(Raw_Data!G1197),AVERAGE(Raw_Data!G$2:G$5002),Raw_Data!G1197)</f>
        <v>11170.31</v>
      </c>
      <c r="H1197" s="15" t="str">
        <f t="shared" si="1"/>
        <v>91373.00</v>
      </c>
      <c r="I1197" s="14" t="str">
        <f t="shared" si="2"/>
        <v>80203.00</v>
      </c>
      <c r="J1197" s="16" t="str">
        <f>TEXT(Raw_Data!J1197,"MMM-YYY")</f>
        <v>Mar-2025</v>
      </c>
      <c r="K1197" s="13" t="str">
        <f>Raw_Data!K1197</f>
        <v>2</v>
      </c>
      <c r="L1197" s="17" t="str">
        <f>Raw_Data!L1197</f>
        <v>Kolkata-East</v>
      </c>
      <c r="M1197" s="13" t="str">
        <f t="shared" si="3"/>
        <v>OK</v>
      </c>
      <c r="N1197" s="18" t="str">
        <f t="shared" si="4"/>
        <v>VALID</v>
      </c>
    </row>
    <row r="1198" ht="15.75" customHeight="1">
      <c r="A1198" s="13" t="str">
        <f>Raw_Data!A1198</f>
        <v>EMP1255</v>
      </c>
      <c r="B1198" s="13" t="str">
        <f>TRIM(CLEAN(Raw_Data!B1198))</f>
        <v>Operations</v>
      </c>
      <c r="C1198" s="18" t="s">
        <v>26</v>
      </c>
      <c r="D1198" s="14" t="str">
        <f>IF(ISBLANK(Raw_Data!D1198),AVERAGE(Raw_Data!D$2:D$5002),Raw_Data!D1198)</f>
        <v>61804.24</v>
      </c>
      <c r="E1198" s="15" t="str">
        <f>IF(ISBLANK(Raw_Data!E1198),AVERAGE(Raw_Data!E$2:E$5002),Raw_Data!E1198)</f>
        <v>19782.10</v>
      </c>
      <c r="F1198" s="15" t="str">
        <f>IF(ISBLANK(Raw_Data!F1198),AVERAGE(Raw_Data!F$2:F$5002),Raw_Data!F1198)</f>
        <v>9809.66</v>
      </c>
      <c r="G1198" s="14" t="str">
        <f>IF(ISBLANK(Raw_Data!G1198),AVERAGE(Raw_Data!G$2:G$5002),Raw_Data!G1198)</f>
        <v>11173.71</v>
      </c>
      <c r="H1198" s="15" t="str">
        <f t="shared" si="1"/>
        <v>91396.00</v>
      </c>
      <c r="I1198" s="14" t="str">
        <f t="shared" si="2"/>
        <v>80222.00</v>
      </c>
      <c r="J1198" s="16" t="str">
        <f>TEXT(Raw_Data!J1198,"MMM-YYY")</f>
        <v>Oct-2025</v>
      </c>
      <c r="K1198" s="13" t="str">
        <f>Raw_Data!K1198</f>
        <v>22</v>
      </c>
      <c r="L1198" s="17" t="str">
        <f>Raw_Data!L1198</f>
        <v>Pune-West</v>
      </c>
      <c r="M1198" s="13" t="str">
        <f t="shared" si="3"/>
        <v>OK</v>
      </c>
      <c r="N1198" s="18" t="str">
        <f t="shared" si="4"/>
        <v>VALID</v>
      </c>
    </row>
    <row r="1199" ht="15.75" customHeight="1">
      <c r="A1199" s="13" t="str">
        <f>Raw_Data!A1199</f>
        <v>EMP1256</v>
      </c>
      <c r="B1199" s="13" t="str">
        <f>TRIM(CLEAN(Raw_Data!B1199))</f>
        <v>HR</v>
      </c>
      <c r="C1199" s="18" t="s">
        <v>37</v>
      </c>
      <c r="D1199" s="14" t="str">
        <f>IF(ISBLANK(Raw_Data!D1199),AVERAGE(Raw_Data!D$2:D$5002),Raw_Data!D1199)</f>
        <v>61815.12</v>
      </c>
      <c r="E1199" s="15" t="str">
        <f>IF(ISBLANK(Raw_Data!E1199),AVERAGE(Raw_Data!E$2:E$5002),Raw_Data!E1199)</f>
        <v>19786.71</v>
      </c>
      <c r="F1199" s="15" t="str">
        <f>IF(ISBLANK(Raw_Data!F1199),AVERAGE(Raw_Data!F$2:F$5002),Raw_Data!F1199)</f>
        <v>9817.34</v>
      </c>
      <c r="G1199" s="14" t="str">
        <f>IF(ISBLANK(Raw_Data!G1199),AVERAGE(Raw_Data!G$2:G$5002),Raw_Data!G1199)</f>
        <v>11177.10</v>
      </c>
      <c r="H1199" s="15" t="str">
        <f t="shared" si="1"/>
        <v>91419.00</v>
      </c>
      <c r="I1199" s="14" t="str">
        <f t="shared" si="2"/>
        <v>80242.00</v>
      </c>
      <c r="J1199" s="16" t="str">
        <f>TEXT(Raw_Data!J1199,"MMM-YYY")</f>
        <v>Oct-2025</v>
      </c>
      <c r="K1199" s="13" t="str">
        <f>Raw_Data!K1199</f>
        <v>23</v>
      </c>
      <c r="L1199" s="17" t="str">
        <f>Raw_Data!L1199</f>
        <v>Hyderabad-South</v>
      </c>
      <c r="M1199" s="13" t="str">
        <f t="shared" si="3"/>
        <v>OK</v>
      </c>
      <c r="N1199" s="18" t="str">
        <f t="shared" si="4"/>
        <v>VALID</v>
      </c>
    </row>
    <row r="1200" ht="15.75" customHeight="1">
      <c r="A1200" s="13" t="str">
        <f>Raw_Data!A1200</f>
        <v>EMP1257</v>
      </c>
      <c r="B1200" s="13" t="str">
        <f>TRIM(CLEAN(Raw_Data!B1200))</f>
        <v>Finance</v>
      </c>
      <c r="C1200" s="18" t="s">
        <v>37</v>
      </c>
      <c r="D1200" s="14" t="str">
        <f>IF(ISBLANK(Raw_Data!D1200),AVERAGE(Raw_Data!D$2:D$5002),Raw_Data!D1200)</f>
        <v>61826.00</v>
      </c>
      <c r="E1200" s="15" t="str">
        <f>IF(ISBLANK(Raw_Data!E1200),AVERAGE(Raw_Data!E$2:E$5002),Raw_Data!E1200)</f>
        <v>19791.33</v>
      </c>
      <c r="F1200" s="15" t="str">
        <f>IF(ISBLANK(Raw_Data!F1200),AVERAGE(Raw_Data!F$2:F$5002),Raw_Data!F1200)</f>
        <v>9825.02</v>
      </c>
      <c r="G1200" s="14" t="str">
        <f>IF(ISBLANK(Raw_Data!G1200),AVERAGE(Raw_Data!G$2:G$5002),Raw_Data!G1200)</f>
        <v>11180.50</v>
      </c>
      <c r="H1200" s="15" t="str">
        <f t="shared" si="1"/>
        <v>91442.00</v>
      </c>
      <c r="I1200" s="14" t="str">
        <f t="shared" si="2"/>
        <v>80261.00</v>
      </c>
      <c r="J1200" s="16" t="str">
        <f>TEXT(Raw_Data!J1200,"MMM-YYY")</f>
        <v>Jun-2025</v>
      </c>
      <c r="K1200" s="13" t="str">
        <f>Raw_Data!K1200</f>
        <v>20</v>
      </c>
      <c r="L1200" s="17" t="str">
        <f>Raw_Data!L1200</f>
        <v>Chandigarh-North</v>
      </c>
      <c r="M1200" s="13" t="str">
        <f t="shared" si="3"/>
        <v>OK</v>
      </c>
      <c r="N1200" s="18" t="str">
        <f t="shared" si="4"/>
        <v>VALID</v>
      </c>
    </row>
    <row r="1201" ht="15.75" customHeight="1">
      <c r="A1201" s="13" t="str">
        <f>Raw_Data!A1201</f>
        <v>EMP1258</v>
      </c>
      <c r="B1201" s="13" t="str">
        <f>TRIM(CLEAN(Raw_Data!B1201))</f>
        <v>Operations</v>
      </c>
      <c r="C1201" s="18" t="s">
        <v>37</v>
      </c>
      <c r="D1201" s="14" t="str">
        <f>IF(ISBLANK(Raw_Data!D1201),AVERAGE(Raw_Data!D$2:D$5002),Raw_Data!D1201)</f>
        <v>61836.89</v>
      </c>
      <c r="E1201" s="15" t="str">
        <f>IF(ISBLANK(Raw_Data!E1201),AVERAGE(Raw_Data!E$2:E$5002),Raw_Data!E1201)</f>
        <v>19795.94</v>
      </c>
      <c r="F1201" s="15" t="str">
        <f>IF(ISBLANK(Raw_Data!F1201),AVERAGE(Raw_Data!F$2:F$5002),Raw_Data!F1201)</f>
        <v>9832.70</v>
      </c>
      <c r="G1201" s="14" t="str">
        <f>IF(ISBLANK(Raw_Data!G1201),AVERAGE(Raw_Data!G$2:G$5002),Raw_Data!G1201)</f>
        <v>11183.90</v>
      </c>
      <c r="H1201" s="15" t="str">
        <f t="shared" si="1"/>
        <v>91466.00</v>
      </c>
      <c r="I1201" s="14" t="str">
        <f t="shared" si="2"/>
        <v>80282.00</v>
      </c>
      <c r="J1201" s="16" t="str">
        <f>TEXT(Raw_Data!J1201,"MMM-YYY")</f>
        <v>Jun-2025</v>
      </c>
      <c r="K1201" s="13" t="str">
        <f>Raw_Data!K1201</f>
        <v>12</v>
      </c>
      <c r="L1201" s="17" t="str">
        <f>Raw_Data!L1201</f>
        <v>Ahmedabad-West</v>
      </c>
      <c r="M1201" s="13" t="str">
        <f t="shared" si="3"/>
        <v>OK</v>
      </c>
      <c r="N1201" s="18" t="str">
        <f t="shared" si="4"/>
        <v>VALID</v>
      </c>
    </row>
    <row r="1202" ht="15.75" customHeight="1">
      <c r="A1202" s="13" t="str">
        <f>Raw_Data!A1202</f>
        <v>EMP1259</v>
      </c>
      <c r="B1202" s="13" t="str">
        <f>TRIM(CLEAN(Raw_Data!B1202))</f>
        <v>Finance</v>
      </c>
      <c r="C1202" s="18" t="s">
        <v>33</v>
      </c>
      <c r="D1202" s="14" t="str">
        <f>IF(ISBLANK(Raw_Data!D1202),AVERAGE(Raw_Data!D$2:D$5002),Raw_Data!D1202)</f>
        <v>61847.77</v>
      </c>
      <c r="E1202" s="15" t="str">
        <f>IF(ISBLANK(Raw_Data!E1202),AVERAGE(Raw_Data!E$2:E$5002),Raw_Data!E1202)</f>
        <v>19800.55</v>
      </c>
      <c r="F1202" s="15" t="str">
        <f>IF(ISBLANK(Raw_Data!F1202),AVERAGE(Raw_Data!F$2:F$5002),Raw_Data!F1202)</f>
        <v>9840.38</v>
      </c>
      <c r="G1202" s="14" t="str">
        <f>IF(ISBLANK(Raw_Data!G1202),AVERAGE(Raw_Data!G$2:G$5002),Raw_Data!G1202)</f>
        <v>11187.30</v>
      </c>
      <c r="H1202" s="15" t="str">
        <f t="shared" si="1"/>
        <v>91489.00</v>
      </c>
      <c r="I1202" s="14" t="str">
        <f t="shared" si="2"/>
        <v>80302.00</v>
      </c>
      <c r="J1202" s="16" t="str">
        <f>TEXT(Raw_Data!J1202,"MMM-YYY")</f>
        <v>Feb-2025</v>
      </c>
      <c r="K1202" s="13" t="str">
        <f>Raw_Data!K1202</f>
        <v>7</v>
      </c>
      <c r="L1202" s="17" t="str">
        <f>Raw_Data!L1202</f>
        <v>Jaipur-North</v>
      </c>
      <c r="M1202" s="13" t="str">
        <f t="shared" si="3"/>
        <v>OK</v>
      </c>
      <c r="N1202" s="18" t="str">
        <f t="shared" si="4"/>
        <v>VALID</v>
      </c>
    </row>
    <row r="1203" ht="15.75" customHeight="1">
      <c r="A1203" s="13" t="str">
        <f>Raw_Data!A1203</f>
        <v>EMP1260</v>
      </c>
      <c r="B1203" s="13" t="str">
        <f>TRIM(CLEAN(Raw_Data!B1203))</f>
        <v>Customer Support</v>
      </c>
      <c r="C1203" s="18" t="s">
        <v>14</v>
      </c>
      <c r="D1203" s="14" t="str">
        <f>IF(ISBLANK(Raw_Data!D1203),AVERAGE(Raw_Data!D$2:D$5002),Raw_Data!D1203)</f>
        <v>61858.65</v>
      </c>
      <c r="E1203" s="15" t="str">
        <f>IF(ISBLANK(Raw_Data!E1203),AVERAGE(Raw_Data!E$2:E$5002),Raw_Data!E1203)</f>
        <v>19805.17</v>
      </c>
      <c r="F1203" s="15" t="str">
        <f>IF(ISBLANK(Raw_Data!F1203),AVERAGE(Raw_Data!F$2:F$5002),Raw_Data!F1203)</f>
        <v>9848.06</v>
      </c>
      <c r="G1203" s="14" t="str">
        <f>IF(ISBLANK(Raw_Data!G1203),AVERAGE(Raw_Data!G$2:G$5002),Raw_Data!G1203)</f>
        <v>14562.73</v>
      </c>
      <c r="H1203" s="15" t="str">
        <f t="shared" si="1"/>
        <v>91512.00</v>
      </c>
      <c r="I1203" s="14" t="str">
        <f t="shared" si="2"/>
        <v>76949.00</v>
      </c>
      <c r="J1203" s="16" t="str">
        <f>TEXT(Raw_Data!J1203,"MMM-YYY")</f>
        <v>Feb-2025</v>
      </c>
      <c r="K1203" s="13" t="str">
        <f>Raw_Data!K1203</f>
        <v>22</v>
      </c>
      <c r="L1203" s="17" t="str">
        <f>Raw_Data!L1203</f>
        <v>Mumbai-HO</v>
      </c>
      <c r="M1203" s="13" t="str">
        <f t="shared" si="3"/>
        <v>OK</v>
      </c>
      <c r="N1203" s="18" t="str">
        <f t="shared" si="4"/>
        <v>VALID</v>
      </c>
    </row>
    <row r="1204" ht="15.75" customHeight="1">
      <c r="A1204" s="13" t="str">
        <f>Raw_Data!A1204</f>
        <v>EMP1261</v>
      </c>
      <c r="B1204" s="13" t="str">
        <f>TRIM(CLEAN(Raw_Data!B1204))</f>
        <v>HR</v>
      </c>
      <c r="C1204" s="18" t="s">
        <v>37</v>
      </c>
      <c r="D1204" s="14" t="str">
        <f>IF(ISBLANK(Raw_Data!D1204),AVERAGE(Raw_Data!D$2:D$5002),Raw_Data!D1204)</f>
        <v>61869.53</v>
      </c>
      <c r="E1204" s="15" t="str">
        <f>IF(ISBLANK(Raw_Data!E1204),AVERAGE(Raw_Data!E$2:E$5002),Raw_Data!E1204)</f>
        <v>19809.78</v>
      </c>
      <c r="F1204" s="15" t="str">
        <f>IF(ISBLANK(Raw_Data!F1204),AVERAGE(Raw_Data!F$2:F$5002),Raw_Data!F1204)</f>
        <v>9855.74</v>
      </c>
      <c r="G1204" s="14" t="str">
        <f>IF(ISBLANK(Raw_Data!G1204),AVERAGE(Raw_Data!G$2:G$5002),Raw_Data!G1204)</f>
        <v>11194.09</v>
      </c>
      <c r="H1204" s="15" t="str">
        <f t="shared" si="1"/>
        <v>91535.00</v>
      </c>
      <c r="I1204" s="14" t="str">
        <f t="shared" si="2"/>
        <v>80341.00</v>
      </c>
      <c r="J1204" s="16" t="str">
        <f>TEXT(Raw_Data!J1204,"MMM-YYY")</f>
        <v>May-2025</v>
      </c>
      <c r="K1204" s="13" t="str">
        <f>Raw_Data!K1204</f>
        <v>19</v>
      </c>
      <c r="L1204" s="17" t="str">
        <f>Raw_Data!L1204</f>
        <v>Delhi-North</v>
      </c>
      <c r="M1204" s="13" t="str">
        <f t="shared" si="3"/>
        <v>OK</v>
      </c>
      <c r="N1204" s="18" t="str">
        <f t="shared" si="4"/>
        <v>VALID</v>
      </c>
    </row>
    <row r="1205" ht="15.75" customHeight="1">
      <c r="A1205" s="13" t="str">
        <f>Raw_Data!A1205</f>
        <v>EMP1262</v>
      </c>
      <c r="B1205" s="13" t="str">
        <f>TRIM(CLEAN(Raw_Data!B1205))</f>
        <v>Finance</v>
      </c>
      <c r="C1205" s="18" t="s">
        <v>33</v>
      </c>
      <c r="D1205" s="14" t="str">
        <f>IF(ISBLANK(Raw_Data!D1205),AVERAGE(Raw_Data!D$2:D$5002),Raw_Data!D1205)</f>
        <v>61880.42</v>
      </c>
      <c r="E1205" s="15" t="str">
        <f>IF(ISBLANK(Raw_Data!E1205),AVERAGE(Raw_Data!E$2:E$5002),Raw_Data!E1205)</f>
        <v>19814.40</v>
      </c>
      <c r="F1205" s="15" t="str">
        <f>IF(ISBLANK(Raw_Data!F1205),AVERAGE(Raw_Data!F$2:F$5002),Raw_Data!F1205)</f>
        <v>9863.42</v>
      </c>
      <c r="G1205" s="14" t="str">
        <f>IF(ISBLANK(Raw_Data!G1205),AVERAGE(Raw_Data!G$2:G$5002),Raw_Data!G1205)</f>
        <v>11197.49</v>
      </c>
      <c r="H1205" s="15" t="str">
        <f t="shared" si="1"/>
        <v>91558.00</v>
      </c>
      <c r="I1205" s="14" t="str">
        <f t="shared" si="2"/>
        <v>80361.00</v>
      </c>
      <c r="J1205" s="16" t="str">
        <f>TEXT(Raw_Data!J1205,"MMM-YYY")</f>
        <v>May-2025</v>
      </c>
      <c r="K1205" s="13" t="str">
        <f>Raw_Data!K1205</f>
        <v>18</v>
      </c>
      <c r="L1205" s="17" t="str">
        <f>Raw_Data!L1205</f>
        <v>Bangalore-South</v>
      </c>
      <c r="M1205" s="13" t="str">
        <f t="shared" si="3"/>
        <v>OK</v>
      </c>
      <c r="N1205" s="18" t="str">
        <f t="shared" si="4"/>
        <v>VALID</v>
      </c>
    </row>
    <row r="1206" ht="15.75" customHeight="1">
      <c r="A1206" s="13" t="str">
        <f>Raw_Data!A1206</f>
        <v>EMP1263</v>
      </c>
      <c r="B1206" s="13" t="str">
        <f>TRIM(CLEAN(Raw_Data!B1206))</f>
        <v>Operations</v>
      </c>
      <c r="C1206" s="18" t="s">
        <v>26</v>
      </c>
      <c r="D1206" s="14" t="str">
        <f>IF(ISBLANK(Raw_Data!D1206),AVERAGE(Raw_Data!D$2:D$5002),Raw_Data!D1206)</f>
        <v>61891.30</v>
      </c>
      <c r="E1206" s="15" t="str">
        <f>IF(ISBLANK(Raw_Data!E1206),AVERAGE(Raw_Data!E$2:E$5002),Raw_Data!E1206)</f>
        <v>19819.01</v>
      </c>
      <c r="F1206" s="15" t="str">
        <f>IF(ISBLANK(Raw_Data!F1206),AVERAGE(Raw_Data!F$2:F$5002),Raw_Data!F1206)</f>
        <v>9871.10</v>
      </c>
      <c r="G1206" s="14" t="str">
        <f>IF(ISBLANK(Raw_Data!G1206),AVERAGE(Raw_Data!G$2:G$5002),Raw_Data!G1206)</f>
        <v>11200.89</v>
      </c>
      <c r="H1206" s="15" t="str">
        <f t="shared" si="1"/>
        <v>91581.00</v>
      </c>
      <c r="I1206" s="14" t="str">
        <f t="shared" si="2"/>
        <v>80380.00</v>
      </c>
      <c r="J1206" s="16" t="str">
        <f>TEXT(Raw_Data!J1206,"MMM-YYY")</f>
        <v>Feb-2025</v>
      </c>
      <c r="K1206" s="13" t="str">
        <f>Raw_Data!K1206</f>
        <v>11</v>
      </c>
      <c r="L1206" s="17" t="str">
        <f>Raw_Data!L1206</f>
        <v>Chennai-South</v>
      </c>
      <c r="M1206" s="13" t="str">
        <f t="shared" si="3"/>
        <v>OK</v>
      </c>
      <c r="N1206" s="18" t="str">
        <f t="shared" si="4"/>
        <v>VALID</v>
      </c>
    </row>
    <row r="1207" ht="15.75" customHeight="1">
      <c r="A1207" s="13" t="str">
        <f>Raw_Data!A1207</f>
        <v>EMP1264</v>
      </c>
      <c r="B1207" s="13" t="str">
        <f>TRIM(CLEAN(Raw_Data!B1207))</f>
        <v>Sales</v>
      </c>
      <c r="C1207" s="18" t="s">
        <v>14</v>
      </c>
      <c r="D1207" s="14" t="str">
        <f>IF(ISBLANK(Raw_Data!D1207),AVERAGE(Raw_Data!D$2:D$5002),Raw_Data!D1207)</f>
        <v>61902.18</v>
      </c>
      <c r="E1207" s="15" t="str">
        <f>IF(ISBLANK(Raw_Data!E1207),AVERAGE(Raw_Data!E$2:E$5002),Raw_Data!E1207)</f>
        <v>19823.63</v>
      </c>
      <c r="F1207" s="15" t="str">
        <f>IF(ISBLANK(Raw_Data!F1207),AVERAGE(Raw_Data!F$2:F$5002),Raw_Data!F1207)</f>
        <v>9878.78</v>
      </c>
      <c r="G1207" s="14" t="str">
        <f>IF(ISBLANK(Raw_Data!G1207),AVERAGE(Raw_Data!G$2:G$5002),Raw_Data!G1207)</f>
        <v>11204.28</v>
      </c>
      <c r="H1207" s="15" t="str">
        <f t="shared" si="1"/>
        <v>91605.00</v>
      </c>
      <c r="I1207" s="14" t="str">
        <f t="shared" si="2"/>
        <v>80401.00</v>
      </c>
      <c r="J1207" s="16" t="str">
        <f>TEXT(Raw_Data!J1207,"MMM-YYY")</f>
        <v>Jun-2025</v>
      </c>
      <c r="K1207" s="13" t="str">
        <f>Raw_Data!K1207</f>
        <v>20</v>
      </c>
      <c r="L1207" s="17" t="str">
        <f>Raw_Data!L1207</f>
        <v>Kolkata-East</v>
      </c>
      <c r="M1207" s="13" t="str">
        <f t="shared" si="3"/>
        <v>OK</v>
      </c>
      <c r="N1207" s="18" t="str">
        <f t="shared" si="4"/>
        <v>VALID</v>
      </c>
    </row>
    <row r="1208" ht="15.75" customHeight="1">
      <c r="A1208" s="13" t="str">
        <f>Raw_Data!A1208</f>
        <v>EMP1265</v>
      </c>
      <c r="B1208" s="13" t="str">
        <f>TRIM(CLEAN(Raw_Data!B1208))</f>
        <v>Sales</v>
      </c>
      <c r="C1208" s="18" t="s">
        <v>37</v>
      </c>
      <c r="D1208" s="14" t="str">
        <f>IF(ISBLANK(Raw_Data!D1208),AVERAGE(Raw_Data!D$2:D$5002),Raw_Data!D1208)</f>
        <v>61913.07</v>
      </c>
      <c r="E1208" s="15" t="str">
        <f>IF(ISBLANK(Raw_Data!E1208),AVERAGE(Raw_Data!E$2:E$5002),Raw_Data!E1208)</f>
        <v>19828.24</v>
      </c>
      <c r="F1208" s="15" t="str">
        <f>IF(ISBLANK(Raw_Data!F1208),AVERAGE(Raw_Data!F$2:F$5002),Raw_Data!F1208)</f>
        <v>9886.46</v>
      </c>
      <c r="G1208" s="14" t="str">
        <f>IF(ISBLANK(Raw_Data!G1208),AVERAGE(Raw_Data!G$2:G$5002),Raw_Data!G1208)</f>
        <v>11207.68</v>
      </c>
      <c r="H1208" s="15" t="str">
        <f t="shared" si="1"/>
        <v>91628.00</v>
      </c>
      <c r="I1208" s="14" t="str">
        <f t="shared" si="2"/>
        <v>80420.00</v>
      </c>
      <c r="J1208" s="16" t="str">
        <f>TEXT(Raw_Data!J1208,"MMM-YYY")</f>
        <v>Jan-2025</v>
      </c>
      <c r="K1208" s="13" t="str">
        <f>Raw_Data!K1208</f>
        <v>8</v>
      </c>
      <c r="L1208" s="17" t="str">
        <f>Raw_Data!L1208</f>
        <v>Pune-West</v>
      </c>
      <c r="M1208" s="13" t="str">
        <f t="shared" si="3"/>
        <v>OK</v>
      </c>
      <c r="N1208" s="18" t="str">
        <f t="shared" si="4"/>
        <v>VALID</v>
      </c>
    </row>
    <row r="1209" ht="15.75" customHeight="1">
      <c r="A1209" s="13" t="str">
        <f>Raw_Data!A1209</f>
        <v>EMP1266</v>
      </c>
      <c r="B1209" s="13" t="str">
        <f>TRIM(CLEAN(Raw_Data!B1209))</f>
        <v>Finance</v>
      </c>
      <c r="C1209" s="18" t="s">
        <v>18</v>
      </c>
      <c r="D1209" s="14" t="str">
        <f>IF(ISBLANK(Raw_Data!D1209),AVERAGE(Raw_Data!D$2:D$5002),Raw_Data!D1209)</f>
        <v>61923.95</v>
      </c>
      <c r="E1209" s="15" t="str">
        <f>IF(ISBLANK(Raw_Data!E1209),AVERAGE(Raw_Data!E$2:E$5002),Raw_Data!E1209)</f>
        <v>19832.86</v>
      </c>
      <c r="F1209" s="15" t="str">
        <f>IF(ISBLANK(Raw_Data!F1209),AVERAGE(Raw_Data!F$2:F$5002),Raw_Data!F1209)</f>
        <v>9894.14</v>
      </c>
      <c r="G1209" s="14" t="str">
        <f>IF(ISBLANK(Raw_Data!G1209),AVERAGE(Raw_Data!G$2:G$5002),Raw_Data!G1209)</f>
        <v>11211.08</v>
      </c>
      <c r="H1209" s="15" t="str">
        <f t="shared" si="1"/>
        <v>91651.00</v>
      </c>
      <c r="I1209" s="14" t="str">
        <f t="shared" si="2"/>
        <v>80440.00</v>
      </c>
      <c r="J1209" s="16" t="str">
        <f>TEXT(Raw_Data!J1209,"MMM-YYY")</f>
        <v>Mar-2025</v>
      </c>
      <c r="K1209" s="13" t="str">
        <f>Raw_Data!K1209</f>
        <v>3</v>
      </c>
      <c r="L1209" s="17" t="str">
        <f>Raw_Data!L1209</f>
        <v>Hyderabad-South</v>
      </c>
      <c r="M1209" s="13" t="str">
        <f t="shared" si="3"/>
        <v>OK</v>
      </c>
      <c r="N1209" s="18" t="str">
        <f t="shared" si="4"/>
        <v>VALID</v>
      </c>
    </row>
    <row r="1210" ht="15.75" customHeight="1">
      <c r="A1210" s="13" t="str">
        <f>Raw_Data!A1210</f>
        <v>EMP1267</v>
      </c>
      <c r="B1210" s="13" t="str">
        <f>TRIM(CLEAN(Raw_Data!B1210))</f>
        <v>HR</v>
      </c>
      <c r="C1210" s="18" t="s">
        <v>18</v>
      </c>
      <c r="D1210" s="14" t="str">
        <f>IF(ISBLANK(Raw_Data!D1210),AVERAGE(Raw_Data!D$2:D$5002),Raw_Data!D1210)</f>
        <v>61934.83</v>
      </c>
      <c r="E1210" s="15" t="str">
        <f>IF(ISBLANK(Raw_Data!E1210),AVERAGE(Raw_Data!E$2:E$5002),Raw_Data!E1210)</f>
        <v>19837.47</v>
      </c>
      <c r="F1210" s="15" t="str">
        <f>IF(ISBLANK(Raw_Data!F1210),AVERAGE(Raw_Data!F$2:F$5002),Raw_Data!F1210)</f>
        <v>9901.82</v>
      </c>
      <c r="G1210" s="14" t="str">
        <f>IF(ISBLANK(Raw_Data!G1210),AVERAGE(Raw_Data!G$2:G$5002),Raw_Data!G1210)</f>
        <v>11214.48</v>
      </c>
      <c r="H1210" s="15" t="str">
        <f t="shared" si="1"/>
        <v>91674.00</v>
      </c>
      <c r="I1210" s="14" t="str">
        <f t="shared" si="2"/>
        <v>80460.00</v>
      </c>
      <c r="J1210" s="16" t="str">
        <f>TEXT(Raw_Data!J1210,"MMM-YYY")</f>
        <v>Sep-2025</v>
      </c>
      <c r="K1210" s="13" t="str">
        <f>Raw_Data!K1210</f>
        <v>16</v>
      </c>
      <c r="L1210" s="17" t="str">
        <f>Raw_Data!L1210</f>
        <v>Chandigarh-North</v>
      </c>
      <c r="M1210" s="13" t="str">
        <f t="shared" si="3"/>
        <v>OK</v>
      </c>
      <c r="N1210" s="18" t="str">
        <f t="shared" si="4"/>
        <v>VALID</v>
      </c>
    </row>
    <row r="1211" ht="15.75" customHeight="1">
      <c r="A1211" s="13" t="str">
        <f>Raw_Data!A1211</f>
        <v>EMP1268</v>
      </c>
      <c r="B1211" s="13" t="str">
        <f>TRIM(CLEAN(Raw_Data!B1211))</f>
        <v>Sales</v>
      </c>
      <c r="C1211" s="18" t="s">
        <v>33</v>
      </c>
      <c r="D1211" s="14" t="str">
        <f>IF(ISBLANK(Raw_Data!D1211),AVERAGE(Raw_Data!D$2:D$5002),Raw_Data!D1211)</f>
        <v>61945.72</v>
      </c>
      <c r="E1211" s="15" t="str">
        <f>IF(ISBLANK(Raw_Data!E1211),AVERAGE(Raw_Data!E$2:E$5002),Raw_Data!E1211)</f>
        <v>19842.09</v>
      </c>
      <c r="F1211" s="15" t="str">
        <f>IF(ISBLANK(Raw_Data!F1211),AVERAGE(Raw_Data!F$2:F$5002),Raw_Data!F1211)</f>
        <v>9909.50</v>
      </c>
      <c r="G1211" s="14" t="str">
        <f>IF(ISBLANK(Raw_Data!G1211),AVERAGE(Raw_Data!G$2:G$5002),Raw_Data!G1211)</f>
        <v>11217.87</v>
      </c>
      <c r="H1211" s="15" t="str">
        <f t="shared" si="1"/>
        <v>91697.00</v>
      </c>
      <c r="I1211" s="14" t="str">
        <f t="shared" si="2"/>
        <v>80479.00</v>
      </c>
      <c r="J1211" s="16" t="str">
        <f>TEXT(Raw_Data!J1211,"MMM-YYY")</f>
        <v>Sep-2025</v>
      </c>
      <c r="K1211" s="13" t="str">
        <f>Raw_Data!K1211</f>
        <v>17</v>
      </c>
      <c r="L1211" s="17" t="str">
        <f>Raw_Data!L1211</f>
        <v>Ahmedabad-West</v>
      </c>
      <c r="M1211" s="13" t="str">
        <f t="shared" si="3"/>
        <v>OK</v>
      </c>
      <c r="N1211" s="18" t="str">
        <f t="shared" si="4"/>
        <v>VALID</v>
      </c>
    </row>
    <row r="1212" ht="15.75" customHeight="1">
      <c r="A1212" s="13" t="str">
        <f>Raw_Data!A1212</f>
        <v>EMP1269</v>
      </c>
      <c r="B1212" s="13" t="str">
        <f>TRIM(CLEAN(Raw_Data!B1212))</f>
        <v>HR</v>
      </c>
      <c r="C1212" s="18" t="s">
        <v>14</v>
      </c>
      <c r="D1212" s="14" t="str">
        <f>IF(ISBLANK(Raw_Data!D1212),AVERAGE(Raw_Data!D$2:D$5002),Raw_Data!D1212)</f>
        <v>61956.60</v>
      </c>
      <c r="E1212" s="15" t="str">
        <f>IF(ISBLANK(Raw_Data!E1212),AVERAGE(Raw_Data!E$2:E$5002),Raw_Data!E1212)</f>
        <v>19846.70</v>
      </c>
      <c r="F1212" s="15" t="str">
        <f>IF(ISBLANK(Raw_Data!F1212),AVERAGE(Raw_Data!F$2:F$5002),Raw_Data!F1212)</f>
        <v>9917.18</v>
      </c>
      <c r="G1212" s="14" t="str">
        <f>IF(ISBLANK(Raw_Data!G1212),AVERAGE(Raw_Data!G$2:G$5002),Raw_Data!G1212)</f>
        <v>11221.27</v>
      </c>
      <c r="H1212" s="15" t="str">
        <f t="shared" si="1"/>
        <v>91720.00</v>
      </c>
      <c r="I1212" s="14" t="str">
        <f t="shared" si="2"/>
        <v>80499.00</v>
      </c>
      <c r="J1212" s="16" t="str">
        <f>TEXT(Raw_Data!J1212,"MMM-YYY")</f>
        <v>Jan-2025</v>
      </c>
      <c r="K1212" s="13" t="str">
        <f>Raw_Data!K1212</f>
        <v>5</v>
      </c>
      <c r="L1212" s="17" t="str">
        <f>Raw_Data!L1212</f>
        <v>Jaipur-North</v>
      </c>
      <c r="M1212" s="13" t="str">
        <f t="shared" si="3"/>
        <v>OK</v>
      </c>
      <c r="N1212" s="18" t="str">
        <f t="shared" si="4"/>
        <v>VALID</v>
      </c>
    </row>
    <row r="1213" ht="15.75" customHeight="1">
      <c r="A1213" s="13" t="str">
        <f>Raw_Data!A1213</f>
        <v>EMP1270</v>
      </c>
      <c r="B1213" s="13" t="str">
        <f>TRIM(CLEAN(Raw_Data!B1213))</f>
        <v>HR</v>
      </c>
      <c r="C1213" s="18" t="s">
        <v>26</v>
      </c>
      <c r="D1213" s="14" t="str">
        <f>IF(ISBLANK(Raw_Data!D1213),AVERAGE(Raw_Data!D$2:D$5002),Raw_Data!D1213)</f>
        <v>61967.48</v>
      </c>
      <c r="E1213" s="15" t="str">
        <f>IF(ISBLANK(Raw_Data!E1213),AVERAGE(Raw_Data!E$2:E$5002),Raw_Data!E1213)</f>
        <v>19851.32</v>
      </c>
      <c r="F1213" s="15" t="str">
        <f>IF(ISBLANK(Raw_Data!F1213),AVERAGE(Raw_Data!F$2:F$5002),Raw_Data!F1213)</f>
        <v>9924.86</v>
      </c>
      <c r="G1213" s="14" t="str">
        <f>IF(ISBLANK(Raw_Data!G1213),AVERAGE(Raw_Data!G$2:G$5002),Raw_Data!G1213)</f>
        <v>11224.67</v>
      </c>
      <c r="H1213" s="15" t="str">
        <f t="shared" si="1"/>
        <v>91744.00</v>
      </c>
      <c r="I1213" s="14" t="str">
        <f t="shared" si="2"/>
        <v>80519.00</v>
      </c>
      <c r="J1213" s="16" t="str">
        <f>TEXT(Raw_Data!J1213,"MMM-YYY")</f>
        <v>Jun-2025</v>
      </c>
      <c r="K1213" s="13" t="str">
        <f>Raw_Data!K1213</f>
        <v>14</v>
      </c>
      <c r="L1213" s="17" t="str">
        <f>Raw_Data!L1213</f>
        <v>Mumbai-HO</v>
      </c>
      <c r="M1213" s="13" t="str">
        <f t="shared" si="3"/>
        <v>OK</v>
      </c>
      <c r="N1213" s="18" t="str">
        <f t="shared" si="4"/>
        <v>VALID</v>
      </c>
    </row>
    <row r="1214" ht="15.75" customHeight="1">
      <c r="A1214" s="13" t="str">
        <f>Raw_Data!A1214</f>
        <v>EMP1271</v>
      </c>
      <c r="B1214" s="13" t="str">
        <f>TRIM(CLEAN(Raw_Data!B1214))</f>
        <v>IT</v>
      </c>
      <c r="C1214" s="18" t="s">
        <v>33</v>
      </c>
      <c r="D1214" s="14" t="str">
        <f>IF(ISBLANK(Raw_Data!D1214),AVERAGE(Raw_Data!D$2:D$5002),Raw_Data!D1214)</f>
        <v>61978.36</v>
      </c>
      <c r="E1214" s="15" t="str">
        <f>IF(ISBLANK(Raw_Data!E1214),AVERAGE(Raw_Data!E$2:E$5002),Raw_Data!E1214)</f>
        <v>19855.93</v>
      </c>
      <c r="F1214" s="15" t="str">
        <f>IF(ISBLANK(Raw_Data!F1214),AVERAGE(Raw_Data!F$2:F$5002),Raw_Data!F1214)</f>
        <v>9932.54</v>
      </c>
      <c r="G1214" s="14" t="str">
        <f>IF(ISBLANK(Raw_Data!G1214),AVERAGE(Raw_Data!G$2:G$5002),Raw_Data!G1214)</f>
        <v>11228.07</v>
      </c>
      <c r="H1214" s="15" t="str">
        <f t="shared" si="1"/>
        <v>91767.00</v>
      </c>
      <c r="I1214" s="14" t="str">
        <f t="shared" si="2"/>
        <v>80539.00</v>
      </c>
      <c r="J1214" s="16" t="str">
        <f>TEXT(Raw_Data!J1214,"MMM-YYY")</f>
        <v>Jul-2025</v>
      </c>
      <c r="K1214" s="13" t="str">
        <f>Raw_Data!K1214</f>
        <v>6</v>
      </c>
      <c r="L1214" s="17" t="str">
        <f>Raw_Data!L1214</f>
        <v>Delhi-North</v>
      </c>
      <c r="M1214" s="13" t="str">
        <f t="shared" si="3"/>
        <v>OK</v>
      </c>
      <c r="N1214" s="18" t="str">
        <f t="shared" si="4"/>
        <v>VALID</v>
      </c>
    </row>
    <row r="1215" ht="15.75" customHeight="1">
      <c r="A1215" s="13" t="str">
        <f>Raw_Data!A1215</f>
        <v>EMP1272</v>
      </c>
      <c r="B1215" s="13" t="str">
        <f>TRIM(CLEAN(Raw_Data!B1215))</f>
        <v>Finance</v>
      </c>
      <c r="C1215" s="18" t="s">
        <v>18</v>
      </c>
      <c r="D1215" s="14" t="str">
        <f>IF(ISBLANK(Raw_Data!D1215),AVERAGE(Raw_Data!D$2:D$5002),Raw_Data!D1215)</f>
        <v>61989.25</v>
      </c>
      <c r="E1215" s="15" t="str">
        <f>IF(ISBLANK(Raw_Data!E1215),AVERAGE(Raw_Data!E$2:E$5002),Raw_Data!E1215)</f>
        <v>19860.55</v>
      </c>
      <c r="F1215" s="15" t="str">
        <f>IF(ISBLANK(Raw_Data!F1215),AVERAGE(Raw_Data!F$2:F$5002),Raw_Data!F1215)</f>
        <v>9940.22</v>
      </c>
      <c r="G1215" s="14" t="str">
        <f>IF(ISBLANK(Raw_Data!G1215),AVERAGE(Raw_Data!G$2:G$5002),Raw_Data!G1215)</f>
        <v>11231.46</v>
      </c>
      <c r="H1215" s="15" t="str">
        <f t="shared" si="1"/>
        <v>91790.00</v>
      </c>
      <c r="I1215" s="14" t="str">
        <f t="shared" si="2"/>
        <v>80559.00</v>
      </c>
      <c r="J1215" s="16" t="str">
        <f>TEXT(Raw_Data!J1215,"MMM-YYY")</f>
        <v>Mar-2025</v>
      </c>
      <c r="K1215" s="13" t="str">
        <f>Raw_Data!K1215</f>
        <v>17</v>
      </c>
      <c r="L1215" s="17" t="str">
        <f>Raw_Data!L1215</f>
        <v>Bangalore-South</v>
      </c>
      <c r="M1215" s="13" t="str">
        <f t="shared" si="3"/>
        <v>OK</v>
      </c>
      <c r="N1215" s="18" t="str">
        <f t="shared" si="4"/>
        <v>VALID</v>
      </c>
    </row>
    <row r="1216" ht="15.75" customHeight="1">
      <c r="A1216" s="13" t="str">
        <f>Raw_Data!A1216</f>
        <v>EMP1273</v>
      </c>
      <c r="B1216" s="13" t="str">
        <f>TRIM(CLEAN(Raw_Data!B1216))</f>
        <v>Operations</v>
      </c>
      <c r="C1216" s="18" t="s">
        <v>18</v>
      </c>
      <c r="D1216" s="14" t="str">
        <f>IF(ISBLANK(Raw_Data!D1216),AVERAGE(Raw_Data!D$2:D$5002),Raw_Data!D1216)</f>
        <v>62000.13</v>
      </c>
      <c r="E1216" s="15" t="str">
        <f>IF(ISBLANK(Raw_Data!E1216),AVERAGE(Raw_Data!E$2:E$5002),Raw_Data!E1216)</f>
        <v>19865.16</v>
      </c>
      <c r="F1216" s="15" t="str">
        <f>IF(ISBLANK(Raw_Data!F1216),AVERAGE(Raw_Data!F$2:F$5002),Raw_Data!F1216)</f>
        <v>9947.90</v>
      </c>
      <c r="G1216" s="14" t="str">
        <f>IF(ISBLANK(Raw_Data!G1216),AVERAGE(Raw_Data!G$2:G$5002),Raw_Data!G1216)</f>
        <v>11234.86</v>
      </c>
      <c r="H1216" s="15" t="str">
        <f t="shared" si="1"/>
        <v>91813.00</v>
      </c>
      <c r="I1216" s="14" t="str">
        <f t="shared" si="2"/>
        <v>80578.00</v>
      </c>
      <c r="J1216" s="16" t="str">
        <f>TEXT(Raw_Data!J1216,"MMM-YYY")</f>
        <v>Jul-2025</v>
      </c>
      <c r="K1216" s="13" t="str">
        <f>Raw_Data!K1216</f>
        <v>12</v>
      </c>
      <c r="L1216" s="17" t="str">
        <f>Raw_Data!L1216</f>
        <v>Chennai-South</v>
      </c>
      <c r="M1216" s="13" t="str">
        <f t="shared" si="3"/>
        <v>OK</v>
      </c>
      <c r="N1216" s="18" t="str">
        <f t="shared" si="4"/>
        <v>VALID</v>
      </c>
    </row>
    <row r="1217" ht="15.75" customHeight="1">
      <c r="A1217" s="13" t="str">
        <f>Raw_Data!A1217</f>
        <v>EMP1274</v>
      </c>
      <c r="B1217" s="13" t="str">
        <f>TRIM(CLEAN(Raw_Data!B1217))</f>
        <v>Marketing</v>
      </c>
      <c r="C1217" s="18" t="s">
        <v>14</v>
      </c>
      <c r="D1217" s="14" t="str">
        <f>IF(ISBLANK(Raw_Data!D1217),AVERAGE(Raw_Data!D$2:D$5002),Raw_Data!D1217)</f>
        <v>62011.01</v>
      </c>
      <c r="E1217" s="15" t="str">
        <f>IF(ISBLANK(Raw_Data!E1217),AVERAGE(Raw_Data!E$2:E$5002),Raw_Data!E1217)</f>
        <v>19869.78</v>
      </c>
      <c r="F1217" s="15" t="str">
        <f>IF(ISBLANK(Raw_Data!F1217),AVERAGE(Raw_Data!F$2:F$5002),Raw_Data!F1217)</f>
        <v>9955.58</v>
      </c>
      <c r="G1217" s="14" t="str">
        <f>IF(ISBLANK(Raw_Data!G1217),AVERAGE(Raw_Data!G$2:G$5002),Raw_Data!G1217)</f>
        <v>11238.26</v>
      </c>
      <c r="H1217" s="15" t="str">
        <f t="shared" si="1"/>
        <v>91836.00</v>
      </c>
      <c r="I1217" s="14" t="str">
        <f t="shared" si="2"/>
        <v>80598.00</v>
      </c>
      <c r="J1217" s="16" t="str">
        <f>TEXT(Raw_Data!J1217,"MMM-YYY")</f>
        <v>Dec-2025</v>
      </c>
      <c r="K1217" s="13" t="str">
        <f>Raw_Data!K1217</f>
        <v>18</v>
      </c>
      <c r="L1217" s="17" t="str">
        <f>Raw_Data!L1217</f>
        <v>Kolkata-East</v>
      </c>
      <c r="M1217" s="13" t="str">
        <f t="shared" si="3"/>
        <v>OK</v>
      </c>
      <c r="N1217" s="18" t="str">
        <f t="shared" si="4"/>
        <v>VALID</v>
      </c>
    </row>
    <row r="1218" ht="15.75" customHeight="1">
      <c r="A1218" s="13" t="str">
        <f>Raw_Data!A1218</f>
        <v>EMP1275</v>
      </c>
      <c r="B1218" s="13" t="str">
        <f>TRIM(CLEAN(Raw_Data!B1218))</f>
        <v>Customer Support</v>
      </c>
      <c r="C1218" s="18" t="s">
        <v>18</v>
      </c>
      <c r="D1218" s="14" t="str">
        <f>IF(ISBLANK(Raw_Data!D1218),AVERAGE(Raw_Data!D$2:D$5002),Raw_Data!D1218)</f>
        <v>62021.90</v>
      </c>
      <c r="E1218" s="15" t="str">
        <f>IF(ISBLANK(Raw_Data!E1218),AVERAGE(Raw_Data!E$2:E$5002),Raw_Data!E1218)</f>
        <v>19874.39</v>
      </c>
      <c r="F1218" s="15" t="str">
        <f>IF(ISBLANK(Raw_Data!F1218),AVERAGE(Raw_Data!F$2:F$5002),Raw_Data!F1218)</f>
        <v>9963.26</v>
      </c>
      <c r="G1218" s="14" t="str">
        <f>IF(ISBLANK(Raw_Data!G1218),AVERAGE(Raw_Data!G$2:G$5002),Raw_Data!G1218)</f>
        <v>11241.66</v>
      </c>
      <c r="H1218" s="15" t="str">
        <f t="shared" si="1"/>
        <v>91860.00</v>
      </c>
      <c r="I1218" s="14" t="str">
        <f t="shared" si="2"/>
        <v>80618.00</v>
      </c>
      <c r="J1218" s="16" t="str">
        <f>TEXT(Raw_Data!J1218,"MMM-YYY")</f>
        <v>Aug-2025</v>
      </c>
      <c r="K1218" s="13" t="str">
        <f>Raw_Data!K1218</f>
        <v>4</v>
      </c>
      <c r="L1218" s="17" t="str">
        <f>Raw_Data!L1218</f>
        <v>Pune-West</v>
      </c>
      <c r="M1218" s="13" t="str">
        <f t="shared" si="3"/>
        <v>OK</v>
      </c>
      <c r="N1218" s="18" t="str">
        <f t="shared" si="4"/>
        <v>VALID</v>
      </c>
    </row>
    <row r="1219" ht="15.75" customHeight="1">
      <c r="A1219" s="13" t="str">
        <f>Raw_Data!A1219</f>
        <v>EMP1276</v>
      </c>
      <c r="B1219" s="13" t="str">
        <f>TRIM(CLEAN(Raw_Data!B1219))</f>
        <v>HR</v>
      </c>
      <c r="C1219" s="18" t="s">
        <v>54</v>
      </c>
      <c r="D1219" s="14" t="str">
        <f>IF(ISBLANK(Raw_Data!D1219),AVERAGE(Raw_Data!D$2:D$5002),Raw_Data!D1219)</f>
        <v>62032.78</v>
      </c>
      <c r="E1219" s="15" t="str">
        <f>IF(ISBLANK(Raw_Data!E1219),AVERAGE(Raw_Data!E$2:E$5002),Raw_Data!E1219)</f>
        <v>19879.00</v>
      </c>
      <c r="F1219" s="15" t="str">
        <f>IF(ISBLANK(Raw_Data!F1219),AVERAGE(Raw_Data!F$2:F$5002),Raw_Data!F1219)</f>
        <v>9970.94</v>
      </c>
      <c r="G1219" s="14" t="str">
        <f>IF(ISBLANK(Raw_Data!G1219),AVERAGE(Raw_Data!G$2:G$5002),Raw_Data!G1219)</f>
        <v>11245.05</v>
      </c>
      <c r="H1219" s="15" t="str">
        <f t="shared" si="1"/>
        <v>91883.00</v>
      </c>
      <c r="I1219" s="14" t="str">
        <f t="shared" si="2"/>
        <v>80638.00</v>
      </c>
      <c r="J1219" s="16" t="str">
        <f>TEXT(Raw_Data!J1219,"MMM-YYY")</f>
        <v>Nov-2025</v>
      </c>
      <c r="K1219" s="13" t="str">
        <f>Raw_Data!K1219</f>
        <v>19</v>
      </c>
      <c r="L1219" s="17" t="str">
        <f>Raw_Data!L1219</f>
        <v>Hyderabad-South</v>
      </c>
      <c r="M1219" s="13" t="str">
        <f t="shared" si="3"/>
        <v>OK</v>
      </c>
      <c r="N1219" s="18" t="str">
        <f t="shared" si="4"/>
        <v>VALID</v>
      </c>
    </row>
    <row r="1220" ht="15.75" customHeight="1">
      <c r="A1220" s="13" t="str">
        <f>Raw_Data!A1220</f>
        <v>EMP1277</v>
      </c>
      <c r="B1220" s="13" t="str">
        <f>TRIM(CLEAN(Raw_Data!B1220))</f>
        <v>IT</v>
      </c>
      <c r="C1220" s="18" t="s">
        <v>33</v>
      </c>
      <c r="D1220" s="14" t="str">
        <f>IF(ISBLANK(Raw_Data!D1220),AVERAGE(Raw_Data!D$2:D$5002),Raw_Data!D1220)</f>
        <v>62043.66</v>
      </c>
      <c r="E1220" s="15" t="str">
        <f>IF(ISBLANK(Raw_Data!E1220),AVERAGE(Raw_Data!E$2:E$5002),Raw_Data!E1220)</f>
        <v>19883.62</v>
      </c>
      <c r="F1220" s="15" t="str">
        <f>IF(ISBLANK(Raw_Data!F1220),AVERAGE(Raw_Data!F$2:F$5002),Raw_Data!F1220)</f>
        <v>9978.62</v>
      </c>
      <c r="G1220" s="14" t="str">
        <f>IF(ISBLANK(Raw_Data!G1220),AVERAGE(Raw_Data!G$2:G$5002),Raw_Data!G1220)</f>
        <v>11248.45</v>
      </c>
      <c r="H1220" s="15" t="str">
        <f t="shared" si="1"/>
        <v>91906.00</v>
      </c>
      <c r="I1220" s="14" t="str">
        <f t="shared" si="2"/>
        <v>80658.00</v>
      </c>
      <c r="J1220" s="16" t="str">
        <f>TEXT(Raw_Data!J1220,"MMM-YYY")</f>
        <v>May-2025</v>
      </c>
      <c r="K1220" s="13" t="str">
        <f>Raw_Data!K1220</f>
        <v>10</v>
      </c>
      <c r="L1220" s="17" t="str">
        <f>Raw_Data!L1220</f>
        <v>Chandigarh-North</v>
      </c>
      <c r="M1220" s="13" t="str">
        <f t="shared" si="3"/>
        <v>OK</v>
      </c>
      <c r="N1220" s="18" t="str">
        <f t="shared" si="4"/>
        <v>VALID</v>
      </c>
    </row>
    <row r="1221" ht="15.75" customHeight="1">
      <c r="A1221" s="13" t="str">
        <f>Raw_Data!A1221</f>
        <v>EMP1278</v>
      </c>
      <c r="B1221" s="13" t="str">
        <f>TRIM(CLEAN(Raw_Data!B1221))</f>
        <v>Finance</v>
      </c>
      <c r="C1221" s="18" t="s">
        <v>54</v>
      </c>
      <c r="D1221" s="14" t="str">
        <f>IF(ISBLANK(Raw_Data!D1221),AVERAGE(Raw_Data!D$2:D$5002),Raw_Data!D1221)</f>
        <v>62054.54</v>
      </c>
      <c r="E1221" s="15" t="str">
        <f>IF(ISBLANK(Raw_Data!E1221),AVERAGE(Raw_Data!E$2:E$5002),Raw_Data!E1221)</f>
        <v>19888.23</v>
      </c>
      <c r="F1221" s="15" t="str">
        <f>IF(ISBLANK(Raw_Data!F1221),AVERAGE(Raw_Data!F$2:F$5002),Raw_Data!F1221)</f>
        <v>9986.30</v>
      </c>
      <c r="G1221" s="14" t="str">
        <f>IF(ISBLANK(Raw_Data!G1221),AVERAGE(Raw_Data!G$2:G$5002),Raw_Data!G1221)</f>
        <v>11251.85</v>
      </c>
      <c r="H1221" s="15" t="str">
        <f t="shared" si="1"/>
        <v>91929.00</v>
      </c>
      <c r="I1221" s="14" t="str">
        <f t="shared" si="2"/>
        <v>80677.00</v>
      </c>
      <c r="J1221" s="16" t="str">
        <f>TEXT(Raw_Data!J1221,"MMM-YYY")</f>
        <v>Jun-2025</v>
      </c>
      <c r="K1221" s="13" t="str">
        <f>Raw_Data!K1221</f>
        <v>11</v>
      </c>
      <c r="L1221" s="17" t="str">
        <f>Raw_Data!L1221</f>
        <v>Ahmedabad-West</v>
      </c>
      <c r="M1221" s="13" t="str">
        <f t="shared" si="3"/>
        <v>OK</v>
      </c>
      <c r="N1221" s="18" t="str">
        <f t="shared" si="4"/>
        <v>VALID</v>
      </c>
    </row>
    <row r="1222" ht="15.75" customHeight="1">
      <c r="A1222" s="13" t="str">
        <f>Raw_Data!A1222</f>
        <v>EMP1279</v>
      </c>
      <c r="B1222" s="13" t="str">
        <f>TRIM(CLEAN(Raw_Data!B1222))</f>
        <v>IT</v>
      </c>
      <c r="C1222" s="18" t="s">
        <v>18</v>
      </c>
      <c r="D1222" s="14" t="str">
        <f>IF(ISBLANK(Raw_Data!D1222),AVERAGE(Raw_Data!D$2:D$5002),Raw_Data!D1222)</f>
        <v>71831.17</v>
      </c>
      <c r="E1222" s="15" t="str">
        <f>IF(ISBLANK(Raw_Data!E1222),AVERAGE(Raw_Data!E$2:E$5002),Raw_Data!E1222)</f>
        <v>19892.85</v>
      </c>
      <c r="F1222" s="15" t="str">
        <f>IF(ISBLANK(Raw_Data!F1222),AVERAGE(Raw_Data!F$2:F$5002),Raw_Data!F1222)</f>
        <v>9993.98</v>
      </c>
      <c r="G1222" s="14" t="str">
        <f>IF(ISBLANK(Raw_Data!G1222),AVERAGE(Raw_Data!G$2:G$5002),Raw_Data!G1222)</f>
        <v>11255.25</v>
      </c>
      <c r="H1222" s="15" t="str">
        <f t="shared" si="1"/>
        <v>101718.00</v>
      </c>
      <c r="I1222" s="14" t="str">
        <f t="shared" si="2"/>
        <v>90463.00</v>
      </c>
      <c r="J1222" s="16" t="str">
        <f>TEXT(Raw_Data!J1222,"MMM-YYY")</f>
        <v>May-2025</v>
      </c>
      <c r="K1222" s="13" t="str">
        <f>Raw_Data!K1222</f>
        <v>17</v>
      </c>
      <c r="L1222" s="17" t="str">
        <f>Raw_Data!L1222</f>
        <v>Jaipur-North</v>
      </c>
      <c r="M1222" s="13" t="str">
        <f t="shared" si="3"/>
        <v>OK</v>
      </c>
      <c r="N1222" s="18" t="str">
        <f t="shared" si="4"/>
        <v>VALID</v>
      </c>
    </row>
    <row r="1223" ht="15.75" customHeight="1">
      <c r="A1223" s="13" t="str">
        <f>Raw_Data!A1223</f>
        <v>EMP1280</v>
      </c>
      <c r="B1223" s="13" t="str">
        <f>TRIM(CLEAN(Raw_Data!B1223))</f>
        <v>HR</v>
      </c>
      <c r="C1223" s="18" t="s">
        <v>14</v>
      </c>
      <c r="D1223" s="14" t="str">
        <f>IF(ISBLANK(Raw_Data!D1223),AVERAGE(Raw_Data!D$2:D$5002),Raw_Data!D1223)</f>
        <v>62076.31</v>
      </c>
      <c r="E1223" s="15" t="str">
        <f>IF(ISBLANK(Raw_Data!E1223),AVERAGE(Raw_Data!E$2:E$5002),Raw_Data!E1223)</f>
        <v>19897.46</v>
      </c>
      <c r="F1223" s="15" t="str">
        <f>IF(ISBLANK(Raw_Data!F1223),AVERAGE(Raw_Data!F$2:F$5002),Raw_Data!F1223)</f>
        <v>10001.66</v>
      </c>
      <c r="G1223" s="14" t="str">
        <f>IF(ISBLANK(Raw_Data!G1223),AVERAGE(Raw_Data!G$2:G$5002),Raw_Data!G1223)</f>
        <v>11258.64</v>
      </c>
      <c r="H1223" s="15" t="str">
        <f t="shared" si="1"/>
        <v>91975.00</v>
      </c>
      <c r="I1223" s="14" t="str">
        <f t="shared" si="2"/>
        <v>80716.00</v>
      </c>
      <c r="J1223" s="16" t="str">
        <f>TEXT(Raw_Data!J1223,"MMM-YYY")</f>
        <v>Jul-2025</v>
      </c>
      <c r="K1223" s="13" t="str">
        <f>Raw_Data!K1223</f>
        <v>18</v>
      </c>
      <c r="L1223" s="17" t="str">
        <f>Raw_Data!L1223</f>
        <v>Mumbai-HO</v>
      </c>
      <c r="M1223" s="13" t="str">
        <f t="shared" si="3"/>
        <v>OK</v>
      </c>
      <c r="N1223" s="18" t="str">
        <f t="shared" si="4"/>
        <v>VALID</v>
      </c>
    </row>
    <row r="1224" ht="15.75" customHeight="1">
      <c r="A1224" s="13" t="str">
        <f>Raw_Data!A1224</f>
        <v>EMP1281</v>
      </c>
      <c r="B1224" s="13" t="str">
        <f>TRIM(CLEAN(Raw_Data!B1224))</f>
        <v>HR</v>
      </c>
      <c r="C1224" s="18" t="s">
        <v>14</v>
      </c>
      <c r="D1224" s="14" t="str">
        <f>IF(ISBLANK(Raw_Data!D1224),AVERAGE(Raw_Data!D$2:D$5002),Raw_Data!D1224)</f>
        <v>62087.19</v>
      </c>
      <c r="E1224" s="15" t="str">
        <f>IF(ISBLANK(Raw_Data!E1224),AVERAGE(Raw_Data!E$2:E$5002),Raw_Data!E1224)</f>
        <v>19902.08</v>
      </c>
      <c r="F1224" s="15" t="str">
        <f>IF(ISBLANK(Raw_Data!F1224),AVERAGE(Raw_Data!F$2:F$5002),Raw_Data!F1224)</f>
        <v>10009.34</v>
      </c>
      <c r="G1224" s="14" t="str">
        <f>IF(ISBLANK(Raw_Data!G1224),AVERAGE(Raw_Data!G$2:G$5002),Raw_Data!G1224)</f>
        <v>11262.04</v>
      </c>
      <c r="H1224" s="15" t="str">
        <f t="shared" si="1"/>
        <v>91999.00</v>
      </c>
      <c r="I1224" s="14" t="str">
        <f t="shared" si="2"/>
        <v>80737.00</v>
      </c>
      <c r="J1224" s="16" t="str">
        <f>TEXT(Raw_Data!J1224,"MMM-YYY")</f>
        <v>Jan-2025</v>
      </c>
      <c r="K1224" s="13" t="str">
        <f>Raw_Data!K1224</f>
        <v>13</v>
      </c>
      <c r="L1224" s="17" t="str">
        <f>Raw_Data!L1224</f>
        <v>Delhi-North</v>
      </c>
      <c r="M1224" s="13" t="str">
        <f t="shared" si="3"/>
        <v>OK</v>
      </c>
      <c r="N1224" s="18" t="str">
        <f t="shared" si="4"/>
        <v>VALID</v>
      </c>
    </row>
    <row r="1225" ht="15.75" customHeight="1">
      <c r="A1225" s="13" t="str">
        <f>Raw_Data!A1225</f>
        <v>EMP1282</v>
      </c>
      <c r="B1225" s="13" t="str">
        <f>TRIM(CLEAN(Raw_Data!B1225))</f>
        <v>Operations</v>
      </c>
      <c r="C1225" s="18" t="s">
        <v>37</v>
      </c>
      <c r="D1225" s="14" t="str">
        <f>IF(ISBLANK(Raw_Data!D1225),AVERAGE(Raw_Data!D$2:D$5002),Raw_Data!D1225)</f>
        <v>62098.08</v>
      </c>
      <c r="E1225" s="15" t="str">
        <f>IF(ISBLANK(Raw_Data!E1225),AVERAGE(Raw_Data!E$2:E$5002),Raw_Data!E1225)</f>
        <v>19906.69</v>
      </c>
      <c r="F1225" s="15" t="str">
        <f>IF(ISBLANK(Raw_Data!F1225),AVERAGE(Raw_Data!F$2:F$5002),Raw_Data!F1225)</f>
        <v>10017.02</v>
      </c>
      <c r="G1225" s="14" t="str">
        <f>IF(ISBLANK(Raw_Data!G1225),AVERAGE(Raw_Data!G$2:G$5002),Raw_Data!G1225)</f>
        <v>11265.44</v>
      </c>
      <c r="H1225" s="15" t="str">
        <f t="shared" si="1"/>
        <v>92022.00</v>
      </c>
      <c r="I1225" s="14" t="str">
        <f t="shared" si="2"/>
        <v>80757.00</v>
      </c>
      <c r="J1225" s="16" t="str">
        <f>TEXT(Raw_Data!J1225,"MMM-YYY")</f>
        <v>Dec-2025</v>
      </c>
      <c r="K1225" s="13" t="str">
        <f>Raw_Data!K1225</f>
        <v>14</v>
      </c>
      <c r="L1225" s="17" t="str">
        <f>Raw_Data!L1225</f>
        <v>Bangalore-South</v>
      </c>
      <c r="M1225" s="13" t="str">
        <f t="shared" si="3"/>
        <v>OK</v>
      </c>
      <c r="N1225" s="18" t="str">
        <f t="shared" si="4"/>
        <v>VALID</v>
      </c>
    </row>
    <row r="1226" ht="15.75" customHeight="1">
      <c r="A1226" s="13" t="str">
        <f>Raw_Data!A1226</f>
        <v>EMP1283</v>
      </c>
      <c r="B1226" s="13" t="str">
        <f>TRIM(CLEAN(Raw_Data!B1226))</f>
        <v>Sales</v>
      </c>
      <c r="C1226" s="18" t="s">
        <v>54</v>
      </c>
      <c r="D1226" s="14" t="str">
        <f>IF(ISBLANK(Raw_Data!D1226),AVERAGE(Raw_Data!D$2:D$5002),Raw_Data!D1226)</f>
        <v>62108.96</v>
      </c>
      <c r="E1226" s="15" t="str">
        <f>IF(ISBLANK(Raw_Data!E1226),AVERAGE(Raw_Data!E$2:E$5002),Raw_Data!E1226)</f>
        <v>19911.31</v>
      </c>
      <c r="F1226" s="15" t="str">
        <f>IF(ISBLANK(Raw_Data!F1226),AVERAGE(Raw_Data!F$2:F$5002),Raw_Data!F1226)</f>
        <v>10024.70</v>
      </c>
      <c r="G1226" s="14" t="str">
        <f>IF(ISBLANK(Raw_Data!G1226),AVERAGE(Raw_Data!G$2:G$5002),Raw_Data!G1226)</f>
        <v>11268.84</v>
      </c>
      <c r="H1226" s="15" t="str">
        <f t="shared" si="1"/>
        <v>92045.00</v>
      </c>
      <c r="I1226" s="14" t="str">
        <f t="shared" si="2"/>
        <v>80776.00</v>
      </c>
      <c r="J1226" s="16" t="str">
        <f>TEXT(Raw_Data!J1226,"MMM-YYY")</f>
        <v>Nov-2025</v>
      </c>
      <c r="K1226" s="13" t="str">
        <f>Raw_Data!K1226</f>
        <v>5</v>
      </c>
      <c r="L1226" s="17" t="str">
        <f>Raw_Data!L1226</f>
        <v>Chennai-South</v>
      </c>
      <c r="M1226" s="13" t="str">
        <f t="shared" si="3"/>
        <v>OK</v>
      </c>
      <c r="N1226" s="18" t="str">
        <f t="shared" si="4"/>
        <v>VALID</v>
      </c>
    </row>
    <row r="1227" ht="15.75" customHeight="1">
      <c r="A1227" s="13" t="str">
        <f>Raw_Data!A1227</f>
        <v>EMP1284</v>
      </c>
      <c r="B1227" s="13" t="str">
        <f>TRIM(CLEAN(Raw_Data!B1227))</f>
        <v>Sales</v>
      </c>
      <c r="C1227" s="18" t="s">
        <v>18</v>
      </c>
      <c r="D1227" s="14" t="str">
        <f>IF(ISBLANK(Raw_Data!D1227),AVERAGE(Raw_Data!D$2:D$5002),Raw_Data!D1227)</f>
        <v>62119.84</v>
      </c>
      <c r="E1227" s="15" t="str">
        <f>IF(ISBLANK(Raw_Data!E1227),AVERAGE(Raw_Data!E$2:E$5002),Raw_Data!E1227)</f>
        <v>19915.92</v>
      </c>
      <c r="F1227" s="15" t="str">
        <f>IF(ISBLANK(Raw_Data!F1227),AVERAGE(Raw_Data!F$2:F$5002),Raw_Data!F1227)</f>
        <v>10032.38</v>
      </c>
      <c r="G1227" s="14" t="str">
        <f>IF(ISBLANK(Raw_Data!G1227),AVERAGE(Raw_Data!G$2:G$5002),Raw_Data!G1227)</f>
        <v>11272.23</v>
      </c>
      <c r="H1227" s="15" t="str">
        <f t="shared" si="1"/>
        <v>92068.00</v>
      </c>
      <c r="I1227" s="14" t="str">
        <f t="shared" si="2"/>
        <v>80796.00</v>
      </c>
      <c r="J1227" s="16" t="str">
        <f>TEXT(Raw_Data!J1227,"MMM-YYY")</f>
        <v>May-2025</v>
      </c>
      <c r="K1227" s="13" t="str">
        <f>Raw_Data!K1227</f>
        <v>9</v>
      </c>
      <c r="L1227" s="17" t="str">
        <f>Raw_Data!L1227</f>
        <v>Kolkata-East</v>
      </c>
      <c r="M1227" s="13" t="str">
        <f t="shared" si="3"/>
        <v>OK</v>
      </c>
      <c r="N1227" s="18" t="str">
        <f t="shared" si="4"/>
        <v>VALID</v>
      </c>
    </row>
    <row r="1228" ht="15.75" customHeight="1">
      <c r="A1228" s="13" t="str">
        <f>Raw_Data!A1228</f>
        <v>EMP1285</v>
      </c>
      <c r="B1228" s="13" t="str">
        <f>TRIM(CLEAN(Raw_Data!B1228))</f>
        <v>IT</v>
      </c>
      <c r="C1228" s="18" t="s">
        <v>37</v>
      </c>
      <c r="D1228" s="14" t="str">
        <f>IF(ISBLANK(Raw_Data!D1228),AVERAGE(Raw_Data!D$2:D$5002),Raw_Data!D1228)</f>
        <v>62130.73</v>
      </c>
      <c r="E1228" s="15" t="str">
        <f>IF(ISBLANK(Raw_Data!E1228),AVERAGE(Raw_Data!E$2:E$5002),Raw_Data!E1228)</f>
        <v>19920.54</v>
      </c>
      <c r="F1228" s="15" t="str">
        <f>IF(ISBLANK(Raw_Data!F1228),AVERAGE(Raw_Data!F$2:F$5002),Raw_Data!F1228)</f>
        <v>10040.06</v>
      </c>
      <c r="G1228" s="14" t="str">
        <f>IF(ISBLANK(Raw_Data!G1228),AVERAGE(Raw_Data!G$2:G$5002),Raw_Data!G1228)</f>
        <v>11275.63</v>
      </c>
      <c r="H1228" s="15" t="str">
        <f t="shared" si="1"/>
        <v>92091.00</v>
      </c>
      <c r="I1228" s="14" t="str">
        <f t="shared" si="2"/>
        <v>80815.00</v>
      </c>
      <c r="J1228" s="16" t="str">
        <f>TEXT(Raw_Data!J1228,"MMM-YYY")</f>
        <v>Sep-2025</v>
      </c>
      <c r="K1228" s="13" t="str">
        <f>Raw_Data!K1228</f>
        <v>15</v>
      </c>
      <c r="L1228" s="17" t="str">
        <f>Raw_Data!L1228</f>
        <v>Pune-West</v>
      </c>
      <c r="M1228" s="13" t="str">
        <f t="shared" si="3"/>
        <v>OK</v>
      </c>
      <c r="N1228" s="18" t="str">
        <f t="shared" si="4"/>
        <v>VALID</v>
      </c>
    </row>
    <row r="1229" ht="15.75" customHeight="1">
      <c r="A1229" s="13" t="str">
        <f>Raw_Data!A1229</f>
        <v>EMP1286</v>
      </c>
      <c r="B1229" s="13" t="s">
        <v>29</v>
      </c>
      <c r="C1229" s="18" t="s">
        <v>33</v>
      </c>
      <c r="D1229" s="14" t="str">
        <f>IF(ISBLANK(Raw_Data!D1229),AVERAGE(Raw_Data!D$2:D$5002),Raw_Data!D1229)</f>
        <v>62141.61</v>
      </c>
      <c r="E1229" s="15" t="str">
        <f>IF(ISBLANK(Raw_Data!E1229),AVERAGE(Raw_Data!E$2:E$5002),Raw_Data!E1229)</f>
        <v>19925.15</v>
      </c>
      <c r="F1229" s="15" t="str">
        <f>IF(ISBLANK(Raw_Data!F1229),AVERAGE(Raw_Data!F$2:F$5002),Raw_Data!F1229)</f>
        <v>10047.74</v>
      </c>
      <c r="G1229" s="14" t="str">
        <f>IF(ISBLANK(Raw_Data!G1229),AVERAGE(Raw_Data!G$2:G$5002),Raw_Data!G1229)</f>
        <v>11279.03</v>
      </c>
      <c r="H1229" s="15" t="str">
        <f t="shared" si="1"/>
        <v>92115.00</v>
      </c>
      <c r="I1229" s="14" t="str">
        <f t="shared" si="2"/>
        <v>80836.00</v>
      </c>
      <c r="J1229" s="16" t="str">
        <f>TEXT(Raw_Data!J1229,"MMM-YYY")</f>
        <v>Mar-2025</v>
      </c>
      <c r="K1229" s="13" t="str">
        <f>Raw_Data!K1229</f>
        <v>8</v>
      </c>
      <c r="L1229" s="17" t="str">
        <f>Raw_Data!L1229</f>
        <v>Hyderabad-South</v>
      </c>
      <c r="M1229" s="13" t="str">
        <f t="shared" si="3"/>
        <v>OK</v>
      </c>
      <c r="N1229" s="18" t="str">
        <f t="shared" si="4"/>
        <v>VALID</v>
      </c>
    </row>
    <row r="1230" ht="15.75" customHeight="1">
      <c r="A1230" s="13" t="str">
        <f>Raw_Data!A1230</f>
        <v>EMP1287</v>
      </c>
      <c r="B1230" s="13" t="str">
        <f>TRIM(CLEAN(Raw_Data!B1230))</f>
        <v>Finance</v>
      </c>
      <c r="C1230" s="18" t="s">
        <v>30</v>
      </c>
      <c r="D1230" s="14" t="str">
        <f>IF(ISBLANK(Raw_Data!D1230),AVERAGE(Raw_Data!D$2:D$5002),Raw_Data!D1230)</f>
        <v>62152.49</v>
      </c>
      <c r="E1230" s="15" t="str">
        <f>IF(ISBLANK(Raw_Data!E1230),AVERAGE(Raw_Data!E$2:E$5002),Raw_Data!E1230)</f>
        <v>19929.77</v>
      </c>
      <c r="F1230" s="15" t="str">
        <f>IF(ISBLANK(Raw_Data!F1230),AVERAGE(Raw_Data!F$2:F$5002),Raw_Data!F1230)</f>
        <v>10055.42</v>
      </c>
      <c r="G1230" s="14" t="str">
        <f>IF(ISBLANK(Raw_Data!G1230),AVERAGE(Raw_Data!G$2:G$5002),Raw_Data!G1230)</f>
        <v>11282.43</v>
      </c>
      <c r="H1230" s="15" t="str">
        <f t="shared" si="1"/>
        <v>92138.00</v>
      </c>
      <c r="I1230" s="14" t="str">
        <f t="shared" si="2"/>
        <v>80856.00</v>
      </c>
      <c r="J1230" s="16" t="str">
        <f>TEXT(Raw_Data!J1230,"MMM-YYY")</f>
        <v>May-2025</v>
      </c>
      <c r="K1230" s="13" t="str">
        <f>Raw_Data!K1230</f>
        <v>14</v>
      </c>
      <c r="L1230" s="17" t="str">
        <f>Raw_Data!L1230</f>
        <v>Chandigarh-North</v>
      </c>
      <c r="M1230" s="13" t="str">
        <f t="shared" si="3"/>
        <v>OK</v>
      </c>
      <c r="N1230" s="18" t="str">
        <f t="shared" si="4"/>
        <v>VALID</v>
      </c>
    </row>
    <row r="1231" ht="15.75" customHeight="1">
      <c r="A1231" s="13" t="str">
        <f>Raw_Data!A1231</f>
        <v>EMP1288</v>
      </c>
      <c r="B1231" s="13" t="str">
        <f>TRIM(CLEAN(Raw_Data!B1231))</f>
        <v>Operations</v>
      </c>
      <c r="C1231" s="18" t="s">
        <v>37</v>
      </c>
      <c r="D1231" s="14" t="str">
        <f>IF(ISBLANK(Raw_Data!D1231),AVERAGE(Raw_Data!D$2:D$5002),Raw_Data!D1231)</f>
        <v>62163.37</v>
      </c>
      <c r="E1231" s="15" t="str">
        <f>IF(ISBLANK(Raw_Data!E1231),AVERAGE(Raw_Data!E$2:E$5002),Raw_Data!E1231)</f>
        <v>19934.38</v>
      </c>
      <c r="F1231" s="15" t="str">
        <f>IF(ISBLANK(Raw_Data!F1231),AVERAGE(Raw_Data!F$2:F$5002),Raw_Data!F1231)</f>
        <v>10063.10</v>
      </c>
      <c r="G1231" s="14" t="str">
        <f>IF(ISBLANK(Raw_Data!G1231),AVERAGE(Raw_Data!G$2:G$5002),Raw_Data!G1231)</f>
        <v>11285.82</v>
      </c>
      <c r="H1231" s="15" t="str">
        <f t="shared" si="1"/>
        <v>92161.00</v>
      </c>
      <c r="I1231" s="14" t="str">
        <f t="shared" si="2"/>
        <v>80875.00</v>
      </c>
      <c r="J1231" s="16" t="str">
        <f>TEXT(Raw_Data!J1231,"MMM-YYY")</f>
        <v>Aug-2025</v>
      </c>
      <c r="K1231" s="13" t="str">
        <f>Raw_Data!K1231</f>
        <v>1</v>
      </c>
      <c r="L1231" s="17" t="str">
        <f>Raw_Data!L1231</f>
        <v>Ahmedabad-West</v>
      </c>
      <c r="M1231" s="13" t="str">
        <f t="shared" si="3"/>
        <v>OK</v>
      </c>
      <c r="N1231" s="18" t="str">
        <f t="shared" si="4"/>
        <v>VALID</v>
      </c>
    </row>
    <row r="1232" ht="15.75" customHeight="1">
      <c r="A1232" s="13" t="str">
        <f>Raw_Data!A1232</f>
        <v>EMP1289</v>
      </c>
      <c r="B1232" s="13" t="str">
        <f>TRIM(CLEAN(Raw_Data!B1232))</f>
        <v>Finance</v>
      </c>
      <c r="C1232" s="18" t="s">
        <v>54</v>
      </c>
      <c r="D1232" s="14" t="str">
        <f>IF(ISBLANK(Raw_Data!D1232),AVERAGE(Raw_Data!D$2:D$5002),Raw_Data!D1232)</f>
        <v>62174.26</v>
      </c>
      <c r="E1232" s="15" t="str">
        <f>IF(ISBLANK(Raw_Data!E1232),AVERAGE(Raw_Data!E$2:E$5002),Raw_Data!E1232)</f>
        <v>19939.00</v>
      </c>
      <c r="F1232" s="15" t="str">
        <f>IF(ISBLANK(Raw_Data!F1232),AVERAGE(Raw_Data!F$2:F$5002),Raw_Data!F1232)</f>
        <v>10070.78</v>
      </c>
      <c r="G1232" s="14" t="str">
        <f>IF(ISBLANK(Raw_Data!G1232),AVERAGE(Raw_Data!G$2:G$5002),Raw_Data!G1232)</f>
        <v>11289.22</v>
      </c>
      <c r="H1232" s="15" t="str">
        <f t="shared" si="1"/>
        <v>92184.00</v>
      </c>
      <c r="I1232" s="14" t="str">
        <f t="shared" si="2"/>
        <v>80895.00</v>
      </c>
      <c r="J1232" s="16" t="str">
        <f>TEXT(Raw_Data!J1232,"MMM-YYY")</f>
        <v>Dec-2025</v>
      </c>
      <c r="K1232" s="13" t="str">
        <f>Raw_Data!K1232</f>
        <v>13</v>
      </c>
      <c r="L1232" s="17" t="str">
        <f>Raw_Data!L1232</f>
        <v>Jaipur-North</v>
      </c>
      <c r="M1232" s="13" t="str">
        <f t="shared" si="3"/>
        <v>OK</v>
      </c>
      <c r="N1232" s="18" t="str">
        <f t="shared" si="4"/>
        <v>VALID</v>
      </c>
    </row>
    <row r="1233" ht="15.75" customHeight="1">
      <c r="A1233" s="13" t="str">
        <f>Raw_Data!A1233</f>
        <v>EMP1290</v>
      </c>
      <c r="B1233" s="13" t="str">
        <f>TRIM(CLEAN(Raw_Data!B1233))</f>
        <v>Marketing</v>
      </c>
      <c r="C1233" s="18" t="s">
        <v>18</v>
      </c>
      <c r="D1233" s="14" t="str">
        <f>IF(ISBLANK(Raw_Data!D1233),AVERAGE(Raw_Data!D$2:D$5002),Raw_Data!D1233)</f>
        <v>62185.14</v>
      </c>
      <c r="E1233" s="15" t="str">
        <f>IF(ISBLANK(Raw_Data!E1233),AVERAGE(Raw_Data!E$2:E$5002),Raw_Data!E1233)</f>
        <v>19943.61</v>
      </c>
      <c r="F1233" s="15" t="str">
        <f>IF(ISBLANK(Raw_Data!F1233),AVERAGE(Raw_Data!F$2:F$5002),Raw_Data!F1233)</f>
        <v>10078.46</v>
      </c>
      <c r="G1233" s="14" t="str">
        <f>IF(ISBLANK(Raw_Data!G1233),AVERAGE(Raw_Data!G$2:G$5002),Raw_Data!G1233)</f>
        <v>11292.62</v>
      </c>
      <c r="H1233" s="15" t="str">
        <f t="shared" si="1"/>
        <v>92207.00</v>
      </c>
      <c r="I1233" s="14" t="str">
        <f t="shared" si="2"/>
        <v>80914.00</v>
      </c>
      <c r="J1233" s="16" t="str">
        <f>TEXT(Raw_Data!J1233,"MMM-YYY")</f>
        <v>Jun-2025</v>
      </c>
      <c r="K1233" s="13" t="str">
        <f>Raw_Data!K1233</f>
        <v>25</v>
      </c>
      <c r="L1233" s="17" t="str">
        <f>Raw_Data!L1233</f>
        <v>Mumbai-HO</v>
      </c>
      <c r="M1233" s="13" t="str">
        <f t="shared" si="3"/>
        <v>OK</v>
      </c>
      <c r="N1233" s="18" t="str">
        <f t="shared" si="4"/>
        <v>VALID</v>
      </c>
    </row>
    <row r="1234" ht="15.75" customHeight="1">
      <c r="A1234" s="13" t="str">
        <f>Raw_Data!A1234</f>
        <v>EMP1291</v>
      </c>
      <c r="B1234" s="13" t="str">
        <f>TRIM(CLEAN(Raw_Data!B1234))</f>
        <v>Finance</v>
      </c>
      <c r="C1234" s="18" t="s">
        <v>18</v>
      </c>
      <c r="D1234" s="14" t="str">
        <f>IF(ISBLANK(Raw_Data!D1234),AVERAGE(Raw_Data!D$2:D$5002),Raw_Data!D1234)</f>
        <v>62196.02</v>
      </c>
      <c r="E1234" s="15" t="str">
        <f>IF(ISBLANK(Raw_Data!E1234),AVERAGE(Raw_Data!E$2:E$5002),Raw_Data!E1234)</f>
        <v>19948.23</v>
      </c>
      <c r="F1234" s="15" t="str">
        <f>IF(ISBLANK(Raw_Data!F1234),AVERAGE(Raw_Data!F$2:F$5002),Raw_Data!F1234)</f>
        <v>10086.14</v>
      </c>
      <c r="G1234" s="14" t="str">
        <f>IF(ISBLANK(Raw_Data!G1234),AVERAGE(Raw_Data!G$2:G$5002),Raw_Data!G1234)</f>
        <v>11296.02</v>
      </c>
      <c r="H1234" s="15" t="str">
        <f t="shared" si="1"/>
        <v>92230.00</v>
      </c>
      <c r="I1234" s="14" t="str">
        <f t="shared" si="2"/>
        <v>80934.00</v>
      </c>
      <c r="J1234" s="16" t="str">
        <f>TEXT(Raw_Data!J1234,"MMM-YYY")</f>
        <v>Apr-2025</v>
      </c>
      <c r="K1234" s="13" t="str">
        <f>Raw_Data!K1234</f>
        <v>15</v>
      </c>
      <c r="L1234" s="17" t="str">
        <f>Raw_Data!L1234</f>
        <v>Delhi-North</v>
      </c>
      <c r="M1234" s="13" t="str">
        <f t="shared" si="3"/>
        <v>OK</v>
      </c>
      <c r="N1234" s="18" t="str">
        <f t="shared" si="4"/>
        <v>VALID</v>
      </c>
    </row>
    <row r="1235" ht="15.75" customHeight="1">
      <c r="A1235" s="13" t="str">
        <f>Raw_Data!A1235</f>
        <v>EMP1292</v>
      </c>
      <c r="B1235" s="13" t="str">
        <f>TRIM(CLEAN(Raw_Data!B1235))</f>
        <v>HR</v>
      </c>
      <c r="C1235" s="18" t="s">
        <v>26</v>
      </c>
      <c r="D1235" s="14" t="str">
        <f>IF(ISBLANK(Raw_Data!D1235),AVERAGE(Raw_Data!D$2:D$5002),Raw_Data!D1235)</f>
        <v>62206.91</v>
      </c>
      <c r="E1235" s="15" t="str">
        <f>IF(ISBLANK(Raw_Data!E1235),AVERAGE(Raw_Data!E$2:E$5002),Raw_Data!E1235)</f>
        <v>19952.84</v>
      </c>
      <c r="F1235" s="15" t="str">
        <f>IF(ISBLANK(Raw_Data!F1235),AVERAGE(Raw_Data!F$2:F$5002),Raw_Data!F1235)</f>
        <v>10093.82</v>
      </c>
      <c r="G1235" s="14" t="str">
        <f>IF(ISBLANK(Raw_Data!G1235),AVERAGE(Raw_Data!G$2:G$5002),Raw_Data!G1235)</f>
        <v>11299.41</v>
      </c>
      <c r="H1235" s="15" t="str">
        <f t="shared" si="1"/>
        <v>92254.00</v>
      </c>
      <c r="I1235" s="14" t="str">
        <f t="shared" si="2"/>
        <v>80955.00</v>
      </c>
      <c r="J1235" s="16" t="str">
        <f>TEXT(Raw_Data!J1235,"MMM-YYY")</f>
        <v>Feb-2025</v>
      </c>
      <c r="K1235" s="13" t="str">
        <f>Raw_Data!K1235</f>
        <v>15</v>
      </c>
      <c r="L1235" s="17" t="str">
        <f>Raw_Data!L1235</f>
        <v>Bangalore-South</v>
      </c>
      <c r="M1235" s="13" t="str">
        <f t="shared" si="3"/>
        <v>OK</v>
      </c>
      <c r="N1235" s="18" t="str">
        <f t="shared" si="4"/>
        <v>VALID</v>
      </c>
    </row>
    <row r="1236" ht="15.75" customHeight="1">
      <c r="A1236" s="13" t="str">
        <f>Raw_Data!A1236</f>
        <v>EMP1293</v>
      </c>
      <c r="B1236" s="13" t="str">
        <f>TRIM(CLEAN(Raw_Data!B1236))</f>
        <v>Finance</v>
      </c>
      <c r="C1236" s="18" t="s">
        <v>14</v>
      </c>
      <c r="D1236" s="14" t="str">
        <f>IF(ISBLANK(Raw_Data!D1236),AVERAGE(Raw_Data!D$2:D$5002),Raw_Data!D1236)</f>
        <v>62217.79</v>
      </c>
      <c r="E1236" s="15" t="str">
        <f>IF(ISBLANK(Raw_Data!E1236),AVERAGE(Raw_Data!E$2:E$5002),Raw_Data!E1236)</f>
        <v>19957.45</v>
      </c>
      <c r="F1236" s="15" t="str">
        <f>IF(ISBLANK(Raw_Data!F1236),AVERAGE(Raw_Data!F$2:F$5002),Raw_Data!F1236)</f>
        <v>10101.50</v>
      </c>
      <c r="G1236" s="14" t="str">
        <f>IF(ISBLANK(Raw_Data!G1236),AVERAGE(Raw_Data!G$2:G$5002),Raw_Data!G1236)</f>
        <v>11302.81</v>
      </c>
      <c r="H1236" s="15" t="str">
        <f t="shared" si="1"/>
        <v>92277.00</v>
      </c>
      <c r="I1236" s="14" t="str">
        <f t="shared" si="2"/>
        <v>80974.00</v>
      </c>
      <c r="J1236" s="16" t="str">
        <f>TEXT(Raw_Data!J1236,"MMM-YYY")</f>
        <v>Jul-2025</v>
      </c>
      <c r="K1236" s="13" t="str">
        <f>Raw_Data!K1236</f>
        <v>5</v>
      </c>
      <c r="L1236" s="17" t="str">
        <f>Raw_Data!L1236</f>
        <v>Chennai-South</v>
      </c>
      <c r="M1236" s="13" t="str">
        <f t="shared" si="3"/>
        <v>OK</v>
      </c>
      <c r="N1236" s="18" t="str">
        <f t="shared" si="4"/>
        <v>VALID</v>
      </c>
    </row>
    <row r="1237" ht="15.75" customHeight="1">
      <c r="A1237" s="13" t="str">
        <f>Raw_Data!A1237</f>
        <v>EMP1295</v>
      </c>
      <c r="B1237" s="13" t="str">
        <f>TRIM(CLEAN(Raw_Data!B1237))</f>
        <v>Marketing</v>
      </c>
      <c r="C1237" s="18" t="s">
        <v>54</v>
      </c>
      <c r="D1237" s="14" t="str">
        <f>IF(ISBLANK(Raw_Data!D1237),AVERAGE(Raw_Data!D$2:D$5002),Raw_Data!D1237)</f>
        <v>62239.56</v>
      </c>
      <c r="E1237" s="15" t="str">
        <f>IF(ISBLANK(Raw_Data!E1237),AVERAGE(Raw_Data!E$2:E$5002),Raw_Data!E1237)</f>
        <v>19966.68</v>
      </c>
      <c r="F1237" s="15" t="str">
        <f>IF(ISBLANK(Raw_Data!F1237),AVERAGE(Raw_Data!F$2:F$5002),Raw_Data!F1237)</f>
        <v>10116.86</v>
      </c>
      <c r="G1237" s="14" t="str">
        <f>IF(ISBLANK(Raw_Data!G1237),AVERAGE(Raw_Data!G$2:G$5002),Raw_Data!G1237)</f>
        <v>11309.61</v>
      </c>
      <c r="H1237" s="15" t="str">
        <f t="shared" si="1"/>
        <v>92323.00</v>
      </c>
      <c r="I1237" s="14" t="str">
        <f t="shared" si="2"/>
        <v>81013.00</v>
      </c>
      <c r="J1237" s="16" t="str">
        <f>TEXT(Raw_Data!J1237,"MMM-YYY")</f>
        <v>Aug-2025</v>
      </c>
      <c r="K1237" s="13" t="str">
        <f>Raw_Data!K1237</f>
        <v>5</v>
      </c>
      <c r="L1237" s="17" t="str">
        <f>Raw_Data!L1237</f>
        <v>Pune-West</v>
      </c>
      <c r="M1237" s="13" t="str">
        <f t="shared" si="3"/>
        <v>OK</v>
      </c>
      <c r="N1237" s="18" t="str">
        <f t="shared" si="4"/>
        <v>VALID</v>
      </c>
    </row>
    <row r="1238" ht="15.75" customHeight="1">
      <c r="A1238" s="13" t="str">
        <f>Raw_Data!A1238</f>
        <v>EMP1296</v>
      </c>
      <c r="B1238" s="13" t="str">
        <f>TRIM(CLEAN(Raw_Data!B1238))</f>
        <v>Customer Support</v>
      </c>
      <c r="C1238" s="18" t="s">
        <v>54</v>
      </c>
      <c r="D1238" s="14" t="str">
        <f>IF(ISBLANK(Raw_Data!D1238),AVERAGE(Raw_Data!D$2:D$5002),Raw_Data!D1238)</f>
        <v>62250.44</v>
      </c>
      <c r="E1238" s="15" t="str">
        <f>IF(ISBLANK(Raw_Data!E1238),AVERAGE(Raw_Data!E$2:E$5002),Raw_Data!E1238)</f>
        <v>19971.30</v>
      </c>
      <c r="F1238" s="15" t="str">
        <f>IF(ISBLANK(Raw_Data!F1238),AVERAGE(Raw_Data!F$2:F$5002),Raw_Data!F1238)</f>
        <v>10124.54</v>
      </c>
      <c r="G1238" s="14" t="str">
        <f>IF(ISBLANK(Raw_Data!G1238),AVERAGE(Raw_Data!G$2:G$5002),Raw_Data!G1238)</f>
        <v>11313.00</v>
      </c>
      <c r="H1238" s="15" t="str">
        <f t="shared" si="1"/>
        <v>92346.00</v>
      </c>
      <c r="I1238" s="14" t="str">
        <f t="shared" si="2"/>
        <v>81033.00</v>
      </c>
      <c r="J1238" s="16" t="str">
        <f>TEXT(Raw_Data!J1238,"MMM-YYY")</f>
        <v>Aug-2025</v>
      </c>
      <c r="K1238" s="13" t="str">
        <f>Raw_Data!K1238</f>
        <v>3</v>
      </c>
      <c r="L1238" s="17" t="str">
        <f>Raw_Data!L1238</f>
        <v>Hyderabad-South</v>
      </c>
      <c r="M1238" s="13" t="str">
        <f t="shared" si="3"/>
        <v>OK</v>
      </c>
      <c r="N1238" s="18" t="str">
        <f t="shared" si="4"/>
        <v>VALID</v>
      </c>
    </row>
    <row r="1239" ht="15.75" customHeight="1">
      <c r="A1239" s="13" t="str">
        <f>Raw_Data!A1239</f>
        <v>EMP1297</v>
      </c>
      <c r="B1239" s="13" t="str">
        <f>TRIM(CLEAN(Raw_Data!B1239))</f>
        <v>HR</v>
      </c>
      <c r="C1239" s="18" t="s">
        <v>37</v>
      </c>
      <c r="D1239" s="14" t="str">
        <f>IF(ISBLANK(Raw_Data!D1239),AVERAGE(Raw_Data!D$2:D$5002),Raw_Data!D1239)</f>
        <v>62261.32</v>
      </c>
      <c r="E1239" s="15" t="str">
        <f>IF(ISBLANK(Raw_Data!E1239),AVERAGE(Raw_Data!E$2:E$5002),Raw_Data!E1239)</f>
        <v>19975.91</v>
      </c>
      <c r="F1239" s="15" t="str">
        <f>IF(ISBLANK(Raw_Data!F1239),AVERAGE(Raw_Data!F$2:F$5002),Raw_Data!F1239)</f>
        <v>10132.22</v>
      </c>
      <c r="G1239" s="14" t="str">
        <f>IF(ISBLANK(Raw_Data!G1239),AVERAGE(Raw_Data!G$2:G$5002),Raw_Data!G1239)</f>
        <v>11316.40</v>
      </c>
      <c r="H1239" s="15" t="str">
        <f t="shared" si="1"/>
        <v>92369.00</v>
      </c>
      <c r="I1239" s="14" t="str">
        <f t="shared" si="2"/>
        <v>81053.00</v>
      </c>
      <c r="J1239" s="16" t="str">
        <f>TEXT(Raw_Data!J1239,"MMM-YYY")</f>
        <v>Aug-2025</v>
      </c>
      <c r="K1239" s="13" t="str">
        <f>Raw_Data!K1239</f>
        <v>21</v>
      </c>
      <c r="L1239" s="17" t="str">
        <f>Raw_Data!L1239</f>
        <v>Chandigarh-North</v>
      </c>
      <c r="M1239" s="13" t="str">
        <f t="shared" si="3"/>
        <v>OK</v>
      </c>
      <c r="N1239" s="18" t="str">
        <f t="shared" si="4"/>
        <v>VALID</v>
      </c>
    </row>
    <row r="1240" ht="15.75" customHeight="1">
      <c r="A1240" s="13" t="str">
        <f>Raw_Data!A1240</f>
        <v>EMP1298</v>
      </c>
      <c r="B1240" s="13" t="str">
        <f>TRIM(CLEAN(Raw_Data!B1240))</f>
        <v>Sales</v>
      </c>
      <c r="C1240" s="18" t="s">
        <v>37</v>
      </c>
      <c r="D1240" s="14" t="str">
        <f>IF(ISBLANK(Raw_Data!D1240),AVERAGE(Raw_Data!D$2:D$5002),Raw_Data!D1240)</f>
        <v>62272.20</v>
      </c>
      <c r="E1240" s="15" t="str">
        <f>IF(ISBLANK(Raw_Data!E1240),AVERAGE(Raw_Data!E$2:E$5002),Raw_Data!E1240)</f>
        <v>19980.53</v>
      </c>
      <c r="F1240" s="15" t="str">
        <f>IF(ISBLANK(Raw_Data!F1240),AVERAGE(Raw_Data!F$2:F$5002),Raw_Data!F1240)</f>
        <v>10139.90</v>
      </c>
      <c r="G1240" s="14" t="str">
        <f>IF(ISBLANK(Raw_Data!G1240),AVERAGE(Raw_Data!G$2:G$5002),Raw_Data!G1240)</f>
        <v>11319.80</v>
      </c>
      <c r="H1240" s="15" t="str">
        <f t="shared" si="1"/>
        <v>92393.00</v>
      </c>
      <c r="I1240" s="14" t="str">
        <f t="shared" si="2"/>
        <v>81073.00</v>
      </c>
      <c r="J1240" s="16" t="str">
        <f>TEXT(Raw_Data!J1240,"MMM-YYY")</f>
        <v>Sep-2025</v>
      </c>
      <c r="K1240" s="13" t="str">
        <f>Raw_Data!K1240</f>
        <v>20</v>
      </c>
      <c r="L1240" s="17" t="str">
        <f>Raw_Data!L1240</f>
        <v>Ahmedabad-West</v>
      </c>
      <c r="M1240" s="13" t="str">
        <f t="shared" si="3"/>
        <v>OK</v>
      </c>
      <c r="N1240" s="18" t="str">
        <f t="shared" si="4"/>
        <v>VALID</v>
      </c>
    </row>
    <row r="1241" ht="15.75" customHeight="1">
      <c r="A1241" s="13" t="str">
        <f>Raw_Data!A1241</f>
        <v>EMP1299</v>
      </c>
      <c r="B1241" s="13" t="str">
        <f>TRIM(CLEAN(Raw_Data!B1241))</f>
        <v>Operations</v>
      </c>
      <c r="C1241" s="18" t="s">
        <v>26</v>
      </c>
      <c r="D1241" s="14" t="str">
        <f>IF(ISBLANK(Raw_Data!D1241),AVERAGE(Raw_Data!D$2:D$5002),Raw_Data!D1241)</f>
        <v>62283.09</v>
      </c>
      <c r="E1241" s="15" t="str">
        <f>IF(ISBLANK(Raw_Data!E1241),AVERAGE(Raw_Data!E$2:E$5002),Raw_Data!E1241)</f>
        <v>19985.14</v>
      </c>
      <c r="F1241" s="15" t="str">
        <f>IF(ISBLANK(Raw_Data!F1241),AVERAGE(Raw_Data!F$2:F$5002),Raw_Data!F1241)</f>
        <v>10147.58</v>
      </c>
      <c r="G1241" s="14" t="str">
        <f>IF(ISBLANK(Raw_Data!G1241),AVERAGE(Raw_Data!G$2:G$5002),Raw_Data!G1241)</f>
        <v>11323.20</v>
      </c>
      <c r="H1241" s="15" t="str">
        <f t="shared" si="1"/>
        <v>92416.00</v>
      </c>
      <c r="I1241" s="14" t="str">
        <f t="shared" si="2"/>
        <v>81093.00</v>
      </c>
      <c r="J1241" s="16" t="str">
        <f>TEXT(Raw_Data!J1241,"MMM-YYY")</f>
        <v>Apr-2025</v>
      </c>
      <c r="K1241" s="13" t="str">
        <f>Raw_Data!K1241</f>
        <v>6</v>
      </c>
      <c r="L1241" s="17" t="str">
        <f>Raw_Data!L1241</f>
        <v>Jaipur-North</v>
      </c>
      <c r="M1241" s="13" t="str">
        <f t="shared" si="3"/>
        <v>OK</v>
      </c>
      <c r="N1241" s="18" t="str">
        <f t="shared" si="4"/>
        <v>VALID</v>
      </c>
    </row>
    <row r="1242" ht="15.75" customHeight="1">
      <c r="A1242" s="13" t="str">
        <f>Raw_Data!A1242</f>
        <v>EMP1300</v>
      </c>
      <c r="B1242" s="13" t="str">
        <f>TRIM(CLEAN(Raw_Data!B1242))</f>
        <v>Marketing</v>
      </c>
      <c r="C1242" s="18" t="s">
        <v>30</v>
      </c>
      <c r="D1242" s="14" t="str">
        <f>IF(ISBLANK(Raw_Data!D1242),AVERAGE(Raw_Data!D$2:D$5002),Raw_Data!D1242)</f>
        <v>62293.97</v>
      </c>
      <c r="E1242" s="15" t="str">
        <f>IF(ISBLANK(Raw_Data!E1242),AVERAGE(Raw_Data!E$2:E$5002),Raw_Data!E1242)</f>
        <v>19989.76</v>
      </c>
      <c r="F1242" s="15" t="str">
        <f>IF(ISBLANK(Raw_Data!F1242),AVERAGE(Raw_Data!F$2:F$5002),Raw_Data!F1242)</f>
        <v>10155.26</v>
      </c>
      <c r="G1242" s="14" t="str">
        <f>IF(ISBLANK(Raw_Data!G1242),AVERAGE(Raw_Data!G$2:G$5002),Raw_Data!G1242)</f>
        <v>11326.59</v>
      </c>
      <c r="H1242" s="15" t="str">
        <f t="shared" si="1"/>
        <v>92439.00</v>
      </c>
      <c r="I1242" s="14" t="str">
        <f t="shared" si="2"/>
        <v>81112.00</v>
      </c>
      <c r="J1242" s="16" t="str">
        <f>TEXT(Raw_Data!J1242,"MMM-YYY")</f>
        <v>Apr-2025</v>
      </c>
      <c r="K1242" s="13" t="str">
        <f>Raw_Data!K1242</f>
        <v>25</v>
      </c>
      <c r="L1242" s="17" t="str">
        <f>Raw_Data!L1242</f>
        <v>Mumbai-HO</v>
      </c>
      <c r="M1242" s="13" t="str">
        <f t="shared" si="3"/>
        <v>OK</v>
      </c>
      <c r="N1242" s="18" t="str">
        <f t="shared" si="4"/>
        <v>VALID</v>
      </c>
    </row>
    <row r="1243" ht="15.75" customHeight="1">
      <c r="A1243" s="13" t="str">
        <f>Raw_Data!A1243</f>
        <v>EMP1301</v>
      </c>
      <c r="B1243" s="13" t="str">
        <f>TRIM(CLEAN(Raw_Data!B1243))</f>
        <v>Customer Support</v>
      </c>
      <c r="C1243" s="18" t="s">
        <v>18</v>
      </c>
      <c r="D1243" s="14" t="str">
        <f>IF(ISBLANK(Raw_Data!D1243),AVERAGE(Raw_Data!D$2:D$5002),Raw_Data!D1243)</f>
        <v>62304.85</v>
      </c>
      <c r="E1243" s="15" t="str">
        <f>IF(ISBLANK(Raw_Data!E1243),AVERAGE(Raw_Data!E$2:E$5002),Raw_Data!E1243)</f>
        <v>19994.37</v>
      </c>
      <c r="F1243" s="15" t="str">
        <f>IF(ISBLANK(Raw_Data!F1243),AVERAGE(Raw_Data!F$2:F$5002),Raw_Data!F1243)</f>
        <v>10162.94</v>
      </c>
      <c r="G1243" s="14" t="str">
        <f>IF(ISBLANK(Raw_Data!G1243),AVERAGE(Raw_Data!G$2:G$5002),Raw_Data!G1243)</f>
        <v>11329.99</v>
      </c>
      <c r="H1243" s="15" t="str">
        <f t="shared" si="1"/>
        <v>92462.00</v>
      </c>
      <c r="I1243" s="14" t="str">
        <f t="shared" si="2"/>
        <v>81132.00</v>
      </c>
      <c r="J1243" s="16" t="str">
        <f>TEXT(Raw_Data!J1243,"MMM-YYY")</f>
        <v>Jun-2025</v>
      </c>
      <c r="K1243" s="13" t="str">
        <f>Raw_Data!K1243</f>
        <v>25</v>
      </c>
      <c r="L1243" s="17" t="str">
        <f>Raw_Data!L1243</f>
        <v>Delhi-North</v>
      </c>
      <c r="M1243" s="13" t="str">
        <f t="shared" si="3"/>
        <v>OK</v>
      </c>
      <c r="N1243" s="18" t="str">
        <f t="shared" si="4"/>
        <v>VALID</v>
      </c>
    </row>
    <row r="1244" ht="15.75" customHeight="1">
      <c r="A1244" s="13" t="str">
        <f>Raw_Data!A1244</f>
        <v>EMP1302</v>
      </c>
      <c r="B1244" s="13" t="str">
        <f>TRIM(CLEAN(Raw_Data!B1244))</f>
        <v>IT</v>
      </c>
      <c r="C1244" s="18" t="s">
        <v>54</v>
      </c>
      <c r="D1244" s="14" t="str">
        <f>IF(ISBLANK(Raw_Data!D1244),AVERAGE(Raw_Data!D$2:D$5002),Raw_Data!D1244)</f>
        <v>62315.74</v>
      </c>
      <c r="E1244" s="15" t="str">
        <f>IF(ISBLANK(Raw_Data!E1244),AVERAGE(Raw_Data!E$2:E$5002),Raw_Data!E1244)</f>
        <v>19998.99</v>
      </c>
      <c r="F1244" s="15" t="str">
        <f>IF(ISBLANK(Raw_Data!F1244),AVERAGE(Raw_Data!F$2:F$5002),Raw_Data!F1244)</f>
        <v>10170.62</v>
      </c>
      <c r="G1244" s="14" t="str">
        <f>IF(ISBLANK(Raw_Data!G1244),AVERAGE(Raw_Data!G$2:G$5002),Raw_Data!G1244)</f>
        <v>11333.39</v>
      </c>
      <c r="H1244" s="15" t="str">
        <f t="shared" si="1"/>
        <v>92485.00</v>
      </c>
      <c r="I1244" s="14" t="str">
        <f t="shared" si="2"/>
        <v>81152.00</v>
      </c>
      <c r="J1244" s="16" t="str">
        <f>TEXT(Raw_Data!J1244,"MMM-YYY")</f>
        <v>Dec-2025</v>
      </c>
      <c r="K1244" s="13" t="str">
        <f>Raw_Data!K1244</f>
        <v>22</v>
      </c>
      <c r="L1244" s="17" t="str">
        <f>Raw_Data!L1244</f>
        <v>Bangalore-South</v>
      </c>
      <c r="M1244" s="13" t="str">
        <f t="shared" si="3"/>
        <v>OK</v>
      </c>
      <c r="N1244" s="18" t="str">
        <f t="shared" si="4"/>
        <v>VALID</v>
      </c>
    </row>
    <row r="1245" ht="15.75" customHeight="1">
      <c r="A1245" s="13" t="str">
        <f>Raw_Data!A1245</f>
        <v>EMP1303</v>
      </c>
      <c r="B1245" s="13" t="str">
        <f>TRIM(CLEAN(Raw_Data!B1245))</f>
        <v>Operations</v>
      </c>
      <c r="C1245" s="18" t="s">
        <v>14</v>
      </c>
      <c r="D1245" s="14" t="str">
        <f>IF(ISBLANK(Raw_Data!D1245),AVERAGE(Raw_Data!D$2:D$5002),Raw_Data!D1245)</f>
        <v>62326.62</v>
      </c>
      <c r="E1245" s="15" t="str">
        <f>IF(ISBLANK(Raw_Data!E1245),AVERAGE(Raw_Data!E$2:E$5002),Raw_Data!E1245)</f>
        <v>20003.60</v>
      </c>
      <c r="F1245" s="15" t="str">
        <f>IF(ISBLANK(Raw_Data!F1245),AVERAGE(Raw_Data!F$2:F$5002),Raw_Data!F1245)</f>
        <v>10178.30</v>
      </c>
      <c r="G1245" s="14" t="str">
        <f>IF(ISBLANK(Raw_Data!G1245),AVERAGE(Raw_Data!G$2:G$5002),Raw_Data!G1245)</f>
        <v>11336.79</v>
      </c>
      <c r="H1245" s="15" t="str">
        <f t="shared" si="1"/>
        <v>92509.00</v>
      </c>
      <c r="I1245" s="14" t="str">
        <f t="shared" si="2"/>
        <v>81172.00</v>
      </c>
      <c r="J1245" s="16" t="str">
        <f>TEXT(Raw_Data!J1245,"MMM-YYY")</f>
        <v>Jan-2025</v>
      </c>
      <c r="K1245" s="13" t="str">
        <f>Raw_Data!K1245</f>
        <v>13</v>
      </c>
      <c r="L1245" s="17" t="str">
        <f>Raw_Data!L1245</f>
        <v>Chennai-South</v>
      </c>
      <c r="M1245" s="13" t="str">
        <f t="shared" si="3"/>
        <v>OK</v>
      </c>
      <c r="N1245" s="18" t="str">
        <f t="shared" si="4"/>
        <v>VALID</v>
      </c>
    </row>
    <row r="1246" ht="15.75" customHeight="1">
      <c r="A1246" s="13" t="str">
        <f>Raw_Data!A1246</f>
        <v>EMP1304</v>
      </c>
      <c r="B1246" s="13" t="str">
        <f>TRIM(CLEAN(Raw_Data!B1246))</f>
        <v>Finance</v>
      </c>
      <c r="C1246" s="18" t="s">
        <v>14</v>
      </c>
      <c r="D1246" s="14" t="str">
        <f>IF(ISBLANK(Raw_Data!D1246),AVERAGE(Raw_Data!D$2:D$5002),Raw_Data!D1246)</f>
        <v>62337.50</v>
      </c>
      <c r="E1246" s="15" t="str">
        <f>IF(ISBLANK(Raw_Data!E1246),AVERAGE(Raw_Data!E$2:E$5002),Raw_Data!E1246)</f>
        <v>20008.22</v>
      </c>
      <c r="F1246" s="15" t="str">
        <f>IF(ISBLANK(Raw_Data!F1246),AVERAGE(Raw_Data!F$2:F$5002),Raw_Data!F1246)</f>
        <v>10185.98</v>
      </c>
      <c r="G1246" s="14" t="str">
        <f>IF(ISBLANK(Raw_Data!G1246),AVERAGE(Raw_Data!G$2:G$5002),Raw_Data!G1246)</f>
        <v>11340.18</v>
      </c>
      <c r="H1246" s="15" t="str">
        <f t="shared" si="1"/>
        <v>92532.00</v>
      </c>
      <c r="I1246" s="14" t="str">
        <f t="shared" si="2"/>
        <v>81192.00</v>
      </c>
      <c r="J1246" s="16" t="str">
        <f>TEXT(Raw_Data!J1246,"MMM-YYY")</f>
        <v>Dec-2025</v>
      </c>
      <c r="K1246" s="13" t="str">
        <f>Raw_Data!K1246</f>
        <v>16</v>
      </c>
      <c r="L1246" s="17" t="str">
        <f>Raw_Data!L1246</f>
        <v>Kolkata-East</v>
      </c>
      <c r="M1246" s="13" t="str">
        <f t="shared" si="3"/>
        <v>OK</v>
      </c>
      <c r="N1246" s="18" t="str">
        <f t="shared" si="4"/>
        <v>VALID</v>
      </c>
    </row>
    <row r="1247" ht="15.75" customHeight="1">
      <c r="A1247" s="13" t="str">
        <f>Raw_Data!A1247</f>
        <v>EMP1305</v>
      </c>
      <c r="B1247" s="13" t="str">
        <f>TRIM(CLEAN(Raw_Data!B1247))</f>
        <v>Finance</v>
      </c>
      <c r="C1247" s="18" t="s">
        <v>26</v>
      </c>
      <c r="D1247" s="14" t="str">
        <f>IF(ISBLANK(Raw_Data!D1247),AVERAGE(Raw_Data!D$2:D$5002),Raw_Data!D1247)</f>
        <v>62348.38</v>
      </c>
      <c r="E1247" s="15" t="str">
        <f>IF(ISBLANK(Raw_Data!E1247),AVERAGE(Raw_Data!E$2:E$5002),Raw_Data!E1247)</f>
        <v>20012.83</v>
      </c>
      <c r="F1247" s="15" t="str">
        <f>IF(ISBLANK(Raw_Data!F1247),AVERAGE(Raw_Data!F$2:F$5002),Raw_Data!F1247)</f>
        <v>10193.66</v>
      </c>
      <c r="G1247" s="14" t="str">
        <f>IF(ISBLANK(Raw_Data!G1247),AVERAGE(Raw_Data!G$2:G$5002),Raw_Data!G1247)</f>
        <v>11343.58</v>
      </c>
      <c r="H1247" s="15" t="str">
        <f t="shared" si="1"/>
        <v>92555.00</v>
      </c>
      <c r="I1247" s="14" t="str">
        <f t="shared" si="2"/>
        <v>81211.00</v>
      </c>
      <c r="J1247" s="16" t="str">
        <f>TEXT(Raw_Data!J1247,"MMM-YYY")</f>
        <v>Jun-2025</v>
      </c>
      <c r="K1247" s="13" t="str">
        <f>Raw_Data!K1247</f>
        <v>15</v>
      </c>
      <c r="L1247" s="17" t="str">
        <f>Raw_Data!L1247</f>
        <v>Pune-West</v>
      </c>
      <c r="M1247" s="13" t="str">
        <f t="shared" si="3"/>
        <v>OK</v>
      </c>
      <c r="N1247" s="18" t="str">
        <f t="shared" si="4"/>
        <v>VALID</v>
      </c>
    </row>
    <row r="1248" ht="15.75" customHeight="1">
      <c r="A1248" s="13" t="str">
        <f>Raw_Data!A1248</f>
        <v>EMP1307</v>
      </c>
      <c r="B1248" s="13" t="str">
        <f>TRIM(CLEAN(Raw_Data!B1248))</f>
        <v>IT</v>
      </c>
      <c r="C1248" s="18" t="s">
        <v>26</v>
      </c>
      <c r="D1248" s="14" t="str">
        <f>IF(ISBLANK(Raw_Data!D1248),AVERAGE(Raw_Data!D$2:D$5002),Raw_Data!D1248)</f>
        <v>62370.15</v>
      </c>
      <c r="E1248" s="15" t="str">
        <f>IF(ISBLANK(Raw_Data!E1248),AVERAGE(Raw_Data!E$2:E$5002),Raw_Data!E1248)</f>
        <v>20022.06</v>
      </c>
      <c r="F1248" s="15" t="str">
        <f>IF(ISBLANK(Raw_Data!F1248),AVERAGE(Raw_Data!F$2:F$5002),Raw_Data!F1248)</f>
        <v>10209.02</v>
      </c>
      <c r="G1248" s="14" t="str">
        <f>IF(ISBLANK(Raw_Data!G1248),AVERAGE(Raw_Data!G$2:G$5002),Raw_Data!G1248)</f>
        <v>11350.38</v>
      </c>
      <c r="H1248" s="15" t="str">
        <f t="shared" si="1"/>
        <v>92601.00</v>
      </c>
      <c r="I1248" s="14" t="str">
        <f t="shared" si="2"/>
        <v>81251.00</v>
      </c>
      <c r="J1248" s="16" t="str">
        <f>TEXT(Raw_Data!J1248,"MMM-YYY")</f>
        <v>Apr-2025</v>
      </c>
      <c r="K1248" s="13" t="str">
        <f>Raw_Data!K1248</f>
        <v>18</v>
      </c>
      <c r="L1248" s="17" t="str">
        <f>Raw_Data!L1248</f>
        <v>Chandigarh-North</v>
      </c>
      <c r="M1248" s="13" t="str">
        <f t="shared" si="3"/>
        <v>OK</v>
      </c>
      <c r="N1248" s="18" t="str">
        <f t="shared" si="4"/>
        <v>VALID</v>
      </c>
    </row>
    <row r="1249" ht="15.75" customHeight="1">
      <c r="A1249" s="13" t="str">
        <f>Raw_Data!A1249</f>
        <v>EMP1308</v>
      </c>
      <c r="B1249" s="13" t="str">
        <f>TRIM(CLEAN(Raw_Data!B1249))</f>
        <v>Sales</v>
      </c>
      <c r="C1249" s="18" t="s">
        <v>18</v>
      </c>
      <c r="D1249" s="14" t="str">
        <f>IF(ISBLANK(Raw_Data!D1249),AVERAGE(Raw_Data!D$2:D$5002),Raw_Data!D1249)</f>
        <v>62381.03</v>
      </c>
      <c r="E1249" s="15" t="str">
        <f>IF(ISBLANK(Raw_Data!E1249),AVERAGE(Raw_Data!E$2:E$5002),Raw_Data!E1249)</f>
        <v>20026.68</v>
      </c>
      <c r="F1249" s="15" t="str">
        <f>IF(ISBLANK(Raw_Data!F1249),AVERAGE(Raw_Data!F$2:F$5002),Raw_Data!F1249)</f>
        <v>10216.70</v>
      </c>
      <c r="G1249" s="14" t="str">
        <f>IF(ISBLANK(Raw_Data!G1249),AVERAGE(Raw_Data!G$2:G$5002),Raw_Data!G1249)</f>
        <v>11353.78</v>
      </c>
      <c r="H1249" s="15" t="str">
        <f t="shared" si="1"/>
        <v>92624.00</v>
      </c>
      <c r="I1249" s="14" t="str">
        <f t="shared" si="2"/>
        <v>81270.00</v>
      </c>
      <c r="J1249" s="16" t="str">
        <f>TEXT(Raw_Data!J1249,"MMM-YYY")</f>
        <v>Jul-2025</v>
      </c>
      <c r="K1249" s="13" t="str">
        <f>Raw_Data!K1249</f>
        <v>5</v>
      </c>
      <c r="L1249" s="17" t="str">
        <f>Raw_Data!L1249</f>
        <v>Ahmedabad-West</v>
      </c>
      <c r="M1249" s="13" t="str">
        <f t="shared" si="3"/>
        <v>OK</v>
      </c>
      <c r="N1249" s="18" t="str">
        <f t="shared" si="4"/>
        <v>VALID</v>
      </c>
    </row>
    <row r="1250" ht="15.75" customHeight="1">
      <c r="A1250" s="13" t="str">
        <f>Raw_Data!A1250</f>
        <v>EMP1309</v>
      </c>
      <c r="B1250" s="13" t="str">
        <f>TRIM(CLEAN(Raw_Data!B1250))</f>
        <v>IT</v>
      </c>
      <c r="C1250" s="18" t="s">
        <v>54</v>
      </c>
      <c r="D1250" s="14" t="str">
        <f>IF(ISBLANK(Raw_Data!D1250),AVERAGE(Raw_Data!D$2:D$5002),Raw_Data!D1250)</f>
        <v>62391.92</v>
      </c>
      <c r="E1250" s="15" t="str">
        <f>IF(ISBLANK(Raw_Data!E1250),AVERAGE(Raw_Data!E$2:E$5002),Raw_Data!E1250)</f>
        <v>20031.29</v>
      </c>
      <c r="F1250" s="15" t="str">
        <f>IF(ISBLANK(Raw_Data!F1250),AVERAGE(Raw_Data!F$2:F$5002),Raw_Data!F1250)</f>
        <v>10224.38</v>
      </c>
      <c r="G1250" s="14" t="str">
        <f>IF(ISBLANK(Raw_Data!G1250),AVERAGE(Raw_Data!G$2:G$5002),Raw_Data!G1250)</f>
        <v>11357.17</v>
      </c>
      <c r="H1250" s="15" t="str">
        <f t="shared" si="1"/>
        <v>92648.00</v>
      </c>
      <c r="I1250" s="14" t="str">
        <f t="shared" si="2"/>
        <v>81291.00</v>
      </c>
      <c r="J1250" s="16" t="str">
        <f>TEXT(Raw_Data!J1250,"MMM-YYY")</f>
        <v>Sep-2025</v>
      </c>
      <c r="K1250" s="13" t="str">
        <f>Raw_Data!K1250</f>
        <v>15</v>
      </c>
      <c r="L1250" s="17" t="str">
        <f>Raw_Data!L1250</f>
        <v>Jaipur-North</v>
      </c>
      <c r="M1250" s="13" t="str">
        <f t="shared" si="3"/>
        <v>OK</v>
      </c>
      <c r="N1250" s="18" t="str">
        <f t="shared" si="4"/>
        <v>VALID</v>
      </c>
    </row>
    <row r="1251" ht="15.75" customHeight="1">
      <c r="A1251" s="13" t="str">
        <f>Raw_Data!A1251</f>
        <v>EMP1310</v>
      </c>
      <c r="B1251" s="13" t="str">
        <f>TRIM(CLEAN(Raw_Data!B1251))</f>
        <v>Sales</v>
      </c>
      <c r="C1251" s="18" t="s">
        <v>30</v>
      </c>
      <c r="D1251" s="14" t="str">
        <f>IF(ISBLANK(Raw_Data!D1251),AVERAGE(Raw_Data!D$2:D$5002),Raw_Data!D1251)</f>
        <v>62402.80</v>
      </c>
      <c r="E1251" s="15" t="str">
        <f>IF(ISBLANK(Raw_Data!E1251),AVERAGE(Raw_Data!E$2:E$5002),Raw_Data!E1251)</f>
        <v>20035.91</v>
      </c>
      <c r="F1251" s="15" t="str">
        <f>IF(ISBLANK(Raw_Data!F1251),AVERAGE(Raw_Data!F$2:F$5002),Raw_Data!F1251)</f>
        <v>10232.06</v>
      </c>
      <c r="G1251" s="14" t="str">
        <f>IF(ISBLANK(Raw_Data!G1251),AVERAGE(Raw_Data!G$2:G$5002),Raw_Data!G1251)</f>
        <v>11360.57</v>
      </c>
      <c r="H1251" s="15" t="str">
        <f t="shared" si="1"/>
        <v>92671.00</v>
      </c>
      <c r="I1251" s="14" t="str">
        <f t="shared" si="2"/>
        <v>81310.00</v>
      </c>
      <c r="J1251" s="16" t="str">
        <f>TEXT(Raw_Data!J1251,"MMM-YYY")</f>
        <v>Jul-2025</v>
      </c>
      <c r="K1251" s="13" t="str">
        <f>Raw_Data!K1251</f>
        <v>15</v>
      </c>
      <c r="L1251" s="17" t="str">
        <f>Raw_Data!L1251</f>
        <v>Mumbai-HO</v>
      </c>
      <c r="M1251" s="13" t="str">
        <f t="shared" si="3"/>
        <v>OK</v>
      </c>
      <c r="N1251" s="18" t="str">
        <f t="shared" si="4"/>
        <v>VALID</v>
      </c>
    </row>
    <row r="1252" ht="15.75" customHeight="1">
      <c r="A1252" s="13" t="str">
        <f>Raw_Data!A1252</f>
        <v>EMP1311</v>
      </c>
      <c r="B1252" s="13" t="str">
        <f>TRIM(CLEAN(Raw_Data!B1252))</f>
        <v>HR</v>
      </c>
      <c r="C1252" s="18" t="s">
        <v>54</v>
      </c>
      <c r="D1252" s="14" t="str">
        <f>IF(ISBLANK(Raw_Data!D1252),AVERAGE(Raw_Data!D$2:D$5002),Raw_Data!D1252)</f>
        <v>62413.68</v>
      </c>
      <c r="E1252" s="15" t="str">
        <f>IF(ISBLANK(Raw_Data!E1252),AVERAGE(Raw_Data!E$2:E$5002),Raw_Data!E1252)</f>
        <v>20040.52</v>
      </c>
      <c r="F1252" s="15" t="str">
        <f>IF(ISBLANK(Raw_Data!F1252),AVERAGE(Raw_Data!F$2:F$5002),Raw_Data!F1252)</f>
        <v>10239.74</v>
      </c>
      <c r="G1252" s="14" t="str">
        <f>IF(ISBLANK(Raw_Data!G1252),AVERAGE(Raw_Data!G$2:G$5002),Raw_Data!G1252)</f>
        <v>11363.97</v>
      </c>
      <c r="H1252" s="15" t="str">
        <f t="shared" si="1"/>
        <v>92694.00</v>
      </c>
      <c r="I1252" s="14" t="str">
        <f t="shared" si="2"/>
        <v>81330.00</v>
      </c>
      <c r="J1252" s="16" t="str">
        <f>TEXT(Raw_Data!J1252,"MMM-YYY")</f>
        <v>Apr-2025</v>
      </c>
      <c r="K1252" s="13" t="str">
        <f>Raw_Data!K1252</f>
        <v>18</v>
      </c>
      <c r="L1252" s="17" t="str">
        <f>Raw_Data!L1252</f>
        <v>Delhi-North</v>
      </c>
      <c r="M1252" s="13" t="str">
        <f t="shared" si="3"/>
        <v>OK</v>
      </c>
      <c r="N1252" s="18" t="str">
        <f t="shared" si="4"/>
        <v>VALID</v>
      </c>
    </row>
    <row r="1253" ht="15.75" customHeight="1">
      <c r="A1253" s="13" t="str">
        <f>Raw_Data!A1253</f>
        <v>EMP1312</v>
      </c>
      <c r="B1253" s="13" t="str">
        <f>TRIM(CLEAN(Raw_Data!B1253))</f>
        <v>Finance</v>
      </c>
      <c r="C1253" s="18" t="s">
        <v>26</v>
      </c>
      <c r="D1253" s="14" t="str">
        <f>IF(ISBLANK(Raw_Data!D1253),AVERAGE(Raw_Data!D$2:D$5002),Raw_Data!D1253)</f>
        <v>62424.57</v>
      </c>
      <c r="E1253" s="15" t="str">
        <f>IF(ISBLANK(Raw_Data!E1253),AVERAGE(Raw_Data!E$2:E$5002),Raw_Data!E1253)</f>
        <v>20045.13</v>
      </c>
      <c r="F1253" s="15" t="str">
        <f>IF(ISBLANK(Raw_Data!F1253),AVERAGE(Raw_Data!F$2:F$5002),Raw_Data!F1253)</f>
        <v>10247.42</v>
      </c>
      <c r="G1253" s="14" t="str">
        <f>IF(ISBLANK(Raw_Data!G1253),AVERAGE(Raw_Data!G$2:G$5002),Raw_Data!G1253)</f>
        <v>11367.37</v>
      </c>
      <c r="H1253" s="15" t="str">
        <f t="shared" si="1"/>
        <v>92717.00</v>
      </c>
      <c r="I1253" s="14" t="str">
        <f t="shared" si="2"/>
        <v>81350.00</v>
      </c>
      <c r="J1253" s="16" t="str">
        <f>TEXT(Raw_Data!J1253,"MMM-YYY")</f>
        <v>Jul-2025</v>
      </c>
      <c r="K1253" s="13" t="str">
        <f>Raw_Data!K1253</f>
        <v>18</v>
      </c>
      <c r="L1253" s="17" t="str">
        <f>Raw_Data!L1253</f>
        <v>Bangalore-South</v>
      </c>
      <c r="M1253" s="13" t="str">
        <f t="shared" si="3"/>
        <v>OK</v>
      </c>
      <c r="N1253" s="18" t="str">
        <f t="shared" si="4"/>
        <v>VALID</v>
      </c>
    </row>
    <row r="1254" ht="15.75" customHeight="1">
      <c r="A1254" s="13" t="str">
        <f>Raw_Data!A1254</f>
        <v>EMP1313</v>
      </c>
      <c r="B1254" s="13" t="str">
        <f>TRIM(CLEAN(Raw_Data!B1254))</f>
        <v>Marketing</v>
      </c>
      <c r="C1254" s="18" t="s">
        <v>33</v>
      </c>
      <c r="D1254" s="14" t="str">
        <f>IF(ISBLANK(Raw_Data!D1254),AVERAGE(Raw_Data!D$2:D$5002),Raw_Data!D1254)</f>
        <v>62435.45</v>
      </c>
      <c r="E1254" s="15" t="str">
        <f>IF(ISBLANK(Raw_Data!E1254),AVERAGE(Raw_Data!E$2:E$5002),Raw_Data!E1254)</f>
        <v>20049.75</v>
      </c>
      <c r="F1254" s="15" t="str">
        <f>IF(ISBLANK(Raw_Data!F1254),AVERAGE(Raw_Data!F$2:F$5002),Raw_Data!F1254)</f>
        <v>10255.10</v>
      </c>
      <c r="G1254" s="14" t="str">
        <f>IF(ISBLANK(Raw_Data!G1254),AVERAGE(Raw_Data!G$2:G$5002),Raw_Data!G1254)</f>
        <v>11370.76</v>
      </c>
      <c r="H1254" s="15" t="str">
        <f t="shared" si="1"/>
        <v>92740.00</v>
      </c>
      <c r="I1254" s="14" t="str">
        <f t="shared" si="2"/>
        <v>81369.00</v>
      </c>
      <c r="J1254" s="16" t="str">
        <f>TEXT(Raw_Data!J1254,"MMM-YYY")</f>
        <v>Jun-2025</v>
      </c>
      <c r="K1254" s="13" t="str">
        <f>Raw_Data!K1254</f>
        <v>1</v>
      </c>
      <c r="L1254" s="17" t="str">
        <f>Raw_Data!L1254</f>
        <v>Chennai-South</v>
      </c>
      <c r="M1254" s="13" t="str">
        <f t="shared" si="3"/>
        <v>OK</v>
      </c>
      <c r="N1254" s="18" t="str">
        <f t="shared" si="4"/>
        <v>VALID</v>
      </c>
    </row>
    <row r="1255" ht="15.75" customHeight="1">
      <c r="A1255" s="13" t="str">
        <f>Raw_Data!A1255</f>
        <v>EMP1314</v>
      </c>
      <c r="B1255" s="13" t="str">
        <f>TRIM(CLEAN(Raw_Data!B1255))</f>
        <v>IT</v>
      </c>
      <c r="C1255" s="18" t="s">
        <v>26</v>
      </c>
      <c r="D1255" s="14" t="str">
        <f>IF(ISBLANK(Raw_Data!D1255),AVERAGE(Raw_Data!D$2:D$5002),Raw_Data!D1255)</f>
        <v>62446.33</v>
      </c>
      <c r="E1255" s="15" t="str">
        <f>IF(ISBLANK(Raw_Data!E1255),AVERAGE(Raw_Data!E$2:E$5002),Raw_Data!E1255)</f>
        <v>20054.36</v>
      </c>
      <c r="F1255" s="15" t="str">
        <f>IF(ISBLANK(Raw_Data!F1255),AVERAGE(Raw_Data!F$2:F$5002),Raw_Data!F1255)</f>
        <v>10262.78</v>
      </c>
      <c r="G1255" s="14" t="str">
        <f>IF(ISBLANK(Raw_Data!G1255),AVERAGE(Raw_Data!G$2:G$5002),Raw_Data!G1255)</f>
        <v>11374.16</v>
      </c>
      <c r="H1255" s="15" t="str">
        <f t="shared" si="1"/>
        <v>92763.00</v>
      </c>
      <c r="I1255" s="14" t="str">
        <f t="shared" si="2"/>
        <v>81389.00</v>
      </c>
      <c r="J1255" s="16" t="str">
        <f>TEXT(Raw_Data!J1255,"MMM-YYY")</f>
        <v>Jan-2025</v>
      </c>
      <c r="K1255" s="13" t="str">
        <f>Raw_Data!K1255</f>
        <v>10</v>
      </c>
      <c r="L1255" s="17" t="str">
        <f>Raw_Data!L1255</f>
        <v>Kolkata-East</v>
      </c>
      <c r="M1255" s="13" t="str">
        <f t="shared" si="3"/>
        <v>OK</v>
      </c>
      <c r="N1255" s="18" t="str">
        <f t="shared" si="4"/>
        <v>VALID</v>
      </c>
    </row>
    <row r="1256" ht="15.75" customHeight="1">
      <c r="A1256" s="13" t="str">
        <f>Raw_Data!A1256</f>
        <v>EMP1315</v>
      </c>
      <c r="B1256" s="13" t="str">
        <f>TRIM(CLEAN(Raw_Data!B1256))</f>
        <v>Finance</v>
      </c>
      <c r="C1256" s="18" t="s">
        <v>18</v>
      </c>
      <c r="D1256" s="14" t="str">
        <f>IF(ISBLANK(Raw_Data!D1256),AVERAGE(Raw_Data!D$2:D$5002),Raw_Data!D1256)</f>
        <v>62457.21</v>
      </c>
      <c r="E1256" s="15" t="str">
        <f>IF(ISBLANK(Raw_Data!E1256),AVERAGE(Raw_Data!E$2:E$5002),Raw_Data!E1256)</f>
        <v>20058.98</v>
      </c>
      <c r="F1256" s="15" t="str">
        <f>IF(ISBLANK(Raw_Data!F1256),AVERAGE(Raw_Data!F$2:F$5002),Raw_Data!F1256)</f>
        <v>10270.46</v>
      </c>
      <c r="G1256" s="14" t="str">
        <f>IF(ISBLANK(Raw_Data!G1256),AVERAGE(Raw_Data!G$2:G$5002),Raw_Data!G1256)</f>
        <v>11377.56</v>
      </c>
      <c r="H1256" s="15" t="str">
        <f t="shared" si="1"/>
        <v>92787.00</v>
      </c>
      <c r="I1256" s="14" t="str">
        <f t="shared" si="2"/>
        <v>81409.00</v>
      </c>
      <c r="J1256" s="16" t="str">
        <f>TEXT(Raw_Data!J1256,"MMM-YYY")</f>
        <v>Aug-2025</v>
      </c>
      <c r="K1256" s="13" t="str">
        <f>Raw_Data!K1256</f>
        <v>10</v>
      </c>
      <c r="L1256" s="17" t="str">
        <f>Raw_Data!L1256</f>
        <v>Pune-West</v>
      </c>
      <c r="M1256" s="13" t="str">
        <f t="shared" si="3"/>
        <v>OK</v>
      </c>
      <c r="N1256" s="18" t="str">
        <f t="shared" si="4"/>
        <v>VALID</v>
      </c>
    </row>
    <row r="1257" ht="15.75" customHeight="1">
      <c r="A1257" s="13" t="str">
        <f>Raw_Data!A1257</f>
        <v>EMP1316</v>
      </c>
      <c r="B1257" s="13" t="str">
        <f>TRIM(CLEAN(Raw_Data!B1257))</f>
        <v>Finance</v>
      </c>
      <c r="C1257" s="18" t="s">
        <v>30</v>
      </c>
      <c r="D1257" s="14" t="str">
        <f>IF(ISBLANK(Raw_Data!D1257),AVERAGE(Raw_Data!D$2:D$5002),Raw_Data!D1257)</f>
        <v>62468.10</v>
      </c>
      <c r="E1257" s="15" t="str">
        <f>IF(ISBLANK(Raw_Data!E1257),AVERAGE(Raw_Data!E$2:E$5002),Raw_Data!E1257)</f>
        <v>20063.59</v>
      </c>
      <c r="F1257" s="15" t="str">
        <f>IF(ISBLANK(Raw_Data!F1257),AVERAGE(Raw_Data!F$2:F$5002),Raw_Data!F1257)</f>
        <v>10278.14</v>
      </c>
      <c r="G1257" s="14" t="str">
        <f>IF(ISBLANK(Raw_Data!G1257),AVERAGE(Raw_Data!G$2:G$5002),Raw_Data!G1257)</f>
        <v>11380.96</v>
      </c>
      <c r="H1257" s="15" t="str">
        <f t="shared" si="1"/>
        <v>92810.00</v>
      </c>
      <c r="I1257" s="14" t="str">
        <f t="shared" si="2"/>
        <v>81429.00</v>
      </c>
      <c r="J1257" s="16" t="str">
        <f>TEXT(Raw_Data!J1257,"MMM-YYY")</f>
        <v>Jun-2025</v>
      </c>
      <c r="K1257" s="13" t="str">
        <f>Raw_Data!K1257</f>
        <v>25</v>
      </c>
      <c r="L1257" s="17" t="str">
        <f>Raw_Data!L1257</f>
        <v>Hyderabad-South</v>
      </c>
      <c r="M1257" s="13" t="str">
        <f t="shared" si="3"/>
        <v>OK</v>
      </c>
      <c r="N1257" s="18" t="str">
        <f t="shared" si="4"/>
        <v>VALID</v>
      </c>
    </row>
    <row r="1258" ht="15.75" customHeight="1">
      <c r="A1258" s="13" t="str">
        <f>Raw_Data!A1258</f>
        <v>EMP1318</v>
      </c>
      <c r="B1258" s="13" t="str">
        <f>TRIM(CLEAN(Raw_Data!B1258))</f>
        <v>Finance</v>
      </c>
      <c r="C1258" s="18" t="s">
        <v>37</v>
      </c>
      <c r="D1258" s="14" t="str">
        <f>IF(ISBLANK(Raw_Data!D1258),AVERAGE(Raw_Data!D$2:D$5002),Raw_Data!D1258)</f>
        <v>62489.86</v>
      </c>
      <c r="E1258" s="15" t="str">
        <f>IF(ISBLANK(Raw_Data!E1258),AVERAGE(Raw_Data!E$2:E$5002),Raw_Data!E1258)</f>
        <v>20072.82</v>
      </c>
      <c r="F1258" s="15" t="str">
        <f>IF(ISBLANK(Raw_Data!F1258),AVERAGE(Raw_Data!F$2:F$5002),Raw_Data!F1258)</f>
        <v>10293.50</v>
      </c>
      <c r="G1258" s="14" t="str">
        <f>IF(ISBLANK(Raw_Data!G1258),AVERAGE(Raw_Data!G$2:G$5002),Raw_Data!G1258)</f>
        <v>11387.75</v>
      </c>
      <c r="H1258" s="15" t="str">
        <f t="shared" si="1"/>
        <v>92856.00</v>
      </c>
      <c r="I1258" s="14" t="str">
        <f t="shared" si="2"/>
        <v>81468.00</v>
      </c>
      <c r="J1258" s="16" t="str">
        <f>TEXT(Raw_Data!J1258,"MMM-YYY")</f>
        <v>Jul-2025</v>
      </c>
      <c r="K1258" s="13" t="str">
        <f>Raw_Data!K1258</f>
        <v>13</v>
      </c>
      <c r="L1258" s="17" t="str">
        <f>Raw_Data!L1258</f>
        <v>Ahmedabad-West</v>
      </c>
      <c r="M1258" s="13" t="str">
        <f t="shared" si="3"/>
        <v>OK</v>
      </c>
      <c r="N1258" s="18" t="str">
        <f t="shared" si="4"/>
        <v>VALID</v>
      </c>
    </row>
    <row r="1259" ht="15.75" customHeight="1">
      <c r="A1259" s="13" t="str">
        <f>Raw_Data!A1259</f>
        <v>EMP1319</v>
      </c>
      <c r="B1259" s="13" t="str">
        <f>TRIM(CLEAN(Raw_Data!B1259))</f>
        <v>IT</v>
      </c>
      <c r="C1259" s="18" t="s">
        <v>14</v>
      </c>
      <c r="D1259" s="14" t="str">
        <f>IF(ISBLANK(Raw_Data!D1259),AVERAGE(Raw_Data!D$2:D$5002),Raw_Data!D1259)</f>
        <v>62500.75</v>
      </c>
      <c r="E1259" s="15" t="str">
        <f>IF(ISBLANK(Raw_Data!E1259),AVERAGE(Raw_Data!E$2:E$5002),Raw_Data!E1259)</f>
        <v>20077.44</v>
      </c>
      <c r="F1259" s="15" t="str">
        <f>IF(ISBLANK(Raw_Data!F1259),AVERAGE(Raw_Data!F$2:F$5002),Raw_Data!F1259)</f>
        <v>10301.18</v>
      </c>
      <c r="G1259" s="14" t="str">
        <f>IF(ISBLANK(Raw_Data!G1259),AVERAGE(Raw_Data!G$2:G$5002),Raw_Data!G1259)</f>
        <v>11391.15</v>
      </c>
      <c r="H1259" s="15" t="str">
        <f t="shared" si="1"/>
        <v>92879.00</v>
      </c>
      <c r="I1259" s="14" t="str">
        <f t="shared" si="2"/>
        <v>81488.00</v>
      </c>
      <c r="J1259" s="16" t="str">
        <f>TEXT(Raw_Data!J1259,"MMM-YYY")</f>
        <v>Apr-2025</v>
      </c>
      <c r="K1259" s="13" t="str">
        <f>Raw_Data!K1259</f>
        <v>11</v>
      </c>
      <c r="L1259" s="17" t="str">
        <f>Raw_Data!L1259</f>
        <v>Jaipur-North</v>
      </c>
      <c r="M1259" s="13" t="str">
        <f t="shared" si="3"/>
        <v>OK</v>
      </c>
      <c r="N1259" s="18" t="str">
        <f t="shared" si="4"/>
        <v>VALID</v>
      </c>
    </row>
    <row r="1260" ht="15.75" customHeight="1">
      <c r="A1260" s="13" t="str">
        <f>Raw_Data!A1260</f>
        <v>EMP1320</v>
      </c>
      <c r="B1260" s="13" t="str">
        <f>TRIM(CLEAN(Raw_Data!B1260))</f>
        <v>Marketing</v>
      </c>
      <c r="C1260" s="18" t="s">
        <v>18</v>
      </c>
      <c r="D1260" s="14" t="str">
        <f>IF(ISBLANK(Raw_Data!D1260),AVERAGE(Raw_Data!D$2:D$5002),Raw_Data!D1260)</f>
        <v>62511.63</v>
      </c>
      <c r="E1260" s="15" t="str">
        <f>IF(ISBLANK(Raw_Data!E1260),AVERAGE(Raw_Data!E$2:E$5002),Raw_Data!E1260)</f>
        <v>20082.05</v>
      </c>
      <c r="F1260" s="15" t="str">
        <f>IF(ISBLANK(Raw_Data!F1260),AVERAGE(Raw_Data!F$2:F$5002),Raw_Data!F1260)</f>
        <v>10308.86</v>
      </c>
      <c r="G1260" s="14" t="str">
        <f>IF(ISBLANK(Raw_Data!G1260),AVERAGE(Raw_Data!G$2:G$5002),Raw_Data!G1260)</f>
        <v>11394.55</v>
      </c>
      <c r="H1260" s="15" t="str">
        <f t="shared" si="1"/>
        <v>92903.00</v>
      </c>
      <c r="I1260" s="14" t="str">
        <f t="shared" si="2"/>
        <v>81508.00</v>
      </c>
      <c r="J1260" s="16" t="str">
        <f>TEXT(Raw_Data!J1260,"MMM-YYY")</f>
        <v>Feb-2025</v>
      </c>
      <c r="K1260" s="13" t="str">
        <f>Raw_Data!K1260</f>
        <v>15</v>
      </c>
      <c r="L1260" s="17" t="str">
        <f>Raw_Data!L1260</f>
        <v>Mumbai-HO</v>
      </c>
      <c r="M1260" s="13" t="str">
        <f t="shared" si="3"/>
        <v>OK</v>
      </c>
      <c r="N1260" s="18" t="str">
        <f t="shared" si="4"/>
        <v>VALID</v>
      </c>
    </row>
    <row r="1261" ht="15.75" customHeight="1">
      <c r="A1261" s="13" t="str">
        <f>Raw_Data!A1261</f>
        <v>EMP1321</v>
      </c>
      <c r="B1261" s="13" t="str">
        <f>TRIM(CLEAN(Raw_Data!B1261))</f>
        <v>HR</v>
      </c>
      <c r="C1261" s="18" t="s">
        <v>18</v>
      </c>
      <c r="D1261" s="14" t="str">
        <f>IF(ISBLANK(Raw_Data!D1261),AVERAGE(Raw_Data!D$2:D$5002),Raw_Data!D1261)</f>
        <v>62522.51</v>
      </c>
      <c r="E1261" s="15" t="str">
        <f>IF(ISBLANK(Raw_Data!E1261),AVERAGE(Raw_Data!E$2:E$5002),Raw_Data!E1261)</f>
        <v>20086.67</v>
      </c>
      <c r="F1261" s="15" t="str">
        <f>IF(ISBLANK(Raw_Data!F1261),AVERAGE(Raw_Data!F$2:F$5002),Raw_Data!F1261)</f>
        <v>10316.54</v>
      </c>
      <c r="G1261" s="14" t="str">
        <f>IF(ISBLANK(Raw_Data!G1261),AVERAGE(Raw_Data!G$2:G$5002),Raw_Data!G1261)</f>
        <v>11397.94</v>
      </c>
      <c r="H1261" s="15" t="str">
        <f t="shared" si="1"/>
        <v>92926.00</v>
      </c>
      <c r="I1261" s="14" t="str">
        <f t="shared" si="2"/>
        <v>81528.00</v>
      </c>
      <c r="J1261" s="16" t="str">
        <f>TEXT(Raw_Data!J1261,"MMM-YYY")</f>
        <v>Jun-2025</v>
      </c>
      <c r="K1261" s="13" t="str">
        <f>Raw_Data!K1261</f>
        <v>5</v>
      </c>
      <c r="L1261" s="17" t="str">
        <f>Raw_Data!L1261</f>
        <v>Delhi-North</v>
      </c>
      <c r="M1261" s="13" t="str">
        <f t="shared" si="3"/>
        <v>OK</v>
      </c>
      <c r="N1261" s="18" t="str">
        <f t="shared" si="4"/>
        <v>VALID</v>
      </c>
    </row>
    <row r="1262" ht="15.75" customHeight="1">
      <c r="A1262" s="13" t="str">
        <f>Raw_Data!A1262</f>
        <v>EMP1322</v>
      </c>
      <c r="B1262" s="13" t="str">
        <f>TRIM(CLEAN(Raw_Data!B1262))</f>
        <v>Customer Support</v>
      </c>
      <c r="C1262" s="18" t="s">
        <v>37</v>
      </c>
      <c r="D1262" s="14" t="str">
        <f>IF(ISBLANK(Raw_Data!D1262),AVERAGE(Raw_Data!D$2:D$5002),Raw_Data!D1262)</f>
        <v>62533.40</v>
      </c>
      <c r="E1262" s="15" t="str">
        <f>IF(ISBLANK(Raw_Data!E1262),AVERAGE(Raw_Data!E$2:E$5002),Raw_Data!E1262)</f>
        <v>20091.28</v>
      </c>
      <c r="F1262" s="15" t="str">
        <f>IF(ISBLANK(Raw_Data!F1262),AVERAGE(Raw_Data!F$2:F$5002),Raw_Data!F1262)</f>
        <v>10324.22</v>
      </c>
      <c r="G1262" s="14" t="str">
        <f>IF(ISBLANK(Raw_Data!G1262),AVERAGE(Raw_Data!G$2:G$5002),Raw_Data!G1262)</f>
        <v>11401.34</v>
      </c>
      <c r="H1262" s="15" t="str">
        <f t="shared" si="1"/>
        <v>92949.00</v>
      </c>
      <c r="I1262" s="14" t="str">
        <f t="shared" si="2"/>
        <v>81548.00</v>
      </c>
      <c r="J1262" s="16" t="str">
        <f>TEXT(Raw_Data!J1262,"MMM-YYY")</f>
        <v>Aug-2025</v>
      </c>
      <c r="K1262" s="13" t="str">
        <f>Raw_Data!K1262</f>
        <v>16</v>
      </c>
      <c r="L1262" s="17" t="str">
        <f>Raw_Data!L1262</f>
        <v>Bangalore-South</v>
      </c>
      <c r="M1262" s="13" t="str">
        <f t="shared" si="3"/>
        <v>OK</v>
      </c>
      <c r="N1262" s="18" t="str">
        <f t="shared" si="4"/>
        <v>VALID</v>
      </c>
    </row>
    <row r="1263" ht="15.75" customHeight="1">
      <c r="A1263" s="13" t="str">
        <f>Raw_Data!A1263</f>
        <v>EMP1323</v>
      </c>
      <c r="B1263" s="13" t="str">
        <f>TRIM(CLEAN(Raw_Data!B1263))</f>
        <v>HR</v>
      </c>
      <c r="C1263" s="18" t="s">
        <v>37</v>
      </c>
      <c r="D1263" s="14" t="str">
        <f>IF(ISBLANK(Raw_Data!D1263),AVERAGE(Raw_Data!D$2:D$5002),Raw_Data!D1263)</f>
        <v>62544.28</v>
      </c>
      <c r="E1263" s="15" t="str">
        <f>IF(ISBLANK(Raw_Data!E1263),AVERAGE(Raw_Data!E$2:E$5002),Raw_Data!E1263)</f>
        <v>20095.90</v>
      </c>
      <c r="F1263" s="15" t="str">
        <f>IF(ISBLANK(Raw_Data!F1263),AVERAGE(Raw_Data!F$2:F$5002),Raw_Data!F1263)</f>
        <v>10331.90</v>
      </c>
      <c r="G1263" s="14" t="str">
        <f>IF(ISBLANK(Raw_Data!G1263),AVERAGE(Raw_Data!G$2:G$5002),Raw_Data!G1263)</f>
        <v>11404.74</v>
      </c>
      <c r="H1263" s="15" t="str">
        <f t="shared" si="1"/>
        <v>92972.00</v>
      </c>
      <c r="I1263" s="14" t="str">
        <f t="shared" si="2"/>
        <v>81567.00</v>
      </c>
      <c r="J1263" s="16" t="str">
        <f>TEXT(Raw_Data!J1263,"MMM-YYY")</f>
        <v>Dec-2025</v>
      </c>
      <c r="K1263" s="13" t="str">
        <f>Raw_Data!K1263</f>
        <v>22</v>
      </c>
      <c r="L1263" s="17" t="str">
        <f>Raw_Data!L1263</f>
        <v>Chennai-South</v>
      </c>
      <c r="M1263" s="13" t="str">
        <f t="shared" si="3"/>
        <v>OK</v>
      </c>
      <c r="N1263" s="18" t="str">
        <f t="shared" si="4"/>
        <v>VALID</v>
      </c>
    </row>
    <row r="1264" ht="15.75" customHeight="1">
      <c r="A1264" s="13" t="str">
        <f>Raw_Data!A1264</f>
        <v>EMP1325</v>
      </c>
      <c r="B1264" s="13" t="str">
        <f>TRIM(CLEAN(Raw_Data!B1264))</f>
        <v>Finance</v>
      </c>
      <c r="C1264" s="18" t="s">
        <v>54</v>
      </c>
      <c r="D1264" s="14" t="str">
        <f>IF(ISBLANK(Raw_Data!D1264),AVERAGE(Raw_Data!D$2:D$5002),Raw_Data!D1264)</f>
        <v>62566.04</v>
      </c>
      <c r="E1264" s="15" t="str">
        <f>IF(ISBLANK(Raw_Data!E1264),AVERAGE(Raw_Data!E$2:E$5002),Raw_Data!E1264)</f>
        <v>20105.13</v>
      </c>
      <c r="F1264" s="15" t="str">
        <f>IF(ISBLANK(Raw_Data!F1264),AVERAGE(Raw_Data!F$2:F$5002),Raw_Data!F1264)</f>
        <v>10347.26</v>
      </c>
      <c r="G1264" s="14" t="str">
        <f>IF(ISBLANK(Raw_Data!G1264),AVERAGE(Raw_Data!G$2:G$5002),Raw_Data!G1264)</f>
        <v>11411.53</v>
      </c>
      <c r="H1264" s="15" t="str">
        <f t="shared" si="1"/>
        <v>93018.00</v>
      </c>
      <c r="I1264" s="14" t="str">
        <f t="shared" si="2"/>
        <v>81606.00</v>
      </c>
      <c r="J1264" s="16" t="str">
        <f>TEXT(Raw_Data!J1264,"MMM-YYY")</f>
        <v>Oct-2025</v>
      </c>
      <c r="K1264" s="13" t="str">
        <f>Raw_Data!K1264</f>
        <v>6</v>
      </c>
      <c r="L1264" s="17" t="str">
        <f>Raw_Data!L1264</f>
        <v>Pune-West</v>
      </c>
      <c r="M1264" s="13" t="str">
        <f t="shared" si="3"/>
        <v>OK</v>
      </c>
      <c r="N1264" s="18" t="str">
        <f t="shared" si="4"/>
        <v>VALID</v>
      </c>
    </row>
    <row r="1265" ht="15.75" customHeight="1">
      <c r="A1265" s="13" t="str">
        <f>Raw_Data!A1265</f>
        <v>EMP1326</v>
      </c>
      <c r="B1265" s="13" t="str">
        <f>TRIM(CLEAN(Raw_Data!B1265))</f>
        <v>Customer Support</v>
      </c>
      <c r="C1265" s="18" t="s">
        <v>37</v>
      </c>
      <c r="D1265" s="14" t="str">
        <f>IF(ISBLANK(Raw_Data!D1265),AVERAGE(Raw_Data!D$2:D$5002),Raw_Data!D1265)</f>
        <v>62576.93</v>
      </c>
      <c r="E1265" s="15" t="str">
        <f>IF(ISBLANK(Raw_Data!E1265),AVERAGE(Raw_Data!E$2:E$5002),Raw_Data!E1265)</f>
        <v>20109.74</v>
      </c>
      <c r="F1265" s="15" t="str">
        <f>IF(ISBLANK(Raw_Data!F1265),AVERAGE(Raw_Data!F$2:F$5002),Raw_Data!F1265)</f>
        <v>10354.94</v>
      </c>
      <c r="G1265" s="14" t="str">
        <f>IF(ISBLANK(Raw_Data!G1265),AVERAGE(Raw_Data!G$2:G$5002),Raw_Data!G1265)</f>
        <v>11414.93</v>
      </c>
      <c r="H1265" s="15" t="str">
        <f t="shared" si="1"/>
        <v>93042.00</v>
      </c>
      <c r="I1265" s="14" t="str">
        <f t="shared" si="2"/>
        <v>81627.00</v>
      </c>
      <c r="J1265" s="16" t="str">
        <f>TEXT(Raw_Data!J1265,"MMM-YYY")</f>
        <v>Aug-2025</v>
      </c>
      <c r="K1265" s="13" t="str">
        <f>Raw_Data!K1265</f>
        <v>14</v>
      </c>
      <c r="L1265" s="17" t="str">
        <f>Raw_Data!L1265</f>
        <v>Hyderabad-South</v>
      </c>
      <c r="M1265" s="13" t="str">
        <f t="shared" si="3"/>
        <v>OK</v>
      </c>
      <c r="N1265" s="18" t="str">
        <f t="shared" si="4"/>
        <v>VALID</v>
      </c>
    </row>
    <row r="1266" ht="15.75" customHeight="1">
      <c r="A1266" s="13" t="str">
        <f>Raw_Data!A1266</f>
        <v>EMP1327</v>
      </c>
      <c r="B1266" s="13" t="str">
        <f>TRIM(CLEAN(Raw_Data!B1266))</f>
        <v>IT</v>
      </c>
      <c r="C1266" s="18" t="s">
        <v>33</v>
      </c>
      <c r="D1266" s="14" t="str">
        <f>IF(ISBLANK(Raw_Data!D1266),AVERAGE(Raw_Data!D$2:D$5002),Raw_Data!D1266)</f>
        <v>62587.81</v>
      </c>
      <c r="E1266" s="15" t="str">
        <f>IF(ISBLANK(Raw_Data!E1266),AVERAGE(Raw_Data!E$2:E$5002),Raw_Data!E1266)</f>
        <v>20114.36</v>
      </c>
      <c r="F1266" s="15" t="str">
        <f>IF(ISBLANK(Raw_Data!F1266),AVERAGE(Raw_Data!F$2:F$5002),Raw_Data!F1266)</f>
        <v>10362.62</v>
      </c>
      <c r="G1266" s="14" t="str">
        <f>IF(ISBLANK(Raw_Data!G1266),AVERAGE(Raw_Data!G$2:G$5002),Raw_Data!G1266)</f>
        <v>11418.33</v>
      </c>
      <c r="H1266" s="15" t="str">
        <f t="shared" si="1"/>
        <v>93065.00</v>
      </c>
      <c r="I1266" s="14" t="str">
        <f t="shared" si="2"/>
        <v>81647.00</v>
      </c>
      <c r="J1266" s="16" t="str">
        <f>TEXT(Raw_Data!J1266,"MMM-YYY")</f>
        <v>Jan-2025</v>
      </c>
      <c r="K1266" s="13" t="str">
        <f>Raw_Data!K1266</f>
        <v>15</v>
      </c>
      <c r="L1266" s="17" t="str">
        <f>Raw_Data!L1266</f>
        <v>Chandigarh-North</v>
      </c>
      <c r="M1266" s="13" t="str">
        <f t="shared" si="3"/>
        <v>OK</v>
      </c>
      <c r="N1266" s="18" t="str">
        <f t="shared" si="4"/>
        <v>VALID</v>
      </c>
    </row>
    <row r="1267" ht="15.75" customHeight="1">
      <c r="A1267" s="13" t="str">
        <f>Raw_Data!A1267</f>
        <v>EMP1328</v>
      </c>
      <c r="B1267" s="13" t="str">
        <f>TRIM(CLEAN(Raw_Data!B1267))</f>
        <v>Finance</v>
      </c>
      <c r="C1267" s="18" t="s">
        <v>26</v>
      </c>
      <c r="D1267" s="14" t="str">
        <f>IF(ISBLANK(Raw_Data!D1267),AVERAGE(Raw_Data!D$2:D$5002),Raw_Data!D1267)</f>
        <v>62598.69</v>
      </c>
      <c r="E1267" s="15" t="str">
        <f>IF(ISBLANK(Raw_Data!E1267),AVERAGE(Raw_Data!E$2:E$5002),Raw_Data!E1267)</f>
        <v>20118.97</v>
      </c>
      <c r="F1267" s="15" t="str">
        <f>IF(ISBLANK(Raw_Data!F1267),AVERAGE(Raw_Data!F$2:F$5002),Raw_Data!F1267)</f>
        <v>10370.30</v>
      </c>
      <c r="G1267" s="14" t="str">
        <f>IF(ISBLANK(Raw_Data!G1267),AVERAGE(Raw_Data!G$2:G$5002),Raw_Data!G1267)</f>
        <v>11421.73</v>
      </c>
      <c r="H1267" s="15" t="str">
        <f t="shared" si="1"/>
        <v>93088.00</v>
      </c>
      <c r="I1267" s="14" t="str">
        <f t="shared" si="2"/>
        <v>81666.00</v>
      </c>
      <c r="J1267" s="16" t="str">
        <f>TEXT(Raw_Data!J1267,"MMM-YYY")</f>
        <v>May-2025</v>
      </c>
      <c r="K1267" s="13" t="str">
        <f>Raw_Data!K1267</f>
        <v>15</v>
      </c>
      <c r="L1267" s="17" t="str">
        <f>Raw_Data!L1267</f>
        <v>Ahmedabad-West</v>
      </c>
      <c r="M1267" s="13" t="str">
        <f t="shared" si="3"/>
        <v>OK</v>
      </c>
      <c r="N1267" s="18" t="str">
        <f t="shared" si="4"/>
        <v>VALID</v>
      </c>
    </row>
    <row r="1268" ht="15.75" customHeight="1">
      <c r="A1268" s="13" t="str">
        <f>Raw_Data!A1268</f>
        <v>EMP1329</v>
      </c>
      <c r="B1268" s="13" t="str">
        <f>TRIM(CLEAN(Raw_Data!B1268))</f>
        <v>Marketing</v>
      </c>
      <c r="C1268" s="18" t="s">
        <v>26</v>
      </c>
      <c r="D1268" s="14" t="str">
        <f>IF(ISBLANK(Raw_Data!D1268),AVERAGE(Raw_Data!D$2:D$5002),Raw_Data!D1268)</f>
        <v>62609.58</v>
      </c>
      <c r="E1268" s="15" t="str">
        <f>IF(ISBLANK(Raw_Data!E1268),AVERAGE(Raw_Data!E$2:E$5002),Raw_Data!E1268)</f>
        <v>20123.58</v>
      </c>
      <c r="F1268" s="15" t="str">
        <f>IF(ISBLANK(Raw_Data!F1268),AVERAGE(Raw_Data!F$2:F$5002),Raw_Data!F1268)</f>
        <v>10377.98</v>
      </c>
      <c r="G1268" s="14" t="str">
        <f>IF(ISBLANK(Raw_Data!G1268),AVERAGE(Raw_Data!G$2:G$5002),Raw_Data!G1268)</f>
        <v>11425.12</v>
      </c>
      <c r="H1268" s="15" t="str">
        <f t="shared" si="1"/>
        <v>93111.00</v>
      </c>
      <c r="I1268" s="14" t="str">
        <f t="shared" si="2"/>
        <v>81686.00</v>
      </c>
      <c r="J1268" s="16" t="str">
        <f>TEXT(Raw_Data!J1268,"MMM-YYY")</f>
        <v>Jan-2025</v>
      </c>
      <c r="K1268" s="13" t="str">
        <f>Raw_Data!K1268</f>
        <v>16</v>
      </c>
      <c r="L1268" s="17" t="str">
        <f>Raw_Data!L1268</f>
        <v>Jaipur-North</v>
      </c>
      <c r="M1268" s="13" t="str">
        <f t="shared" si="3"/>
        <v>OK</v>
      </c>
      <c r="N1268" s="18" t="str">
        <f t="shared" si="4"/>
        <v>VALID</v>
      </c>
    </row>
    <row r="1269" ht="15.75" customHeight="1">
      <c r="A1269" s="13" t="str">
        <f>Raw_Data!A1269</f>
        <v>EMP1330</v>
      </c>
      <c r="B1269" s="13" t="str">
        <f>TRIM(CLEAN(Raw_Data!B1269))</f>
        <v>IT</v>
      </c>
      <c r="C1269" s="18" t="s">
        <v>33</v>
      </c>
      <c r="D1269" s="14" t="str">
        <f>IF(ISBLANK(Raw_Data!D1269),AVERAGE(Raw_Data!D$2:D$5002),Raw_Data!D1269)</f>
        <v>62620.46</v>
      </c>
      <c r="E1269" s="15" t="str">
        <f>IF(ISBLANK(Raw_Data!E1269),AVERAGE(Raw_Data!E$2:E$5002),Raw_Data!E1269)</f>
        <v>20128.20</v>
      </c>
      <c r="F1269" s="15" t="str">
        <f>IF(ISBLANK(Raw_Data!F1269),AVERAGE(Raw_Data!F$2:F$5002),Raw_Data!F1269)</f>
        <v>10385.66</v>
      </c>
      <c r="G1269" s="14" t="str">
        <f>IF(ISBLANK(Raw_Data!G1269),AVERAGE(Raw_Data!G$2:G$5002),Raw_Data!G1269)</f>
        <v>11428.52</v>
      </c>
      <c r="H1269" s="15" t="str">
        <f t="shared" si="1"/>
        <v>93134.00</v>
      </c>
      <c r="I1269" s="14" t="str">
        <f t="shared" si="2"/>
        <v>81705.00</v>
      </c>
      <c r="J1269" s="16" t="str">
        <f>TEXT(Raw_Data!J1269,"MMM-YYY")</f>
        <v>Apr-2025</v>
      </c>
      <c r="K1269" s="13" t="str">
        <f>Raw_Data!K1269</f>
        <v>7</v>
      </c>
      <c r="L1269" s="17" t="str">
        <f>Raw_Data!L1269</f>
        <v>Mumbai-HO</v>
      </c>
      <c r="M1269" s="13" t="str">
        <f t="shared" si="3"/>
        <v>OK</v>
      </c>
      <c r="N1269" s="18" t="str">
        <f t="shared" si="4"/>
        <v>VALID</v>
      </c>
    </row>
    <row r="1270" ht="15.75" customHeight="1">
      <c r="A1270" s="13" t="str">
        <f>Raw_Data!A1270</f>
        <v>EMP1331</v>
      </c>
      <c r="B1270" s="13" t="str">
        <f>TRIM(CLEAN(Raw_Data!B1270))</f>
        <v>Operations</v>
      </c>
      <c r="C1270" s="18" t="s">
        <v>30</v>
      </c>
      <c r="D1270" s="14" t="str">
        <f>IF(ISBLANK(Raw_Data!D1270),AVERAGE(Raw_Data!D$2:D$5002),Raw_Data!D1270)</f>
        <v>62631.34</v>
      </c>
      <c r="E1270" s="15" t="str">
        <f>IF(ISBLANK(Raw_Data!E1270),AVERAGE(Raw_Data!E$2:E$5002),Raw_Data!E1270)</f>
        <v>20132.81</v>
      </c>
      <c r="F1270" s="15" t="str">
        <f>IF(ISBLANK(Raw_Data!F1270),AVERAGE(Raw_Data!F$2:F$5002),Raw_Data!F1270)</f>
        <v>10393.34</v>
      </c>
      <c r="G1270" s="14" t="str">
        <f>IF(ISBLANK(Raw_Data!G1270),AVERAGE(Raw_Data!G$2:G$5002),Raw_Data!G1270)</f>
        <v>11431.92</v>
      </c>
      <c r="H1270" s="15" t="str">
        <f t="shared" si="1"/>
        <v>93157.00</v>
      </c>
      <c r="I1270" s="14" t="str">
        <f t="shared" si="2"/>
        <v>81725.00</v>
      </c>
      <c r="J1270" s="16" t="str">
        <f>TEXT(Raw_Data!J1270,"MMM-YYY")</f>
        <v>Feb-2025</v>
      </c>
      <c r="K1270" s="13" t="str">
        <f>Raw_Data!K1270</f>
        <v>10</v>
      </c>
      <c r="L1270" s="17" t="str">
        <f>Raw_Data!L1270</f>
        <v>Delhi-North</v>
      </c>
      <c r="M1270" s="13" t="str">
        <f t="shared" si="3"/>
        <v>OK</v>
      </c>
      <c r="N1270" s="18" t="str">
        <f t="shared" si="4"/>
        <v>VALID</v>
      </c>
    </row>
    <row r="1271" ht="15.75" customHeight="1">
      <c r="A1271" s="13" t="str">
        <f>Raw_Data!A1271</f>
        <v>EMP1332</v>
      </c>
      <c r="B1271" s="13" t="str">
        <f>TRIM(CLEAN(Raw_Data!B1271))</f>
        <v>Sales</v>
      </c>
      <c r="C1271" s="18" t="s">
        <v>54</v>
      </c>
      <c r="D1271" s="14" t="str">
        <f>IF(ISBLANK(Raw_Data!D1271),AVERAGE(Raw_Data!D$2:D$5002),Raw_Data!D1271)</f>
        <v>62642.23</v>
      </c>
      <c r="E1271" s="15" t="str">
        <f>IF(ISBLANK(Raw_Data!E1271),AVERAGE(Raw_Data!E$2:E$5002),Raw_Data!E1271)</f>
        <v>20137.43</v>
      </c>
      <c r="F1271" s="15" t="str">
        <f>IF(ISBLANK(Raw_Data!F1271),AVERAGE(Raw_Data!F$2:F$5002),Raw_Data!F1271)</f>
        <v>10401.02</v>
      </c>
      <c r="G1271" s="14" t="str">
        <f>IF(ISBLANK(Raw_Data!G1271),AVERAGE(Raw_Data!G$2:G$5002),Raw_Data!G1271)</f>
        <v>11435.32</v>
      </c>
      <c r="H1271" s="15" t="str">
        <f t="shared" si="1"/>
        <v>93181.00</v>
      </c>
      <c r="I1271" s="14" t="str">
        <f t="shared" si="2"/>
        <v>81746.00</v>
      </c>
      <c r="J1271" s="16" t="str">
        <f>TEXT(Raw_Data!J1271,"MMM-YYY")</f>
        <v>Jun-2025</v>
      </c>
      <c r="K1271" s="13" t="str">
        <f>Raw_Data!K1271</f>
        <v>10</v>
      </c>
      <c r="L1271" s="17" t="str">
        <f>Raw_Data!L1271</f>
        <v>Bangalore-South</v>
      </c>
      <c r="M1271" s="13" t="str">
        <f t="shared" si="3"/>
        <v>OK</v>
      </c>
      <c r="N1271" s="18" t="str">
        <f t="shared" si="4"/>
        <v>VALID</v>
      </c>
    </row>
    <row r="1272" ht="15.75" customHeight="1">
      <c r="A1272" s="13" t="str">
        <f>Raw_Data!A1272</f>
        <v>EMP1333</v>
      </c>
      <c r="B1272" s="13" t="str">
        <f>TRIM(CLEAN(Raw_Data!B1272))</f>
        <v>IT</v>
      </c>
      <c r="C1272" s="18" t="s">
        <v>30</v>
      </c>
      <c r="D1272" s="14" t="str">
        <f>IF(ISBLANK(Raw_Data!D1272),AVERAGE(Raw_Data!D$2:D$5002),Raw_Data!D1272)</f>
        <v>62653.11</v>
      </c>
      <c r="E1272" s="15" t="str">
        <f>IF(ISBLANK(Raw_Data!E1272),AVERAGE(Raw_Data!E$2:E$5002),Raw_Data!E1272)</f>
        <v>20142.04</v>
      </c>
      <c r="F1272" s="15" t="str">
        <f>IF(ISBLANK(Raw_Data!F1272),AVERAGE(Raw_Data!F$2:F$5002),Raw_Data!F1272)</f>
        <v>10408.70</v>
      </c>
      <c r="G1272" s="14" t="str">
        <f>IF(ISBLANK(Raw_Data!G1272),AVERAGE(Raw_Data!G$2:G$5002),Raw_Data!G1272)</f>
        <v>11438.71</v>
      </c>
      <c r="H1272" s="15" t="str">
        <f t="shared" si="1"/>
        <v>93204.00</v>
      </c>
      <c r="I1272" s="14" t="str">
        <f t="shared" si="2"/>
        <v>81765.00</v>
      </c>
      <c r="J1272" s="16" t="str">
        <f>TEXT(Raw_Data!J1272,"MMM-YYY")</f>
        <v>Jun-2025</v>
      </c>
      <c r="K1272" s="13" t="str">
        <f>Raw_Data!K1272</f>
        <v>20</v>
      </c>
      <c r="L1272" s="17" t="str">
        <f>Raw_Data!L1272</f>
        <v>Chennai-South</v>
      </c>
      <c r="M1272" s="13" t="str">
        <f t="shared" si="3"/>
        <v>OK</v>
      </c>
      <c r="N1272" s="18" t="str">
        <f t="shared" si="4"/>
        <v>VALID</v>
      </c>
    </row>
    <row r="1273" ht="15.75" customHeight="1">
      <c r="A1273" s="13" t="str">
        <f>Raw_Data!A1273</f>
        <v>EMP1334</v>
      </c>
      <c r="B1273" s="13" t="str">
        <f>TRIM(CLEAN(Raw_Data!B1273))</f>
        <v>Marketing</v>
      </c>
      <c r="C1273" s="18" t="s">
        <v>37</v>
      </c>
      <c r="D1273" s="14" t="str">
        <f>IF(ISBLANK(Raw_Data!D1273),AVERAGE(Raw_Data!D$2:D$5002),Raw_Data!D1273)</f>
        <v>62663.99</v>
      </c>
      <c r="E1273" s="15" t="str">
        <f>IF(ISBLANK(Raw_Data!E1273),AVERAGE(Raw_Data!E$2:E$5002),Raw_Data!E1273)</f>
        <v>20146.66</v>
      </c>
      <c r="F1273" s="15" t="str">
        <f>IF(ISBLANK(Raw_Data!F1273),AVERAGE(Raw_Data!F$2:F$5002),Raw_Data!F1273)</f>
        <v>10416.38</v>
      </c>
      <c r="G1273" s="14" t="str">
        <f>IF(ISBLANK(Raw_Data!G1273),AVERAGE(Raw_Data!G$2:G$5002),Raw_Data!G1273)</f>
        <v>11442.11</v>
      </c>
      <c r="H1273" s="15" t="str">
        <f t="shared" si="1"/>
        <v>93227.00</v>
      </c>
      <c r="I1273" s="14" t="str">
        <f t="shared" si="2"/>
        <v>81785.00</v>
      </c>
      <c r="J1273" s="16" t="str">
        <f>TEXT(Raw_Data!J1273,"MMM-YYY")</f>
        <v>Dec-2025</v>
      </c>
      <c r="K1273" s="13" t="str">
        <f>Raw_Data!K1273</f>
        <v>19</v>
      </c>
      <c r="L1273" s="17" t="str">
        <f>Raw_Data!L1273</f>
        <v>Kolkata-East</v>
      </c>
      <c r="M1273" s="13" t="str">
        <f t="shared" si="3"/>
        <v>OK</v>
      </c>
      <c r="N1273" s="18" t="str">
        <f t="shared" si="4"/>
        <v>VALID</v>
      </c>
    </row>
    <row r="1274" ht="15.75" customHeight="1">
      <c r="A1274" s="13" t="str">
        <f>Raw_Data!A1274</f>
        <v>EMP1335</v>
      </c>
      <c r="B1274" s="13" t="str">
        <f>TRIM(CLEAN(Raw_Data!B1274))</f>
        <v>IT</v>
      </c>
      <c r="C1274" s="18" t="s">
        <v>18</v>
      </c>
      <c r="D1274" s="14" t="str">
        <f>IF(ISBLANK(Raw_Data!D1274),AVERAGE(Raw_Data!D$2:D$5002),Raw_Data!D1274)</f>
        <v>62674.87</v>
      </c>
      <c r="E1274" s="15" t="str">
        <f>IF(ISBLANK(Raw_Data!E1274),AVERAGE(Raw_Data!E$2:E$5002),Raw_Data!E1274)</f>
        <v>20151.27</v>
      </c>
      <c r="F1274" s="15" t="str">
        <f>IF(ISBLANK(Raw_Data!F1274),AVERAGE(Raw_Data!F$2:F$5002),Raw_Data!F1274)</f>
        <v>10424.06</v>
      </c>
      <c r="G1274" s="14" t="str">
        <f>IF(ISBLANK(Raw_Data!G1274),AVERAGE(Raw_Data!G$2:G$5002),Raw_Data!G1274)</f>
        <v>11445.51</v>
      </c>
      <c r="H1274" s="15" t="str">
        <f t="shared" si="1"/>
        <v>93250.00</v>
      </c>
      <c r="I1274" s="14" t="str">
        <f t="shared" si="2"/>
        <v>81804.00</v>
      </c>
      <c r="J1274" s="16" t="str">
        <f>TEXT(Raw_Data!J1274,"MMM-YYY")</f>
        <v>Mar-2025</v>
      </c>
      <c r="K1274" s="13" t="str">
        <f>Raw_Data!K1274</f>
        <v>18</v>
      </c>
      <c r="L1274" s="17" t="str">
        <f>Raw_Data!L1274</f>
        <v>Pune-West</v>
      </c>
      <c r="M1274" s="13" t="str">
        <f t="shared" si="3"/>
        <v>OK</v>
      </c>
      <c r="N1274" s="18" t="str">
        <f t="shared" si="4"/>
        <v>VALID</v>
      </c>
    </row>
    <row r="1275" ht="15.75" customHeight="1">
      <c r="A1275" s="13" t="str">
        <f>Raw_Data!A1275</f>
        <v>EMP1336</v>
      </c>
      <c r="B1275" s="13" t="str">
        <f>TRIM(CLEAN(Raw_Data!B1275))</f>
        <v>Finance</v>
      </c>
      <c r="C1275" s="18" t="s">
        <v>33</v>
      </c>
      <c r="D1275" s="14" t="str">
        <f>IF(ISBLANK(Raw_Data!D1275),AVERAGE(Raw_Data!D$2:D$5002),Raw_Data!D1275)</f>
        <v>62685.76</v>
      </c>
      <c r="E1275" s="15" t="str">
        <f>IF(ISBLANK(Raw_Data!E1275),AVERAGE(Raw_Data!E$2:E$5002),Raw_Data!E1275)</f>
        <v>20155.89</v>
      </c>
      <c r="F1275" s="15" t="str">
        <f>IF(ISBLANK(Raw_Data!F1275),AVERAGE(Raw_Data!F$2:F$5002),Raw_Data!F1275)</f>
        <v>10431.74</v>
      </c>
      <c r="G1275" s="14" t="str">
        <f>IF(ISBLANK(Raw_Data!G1275),AVERAGE(Raw_Data!G$2:G$5002),Raw_Data!G1275)</f>
        <v>11448.91</v>
      </c>
      <c r="H1275" s="15" t="str">
        <f t="shared" si="1"/>
        <v>93273.00</v>
      </c>
      <c r="I1275" s="14" t="str">
        <f t="shared" si="2"/>
        <v>81824.00</v>
      </c>
      <c r="J1275" s="16" t="str">
        <f>TEXT(Raw_Data!J1275,"MMM-YYY")</f>
        <v>Sep-2025</v>
      </c>
      <c r="K1275" s="13" t="str">
        <f>Raw_Data!K1275</f>
        <v>9</v>
      </c>
      <c r="L1275" s="17" t="str">
        <f>Raw_Data!L1275</f>
        <v>Hyderabad-South</v>
      </c>
      <c r="M1275" s="13" t="str">
        <f t="shared" si="3"/>
        <v>OK</v>
      </c>
      <c r="N1275" s="18" t="str">
        <f t="shared" si="4"/>
        <v>VALID</v>
      </c>
    </row>
    <row r="1276" ht="15.75" customHeight="1">
      <c r="A1276" s="13" t="str">
        <f>Raw_Data!A1276</f>
        <v>EMP1337</v>
      </c>
      <c r="B1276" s="13" t="str">
        <f>TRIM(CLEAN(Raw_Data!B1276))</f>
        <v>Finance</v>
      </c>
      <c r="C1276" s="18" t="s">
        <v>30</v>
      </c>
      <c r="D1276" s="14" t="str">
        <f>IF(ISBLANK(Raw_Data!D1276),AVERAGE(Raw_Data!D$2:D$5002),Raw_Data!D1276)</f>
        <v>62696.64</v>
      </c>
      <c r="E1276" s="15" t="str">
        <f>IF(ISBLANK(Raw_Data!E1276),AVERAGE(Raw_Data!E$2:E$5002),Raw_Data!E1276)</f>
        <v>20160.50</v>
      </c>
      <c r="F1276" s="15" t="str">
        <f>IF(ISBLANK(Raw_Data!F1276),AVERAGE(Raw_Data!F$2:F$5002),Raw_Data!F1276)</f>
        <v>10439.42</v>
      </c>
      <c r="G1276" s="14" t="str">
        <f>IF(ISBLANK(Raw_Data!G1276),AVERAGE(Raw_Data!G$2:G$5002),Raw_Data!G1276)</f>
        <v>11452.30</v>
      </c>
      <c r="H1276" s="15" t="str">
        <f t="shared" si="1"/>
        <v>93297.00</v>
      </c>
      <c r="I1276" s="14" t="str">
        <f t="shared" si="2"/>
        <v>81845.00</v>
      </c>
      <c r="J1276" s="16" t="str">
        <f>TEXT(Raw_Data!J1276,"MMM-YYY")</f>
        <v>Jun-2025</v>
      </c>
      <c r="K1276" s="13" t="str">
        <f>Raw_Data!K1276</f>
        <v>17</v>
      </c>
      <c r="L1276" s="17" t="str">
        <f>Raw_Data!L1276</f>
        <v>Chandigarh-North</v>
      </c>
      <c r="M1276" s="13" t="str">
        <f t="shared" si="3"/>
        <v>OK</v>
      </c>
      <c r="N1276" s="18" t="str">
        <f t="shared" si="4"/>
        <v>VALID</v>
      </c>
    </row>
    <row r="1277" ht="15.75" customHeight="1">
      <c r="A1277" s="13" t="str">
        <f>Raw_Data!A1277</f>
        <v>EMP1338</v>
      </c>
      <c r="B1277" s="13" t="str">
        <f>TRIM(CLEAN(Raw_Data!B1277))</f>
        <v>Operations</v>
      </c>
      <c r="C1277" s="18" t="s">
        <v>33</v>
      </c>
      <c r="D1277" s="14" t="str">
        <f>IF(ISBLANK(Raw_Data!D1277),AVERAGE(Raw_Data!D$2:D$5002),Raw_Data!D1277)</f>
        <v>62707.52</v>
      </c>
      <c r="E1277" s="15" t="str">
        <f>IF(ISBLANK(Raw_Data!E1277),AVERAGE(Raw_Data!E$2:E$5002),Raw_Data!E1277)</f>
        <v>20165.12</v>
      </c>
      <c r="F1277" s="15" t="str">
        <f>IF(ISBLANK(Raw_Data!F1277),AVERAGE(Raw_Data!F$2:F$5002),Raw_Data!F1277)</f>
        <v>10447.10</v>
      </c>
      <c r="G1277" s="14" t="str">
        <f>IF(ISBLANK(Raw_Data!G1277),AVERAGE(Raw_Data!G$2:G$5002),Raw_Data!G1277)</f>
        <v>11455.70</v>
      </c>
      <c r="H1277" s="15" t="str">
        <f t="shared" si="1"/>
        <v>93320.00</v>
      </c>
      <c r="I1277" s="14" t="str">
        <f t="shared" si="2"/>
        <v>81864.00</v>
      </c>
      <c r="J1277" s="16" t="str">
        <f>TEXT(Raw_Data!J1277,"MMM-YYY")</f>
        <v>Jan-2025</v>
      </c>
      <c r="K1277" s="13" t="str">
        <f>Raw_Data!K1277</f>
        <v>20</v>
      </c>
      <c r="L1277" s="17" t="str">
        <f>Raw_Data!L1277</f>
        <v>Ahmedabad-West</v>
      </c>
      <c r="M1277" s="13" t="str">
        <f t="shared" si="3"/>
        <v>OK</v>
      </c>
      <c r="N1277" s="18" t="str">
        <f t="shared" si="4"/>
        <v>VALID</v>
      </c>
    </row>
    <row r="1278" ht="15.75" customHeight="1">
      <c r="A1278" s="13" t="str">
        <f>Raw_Data!A1278</f>
        <v>EMP1339</v>
      </c>
      <c r="B1278" s="13" t="str">
        <f>TRIM(CLEAN(Raw_Data!B1278))</f>
        <v>Finance</v>
      </c>
      <c r="C1278" s="18" t="s">
        <v>33</v>
      </c>
      <c r="D1278" s="14" t="str">
        <f>IF(ISBLANK(Raw_Data!D1278),AVERAGE(Raw_Data!D$2:D$5002),Raw_Data!D1278)</f>
        <v>62718.41</v>
      </c>
      <c r="E1278" s="15" t="str">
        <f>IF(ISBLANK(Raw_Data!E1278),AVERAGE(Raw_Data!E$2:E$5002),Raw_Data!E1278)</f>
        <v>20169.73</v>
      </c>
      <c r="F1278" s="15" t="str">
        <f>IF(ISBLANK(Raw_Data!F1278),AVERAGE(Raw_Data!F$2:F$5002),Raw_Data!F1278)</f>
        <v>10454.78</v>
      </c>
      <c r="G1278" s="14" t="str">
        <f>IF(ISBLANK(Raw_Data!G1278),AVERAGE(Raw_Data!G$2:G$5002),Raw_Data!G1278)</f>
        <v>11459.10</v>
      </c>
      <c r="H1278" s="15" t="str">
        <f t="shared" si="1"/>
        <v>93343.00</v>
      </c>
      <c r="I1278" s="14" t="str">
        <f t="shared" si="2"/>
        <v>81884.00</v>
      </c>
      <c r="J1278" s="16" t="str">
        <f>TEXT(Raw_Data!J1278,"MMM-YYY")</f>
        <v>Aug-2025</v>
      </c>
      <c r="K1278" s="13" t="str">
        <f>Raw_Data!K1278</f>
        <v>22</v>
      </c>
      <c r="L1278" s="17" t="str">
        <f>Raw_Data!L1278</f>
        <v>Jaipur-North</v>
      </c>
      <c r="M1278" s="13" t="str">
        <f t="shared" si="3"/>
        <v>OK</v>
      </c>
      <c r="N1278" s="18" t="str">
        <f t="shared" si="4"/>
        <v>VALID</v>
      </c>
    </row>
    <row r="1279" ht="15.75" customHeight="1">
      <c r="A1279" s="13" t="str">
        <f>Raw_Data!A1279</f>
        <v>EMP1340</v>
      </c>
      <c r="B1279" s="13" t="str">
        <f>TRIM(CLEAN(Raw_Data!B1279))</f>
        <v>Operations</v>
      </c>
      <c r="C1279" s="18" t="s">
        <v>33</v>
      </c>
      <c r="D1279" s="14" t="str">
        <f>IF(ISBLANK(Raw_Data!D1279),AVERAGE(Raw_Data!D$2:D$5002),Raw_Data!D1279)</f>
        <v>62729.29</v>
      </c>
      <c r="E1279" s="15" t="str">
        <f>IF(ISBLANK(Raw_Data!E1279),AVERAGE(Raw_Data!E$2:E$5002),Raw_Data!E1279)</f>
        <v>20174.35</v>
      </c>
      <c r="F1279" s="15" t="str">
        <f>IF(ISBLANK(Raw_Data!F1279),AVERAGE(Raw_Data!F$2:F$5002),Raw_Data!F1279)</f>
        <v>10462.46</v>
      </c>
      <c r="G1279" s="14" t="str">
        <f>IF(ISBLANK(Raw_Data!G1279),AVERAGE(Raw_Data!G$2:G$5002),Raw_Data!G1279)</f>
        <v>11462.50</v>
      </c>
      <c r="H1279" s="15" t="str">
        <f t="shared" si="1"/>
        <v>93366.00</v>
      </c>
      <c r="I1279" s="14" t="str">
        <f t="shared" si="2"/>
        <v>81904.00</v>
      </c>
      <c r="J1279" s="16" t="str">
        <f>TEXT(Raw_Data!J1279,"MMM-YYY")</f>
        <v>Jun-2025</v>
      </c>
      <c r="K1279" s="13" t="str">
        <f>Raw_Data!K1279</f>
        <v>10</v>
      </c>
      <c r="L1279" s="17" t="str">
        <f>Raw_Data!L1279</f>
        <v>Mumbai-HO</v>
      </c>
      <c r="M1279" s="13" t="str">
        <f t="shared" si="3"/>
        <v>OK</v>
      </c>
      <c r="N1279" s="18" t="str">
        <f t="shared" si="4"/>
        <v>VALID</v>
      </c>
    </row>
    <row r="1280" ht="15.75" customHeight="1">
      <c r="A1280" s="13" t="str">
        <f>Raw_Data!A1280</f>
        <v>EMP1341</v>
      </c>
      <c r="B1280" s="13" t="str">
        <f>TRIM(CLEAN(Raw_Data!B1280))</f>
        <v>HR</v>
      </c>
      <c r="C1280" s="18" t="s">
        <v>26</v>
      </c>
      <c r="D1280" s="14" t="str">
        <f>IF(ISBLANK(Raw_Data!D1280),AVERAGE(Raw_Data!D$2:D$5002),Raw_Data!D1280)</f>
        <v>62740.17</v>
      </c>
      <c r="E1280" s="15" t="str">
        <f>IF(ISBLANK(Raw_Data!E1280),AVERAGE(Raw_Data!E$2:E$5002),Raw_Data!E1280)</f>
        <v>20178.96</v>
      </c>
      <c r="F1280" s="15" t="str">
        <f>IF(ISBLANK(Raw_Data!F1280),AVERAGE(Raw_Data!F$2:F$5002),Raw_Data!F1280)</f>
        <v>10470.14</v>
      </c>
      <c r="G1280" s="14" t="str">
        <f>IF(ISBLANK(Raw_Data!G1280),AVERAGE(Raw_Data!G$2:G$5002),Raw_Data!G1280)</f>
        <v>11465.89</v>
      </c>
      <c r="H1280" s="15" t="str">
        <f t="shared" si="1"/>
        <v>93389.00</v>
      </c>
      <c r="I1280" s="14" t="str">
        <f t="shared" si="2"/>
        <v>81923.00</v>
      </c>
      <c r="J1280" s="16" t="str">
        <f>TEXT(Raw_Data!J1280,"MMM-YYY")</f>
        <v>Feb-2025</v>
      </c>
      <c r="K1280" s="13" t="str">
        <f>Raw_Data!K1280</f>
        <v>2</v>
      </c>
      <c r="L1280" s="17" t="str">
        <f>Raw_Data!L1280</f>
        <v>Delhi-North</v>
      </c>
      <c r="M1280" s="13" t="str">
        <f t="shared" si="3"/>
        <v>OK</v>
      </c>
      <c r="N1280" s="18" t="str">
        <f t="shared" si="4"/>
        <v>VALID</v>
      </c>
    </row>
    <row r="1281" ht="15.75" customHeight="1">
      <c r="A1281" s="13" t="str">
        <f>Raw_Data!A1281</f>
        <v>EMP1342</v>
      </c>
      <c r="B1281" s="13" t="str">
        <f>TRIM(CLEAN(Raw_Data!B1281))</f>
        <v>Finance</v>
      </c>
      <c r="C1281" s="18" t="s">
        <v>14</v>
      </c>
      <c r="D1281" s="14" t="str">
        <f>IF(ISBLANK(Raw_Data!D1281),AVERAGE(Raw_Data!D$2:D$5002),Raw_Data!D1281)</f>
        <v>62751.05</v>
      </c>
      <c r="E1281" s="15" t="str">
        <f>IF(ISBLANK(Raw_Data!E1281),AVERAGE(Raw_Data!E$2:E$5002),Raw_Data!E1281)</f>
        <v>20183.58</v>
      </c>
      <c r="F1281" s="15" t="str">
        <f>IF(ISBLANK(Raw_Data!F1281),AVERAGE(Raw_Data!F$2:F$5002),Raw_Data!F1281)</f>
        <v>10477.82</v>
      </c>
      <c r="G1281" s="14" t="str">
        <f>IF(ISBLANK(Raw_Data!G1281),AVERAGE(Raw_Data!G$2:G$5002),Raw_Data!G1281)</f>
        <v>11469.29</v>
      </c>
      <c r="H1281" s="15" t="str">
        <f t="shared" si="1"/>
        <v>93412.00</v>
      </c>
      <c r="I1281" s="14" t="str">
        <f t="shared" si="2"/>
        <v>81943.00</v>
      </c>
      <c r="J1281" s="16" t="str">
        <f>TEXT(Raw_Data!J1281,"MMM-YYY")</f>
        <v>Mar-2025</v>
      </c>
      <c r="K1281" s="13" t="str">
        <f>Raw_Data!K1281</f>
        <v>16</v>
      </c>
      <c r="L1281" s="17" t="str">
        <f>Raw_Data!L1281</f>
        <v>Bangalore-South</v>
      </c>
      <c r="M1281" s="13" t="str">
        <f t="shared" si="3"/>
        <v>OK</v>
      </c>
      <c r="N1281" s="18" t="str">
        <f t="shared" si="4"/>
        <v>VALID</v>
      </c>
    </row>
    <row r="1282" ht="15.75" customHeight="1">
      <c r="A1282" s="13" t="str">
        <f>Raw_Data!A1282</f>
        <v>EMP1343</v>
      </c>
      <c r="B1282" s="13" t="str">
        <f>TRIM(CLEAN(Raw_Data!B1282))</f>
        <v>Marketing</v>
      </c>
      <c r="C1282" s="18" t="s">
        <v>54</v>
      </c>
      <c r="D1282" s="14" t="str">
        <f>IF(ISBLANK(Raw_Data!D1282),AVERAGE(Raw_Data!D$2:D$5002),Raw_Data!D1282)</f>
        <v>62761.94</v>
      </c>
      <c r="E1282" s="15" t="str">
        <f>IF(ISBLANK(Raw_Data!E1282),AVERAGE(Raw_Data!E$2:E$5002),Raw_Data!E1282)</f>
        <v>20188.19</v>
      </c>
      <c r="F1282" s="15" t="str">
        <f>IF(ISBLANK(Raw_Data!F1282),AVERAGE(Raw_Data!F$2:F$5002),Raw_Data!F1282)</f>
        <v>10485.50</v>
      </c>
      <c r="G1282" s="14" t="str">
        <f>IF(ISBLANK(Raw_Data!G1282),AVERAGE(Raw_Data!G$2:G$5002),Raw_Data!G1282)</f>
        <v>11472.69</v>
      </c>
      <c r="H1282" s="15" t="str">
        <f t="shared" si="1"/>
        <v>93436.00</v>
      </c>
      <c r="I1282" s="14" t="str">
        <f t="shared" si="2"/>
        <v>81963.00</v>
      </c>
      <c r="J1282" s="16" t="str">
        <f>TEXT(Raw_Data!J1282,"MMM-YYY")</f>
        <v>Sep-2025</v>
      </c>
      <c r="K1282" s="13" t="str">
        <f>Raw_Data!K1282</f>
        <v>25</v>
      </c>
      <c r="L1282" s="17" t="str">
        <f>Raw_Data!L1282</f>
        <v>Chennai-South</v>
      </c>
      <c r="M1282" s="13" t="str">
        <f t="shared" si="3"/>
        <v>OK</v>
      </c>
      <c r="N1282" s="18" t="str">
        <f t="shared" si="4"/>
        <v>VALID</v>
      </c>
    </row>
    <row r="1283" ht="15.75" customHeight="1">
      <c r="A1283" s="13" t="str">
        <f>Raw_Data!A1283</f>
        <v>EMP1344</v>
      </c>
      <c r="B1283" s="13" t="str">
        <f>TRIM(CLEAN(Raw_Data!B1283))</f>
        <v>Customer Support</v>
      </c>
      <c r="C1283" s="18" t="s">
        <v>37</v>
      </c>
      <c r="D1283" s="14" t="str">
        <f>IF(ISBLANK(Raw_Data!D1283),AVERAGE(Raw_Data!D$2:D$5002),Raw_Data!D1283)</f>
        <v>62772.82</v>
      </c>
      <c r="E1283" s="15" t="str">
        <f>IF(ISBLANK(Raw_Data!E1283),AVERAGE(Raw_Data!E$2:E$5002),Raw_Data!E1283)</f>
        <v>20192.81</v>
      </c>
      <c r="F1283" s="15" t="str">
        <f>IF(ISBLANK(Raw_Data!F1283),AVERAGE(Raw_Data!F$2:F$5002),Raw_Data!F1283)</f>
        <v>10493.18</v>
      </c>
      <c r="G1283" s="14" t="str">
        <f>IF(ISBLANK(Raw_Data!G1283),AVERAGE(Raw_Data!G$2:G$5002),Raw_Data!G1283)</f>
        <v>11476.09</v>
      </c>
      <c r="H1283" s="15" t="str">
        <f t="shared" si="1"/>
        <v>93459.00</v>
      </c>
      <c r="I1283" s="14" t="str">
        <f t="shared" si="2"/>
        <v>81983.00</v>
      </c>
      <c r="J1283" s="16" t="str">
        <f>TEXT(Raw_Data!J1283,"MMM-YYY")</f>
        <v>Sep-2025</v>
      </c>
      <c r="K1283" s="13" t="str">
        <f>Raw_Data!K1283</f>
        <v>10</v>
      </c>
      <c r="L1283" s="17" t="str">
        <f>Raw_Data!L1283</f>
        <v>Kolkata-East</v>
      </c>
      <c r="M1283" s="13" t="str">
        <f t="shared" si="3"/>
        <v>OK</v>
      </c>
      <c r="N1283" s="18" t="str">
        <f t="shared" si="4"/>
        <v>VALID</v>
      </c>
    </row>
    <row r="1284" ht="15.75" customHeight="1">
      <c r="A1284" s="13" t="str">
        <f>Raw_Data!A1284</f>
        <v>EMP1345</v>
      </c>
      <c r="B1284" s="13" t="str">
        <f>TRIM(CLEAN(Raw_Data!B1284))</f>
        <v>Customer Support</v>
      </c>
      <c r="C1284" s="18" t="s">
        <v>54</v>
      </c>
      <c r="D1284" s="14" t="str">
        <f>IF(ISBLANK(Raw_Data!D1284),AVERAGE(Raw_Data!D$2:D$5002),Raw_Data!D1284)</f>
        <v>62783.70</v>
      </c>
      <c r="E1284" s="15" t="str">
        <f>IF(ISBLANK(Raw_Data!E1284),AVERAGE(Raw_Data!E$2:E$5002),Raw_Data!E1284)</f>
        <v>20197.42</v>
      </c>
      <c r="F1284" s="15" t="str">
        <f>IF(ISBLANK(Raw_Data!F1284),AVERAGE(Raw_Data!F$2:F$5002),Raw_Data!F1284)</f>
        <v>10500.86</v>
      </c>
      <c r="G1284" s="14" t="str">
        <f>IF(ISBLANK(Raw_Data!G1284),AVERAGE(Raw_Data!G$2:G$5002),Raw_Data!G1284)</f>
        <v>11479.48</v>
      </c>
      <c r="H1284" s="15" t="str">
        <f t="shared" si="1"/>
        <v>93482.00</v>
      </c>
      <c r="I1284" s="14" t="str">
        <f t="shared" si="2"/>
        <v>82003.00</v>
      </c>
      <c r="J1284" s="16" t="str">
        <f>TEXT(Raw_Data!J1284,"MMM-YYY")</f>
        <v>Jul-2025</v>
      </c>
      <c r="K1284" s="13" t="str">
        <f>Raw_Data!K1284</f>
        <v>6</v>
      </c>
      <c r="L1284" s="17" t="str">
        <f>Raw_Data!L1284</f>
        <v>Pune-West</v>
      </c>
      <c r="M1284" s="13" t="str">
        <f t="shared" si="3"/>
        <v>OK</v>
      </c>
      <c r="N1284" s="18" t="str">
        <f t="shared" si="4"/>
        <v>VALID</v>
      </c>
    </row>
    <row r="1285" ht="15.75" customHeight="1">
      <c r="A1285" s="13" t="str">
        <f>Raw_Data!A1285</f>
        <v>EMP1347</v>
      </c>
      <c r="B1285" s="13" t="str">
        <f>TRIM(CLEAN(Raw_Data!B1285))</f>
        <v>IT</v>
      </c>
      <c r="C1285" s="18" t="s">
        <v>37</v>
      </c>
      <c r="D1285" s="14" t="str">
        <f>IF(ISBLANK(Raw_Data!D1285),AVERAGE(Raw_Data!D$2:D$5002),Raw_Data!D1285)</f>
        <v>62805.47</v>
      </c>
      <c r="E1285" s="15" t="str">
        <f>IF(ISBLANK(Raw_Data!E1285),AVERAGE(Raw_Data!E$2:E$5002),Raw_Data!E1285)</f>
        <v>20206.65</v>
      </c>
      <c r="F1285" s="15" t="str">
        <f>IF(ISBLANK(Raw_Data!F1285),AVERAGE(Raw_Data!F$2:F$5002),Raw_Data!F1285)</f>
        <v>10516.22</v>
      </c>
      <c r="G1285" s="14" t="str">
        <f>IF(ISBLANK(Raw_Data!G1285),AVERAGE(Raw_Data!G$2:G$5002),Raw_Data!G1285)</f>
        <v>11486.28</v>
      </c>
      <c r="H1285" s="15" t="str">
        <f t="shared" si="1"/>
        <v>93528.00</v>
      </c>
      <c r="I1285" s="14" t="str">
        <f t="shared" si="2"/>
        <v>82042.00</v>
      </c>
      <c r="J1285" s="16" t="str">
        <f>TEXT(Raw_Data!J1285,"MMM-YYY")</f>
        <v>Sep-2025</v>
      </c>
      <c r="K1285" s="13" t="str">
        <f>Raw_Data!K1285</f>
        <v>3</v>
      </c>
      <c r="L1285" s="17" t="str">
        <f>Raw_Data!L1285</f>
        <v>Chandigarh-North</v>
      </c>
      <c r="M1285" s="13" t="str">
        <f t="shared" si="3"/>
        <v>OK</v>
      </c>
      <c r="N1285" s="18" t="str">
        <f t="shared" si="4"/>
        <v>VALID</v>
      </c>
    </row>
    <row r="1286" ht="15.75" customHeight="1">
      <c r="A1286" s="13" t="str">
        <f>Raw_Data!A1286</f>
        <v>EMP1348</v>
      </c>
      <c r="B1286" s="13" t="str">
        <f>TRIM(CLEAN(Raw_Data!B1286))</f>
        <v>Sales</v>
      </c>
      <c r="C1286" s="18" t="s">
        <v>30</v>
      </c>
      <c r="D1286" s="14" t="str">
        <f>IF(ISBLANK(Raw_Data!D1286),AVERAGE(Raw_Data!D$2:D$5002),Raw_Data!D1286)</f>
        <v>62816.35</v>
      </c>
      <c r="E1286" s="15" t="str">
        <f>IF(ISBLANK(Raw_Data!E1286),AVERAGE(Raw_Data!E$2:E$5002),Raw_Data!E1286)</f>
        <v>20211.26</v>
      </c>
      <c r="F1286" s="15" t="str">
        <f>IF(ISBLANK(Raw_Data!F1286),AVERAGE(Raw_Data!F$2:F$5002),Raw_Data!F1286)</f>
        <v>10523.90</v>
      </c>
      <c r="G1286" s="14" t="str">
        <f>IF(ISBLANK(Raw_Data!G1286),AVERAGE(Raw_Data!G$2:G$5002),Raw_Data!G1286)</f>
        <v>11489.68</v>
      </c>
      <c r="H1286" s="15" t="str">
        <f t="shared" si="1"/>
        <v>93552.00</v>
      </c>
      <c r="I1286" s="14" t="str">
        <f t="shared" si="2"/>
        <v>82062.00</v>
      </c>
      <c r="J1286" s="16" t="str">
        <f>TEXT(Raw_Data!J1286,"MMM-YYY")</f>
        <v>May-2025</v>
      </c>
      <c r="K1286" s="13" t="str">
        <f>Raw_Data!K1286</f>
        <v>9</v>
      </c>
      <c r="L1286" s="17" t="str">
        <f>Raw_Data!L1286</f>
        <v>Ahmedabad-West</v>
      </c>
      <c r="M1286" s="13" t="str">
        <f t="shared" si="3"/>
        <v>OK</v>
      </c>
      <c r="N1286" s="18" t="str">
        <f t="shared" si="4"/>
        <v>VALID</v>
      </c>
    </row>
    <row r="1287" ht="15.75" customHeight="1">
      <c r="A1287" s="13" t="str">
        <f>Raw_Data!A1287</f>
        <v>EMP1349</v>
      </c>
      <c r="B1287" s="13" t="str">
        <f>TRIM(CLEAN(Raw_Data!B1287))</f>
        <v>HR</v>
      </c>
      <c r="C1287" s="18" t="s">
        <v>30</v>
      </c>
      <c r="D1287" s="14" t="str">
        <f>IF(ISBLANK(Raw_Data!D1287),AVERAGE(Raw_Data!D$2:D$5002),Raw_Data!D1287)</f>
        <v>62827.24</v>
      </c>
      <c r="E1287" s="15" t="str">
        <f>IF(ISBLANK(Raw_Data!E1287),AVERAGE(Raw_Data!E$2:E$5002),Raw_Data!E1287)</f>
        <v>20215.88</v>
      </c>
      <c r="F1287" s="15" t="str">
        <f>IF(ISBLANK(Raw_Data!F1287),AVERAGE(Raw_Data!F$2:F$5002),Raw_Data!F1287)</f>
        <v>10531.58</v>
      </c>
      <c r="G1287" s="14" t="str">
        <f>IF(ISBLANK(Raw_Data!G1287),AVERAGE(Raw_Data!G$2:G$5002),Raw_Data!G1287)</f>
        <v>11493.07</v>
      </c>
      <c r="H1287" s="15" t="str">
        <f t="shared" si="1"/>
        <v>93575.00</v>
      </c>
      <c r="I1287" s="14" t="str">
        <f t="shared" si="2"/>
        <v>82082.00</v>
      </c>
      <c r="J1287" s="16" t="str">
        <f>TEXT(Raw_Data!J1287,"MMM-YYY")</f>
        <v>Feb-2025</v>
      </c>
      <c r="K1287" s="13" t="str">
        <f>Raw_Data!K1287</f>
        <v>25</v>
      </c>
      <c r="L1287" s="17" t="str">
        <f>Raw_Data!L1287</f>
        <v>Jaipur-North</v>
      </c>
      <c r="M1287" s="13" t="str">
        <f t="shared" si="3"/>
        <v>OK</v>
      </c>
      <c r="N1287" s="18" t="str">
        <f t="shared" si="4"/>
        <v>VALID</v>
      </c>
    </row>
    <row r="1288" ht="15.75" customHeight="1">
      <c r="A1288" s="13" t="str">
        <f>Raw_Data!A1288</f>
        <v>EMP1350</v>
      </c>
      <c r="B1288" s="13" t="str">
        <f>TRIM(CLEAN(Raw_Data!B1288))</f>
        <v>HR</v>
      </c>
      <c r="C1288" s="18" t="s">
        <v>30</v>
      </c>
      <c r="D1288" s="14" t="str">
        <f>IF(ISBLANK(Raw_Data!D1288),AVERAGE(Raw_Data!D$2:D$5002),Raw_Data!D1288)</f>
        <v>62838.12</v>
      </c>
      <c r="E1288" s="15" t="str">
        <f>IF(ISBLANK(Raw_Data!E1288),AVERAGE(Raw_Data!E$2:E$5002),Raw_Data!E1288)</f>
        <v>20220.49</v>
      </c>
      <c r="F1288" s="15" t="str">
        <f>IF(ISBLANK(Raw_Data!F1288),AVERAGE(Raw_Data!F$2:F$5002),Raw_Data!F1288)</f>
        <v>10539.26</v>
      </c>
      <c r="G1288" s="14" t="str">
        <f>IF(ISBLANK(Raw_Data!G1288),AVERAGE(Raw_Data!G$2:G$5002),Raw_Data!G1288)</f>
        <v>11496.47</v>
      </c>
      <c r="H1288" s="15" t="str">
        <f t="shared" si="1"/>
        <v>93598.00</v>
      </c>
      <c r="I1288" s="14" t="str">
        <f t="shared" si="2"/>
        <v>82102.00</v>
      </c>
      <c r="J1288" s="16" t="str">
        <f>TEXT(Raw_Data!J1288,"MMM-YYY")</f>
        <v>Nov-2025</v>
      </c>
      <c r="K1288" s="13" t="str">
        <f>Raw_Data!K1288</f>
        <v>14</v>
      </c>
      <c r="L1288" s="17" t="str">
        <f>Raw_Data!L1288</f>
        <v>Mumbai-HO</v>
      </c>
      <c r="M1288" s="13" t="str">
        <f t="shared" si="3"/>
        <v>OK</v>
      </c>
      <c r="N1288" s="18" t="str">
        <f t="shared" si="4"/>
        <v>VALID</v>
      </c>
    </row>
    <row r="1289" ht="15.75" customHeight="1">
      <c r="A1289" s="13" t="str">
        <f>Raw_Data!A1289</f>
        <v>EMP1353</v>
      </c>
      <c r="B1289" s="13" t="str">
        <f>TRIM(CLEAN(Raw_Data!B1289))</f>
        <v>Customer Support</v>
      </c>
      <c r="C1289" s="18" t="s">
        <v>30</v>
      </c>
      <c r="D1289" s="14" t="str">
        <f>IF(ISBLANK(Raw_Data!D1289),AVERAGE(Raw_Data!D$2:D$5002),Raw_Data!D1289)</f>
        <v>62870.77</v>
      </c>
      <c r="E1289" s="15" t="str">
        <f>IF(ISBLANK(Raw_Data!E1289),AVERAGE(Raw_Data!E$2:E$5002),Raw_Data!E1289)</f>
        <v>20234.34</v>
      </c>
      <c r="F1289" s="15" t="str">
        <f>IF(ISBLANK(Raw_Data!F1289),AVERAGE(Raw_Data!F$2:F$5002),Raw_Data!F1289)</f>
        <v>10562.30</v>
      </c>
      <c r="G1289" s="14" t="str">
        <f>IF(ISBLANK(Raw_Data!G1289),AVERAGE(Raw_Data!G$2:G$5002),Raw_Data!G1289)</f>
        <v>11506.66</v>
      </c>
      <c r="H1289" s="15" t="str">
        <f t="shared" si="1"/>
        <v>93667.00</v>
      </c>
      <c r="I1289" s="14" t="str">
        <f t="shared" si="2"/>
        <v>82160.00</v>
      </c>
      <c r="J1289" s="16" t="str">
        <f>TEXT(Raw_Data!J1289,"MMM-YYY")</f>
        <v>May-2025</v>
      </c>
      <c r="K1289" s="13" t="str">
        <f>Raw_Data!K1289</f>
        <v>5</v>
      </c>
      <c r="L1289" s="17" t="str">
        <f>Raw_Data!L1289</f>
        <v>Chennai-South</v>
      </c>
      <c r="M1289" s="13" t="str">
        <f t="shared" si="3"/>
        <v>OK</v>
      </c>
      <c r="N1289" s="18" t="str">
        <f t="shared" si="4"/>
        <v>VALID</v>
      </c>
    </row>
    <row r="1290" ht="15.75" customHeight="1">
      <c r="A1290" s="13" t="str">
        <f>Raw_Data!A1290</f>
        <v>EMP1354</v>
      </c>
      <c r="B1290" s="13" t="str">
        <f>TRIM(CLEAN(Raw_Data!B1290))</f>
        <v>Customer Support</v>
      </c>
      <c r="C1290" s="18" t="s">
        <v>37</v>
      </c>
      <c r="D1290" s="14" t="str">
        <f>IF(ISBLANK(Raw_Data!D1290),AVERAGE(Raw_Data!D$2:D$5002),Raw_Data!D1290)</f>
        <v>62881.65</v>
      </c>
      <c r="E1290" s="15" t="str">
        <f>IF(ISBLANK(Raw_Data!E1290),AVERAGE(Raw_Data!E$2:E$5002),Raw_Data!E1290)</f>
        <v>20238.95</v>
      </c>
      <c r="F1290" s="15" t="str">
        <f>IF(ISBLANK(Raw_Data!F1290),AVERAGE(Raw_Data!F$2:F$5002),Raw_Data!F1290)</f>
        <v>10569.98</v>
      </c>
      <c r="G1290" s="14" t="str">
        <f>IF(ISBLANK(Raw_Data!G1290),AVERAGE(Raw_Data!G$2:G$5002),Raw_Data!G1290)</f>
        <v>11510.06</v>
      </c>
      <c r="H1290" s="15" t="str">
        <f t="shared" si="1"/>
        <v>93691.00</v>
      </c>
      <c r="I1290" s="14" t="str">
        <f t="shared" si="2"/>
        <v>82181.00</v>
      </c>
      <c r="J1290" s="16" t="str">
        <f>TEXT(Raw_Data!J1290,"MMM-YYY")</f>
        <v>Feb-2025</v>
      </c>
      <c r="K1290" s="13" t="str">
        <f>Raw_Data!K1290</f>
        <v>17</v>
      </c>
      <c r="L1290" s="17" t="str">
        <f>Raw_Data!L1290</f>
        <v>Kolkata-East</v>
      </c>
      <c r="M1290" s="13" t="str">
        <f t="shared" si="3"/>
        <v>OK</v>
      </c>
      <c r="N1290" s="18" t="str">
        <f t="shared" si="4"/>
        <v>VALID</v>
      </c>
    </row>
    <row r="1291" ht="15.75" customHeight="1">
      <c r="A1291" s="13" t="str">
        <f>Raw_Data!A1291</f>
        <v>EMP1355</v>
      </c>
      <c r="B1291" s="13" t="str">
        <f>TRIM(CLEAN(Raw_Data!B1291))</f>
        <v>Sales</v>
      </c>
      <c r="C1291" s="18" t="s">
        <v>54</v>
      </c>
      <c r="D1291" s="14" t="str">
        <f>IF(ISBLANK(Raw_Data!D1291),AVERAGE(Raw_Data!D$2:D$5002),Raw_Data!D1291)</f>
        <v>62892.53</v>
      </c>
      <c r="E1291" s="15" t="str">
        <f>IF(ISBLANK(Raw_Data!E1291),AVERAGE(Raw_Data!E$2:E$5002),Raw_Data!E1291)</f>
        <v>20243.57</v>
      </c>
      <c r="F1291" s="15" t="str">
        <f>IF(ISBLANK(Raw_Data!F1291),AVERAGE(Raw_Data!F$2:F$5002),Raw_Data!F1291)</f>
        <v>10577.66</v>
      </c>
      <c r="G1291" s="14" t="str">
        <f>IF(ISBLANK(Raw_Data!G1291),AVERAGE(Raw_Data!G$2:G$5002),Raw_Data!G1291)</f>
        <v>11513.46</v>
      </c>
      <c r="H1291" s="15" t="str">
        <f t="shared" si="1"/>
        <v>93714.00</v>
      </c>
      <c r="I1291" s="14" t="str">
        <f t="shared" si="2"/>
        <v>82201.00</v>
      </c>
      <c r="J1291" s="16" t="str">
        <f>TEXT(Raw_Data!J1291,"MMM-YYY")</f>
        <v>Jan-2025</v>
      </c>
      <c r="K1291" s="13" t="str">
        <f>Raw_Data!K1291</f>
        <v>9</v>
      </c>
      <c r="L1291" s="17" t="str">
        <f>Raw_Data!L1291</f>
        <v>Pune-West</v>
      </c>
      <c r="M1291" s="13" t="str">
        <f t="shared" si="3"/>
        <v>OK</v>
      </c>
      <c r="N1291" s="18" t="str">
        <f t="shared" si="4"/>
        <v>VALID</v>
      </c>
    </row>
    <row r="1292" ht="15.75" customHeight="1">
      <c r="A1292" s="13" t="str">
        <f>Raw_Data!A1292</f>
        <v>EMP1356</v>
      </c>
      <c r="B1292" s="13" t="str">
        <f>TRIM(CLEAN(Raw_Data!B1292))</f>
        <v>Operations</v>
      </c>
      <c r="C1292" s="18" t="s">
        <v>14</v>
      </c>
      <c r="D1292" s="14" t="str">
        <f>IF(ISBLANK(Raw_Data!D1292),AVERAGE(Raw_Data!D$2:D$5002),Raw_Data!D1292)</f>
        <v>62903.42</v>
      </c>
      <c r="E1292" s="15" t="str">
        <f>IF(ISBLANK(Raw_Data!E1292),AVERAGE(Raw_Data!E$2:E$5002),Raw_Data!E1292)</f>
        <v>20248.18</v>
      </c>
      <c r="F1292" s="15" t="str">
        <f>IF(ISBLANK(Raw_Data!F1292),AVERAGE(Raw_Data!F$2:F$5002),Raw_Data!F1292)</f>
        <v>10585.34</v>
      </c>
      <c r="G1292" s="14" t="str">
        <f>IF(ISBLANK(Raw_Data!G1292),AVERAGE(Raw_Data!G$2:G$5002),Raw_Data!G1292)</f>
        <v>11516.86</v>
      </c>
      <c r="H1292" s="15" t="str">
        <f t="shared" si="1"/>
        <v>93737.00</v>
      </c>
      <c r="I1292" s="14" t="str">
        <f t="shared" si="2"/>
        <v>82220.00</v>
      </c>
      <c r="J1292" s="16" t="str">
        <f>TEXT(Raw_Data!J1292,"MMM-YYY")</f>
        <v>Jan-2025</v>
      </c>
      <c r="K1292" s="13" t="str">
        <f>Raw_Data!K1292</f>
        <v>3</v>
      </c>
      <c r="L1292" s="17" t="str">
        <f>Raw_Data!L1292</f>
        <v>Hyderabad-South</v>
      </c>
      <c r="M1292" s="13" t="str">
        <f t="shared" si="3"/>
        <v>OK</v>
      </c>
      <c r="N1292" s="18" t="str">
        <f t="shared" si="4"/>
        <v>VALID</v>
      </c>
    </row>
    <row r="1293" ht="15.75" customHeight="1">
      <c r="A1293" s="13" t="str">
        <f>Raw_Data!A1293</f>
        <v>EMP1357</v>
      </c>
      <c r="B1293" s="13" t="str">
        <f>TRIM(CLEAN(Raw_Data!B1293))</f>
        <v>HR</v>
      </c>
      <c r="C1293" s="18" t="s">
        <v>30</v>
      </c>
      <c r="D1293" s="14" t="str">
        <f>IF(ISBLANK(Raw_Data!D1293),AVERAGE(Raw_Data!D$2:D$5002),Raw_Data!D1293)</f>
        <v>62914.30</v>
      </c>
      <c r="E1293" s="15" t="str">
        <f>IF(ISBLANK(Raw_Data!E1293),AVERAGE(Raw_Data!E$2:E$5002),Raw_Data!E1293)</f>
        <v>20252.80</v>
      </c>
      <c r="F1293" s="15" t="str">
        <f>IF(ISBLANK(Raw_Data!F1293),AVERAGE(Raw_Data!F$2:F$5002),Raw_Data!F1293)</f>
        <v>10593.02</v>
      </c>
      <c r="G1293" s="14" t="str">
        <f>IF(ISBLANK(Raw_Data!G1293),AVERAGE(Raw_Data!G$2:G$5002),Raw_Data!G1293)</f>
        <v>11520.26</v>
      </c>
      <c r="H1293" s="15" t="str">
        <f t="shared" si="1"/>
        <v>93760.00</v>
      </c>
      <c r="I1293" s="14" t="str">
        <f t="shared" si="2"/>
        <v>82240.00</v>
      </c>
      <c r="J1293" s="16" t="str">
        <f>TEXT(Raw_Data!J1293,"MMM-YYY")</f>
        <v>Mar-2025</v>
      </c>
      <c r="K1293" s="13" t="str">
        <f>Raw_Data!K1293</f>
        <v>12</v>
      </c>
      <c r="L1293" s="17" t="str">
        <f>Raw_Data!L1293</f>
        <v>Chandigarh-North</v>
      </c>
      <c r="M1293" s="13" t="str">
        <f t="shared" si="3"/>
        <v>OK</v>
      </c>
      <c r="N1293" s="18" t="str">
        <f t="shared" si="4"/>
        <v>VALID</v>
      </c>
    </row>
    <row r="1294" ht="15.75" customHeight="1">
      <c r="A1294" s="13" t="str">
        <f>Raw_Data!A1294</f>
        <v>EMP1358</v>
      </c>
      <c r="B1294" s="13" t="str">
        <f>TRIM(CLEAN(Raw_Data!B1294))</f>
        <v>Customer Support</v>
      </c>
      <c r="C1294" s="18" t="s">
        <v>18</v>
      </c>
      <c r="D1294" s="14" t="str">
        <f>IF(ISBLANK(Raw_Data!D1294),AVERAGE(Raw_Data!D$2:D$5002),Raw_Data!D1294)</f>
        <v>62925.18</v>
      </c>
      <c r="E1294" s="15" t="str">
        <f>IF(ISBLANK(Raw_Data!E1294),AVERAGE(Raw_Data!E$2:E$5002),Raw_Data!E1294)</f>
        <v>20257.41</v>
      </c>
      <c r="F1294" s="15" t="str">
        <f>IF(ISBLANK(Raw_Data!F1294),AVERAGE(Raw_Data!F$2:F$5002),Raw_Data!F1294)</f>
        <v>10600.70</v>
      </c>
      <c r="G1294" s="14" t="str">
        <f>IF(ISBLANK(Raw_Data!G1294),AVERAGE(Raw_Data!G$2:G$5002),Raw_Data!G1294)</f>
        <v>11523.65</v>
      </c>
      <c r="H1294" s="15" t="str">
        <f t="shared" si="1"/>
        <v>93783.00</v>
      </c>
      <c r="I1294" s="14" t="str">
        <f t="shared" si="2"/>
        <v>82259.00</v>
      </c>
      <c r="J1294" s="16" t="str">
        <f>TEXT(Raw_Data!J1294,"MMM-YYY")</f>
        <v>Oct-2025</v>
      </c>
      <c r="K1294" s="13" t="str">
        <f>Raw_Data!K1294</f>
        <v>16</v>
      </c>
      <c r="L1294" s="17" t="str">
        <f>Raw_Data!L1294</f>
        <v>Ahmedabad-West</v>
      </c>
      <c r="M1294" s="13" t="str">
        <f t="shared" si="3"/>
        <v>OK</v>
      </c>
      <c r="N1294" s="18" t="str">
        <f t="shared" si="4"/>
        <v>VALID</v>
      </c>
    </row>
    <row r="1295" ht="15.75" customHeight="1">
      <c r="A1295" s="13" t="str">
        <f>Raw_Data!A1295</f>
        <v>EMP1359</v>
      </c>
      <c r="B1295" s="13" t="str">
        <f>TRIM(CLEAN(Raw_Data!B1295))</f>
        <v>Marketing</v>
      </c>
      <c r="C1295" s="18" t="s">
        <v>37</v>
      </c>
      <c r="D1295" s="14" t="str">
        <f>IF(ISBLANK(Raw_Data!D1295),AVERAGE(Raw_Data!D$2:D$5002),Raw_Data!D1295)</f>
        <v>62936.07</v>
      </c>
      <c r="E1295" s="15" t="str">
        <f>IF(ISBLANK(Raw_Data!E1295),AVERAGE(Raw_Data!E$2:E$5002),Raw_Data!E1295)</f>
        <v>20262.03</v>
      </c>
      <c r="F1295" s="15" t="str">
        <f>IF(ISBLANK(Raw_Data!F1295),AVERAGE(Raw_Data!F$2:F$5002),Raw_Data!F1295)</f>
        <v>10608.38</v>
      </c>
      <c r="G1295" s="14" t="str">
        <f>IF(ISBLANK(Raw_Data!G1295),AVERAGE(Raw_Data!G$2:G$5002),Raw_Data!G1295)</f>
        <v>11527.05</v>
      </c>
      <c r="H1295" s="15" t="str">
        <f t="shared" si="1"/>
        <v>93806.00</v>
      </c>
      <c r="I1295" s="14" t="str">
        <f t="shared" si="2"/>
        <v>82279.00</v>
      </c>
      <c r="J1295" s="16" t="str">
        <f>TEXT(Raw_Data!J1295,"MMM-YYY")</f>
        <v>Jul-2025</v>
      </c>
      <c r="K1295" s="13" t="str">
        <f>Raw_Data!K1295</f>
        <v>11</v>
      </c>
      <c r="L1295" s="17" t="str">
        <f>Raw_Data!L1295</f>
        <v>Jaipur-North</v>
      </c>
      <c r="M1295" s="13" t="str">
        <f t="shared" si="3"/>
        <v>OK</v>
      </c>
      <c r="N1295" s="18" t="str">
        <f t="shared" si="4"/>
        <v>VALID</v>
      </c>
    </row>
    <row r="1296" ht="15.75" customHeight="1">
      <c r="A1296" s="13" t="str">
        <f>Raw_Data!A1296</f>
        <v>EMP1360</v>
      </c>
      <c r="B1296" s="13" t="str">
        <f>TRIM(CLEAN(Raw_Data!B1296))</f>
        <v>Marketing</v>
      </c>
      <c r="C1296" s="18" t="s">
        <v>18</v>
      </c>
      <c r="D1296" s="14" t="str">
        <f>IF(ISBLANK(Raw_Data!D1296),AVERAGE(Raw_Data!D$2:D$5002),Raw_Data!D1296)</f>
        <v>62946.95</v>
      </c>
      <c r="E1296" s="15" t="str">
        <f>IF(ISBLANK(Raw_Data!E1296),AVERAGE(Raw_Data!E$2:E$5002),Raw_Data!E1296)</f>
        <v>20266.64</v>
      </c>
      <c r="F1296" s="15" t="str">
        <f>IF(ISBLANK(Raw_Data!F1296),AVERAGE(Raw_Data!F$2:F$5002),Raw_Data!F1296)</f>
        <v>10616.06</v>
      </c>
      <c r="G1296" s="14" t="str">
        <f>IF(ISBLANK(Raw_Data!G1296),AVERAGE(Raw_Data!G$2:G$5002),Raw_Data!G1296)</f>
        <v>11530.45</v>
      </c>
      <c r="H1296" s="15" t="str">
        <f t="shared" si="1"/>
        <v>93830.00</v>
      </c>
      <c r="I1296" s="14" t="str">
        <f t="shared" si="2"/>
        <v>82300.00</v>
      </c>
      <c r="J1296" s="16" t="str">
        <f>TEXT(Raw_Data!J1296,"MMM-YYY")</f>
        <v>Dec-2025</v>
      </c>
      <c r="K1296" s="13" t="str">
        <f>Raw_Data!K1296</f>
        <v>11</v>
      </c>
      <c r="L1296" s="17" t="str">
        <f>Raw_Data!L1296</f>
        <v>Mumbai-HO</v>
      </c>
      <c r="M1296" s="13" t="str">
        <f t="shared" si="3"/>
        <v>OK</v>
      </c>
      <c r="N1296" s="18" t="str">
        <f t="shared" si="4"/>
        <v>VALID</v>
      </c>
    </row>
    <row r="1297" ht="15.75" customHeight="1">
      <c r="A1297" s="13" t="str">
        <f>Raw_Data!A1297</f>
        <v>EMP1361</v>
      </c>
      <c r="B1297" s="13" t="str">
        <f>TRIM(CLEAN(Raw_Data!B1297))</f>
        <v>IT</v>
      </c>
      <c r="C1297" s="18" t="s">
        <v>33</v>
      </c>
      <c r="D1297" s="14" t="str">
        <f>IF(ISBLANK(Raw_Data!D1297),AVERAGE(Raw_Data!D$2:D$5002),Raw_Data!D1297)</f>
        <v>62957.83</v>
      </c>
      <c r="E1297" s="15" t="str">
        <f>IF(ISBLANK(Raw_Data!E1297),AVERAGE(Raw_Data!E$2:E$5002),Raw_Data!E1297)</f>
        <v>20271.26</v>
      </c>
      <c r="F1297" s="15" t="str">
        <f>IF(ISBLANK(Raw_Data!F1297),AVERAGE(Raw_Data!F$2:F$5002),Raw_Data!F1297)</f>
        <v>10623.74</v>
      </c>
      <c r="G1297" s="14" t="str">
        <f>IF(ISBLANK(Raw_Data!G1297),AVERAGE(Raw_Data!G$2:G$5002),Raw_Data!G1297)</f>
        <v>11533.85</v>
      </c>
      <c r="H1297" s="15" t="str">
        <f t="shared" si="1"/>
        <v>93853.00</v>
      </c>
      <c r="I1297" s="14" t="str">
        <f t="shared" si="2"/>
        <v>82319.00</v>
      </c>
      <c r="J1297" s="16" t="str">
        <f>TEXT(Raw_Data!J1297,"MMM-YYY")</f>
        <v>Jan-2025</v>
      </c>
      <c r="K1297" s="13" t="str">
        <f>Raw_Data!K1297</f>
        <v>2</v>
      </c>
      <c r="L1297" s="17" t="str">
        <f>Raw_Data!L1297</f>
        <v>Delhi-North</v>
      </c>
      <c r="M1297" s="13" t="str">
        <f t="shared" si="3"/>
        <v>OK</v>
      </c>
      <c r="N1297" s="18" t="str">
        <f t="shared" si="4"/>
        <v>VALID</v>
      </c>
    </row>
    <row r="1298" ht="15.75" customHeight="1">
      <c r="A1298" s="13" t="str">
        <f>Raw_Data!A1298</f>
        <v>EMP1362</v>
      </c>
      <c r="B1298" s="13" t="str">
        <f>TRIM(CLEAN(Raw_Data!B1298))</f>
        <v>Marketing</v>
      </c>
      <c r="C1298" s="18" t="s">
        <v>33</v>
      </c>
      <c r="D1298" s="14" t="str">
        <f>IF(ISBLANK(Raw_Data!D1298),AVERAGE(Raw_Data!D$2:D$5002),Raw_Data!D1298)</f>
        <v>62968.71</v>
      </c>
      <c r="E1298" s="15" t="str">
        <f>IF(ISBLANK(Raw_Data!E1298),AVERAGE(Raw_Data!E$2:E$5002),Raw_Data!E1298)</f>
        <v>20275.87</v>
      </c>
      <c r="F1298" s="15" t="str">
        <f>IF(ISBLANK(Raw_Data!F1298),AVERAGE(Raw_Data!F$2:F$5002),Raw_Data!F1298)</f>
        <v>10631.42</v>
      </c>
      <c r="G1298" s="14" t="str">
        <f>IF(ISBLANK(Raw_Data!G1298),AVERAGE(Raw_Data!G$2:G$5002),Raw_Data!G1298)</f>
        <v>11537.24</v>
      </c>
      <c r="H1298" s="15" t="str">
        <f t="shared" si="1"/>
        <v>93876.00</v>
      </c>
      <c r="I1298" s="14" t="str">
        <f t="shared" si="2"/>
        <v>82339.00</v>
      </c>
      <c r="J1298" s="16" t="str">
        <f>TEXT(Raw_Data!J1298,"MMM-YYY")</f>
        <v>Jul-2025</v>
      </c>
      <c r="K1298" s="13" t="str">
        <f>Raw_Data!K1298</f>
        <v>7</v>
      </c>
      <c r="L1298" s="17" t="str">
        <f>Raw_Data!L1298</f>
        <v>Bangalore-South</v>
      </c>
      <c r="M1298" s="13" t="str">
        <f t="shared" si="3"/>
        <v>OK</v>
      </c>
      <c r="N1298" s="18" t="str">
        <f t="shared" si="4"/>
        <v>VALID</v>
      </c>
    </row>
    <row r="1299" ht="15.75" customHeight="1">
      <c r="A1299" s="13" t="str">
        <f>Raw_Data!A1299</f>
        <v>EMP1363</v>
      </c>
      <c r="B1299" s="13" t="str">
        <f>TRIM(CLEAN(Raw_Data!B1299))</f>
        <v>Marketing</v>
      </c>
      <c r="C1299" s="18" t="s">
        <v>14</v>
      </c>
      <c r="D1299" s="14" t="str">
        <f>IF(ISBLANK(Raw_Data!D1299),AVERAGE(Raw_Data!D$2:D$5002),Raw_Data!D1299)</f>
        <v>62979.60</v>
      </c>
      <c r="E1299" s="15" t="str">
        <f>IF(ISBLANK(Raw_Data!E1299),AVERAGE(Raw_Data!E$2:E$5002),Raw_Data!E1299)</f>
        <v>20280.49</v>
      </c>
      <c r="F1299" s="15" t="str">
        <f>IF(ISBLANK(Raw_Data!F1299),AVERAGE(Raw_Data!F$2:F$5002),Raw_Data!F1299)</f>
        <v>10639.10</v>
      </c>
      <c r="G1299" s="14" t="str">
        <f>IF(ISBLANK(Raw_Data!G1299),AVERAGE(Raw_Data!G$2:G$5002),Raw_Data!G1299)</f>
        <v>11540.64</v>
      </c>
      <c r="H1299" s="15" t="str">
        <f t="shared" si="1"/>
        <v>93899.00</v>
      </c>
      <c r="I1299" s="14" t="str">
        <f t="shared" si="2"/>
        <v>82358.00</v>
      </c>
      <c r="J1299" s="16" t="str">
        <f>TEXT(Raw_Data!J1299,"MMM-YYY")</f>
        <v>Aug-2025</v>
      </c>
      <c r="K1299" s="13" t="str">
        <f>Raw_Data!K1299</f>
        <v>3</v>
      </c>
      <c r="L1299" s="17" t="str">
        <f>Raw_Data!L1299</f>
        <v>Chennai-South</v>
      </c>
      <c r="M1299" s="13" t="str">
        <f t="shared" si="3"/>
        <v>OK</v>
      </c>
      <c r="N1299" s="18" t="str">
        <f t="shared" si="4"/>
        <v>VALID</v>
      </c>
    </row>
    <row r="1300" ht="15.75" customHeight="1">
      <c r="A1300" s="13" t="str">
        <f>Raw_Data!A1300</f>
        <v>EMP1364</v>
      </c>
      <c r="B1300" s="13" t="str">
        <f>TRIM(CLEAN(Raw_Data!B1300))</f>
        <v>Customer Support</v>
      </c>
      <c r="C1300" s="18" t="s">
        <v>37</v>
      </c>
      <c r="D1300" s="14" t="str">
        <f>IF(ISBLANK(Raw_Data!D1300),AVERAGE(Raw_Data!D$2:D$5002),Raw_Data!D1300)</f>
        <v>62990.48</v>
      </c>
      <c r="E1300" s="15" t="str">
        <f>IF(ISBLANK(Raw_Data!E1300),AVERAGE(Raw_Data!E$2:E$5002),Raw_Data!E1300)</f>
        <v>20285.10</v>
      </c>
      <c r="F1300" s="15" t="str">
        <f>IF(ISBLANK(Raw_Data!F1300),AVERAGE(Raw_Data!F$2:F$5002),Raw_Data!F1300)</f>
        <v>10646.78</v>
      </c>
      <c r="G1300" s="14" t="str">
        <f>IF(ISBLANK(Raw_Data!G1300),AVERAGE(Raw_Data!G$2:G$5002),Raw_Data!G1300)</f>
        <v>11544.04</v>
      </c>
      <c r="H1300" s="15" t="str">
        <f t="shared" si="1"/>
        <v>93922.00</v>
      </c>
      <c r="I1300" s="14" t="str">
        <f t="shared" si="2"/>
        <v>82378.00</v>
      </c>
      <c r="J1300" s="16" t="str">
        <f>TEXT(Raw_Data!J1300,"MMM-YYY")</f>
        <v>Nov-2025</v>
      </c>
      <c r="K1300" s="13" t="str">
        <f>Raw_Data!K1300</f>
        <v>21</v>
      </c>
      <c r="L1300" s="17" t="str">
        <f>Raw_Data!L1300</f>
        <v>Kolkata-East</v>
      </c>
      <c r="M1300" s="13" t="str">
        <f t="shared" si="3"/>
        <v>OK</v>
      </c>
      <c r="N1300" s="18" t="str">
        <f t="shared" si="4"/>
        <v>VALID</v>
      </c>
    </row>
    <row r="1301" ht="15.75" customHeight="1">
      <c r="A1301" s="13" t="str">
        <f>Raw_Data!A1301</f>
        <v>EMP1365</v>
      </c>
      <c r="B1301" s="13" t="str">
        <f>TRIM(CLEAN(Raw_Data!B1301))</f>
        <v>Marketing</v>
      </c>
      <c r="C1301" s="18" t="s">
        <v>14</v>
      </c>
      <c r="D1301" s="14" t="str">
        <f>IF(ISBLANK(Raw_Data!D1301),AVERAGE(Raw_Data!D$2:D$5002),Raw_Data!D1301)</f>
        <v>63001.36</v>
      </c>
      <c r="E1301" s="15" t="str">
        <f>IF(ISBLANK(Raw_Data!E1301),AVERAGE(Raw_Data!E$2:E$5002),Raw_Data!E1301)</f>
        <v>20289.71</v>
      </c>
      <c r="F1301" s="15" t="str">
        <f>IF(ISBLANK(Raw_Data!F1301),AVERAGE(Raw_Data!F$2:F$5002),Raw_Data!F1301)</f>
        <v>10654.46</v>
      </c>
      <c r="G1301" s="14" t="str">
        <f>IF(ISBLANK(Raw_Data!G1301),AVERAGE(Raw_Data!G$2:G$5002),Raw_Data!G1301)</f>
        <v>11547.44</v>
      </c>
      <c r="H1301" s="15" t="str">
        <f t="shared" si="1"/>
        <v>93946.00</v>
      </c>
      <c r="I1301" s="14" t="str">
        <f t="shared" si="2"/>
        <v>82399.00</v>
      </c>
      <c r="J1301" s="16" t="str">
        <f>TEXT(Raw_Data!J1301,"MMM-YYY")</f>
        <v>May-2025</v>
      </c>
      <c r="K1301" s="13" t="str">
        <f>Raw_Data!K1301</f>
        <v>19</v>
      </c>
      <c r="L1301" s="17" t="str">
        <f>Raw_Data!L1301</f>
        <v>Pune-West</v>
      </c>
      <c r="M1301" s="13" t="str">
        <f t="shared" si="3"/>
        <v>OK</v>
      </c>
      <c r="N1301" s="18" t="str">
        <f t="shared" si="4"/>
        <v>VALID</v>
      </c>
    </row>
    <row r="1302" ht="15.75" customHeight="1">
      <c r="A1302" s="13" t="str">
        <f>Raw_Data!A1302</f>
        <v>EMP1366</v>
      </c>
      <c r="B1302" s="13" t="str">
        <f>TRIM(CLEAN(Raw_Data!B1302))</f>
        <v>Marketing</v>
      </c>
      <c r="C1302" s="18" t="s">
        <v>26</v>
      </c>
      <c r="D1302" s="14" t="str">
        <f>IF(ISBLANK(Raw_Data!D1302),AVERAGE(Raw_Data!D$2:D$5002),Raw_Data!D1302)</f>
        <v>63012.25</v>
      </c>
      <c r="E1302" s="15" t="str">
        <f>IF(ISBLANK(Raw_Data!E1302),AVERAGE(Raw_Data!E$2:E$5002),Raw_Data!E1302)</f>
        <v>20294.33</v>
      </c>
      <c r="F1302" s="15" t="str">
        <f>IF(ISBLANK(Raw_Data!F1302),AVERAGE(Raw_Data!F$2:F$5002),Raw_Data!F1302)</f>
        <v>10662.14</v>
      </c>
      <c r="G1302" s="14" t="str">
        <f>IF(ISBLANK(Raw_Data!G1302),AVERAGE(Raw_Data!G$2:G$5002),Raw_Data!G1302)</f>
        <v>11550.83</v>
      </c>
      <c r="H1302" s="15" t="str">
        <f t="shared" si="1"/>
        <v>93969.00</v>
      </c>
      <c r="I1302" s="14" t="str">
        <f t="shared" si="2"/>
        <v>82418.00</v>
      </c>
      <c r="J1302" s="16" t="str">
        <f>TEXT(Raw_Data!J1302,"MMM-YYY")</f>
        <v>Apr-2025</v>
      </c>
      <c r="K1302" s="13" t="str">
        <f>Raw_Data!K1302</f>
        <v>22</v>
      </c>
      <c r="L1302" s="17" t="str">
        <f>Raw_Data!L1302</f>
        <v>Hyderabad-South</v>
      </c>
      <c r="M1302" s="13" t="str">
        <f t="shared" si="3"/>
        <v>OK</v>
      </c>
      <c r="N1302" s="18" t="str">
        <f t="shared" si="4"/>
        <v>VALID</v>
      </c>
    </row>
    <row r="1303" ht="15.75" customHeight="1">
      <c r="A1303" s="13" t="str">
        <f>Raw_Data!A1303</f>
        <v>EMP1367</v>
      </c>
      <c r="B1303" s="13" t="str">
        <f>TRIM(CLEAN(Raw_Data!B1303))</f>
        <v>Marketing</v>
      </c>
      <c r="C1303" s="18" t="s">
        <v>18</v>
      </c>
      <c r="D1303" s="14" t="str">
        <f>IF(ISBLANK(Raw_Data!D1303),AVERAGE(Raw_Data!D$2:D$5002),Raw_Data!D1303)</f>
        <v>63023.13</v>
      </c>
      <c r="E1303" s="15" t="str">
        <f>IF(ISBLANK(Raw_Data!E1303),AVERAGE(Raw_Data!E$2:E$5002),Raw_Data!E1303)</f>
        <v>20298.94</v>
      </c>
      <c r="F1303" s="15" t="str">
        <f>IF(ISBLANK(Raw_Data!F1303),AVERAGE(Raw_Data!F$2:F$5002),Raw_Data!F1303)</f>
        <v>10669.82</v>
      </c>
      <c r="G1303" s="14" t="str">
        <f>IF(ISBLANK(Raw_Data!G1303),AVERAGE(Raw_Data!G$2:G$5002),Raw_Data!G1303)</f>
        <v>11554.23</v>
      </c>
      <c r="H1303" s="15" t="str">
        <f t="shared" si="1"/>
        <v>93992.00</v>
      </c>
      <c r="I1303" s="14" t="str">
        <f t="shared" si="2"/>
        <v>82438.00</v>
      </c>
      <c r="J1303" s="16" t="str">
        <f>TEXT(Raw_Data!J1303,"MMM-YYY")</f>
        <v>Apr-2025</v>
      </c>
      <c r="K1303" s="13" t="str">
        <f>Raw_Data!K1303</f>
        <v>20</v>
      </c>
      <c r="L1303" s="17" t="str">
        <f>Raw_Data!L1303</f>
        <v>Chandigarh-North</v>
      </c>
      <c r="M1303" s="13" t="str">
        <f t="shared" si="3"/>
        <v>OK</v>
      </c>
      <c r="N1303" s="18" t="str">
        <f t="shared" si="4"/>
        <v>VALID</v>
      </c>
    </row>
    <row r="1304" ht="15.75" customHeight="1">
      <c r="A1304" s="13" t="str">
        <f>Raw_Data!A1304</f>
        <v>EMP1368</v>
      </c>
      <c r="B1304" s="13" t="str">
        <f>TRIM(CLEAN(Raw_Data!B1304))</f>
        <v>Sales</v>
      </c>
      <c r="C1304" s="18" t="s">
        <v>30</v>
      </c>
      <c r="D1304" s="14" t="str">
        <f>IF(ISBLANK(Raw_Data!D1304),AVERAGE(Raw_Data!D$2:D$5002),Raw_Data!D1304)</f>
        <v>63034.01</v>
      </c>
      <c r="E1304" s="15" t="str">
        <f>IF(ISBLANK(Raw_Data!E1304),AVERAGE(Raw_Data!E$2:E$5002),Raw_Data!E1304)</f>
        <v>20303.56</v>
      </c>
      <c r="F1304" s="15" t="str">
        <f>IF(ISBLANK(Raw_Data!F1304),AVERAGE(Raw_Data!F$2:F$5002),Raw_Data!F1304)</f>
        <v>10677.50</v>
      </c>
      <c r="G1304" s="14" t="str">
        <f>IF(ISBLANK(Raw_Data!G1304),AVERAGE(Raw_Data!G$2:G$5002),Raw_Data!G1304)</f>
        <v>11557.63</v>
      </c>
      <c r="H1304" s="15" t="str">
        <f t="shared" si="1"/>
        <v>94015.00</v>
      </c>
      <c r="I1304" s="14" t="str">
        <f t="shared" si="2"/>
        <v>82457.00</v>
      </c>
      <c r="J1304" s="16" t="str">
        <f>TEXT(Raw_Data!J1304,"MMM-YYY")</f>
        <v>Aug-2025</v>
      </c>
      <c r="K1304" s="13" t="str">
        <f>Raw_Data!K1304</f>
        <v>7</v>
      </c>
      <c r="L1304" s="17" t="str">
        <f>Raw_Data!L1304</f>
        <v>Ahmedabad-West</v>
      </c>
      <c r="M1304" s="13" t="str">
        <f t="shared" si="3"/>
        <v>OK</v>
      </c>
      <c r="N1304" s="18" t="str">
        <f t="shared" si="4"/>
        <v>VALID</v>
      </c>
    </row>
    <row r="1305" ht="15.75" customHeight="1">
      <c r="A1305" s="13" t="str">
        <f>Raw_Data!A1305</f>
        <v>EMP1369</v>
      </c>
      <c r="B1305" s="13" t="str">
        <f>TRIM(CLEAN(Raw_Data!B1305))</f>
        <v>Customer Support</v>
      </c>
      <c r="C1305" s="18" t="s">
        <v>14</v>
      </c>
      <c r="D1305" s="14" t="str">
        <f>IF(ISBLANK(Raw_Data!D1305),AVERAGE(Raw_Data!D$2:D$5002),Raw_Data!D1305)</f>
        <v>63044.90</v>
      </c>
      <c r="E1305" s="15" t="str">
        <f>IF(ISBLANK(Raw_Data!E1305),AVERAGE(Raw_Data!E$2:E$5002),Raw_Data!E1305)</f>
        <v>20308.17</v>
      </c>
      <c r="F1305" s="15" t="str">
        <f>IF(ISBLANK(Raw_Data!F1305),AVERAGE(Raw_Data!F$2:F$5002),Raw_Data!F1305)</f>
        <v>10685.18</v>
      </c>
      <c r="G1305" s="14" t="str">
        <f>IF(ISBLANK(Raw_Data!G1305),AVERAGE(Raw_Data!G$2:G$5002),Raw_Data!G1305)</f>
        <v>11561.03</v>
      </c>
      <c r="H1305" s="15" t="str">
        <f t="shared" si="1"/>
        <v>94038.00</v>
      </c>
      <c r="I1305" s="14" t="str">
        <f t="shared" si="2"/>
        <v>82477.00</v>
      </c>
      <c r="J1305" s="16" t="str">
        <f>TEXT(Raw_Data!J1305,"MMM-YYY")</f>
        <v>Aug-2025</v>
      </c>
      <c r="K1305" s="13" t="str">
        <f>Raw_Data!K1305</f>
        <v>16</v>
      </c>
      <c r="L1305" s="17" t="str">
        <f>Raw_Data!L1305</f>
        <v>Jaipur-North</v>
      </c>
      <c r="M1305" s="13" t="str">
        <f t="shared" si="3"/>
        <v>OK</v>
      </c>
      <c r="N1305" s="18" t="str">
        <f t="shared" si="4"/>
        <v>VALID</v>
      </c>
    </row>
    <row r="1306" ht="15.75" customHeight="1">
      <c r="A1306" s="13" t="str">
        <f>Raw_Data!A1306</f>
        <v>EMP1370</v>
      </c>
      <c r="B1306" s="13" t="str">
        <f>TRIM(CLEAN(Raw_Data!B1306))</f>
        <v>Sales</v>
      </c>
      <c r="C1306" s="18" t="s">
        <v>33</v>
      </c>
      <c r="D1306" s="14" t="str">
        <f>IF(ISBLANK(Raw_Data!D1306),AVERAGE(Raw_Data!D$2:D$5002),Raw_Data!D1306)</f>
        <v>63055.78</v>
      </c>
      <c r="E1306" s="15" t="str">
        <f>IF(ISBLANK(Raw_Data!E1306),AVERAGE(Raw_Data!E$2:E$5002),Raw_Data!E1306)</f>
        <v>20312.79</v>
      </c>
      <c r="F1306" s="15" t="str">
        <f>IF(ISBLANK(Raw_Data!F1306),AVERAGE(Raw_Data!F$2:F$5002),Raw_Data!F1306)</f>
        <v>10692.86</v>
      </c>
      <c r="G1306" s="14" t="str">
        <f>IF(ISBLANK(Raw_Data!G1306),AVERAGE(Raw_Data!G$2:G$5002),Raw_Data!G1306)</f>
        <v>11564.42</v>
      </c>
      <c r="H1306" s="15" t="str">
        <f t="shared" si="1"/>
        <v>94061.00</v>
      </c>
      <c r="I1306" s="14" t="str">
        <f t="shared" si="2"/>
        <v>82497.00</v>
      </c>
      <c r="J1306" s="16" t="str">
        <f>TEXT(Raw_Data!J1306,"MMM-YYY")</f>
        <v>Sep-2025</v>
      </c>
      <c r="K1306" s="13" t="str">
        <f>Raw_Data!K1306</f>
        <v>14</v>
      </c>
      <c r="L1306" s="17" t="str">
        <f>Raw_Data!L1306</f>
        <v>Mumbai-HO</v>
      </c>
      <c r="M1306" s="13" t="str">
        <f t="shared" si="3"/>
        <v>OK</v>
      </c>
      <c r="N1306" s="18" t="str">
        <f t="shared" si="4"/>
        <v>VALID</v>
      </c>
    </row>
    <row r="1307" ht="15.75" customHeight="1">
      <c r="A1307" s="13" t="str">
        <f>Raw_Data!A1307</f>
        <v>EMP1371</v>
      </c>
      <c r="B1307" s="13" t="str">
        <f>TRIM(CLEAN(Raw_Data!B1307))</f>
        <v>Finance</v>
      </c>
      <c r="C1307" s="18" t="s">
        <v>54</v>
      </c>
      <c r="D1307" s="14" t="str">
        <f>IF(ISBLANK(Raw_Data!D1307),AVERAGE(Raw_Data!D$2:D$5002),Raw_Data!D1307)</f>
        <v>63066.66</v>
      </c>
      <c r="E1307" s="15" t="str">
        <f>IF(ISBLANK(Raw_Data!E1307),AVERAGE(Raw_Data!E$2:E$5002),Raw_Data!E1307)</f>
        <v>20317.40</v>
      </c>
      <c r="F1307" s="15" t="str">
        <f>IF(ISBLANK(Raw_Data!F1307),AVERAGE(Raw_Data!F$2:F$5002),Raw_Data!F1307)</f>
        <v>10700.54</v>
      </c>
      <c r="G1307" s="14" t="str">
        <f>IF(ISBLANK(Raw_Data!G1307),AVERAGE(Raw_Data!G$2:G$5002),Raw_Data!G1307)</f>
        <v>11567.82</v>
      </c>
      <c r="H1307" s="15" t="str">
        <f t="shared" si="1"/>
        <v>94085.00</v>
      </c>
      <c r="I1307" s="14" t="str">
        <f t="shared" si="2"/>
        <v>82517.00</v>
      </c>
      <c r="J1307" s="16" t="str">
        <f>TEXT(Raw_Data!J1307,"MMM-YYY")</f>
        <v>Jul-2025</v>
      </c>
      <c r="K1307" s="13" t="str">
        <f>Raw_Data!K1307</f>
        <v>20</v>
      </c>
      <c r="L1307" s="17" t="str">
        <f>Raw_Data!L1307</f>
        <v>Delhi-North</v>
      </c>
      <c r="M1307" s="13" t="str">
        <f t="shared" si="3"/>
        <v>OK</v>
      </c>
      <c r="N1307" s="18" t="str">
        <f t="shared" si="4"/>
        <v>VALID</v>
      </c>
    </row>
    <row r="1308" ht="15.75" customHeight="1">
      <c r="A1308" s="13" t="str">
        <f>Raw_Data!A1308</f>
        <v>EMP1372</v>
      </c>
      <c r="B1308" s="13" t="str">
        <f>TRIM(CLEAN(Raw_Data!B1308))</f>
        <v>Sales</v>
      </c>
      <c r="C1308" s="18" t="s">
        <v>30</v>
      </c>
      <c r="D1308" s="14" t="str">
        <f>IF(ISBLANK(Raw_Data!D1308),AVERAGE(Raw_Data!D$2:D$5002),Raw_Data!D1308)</f>
        <v>63077.54</v>
      </c>
      <c r="E1308" s="15" t="str">
        <f>IF(ISBLANK(Raw_Data!E1308),AVERAGE(Raw_Data!E$2:E$5002),Raw_Data!E1308)</f>
        <v>20322.02</v>
      </c>
      <c r="F1308" s="15" t="str">
        <f>IF(ISBLANK(Raw_Data!F1308),AVERAGE(Raw_Data!F$2:F$5002),Raw_Data!F1308)</f>
        <v>10708.22</v>
      </c>
      <c r="G1308" s="14" t="str">
        <f>IF(ISBLANK(Raw_Data!G1308),AVERAGE(Raw_Data!G$2:G$5002),Raw_Data!G1308)</f>
        <v>11571.22</v>
      </c>
      <c r="H1308" s="15" t="str">
        <f t="shared" si="1"/>
        <v>94108.00</v>
      </c>
      <c r="I1308" s="14" t="str">
        <f t="shared" si="2"/>
        <v>82537.00</v>
      </c>
      <c r="J1308" s="16" t="str">
        <f>TEXT(Raw_Data!J1308,"MMM-YYY")</f>
        <v>May-2025</v>
      </c>
      <c r="K1308" s="13" t="str">
        <f>Raw_Data!K1308</f>
        <v>22</v>
      </c>
      <c r="L1308" s="17" t="str">
        <f>Raw_Data!L1308</f>
        <v>Bangalore-South</v>
      </c>
      <c r="M1308" s="13" t="str">
        <f t="shared" si="3"/>
        <v>OK</v>
      </c>
      <c r="N1308" s="18" t="str">
        <f t="shared" si="4"/>
        <v>VALID</v>
      </c>
    </row>
    <row r="1309" ht="15.75" customHeight="1">
      <c r="A1309" s="13" t="str">
        <f>Raw_Data!A1309</f>
        <v>EMP1373</v>
      </c>
      <c r="B1309" s="13" t="str">
        <f>TRIM(CLEAN(Raw_Data!B1309))</f>
        <v>IT</v>
      </c>
      <c r="C1309" s="18" t="s">
        <v>26</v>
      </c>
      <c r="D1309" s="14" t="str">
        <f>IF(ISBLANK(Raw_Data!D1309),AVERAGE(Raw_Data!D$2:D$5002),Raw_Data!D1309)</f>
        <v>63088.43</v>
      </c>
      <c r="E1309" s="15" t="str">
        <f>IF(ISBLANK(Raw_Data!E1309),AVERAGE(Raw_Data!E$2:E$5002),Raw_Data!E1309)</f>
        <v>20326.63</v>
      </c>
      <c r="F1309" s="15" t="str">
        <f>IF(ISBLANK(Raw_Data!F1309),AVERAGE(Raw_Data!F$2:F$5002),Raw_Data!F1309)</f>
        <v>10715.90</v>
      </c>
      <c r="G1309" s="14" t="str">
        <f>IF(ISBLANK(Raw_Data!G1309),AVERAGE(Raw_Data!G$2:G$5002),Raw_Data!G1309)</f>
        <v>11574.62</v>
      </c>
      <c r="H1309" s="15" t="str">
        <f t="shared" si="1"/>
        <v>94131.00</v>
      </c>
      <c r="I1309" s="14" t="str">
        <f t="shared" si="2"/>
        <v>82556.00</v>
      </c>
      <c r="J1309" s="16" t="str">
        <f>TEXT(Raw_Data!J1309,"MMM-YYY")</f>
        <v>Aug-2025</v>
      </c>
      <c r="K1309" s="13" t="str">
        <f>Raw_Data!K1309</f>
        <v>1</v>
      </c>
      <c r="L1309" s="17" t="str">
        <f>Raw_Data!L1309</f>
        <v>Chennai-South</v>
      </c>
      <c r="M1309" s="13" t="str">
        <f t="shared" si="3"/>
        <v>OK</v>
      </c>
      <c r="N1309" s="18" t="str">
        <f t="shared" si="4"/>
        <v>VALID</v>
      </c>
    </row>
    <row r="1310" ht="15.75" customHeight="1">
      <c r="A1310" s="13" t="str">
        <f>Raw_Data!A1310</f>
        <v>EMP1374</v>
      </c>
      <c r="B1310" s="13" t="str">
        <f>TRIM(CLEAN(Raw_Data!B1310))</f>
        <v>Customer Support</v>
      </c>
      <c r="C1310" s="18" t="s">
        <v>37</v>
      </c>
      <c r="D1310" s="14" t="str">
        <f>IF(ISBLANK(Raw_Data!D1310),AVERAGE(Raw_Data!D$2:D$5002),Raw_Data!D1310)</f>
        <v>63099.31</v>
      </c>
      <c r="E1310" s="15" t="str">
        <f>IF(ISBLANK(Raw_Data!E1310),AVERAGE(Raw_Data!E$2:E$5002),Raw_Data!E1310)</f>
        <v>20331.25</v>
      </c>
      <c r="F1310" s="15" t="str">
        <f>IF(ISBLANK(Raw_Data!F1310),AVERAGE(Raw_Data!F$2:F$5002),Raw_Data!F1310)</f>
        <v>10723.58</v>
      </c>
      <c r="G1310" s="14" t="str">
        <f>IF(ISBLANK(Raw_Data!G1310),AVERAGE(Raw_Data!G$2:G$5002),Raw_Data!G1310)</f>
        <v>11578.01</v>
      </c>
      <c r="H1310" s="15" t="str">
        <f t="shared" si="1"/>
        <v>94154.00</v>
      </c>
      <c r="I1310" s="14" t="str">
        <f t="shared" si="2"/>
        <v>82576.00</v>
      </c>
      <c r="J1310" s="16" t="str">
        <f>TEXT(Raw_Data!J1310,"MMM-YYY")</f>
        <v>Aug-2025</v>
      </c>
      <c r="K1310" s="13" t="str">
        <f>Raw_Data!K1310</f>
        <v>7</v>
      </c>
      <c r="L1310" s="17" t="str">
        <f>Raw_Data!L1310</f>
        <v>Kolkata-East</v>
      </c>
      <c r="M1310" s="13" t="str">
        <f t="shared" si="3"/>
        <v>OK</v>
      </c>
      <c r="N1310" s="18" t="str">
        <f t="shared" si="4"/>
        <v>VALID</v>
      </c>
    </row>
    <row r="1311" ht="15.75" customHeight="1">
      <c r="A1311" s="13" t="str">
        <f>Raw_Data!A1311</f>
        <v>EMP1375</v>
      </c>
      <c r="B1311" s="13" t="str">
        <f>TRIM(CLEAN(Raw_Data!B1311))</f>
        <v>Operations</v>
      </c>
      <c r="C1311" s="18" t="s">
        <v>54</v>
      </c>
      <c r="D1311" s="14" t="str">
        <f>IF(ISBLANK(Raw_Data!D1311),AVERAGE(Raw_Data!D$2:D$5002),Raw_Data!D1311)</f>
        <v>63110.19</v>
      </c>
      <c r="E1311" s="15" t="str">
        <f>IF(ISBLANK(Raw_Data!E1311),AVERAGE(Raw_Data!E$2:E$5002),Raw_Data!E1311)</f>
        <v>20335.86</v>
      </c>
      <c r="F1311" s="15" t="str">
        <f>IF(ISBLANK(Raw_Data!F1311),AVERAGE(Raw_Data!F$2:F$5002),Raw_Data!F1311)</f>
        <v>10731.26</v>
      </c>
      <c r="G1311" s="14" t="str">
        <f>IF(ISBLANK(Raw_Data!G1311),AVERAGE(Raw_Data!G$2:G$5002),Raw_Data!G1311)</f>
        <v>11581.41</v>
      </c>
      <c r="H1311" s="15" t="str">
        <f t="shared" si="1"/>
        <v>94177.00</v>
      </c>
      <c r="I1311" s="14" t="str">
        <f t="shared" si="2"/>
        <v>82596.00</v>
      </c>
      <c r="J1311" s="16" t="str">
        <f>TEXT(Raw_Data!J1311,"MMM-YYY")</f>
        <v>Apr-2025</v>
      </c>
      <c r="K1311" s="13" t="str">
        <f>Raw_Data!K1311</f>
        <v>25</v>
      </c>
      <c r="L1311" s="17" t="str">
        <f>Raw_Data!L1311</f>
        <v>Pune-West</v>
      </c>
      <c r="M1311" s="13" t="str">
        <f t="shared" si="3"/>
        <v>OK</v>
      </c>
      <c r="N1311" s="18" t="str">
        <f t="shared" si="4"/>
        <v>VALID</v>
      </c>
    </row>
    <row r="1312" ht="15.75" customHeight="1">
      <c r="A1312" s="13" t="str">
        <f>Raw_Data!A1312</f>
        <v>EMP1376</v>
      </c>
      <c r="B1312" s="13" t="str">
        <f>TRIM(CLEAN(Raw_Data!B1312))</f>
        <v>IT</v>
      </c>
      <c r="C1312" s="18" t="s">
        <v>26</v>
      </c>
      <c r="D1312" s="14" t="str">
        <f>IF(ISBLANK(Raw_Data!D1312),AVERAGE(Raw_Data!D$2:D$5002),Raw_Data!D1312)</f>
        <v>63121.08</v>
      </c>
      <c r="E1312" s="15" t="str">
        <f>IF(ISBLANK(Raw_Data!E1312),AVERAGE(Raw_Data!E$2:E$5002),Raw_Data!E1312)</f>
        <v>20340.48</v>
      </c>
      <c r="F1312" s="15" t="str">
        <f>IF(ISBLANK(Raw_Data!F1312),AVERAGE(Raw_Data!F$2:F$5002),Raw_Data!F1312)</f>
        <v>10738.94</v>
      </c>
      <c r="G1312" s="14" t="str">
        <f>IF(ISBLANK(Raw_Data!G1312),AVERAGE(Raw_Data!G$2:G$5002),Raw_Data!G1312)</f>
        <v>11584.81</v>
      </c>
      <c r="H1312" s="15" t="str">
        <f t="shared" si="1"/>
        <v>94200.00</v>
      </c>
      <c r="I1312" s="14" t="str">
        <f t="shared" si="2"/>
        <v>82615.00</v>
      </c>
      <c r="J1312" s="16" t="str">
        <f>TEXT(Raw_Data!J1312,"MMM-YYY")</f>
        <v>Jul-2025</v>
      </c>
      <c r="K1312" s="13" t="str">
        <f>Raw_Data!K1312</f>
        <v>17</v>
      </c>
      <c r="L1312" s="17" t="str">
        <f>Raw_Data!L1312</f>
        <v>Hyderabad-South</v>
      </c>
      <c r="M1312" s="13" t="str">
        <f t="shared" si="3"/>
        <v>OK</v>
      </c>
      <c r="N1312" s="18" t="str">
        <f t="shared" si="4"/>
        <v>VALID</v>
      </c>
    </row>
    <row r="1313" ht="15.75" customHeight="1">
      <c r="A1313" s="13" t="str">
        <f>Raw_Data!A1313</f>
        <v>EMP1377</v>
      </c>
      <c r="B1313" s="13" t="str">
        <f>TRIM(CLEAN(Raw_Data!B1313))</f>
        <v>Customer Support</v>
      </c>
      <c r="C1313" s="18" t="s">
        <v>26</v>
      </c>
      <c r="D1313" s="14" t="str">
        <f>IF(ISBLANK(Raw_Data!D1313),AVERAGE(Raw_Data!D$2:D$5002),Raw_Data!D1313)</f>
        <v>63131.96</v>
      </c>
      <c r="E1313" s="15" t="str">
        <f>IF(ISBLANK(Raw_Data!E1313),AVERAGE(Raw_Data!E$2:E$5002),Raw_Data!E1313)</f>
        <v>20345.09</v>
      </c>
      <c r="F1313" s="15" t="str">
        <f>IF(ISBLANK(Raw_Data!F1313),AVERAGE(Raw_Data!F$2:F$5002),Raw_Data!F1313)</f>
        <v>10746.62</v>
      </c>
      <c r="G1313" s="14" t="str">
        <f>IF(ISBLANK(Raw_Data!G1313),AVERAGE(Raw_Data!G$2:G$5002),Raw_Data!G1313)</f>
        <v>11588.21</v>
      </c>
      <c r="H1313" s="15" t="str">
        <f t="shared" si="1"/>
        <v>94224.00</v>
      </c>
      <c r="I1313" s="14" t="str">
        <f t="shared" si="2"/>
        <v>82636.00</v>
      </c>
      <c r="J1313" s="16" t="str">
        <f>TEXT(Raw_Data!J1313,"MMM-YYY")</f>
        <v>Jan-2025</v>
      </c>
      <c r="K1313" s="13" t="str">
        <f>Raw_Data!K1313</f>
        <v>3</v>
      </c>
      <c r="L1313" s="17" t="str">
        <f>Raw_Data!L1313</f>
        <v>Chandigarh-North</v>
      </c>
      <c r="M1313" s="13" t="str">
        <f t="shared" si="3"/>
        <v>OK</v>
      </c>
      <c r="N1313" s="18" t="str">
        <f t="shared" si="4"/>
        <v>VALID</v>
      </c>
    </row>
    <row r="1314" ht="15.75" customHeight="1">
      <c r="A1314" s="13" t="str">
        <f>Raw_Data!A1314</f>
        <v>EMP1379</v>
      </c>
      <c r="B1314" s="13" t="str">
        <f>TRIM(CLEAN(Raw_Data!B1314))</f>
        <v>Finance</v>
      </c>
      <c r="C1314" s="18" t="s">
        <v>37</v>
      </c>
      <c r="D1314" s="14" t="str">
        <f>IF(ISBLANK(Raw_Data!D1314),AVERAGE(Raw_Data!D$2:D$5002),Raw_Data!D1314)</f>
        <v>63153.72</v>
      </c>
      <c r="E1314" s="15" t="str">
        <f>IF(ISBLANK(Raw_Data!E1314),AVERAGE(Raw_Data!E$2:E$5002),Raw_Data!E1314)</f>
        <v>20354.32</v>
      </c>
      <c r="F1314" s="15" t="str">
        <f>IF(ISBLANK(Raw_Data!F1314),AVERAGE(Raw_Data!F$2:F$5002),Raw_Data!F1314)</f>
        <v>10761.98</v>
      </c>
      <c r="G1314" s="14" t="str">
        <f>IF(ISBLANK(Raw_Data!G1314),AVERAGE(Raw_Data!G$2:G$5002),Raw_Data!G1314)</f>
        <v>11595.00</v>
      </c>
      <c r="H1314" s="15" t="str">
        <f t="shared" si="1"/>
        <v>94270.00</v>
      </c>
      <c r="I1314" s="14" t="str">
        <f t="shared" si="2"/>
        <v>82675.00</v>
      </c>
      <c r="J1314" s="16" t="str">
        <f>TEXT(Raw_Data!J1314,"MMM-YYY")</f>
        <v>Nov-2025</v>
      </c>
      <c r="K1314" s="13" t="str">
        <f>Raw_Data!K1314</f>
        <v>14</v>
      </c>
      <c r="L1314" s="17" t="str">
        <f>Raw_Data!L1314</f>
        <v>Jaipur-North</v>
      </c>
      <c r="M1314" s="13" t="str">
        <f t="shared" si="3"/>
        <v>OK</v>
      </c>
      <c r="N1314" s="18" t="str">
        <f t="shared" si="4"/>
        <v>VALID</v>
      </c>
    </row>
    <row r="1315" ht="15.75" customHeight="1">
      <c r="A1315" s="13" t="str">
        <f>Raw_Data!A1315</f>
        <v>EMP1380</v>
      </c>
      <c r="B1315" s="13" t="str">
        <f>TRIM(CLEAN(Raw_Data!B1315))</f>
        <v>HR</v>
      </c>
      <c r="C1315" s="18" t="s">
        <v>37</v>
      </c>
      <c r="D1315" s="14" t="str">
        <f>IF(ISBLANK(Raw_Data!D1315),AVERAGE(Raw_Data!D$2:D$5002),Raw_Data!D1315)</f>
        <v>63164.61</v>
      </c>
      <c r="E1315" s="15" t="str">
        <f>IF(ISBLANK(Raw_Data!E1315),AVERAGE(Raw_Data!E$2:E$5002),Raw_Data!E1315)</f>
        <v>20358.94</v>
      </c>
      <c r="F1315" s="15" t="str">
        <f>IF(ISBLANK(Raw_Data!F1315),AVERAGE(Raw_Data!F$2:F$5002),Raw_Data!F1315)</f>
        <v>10769.66</v>
      </c>
      <c r="G1315" s="14" t="str">
        <f>IF(ISBLANK(Raw_Data!G1315),AVERAGE(Raw_Data!G$2:G$5002),Raw_Data!G1315)</f>
        <v>11598.40</v>
      </c>
      <c r="H1315" s="15" t="str">
        <f t="shared" si="1"/>
        <v>94293.00</v>
      </c>
      <c r="I1315" s="14" t="str">
        <f t="shared" si="2"/>
        <v>82695.00</v>
      </c>
      <c r="J1315" s="16" t="str">
        <f>TEXT(Raw_Data!J1315,"MMM-YYY")</f>
        <v>Dec-2025</v>
      </c>
      <c r="K1315" s="13" t="str">
        <f>Raw_Data!K1315</f>
        <v>20</v>
      </c>
      <c r="L1315" s="17" t="str">
        <f>Raw_Data!L1315</f>
        <v>Mumbai-HO</v>
      </c>
      <c r="M1315" s="13" t="str">
        <f t="shared" si="3"/>
        <v>OK</v>
      </c>
      <c r="N1315" s="18" t="str">
        <f t="shared" si="4"/>
        <v>VALID</v>
      </c>
    </row>
    <row r="1316" ht="15.75" customHeight="1">
      <c r="A1316" s="13" t="str">
        <f>Raw_Data!A1316</f>
        <v>EMP1381</v>
      </c>
      <c r="B1316" s="13" t="str">
        <f>TRIM(CLEAN(Raw_Data!B1316))</f>
        <v>Finance</v>
      </c>
      <c r="C1316" s="18" t="s">
        <v>14</v>
      </c>
      <c r="D1316" s="14" t="str">
        <f>IF(ISBLANK(Raw_Data!D1316),AVERAGE(Raw_Data!D$2:D$5002),Raw_Data!D1316)</f>
        <v>63175.49</v>
      </c>
      <c r="E1316" s="15" t="str">
        <f>IF(ISBLANK(Raw_Data!E1316),AVERAGE(Raw_Data!E$2:E$5002),Raw_Data!E1316)</f>
        <v>20363.55</v>
      </c>
      <c r="F1316" s="15" t="str">
        <f>IF(ISBLANK(Raw_Data!F1316),AVERAGE(Raw_Data!F$2:F$5002),Raw_Data!F1316)</f>
        <v>10777.34</v>
      </c>
      <c r="G1316" s="14" t="str">
        <f>IF(ISBLANK(Raw_Data!G1316),AVERAGE(Raw_Data!G$2:G$5002),Raw_Data!G1316)</f>
        <v>11601.80</v>
      </c>
      <c r="H1316" s="15" t="str">
        <f t="shared" si="1"/>
        <v>94316.00</v>
      </c>
      <c r="I1316" s="14" t="str">
        <f t="shared" si="2"/>
        <v>82714.00</v>
      </c>
      <c r="J1316" s="16" t="str">
        <f>TEXT(Raw_Data!J1316,"MMM-YYY")</f>
        <v>Sep-2025</v>
      </c>
      <c r="K1316" s="13" t="str">
        <f>Raw_Data!K1316</f>
        <v>5</v>
      </c>
      <c r="L1316" s="17" t="str">
        <f>Raw_Data!L1316</f>
        <v>Delhi-North</v>
      </c>
      <c r="M1316" s="13" t="str">
        <f t="shared" si="3"/>
        <v>OK</v>
      </c>
      <c r="N1316" s="18" t="str">
        <f t="shared" si="4"/>
        <v>VALID</v>
      </c>
    </row>
    <row r="1317" ht="15.75" customHeight="1">
      <c r="A1317" s="13" t="str">
        <f>Raw_Data!A1317</f>
        <v>EMP1382</v>
      </c>
      <c r="B1317" s="13" t="str">
        <f>TRIM(CLEAN(Raw_Data!B1317))</f>
        <v>Marketing</v>
      </c>
      <c r="C1317" s="18" t="s">
        <v>18</v>
      </c>
      <c r="D1317" s="14" t="str">
        <f>IF(ISBLANK(Raw_Data!D1317),AVERAGE(Raw_Data!D$2:D$5002),Raw_Data!D1317)</f>
        <v>63186.37</v>
      </c>
      <c r="E1317" s="15" t="str">
        <f>IF(ISBLANK(Raw_Data!E1317),AVERAGE(Raw_Data!E$2:E$5002),Raw_Data!E1317)</f>
        <v>20368.16</v>
      </c>
      <c r="F1317" s="15" t="str">
        <f>IF(ISBLANK(Raw_Data!F1317),AVERAGE(Raw_Data!F$2:F$5002),Raw_Data!F1317)</f>
        <v>10785.02</v>
      </c>
      <c r="G1317" s="14" t="str">
        <f>IF(ISBLANK(Raw_Data!G1317),AVERAGE(Raw_Data!G$2:G$5002),Raw_Data!G1317)</f>
        <v>11605.19</v>
      </c>
      <c r="H1317" s="15" t="str">
        <f t="shared" si="1"/>
        <v>94340.00</v>
      </c>
      <c r="I1317" s="14" t="str">
        <f t="shared" si="2"/>
        <v>82735.00</v>
      </c>
      <c r="J1317" s="16" t="str">
        <f>TEXT(Raw_Data!J1317,"MMM-YYY")</f>
        <v>Sep-2025</v>
      </c>
      <c r="K1317" s="13" t="str">
        <f>Raw_Data!K1317</f>
        <v>19</v>
      </c>
      <c r="L1317" s="17" t="str">
        <f>Raw_Data!L1317</f>
        <v>Bangalore-South</v>
      </c>
      <c r="M1317" s="13" t="str">
        <f t="shared" si="3"/>
        <v>OK</v>
      </c>
      <c r="N1317" s="18" t="str">
        <f t="shared" si="4"/>
        <v>VALID</v>
      </c>
    </row>
    <row r="1318" ht="15.75" customHeight="1">
      <c r="A1318" s="13" t="str">
        <f>Raw_Data!A1318</f>
        <v>EMP1383</v>
      </c>
      <c r="B1318" s="13" t="str">
        <f>TRIM(CLEAN(Raw_Data!B1318))</f>
        <v>Marketing</v>
      </c>
      <c r="C1318" s="18" t="s">
        <v>33</v>
      </c>
      <c r="D1318" s="14" t="str">
        <f>IF(ISBLANK(Raw_Data!D1318),AVERAGE(Raw_Data!D$2:D$5002),Raw_Data!D1318)</f>
        <v>63197.26</v>
      </c>
      <c r="E1318" s="15" t="str">
        <f>IF(ISBLANK(Raw_Data!E1318),AVERAGE(Raw_Data!E$2:E$5002),Raw_Data!E1318)</f>
        <v>20372.78</v>
      </c>
      <c r="F1318" s="15" t="str">
        <f>IF(ISBLANK(Raw_Data!F1318),AVERAGE(Raw_Data!F$2:F$5002),Raw_Data!F1318)</f>
        <v>10792.70</v>
      </c>
      <c r="G1318" s="14" t="str">
        <f>IF(ISBLANK(Raw_Data!G1318),AVERAGE(Raw_Data!G$2:G$5002),Raw_Data!G1318)</f>
        <v>11608.59</v>
      </c>
      <c r="H1318" s="15" t="str">
        <f t="shared" si="1"/>
        <v>94363.00</v>
      </c>
      <c r="I1318" s="14" t="str">
        <f t="shared" si="2"/>
        <v>82754.00</v>
      </c>
      <c r="J1318" s="16" t="str">
        <f>TEXT(Raw_Data!J1318,"MMM-YYY")</f>
        <v>Apr-2025</v>
      </c>
      <c r="K1318" s="13" t="str">
        <f>Raw_Data!K1318</f>
        <v>6</v>
      </c>
      <c r="L1318" s="17" t="str">
        <f>Raw_Data!L1318</f>
        <v>Chennai-South</v>
      </c>
      <c r="M1318" s="13" t="str">
        <f t="shared" si="3"/>
        <v>OK</v>
      </c>
      <c r="N1318" s="18" t="str">
        <f t="shared" si="4"/>
        <v>VALID</v>
      </c>
    </row>
    <row r="1319" ht="15.75" customHeight="1">
      <c r="A1319" s="13" t="str">
        <f>Raw_Data!A1319</f>
        <v>EMP1384</v>
      </c>
      <c r="B1319" s="13" t="str">
        <f>TRIM(CLEAN(Raw_Data!B1319))</f>
        <v>HR</v>
      </c>
      <c r="C1319" s="18" t="s">
        <v>37</v>
      </c>
      <c r="D1319" s="14" t="str">
        <f>IF(ISBLANK(Raw_Data!D1319),AVERAGE(Raw_Data!D$2:D$5002),Raw_Data!D1319)</f>
        <v>63208.14</v>
      </c>
      <c r="E1319" s="15" t="str">
        <f>IF(ISBLANK(Raw_Data!E1319),AVERAGE(Raw_Data!E$2:E$5002),Raw_Data!E1319)</f>
        <v>20377.39</v>
      </c>
      <c r="F1319" s="15" t="str">
        <f>IF(ISBLANK(Raw_Data!F1319),AVERAGE(Raw_Data!F$2:F$5002),Raw_Data!F1319)</f>
        <v>10800.38</v>
      </c>
      <c r="G1319" s="14" t="str">
        <f>IF(ISBLANK(Raw_Data!G1319),AVERAGE(Raw_Data!G$2:G$5002),Raw_Data!G1319)</f>
        <v>11611.99</v>
      </c>
      <c r="H1319" s="15" t="str">
        <f t="shared" si="1"/>
        <v>94386.00</v>
      </c>
      <c r="I1319" s="14" t="str">
        <f t="shared" si="2"/>
        <v>82774.00</v>
      </c>
      <c r="J1319" s="16" t="str">
        <f>TEXT(Raw_Data!J1319,"MMM-YYY")</f>
        <v>Feb-2025</v>
      </c>
      <c r="K1319" s="13" t="str">
        <f>Raw_Data!K1319</f>
        <v>14</v>
      </c>
      <c r="L1319" s="17" t="str">
        <f>Raw_Data!L1319</f>
        <v>Kolkata-East</v>
      </c>
      <c r="M1319" s="13" t="str">
        <f t="shared" si="3"/>
        <v>OK</v>
      </c>
      <c r="N1319" s="18" t="str">
        <f t="shared" si="4"/>
        <v>VALID</v>
      </c>
    </row>
    <row r="1320" ht="15.75" customHeight="1">
      <c r="A1320" s="13" t="str">
        <f>Raw_Data!A1320</f>
        <v>EMP1385</v>
      </c>
      <c r="B1320" s="13" t="str">
        <f>TRIM(CLEAN(Raw_Data!B1320))</f>
        <v>Sales</v>
      </c>
      <c r="C1320" s="18" t="s">
        <v>14</v>
      </c>
      <c r="D1320" s="14" t="str">
        <f>IF(ISBLANK(Raw_Data!D1320),AVERAGE(Raw_Data!D$2:D$5002),Raw_Data!D1320)</f>
        <v>63219.02</v>
      </c>
      <c r="E1320" s="15" t="str">
        <f>IF(ISBLANK(Raw_Data!E1320),AVERAGE(Raw_Data!E$2:E$5002),Raw_Data!E1320)</f>
        <v>20382.01</v>
      </c>
      <c r="F1320" s="15" t="str">
        <f>IF(ISBLANK(Raw_Data!F1320),AVERAGE(Raw_Data!F$2:F$5002),Raw_Data!F1320)</f>
        <v>10808.06</v>
      </c>
      <c r="G1320" s="14" t="str">
        <f>IF(ISBLANK(Raw_Data!G1320),AVERAGE(Raw_Data!G$2:G$5002),Raw_Data!G1320)</f>
        <v>11615.39</v>
      </c>
      <c r="H1320" s="15" t="str">
        <f t="shared" si="1"/>
        <v>94409.00</v>
      </c>
      <c r="I1320" s="14" t="str">
        <f t="shared" si="2"/>
        <v>82794.00</v>
      </c>
      <c r="J1320" s="16" t="str">
        <f>TEXT(Raw_Data!J1320,"MMM-YYY")</f>
        <v>Jan-2025</v>
      </c>
      <c r="K1320" s="13" t="str">
        <f>Raw_Data!K1320</f>
        <v>20</v>
      </c>
      <c r="L1320" s="17" t="str">
        <f>Raw_Data!L1320</f>
        <v>Pune-West</v>
      </c>
      <c r="M1320" s="13" t="str">
        <f t="shared" si="3"/>
        <v>OK</v>
      </c>
      <c r="N1320" s="18" t="str">
        <f t="shared" si="4"/>
        <v>VALID</v>
      </c>
    </row>
    <row r="1321" ht="15.75" customHeight="1">
      <c r="A1321" s="13" t="str">
        <f>Raw_Data!A1321</f>
        <v>EMP1386</v>
      </c>
      <c r="B1321" s="13" t="str">
        <f>TRIM(CLEAN(Raw_Data!B1321))</f>
        <v>Marketing</v>
      </c>
      <c r="C1321" s="18" t="s">
        <v>30</v>
      </c>
      <c r="D1321" s="14" t="str">
        <f>IF(ISBLANK(Raw_Data!D1321),AVERAGE(Raw_Data!D$2:D$5002),Raw_Data!D1321)</f>
        <v>63229.91</v>
      </c>
      <c r="E1321" s="15" t="str">
        <f>IF(ISBLANK(Raw_Data!E1321),AVERAGE(Raw_Data!E$2:E$5002),Raw_Data!E1321)</f>
        <v>20386.62</v>
      </c>
      <c r="F1321" s="15" t="str">
        <f>IF(ISBLANK(Raw_Data!F1321),AVERAGE(Raw_Data!F$2:F$5002),Raw_Data!F1321)</f>
        <v>10815.74</v>
      </c>
      <c r="G1321" s="14" t="str">
        <f>IF(ISBLANK(Raw_Data!G1321),AVERAGE(Raw_Data!G$2:G$5002),Raw_Data!G1321)</f>
        <v>11618.78</v>
      </c>
      <c r="H1321" s="15" t="str">
        <f t="shared" si="1"/>
        <v>94432.00</v>
      </c>
      <c r="I1321" s="14" t="str">
        <f t="shared" si="2"/>
        <v>82813.00</v>
      </c>
      <c r="J1321" s="16" t="str">
        <f>TEXT(Raw_Data!J1321,"MMM-YYY")</f>
        <v>Oct-2025</v>
      </c>
      <c r="K1321" s="13" t="str">
        <f>Raw_Data!K1321</f>
        <v>12</v>
      </c>
      <c r="L1321" s="17" t="str">
        <f>Raw_Data!L1321</f>
        <v>Hyderabad-South</v>
      </c>
      <c r="M1321" s="13" t="str">
        <f t="shared" si="3"/>
        <v>OK</v>
      </c>
      <c r="N1321" s="18" t="str">
        <f t="shared" si="4"/>
        <v>VALID</v>
      </c>
    </row>
    <row r="1322" ht="15.75" customHeight="1">
      <c r="A1322" s="13" t="str">
        <f>Raw_Data!A1322</f>
        <v>EMP1387</v>
      </c>
      <c r="B1322" s="13" t="str">
        <f>TRIM(CLEAN(Raw_Data!B1322))</f>
        <v>IT</v>
      </c>
      <c r="C1322" s="18" t="s">
        <v>33</v>
      </c>
      <c r="D1322" s="14" t="str">
        <f>IF(ISBLANK(Raw_Data!D1322),AVERAGE(Raw_Data!D$2:D$5002),Raw_Data!D1322)</f>
        <v>63240.79</v>
      </c>
      <c r="E1322" s="15" t="str">
        <f>IF(ISBLANK(Raw_Data!E1322),AVERAGE(Raw_Data!E$2:E$5002),Raw_Data!E1322)</f>
        <v>20391.24</v>
      </c>
      <c r="F1322" s="15" t="str">
        <f>IF(ISBLANK(Raw_Data!F1322),AVERAGE(Raw_Data!F$2:F$5002),Raw_Data!F1322)</f>
        <v>10823.42</v>
      </c>
      <c r="G1322" s="14" t="str">
        <f>IF(ISBLANK(Raw_Data!G1322),AVERAGE(Raw_Data!G$2:G$5002),Raw_Data!G1322)</f>
        <v>11622.18</v>
      </c>
      <c r="H1322" s="15" t="str">
        <f t="shared" si="1"/>
        <v>94455.00</v>
      </c>
      <c r="I1322" s="14" t="str">
        <f t="shared" si="2"/>
        <v>82833.00</v>
      </c>
      <c r="J1322" s="16" t="str">
        <f>TEXT(Raw_Data!J1322,"MMM-YYY")</f>
        <v>Jul-2025</v>
      </c>
      <c r="K1322" s="13" t="str">
        <f>Raw_Data!K1322</f>
        <v>12</v>
      </c>
      <c r="L1322" s="17" t="str">
        <f>Raw_Data!L1322</f>
        <v>Chandigarh-North</v>
      </c>
      <c r="M1322" s="13" t="str">
        <f t="shared" si="3"/>
        <v>OK</v>
      </c>
      <c r="N1322" s="18" t="str">
        <f t="shared" si="4"/>
        <v>VALID</v>
      </c>
    </row>
    <row r="1323" ht="15.75" customHeight="1">
      <c r="A1323" s="13" t="str">
        <f>Raw_Data!A1323</f>
        <v>EMP1388</v>
      </c>
      <c r="B1323" s="13" t="str">
        <f>TRIM(CLEAN(Raw_Data!B1323))</f>
        <v>Sales</v>
      </c>
      <c r="C1323" s="18" t="s">
        <v>26</v>
      </c>
      <c r="D1323" s="14" t="str">
        <f>IF(ISBLANK(Raw_Data!D1323),AVERAGE(Raw_Data!D$2:D$5002),Raw_Data!D1323)</f>
        <v>63251.67</v>
      </c>
      <c r="E1323" s="15" t="str">
        <f>IF(ISBLANK(Raw_Data!E1323),AVERAGE(Raw_Data!E$2:E$5002),Raw_Data!E1323)</f>
        <v>20395.85</v>
      </c>
      <c r="F1323" s="15" t="str">
        <f>IF(ISBLANK(Raw_Data!F1323),AVERAGE(Raw_Data!F$2:F$5002),Raw_Data!F1323)</f>
        <v>10831.10</v>
      </c>
      <c r="G1323" s="14" t="str">
        <f>IF(ISBLANK(Raw_Data!G1323),AVERAGE(Raw_Data!G$2:G$5002),Raw_Data!G1323)</f>
        <v>11625.58</v>
      </c>
      <c r="H1323" s="15" t="str">
        <f t="shared" si="1"/>
        <v>94479.00</v>
      </c>
      <c r="I1323" s="14" t="str">
        <f t="shared" si="2"/>
        <v>82853.00</v>
      </c>
      <c r="J1323" s="16" t="str">
        <f>TEXT(Raw_Data!J1323,"MMM-YYY")</f>
        <v>Aug-2025</v>
      </c>
      <c r="K1323" s="13" t="str">
        <f>Raw_Data!K1323</f>
        <v>24</v>
      </c>
      <c r="L1323" s="17" t="str">
        <f>Raw_Data!L1323</f>
        <v>Ahmedabad-West</v>
      </c>
      <c r="M1323" s="13" t="str">
        <f t="shared" si="3"/>
        <v>OK</v>
      </c>
      <c r="N1323" s="18" t="str">
        <f t="shared" si="4"/>
        <v>VALID</v>
      </c>
    </row>
    <row r="1324" ht="15.75" customHeight="1">
      <c r="A1324" s="13" t="str">
        <f>Raw_Data!A1324</f>
        <v>EMP1389</v>
      </c>
      <c r="B1324" s="13" t="str">
        <f>TRIM(CLEAN(Raw_Data!B1324))</f>
        <v>Operations</v>
      </c>
      <c r="C1324" s="18" t="s">
        <v>18</v>
      </c>
      <c r="D1324" s="14" t="str">
        <f>IF(ISBLANK(Raw_Data!D1324),AVERAGE(Raw_Data!D$2:D$5002),Raw_Data!D1324)</f>
        <v>63262.55</v>
      </c>
      <c r="E1324" s="15" t="str">
        <f>IF(ISBLANK(Raw_Data!E1324),AVERAGE(Raw_Data!E$2:E$5002),Raw_Data!E1324)</f>
        <v>20400.47</v>
      </c>
      <c r="F1324" s="15" t="str">
        <f>IF(ISBLANK(Raw_Data!F1324),AVERAGE(Raw_Data!F$2:F$5002),Raw_Data!F1324)</f>
        <v>10838.78</v>
      </c>
      <c r="G1324" s="14" t="str">
        <f>IF(ISBLANK(Raw_Data!G1324),AVERAGE(Raw_Data!G$2:G$5002),Raw_Data!G1324)</f>
        <v>14562.73</v>
      </c>
      <c r="H1324" s="15" t="str">
        <f t="shared" si="1"/>
        <v>94502.00</v>
      </c>
      <c r="I1324" s="14" t="str">
        <f t="shared" si="2"/>
        <v>79939.00</v>
      </c>
      <c r="J1324" s="16" t="str">
        <f>TEXT(Raw_Data!J1324,"MMM-YYY")</f>
        <v>Aug-2025</v>
      </c>
      <c r="K1324" s="13" t="str">
        <f>Raw_Data!K1324</f>
        <v>14</v>
      </c>
      <c r="L1324" s="17" t="str">
        <f>Raw_Data!L1324</f>
        <v>Jaipur-North</v>
      </c>
      <c r="M1324" s="13" t="str">
        <f t="shared" si="3"/>
        <v>OK</v>
      </c>
      <c r="N1324" s="18" t="str">
        <f t="shared" si="4"/>
        <v>VALID</v>
      </c>
    </row>
    <row r="1325" ht="15.75" customHeight="1">
      <c r="A1325" s="13" t="str">
        <f>Raw_Data!A1325</f>
        <v>EMP1390</v>
      </c>
      <c r="B1325" s="13" t="str">
        <f>TRIM(CLEAN(Raw_Data!B1325))</f>
        <v>Sales</v>
      </c>
      <c r="C1325" s="18" t="s">
        <v>33</v>
      </c>
      <c r="D1325" s="14" t="str">
        <f>IF(ISBLANK(Raw_Data!D1325),AVERAGE(Raw_Data!D$2:D$5002),Raw_Data!D1325)</f>
        <v>63273.44</v>
      </c>
      <c r="E1325" s="15" t="str">
        <f>IF(ISBLANK(Raw_Data!E1325),AVERAGE(Raw_Data!E$2:E$5002),Raw_Data!E1325)</f>
        <v>20405.08</v>
      </c>
      <c r="F1325" s="15" t="str">
        <f>IF(ISBLANK(Raw_Data!F1325),AVERAGE(Raw_Data!F$2:F$5002),Raw_Data!F1325)</f>
        <v>10846.46</v>
      </c>
      <c r="G1325" s="14" t="str">
        <f>IF(ISBLANK(Raw_Data!G1325),AVERAGE(Raw_Data!G$2:G$5002),Raw_Data!G1325)</f>
        <v>11632.37</v>
      </c>
      <c r="H1325" s="15" t="str">
        <f t="shared" si="1"/>
        <v>94525.00</v>
      </c>
      <c r="I1325" s="14" t="str">
        <f t="shared" si="2"/>
        <v>82893.00</v>
      </c>
      <c r="J1325" s="16" t="str">
        <f>TEXT(Raw_Data!J1325,"MMM-YYY")</f>
        <v>Oct-2025</v>
      </c>
      <c r="K1325" s="13" t="str">
        <f>Raw_Data!K1325</f>
        <v>17</v>
      </c>
      <c r="L1325" s="17" t="str">
        <f>Raw_Data!L1325</f>
        <v>Mumbai-HO</v>
      </c>
      <c r="M1325" s="13" t="str">
        <f t="shared" si="3"/>
        <v>OK</v>
      </c>
      <c r="N1325" s="18" t="str">
        <f t="shared" si="4"/>
        <v>VALID</v>
      </c>
    </row>
    <row r="1326" ht="15.75" customHeight="1">
      <c r="A1326" s="13" t="str">
        <f>Raw_Data!A1326</f>
        <v>EMP1391</v>
      </c>
      <c r="B1326" s="13" t="str">
        <f>TRIM(CLEAN(Raw_Data!B1326))</f>
        <v>IT</v>
      </c>
      <c r="C1326" s="18" t="s">
        <v>18</v>
      </c>
      <c r="D1326" s="14" t="str">
        <f>IF(ISBLANK(Raw_Data!D1326),AVERAGE(Raw_Data!D$2:D$5002),Raw_Data!D1326)</f>
        <v>63284.32</v>
      </c>
      <c r="E1326" s="15" t="str">
        <f>IF(ISBLANK(Raw_Data!E1326),AVERAGE(Raw_Data!E$2:E$5002),Raw_Data!E1326)</f>
        <v>20409.70</v>
      </c>
      <c r="F1326" s="15" t="str">
        <f>IF(ISBLANK(Raw_Data!F1326),AVERAGE(Raw_Data!F$2:F$5002),Raw_Data!F1326)</f>
        <v>10854.14</v>
      </c>
      <c r="G1326" s="14" t="str">
        <f>IF(ISBLANK(Raw_Data!G1326),AVERAGE(Raw_Data!G$2:G$5002),Raw_Data!G1326)</f>
        <v>11635.77</v>
      </c>
      <c r="H1326" s="15" t="str">
        <f t="shared" si="1"/>
        <v>94548.00</v>
      </c>
      <c r="I1326" s="14" t="str">
        <f t="shared" si="2"/>
        <v>82912.00</v>
      </c>
      <c r="J1326" s="16" t="str">
        <f>TEXT(Raw_Data!J1326,"MMM-YYY")</f>
        <v>May-2025</v>
      </c>
      <c r="K1326" s="13" t="str">
        <f>Raw_Data!K1326</f>
        <v>17</v>
      </c>
      <c r="L1326" s="17" t="str">
        <f>Raw_Data!L1326</f>
        <v>Delhi-North</v>
      </c>
      <c r="M1326" s="13" t="str">
        <f t="shared" si="3"/>
        <v>OK</v>
      </c>
      <c r="N1326" s="18" t="str">
        <f t="shared" si="4"/>
        <v>VALID</v>
      </c>
    </row>
    <row r="1327" ht="15.75" customHeight="1">
      <c r="A1327" s="13" t="str">
        <f>Raw_Data!A1327</f>
        <v>EMP1392</v>
      </c>
      <c r="B1327" s="13" t="str">
        <f>TRIM(CLEAN(Raw_Data!B1327))</f>
        <v>IT</v>
      </c>
      <c r="C1327" s="18" t="s">
        <v>18</v>
      </c>
      <c r="D1327" s="14" t="str">
        <f>IF(ISBLANK(Raw_Data!D1327),AVERAGE(Raw_Data!D$2:D$5002),Raw_Data!D1327)</f>
        <v>63295.20</v>
      </c>
      <c r="E1327" s="15" t="str">
        <f>IF(ISBLANK(Raw_Data!E1327),AVERAGE(Raw_Data!E$2:E$5002),Raw_Data!E1327)</f>
        <v>20414.31</v>
      </c>
      <c r="F1327" s="15" t="str">
        <f>IF(ISBLANK(Raw_Data!F1327),AVERAGE(Raw_Data!F$2:F$5002),Raw_Data!F1327)</f>
        <v>10861.82</v>
      </c>
      <c r="G1327" s="14" t="str">
        <f>IF(ISBLANK(Raw_Data!G1327),AVERAGE(Raw_Data!G$2:G$5002),Raw_Data!G1327)</f>
        <v>11639.17</v>
      </c>
      <c r="H1327" s="15" t="str">
        <f t="shared" si="1"/>
        <v>94571.00</v>
      </c>
      <c r="I1327" s="14" t="str">
        <f t="shared" si="2"/>
        <v>82932.00</v>
      </c>
      <c r="J1327" s="16" t="str">
        <f>TEXT(Raw_Data!J1327,"MMM-YYY")</f>
        <v>Jun-2025</v>
      </c>
      <c r="K1327" s="13" t="str">
        <f>Raw_Data!K1327</f>
        <v>12</v>
      </c>
      <c r="L1327" s="17" t="str">
        <f>Raw_Data!L1327</f>
        <v>Bangalore-South</v>
      </c>
      <c r="M1327" s="13" t="str">
        <f t="shared" si="3"/>
        <v>OK</v>
      </c>
      <c r="N1327" s="18" t="str">
        <f t="shared" si="4"/>
        <v>VALID</v>
      </c>
    </row>
    <row r="1328" ht="15.75" customHeight="1">
      <c r="A1328" s="13" t="str">
        <f>Raw_Data!A1328</f>
        <v>EMP1393</v>
      </c>
      <c r="B1328" s="13" t="str">
        <f>TRIM(CLEAN(Raw_Data!B1328))</f>
        <v>Finance</v>
      </c>
      <c r="C1328" s="18" t="s">
        <v>54</v>
      </c>
      <c r="D1328" s="14" t="str">
        <f>IF(ISBLANK(Raw_Data!D1328),AVERAGE(Raw_Data!D$2:D$5002),Raw_Data!D1328)</f>
        <v>63306.09</v>
      </c>
      <c r="E1328" s="15" t="str">
        <f>IF(ISBLANK(Raw_Data!E1328),AVERAGE(Raw_Data!E$2:E$5002),Raw_Data!E1328)</f>
        <v>20418.93</v>
      </c>
      <c r="F1328" s="15" t="str">
        <f>IF(ISBLANK(Raw_Data!F1328),AVERAGE(Raw_Data!F$2:F$5002),Raw_Data!F1328)</f>
        <v>10869.50</v>
      </c>
      <c r="G1328" s="14" t="str">
        <f>IF(ISBLANK(Raw_Data!G1328),AVERAGE(Raw_Data!G$2:G$5002),Raw_Data!G1328)</f>
        <v>11642.57</v>
      </c>
      <c r="H1328" s="15" t="str">
        <f t="shared" si="1"/>
        <v>94595.00</v>
      </c>
      <c r="I1328" s="14" t="str">
        <f t="shared" si="2"/>
        <v>82952.00</v>
      </c>
      <c r="J1328" s="16" t="str">
        <f>TEXT(Raw_Data!J1328,"MMM-YYY")</f>
        <v>Nov-2025</v>
      </c>
      <c r="K1328" s="13" t="str">
        <f>Raw_Data!K1328</f>
        <v>19</v>
      </c>
      <c r="L1328" s="17" t="str">
        <f>Raw_Data!L1328</f>
        <v>Chennai-South</v>
      </c>
      <c r="M1328" s="13" t="str">
        <f t="shared" si="3"/>
        <v>OK</v>
      </c>
      <c r="N1328" s="18" t="str">
        <f t="shared" si="4"/>
        <v>VALID</v>
      </c>
    </row>
    <row r="1329" ht="15.75" customHeight="1">
      <c r="A1329" s="13" t="str">
        <f>Raw_Data!A1329</f>
        <v>EMP1394</v>
      </c>
      <c r="B1329" s="13" t="str">
        <f>TRIM(CLEAN(Raw_Data!B1329))</f>
        <v>Operations</v>
      </c>
      <c r="C1329" s="18" t="s">
        <v>33</v>
      </c>
      <c r="D1329" s="14" t="str">
        <f>IF(ISBLANK(Raw_Data!D1329),AVERAGE(Raw_Data!D$2:D$5002),Raw_Data!D1329)</f>
        <v>63316.97</v>
      </c>
      <c r="E1329" s="15" t="str">
        <f>IF(ISBLANK(Raw_Data!E1329),AVERAGE(Raw_Data!E$2:E$5002),Raw_Data!E1329)</f>
        <v>20423.54</v>
      </c>
      <c r="F1329" s="15" t="str">
        <f>IF(ISBLANK(Raw_Data!F1329),AVERAGE(Raw_Data!F$2:F$5002),Raw_Data!F1329)</f>
        <v>10877.18</v>
      </c>
      <c r="G1329" s="14" t="str">
        <f>IF(ISBLANK(Raw_Data!G1329),AVERAGE(Raw_Data!G$2:G$5002),Raw_Data!G1329)</f>
        <v>11645.96</v>
      </c>
      <c r="H1329" s="15" t="str">
        <f t="shared" si="1"/>
        <v>94618.00</v>
      </c>
      <c r="I1329" s="14" t="str">
        <f t="shared" si="2"/>
        <v>82972.00</v>
      </c>
      <c r="J1329" s="16" t="str">
        <f>TEXT(Raw_Data!J1329,"MMM-YYY")</f>
        <v>Jan-2025</v>
      </c>
      <c r="K1329" s="13" t="str">
        <f>Raw_Data!K1329</f>
        <v>16</v>
      </c>
      <c r="L1329" s="17" t="str">
        <f>Raw_Data!L1329</f>
        <v>Kolkata-East</v>
      </c>
      <c r="M1329" s="13" t="str">
        <f t="shared" si="3"/>
        <v>OK</v>
      </c>
      <c r="N1329" s="18" t="str">
        <f t="shared" si="4"/>
        <v>VALID</v>
      </c>
    </row>
    <row r="1330" ht="15.75" customHeight="1">
      <c r="A1330" s="13" t="str">
        <f>Raw_Data!A1330</f>
        <v>EMP1395</v>
      </c>
      <c r="B1330" s="13" t="str">
        <f>TRIM(CLEAN(Raw_Data!B1330))</f>
        <v>Marketing</v>
      </c>
      <c r="C1330" s="18" t="s">
        <v>33</v>
      </c>
      <c r="D1330" s="14" t="str">
        <f>IF(ISBLANK(Raw_Data!D1330),AVERAGE(Raw_Data!D$2:D$5002),Raw_Data!D1330)</f>
        <v>63327.85</v>
      </c>
      <c r="E1330" s="15" t="str">
        <f>IF(ISBLANK(Raw_Data!E1330),AVERAGE(Raw_Data!E$2:E$5002),Raw_Data!E1330)</f>
        <v>20428.16</v>
      </c>
      <c r="F1330" s="15" t="str">
        <f>IF(ISBLANK(Raw_Data!F1330),AVERAGE(Raw_Data!F$2:F$5002),Raw_Data!F1330)</f>
        <v>10884.86</v>
      </c>
      <c r="G1330" s="14" t="str">
        <f>IF(ISBLANK(Raw_Data!G1330),AVERAGE(Raw_Data!G$2:G$5002),Raw_Data!G1330)</f>
        <v>11649.36</v>
      </c>
      <c r="H1330" s="15" t="str">
        <f t="shared" si="1"/>
        <v>94641.00</v>
      </c>
      <c r="I1330" s="14" t="str">
        <f t="shared" si="2"/>
        <v>82992.00</v>
      </c>
      <c r="J1330" s="16" t="str">
        <f>TEXT(Raw_Data!J1330,"MMM-YYY")</f>
        <v>Apr-2025</v>
      </c>
      <c r="K1330" s="13" t="str">
        <f>Raw_Data!K1330</f>
        <v>24</v>
      </c>
      <c r="L1330" s="17" t="str">
        <f>Raw_Data!L1330</f>
        <v>Pune-West</v>
      </c>
      <c r="M1330" s="13" t="str">
        <f t="shared" si="3"/>
        <v>OK</v>
      </c>
      <c r="N1330" s="18" t="str">
        <f t="shared" si="4"/>
        <v>VALID</v>
      </c>
    </row>
    <row r="1331" ht="15.75" customHeight="1">
      <c r="A1331" s="13" t="str">
        <f>Raw_Data!A1331</f>
        <v>EMP1397</v>
      </c>
      <c r="B1331" s="13" t="str">
        <f>TRIM(CLEAN(Raw_Data!B1331))</f>
        <v>Operations</v>
      </c>
      <c r="C1331" s="18" t="s">
        <v>26</v>
      </c>
      <c r="D1331" s="14" t="str">
        <f>IF(ISBLANK(Raw_Data!D1331),AVERAGE(Raw_Data!D$2:D$5002),Raw_Data!D1331)</f>
        <v>63349.62</v>
      </c>
      <c r="E1331" s="15" t="str">
        <f>IF(ISBLANK(Raw_Data!E1331),AVERAGE(Raw_Data!E$2:E$5002),Raw_Data!E1331)</f>
        <v>20437.39</v>
      </c>
      <c r="F1331" s="15" t="str">
        <f>IF(ISBLANK(Raw_Data!F1331),AVERAGE(Raw_Data!F$2:F$5002),Raw_Data!F1331)</f>
        <v>10900.22</v>
      </c>
      <c r="G1331" s="14" t="str">
        <f>IF(ISBLANK(Raw_Data!G1331),AVERAGE(Raw_Data!G$2:G$5002),Raw_Data!G1331)</f>
        <v>11656.16</v>
      </c>
      <c r="H1331" s="15" t="str">
        <f t="shared" si="1"/>
        <v>94687.00</v>
      </c>
      <c r="I1331" s="14" t="str">
        <f t="shared" si="2"/>
        <v>83031.00</v>
      </c>
      <c r="J1331" s="16" t="str">
        <f>TEXT(Raw_Data!J1331,"MMM-YYY")</f>
        <v>Feb-2025</v>
      </c>
      <c r="K1331" s="13" t="str">
        <f>Raw_Data!K1331</f>
        <v>15</v>
      </c>
      <c r="L1331" s="17" t="str">
        <f>Raw_Data!L1331</f>
        <v>Chandigarh-North</v>
      </c>
      <c r="M1331" s="13" t="str">
        <f t="shared" si="3"/>
        <v>OK</v>
      </c>
      <c r="N1331" s="18" t="str">
        <f t="shared" si="4"/>
        <v>VALID</v>
      </c>
    </row>
    <row r="1332" ht="15.75" customHeight="1">
      <c r="A1332" s="13" t="str">
        <f>Raw_Data!A1332</f>
        <v>EMP1398</v>
      </c>
      <c r="B1332" s="13" t="str">
        <f>TRIM(CLEAN(Raw_Data!B1332))</f>
        <v>Customer Support</v>
      </c>
      <c r="C1332" s="18" t="s">
        <v>18</v>
      </c>
      <c r="D1332" s="14" t="str">
        <f>IF(ISBLANK(Raw_Data!D1332),AVERAGE(Raw_Data!D$2:D$5002),Raw_Data!D1332)</f>
        <v>63360.50</v>
      </c>
      <c r="E1332" s="15" t="str">
        <f>IF(ISBLANK(Raw_Data!E1332),AVERAGE(Raw_Data!E$2:E$5002),Raw_Data!E1332)</f>
        <v>20442.00</v>
      </c>
      <c r="F1332" s="15" t="str">
        <f>IF(ISBLANK(Raw_Data!F1332),AVERAGE(Raw_Data!F$2:F$5002),Raw_Data!F1332)</f>
        <v>10907.90</v>
      </c>
      <c r="G1332" s="14" t="str">
        <f>IF(ISBLANK(Raw_Data!G1332),AVERAGE(Raw_Data!G$2:G$5002),Raw_Data!G1332)</f>
        <v>11659.55</v>
      </c>
      <c r="H1332" s="15" t="str">
        <f t="shared" si="1"/>
        <v>94710.00</v>
      </c>
      <c r="I1332" s="14" t="str">
        <f t="shared" si="2"/>
        <v>83050.00</v>
      </c>
      <c r="J1332" s="16" t="str">
        <f>TEXT(Raw_Data!J1332,"MMM-YYY")</f>
        <v>Jun-2025</v>
      </c>
      <c r="K1332" s="13" t="str">
        <f>Raw_Data!K1332</f>
        <v>4</v>
      </c>
      <c r="L1332" s="17" t="str">
        <f>Raw_Data!L1332</f>
        <v>Ahmedabad-West</v>
      </c>
      <c r="M1332" s="13" t="str">
        <f t="shared" si="3"/>
        <v>OK</v>
      </c>
      <c r="N1332" s="18" t="str">
        <f t="shared" si="4"/>
        <v>VALID</v>
      </c>
    </row>
    <row r="1333" ht="15.75" customHeight="1">
      <c r="A1333" s="13" t="str">
        <f>Raw_Data!A1333</f>
        <v>EMP1399</v>
      </c>
      <c r="B1333" s="13" t="str">
        <f>TRIM(CLEAN(Raw_Data!B1333))</f>
        <v>Sales</v>
      </c>
      <c r="C1333" s="18" t="s">
        <v>18</v>
      </c>
      <c r="D1333" s="14" t="str">
        <f>IF(ISBLANK(Raw_Data!D1333),AVERAGE(Raw_Data!D$2:D$5002),Raw_Data!D1333)</f>
        <v>63371.38</v>
      </c>
      <c r="E1333" s="15" t="str">
        <f>IF(ISBLANK(Raw_Data!E1333),AVERAGE(Raw_Data!E$2:E$5002),Raw_Data!E1333)</f>
        <v>20446.62</v>
      </c>
      <c r="F1333" s="15" t="str">
        <f>IF(ISBLANK(Raw_Data!F1333),AVERAGE(Raw_Data!F$2:F$5002),Raw_Data!F1333)</f>
        <v>10915.58</v>
      </c>
      <c r="G1333" s="14" t="str">
        <f>IF(ISBLANK(Raw_Data!G1333),AVERAGE(Raw_Data!G$2:G$5002),Raw_Data!G1333)</f>
        <v>11662.95</v>
      </c>
      <c r="H1333" s="15" t="str">
        <f t="shared" si="1"/>
        <v>94734.00</v>
      </c>
      <c r="I1333" s="14" t="str">
        <f t="shared" si="2"/>
        <v>83071.00</v>
      </c>
      <c r="J1333" s="16" t="str">
        <f>TEXT(Raw_Data!J1333,"MMM-YYY")</f>
        <v>Mar-2025</v>
      </c>
      <c r="K1333" s="13" t="str">
        <f>Raw_Data!K1333</f>
        <v>15</v>
      </c>
      <c r="L1333" s="17" t="str">
        <f>Raw_Data!L1333</f>
        <v>Jaipur-North</v>
      </c>
      <c r="M1333" s="13" t="str">
        <f t="shared" si="3"/>
        <v>OK</v>
      </c>
      <c r="N1333" s="18" t="str">
        <f t="shared" si="4"/>
        <v>VALID</v>
      </c>
    </row>
    <row r="1334" ht="15.75" customHeight="1">
      <c r="A1334" s="13" t="str">
        <f>Raw_Data!A1334</f>
        <v>EMP1400</v>
      </c>
      <c r="B1334" s="13" t="str">
        <f>TRIM(CLEAN(Raw_Data!B1334))</f>
        <v>Sales</v>
      </c>
      <c r="C1334" s="18" t="s">
        <v>30</v>
      </c>
      <c r="D1334" s="14" t="str">
        <f>IF(ISBLANK(Raw_Data!D1334),AVERAGE(Raw_Data!D$2:D$5002),Raw_Data!D1334)</f>
        <v>63382.27</v>
      </c>
      <c r="E1334" s="15" t="str">
        <f>IF(ISBLANK(Raw_Data!E1334),AVERAGE(Raw_Data!E$2:E$5002),Raw_Data!E1334)</f>
        <v>20451.23</v>
      </c>
      <c r="F1334" s="15" t="str">
        <f>IF(ISBLANK(Raw_Data!F1334),AVERAGE(Raw_Data!F$2:F$5002),Raw_Data!F1334)</f>
        <v>10923.26</v>
      </c>
      <c r="G1334" s="14" t="str">
        <f>IF(ISBLANK(Raw_Data!G1334),AVERAGE(Raw_Data!G$2:G$5002),Raw_Data!G1334)</f>
        <v>11666.35</v>
      </c>
      <c r="H1334" s="15" t="str">
        <f t="shared" si="1"/>
        <v>94757.00</v>
      </c>
      <c r="I1334" s="14" t="str">
        <f t="shared" si="2"/>
        <v>83091.00</v>
      </c>
      <c r="J1334" s="16" t="str">
        <f>TEXT(Raw_Data!J1334,"MMM-YYY")</f>
        <v>Sep-2025</v>
      </c>
      <c r="K1334" s="13" t="str">
        <f>Raw_Data!K1334</f>
        <v>9</v>
      </c>
      <c r="L1334" s="17" t="str">
        <f>Raw_Data!L1334</f>
        <v>Mumbai-HO</v>
      </c>
      <c r="M1334" s="13" t="str">
        <f t="shared" si="3"/>
        <v>OK</v>
      </c>
      <c r="N1334" s="18" t="str">
        <f t="shared" si="4"/>
        <v>VALID</v>
      </c>
    </row>
    <row r="1335" ht="15.75" customHeight="1">
      <c r="A1335" s="13" t="str">
        <f>Raw_Data!A1335</f>
        <v>EMP1401</v>
      </c>
      <c r="B1335" s="13" t="str">
        <f>TRIM(CLEAN(Raw_Data!B1335))</f>
        <v>Finance</v>
      </c>
      <c r="C1335" s="18" t="s">
        <v>30</v>
      </c>
      <c r="D1335" s="14" t="str">
        <f>IF(ISBLANK(Raw_Data!D1335),AVERAGE(Raw_Data!D$2:D$5002),Raw_Data!D1335)</f>
        <v>63393.15</v>
      </c>
      <c r="E1335" s="15" t="str">
        <f>IF(ISBLANK(Raw_Data!E1335),AVERAGE(Raw_Data!E$2:E$5002),Raw_Data!E1335)</f>
        <v>20455.84</v>
      </c>
      <c r="F1335" s="15" t="str">
        <f>IF(ISBLANK(Raw_Data!F1335),AVERAGE(Raw_Data!F$2:F$5002),Raw_Data!F1335)</f>
        <v>10930.94</v>
      </c>
      <c r="G1335" s="14" t="str">
        <f>IF(ISBLANK(Raw_Data!G1335),AVERAGE(Raw_Data!G$2:G$5002),Raw_Data!G1335)</f>
        <v>11669.75</v>
      </c>
      <c r="H1335" s="15" t="str">
        <f t="shared" si="1"/>
        <v>94780.00</v>
      </c>
      <c r="I1335" s="14" t="str">
        <f t="shared" si="2"/>
        <v>83110.00</v>
      </c>
      <c r="J1335" s="16" t="str">
        <f>TEXT(Raw_Data!J1335,"MMM-YYY")</f>
        <v>May-2025</v>
      </c>
      <c r="K1335" s="13" t="str">
        <f>Raw_Data!K1335</f>
        <v>21</v>
      </c>
      <c r="L1335" s="17" t="str">
        <f>Raw_Data!L1335</f>
        <v>Delhi-North</v>
      </c>
      <c r="M1335" s="13" t="str">
        <f t="shared" si="3"/>
        <v>OK</v>
      </c>
      <c r="N1335" s="18" t="str">
        <f t="shared" si="4"/>
        <v>VALID</v>
      </c>
    </row>
    <row r="1336" ht="15.75" customHeight="1">
      <c r="A1336" s="13" t="str">
        <f>Raw_Data!A1336</f>
        <v>EMP1402</v>
      </c>
      <c r="B1336" s="13" t="str">
        <f>TRIM(CLEAN(Raw_Data!B1336))</f>
        <v>IT</v>
      </c>
      <c r="C1336" s="18" t="s">
        <v>26</v>
      </c>
      <c r="D1336" s="14" t="str">
        <f>IF(ISBLANK(Raw_Data!D1336),AVERAGE(Raw_Data!D$2:D$5002),Raw_Data!D1336)</f>
        <v>63404.03</v>
      </c>
      <c r="E1336" s="15" t="str">
        <f>IF(ISBLANK(Raw_Data!E1336),AVERAGE(Raw_Data!E$2:E$5002),Raw_Data!E1336)</f>
        <v>20460.46</v>
      </c>
      <c r="F1336" s="15" t="str">
        <f>IF(ISBLANK(Raw_Data!F1336),AVERAGE(Raw_Data!F$2:F$5002),Raw_Data!F1336)</f>
        <v>10938.62</v>
      </c>
      <c r="G1336" s="14" t="str">
        <f>IF(ISBLANK(Raw_Data!G1336),AVERAGE(Raw_Data!G$2:G$5002),Raw_Data!G1336)</f>
        <v>11673.14</v>
      </c>
      <c r="H1336" s="15" t="str">
        <f t="shared" si="1"/>
        <v>94803.00</v>
      </c>
      <c r="I1336" s="14" t="str">
        <f t="shared" si="2"/>
        <v>83130.00</v>
      </c>
      <c r="J1336" s="16" t="str">
        <f>TEXT(Raw_Data!J1336,"MMM-YYY")</f>
        <v>Mar-2025</v>
      </c>
      <c r="K1336" s="13" t="str">
        <f>Raw_Data!K1336</f>
        <v>18</v>
      </c>
      <c r="L1336" s="17" t="str">
        <f>Raw_Data!L1336</f>
        <v>Bangalore-South</v>
      </c>
      <c r="M1336" s="13" t="str">
        <f t="shared" si="3"/>
        <v>OK</v>
      </c>
      <c r="N1336" s="18" t="str">
        <f t="shared" si="4"/>
        <v>VALID</v>
      </c>
    </row>
    <row r="1337" ht="15.75" customHeight="1">
      <c r="A1337" s="13" t="str">
        <f>Raw_Data!A1337</f>
        <v>EMP1403</v>
      </c>
      <c r="B1337" s="13" t="str">
        <f>TRIM(CLEAN(Raw_Data!B1337))</f>
        <v>Sales</v>
      </c>
      <c r="C1337" s="18" t="s">
        <v>26</v>
      </c>
      <c r="D1337" s="14" t="str">
        <f>IF(ISBLANK(Raw_Data!D1337),AVERAGE(Raw_Data!D$2:D$5002),Raw_Data!D1337)</f>
        <v>63414.92</v>
      </c>
      <c r="E1337" s="15" t="str">
        <f>IF(ISBLANK(Raw_Data!E1337),AVERAGE(Raw_Data!E$2:E$5002),Raw_Data!E1337)</f>
        <v>20465.07</v>
      </c>
      <c r="F1337" s="15" t="str">
        <f>IF(ISBLANK(Raw_Data!F1337),AVERAGE(Raw_Data!F$2:F$5002),Raw_Data!F1337)</f>
        <v>10946.30</v>
      </c>
      <c r="G1337" s="14" t="str">
        <f>IF(ISBLANK(Raw_Data!G1337),AVERAGE(Raw_Data!G$2:G$5002),Raw_Data!G1337)</f>
        <v>11676.54</v>
      </c>
      <c r="H1337" s="15" t="str">
        <f t="shared" si="1"/>
        <v>94826.00</v>
      </c>
      <c r="I1337" s="14" t="str">
        <f t="shared" si="2"/>
        <v>83149.00</v>
      </c>
      <c r="J1337" s="16" t="str">
        <f>TEXT(Raw_Data!J1337,"MMM-YYY")</f>
        <v>Sep-2025</v>
      </c>
      <c r="K1337" s="13" t="str">
        <f>Raw_Data!K1337</f>
        <v>6</v>
      </c>
      <c r="L1337" s="17" t="str">
        <f>Raw_Data!L1337</f>
        <v>Chennai-South</v>
      </c>
      <c r="M1337" s="13" t="str">
        <f t="shared" si="3"/>
        <v>OK</v>
      </c>
      <c r="N1337" s="18" t="str">
        <f t="shared" si="4"/>
        <v>VALID</v>
      </c>
    </row>
    <row r="1338" ht="15.75" customHeight="1">
      <c r="A1338" s="13" t="str">
        <f>Raw_Data!A1338</f>
        <v>EMP1404</v>
      </c>
      <c r="B1338" s="13" t="str">
        <f>TRIM(CLEAN(Raw_Data!B1338))</f>
        <v>Customer Support</v>
      </c>
      <c r="C1338" s="18" t="s">
        <v>30</v>
      </c>
      <c r="D1338" s="14" t="str">
        <f>IF(ISBLANK(Raw_Data!D1338),AVERAGE(Raw_Data!D$2:D$5002),Raw_Data!D1338)</f>
        <v>63425.80</v>
      </c>
      <c r="E1338" s="15" t="str">
        <f>IF(ISBLANK(Raw_Data!E1338),AVERAGE(Raw_Data!E$2:E$5002),Raw_Data!E1338)</f>
        <v>20469.69</v>
      </c>
      <c r="F1338" s="15" t="str">
        <f>IF(ISBLANK(Raw_Data!F1338),AVERAGE(Raw_Data!F$2:F$5002),Raw_Data!F1338)</f>
        <v>10953.98</v>
      </c>
      <c r="G1338" s="14" t="str">
        <f>IF(ISBLANK(Raw_Data!G1338),AVERAGE(Raw_Data!G$2:G$5002),Raw_Data!G1338)</f>
        <v>11679.94</v>
      </c>
      <c r="H1338" s="15" t="str">
        <f t="shared" si="1"/>
        <v>94849.00</v>
      </c>
      <c r="I1338" s="14" t="str">
        <f t="shared" si="2"/>
        <v>83169.00</v>
      </c>
      <c r="J1338" s="16" t="str">
        <f>TEXT(Raw_Data!J1338,"MMM-YYY")</f>
        <v>Aug-2025</v>
      </c>
      <c r="K1338" s="13" t="str">
        <f>Raw_Data!K1338</f>
        <v>12</v>
      </c>
      <c r="L1338" s="17" t="str">
        <f>Raw_Data!L1338</f>
        <v>Kolkata-East</v>
      </c>
      <c r="M1338" s="13" t="str">
        <f t="shared" si="3"/>
        <v>OK</v>
      </c>
      <c r="N1338" s="18" t="str">
        <f t="shared" si="4"/>
        <v>VALID</v>
      </c>
    </row>
    <row r="1339" ht="15.75" customHeight="1">
      <c r="A1339" s="13" t="str">
        <f>Raw_Data!A1339</f>
        <v>EMP1405</v>
      </c>
      <c r="B1339" s="13" t="str">
        <f>TRIM(CLEAN(Raw_Data!B1339))</f>
        <v>IT</v>
      </c>
      <c r="C1339" s="18" t="s">
        <v>14</v>
      </c>
      <c r="D1339" s="14" t="str">
        <f>IF(ISBLANK(Raw_Data!D1339),AVERAGE(Raw_Data!D$2:D$5002),Raw_Data!D1339)</f>
        <v>63436.68</v>
      </c>
      <c r="E1339" s="15" t="str">
        <f>IF(ISBLANK(Raw_Data!E1339),AVERAGE(Raw_Data!E$2:E$5002),Raw_Data!E1339)</f>
        <v>20474.30</v>
      </c>
      <c r="F1339" s="15" t="str">
        <f>IF(ISBLANK(Raw_Data!F1339),AVERAGE(Raw_Data!F$2:F$5002),Raw_Data!F1339)</f>
        <v>10961.66</v>
      </c>
      <c r="G1339" s="14" t="str">
        <f>IF(ISBLANK(Raw_Data!G1339),AVERAGE(Raw_Data!G$2:G$5002),Raw_Data!G1339)</f>
        <v>11683.34</v>
      </c>
      <c r="H1339" s="15" t="str">
        <f t="shared" si="1"/>
        <v>94873.00</v>
      </c>
      <c r="I1339" s="14" t="str">
        <f t="shared" si="2"/>
        <v>83190.00</v>
      </c>
      <c r="J1339" s="16" t="str">
        <f>TEXT(Raw_Data!J1339,"MMM-YYY")</f>
        <v>Nov-2025</v>
      </c>
      <c r="K1339" s="13" t="str">
        <f>Raw_Data!K1339</f>
        <v>11</v>
      </c>
      <c r="L1339" s="17" t="str">
        <f>Raw_Data!L1339</f>
        <v>Pune-West</v>
      </c>
      <c r="M1339" s="13" t="str">
        <f t="shared" si="3"/>
        <v>OK</v>
      </c>
      <c r="N1339" s="18" t="str">
        <f t="shared" si="4"/>
        <v>VALID</v>
      </c>
    </row>
    <row r="1340" ht="15.75" customHeight="1">
      <c r="A1340" s="13" t="str">
        <f>Raw_Data!A1340</f>
        <v>EMP1406</v>
      </c>
      <c r="B1340" s="13" t="str">
        <f>TRIM(CLEAN(Raw_Data!B1340))</f>
        <v>IT</v>
      </c>
      <c r="C1340" s="18" t="s">
        <v>18</v>
      </c>
      <c r="D1340" s="14" t="str">
        <f>IF(ISBLANK(Raw_Data!D1340),AVERAGE(Raw_Data!D$2:D$5002),Raw_Data!D1340)</f>
        <v>63447.56</v>
      </c>
      <c r="E1340" s="15" t="str">
        <f>IF(ISBLANK(Raw_Data!E1340),AVERAGE(Raw_Data!E$2:E$5002),Raw_Data!E1340)</f>
        <v>20478.92</v>
      </c>
      <c r="F1340" s="15" t="str">
        <f>IF(ISBLANK(Raw_Data!F1340),AVERAGE(Raw_Data!F$2:F$5002),Raw_Data!F1340)</f>
        <v>10969.34</v>
      </c>
      <c r="G1340" s="14" t="str">
        <f>IF(ISBLANK(Raw_Data!G1340),AVERAGE(Raw_Data!G$2:G$5002),Raw_Data!G1340)</f>
        <v>11686.74</v>
      </c>
      <c r="H1340" s="15" t="str">
        <f t="shared" si="1"/>
        <v>94896.00</v>
      </c>
      <c r="I1340" s="14" t="str">
        <f t="shared" si="2"/>
        <v>83209.00</v>
      </c>
      <c r="J1340" s="16" t="str">
        <f>TEXT(Raw_Data!J1340,"MMM-YYY")</f>
        <v>Sep-2025</v>
      </c>
      <c r="K1340" s="13" t="str">
        <f>Raw_Data!K1340</f>
        <v>23</v>
      </c>
      <c r="L1340" s="17" t="str">
        <f>Raw_Data!L1340</f>
        <v>Hyderabad-South</v>
      </c>
      <c r="M1340" s="13" t="str">
        <f t="shared" si="3"/>
        <v>OK</v>
      </c>
      <c r="N1340" s="18" t="str">
        <f t="shared" si="4"/>
        <v>VALID</v>
      </c>
    </row>
    <row r="1341" ht="15.75" customHeight="1">
      <c r="A1341" s="13" t="str">
        <f>Raw_Data!A1341</f>
        <v>EMP1407</v>
      </c>
      <c r="B1341" s="13" t="str">
        <f>TRIM(CLEAN(Raw_Data!B1341))</f>
        <v>IT</v>
      </c>
      <c r="C1341" s="18" t="s">
        <v>14</v>
      </c>
      <c r="D1341" s="14" t="str">
        <f>IF(ISBLANK(Raw_Data!D1341),AVERAGE(Raw_Data!D$2:D$5002),Raw_Data!D1341)</f>
        <v>63458.45</v>
      </c>
      <c r="E1341" s="15" t="str">
        <f>IF(ISBLANK(Raw_Data!E1341),AVERAGE(Raw_Data!E$2:E$5002),Raw_Data!E1341)</f>
        <v>20483.53</v>
      </c>
      <c r="F1341" s="15" t="str">
        <f>IF(ISBLANK(Raw_Data!F1341),AVERAGE(Raw_Data!F$2:F$5002),Raw_Data!F1341)</f>
        <v>10977.02</v>
      </c>
      <c r="G1341" s="14" t="str">
        <f>IF(ISBLANK(Raw_Data!G1341),AVERAGE(Raw_Data!G$2:G$5002),Raw_Data!G1341)</f>
        <v>11690.13</v>
      </c>
      <c r="H1341" s="15" t="str">
        <f t="shared" si="1"/>
        <v>94919.00</v>
      </c>
      <c r="I1341" s="14" t="str">
        <f t="shared" si="2"/>
        <v>83229.00</v>
      </c>
      <c r="J1341" s="16" t="str">
        <f>TEXT(Raw_Data!J1341,"MMM-YYY")</f>
        <v>Dec-2025</v>
      </c>
      <c r="K1341" s="13" t="str">
        <f>Raw_Data!K1341</f>
        <v>11</v>
      </c>
      <c r="L1341" s="17" t="str">
        <f>Raw_Data!L1341</f>
        <v>Chandigarh-North</v>
      </c>
      <c r="M1341" s="13" t="str">
        <f t="shared" si="3"/>
        <v>OK</v>
      </c>
      <c r="N1341" s="18" t="str">
        <f t="shared" si="4"/>
        <v>VALID</v>
      </c>
    </row>
    <row r="1342" ht="15.75" customHeight="1">
      <c r="A1342" s="13" t="str">
        <f>Raw_Data!A1342</f>
        <v>EMP1408</v>
      </c>
      <c r="B1342" s="13" t="str">
        <f>TRIM(CLEAN(Raw_Data!B1342))</f>
        <v>IT</v>
      </c>
      <c r="C1342" s="18" t="s">
        <v>37</v>
      </c>
      <c r="D1342" s="14" t="str">
        <f>IF(ISBLANK(Raw_Data!D1342),AVERAGE(Raw_Data!D$2:D$5002),Raw_Data!D1342)</f>
        <v>63469.33</v>
      </c>
      <c r="E1342" s="15" t="str">
        <f>IF(ISBLANK(Raw_Data!E1342),AVERAGE(Raw_Data!E$2:E$5002),Raw_Data!E1342)</f>
        <v>20488.15</v>
      </c>
      <c r="F1342" s="15" t="str">
        <f>IF(ISBLANK(Raw_Data!F1342),AVERAGE(Raw_Data!F$2:F$5002),Raw_Data!F1342)</f>
        <v>10984.70</v>
      </c>
      <c r="G1342" s="14" t="str">
        <f>IF(ISBLANK(Raw_Data!G1342),AVERAGE(Raw_Data!G$2:G$5002),Raw_Data!G1342)</f>
        <v>11693.53</v>
      </c>
      <c r="H1342" s="15" t="str">
        <f t="shared" si="1"/>
        <v>94942.00</v>
      </c>
      <c r="I1342" s="14" t="str">
        <f t="shared" si="2"/>
        <v>83248.00</v>
      </c>
      <c r="J1342" s="16" t="str">
        <f>TEXT(Raw_Data!J1342,"MMM-YYY")</f>
        <v>May-2025</v>
      </c>
      <c r="K1342" s="13" t="str">
        <f>Raw_Data!K1342</f>
        <v>5</v>
      </c>
      <c r="L1342" s="17" t="str">
        <f>Raw_Data!L1342</f>
        <v>Ahmedabad-West</v>
      </c>
      <c r="M1342" s="13" t="str">
        <f t="shared" si="3"/>
        <v>OK</v>
      </c>
      <c r="N1342" s="18" t="str">
        <f t="shared" si="4"/>
        <v>VALID</v>
      </c>
    </row>
    <row r="1343" ht="15.75" customHeight="1">
      <c r="A1343" s="13" t="str">
        <f>Raw_Data!A1343</f>
        <v>EMP1409</v>
      </c>
      <c r="B1343" s="13" t="str">
        <f>TRIM(CLEAN(Raw_Data!B1343))</f>
        <v>IT</v>
      </c>
      <c r="C1343" s="18" t="s">
        <v>18</v>
      </c>
      <c r="D1343" s="14" t="str">
        <f>IF(ISBLANK(Raw_Data!D1343),AVERAGE(Raw_Data!D$2:D$5002),Raw_Data!D1343)</f>
        <v>63480.21</v>
      </c>
      <c r="E1343" s="15" t="str">
        <f>IF(ISBLANK(Raw_Data!E1343),AVERAGE(Raw_Data!E$2:E$5002),Raw_Data!E1343)</f>
        <v>20492.76</v>
      </c>
      <c r="F1343" s="15" t="str">
        <f>IF(ISBLANK(Raw_Data!F1343),AVERAGE(Raw_Data!F$2:F$5002),Raw_Data!F1343)</f>
        <v>10992.38</v>
      </c>
      <c r="G1343" s="14" t="str">
        <f>IF(ISBLANK(Raw_Data!G1343),AVERAGE(Raw_Data!G$2:G$5002),Raw_Data!G1343)</f>
        <v>11696.93</v>
      </c>
      <c r="H1343" s="15" t="str">
        <f t="shared" si="1"/>
        <v>94965.00</v>
      </c>
      <c r="I1343" s="14" t="str">
        <f t="shared" si="2"/>
        <v>83268.00</v>
      </c>
      <c r="J1343" s="16" t="str">
        <f>TEXT(Raw_Data!J1343,"MMM-YYY")</f>
        <v>Aug-2025</v>
      </c>
      <c r="K1343" s="13" t="str">
        <f>Raw_Data!K1343</f>
        <v>2</v>
      </c>
      <c r="L1343" s="17" t="str">
        <f>Raw_Data!L1343</f>
        <v>Jaipur-North</v>
      </c>
      <c r="M1343" s="13" t="str">
        <f t="shared" si="3"/>
        <v>OK</v>
      </c>
      <c r="N1343" s="18" t="str">
        <f t="shared" si="4"/>
        <v>VALID</v>
      </c>
    </row>
    <row r="1344" ht="15.75" customHeight="1">
      <c r="A1344" s="13" t="str">
        <f>Raw_Data!A1344</f>
        <v>EMP1410</v>
      </c>
      <c r="B1344" s="13" t="str">
        <f>TRIM(CLEAN(Raw_Data!B1344))</f>
        <v>Marketing</v>
      </c>
      <c r="C1344" s="18" t="s">
        <v>14</v>
      </c>
      <c r="D1344" s="14" t="str">
        <f>IF(ISBLANK(Raw_Data!D1344),AVERAGE(Raw_Data!D$2:D$5002),Raw_Data!D1344)</f>
        <v>63491.10</v>
      </c>
      <c r="E1344" s="15" t="str">
        <f>IF(ISBLANK(Raw_Data!E1344),AVERAGE(Raw_Data!E$2:E$5002),Raw_Data!E1344)</f>
        <v>20497.38</v>
      </c>
      <c r="F1344" s="15" t="str">
        <f>IF(ISBLANK(Raw_Data!F1344),AVERAGE(Raw_Data!F$2:F$5002),Raw_Data!F1344)</f>
        <v>11000.06</v>
      </c>
      <c r="G1344" s="14" t="str">
        <f>IF(ISBLANK(Raw_Data!G1344),AVERAGE(Raw_Data!G$2:G$5002),Raw_Data!G1344)</f>
        <v>11700.33</v>
      </c>
      <c r="H1344" s="15" t="str">
        <f t="shared" si="1"/>
        <v>94989.00</v>
      </c>
      <c r="I1344" s="14" t="str">
        <f t="shared" si="2"/>
        <v>83289.00</v>
      </c>
      <c r="J1344" s="16" t="str">
        <f>TEXT(Raw_Data!J1344,"MMM-YYY")</f>
        <v>Oct-2025</v>
      </c>
      <c r="K1344" s="13" t="str">
        <f>Raw_Data!K1344</f>
        <v>4</v>
      </c>
      <c r="L1344" s="17" t="str">
        <f>Raw_Data!L1344</f>
        <v>Mumbai-HO</v>
      </c>
      <c r="M1344" s="13" t="str">
        <f t="shared" si="3"/>
        <v>OK</v>
      </c>
      <c r="N1344" s="18" t="str">
        <f t="shared" si="4"/>
        <v>VALID</v>
      </c>
    </row>
    <row r="1345" ht="15.75" customHeight="1">
      <c r="A1345" s="13" t="str">
        <f>Raw_Data!A1345</f>
        <v>EMP1411</v>
      </c>
      <c r="B1345" s="13" t="str">
        <f>TRIM(CLEAN(Raw_Data!B1345))</f>
        <v>IT</v>
      </c>
      <c r="C1345" s="18" t="s">
        <v>18</v>
      </c>
      <c r="D1345" s="14" t="str">
        <f>IF(ISBLANK(Raw_Data!D1345),AVERAGE(Raw_Data!D$2:D$5002),Raw_Data!D1345)</f>
        <v>63501.98</v>
      </c>
      <c r="E1345" s="15" t="str">
        <f>IF(ISBLANK(Raw_Data!E1345),AVERAGE(Raw_Data!E$2:E$5002),Raw_Data!E1345)</f>
        <v>20501.99</v>
      </c>
      <c r="F1345" s="15" t="str">
        <f>IF(ISBLANK(Raw_Data!F1345),AVERAGE(Raw_Data!F$2:F$5002),Raw_Data!F1345)</f>
        <v>11007.74</v>
      </c>
      <c r="G1345" s="14" t="str">
        <f>IF(ISBLANK(Raw_Data!G1345),AVERAGE(Raw_Data!G$2:G$5002),Raw_Data!G1345)</f>
        <v>11703.72</v>
      </c>
      <c r="H1345" s="15" t="str">
        <f t="shared" si="1"/>
        <v>95012.00</v>
      </c>
      <c r="I1345" s="14" t="str">
        <f t="shared" si="2"/>
        <v>83308.00</v>
      </c>
      <c r="J1345" s="16" t="str">
        <f>TEXT(Raw_Data!J1345,"MMM-YYY")</f>
        <v>Aug-2025</v>
      </c>
      <c r="K1345" s="13" t="str">
        <f>Raw_Data!K1345</f>
        <v>6</v>
      </c>
      <c r="L1345" s="17" t="str">
        <f>Raw_Data!L1345</f>
        <v>Delhi-North</v>
      </c>
      <c r="M1345" s="13" t="str">
        <f t="shared" si="3"/>
        <v>OK</v>
      </c>
      <c r="N1345" s="18" t="str">
        <f t="shared" si="4"/>
        <v>VALID</v>
      </c>
    </row>
    <row r="1346" ht="15.75" customHeight="1">
      <c r="A1346" s="13" t="str">
        <f>Raw_Data!A1346</f>
        <v>EMP1412</v>
      </c>
      <c r="B1346" s="13" t="str">
        <f>TRIM(CLEAN(Raw_Data!B1346))</f>
        <v>Sales</v>
      </c>
      <c r="C1346" s="18" t="s">
        <v>18</v>
      </c>
      <c r="D1346" s="14" t="str">
        <f>IF(ISBLANK(Raw_Data!D1346),AVERAGE(Raw_Data!D$2:D$5002),Raw_Data!D1346)</f>
        <v>63512.86</v>
      </c>
      <c r="E1346" s="15" t="str">
        <f>IF(ISBLANK(Raw_Data!E1346),AVERAGE(Raw_Data!E$2:E$5002),Raw_Data!E1346)</f>
        <v>20506.61</v>
      </c>
      <c r="F1346" s="15" t="str">
        <f>IF(ISBLANK(Raw_Data!F1346),AVERAGE(Raw_Data!F$2:F$5002),Raw_Data!F1346)</f>
        <v>11015.42</v>
      </c>
      <c r="G1346" s="14" t="str">
        <f>IF(ISBLANK(Raw_Data!G1346),AVERAGE(Raw_Data!G$2:G$5002),Raw_Data!G1346)</f>
        <v>11707.12</v>
      </c>
      <c r="H1346" s="15" t="str">
        <f t="shared" si="1"/>
        <v>95035.00</v>
      </c>
      <c r="I1346" s="14" t="str">
        <f t="shared" si="2"/>
        <v>83328.00</v>
      </c>
      <c r="J1346" s="16" t="str">
        <f>TEXT(Raw_Data!J1346,"MMM-YYY")</f>
        <v>Apr-2025</v>
      </c>
      <c r="K1346" s="13" t="str">
        <f>Raw_Data!K1346</f>
        <v>1</v>
      </c>
      <c r="L1346" s="17" t="str">
        <f>Raw_Data!L1346</f>
        <v>Bangalore-South</v>
      </c>
      <c r="M1346" s="13" t="str">
        <f t="shared" si="3"/>
        <v>OK</v>
      </c>
      <c r="N1346" s="18" t="str">
        <f t="shared" si="4"/>
        <v>VALID</v>
      </c>
    </row>
    <row r="1347" ht="15.75" customHeight="1">
      <c r="A1347" s="13" t="str">
        <f>Raw_Data!A1347</f>
        <v>EMP1413</v>
      </c>
      <c r="B1347" s="13" t="str">
        <f>TRIM(CLEAN(Raw_Data!B1347))</f>
        <v>Operations</v>
      </c>
      <c r="C1347" s="18" t="s">
        <v>54</v>
      </c>
      <c r="D1347" s="14" t="str">
        <f>IF(ISBLANK(Raw_Data!D1347),AVERAGE(Raw_Data!D$2:D$5002),Raw_Data!D1347)</f>
        <v>63523.75</v>
      </c>
      <c r="E1347" s="15" t="str">
        <f>IF(ISBLANK(Raw_Data!E1347),AVERAGE(Raw_Data!E$2:E$5002),Raw_Data!E1347)</f>
        <v>20511.22</v>
      </c>
      <c r="F1347" s="15" t="str">
        <f>IF(ISBLANK(Raw_Data!F1347),AVERAGE(Raw_Data!F$2:F$5002),Raw_Data!F1347)</f>
        <v>11023.10</v>
      </c>
      <c r="G1347" s="14" t="str">
        <f>IF(ISBLANK(Raw_Data!G1347),AVERAGE(Raw_Data!G$2:G$5002),Raw_Data!G1347)</f>
        <v>11710.52</v>
      </c>
      <c r="H1347" s="15" t="str">
        <f t="shared" si="1"/>
        <v>95058.00</v>
      </c>
      <c r="I1347" s="14" t="str">
        <f t="shared" si="2"/>
        <v>83347.00</v>
      </c>
      <c r="J1347" s="16" t="str">
        <f>TEXT(Raw_Data!J1347,"MMM-YYY")</f>
        <v>Nov-2025</v>
      </c>
      <c r="K1347" s="13" t="str">
        <f>Raw_Data!K1347</f>
        <v>8</v>
      </c>
      <c r="L1347" s="17" t="str">
        <f>Raw_Data!L1347</f>
        <v>Chennai-South</v>
      </c>
      <c r="M1347" s="13" t="str">
        <f t="shared" si="3"/>
        <v>OK</v>
      </c>
      <c r="N1347" s="18" t="str">
        <f t="shared" si="4"/>
        <v>VALID</v>
      </c>
    </row>
    <row r="1348" ht="15.75" customHeight="1">
      <c r="A1348" s="13" t="str">
        <f>Raw_Data!A1348</f>
        <v>EMP1414</v>
      </c>
      <c r="B1348" s="13" t="str">
        <f>TRIM(CLEAN(Raw_Data!B1348))</f>
        <v>Marketing</v>
      </c>
      <c r="C1348" s="18" t="s">
        <v>54</v>
      </c>
      <c r="D1348" s="14" t="str">
        <f>IF(ISBLANK(Raw_Data!D1348),AVERAGE(Raw_Data!D$2:D$5002),Raw_Data!D1348)</f>
        <v>63534.63</v>
      </c>
      <c r="E1348" s="15" t="str">
        <f>IF(ISBLANK(Raw_Data!E1348),AVERAGE(Raw_Data!E$2:E$5002),Raw_Data!E1348)</f>
        <v>20515.84</v>
      </c>
      <c r="F1348" s="15" t="str">
        <f>IF(ISBLANK(Raw_Data!F1348),AVERAGE(Raw_Data!F$2:F$5002),Raw_Data!F1348)</f>
        <v>11030.78</v>
      </c>
      <c r="G1348" s="14" t="str">
        <f>IF(ISBLANK(Raw_Data!G1348),AVERAGE(Raw_Data!G$2:G$5002),Raw_Data!G1348)</f>
        <v>11713.92</v>
      </c>
      <c r="H1348" s="15" t="str">
        <f t="shared" si="1"/>
        <v>95081.00</v>
      </c>
      <c r="I1348" s="14" t="str">
        <f t="shared" si="2"/>
        <v>83367.00</v>
      </c>
      <c r="J1348" s="16" t="str">
        <f>TEXT(Raw_Data!J1348,"MMM-YYY")</f>
        <v>May-2025</v>
      </c>
      <c r="K1348" s="13" t="str">
        <f>Raw_Data!K1348</f>
        <v>4</v>
      </c>
      <c r="L1348" s="17" t="str">
        <f>Raw_Data!L1348</f>
        <v>Kolkata-East</v>
      </c>
      <c r="M1348" s="13" t="str">
        <f t="shared" si="3"/>
        <v>OK</v>
      </c>
      <c r="N1348" s="18" t="str">
        <f t="shared" si="4"/>
        <v>VALID</v>
      </c>
    </row>
    <row r="1349" ht="15.75" customHeight="1">
      <c r="A1349" s="13" t="str">
        <f>Raw_Data!A1349</f>
        <v>EMP1415</v>
      </c>
      <c r="B1349" s="13" t="str">
        <f>TRIM(CLEAN(Raw_Data!B1349))</f>
        <v>IT</v>
      </c>
      <c r="C1349" s="18" t="s">
        <v>37</v>
      </c>
      <c r="D1349" s="14" t="str">
        <f>IF(ISBLANK(Raw_Data!D1349),AVERAGE(Raw_Data!D$2:D$5002),Raw_Data!D1349)</f>
        <v>63545.51</v>
      </c>
      <c r="E1349" s="15" t="str">
        <f>IF(ISBLANK(Raw_Data!E1349),AVERAGE(Raw_Data!E$2:E$5002),Raw_Data!E1349)</f>
        <v>20520.45</v>
      </c>
      <c r="F1349" s="15" t="str">
        <f>IF(ISBLANK(Raw_Data!F1349),AVERAGE(Raw_Data!F$2:F$5002),Raw_Data!F1349)</f>
        <v>11038.46</v>
      </c>
      <c r="G1349" s="14" t="str">
        <f>IF(ISBLANK(Raw_Data!G1349),AVERAGE(Raw_Data!G$2:G$5002),Raw_Data!G1349)</f>
        <v>11717.31</v>
      </c>
      <c r="H1349" s="15" t="str">
        <f t="shared" si="1"/>
        <v>95104.00</v>
      </c>
      <c r="I1349" s="14" t="str">
        <f t="shared" si="2"/>
        <v>83387.00</v>
      </c>
      <c r="J1349" s="16" t="str">
        <f>TEXT(Raw_Data!J1349,"MMM-YYY")</f>
        <v>Apr-2025</v>
      </c>
      <c r="K1349" s="13" t="str">
        <f>Raw_Data!K1349</f>
        <v>7</v>
      </c>
      <c r="L1349" s="17" t="str">
        <f>Raw_Data!L1349</f>
        <v>Pune-West</v>
      </c>
      <c r="M1349" s="13" t="str">
        <f t="shared" si="3"/>
        <v>OK</v>
      </c>
      <c r="N1349" s="18" t="str">
        <f t="shared" si="4"/>
        <v>VALID</v>
      </c>
    </row>
    <row r="1350" ht="15.75" customHeight="1">
      <c r="A1350" s="13" t="str">
        <f>Raw_Data!A1350</f>
        <v>EMP1416</v>
      </c>
      <c r="B1350" s="13" t="str">
        <f>TRIM(CLEAN(Raw_Data!B1350))</f>
        <v>Finance</v>
      </c>
      <c r="C1350" s="18" t="s">
        <v>14</v>
      </c>
      <c r="D1350" s="14" t="str">
        <f>IF(ISBLANK(Raw_Data!D1350),AVERAGE(Raw_Data!D$2:D$5002),Raw_Data!D1350)</f>
        <v>63556.39</v>
      </c>
      <c r="E1350" s="15" t="str">
        <f>IF(ISBLANK(Raw_Data!E1350),AVERAGE(Raw_Data!E$2:E$5002),Raw_Data!E1350)</f>
        <v>20525.07</v>
      </c>
      <c r="F1350" s="15" t="str">
        <f>IF(ISBLANK(Raw_Data!F1350),AVERAGE(Raw_Data!F$2:F$5002),Raw_Data!F1350)</f>
        <v>11046.14</v>
      </c>
      <c r="G1350" s="14" t="str">
        <f>IF(ISBLANK(Raw_Data!G1350),AVERAGE(Raw_Data!G$2:G$5002),Raw_Data!G1350)</f>
        <v>11720.71</v>
      </c>
      <c r="H1350" s="15" t="str">
        <f t="shared" si="1"/>
        <v>95128.00</v>
      </c>
      <c r="I1350" s="14" t="str">
        <f t="shared" si="2"/>
        <v>83407.00</v>
      </c>
      <c r="J1350" s="16" t="str">
        <f>TEXT(Raw_Data!J1350,"MMM-YYY")</f>
        <v>Apr-2025</v>
      </c>
      <c r="K1350" s="13" t="str">
        <f>Raw_Data!K1350</f>
        <v>16</v>
      </c>
      <c r="L1350" s="17" t="str">
        <f>Raw_Data!L1350</f>
        <v>Hyderabad-South</v>
      </c>
      <c r="M1350" s="13" t="str">
        <f t="shared" si="3"/>
        <v>OK</v>
      </c>
      <c r="N1350" s="18" t="str">
        <f t="shared" si="4"/>
        <v>VALID</v>
      </c>
    </row>
    <row r="1351" ht="15.75" customHeight="1">
      <c r="A1351" s="13" t="str">
        <f>Raw_Data!A1351</f>
        <v>EMP1417</v>
      </c>
      <c r="B1351" s="13" t="str">
        <f>TRIM(CLEAN(Raw_Data!B1351))</f>
        <v>Sales</v>
      </c>
      <c r="C1351" s="18" t="s">
        <v>18</v>
      </c>
      <c r="D1351" s="14" t="str">
        <f>IF(ISBLANK(Raw_Data!D1351),AVERAGE(Raw_Data!D$2:D$5002),Raw_Data!D1351)</f>
        <v>63567.28</v>
      </c>
      <c r="E1351" s="15" t="str">
        <f>IF(ISBLANK(Raw_Data!E1351),AVERAGE(Raw_Data!E$2:E$5002),Raw_Data!E1351)</f>
        <v>20529.68</v>
      </c>
      <c r="F1351" s="15" t="str">
        <f>IF(ISBLANK(Raw_Data!F1351),AVERAGE(Raw_Data!F$2:F$5002),Raw_Data!F1351)</f>
        <v>11053.82</v>
      </c>
      <c r="G1351" s="14" t="str">
        <f>IF(ISBLANK(Raw_Data!G1351),AVERAGE(Raw_Data!G$2:G$5002),Raw_Data!G1351)</f>
        <v>11724.11</v>
      </c>
      <c r="H1351" s="15" t="str">
        <f t="shared" si="1"/>
        <v>95151.00</v>
      </c>
      <c r="I1351" s="14" t="str">
        <f t="shared" si="2"/>
        <v>83427.00</v>
      </c>
      <c r="J1351" s="16" t="str">
        <f>TEXT(Raw_Data!J1351,"MMM-YYY")</f>
        <v>Apr-2025</v>
      </c>
      <c r="K1351" s="13" t="str">
        <f>Raw_Data!K1351</f>
        <v>2</v>
      </c>
      <c r="L1351" s="17" t="str">
        <f>Raw_Data!L1351</f>
        <v>Chandigarh-North</v>
      </c>
      <c r="M1351" s="13" t="str">
        <f t="shared" si="3"/>
        <v>OK</v>
      </c>
      <c r="N1351" s="18" t="str">
        <f t="shared" si="4"/>
        <v>VALID</v>
      </c>
    </row>
    <row r="1352" ht="15.75" customHeight="1">
      <c r="A1352" s="13" t="str">
        <f>Raw_Data!A1352</f>
        <v>EMP1418</v>
      </c>
      <c r="B1352" s="13" t="str">
        <f>TRIM(CLEAN(Raw_Data!B1352))</f>
        <v>Finance</v>
      </c>
      <c r="C1352" s="18" t="s">
        <v>26</v>
      </c>
      <c r="D1352" s="14" t="str">
        <f>IF(ISBLANK(Raw_Data!D1352),AVERAGE(Raw_Data!D$2:D$5002),Raw_Data!D1352)</f>
        <v>63578.16</v>
      </c>
      <c r="E1352" s="15" t="str">
        <f>IF(ISBLANK(Raw_Data!E1352),AVERAGE(Raw_Data!E$2:E$5002),Raw_Data!E1352)</f>
        <v>20534.29</v>
      </c>
      <c r="F1352" s="15" t="str">
        <f>IF(ISBLANK(Raw_Data!F1352),AVERAGE(Raw_Data!F$2:F$5002),Raw_Data!F1352)</f>
        <v>11061.50</v>
      </c>
      <c r="G1352" s="14" t="str">
        <f>IF(ISBLANK(Raw_Data!G1352),AVERAGE(Raw_Data!G$2:G$5002),Raw_Data!G1352)</f>
        <v>11727.51</v>
      </c>
      <c r="H1352" s="15" t="str">
        <f t="shared" si="1"/>
        <v>95174.00</v>
      </c>
      <c r="I1352" s="14" t="str">
        <f t="shared" si="2"/>
        <v>83446.00</v>
      </c>
      <c r="J1352" s="16" t="str">
        <f>TEXT(Raw_Data!J1352,"MMM-YYY")</f>
        <v>Oct-2025</v>
      </c>
      <c r="K1352" s="13" t="str">
        <f>Raw_Data!K1352</f>
        <v>20</v>
      </c>
      <c r="L1352" s="17" t="str">
        <f>Raw_Data!L1352</f>
        <v>Ahmedabad-West</v>
      </c>
      <c r="M1352" s="13" t="str">
        <f t="shared" si="3"/>
        <v>OK</v>
      </c>
      <c r="N1352" s="18" t="str">
        <f t="shared" si="4"/>
        <v>VALID</v>
      </c>
    </row>
    <row r="1353" ht="15.75" customHeight="1">
      <c r="A1353" s="13" t="str">
        <f>Raw_Data!A1353</f>
        <v>EMP1419</v>
      </c>
      <c r="B1353" s="13" t="str">
        <f>TRIM(CLEAN(Raw_Data!B1353))</f>
        <v>Operations</v>
      </c>
      <c r="C1353" s="18" t="s">
        <v>30</v>
      </c>
      <c r="D1353" s="14" t="str">
        <f>IF(ISBLANK(Raw_Data!D1353),AVERAGE(Raw_Data!D$2:D$5002),Raw_Data!D1353)</f>
        <v>63589.04</v>
      </c>
      <c r="E1353" s="15" t="str">
        <f>IF(ISBLANK(Raw_Data!E1353),AVERAGE(Raw_Data!E$2:E$5002),Raw_Data!E1353)</f>
        <v>20538.91</v>
      </c>
      <c r="F1353" s="15" t="str">
        <f>IF(ISBLANK(Raw_Data!F1353),AVERAGE(Raw_Data!F$2:F$5002),Raw_Data!F1353)</f>
        <v>11069.18</v>
      </c>
      <c r="G1353" s="14" t="str">
        <f>IF(ISBLANK(Raw_Data!G1353),AVERAGE(Raw_Data!G$2:G$5002),Raw_Data!G1353)</f>
        <v>11730.90</v>
      </c>
      <c r="H1353" s="15" t="str">
        <f t="shared" si="1"/>
        <v>95197.00</v>
      </c>
      <c r="I1353" s="14" t="str">
        <f t="shared" si="2"/>
        <v>83466.00</v>
      </c>
      <c r="J1353" s="16" t="str">
        <f>TEXT(Raw_Data!J1353,"MMM-YYY")</f>
        <v>May-2025</v>
      </c>
      <c r="K1353" s="13" t="str">
        <f>Raw_Data!K1353</f>
        <v>23</v>
      </c>
      <c r="L1353" s="17" t="str">
        <f>Raw_Data!L1353</f>
        <v>Jaipur-North</v>
      </c>
      <c r="M1353" s="13" t="str">
        <f t="shared" si="3"/>
        <v>OK</v>
      </c>
      <c r="N1353" s="18" t="str">
        <f t="shared" si="4"/>
        <v>VALID</v>
      </c>
    </row>
    <row r="1354" ht="15.75" customHeight="1">
      <c r="A1354" s="13" t="str">
        <f>Raw_Data!A1354</f>
        <v>EMP1420</v>
      </c>
      <c r="B1354" s="13" t="str">
        <f>TRIM(CLEAN(Raw_Data!B1354))</f>
        <v>HR</v>
      </c>
      <c r="C1354" s="18" t="s">
        <v>33</v>
      </c>
      <c r="D1354" s="14" t="str">
        <f>IF(ISBLANK(Raw_Data!D1354),AVERAGE(Raw_Data!D$2:D$5002),Raw_Data!D1354)</f>
        <v>63599.93</v>
      </c>
      <c r="E1354" s="15" t="str">
        <f>IF(ISBLANK(Raw_Data!E1354),AVERAGE(Raw_Data!E$2:E$5002),Raw_Data!E1354)</f>
        <v>20543.52</v>
      </c>
      <c r="F1354" s="15" t="str">
        <f>IF(ISBLANK(Raw_Data!F1354),AVERAGE(Raw_Data!F$2:F$5002),Raw_Data!F1354)</f>
        <v>11076.86</v>
      </c>
      <c r="G1354" s="14" t="str">
        <f>IF(ISBLANK(Raw_Data!G1354),AVERAGE(Raw_Data!G$2:G$5002),Raw_Data!G1354)</f>
        <v>11734.30</v>
      </c>
      <c r="H1354" s="15" t="str">
        <f t="shared" si="1"/>
        <v>95220.00</v>
      </c>
      <c r="I1354" s="14" t="str">
        <f t="shared" si="2"/>
        <v>83486.00</v>
      </c>
      <c r="J1354" s="16" t="str">
        <f>TEXT(Raw_Data!J1354,"MMM-YYY")</f>
        <v>Jun-2025</v>
      </c>
      <c r="K1354" s="13" t="str">
        <f>Raw_Data!K1354</f>
        <v>5</v>
      </c>
      <c r="L1354" s="17" t="str">
        <f>Raw_Data!L1354</f>
        <v>Mumbai-HO</v>
      </c>
      <c r="M1354" s="13" t="str">
        <f t="shared" si="3"/>
        <v>OK</v>
      </c>
      <c r="N1354" s="18" t="str">
        <f t="shared" si="4"/>
        <v>VALID</v>
      </c>
    </row>
    <row r="1355" ht="15.75" customHeight="1">
      <c r="A1355" s="13" t="str">
        <f>Raw_Data!A1355</f>
        <v>EMP1421</v>
      </c>
      <c r="B1355" s="13" t="str">
        <f>TRIM(CLEAN(Raw_Data!B1355))</f>
        <v>Customer Support</v>
      </c>
      <c r="C1355" s="18" t="s">
        <v>30</v>
      </c>
      <c r="D1355" s="14" t="str">
        <f>IF(ISBLANK(Raw_Data!D1355),AVERAGE(Raw_Data!D$2:D$5002),Raw_Data!D1355)</f>
        <v>63610.81</v>
      </c>
      <c r="E1355" s="15" t="str">
        <f>IF(ISBLANK(Raw_Data!E1355),AVERAGE(Raw_Data!E$2:E$5002),Raw_Data!E1355)</f>
        <v>20548.14</v>
      </c>
      <c r="F1355" s="15" t="str">
        <f>IF(ISBLANK(Raw_Data!F1355),AVERAGE(Raw_Data!F$2:F$5002),Raw_Data!F1355)</f>
        <v>11084.54</v>
      </c>
      <c r="G1355" s="14" t="str">
        <f>IF(ISBLANK(Raw_Data!G1355),AVERAGE(Raw_Data!G$2:G$5002),Raw_Data!G1355)</f>
        <v>11737.70</v>
      </c>
      <c r="H1355" s="15" t="str">
        <f t="shared" si="1"/>
        <v>95243.00</v>
      </c>
      <c r="I1355" s="14" t="str">
        <f t="shared" si="2"/>
        <v>83505.00</v>
      </c>
      <c r="J1355" s="16" t="str">
        <f>TEXT(Raw_Data!J1355,"MMM-YYY")</f>
        <v>Jan-2025</v>
      </c>
      <c r="K1355" s="13" t="str">
        <f>Raw_Data!K1355</f>
        <v>13</v>
      </c>
      <c r="L1355" s="17" t="str">
        <f>Raw_Data!L1355</f>
        <v>Delhi-North</v>
      </c>
      <c r="M1355" s="13" t="str">
        <f t="shared" si="3"/>
        <v>OK</v>
      </c>
      <c r="N1355" s="18" t="str">
        <f t="shared" si="4"/>
        <v>VALID</v>
      </c>
    </row>
    <row r="1356" ht="15.75" customHeight="1">
      <c r="A1356" s="13" t="str">
        <f>Raw_Data!A1356</f>
        <v>EMP1422</v>
      </c>
      <c r="B1356" s="13" t="str">
        <f>TRIM(CLEAN(Raw_Data!B1356))</f>
        <v>Customer Support</v>
      </c>
      <c r="C1356" s="18" t="s">
        <v>26</v>
      </c>
      <c r="D1356" s="14" t="str">
        <f>IF(ISBLANK(Raw_Data!D1356),AVERAGE(Raw_Data!D$2:D$5002),Raw_Data!D1356)</f>
        <v>63621.69</v>
      </c>
      <c r="E1356" s="15" t="str">
        <f>IF(ISBLANK(Raw_Data!E1356),AVERAGE(Raw_Data!E$2:E$5002),Raw_Data!E1356)</f>
        <v>20552.75</v>
      </c>
      <c r="F1356" s="15" t="str">
        <f>IF(ISBLANK(Raw_Data!F1356),AVERAGE(Raw_Data!F$2:F$5002),Raw_Data!F1356)</f>
        <v>11092.22</v>
      </c>
      <c r="G1356" s="14" t="str">
        <f>IF(ISBLANK(Raw_Data!G1356),AVERAGE(Raw_Data!G$2:G$5002),Raw_Data!G1356)</f>
        <v>11741.10</v>
      </c>
      <c r="H1356" s="15" t="str">
        <f t="shared" si="1"/>
        <v>95267.00</v>
      </c>
      <c r="I1356" s="14" t="str">
        <f t="shared" si="2"/>
        <v>83526.00</v>
      </c>
      <c r="J1356" s="16" t="str">
        <f>TEXT(Raw_Data!J1356,"MMM-YYY")</f>
        <v>Aug-2025</v>
      </c>
      <c r="K1356" s="13" t="str">
        <f>Raw_Data!K1356</f>
        <v>14</v>
      </c>
      <c r="L1356" s="17" t="str">
        <f>Raw_Data!L1356</f>
        <v>Bangalore-South</v>
      </c>
      <c r="M1356" s="13" t="str">
        <f t="shared" si="3"/>
        <v>OK</v>
      </c>
      <c r="N1356" s="18" t="str">
        <f t="shared" si="4"/>
        <v>VALID</v>
      </c>
    </row>
    <row r="1357" ht="15.75" customHeight="1">
      <c r="A1357" s="13" t="str">
        <f>Raw_Data!A1357</f>
        <v>EMP1423</v>
      </c>
      <c r="B1357" s="13" t="str">
        <f>TRIM(CLEAN(Raw_Data!B1357))</f>
        <v>Finance</v>
      </c>
      <c r="C1357" s="18" t="s">
        <v>18</v>
      </c>
      <c r="D1357" s="14" t="str">
        <f>IF(ISBLANK(Raw_Data!D1357),AVERAGE(Raw_Data!D$2:D$5002),Raw_Data!D1357)</f>
        <v>63632.58</v>
      </c>
      <c r="E1357" s="15" t="str">
        <f>IF(ISBLANK(Raw_Data!E1357),AVERAGE(Raw_Data!E$2:E$5002),Raw_Data!E1357)</f>
        <v>20557.37</v>
      </c>
      <c r="F1357" s="15" t="str">
        <f>IF(ISBLANK(Raw_Data!F1357),AVERAGE(Raw_Data!F$2:F$5002),Raw_Data!F1357)</f>
        <v>11099.90</v>
      </c>
      <c r="G1357" s="14" t="str">
        <f>IF(ISBLANK(Raw_Data!G1357),AVERAGE(Raw_Data!G$2:G$5002),Raw_Data!G1357)</f>
        <v>11744.49</v>
      </c>
      <c r="H1357" s="15" t="str">
        <f t="shared" si="1"/>
        <v>95290.00</v>
      </c>
      <c r="I1357" s="14" t="str">
        <f t="shared" si="2"/>
        <v>83546.00</v>
      </c>
      <c r="J1357" s="16" t="str">
        <f>TEXT(Raw_Data!J1357,"MMM-YYY")</f>
        <v>Oct-2025</v>
      </c>
      <c r="K1357" s="13" t="str">
        <f>Raw_Data!K1357</f>
        <v>11</v>
      </c>
      <c r="L1357" s="17" t="str">
        <f>Raw_Data!L1357</f>
        <v>Chennai-South</v>
      </c>
      <c r="M1357" s="13" t="str">
        <f t="shared" si="3"/>
        <v>OK</v>
      </c>
      <c r="N1357" s="18" t="str">
        <f t="shared" si="4"/>
        <v>VALID</v>
      </c>
    </row>
    <row r="1358" ht="15.75" customHeight="1">
      <c r="A1358" s="13" t="str">
        <f>Raw_Data!A1358</f>
        <v>EMP1424</v>
      </c>
      <c r="B1358" s="13" t="str">
        <f>TRIM(CLEAN(Raw_Data!B1358))</f>
        <v>Customer Support</v>
      </c>
      <c r="C1358" s="18" t="s">
        <v>33</v>
      </c>
      <c r="D1358" s="14" t="str">
        <f>IF(ISBLANK(Raw_Data!D1358),AVERAGE(Raw_Data!D$2:D$5002),Raw_Data!D1358)</f>
        <v>63643.46</v>
      </c>
      <c r="E1358" s="15" t="str">
        <f>IF(ISBLANK(Raw_Data!E1358),AVERAGE(Raw_Data!E$2:E$5002),Raw_Data!E1358)</f>
        <v>20561.98</v>
      </c>
      <c r="F1358" s="15" t="str">
        <f>IF(ISBLANK(Raw_Data!F1358),AVERAGE(Raw_Data!F$2:F$5002),Raw_Data!F1358)</f>
        <v>11107.58</v>
      </c>
      <c r="G1358" s="14" t="str">
        <f>IF(ISBLANK(Raw_Data!G1358),AVERAGE(Raw_Data!G$2:G$5002),Raw_Data!G1358)</f>
        <v>11747.89</v>
      </c>
      <c r="H1358" s="15" t="str">
        <f t="shared" si="1"/>
        <v>95313.00</v>
      </c>
      <c r="I1358" s="14" t="str">
        <f t="shared" si="2"/>
        <v>83565.00</v>
      </c>
      <c r="J1358" s="16" t="str">
        <f>TEXT(Raw_Data!J1358,"MMM-YYY")</f>
        <v>Aug-2025</v>
      </c>
      <c r="K1358" s="13" t="str">
        <f>Raw_Data!K1358</f>
        <v>18</v>
      </c>
      <c r="L1358" s="17" t="str">
        <f>Raw_Data!L1358</f>
        <v>Kolkata-East</v>
      </c>
      <c r="M1358" s="13" t="str">
        <f t="shared" si="3"/>
        <v>OK</v>
      </c>
      <c r="N1358" s="18" t="str">
        <f t="shared" si="4"/>
        <v>VALID</v>
      </c>
    </row>
    <row r="1359" ht="15.75" customHeight="1">
      <c r="A1359" s="13" t="str">
        <f>Raw_Data!A1359</f>
        <v>EMP1425</v>
      </c>
      <c r="B1359" s="13" t="str">
        <f>TRIM(CLEAN(Raw_Data!B1359))</f>
        <v>HR</v>
      </c>
      <c r="C1359" s="18" t="s">
        <v>18</v>
      </c>
      <c r="D1359" s="14" t="str">
        <f>IF(ISBLANK(Raw_Data!D1359),AVERAGE(Raw_Data!D$2:D$5002),Raw_Data!D1359)</f>
        <v>63654.34</v>
      </c>
      <c r="E1359" s="15" t="str">
        <f>IF(ISBLANK(Raw_Data!E1359),AVERAGE(Raw_Data!E$2:E$5002),Raw_Data!E1359)</f>
        <v>20566.60</v>
      </c>
      <c r="F1359" s="15" t="str">
        <f>IF(ISBLANK(Raw_Data!F1359),AVERAGE(Raw_Data!F$2:F$5002),Raw_Data!F1359)</f>
        <v>11115.26</v>
      </c>
      <c r="G1359" s="14" t="str">
        <f>IF(ISBLANK(Raw_Data!G1359),AVERAGE(Raw_Data!G$2:G$5002),Raw_Data!G1359)</f>
        <v>11751.29</v>
      </c>
      <c r="H1359" s="15" t="str">
        <f t="shared" si="1"/>
        <v>95336.00</v>
      </c>
      <c r="I1359" s="14" t="str">
        <f t="shared" si="2"/>
        <v>83585.00</v>
      </c>
      <c r="J1359" s="16" t="str">
        <f>TEXT(Raw_Data!J1359,"MMM-YYY")</f>
        <v>Nov-2025</v>
      </c>
      <c r="K1359" s="13" t="str">
        <f>Raw_Data!K1359</f>
        <v>6</v>
      </c>
      <c r="L1359" s="17" t="str">
        <f>Raw_Data!L1359</f>
        <v>Pune-West</v>
      </c>
      <c r="M1359" s="13" t="str">
        <f t="shared" si="3"/>
        <v>OK</v>
      </c>
      <c r="N1359" s="18" t="str">
        <f t="shared" si="4"/>
        <v>VALID</v>
      </c>
    </row>
    <row r="1360" ht="15.75" customHeight="1">
      <c r="A1360" s="13" t="str">
        <f>Raw_Data!A1360</f>
        <v>EMP1426</v>
      </c>
      <c r="B1360" s="13" t="str">
        <f>TRIM(CLEAN(Raw_Data!B1360))</f>
        <v>Sales</v>
      </c>
      <c r="C1360" s="18" t="s">
        <v>14</v>
      </c>
      <c r="D1360" s="14" t="str">
        <f>IF(ISBLANK(Raw_Data!D1360),AVERAGE(Raw_Data!D$2:D$5002),Raw_Data!D1360)</f>
        <v>63665.22</v>
      </c>
      <c r="E1360" s="15" t="str">
        <f>IF(ISBLANK(Raw_Data!E1360),AVERAGE(Raw_Data!E$2:E$5002),Raw_Data!E1360)</f>
        <v>20571.21</v>
      </c>
      <c r="F1360" s="15" t="str">
        <f>IF(ISBLANK(Raw_Data!F1360),AVERAGE(Raw_Data!F$2:F$5002),Raw_Data!F1360)</f>
        <v>11122.94</v>
      </c>
      <c r="G1360" s="14" t="str">
        <f>IF(ISBLANK(Raw_Data!G1360),AVERAGE(Raw_Data!G$2:G$5002),Raw_Data!G1360)</f>
        <v>11754.69</v>
      </c>
      <c r="H1360" s="15" t="str">
        <f t="shared" si="1"/>
        <v>95359.00</v>
      </c>
      <c r="I1360" s="14" t="str">
        <f t="shared" si="2"/>
        <v>83604.00</v>
      </c>
      <c r="J1360" s="16" t="str">
        <f>TEXT(Raw_Data!J1360,"MMM-YYY")</f>
        <v>Jun-2025</v>
      </c>
      <c r="K1360" s="13" t="str">
        <f>Raw_Data!K1360</f>
        <v>21</v>
      </c>
      <c r="L1360" s="17" t="str">
        <f>Raw_Data!L1360</f>
        <v>Hyderabad-South</v>
      </c>
      <c r="M1360" s="13" t="str">
        <f t="shared" si="3"/>
        <v>OK</v>
      </c>
      <c r="N1360" s="18" t="str">
        <f t="shared" si="4"/>
        <v>VALID</v>
      </c>
    </row>
    <row r="1361" ht="15.75" customHeight="1">
      <c r="A1361" s="13" t="str">
        <f>Raw_Data!A1361</f>
        <v>EMP1427</v>
      </c>
      <c r="B1361" s="13" t="str">
        <f>TRIM(CLEAN(Raw_Data!B1361))</f>
        <v>HR</v>
      </c>
      <c r="C1361" s="18" t="s">
        <v>54</v>
      </c>
      <c r="D1361" s="14" t="str">
        <f>IF(ISBLANK(Raw_Data!D1361),AVERAGE(Raw_Data!D$2:D$5002),Raw_Data!D1361)</f>
        <v>63676.11</v>
      </c>
      <c r="E1361" s="15" t="str">
        <f>IF(ISBLANK(Raw_Data!E1361),AVERAGE(Raw_Data!E$2:E$5002),Raw_Data!E1361)</f>
        <v>20575.83</v>
      </c>
      <c r="F1361" s="15" t="str">
        <f>IF(ISBLANK(Raw_Data!F1361),AVERAGE(Raw_Data!F$2:F$5002),Raw_Data!F1361)</f>
        <v>11130.62</v>
      </c>
      <c r="G1361" s="14" t="str">
        <f>IF(ISBLANK(Raw_Data!G1361),AVERAGE(Raw_Data!G$2:G$5002),Raw_Data!G1361)</f>
        <v>11758.08</v>
      </c>
      <c r="H1361" s="15" t="str">
        <f t="shared" si="1"/>
        <v>95383.00</v>
      </c>
      <c r="I1361" s="14" t="str">
        <f t="shared" si="2"/>
        <v>83625.00</v>
      </c>
      <c r="J1361" s="16" t="str">
        <f>TEXT(Raw_Data!J1361,"MMM-YYY")</f>
        <v>Sep-2025</v>
      </c>
      <c r="K1361" s="13" t="str">
        <f>Raw_Data!K1361</f>
        <v>15</v>
      </c>
      <c r="L1361" s="17" t="str">
        <f>Raw_Data!L1361</f>
        <v>Chandigarh-North</v>
      </c>
      <c r="M1361" s="13" t="str">
        <f t="shared" si="3"/>
        <v>OK</v>
      </c>
      <c r="N1361" s="18" t="str">
        <f t="shared" si="4"/>
        <v>VALID</v>
      </c>
    </row>
    <row r="1362" ht="15.75" customHeight="1">
      <c r="A1362" s="13" t="str">
        <f>Raw_Data!A1362</f>
        <v>EMP1428</v>
      </c>
      <c r="B1362" s="13" t="str">
        <f>TRIM(CLEAN(Raw_Data!B1362))</f>
        <v>Operations</v>
      </c>
      <c r="C1362" s="18" t="s">
        <v>30</v>
      </c>
      <c r="D1362" s="14" t="str">
        <f>IF(ISBLANK(Raw_Data!D1362),AVERAGE(Raw_Data!D$2:D$5002),Raw_Data!D1362)</f>
        <v>63686.99</v>
      </c>
      <c r="E1362" s="15" t="str">
        <f>IF(ISBLANK(Raw_Data!E1362),AVERAGE(Raw_Data!E$2:E$5002),Raw_Data!E1362)</f>
        <v>20580.44</v>
      </c>
      <c r="F1362" s="15" t="str">
        <f>IF(ISBLANK(Raw_Data!F1362),AVERAGE(Raw_Data!F$2:F$5002),Raw_Data!F1362)</f>
        <v>11138.30</v>
      </c>
      <c r="G1362" s="14" t="str">
        <f>IF(ISBLANK(Raw_Data!G1362),AVERAGE(Raw_Data!G$2:G$5002),Raw_Data!G1362)</f>
        <v>11761.48</v>
      </c>
      <c r="H1362" s="15" t="str">
        <f t="shared" si="1"/>
        <v>95406.00</v>
      </c>
      <c r="I1362" s="14" t="str">
        <f t="shared" si="2"/>
        <v>83645.00</v>
      </c>
      <c r="J1362" s="16" t="str">
        <f>TEXT(Raw_Data!J1362,"MMM-YYY")</f>
        <v>Sep-2025</v>
      </c>
      <c r="K1362" s="13" t="str">
        <f>Raw_Data!K1362</f>
        <v>3</v>
      </c>
      <c r="L1362" s="17" t="str">
        <f>Raw_Data!L1362</f>
        <v>Ahmedabad-West</v>
      </c>
      <c r="M1362" s="13" t="str">
        <f t="shared" si="3"/>
        <v>OK</v>
      </c>
      <c r="N1362" s="18" t="str">
        <f t="shared" si="4"/>
        <v>VALID</v>
      </c>
    </row>
    <row r="1363" ht="15.75" customHeight="1">
      <c r="A1363" s="13" t="str">
        <f>Raw_Data!A1363</f>
        <v>EMP1429</v>
      </c>
      <c r="B1363" s="13" t="str">
        <f>TRIM(CLEAN(Raw_Data!B1363))</f>
        <v>Sales</v>
      </c>
      <c r="C1363" s="18" t="s">
        <v>33</v>
      </c>
      <c r="D1363" s="14" t="str">
        <f>IF(ISBLANK(Raw_Data!D1363),AVERAGE(Raw_Data!D$2:D$5002),Raw_Data!D1363)</f>
        <v>63697.87</v>
      </c>
      <c r="E1363" s="15" t="str">
        <f>IF(ISBLANK(Raw_Data!E1363),AVERAGE(Raw_Data!E$2:E$5002),Raw_Data!E1363)</f>
        <v>20585.06</v>
      </c>
      <c r="F1363" s="15" t="str">
        <f>IF(ISBLANK(Raw_Data!F1363),AVERAGE(Raw_Data!F$2:F$5002),Raw_Data!F1363)</f>
        <v>11145.98</v>
      </c>
      <c r="G1363" s="14" t="str">
        <f>IF(ISBLANK(Raw_Data!G1363),AVERAGE(Raw_Data!G$2:G$5002),Raw_Data!G1363)</f>
        <v>11764.88</v>
      </c>
      <c r="H1363" s="15" t="str">
        <f t="shared" si="1"/>
        <v>95429.00</v>
      </c>
      <c r="I1363" s="14" t="str">
        <f t="shared" si="2"/>
        <v>83664.00</v>
      </c>
      <c r="J1363" s="16" t="str">
        <f>TEXT(Raw_Data!J1363,"MMM-YYY")</f>
        <v>Nov-2025</v>
      </c>
      <c r="K1363" s="13" t="str">
        <f>Raw_Data!K1363</f>
        <v>22</v>
      </c>
      <c r="L1363" s="17" t="str">
        <f>Raw_Data!L1363</f>
        <v>Jaipur-North</v>
      </c>
      <c r="M1363" s="13" t="str">
        <f t="shared" si="3"/>
        <v>OK</v>
      </c>
      <c r="N1363" s="18" t="str">
        <f t="shared" si="4"/>
        <v>VALID</v>
      </c>
    </row>
    <row r="1364" ht="15.75" customHeight="1">
      <c r="A1364" s="13" t="str">
        <f>Raw_Data!A1364</f>
        <v>EMP1430</v>
      </c>
      <c r="B1364" s="13" t="str">
        <f>TRIM(CLEAN(Raw_Data!B1364))</f>
        <v>Operations</v>
      </c>
      <c r="C1364" s="18" t="s">
        <v>54</v>
      </c>
      <c r="D1364" s="14" t="str">
        <f>IF(ISBLANK(Raw_Data!D1364),AVERAGE(Raw_Data!D$2:D$5002),Raw_Data!D1364)</f>
        <v>63708.76</v>
      </c>
      <c r="E1364" s="15" t="str">
        <f>IF(ISBLANK(Raw_Data!E1364),AVERAGE(Raw_Data!E$2:E$5002),Raw_Data!E1364)</f>
        <v>20589.67</v>
      </c>
      <c r="F1364" s="15" t="str">
        <f>IF(ISBLANK(Raw_Data!F1364),AVERAGE(Raw_Data!F$2:F$5002),Raw_Data!F1364)</f>
        <v>11153.66</v>
      </c>
      <c r="G1364" s="14" t="str">
        <f>IF(ISBLANK(Raw_Data!G1364),AVERAGE(Raw_Data!G$2:G$5002),Raw_Data!G1364)</f>
        <v>11768.28</v>
      </c>
      <c r="H1364" s="15" t="str">
        <f t="shared" si="1"/>
        <v>95452.00</v>
      </c>
      <c r="I1364" s="14" t="str">
        <f t="shared" si="2"/>
        <v>83684.00</v>
      </c>
      <c r="J1364" s="16" t="str">
        <f>TEXT(Raw_Data!J1364,"MMM-YYY")</f>
        <v>Apr-2025</v>
      </c>
      <c r="K1364" s="13" t="str">
        <f>Raw_Data!K1364</f>
        <v>14</v>
      </c>
      <c r="L1364" s="17" t="str">
        <f>Raw_Data!L1364</f>
        <v>Mumbai-HO</v>
      </c>
      <c r="M1364" s="13" t="str">
        <f t="shared" si="3"/>
        <v>OK</v>
      </c>
      <c r="N1364" s="18" t="str">
        <f t="shared" si="4"/>
        <v>VALID</v>
      </c>
    </row>
    <row r="1365" ht="15.75" customHeight="1">
      <c r="A1365" s="13" t="str">
        <f>Raw_Data!A1365</f>
        <v>EMP1431</v>
      </c>
      <c r="B1365" s="13" t="str">
        <f>TRIM(CLEAN(Raw_Data!B1365))</f>
        <v>Customer Support</v>
      </c>
      <c r="C1365" s="18" t="s">
        <v>37</v>
      </c>
      <c r="D1365" s="14" t="str">
        <f>IF(ISBLANK(Raw_Data!D1365),AVERAGE(Raw_Data!D$2:D$5002),Raw_Data!D1365)</f>
        <v>63719.64</v>
      </c>
      <c r="E1365" s="15" t="str">
        <f>IF(ISBLANK(Raw_Data!E1365),AVERAGE(Raw_Data!E$2:E$5002),Raw_Data!E1365)</f>
        <v>20594.29</v>
      </c>
      <c r="F1365" s="15" t="str">
        <f>IF(ISBLANK(Raw_Data!F1365),AVERAGE(Raw_Data!F$2:F$5002),Raw_Data!F1365)</f>
        <v>11161.34</v>
      </c>
      <c r="G1365" s="14" t="str">
        <f>IF(ISBLANK(Raw_Data!G1365),AVERAGE(Raw_Data!G$2:G$5002),Raw_Data!G1365)</f>
        <v>11771.67</v>
      </c>
      <c r="H1365" s="15" t="str">
        <f t="shared" si="1"/>
        <v>95475.00</v>
      </c>
      <c r="I1365" s="14" t="str">
        <f t="shared" si="2"/>
        <v>83703.00</v>
      </c>
      <c r="J1365" s="16" t="str">
        <f>TEXT(Raw_Data!J1365,"MMM-YYY")</f>
        <v>Jun-2025</v>
      </c>
      <c r="K1365" s="13" t="str">
        <f>Raw_Data!K1365</f>
        <v>18</v>
      </c>
      <c r="L1365" s="17" t="str">
        <f>Raw_Data!L1365</f>
        <v>Delhi-North</v>
      </c>
      <c r="M1365" s="13" t="str">
        <f t="shared" si="3"/>
        <v>OK</v>
      </c>
      <c r="N1365" s="18" t="str">
        <f t="shared" si="4"/>
        <v>VALID</v>
      </c>
    </row>
    <row r="1366" ht="15.75" customHeight="1">
      <c r="A1366" s="13" t="str">
        <f>Raw_Data!A1366</f>
        <v>EMP1432</v>
      </c>
      <c r="B1366" s="13" t="str">
        <f>TRIM(CLEAN(Raw_Data!B1366))</f>
        <v>Marketing</v>
      </c>
      <c r="C1366" s="18" t="s">
        <v>33</v>
      </c>
      <c r="D1366" s="14" t="str">
        <f>IF(ISBLANK(Raw_Data!D1366),AVERAGE(Raw_Data!D$2:D$5002),Raw_Data!D1366)</f>
        <v>63730.52</v>
      </c>
      <c r="E1366" s="15" t="str">
        <f>IF(ISBLANK(Raw_Data!E1366),AVERAGE(Raw_Data!E$2:E$5002),Raw_Data!E1366)</f>
        <v>20598.90</v>
      </c>
      <c r="F1366" s="15" t="str">
        <f>IF(ISBLANK(Raw_Data!F1366),AVERAGE(Raw_Data!F$2:F$5002),Raw_Data!F1366)</f>
        <v>11169.02</v>
      </c>
      <c r="G1366" s="14" t="str">
        <f>IF(ISBLANK(Raw_Data!G1366),AVERAGE(Raw_Data!G$2:G$5002),Raw_Data!G1366)</f>
        <v>11775.07</v>
      </c>
      <c r="H1366" s="15" t="str">
        <f t="shared" si="1"/>
        <v>95498.00</v>
      </c>
      <c r="I1366" s="14" t="str">
        <f t="shared" si="2"/>
        <v>83723.00</v>
      </c>
      <c r="J1366" s="16" t="str">
        <f>TEXT(Raw_Data!J1366,"MMM-YYY")</f>
        <v>Aug-2025</v>
      </c>
      <c r="K1366" s="13" t="str">
        <f>Raw_Data!K1366</f>
        <v>23</v>
      </c>
      <c r="L1366" s="17" t="str">
        <f>Raw_Data!L1366</f>
        <v>Bangalore-South</v>
      </c>
      <c r="M1366" s="13" t="str">
        <f t="shared" si="3"/>
        <v>OK</v>
      </c>
      <c r="N1366" s="18" t="str">
        <f t="shared" si="4"/>
        <v>VALID</v>
      </c>
    </row>
    <row r="1367" ht="15.75" customHeight="1">
      <c r="A1367" s="13" t="str">
        <f>Raw_Data!A1367</f>
        <v>EMP1433</v>
      </c>
      <c r="B1367" s="13" t="str">
        <f>TRIM(CLEAN(Raw_Data!B1367))</f>
        <v>Marketing</v>
      </c>
      <c r="C1367" s="18" t="s">
        <v>33</v>
      </c>
      <c r="D1367" s="14" t="str">
        <f>IF(ISBLANK(Raw_Data!D1367),AVERAGE(Raw_Data!D$2:D$5002),Raw_Data!D1367)</f>
        <v>63741.41</v>
      </c>
      <c r="E1367" s="15" t="str">
        <f>IF(ISBLANK(Raw_Data!E1367),AVERAGE(Raw_Data!E$2:E$5002),Raw_Data!E1367)</f>
        <v>20603.52</v>
      </c>
      <c r="F1367" s="15" t="str">
        <f>IF(ISBLANK(Raw_Data!F1367),AVERAGE(Raw_Data!F$2:F$5002),Raw_Data!F1367)</f>
        <v>11176.70</v>
      </c>
      <c r="G1367" s="14" t="str">
        <f>IF(ISBLANK(Raw_Data!G1367),AVERAGE(Raw_Data!G$2:G$5002),Raw_Data!G1367)</f>
        <v>11778.47</v>
      </c>
      <c r="H1367" s="15" t="str">
        <f t="shared" si="1"/>
        <v>95522.00</v>
      </c>
      <c r="I1367" s="14" t="str">
        <f t="shared" si="2"/>
        <v>83744.00</v>
      </c>
      <c r="J1367" s="16" t="str">
        <f>TEXT(Raw_Data!J1367,"MMM-YYY")</f>
        <v>Dec-2025</v>
      </c>
      <c r="K1367" s="13" t="str">
        <f>Raw_Data!K1367</f>
        <v>20</v>
      </c>
      <c r="L1367" s="17" t="str">
        <f>Raw_Data!L1367</f>
        <v>Chennai-South</v>
      </c>
      <c r="M1367" s="13" t="str">
        <f t="shared" si="3"/>
        <v>OK</v>
      </c>
      <c r="N1367" s="18" t="str">
        <f t="shared" si="4"/>
        <v>VALID</v>
      </c>
    </row>
    <row r="1368" ht="15.75" customHeight="1">
      <c r="A1368" s="13" t="str">
        <f>Raw_Data!A1368</f>
        <v>EMP1434</v>
      </c>
      <c r="B1368" s="13" t="str">
        <f>TRIM(CLEAN(Raw_Data!B1368))</f>
        <v>HR</v>
      </c>
      <c r="C1368" s="18" t="s">
        <v>14</v>
      </c>
      <c r="D1368" s="14" t="str">
        <f>IF(ISBLANK(Raw_Data!D1368),AVERAGE(Raw_Data!D$2:D$5002),Raw_Data!D1368)</f>
        <v>63752.29</v>
      </c>
      <c r="E1368" s="15" t="str">
        <f>IF(ISBLANK(Raw_Data!E1368),AVERAGE(Raw_Data!E$2:E$5002),Raw_Data!E1368)</f>
        <v>20608.13</v>
      </c>
      <c r="F1368" s="15" t="str">
        <f>IF(ISBLANK(Raw_Data!F1368),AVERAGE(Raw_Data!F$2:F$5002),Raw_Data!F1368)</f>
        <v>11184.38</v>
      </c>
      <c r="G1368" s="14" t="str">
        <f>IF(ISBLANK(Raw_Data!G1368),AVERAGE(Raw_Data!G$2:G$5002),Raw_Data!G1368)</f>
        <v>11781.87</v>
      </c>
      <c r="H1368" s="15" t="str">
        <f t="shared" si="1"/>
        <v>95545.00</v>
      </c>
      <c r="I1368" s="14" t="str">
        <f t="shared" si="2"/>
        <v>83763.00</v>
      </c>
      <c r="J1368" s="16" t="str">
        <f>TEXT(Raw_Data!J1368,"MMM-YYY")</f>
        <v>Sep-2025</v>
      </c>
      <c r="K1368" s="13" t="str">
        <f>Raw_Data!K1368</f>
        <v>4</v>
      </c>
      <c r="L1368" s="17" t="str">
        <f>Raw_Data!L1368</f>
        <v>Kolkata-East</v>
      </c>
      <c r="M1368" s="13" t="str">
        <f t="shared" si="3"/>
        <v>OK</v>
      </c>
      <c r="N1368" s="18" t="str">
        <f t="shared" si="4"/>
        <v>VALID</v>
      </c>
    </row>
    <row r="1369" ht="15.75" customHeight="1">
      <c r="A1369" s="13" t="str">
        <f>Raw_Data!A1369</f>
        <v>EMP1435</v>
      </c>
      <c r="B1369" s="13" t="str">
        <f>TRIM(CLEAN(Raw_Data!B1369))</f>
        <v>IT</v>
      </c>
      <c r="C1369" s="18" t="s">
        <v>26</v>
      </c>
      <c r="D1369" s="14" t="str">
        <f>IF(ISBLANK(Raw_Data!D1369),AVERAGE(Raw_Data!D$2:D$5002),Raw_Data!D1369)</f>
        <v>63763.17</v>
      </c>
      <c r="E1369" s="15" t="str">
        <f>IF(ISBLANK(Raw_Data!E1369),AVERAGE(Raw_Data!E$2:E$5002),Raw_Data!E1369)</f>
        <v>20612.74</v>
      </c>
      <c r="F1369" s="15" t="str">
        <f>IF(ISBLANK(Raw_Data!F1369),AVERAGE(Raw_Data!F$2:F$5002),Raw_Data!F1369)</f>
        <v>11192.06</v>
      </c>
      <c r="G1369" s="14" t="str">
        <f>IF(ISBLANK(Raw_Data!G1369),AVERAGE(Raw_Data!G$2:G$5002),Raw_Data!G1369)</f>
        <v>11785.26</v>
      </c>
      <c r="H1369" s="15" t="str">
        <f t="shared" si="1"/>
        <v>95568.00</v>
      </c>
      <c r="I1369" s="14" t="str">
        <f t="shared" si="2"/>
        <v>83783.00</v>
      </c>
      <c r="J1369" s="16" t="str">
        <f>TEXT(Raw_Data!J1369,"MMM-YYY")</f>
        <v>Jul-2025</v>
      </c>
      <c r="K1369" s="13" t="str">
        <f>Raw_Data!K1369</f>
        <v>18</v>
      </c>
      <c r="L1369" s="17" t="str">
        <f>Raw_Data!L1369</f>
        <v>Pune-West</v>
      </c>
      <c r="M1369" s="13" t="str">
        <f t="shared" si="3"/>
        <v>OK</v>
      </c>
      <c r="N1369" s="18" t="str">
        <f t="shared" si="4"/>
        <v>VALID</v>
      </c>
    </row>
    <row r="1370" ht="15.75" customHeight="1">
      <c r="A1370" s="13" t="str">
        <f>Raw_Data!A1370</f>
        <v>EMP1436</v>
      </c>
      <c r="B1370" s="13" t="str">
        <f>TRIM(CLEAN(Raw_Data!B1370))</f>
        <v>IT</v>
      </c>
      <c r="C1370" s="18" t="s">
        <v>18</v>
      </c>
      <c r="D1370" s="14" t="str">
        <f>IF(ISBLANK(Raw_Data!D1370),AVERAGE(Raw_Data!D$2:D$5002),Raw_Data!D1370)</f>
        <v>63774.05</v>
      </c>
      <c r="E1370" s="15" t="str">
        <f>IF(ISBLANK(Raw_Data!E1370),AVERAGE(Raw_Data!E$2:E$5002),Raw_Data!E1370)</f>
        <v>20617.36</v>
      </c>
      <c r="F1370" s="15" t="str">
        <f>IF(ISBLANK(Raw_Data!F1370),AVERAGE(Raw_Data!F$2:F$5002),Raw_Data!F1370)</f>
        <v>11199.74</v>
      </c>
      <c r="G1370" s="14" t="str">
        <f>IF(ISBLANK(Raw_Data!G1370),AVERAGE(Raw_Data!G$2:G$5002),Raw_Data!G1370)</f>
        <v>11788.66</v>
      </c>
      <c r="H1370" s="15" t="str">
        <f t="shared" si="1"/>
        <v>95591.00</v>
      </c>
      <c r="I1370" s="14" t="str">
        <f t="shared" si="2"/>
        <v>83802.00</v>
      </c>
      <c r="J1370" s="16" t="str">
        <f>TEXT(Raw_Data!J1370,"MMM-YYY")</f>
        <v>Feb-2025</v>
      </c>
      <c r="K1370" s="13" t="str">
        <f>Raw_Data!K1370</f>
        <v>13</v>
      </c>
      <c r="L1370" s="17" t="str">
        <f>Raw_Data!L1370</f>
        <v>Hyderabad-South</v>
      </c>
      <c r="M1370" s="13" t="str">
        <f t="shared" si="3"/>
        <v>OK</v>
      </c>
      <c r="N1370" s="18" t="str">
        <f t="shared" si="4"/>
        <v>VALID</v>
      </c>
    </row>
    <row r="1371" ht="15.75" customHeight="1">
      <c r="A1371" s="13" t="str">
        <f>Raw_Data!A1371</f>
        <v>EMP1437</v>
      </c>
      <c r="B1371" s="13" t="str">
        <f>TRIM(CLEAN(Raw_Data!B1371))</f>
        <v>Customer Support</v>
      </c>
      <c r="C1371" s="18" t="s">
        <v>18</v>
      </c>
      <c r="D1371" s="14" t="str">
        <f>IF(ISBLANK(Raw_Data!D1371),AVERAGE(Raw_Data!D$2:D$5002),Raw_Data!D1371)</f>
        <v>63784.94</v>
      </c>
      <c r="E1371" s="15" t="str">
        <f>IF(ISBLANK(Raw_Data!E1371),AVERAGE(Raw_Data!E$2:E$5002),Raw_Data!E1371)</f>
        <v>20621.97</v>
      </c>
      <c r="F1371" s="15" t="str">
        <f>IF(ISBLANK(Raw_Data!F1371),AVERAGE(Raw_Data!F$2:F$5002),Raw_Data!F1371)</f>
        <v>11207.42</v>
      </c>
      <c r="G1371" s="14" t="str">
        <f>IF(ISBLANK(Raw_Data!G1371),AVERAGE(Raw_Data!G$2:G$5002),Raw_Data!G1371)</f>
        <v>11792.06</v>
      </c>
      <c r="H1371" s="15" t="str">
        <f t="shared" si="1"/>
        <v>95614.00</v>
      </c>
      <c r="I1371" s="14" t="str">
        <f t="shared" si="2"/>
        <v>83822.00</v>
      </c>
      <c r="J1371" s="16" t="str">
        <f>TEXT(Raw_Data!J1371,"MMM-YYY")</f>
        <v>Feb-2025</v>
      </c>
      <c r="K1371" s="13" t="str">
        <f>Raw_Data!K1371</f>
        <v>4</v>
      </c>
      <c r="L1371" s="17" t="str">
        <f>Raw_Data!L1371</f>
        <v>Chandigarh-North</v>
      </c>
      <c r="M1371" s="13" t="str">
        <f t="shared" si="3"/>
        <v>OK</v>
      </c>
      <c r="N1371" s="18" t="str">
        <f t="shared" si="4"/>
        <v>VALID</v>
      </c>
    </row>
    <row r="1372" ht="15.75" customHeight="1">
      <c r="A1372" s="13" t="str">
        <f>Raw_Data!A1372</f>
        <v>EMP1438</v>
      </c>
      <c r="B1372" s="13" t="str">
        <f>TRIM(CLEAN(Raw_Data!B1372))</f>
        <v>Operations</v>
      </c>
      <c r="C1372" s="18" t="s">
        <v>37</v>
      </c>
      <c r="D1372" s="14" t="str">
        <f>IF(ISBLANK(Raw_Data!D1372),AVERAGE(Raw_Data!D$2:D$5002),Raw_Data!D1372)</f>
        <v>63795.82</v>
      </c>
      <c r="E1372" s="15" t="str">
        <f>IF(ISBLANK(Raw_Data!E1372),AVERAGE(Raw_Data!E$2:E$5002),Raw_Data!E1372)</f>
        <v>20626.59</v>
      </c>
      <c r="F1372" s="15" t="str">
        <f>IF(ISBLANK(Raw_Data!F1372),AVERAGE(Raw_Data!F$2:F$5002),Raw_Data!F1372)</f>
        <v>11215.10</v>
      </c>
      <c r="G1372" s="14" t="str">
        <f>IF(ISBLANK(Raw_Data!G1372),AVERAGE(Raw_Data!G$2:G$5002),Raw_Data!G1372)</f>
        <v>11795.46</v>
      </c>
      <c r="H1372" s="15" t="str">
        <f t="shared" si="1"/>
        <v>95638.00</v>
      </c>
      <c r="I1372" s="14" t="str">
        <f t="shared" si="2"/>
        <v>83843.00</v>
      </c>
      <c r="J1372" s="16" t="str">
        <f>TEXT(Raw_Data!J1372,"MMM-YYY")</f>
        <v>Apr-2025</v>
      </c>
      <c r="K1372" s="13" t="str">
        <f>Raw_Data!K1372</f>
        <v>13</v>
      </c>
      <c r="L1372" s="17" t="str">
        <f>Raw_Data!L1372</f>
        <v>Ahmedabad-West</v>
      </c>
      <c r="M1372" s="13" t="str">
        <f t="shared" si="3"/>
        <v>OK</v>
      </c>
      <c r="N1372" s="18" t="str">
        <f t="shared" si="4"/>
        <v>VALID</v>
      </c>
    </row>
    <row r="1373" ht="15.75" customHeight="1">
      <c r="A1373" s="13" t="str">
        <f>Raw_Data!A1373</f>
        <v>EMP1440</v>
      </c>
      <c r="B1373" s="13" t="str">
        <f>TRIM(CLEAN(Raw_Data!B1373))</f>
        <v>Customer Support</v>
      </c>
      <c r="C1373" s="18" t="s">
        <v>54</v>
      </c>
      <c r="D1373" s="14" t="str">
        <f>IF(ISBLANK(Raw_Data!D1373),AVERAGE(Raw_Data!D$2:D$5002),Raw_Data!D1373)</f>
        <v>63817.59</v>
      </c>
      <c r="E1373" s="15" t="str">
        <f>IF(ISBLANK(Raw_Data!E1373),AVERAGE(Raw_Data!E$2:E$5002),Raw_Data!E1373)</f>
        <v>20635.82</v>
      </c>
      <c r="F1373" s="15" t="str">
        <f>IF(ISBLANK(Raw_Data!F1373),AVERAGE(Raw_Data!F$2:F$5002),Raw_Data!F1373)</f>
        <v>11230.46</v>
      </c>
      <c r="G1373" s="14" t="str">
        <f>IF(ISBLANK(Raw_Data!G1373),AVERAGE(Raw_Data!G$2:G$5002),Raw_Data!G1373)</f>
        <v>11802.25</v>
      </c>
      <c r="H1373" s="15" t="str">
        <f t="shared" si="1"/>
        <v>95684.00</v>
      </c>
      <c r="I1373" s="14" t="str">
        <f t="shared" si="2"/>
        <v>83882.00</v>
      </c>
      <c r="J1373" s="16" t="str">
        <f>TEXT(Raw_Data!J1373,"MMM-YYY")</f>
        <v>Dec-2025</v>
      </c>
      <c r="K1373" s="13" t="str">
        <f>Raw_Data!K1373</f>
        <v>17</v>
      </c>
      <c r="L1373" s="17" t="str">
        <f>Raw_Data!L1373</f>
        <v>Mumbai-HO</v>
      </c>
      <c r="M1373" s="13" t="str">
        <f t="shared" si="3"/>
        <v>OK</v>
      </c>
      <c r="N1373" s="18" t="str">
        <f t="shared" si="4"/>
        <v>VALID</v>
      </c>
    </row>
    <row r="1374" ht="15.75" customHeight="1">
      <c r="A1374" s="13" t="str">
        <f>Raw_Data!A1374</f>
        <v>EMP1441</v>
      </c>
      <c r="B1374" s="13" t="str">
        <f>TRIM(CLEAN(Raw_Data!B1374))</f>
        <v>Sales</v>
      </c>
      <c r="C1374" s="18" t="s">
        <v>18</v>
      </c>
      <c r="D1374" s="14" t="str">
        <f>IF(ISBLANK(Raw_Data!D1374),AVERAGE(Raw_Data!D$2:D$5002),Raw_Data!D1374)</f>
        <v>63828.47</v>
      </c>
      <c r="E1374" s="15" t="str">
        <f>IF(ISBLANK(Raw_Data!E1374),AVERAGE(Raw_Data!E$2:E$5002),Raw_Data!E1374)</f>
        <v>20640.43</v>
      </c>
      <c r="F1374" s="15" t="str">
        <f>IF(ISBLANK(Raw_Data!F1374),AVERAGE(Raw_Data!F$2:F$5002),Raw_Data!F1374)</f>
        <v>11238.14</v>
      </c>
      <c r="G1374" s="14" t="str">
        <f>IF(ISBLANK(Raw_Data!G1374),AVERAGE(Raw_Data!G$2:G$5002),Raw_Data!G1374)</f>
        <v>11805.65</v>
      </c>
      <c r="H1374" s="15" t="str">
        <f t="shared" si="1"/>
        <v>95707.00</v>
      </c>
      <c r="I1374" s="14" t="str">
        <f t="shared" si="2"/>
        <v>83901.00</v>
      </c>
      <c r="J1374" s="16" t="str">
        <f>TEXT(Raw_Data!J1374,"MMM-YYY")</f>
        <v>Jun-2025</v>
      </c>
      <c r="K1374" s="13" t="str">
        <f>Raw_Data!K1374</f>
        <v>25</v>
      </c>
      <c r="L1374" s="17" t="str">
        <f>Raw_Data!L1374</f>
        <v>Delhi-North</v>
      </c>
      <c r="M1374" s="13" t="str">
        <f t="shared" si="3"/>
        <v>OK</v>
      </c>
      <c r="N1374" s="18" t="str">
        <f t="shared" si="4"/>
        <v>VALID</v>
      </c>
    </row>
    <row r="1375" ht="15.75" customHeight="1">
      <c r="A1375" s="13" t="str">
        <f>Raw_Data!A1375</f>
        <v>EMP1442</v>
      </c>
      <c r="B1375" s="13" t="str">
        <f>TRIM(CLEAN(Raw_Data!B1375))</f>
        <v>IT</v>
      </c>
      <c r="C1375" s="18" t="s">
        <v>14</v>
      </c>
      <c r="D1375" s="14" t="str">
        <f>IF(ISBLANK(Raw_Data!D1375),AVERAGE(Raw_Data!D$2:D$5002),Raw_Data!D1375)</f>
        <v>63839.35</v>
      </c>
      <c r="E1375" s="15" t="str">
        <f>IF(ISBLANK(Raw_Data!E1375),AVERAGE(Raw_Data!E$2:E$5002),Raw_Data!E1375)</f>
        <v>20645.05</v>
      </c>
      <c r="F1375" s="15" t="str">
        <f>IF(ISBLANK(Raw_Data!F1375),AVERAGE(Raw_Data!F$2:F$5002),Raw_Data!F1375)</f>
        <v>11245.82</v>
      </c>
      <c r="G1375" s="14" t="str">
        <f>IF(ISBLANK(Raw_Data!G1375),AVERAGE(Raw_Data!G$2:G$5002),Raw_Data!G1375)</f>
        <v>11809.05</v>
      </c>
      <c r="H1375" s="15" t="str">
        <f t="shared" si="1"/>
        <v>95730.00</v>
      </c>
      <c r="I1375" s="14" t="str">
        <f t="shared" si="2"/>
        <v>83921.00</v>
      </c>
      <c r="J1375" s="16" t="str">
        <f>TEXT(Raw_Data!J1375,"MMM-YYY")</f>
        <v>Feb-2025</v>
      </c>
      <c r="K1375" s="13" t="str">
        <f>Raw_Data!K1375</f>
        <v>11</v>
      </c>
      <c r="L1375" s="17" t="str">
        <f>Raw_Data!L1375</f>
        <v>Bangalore-South</v>
      </c>
      <c r="M1375" s="13" t="str">
        <f t="shared" si="3"/>
        <v>OK</v>
      </c>
      <c r="N1375" s="18" t="str">
        <f t="shared" si="4"/>
        <v>VALID</v>
      </c>
    </row>
    <row r="1376" ht="15.75" customHeight="1">
      <c r="A1376" s="13" t="str">
        <f>Raw_Data!A1376</f>
        <v>EMP1443</v>
      </c>
      <c r="B1376" s="13" t="str">
        <f>TRIM(CLEAN(Raw_Data!B1376))</f>
        <v>IT</v>
      </c>
      <c r="C1376" s="18" t="s">
        <v>14</v>
      </c>
      <c r="D1376" s="14" t="str">
        <f>IF(ISBLANK(Raw_Data!D1376),AVERAGE(Raw_Data!D$2:D$5002),Raw_Data!D1376)</f>
        <v>63850.23</v>
      </c>
      <c r="E1376" s="15" t="str">
        <f>IF(ISBLANK(Raw_Data!E1376),AVERAGE(Raw_Data!E$2:E$5002),Raw_Data!E1376)</f>
        <v>20649.66</v>
      </c>
      <c r="F1376" s="15" t="str">
        <f>IF(ISBLANK(Raw_Data!F1376),AVERAGE(Raw_Data!F$2:F$5002),Raw_Data!F1376)</f>
        <v>11253.50</v>
      </c>
      <c r="G1376" s="14" t="str">
        <f>IF(ISBLANK(Raw_Data!G1376),AVERAGE(Raw_Data!G$2:G$5002),Raw_Data!G1376)</f>
        <v>11812.44</v>
      </c>
      <c r="H1376" s="15" t="str">
        <f t="shared" si="1"/>
        <v>95753.00</v>
      </c>
      <c r="I1376" s="14" t="str">
        <f t="shared" si="2"/>
        <v>83941.00</v>
      </c>
      <c r="J1376" s="16" t="str">
        <f>TEXT(Raw_Data!J1376,"MMM-YYY")</f>
        <v>Apr-2025</v>
      </c>
      <c r="K1376" s="13" t="str">
        <f>Raw_Data!K1376</f>
        <v>22</v>
      </c>
      <c r="L1376" s="17" t="str">
        <f>Raw_Data!L1376</f>
        <v>Chennai-South</v>
      </c>
      <c r="M1376" s="13" t="str">
        <f t="shared" si="3"/>
        <v>OK</v>
      </c>
      <c r="N1376" s="18" t="str">
        <f t="shared" si="4"/>
        <v>VALID</v>
      </c>
    </row>
    <row r="1377" ht="15.75" customHeight="1">
      <c r="A1377" s="13" t="str">
        <f>Raw_Data!A1377</f>
        <v>EMP1444</v>
      </c>
      <c r="B1377" s="13" t="str">
        <f>TRIM(CLEAN(Raw_Data!B1377))</f>
        <v>Finance</v>
      </c>
      <c r="C1377" s="18" t="s">
        <v>18</v>
      </c>
      <c r="D1377" s="14" t="str">
        <f>IF(ISBLANK(Raw_Data!D1377),AVERAGE(Raw_Data!D$2:D$5002),Raw_Data!D1377)</f>
        <v>63861.12</v>
      </c>
      <c r="E1377" s="15" t="str">
        <f>IF(ISBLANK(Raw_Data!E1377),AVERAGE(Raw_Data!E$2:E$5002),Raw_Data!E1377)</f>
        <v>20654.28</v>
      </c>
      <c r="F1377" s="15" t="str">
        <f>IF(ISBLANK(Raw_Data!F1377),AVERAGE(Raw_Data!F$2:F$5002),Raw_Data!F1377)</f>
        <v>11261.18</v>
      </c>
      <c r="G1377" s="14" t="str">
        <f>IF(ISBLANK(Raw_Data!G1377),AVERAGE(Raw_Data!G$2:G$5002),Raw_Data!G1377)</f>
        <v>11815.84</v>
      </c>
      <c r="H1377" s="15" t="str">
        <f t="shared" si="1"/>
        <v>95777.00</v>
      </c>
      <c r="I1377" s="14" t="str">
        <f t="shared" si="2"/>
        <v>83961.00</v>
      </c>
      <c r="J1377" s="16" t="str">
        <f>TEXT(Raw_Data!J1377,"MMM-YYY")</f>
        <v>Jun-2025</v>
      </c>
      <c r="K1377" s="13" t="str">
        <f>Raw_Data!K1377</f>
        <v>4</v>
      </c>
      <c r="L1377" s="17" t="str">
        <f>Raw_Data!L1377</f>
        <v>Kolkata-East</v>
      </c>
      <c r="M1377" s="13" t="str">
        <f t="shared" si="3"/>
        <v>OK</v>
      </c>
      <c r="N1377" s="18" t="str">
        <f t="shared" si="4"/>
        <v>VALID</v>
      </c>
    </row>
    <row r="1378" ht="15.75" customHeight="1">
      <c r="A1378" s="13" t="str">
        <f>Raw_Data!A1378</f>
        <v>EMP1445</v>
      </c>
      <c r="B1378" s="13" t="str">
        <f>TRIM(CLEAN(Raw_Data!B1378))</f>
        <v>Marketing</v>
      </c>
      <c r="C1378" s="18" t="s">
        <v>54</v>
      </c>
      <c r="D1378" s="14" t="str">
        <f>IF(ISBLANK(Raw_Data!D1378),AVERAGE(Raw_Data!D$2:D$5002),Raw_Data!D1378)</f>
        <v>63872.00</v>
      </c>
      <c r="E1378" s="15" t="str">
        <f>IF(ISBLANK(Raw_Data!E1378),AVERAGE(Raw_Data!E$2:E$5002),Raw_Data!E1378)</f>
        <v>20658.89</v>
      </c>
      <c r="F1378" s="15" t="str">
        <f>IF(ISBLANK(Raw_Data!F1378),AVERAGE(Raw_Data!F$2:F$5002),Raw_Data!F1378)</f>
        <v>11268.86</v>
      </c>
      <c r="G1378" s="14" t="str">
        <f>IF(ISBLANK(Raw_Data!G1378),AVERAGE(Raw_Data!G$2:G$5002),Raw_Data!G1378)</f>
        <v>11819.24</v>
      </c>
      <c r="H1378" s="15" t="str">
        <f t="shared" si="1"/>
        <v>95800.00</v>
      </c>
      <c r="I1378" s="14" t="str">
        <f t="shared" si="2"/>
        <v>83981.00</v>
      </c>
      <c r="J1378" s="16" t="str">
        <f>TEXT(Raw_Data!J1378,"MMM-YYY")</f>
        <v>Oct-2025</v>
      </c>
      <c r="K1378" s="13" t="str">
        <f>Raw_Data!K1378</f>
        <v>4</v>
      </c>
      <c r="L1378" s="17" t="str">
        <f>Raw_Data!L1378</f>
        <v>Pune-West</v>
      </c>
      <c r="M1378" s="13" t="str">
        <f t="shared" si="3"/>
        <v>OK</v>
      </c>
      <c r="N1378" s="18" t="str">
        <f t="shared" si="4"/>
        <v>VALID</v>
      </c>
    </row>
    <row r="1379" ht="15.75" customHeight="1">
      <c r="A1379" s="13" t="str">
        <f>Raw_Data!A1379</f>
        <v>EMP1446</v>
      </c>
      <c r="B1379" s="13" t="str">
        <f>TRIM(CLEAN(Raw_Data!B1379))</f>
        <v>Customer Support</v>
      </c>
      <c r="C1379" s="18" t="s">
        <v>37</v>
      </c>
      <c r="D1379" s="14" t="str">
        <f>IF(ISBLANK(Raw_Data!D1379),AVERAGE(Raw_Data!D$2:D$5002),Raw_Data!D1379)</f>
        <v>63882.88</v>
      </c>
      <c r="E1379" s="15" t="str">
        <f>IF(ISBLANK(Raw_Data!E1379),AVERAGE(Raw_Data!E$2:E$5002),Raw_Data!E1379)</f>
        <v>20663.51</v>
      </c>
      <c r="F1379" s="15" t="str">
        <f>IF(ISBLANK(Raw_Data!F1379),AVERAGE(Raw_Data!F$2:F$5002),Raw_Data!F1379)</f>
        <v>11276.54</v>
      </c>
      <c r="G1379" s="14" t="str">
        <f>IF(ISBLANK(Raw_Data!G1379),AVERAGE(Raw_Data!G$2:G$5002),Raw_Data!G1379)</f>
        <v>11822.64</v>
      </c>
      <c r="H1379" s="15" t="str">
        <f t="shared" si="1"/>
        <v>95823.00</v>
      </c>
      <c r="I1379" s="14" t="str">
        <f t="shared" si="2"/>
        <v>84000.00</v>
      </c>
      <c r="J1379" s="16" t="str">
        <f>TEXT(Raw_Data!J1379,"MMM-YYY")</f>
        <v>Oct-2025</v>
      </c>
      <c r="K1379" s="13" t="str">
        <f>Raw_Data!K1379</f>
        <v>10</v>
      </c>
      <c r="L1379" s="17" t="str">
        <f>Raw_Data!L1379</f>
        <v>Hyderabad-South</v>
      </c>
      <c r="M1379" s="13" t="str">
        <f t="shared" si="3"/>
        <v>OK</v>
      </c>
      <c r="N1379" s="18" t="str">
        <f t="shared" si="4"/>
        <v>VALID</v>
      </c>
    </row>
    <row r="1380" ht="15.75" customHeight="1">
      <c r="A1380" s="13" t="str">
        <f>Raw_Data!A1380</f>
        <v>EMP1447</v>
      </c>
      <c r="B1380" s="13" t="str">
        <f>TRIM(CLEAN(Raw_Data!B1380))</f>
        <v>HR</v>
      </c>
      <c r="C1380" s="18" t="s">
        <v>18</v>
      </c>
      <c r="D1380" s="14" t="str">
        <f>IF(ISBLANK(Raw_Data!D1380),AVERAGE(Raw_Data!D$2:D$5002),Raw_Data!D1380)</f>
        <v>63893.77</v>
      </c>
      <c r="E1380" s="15" t="str">
        <f>IF(ISBLANK(Raw_Data!E1380),AVERAGE(Raw_Data!E$2:E$5002),Raw_Data!E1380)</f>
        <v>20668.12</v>
      </c>
      <c r="F1380" s="15" t="str">
        <f>IF(ISBLANK(Raw_Data!F1380),AVERAGE(Raw_Data!F$2:F$5002),Raw_Data!F1380)</f>
        <v>11284.22</v>
      </c>
      <c r="G1380" s="14" t="str">
        <f>IF(ISBLANK(Raw_Data!G1380),AVERAGE(Raw_Data!G$2:G$5002),Raw_Data!G1380)</f>
        <v>11826.03</v>
      </c>
      <c r="H1380" s="15" t="str">
        <f t="shared" si="1"/>
        <v>95846.00</v>
      </c>
      <c r="I1380" s="14" t="str">
        <f t="shared" si="2"/>
        <v>84020.00</v>
      </c>
      <c r="J1380" s="16" t="str">
        <f>TEXT(Raw_Data!J1380,"MMM-YYY")</f>
        <v>Jul-2025</v>
      </c>
      <c r="K1380" s="13" t="str">
        <f>Raw_Data!K1380</f>
        <v>15</v>
      </c>
      <c r="L1380" s="17" t="str">
        <f>Raw_Data!L1380</f>
        <v>Chandigarh-North</v>
      </c>
      <c r="M1380" s="13" t="str">
        <f t="shared" si="3"/>
        <v>OK</v>
      </c>
      <c r="N1380" s="18" t="str">
        <f t="shared" si="4"/>
        <v>VALID</v>
      </c>
    </row>
    <row r="1381" ht="15.75" customHeight="1">
      <c r="A1381" s="13" t="str">
        <f>Raw_Data!A1381</f>
        <v>EMP1448</v>
      </c>
      <c r="B1381" s="13" t="str">
        <f>TRIM(CLEAN(Raw_Data!B1381))</f>
        <v>Marketing</v>
      </c>
      <c r="C1381" s="18" t="s">
        <v>54</v>
      </c>
      <c r="D1381" s="14" t="str">
        <f>IF(ISBLANK(Raw_Data!D1381),AVERAGE(Raw_Data!D$2:D$5002),Raw_Data!D1381)</f>
        <v>63904.65</v>
      </c>
      <c r="E1381" s="15" t="str">
        <f>IF(ISBLANK(Raw_Data!E1381),AVERAGE(Raw_Data!E$2:E$5002),Raw_Data!E1381)</f>
        <v>20672.74</v>
      </c>
      <c r="F1381" s="15" t="str">
        <f>IF(ISBLANK(Raw_Data!F1381),AVERAGE(Raw_Data!F$2:F$5002),Raw_Data!F1381)</f>
        <v>11291.90</v>
      </c>
      <c r="G1381" s="14" t="str">
        <f>IF(ISBLANK(Raw_Data!G1381),AVERAGE(Raw_Data!G$2:G$5002),Raw_Data!G1381)</f>
        <v>11829.43</v>
      </c>
      <c r="H1381" s="15" t="str">
        <f t="shared" si="1"/>
        <v>95869.00</v>
      </c>
      <c r="I1381" s="14" t="str">
        <f t="shared" si="2"/>
        <v>84040.00</v>
      </c>
      <c r="J1381" s="16" t="str">
        <f>TEXT(Raw_Data!J1381,"MMM-YYY")</f>
        <v>May-2025</v>
      </c>
      <c r="K1381" s="13" t="str">
        <f>Raw_Data!K1381</f>
        <v>2</v>
      </c>
      <c r="L1381" s="17" t="str">
        <f>Raw_Data!L1381</f>
        <v>Ahmedabad-West</v>
      </c>
      <c r="M1381" s="13" t="str">
        <f t="shared" si="3"/>
        <v>OK</v>
      </c>
      <c r="N1381" s="18" t="str">
        <f t="shared" si="4"/>
        <v>VALID</v>
      </c>
    </row>
    <row r="1382" ht="15.75" customHeight="1">
      <c r="A1382" s="13" t="str">
        <f>Raw_Data!A1382</f>
        <v>EMP1449</v>
      </c>
      <c r="B1382" s="13" t="str">
        <f>TRIM(CLEAN(Raw_Data!B1382))</f>
        <v>HR</v>
      </c>
      <c r="C1382" s="18" t="s">
        <v>33</v>
      </c>
      <c r="D1382" s="14" t="str">
        <f>IF(ISBLANK(Raw_Data!D1382),AVERAGE(Raw_Data!D$2:D$5002),Raw_Data!D1382)</f>
        <v>71831.17</v>
      </c>
      <c r="E1382" s="15" t="str">
        <f>IF(ISBLANK(Raw_Data!E1382),AVERAGE(Raw_Data!E$2:E$5002),Raw_Data!E1382)</f>
        <v>20677.35</v>
      </c>
      <c r="F1382" s="15" t="str">
        <f>IF(ISBLANK(Raw_Data!F1382),AVERAGE(Raw_Data!F$2:F$5002),Raw_Data!F1382)</f>
        <v>11299.58</v>
      </c>
      <c r="G1382" s="14" t="str">
        <f>IF(ISBLANK(Raw_Data!G1382),AVERAGE(Raw_Data!G$2:G$5002),Raw_Data!G1382)</f>
        <v>11832.83</v>
      </c>
      <c r="H1382" s="15" t="str">
        <f t="shared" si="1"/>
        <v>103808.00</v>
      </c>
      <c r="I1382" s="14" t="str">
        <f t="shared" si="2"/>
        <v>91975.00</v>
      </c>
      <c r="J1382" s="16" t="str">
        <f>TEXT(Raw_Data!J1382,"MMM-YYY")</f>
        <v>May-2025</v>
      </c>
      <c r="K1382" s="13" t="str">
        <f>Raw_Data!K1382</f>
        <v>19</v>
      </c>
      <c r="L1382" s="17" t="str">
        <f>Raw_Data!L1382</f>
        <v>Jaipur-North</v>
      </c>
      <c r="M1382" s="13" t="str">
        <f t="shared" si="3"/>
        <v>OK</v>
      </c>
      <c r="N1382" s="18" t="str">
        <f t="shared" si="4"/>
        <v>VALID</v>
      </c>
    </row>
    <row r="1383" ht="15.75" customHeight="1">
      <c r="A1383" s="13" t="str">
        <f>Raw_Data!A1383</f>
        <v>EMP1450</v>
      </c>
      <c r="B1383" s="13" t="str">
        <f>TRIM(CLEAN(Raw_Data!B1383))</f>
        <v>HR</v>
      </c>
      <c r="C1383" s="18" t="s">
        <v>30</v>
      </c>
      <c r="D1383" s="14" t="str">
        <f>IF(ISBLANK(Raw_Data!D1383),AVERAGE(Raw_Data!D$2:D$5002),Raw_Data!D1383)</f>
        <v>63926.42</v>
      </c>
      <c r="E1383" s="15" t="str">
        <f>IF(ISBLANK(Raw_Data!E1383),AVERAGE(Raw_Data!E$2:E$5002),Raw_Data!E1383)</f>
        <v>20681.97</v>
      </c>
      <c r="F1383" s="15" t="str">
        <f>IF(ISBLANK(Raw_Data!F1383),AVERAGE(Raw_Data!F$2:F$5002),Raw_Data!F1383)</f>
        <v>11307.26</v>
      </c>
      <c r="G1383" s="14" t="str">
        <f>IF(ISBLANK(Raw_Data!G1383),AVERAGE(Raw_Data!G$2:G$5002),Raw_Data!G1383)</f>
        <v>11836.23</v>
      </c>
      <c r="H1383" s="15" t="str">
        <f t="shared" si="1"/>
        <v>95916.00</v>
      </c>
      <c r="I1383" s="14" t="str">
        <f t="shared" si="2"/>
        <v>84080.00</v>
      </c>
      <c r="J1383" s="16" t="str">
        <f>TEXT(Raw_Data!J1383,"MMM-YYY")</f>
        <v>Jan-2025</v>
      </c>
      <c r="K1383" s="13" t="str">
        <f>Raw_Data!K1383</f>
        <v>7</v>
      </c>
      <c r="L1383" s="17" t="str">
        <f>Raw_Data!L1383</f>
        <v>Mumbai-HO</v>
      </c>
      <c r="M1383" s="13" t="str">
        <f t="shared" si="3"/>
        <v>OK</v>
      </c>
      <c r="N1383" s="18" t="str">
        <f t="shared" si="4"/>
        <v>VALID</v>
      </c>
    </row>
    <row r="1384" ht="15.75" customHeight="1">
      <c r="A1384" s="13" t="str">
        <f>Raw_Data!A1384</f>
        <v>EMP1451</v>
      </c>
      <c r="B1384" s="13" t="str">
        <f>TRIM(CLEAN(Raw_Data!B1384))</f>
        <v>Finance</v>
      </c>
      <c r="C1384" s="18" t="s">
        <v>26</v>
      </c>
      <c r="D1384" s="14" t="str">
        <f>IF(ISBLANK(Raw_Data!D1384),AVERAGE(Raw_Data!D$2:D$5002),Raw_Data!D1384)</f>
        <v>63937.30</v>
      </c>
      <c r="E1384" s="15" t="str">
        <f>IF(ISBLANK(Raw_Data!E1384),AVERAGE(Raw_Data!E$2:E$5002),Raw_Data!E1384)</f>
        <v>20686.58</v>
      </c>
      <c r="F1384" s="15" t="str">
        <f>IF(ISBLANK(Raw_Data!F1384),AVERAGE(Raw_Data!F$2:F$5002),Raw_Data!F1384)</f>
        <v>11314.94</v>
      </c>
      <c r="G1384" s="14" t="str">
        <f>IF(ISBLANK(Raw_Data!G1384),AVERAGE(Raw_Data!G$2:G$5002),Raw_Data!G1384)</f>
        <v>11839.62</v>
      </c>
      <c r="H1384" s="15" t="str">
        <f t="shared" si="1"/>
        <v>95939.00</v>
      </c>
      <c r="I1384" s="14" t="str">
        <f t="shared" si="2"/>
        <v>84099.00</v>
      </c>
      <c r="J1384" s="16" t="str">
        <f>TEXT(Raw_Data!J1384,"MMM-YYY")</f>
        <v>Apr-2025</v>
      </c>
      <c r="K1384" s="13" t="str">
        <f>Raw_Data!K1384</f>
        <v>14</v>
      </c>
      <c r="L1384" s="17" t="str">
        <f>Raw_Data!L1384</f>
        <v>Delhi-North</v>
      </c>
      <c r="M1384" s="13" t="str">
        <f t="shared" si="3"/>
        <v>OK</v>
      </c>
      <c r="N1384" s="18" t="str">
        <f t="shared" si="4"/>
        <v>VALID</v>
      </c>
    </row>
    <row r="1385" ht="15.75" customHeight="1">
      <c r="A1385" s="13" t="str">
        <f>Raw_Data!A1385</f>
        <v>EMP1452</v>
      </c>
      <c r="B1385" s="13" t="str">
        <f>TRIM(CLEAN(Raw_Data!B1385))</f>
        <v>Marketing</v>
      </c>
      <c r="C1385" s="18" t="s">
        <v>18</v>
      </c>
      <c r="D1385" s="14" t="str">
        <f>IF(ISBLANK(Raw_Data!D1385),AVERAGE(Raw_Data!D$2:D$5002),Raw_Data!D1385)</f>
        <v>63948.18</v>
      </c>
      <c r="E1385" s="15" t="str">
        <f>IF(ISBLANK(Raw_Data!E1385),AVERAGE(Raw_Data!E$2:E$5002),Raw_Data!E1385)</f>
        <v>20691.20</v>
      </c>
      <c r="F1385" s="15" t="str">
        <f>IF(ISBLANK(Raw_Data!F1385),AVERAGE(Raw_Data!F$2:F$5002),Raw_Data!F1385)</f>
        <v>11322.62</v>
      </c>
      <c r="G1385" s="14" t="str">
        <f>IF(ISBLANK(Raw_Data!G1385),AVERAGE(Raw_Data!G$2:G$5002),Raw_Data!G1385)</f>
        <v>11843.02</v>
      </c>
      <c r="H1385" s="15" t="str">
        <f t="shared" si="1"/>
        <v>95962.00</v>
      </c>
      <c r="I1385" s="14" t="str">
        <f t="shared" si="2"/>
        <v>84119.00</v>
      </c>
      <c r="J1385" s="16" t="str">
        <f>TEXT(Raw_Data!J1385,"MMM-YYY")</f>
        <v>Dec-2025</v>
      </c>
      <c r="K1385" s="13" t="str">
        <f>Raw_Data!K1385</f>
        <v>17</v>
      </c>
      <c r="L1385" s="17" t="str">
        <f>Raw_Data!L1385</f>
        <v>Bangalore-South</v>
      </c>
      <c r="M1385" s="13" t="str">
        <f t="shared" si="3"/>
        <v>OK</v>
      </c>
      <c r="N1385" s="18" t="str">
        <f t="shared" si="4"/>
        <v>VALID</v>
      </c>
    </row>
    <row r="1386" ht="15.75" customHeight="1">
      <c r="A1386" s="13" t="str">
        <f>Raw_Data!A1386</f>
        <v>EMP1453</v>
      </c>
      <c r="B1386" s="13" t="str">
        <f>TRIM(CLEAN(Raw_Data!B1386))</f>
        <v>Operations</v>
      </c>
      <c r="C1386" s="18" t="s">
        <v>37</v>
      </c>
      <c r="D1386" s="14" t="str">
        <f>IF(ISBLANK(Raw_Data!D1386),AVERAGE(Raw_Data!D$2:D$5002),Raw_Data!D1386)</f>
        <v>63959.06</v>
      </c>
      <c r="E1386" s="15" t="str">
        <f>IF(ISBLANK(Raw_Data!E1386),AVERAGE(Raw_Data!E$2:E$5002),Raw_Data!E1386)</f>
        <v>20695.81</v>
      </c>
      <c r="F1386" s="15" t="str">
        <f>IF(ISBLANK(Raw_Data!F1386),AVERAGE(Raw_Data!F$2:F$5002),Raw_Data!F1386)</f>
        <v>11330.30</v>
      </c>
      <c r="G1386" s="14" t="str">
        <f>IF(ISBLANK(Raw_Data!G1386),AVERAGE(Raw_Data!G$2:G$5002),Raw_Data!G1386)</f>
        <v>11846.42</v>
      </c>
      <c r="H1386" s="15" t="str">
        <f t="shared" si="1"/>
        <v>95985.00</v>
      </c>
      <c r="I1386" s="14" t="str">
        <f t="shared" si="2"/>
        <v>84139.00</v>
      </c>
      <c r="J1386" s="16" t="str">
        <f>TEXT(Raw_Data!J1386,"MMM-YYY")</f>
        <v>Oct-2025</v>
      </c>
      <c r="K1386" s="13" t="str">
        <f>Raw_Data!K1386</f>
        <v>25</v>
      </c>
      <c r="L1386" s="17" t="str">
        <f>Raw_Data!L1386</f>
        <v>Chennai-South</v>
      </c>
      <c r="M1386" s="13" t="str">
        <f t="shared" si="3"/>
        <v>OK</v>
      </c>
      <c r="N1386" s="18" t="str">
        <f t="shared" si="4"/>
        <v>VALID</v>
      </c>
    </row>
    <row r="1387" ht="15.75" customHeight="1">
      <c r="A1387" s="13" t="str">
        <f>Raw_Data!A1387</f>
        <v>EMP1454</v>
      </c>
      <c r="B1387" s="13" t="str">
        <f>TRIM(CLEAN(Raw_Data!B1387))</f>
        <v>HR</v>
      </c>
      <c r="C1387" s="18" t="s">
        <v>54</v>
      </c>
      <c r="D1387" s="14" t="str">
        <f>IF(ISBLANK(Raw_Data!D1387),AVERAGE(Raw_Data!D$2:D$5002),Raw_Data!D1387)</f>
        <v>63969.95</v>
      </c>
      <c r="E1387" s="15" t="str">
        <f>IF(ISBLANK(Raw_Data!E1387),AVERAGE(Raw_Data!E$2:E$5002),Raw_Data!E1387)</f>
        <v>20700.42</v>
      </c>
      <c r="F1387" s="15" t="str">
        <f>IF(ISBLANK(Raw_Data!F1387),AVERAGE(Raw_Data!F$2:F$5002),Raw_Data!F1387)</f>
        <v>11337.98</v>
      </c>
      <c r="G1387" s="14" t="str">
        <f>IF(ISBLANK(Raw_Data!G1387),AVERAGE(Raw_Data!G$2:G$5002),Raw_Data!G1387)</f>
        <v>11849.82</v>
      </c>
      <c r="H1387" s="15" t="str">
        <f t="shared" si="1"/>
        <v>96008.00</v>
      </c>
      <c r="I1387" s="14" t="str">
        <f t="shared" si="2"/>
        <v>84158.00</v>
      </c>
      <c r="J1387" s="16" t="str">
        <f>TEXT(Raw_Data!J1387,"MMM-YYY")</f>
        <v>Jul-2025</v>
      </c>
      <c r="K1387" s="13" t="str">
        <f>Raw_Data!K1387</f>
        <v>24</v>
      </c>
      <c r="L1387" s="17" t="str">
        <f>Raw_Data!L1387</f>
        <v>Kolkata-East</v>
      </c>
      <c r="M1387" s="13" t="str">
        <f t="shared" si="3"/>
        <v>OK</v>
      </c>
      <c r="N1387" s="18" t="str">
        <f t="shared" si="4"/>
        <v>VALID</v>
      </c>
    </row>
    <row r="1388" ht="15.75" customHeight="1">
      <c r="A1388" s="13" t="str">
        <f>Raw_Data!A1388</f>
        <v>EMP1455</v>
      </c>
      <c r="B1388" s="13" t="str">
        <f>TRIM(CLEAN(Raw_Data!B1388))</f>
        <v>Marketing</v>
      </c>
      <c r="C1388" s="18" t="s">
        <v>37</v>
      </c>
      <c r="D1388" s="14" t="str">
        <f>IF(ISBLANK(Raw_Data!D1388),AVERAGE(Raw_Data!D$2:D$5002),Raw_Data!D1388)</f>
        <v>63980.83</v>
      </c>
      <c r="E1388" s="15" t="str">
        <f>IF(ISBLANK(Raw_Data!E1388),AVERAGE(Raw_Data!E$2:E$5002),Raw_Data!E1388)</f>
        <v>20705.04</v>
      </c>
      <c r="F1388" s="15" t="str">
        <f>IF(ISBLANK(Raw_Data!F1388),AVERAGE(Raw_Data!F$2:F$5002),Raw_Data!F1388)</f>
        <v>11345.66</v>
      </c>
      <c r="G1388" s="14" t="str">
        <f>IF(ISBLANK(Raw_Data!G1388),AVERAGE(Raw_Data!G$2:G$5002),Raw_Data!G1388)</f>
        <v>11853.22</v>
      </c>
      <c r="H1388" s="15" t="str">
        <f t="shared" si="1"/>
        <v>96032.00</v>
      </c>
      <c r="I1388" s="14" t="str">
        <f t="shared" si="2"/>
        <v>84179.00</v>
      </c>
      <c r="J1388" s="16" t="str">
        <f>TEXT(Raw_Data!J1388,"MMM-YYY")</f>
        <v>Dec-2025</v>
      </c>
      <c r="K1388" s="13" t="str">
        <f>Raw_Data!K1388</f>
        <v>4</v>
      </c>
      <c r="L1388" s="17" t="str">
        <f>Raw_Data!L1388</f>
        <v>Pune-West</v>
      </c>
      <c r="M1388" s="13" t="str">
        <f t="shared" si="3"/>
        <v>OK</v>
      </c>
      <c r="N1388" s="18" t="str">
        <f t="shared" si="4"/>
        <v>VALID</v>
      </c>
    </row>
    <row r="1389" ht="15.75" customHeight="1">
      <c r="A1389" s="13" t="str">
        <f>Raw_Data!A1389</f>
        <v>EMP1456</v>
      </c>
      <c r="B1389" s="13" t="str">
        <f>TRIM(CLEAN(Raw_Data!B1389))</f>
        <v>HR</v>
      </c>
      <c r="C1389" s="18" t="s">
        <v>33</v>
      </c>
      <c r="D1389" s="14" t="str">
        <f>IF(ISBLANK(Raw_Data!D1389),AVERAGE(Raw_Data!D$2:D$5002),Raw_Data!D1389)</f>
        <v>63991.71</v>
      </c>
      <c r="E1389" s="15" t="str">
        <f>IF(ISBLANK(Raw_Data!E1389),AVERAGE(Raw_Data!E$2:E$5002),Raw_Data!E1389)</f>
        <v>20709.65</v>
      </c>
      <c r="F1389" s="15" t="str">
        <f>IF(ISBLANK(Raw_Data!F1389),AVERAGE(Raw_Data!F$2:F$5002),Raw_Data!F1389)</f>
        <v>11353.34</v>
      </c>
      <c r="G1389" s="14" t="str">
        <f>IF(ISBLANK(Raw_Data!G1389),AVERAGE(Raw_Data!G$2:G$5002),Raw_Data!G1389)</f>
        <v>11856.61</v>
      </c>
      <c r="H1389" s="15" t="str">
        <f t="shared" si="1"/>
        <v>96055.00</v>
      </c>
      <c r="I1389" s="14" t="str">
        <f t="shared" si="2"/>
        <v>84198.00</v>
      </c>
      <c r="J1389" s="16" t="str">
        <f>TEXT(Raw_Data!J1389,"MMM-YYY")</f>
        <v>Jul-2025</v>
      </c>
      <c r="K1389" s="13" t="str">
        <f>Raw_Data!K1389</f>
        <v>18</v>
      </c>
      <c r="L1389" s="17" t="str">
        <f>Raw_Data!L1389</f>
        <v>Hyderabad-South</v>
      </c>
      <c r="M1389" s="13" t="str">
        <f t="shared" si="3"/>
        <v>OK</v>
      </c>
      <c r="N1389" s="18" t="str">
        <f t="shared" si="4"/>
        <v>VALID</v>
      </c>
    </row>
    <row r="1390" ht="15.75" customHeight="1">
      <c r="A1390" s="13" t="str">
        <f>Raw_Data!A1390</f>
        <v>EMP1457</v>
      </c>
      <c r="B1390" s="13" t="str">
        <f>TRIM(CLEAN(Raw_Data!B1390))</f>
        <v>IT</v>
      </c>
      <c r="C1390" s="18" t="s">
        <v>14</v>
      </c>
      <c r="D1390" s="14" t="str">
        <f>IF(ISBLANK(Raw_Data!D1390),AVERAGE(Raw_Data!D$2:D$5002),Raw_Data!D1390)</f>
        <v>64002.60</v>
      </c>
      <c r="E1390" s="15" t="str">
        <f>IF(ISBLANK(Raw_Data!E1390),AVERAGE(Raw_Data!E$2:E$5002),Raw_Data!E1390)</f>
        <v>20714.27</v>
      </c>
      <c r="F1390" s="15" t="str">
        <f>IF(ISBLANK(Raw_Data!F1390),AVERAGE(Raw_Data!F$2:F$5002),Raw_Data!F1390)</f>
        <v>11361.02</v>
      </c>
      <c r="G1390" s="14" t="str">
        <f>IF(ISBLANK(Raw_Data!G1390),AVERAGE(Raw_Data!G$2:G$5002),Raw_Data!G1390)</f>
        <v>11860.01</v>
      </c>
      <c r="H1390" s="15" t="str">
        <f t="shared" si="1"/>
        <v>96078.00</v>
      </c>
      <c r="I1390" s="14" t="str">
        <f t="shared" si="2"/>
        <v>84218.00</v>
      </c>
      <c r="J1390" s="16" t="str">
        <f>TEXT(Raw_Data!J1390,"MMM-YYY")</f>
        <v>Jun-2025</v>
      </c>
      <c r="K1390" s="13" t="str">
        <f>Raw_Data!K1390</f>
        <v>1</v>
      </c>
      <c r="L1390" s="17" t="str">
        <f>Raw_Data!L1390</f>
        <v>Chandigarh-North</v>
      </c>
      <c r="M1390" s="13" t="str">
        <f t="shared" si="3"/>
        <v>OK</v>
      </c>
      <c r="N1390" s="18" t="str">
        <f t="shared" si="4"/>
        <v>VALID</v>
      </c>
    </row>
    <row r="1391" ht="15.75" customHeight="1">
      <c r="A1391" s="13" t="str">
        <f>Raw_Data!A1391</f>
        <v>EMP1458</v>
      </c>
      <c r="B1391" s="13" t="str">
        <f>TRIM(CLEAN(Raw_Data!B1391))</f>
        <v>Operations</v>
      </c>
      <c r="C1391" s="18" t="s">
        <v>14</v>
      </c>
      <c r="D1391" s="14" t="str">
        <f>IF(ISBLANK(Raw_Data!D1391),AVERAGE(Raw_Data!D$2:D$5002),Raw_Data!D1391)</f>
        <v>64013.48</v>
      </c>
      <c r="E1391" s="15" t="str">
        <f>IF(ISBLANK(Raw_Data!E1391),AVERAGE(Raw_Data!E$2:E$5002),Raw_Data!E1391)</f>
        <v>20718.88</v>
      </c>
      <c r="F1391" s="15" t="str">
        <f>IF(ISBLANK(Raw_Data!F1391),AVERAGE(Raw_Data!F$2:F$5002),Raw_Data!F1391)</f>
        <v>11368.70</v>
      </c>
      <c r="G1391" s="14" t="str">
        <f>IF(ISBLANK(Raw_Data!G1391),AVERAGE(Raw_Data!G$2:G$5002),Raw_Data!G1391)</f>
        <v>11863.41</v>
      </c>
      <c r="H1391" s="15" t="str">
        <f t="shared" si="1"/>
        <v>96101.00</v>
      </c>
      <c r="I1391" s="14" t="str">
        <f t="shared" si="2"/>
        <v>84238.00</v>
      </c>
      <c r="J1391" s="16" t="str">
        <f>TEXT(Raw_Data!J1391,"MMM-YYY")</f>
        <v>Apr-2025</v>
      </c>
      <c r="K1391" s="13" t="str">
        <f>Raw_Data!K1391</f>
        <v>6</v>
      </c>
      <c r="L1391" s="17" t="str">
        <f>Raw_Data!L1391</f>
        <v>Ahmedabad-West</v>
      </c>
      <c r="M1391" s="13" t="str">
        <f t="shared" si="3"/>
        <v>OK</v>
      </c>
      <c r="N1391" s="18" t="str">
        <f t="shared" si="4"/>
        <v>VALID</v>
      </c>
    </row>
    <row r="1392" ht="15.75" customHeight="1">
      <c r="A1392" s="13" t="str">
        <f>Raw_Data!A1392</f>
        <v>EMP1459</v>
      </c>
      <c r="B1392" s="13" t="str">
        <f>TRIM(CLEAN(Raw_Data!B1392))</f>
        <v>Customer Support</v>
      </c>
      <c r="C1392" s="18" t="s">
        <v>30</v>
      </c>
      <c r="D1392" s="14" t="str">
        <f>IF(ISBLANK(Raw_Data!D1392),AVERAGE(Raw_Data!D$2:D$5002),Raw_Data!D1392)</f>
        <v>64024.36</v>
      </c>
      <c r="E1392" s="15" t="str">
        <f>IF(ISBLANK(Raw_Data!E1392),AVERAGE(Raw_Data!E$2:E$5002),Raw_Data!E1392)</f>
        <v>20723.50</v>
      </c>
      <c r="F1392" s="15" t="str">
        <f>IF(ISBLANK(Raw_Data!F1392),AVERAGE(Raw_Data!F$2:F$5002),Raw_Data!F1392)</f>
        <v>11376.38</v>
      </c>
      <c r="G1392" s="14" t="str">
        <f>IF(ISBLANK(Raw_Data!G1392),AVERAGE(Raw_Data!G$2:G$5002),Raw_Data!G1392)</f>
        <v>11866.81</v>
      </c>
      <c r="H1392" s="15" t="str">
        <f t="shared" si="1"/>
        <v>96124.00</v>
      </c>
      <c r="I1392" s="14" t="str">
        <f t="shared" si="2"/>
        <v>84257.00</v>
      </c>
      <c r="J1392" s="16" t="str">
        <f>TEXT(Raw_Data!J1392,"MMM-YYY")</f>
        <v>Mar-2025</v>
      </c>
      <c r="K1392" s="13" t="str">
        <f>Raw_Data!K1392</f>
        <v>8</v>
      </c>
      <c r="L1392" s="17" t="str">
        <f>Raw_Data!L1392</f>
        <v>Jaipur-North</v>
      </c>
      <c r="M1392" s="13" t="str">
        <f t="shared" si="3"/>
        <v>OK</v>
      </c>
      <c r="N1392" s="18" t="str">
        <f t="shared" si="4"/>
        <v>VALID</v>
      </c>
    </row>
    <row r="1393" ht="15.75" customHeight="1">
      <c r="A1393" s="13" t="str">
        <f>Raw_Data!A1393</f>
        <v>EMP1460</v>
      </c>
      <c r="B1393" s="13" t="str">
        <f>TRIM(CLEAN(Raw_Data!B1393))</f>
        <v>Customer Support</v>
      </c>
      <c r="C1393" s="18" t="s">
        <v>33</v>
      </c>
      <c r="D1393" s="14" t="str">
        <f>IF(ISBLANK(Raw_Data!D1393),AVERAGE(Raw_Data!D$2:D$5002),Raw_Data!D1393)</f>
        <v>64035.25</v>
      </c>
      <c r="E1393" s="15" t="str">
        <f>IF(ISBLANK(Raw_Data!E1393),AVERAGE(Raw_Data!E$2:E$5002),Raw_Data!E1393)</f>
        <v>20728.11</v>
      </c>
      <c r="F1393" s="15" t="str">
        <f>IF(ISBLANK(Raw_Data!F1393),AVERAGE(Raw_Data!F$2:F$5002),Raw_Data!F1393)</f>
        <v>11384.06</v>
      </c>
      <c r="G1393" s="14" t="str">
        <f>IF(ISBLANK(Raw_Data!G1393),AVERAGE(Raw_Data!G$2:G$5002),Raw_Data!G1393)</f>
        <v>11870.20</v>
      </c>
      <c r="H1393" s="15" t="str">
        <f t="shared" si="1"/>
        <v>96147.00</v>
      </c>
      <c r="I1393" s="14" t="str">
        <f t="shared" si="2"/>
        <v>84277.00</v>
      </c>
      <c r="J1393" s="16" t="str">
        <f>TEXT(Raw_Data!J1393,"MMM-YYY")</f>
        <v>Nov-2025</v>
      </c>
      <c r="K1393" s="13" t="str">
        <f>Raw_Data!K1393</f>
        <v>14</v>
      </c>
      <c r="L1393" s="17" t="str">
        <f>Raw_Data!L1393</f>
        <v>Mumbai-HO</v>
      </c>
      <c r="M1393" s="13" t="str">
        <f t="shared" si="3"/>
        <v>OK</v>
      </c>
      <c r="N1393" s="18" t="str">
        <f t="shared" si="4"/>
        <v>VALID</v>
      </c>
    </row>
    <row r="1394" ht="15.75" customHeight="1">
      <c r="A1394" s="13" t="str">
        <f>Raw_Data!A1394</f>
        <v>EMP1461</v>
      </c>
      <c r="B1394" s="13" t="str">
        <f>TRIM(CLEAN(Raw_Data!B1394))</f>
        <v>Finance</v>
      </c>
      <c r="C1394" s="18" t="s">
        <v>14</v>
      </c>
      <c r="D1394" s="14" t="str">
        <f>IF(ISBLANK(Raw_Data!D1394),AVERAGE(Raw_Data!D$2:D$5002),Raw_Data!D1394)</f>
        <v>64046.13</v>
      </c>
      <c r="E1394" s="15" t="str">
        <f>IF(ISBLANK(Raw_Data!E1394),AVERAGE(Raw_Data!E$2:E$5002),Raw_Data!E1394)</f>
        <v>20732.73</v>
      </c>
      <c r="F1394" s="15" t="str">
        <f>IF(ISBLANK(Raw_Data!F1394),AVERAGE(Raw_Data!F$2:F$5002),Raw_Data!F1394)</f>
        <v>11391.74</v>
      </c>
      <c r="G1394" s="14" t="str">
        <f>IF(ISBLANK(Raw_Data!G1394),AVERAGE(Raw_Data!G$2:G$5002),Raw_Data!G1394)</f>
        <v>11873.60</v>
      </c>
      <c r="H1394" s="15" t="str">
        <f t="shared" si="1"/>
        <v>96171.00</v>
      </c>
      <c r="I1394" s="14" t="str">
        <f t="shared" si="2"/>
        <v>84297.00</v>
      </c>
      <c r="J1394" s="16" t="str">
        <f>TEXT(Raw_Data!J1394,"MMM-YYY")</f>
        <v>Oct-2025</v>
      </c>
      <c r="K1394" s="13" t="str">
        <f>Raw_Data!K1394</f>
        <v>16</v>
      </c>
      <c r="L1394" s="17" t="str">
        <f>Raw_Data!L1394</f>
        <v>Delhi-North</v>
      </c>
      <c r="M1394" s="13" t="str">
        <f t="shared" si="3"/>
        <v>OK</v>
      </c>
      <c r="N1394" s="18" t="str">
        <f t="shared" si="4"/>
        <v>VALID</v>
      </c>
    </row>
    <row r="1395" ht="15.75" customHeight="1">
      <c r="A1395" s="13" t="str">
        <f>Raw_Data!A1395</f>
        <v>EMP1462</v>
      </c>
      <c r="B1395" s="13" t="str">
        <f>TRIM(CLEAN(Raw_Data!B1395))</f>
        <v>HR</v>
      </c>
      <c r="C1395" s="18" t="s">
        <v>30</v>
      </c>
      <c r="D1395" s="14" t="str">
        <f>IF(ISBLANK(Raw_Data!D1395),AVERAGE(Raw_Data!D$2:D$5002),Raw_Data!D1395)</f>
        <v>64057.01</v>
      </c>
      <c r="E1395" s="15" t="str">
        <f>IF(ISBLANK(Raw_Data!E1395),AVERAGE(Raw_Data!E$2:E$5002),Raw_Data!E1395)</f>
        <v>20737.34</v>
      </c>
      <c r="F1395" s="15" t="str">
        <f>IF(ISBLANK(Raw_Data!F1395),AVERAGE(Raw_Data!F$2:F$5002),Raw_Data!F1395)</f>
        <v>11399.42</v>
      </c>
      <c r="G1395" s="14" t="str">
        <f>IF(ISBLANK(Raw_Data!G1395),AVERAGE(Raw_Data!G$2:G$5002),Raw_Data!G1395)</f>
        <v>11877.00</v>
      </c>
      <c r="H1395" s="15" t="str">
        <f t="shared" si="1"/>
        <v>96194.00</v>
      </c>
      <c r="I1395" s="14" t="str">
        <f t="shared" si="2"/>
        <v>84317.00</v>
      </c>
      <c r="J1395" s="16" t="str">
        <f>TEXT(Raw_Data!J1395,"MMM-YYY")</f>
        <v>Nov-2025</v>
      </c>
      <c r="K1395" s="13" t="str">
        <f>Raw_Data!K1395</f>
        <v>17</v>
      </c>
      <c r="L1395" s="17" t="str">
        <f>Raw_Data!L1395</f>
        <v>Bangalore-South</v>
      </c>
      <c r="M1395" s="13" t="str">
        <f t="shared" si="3"/>
        <v>OK</v>
      </c>
      <c r="N1395" s="18" t="str">
        <f t="shared" si="4"/>
        <v>VALID</v>
      </c>
    </row>
    <row r="1396" ht="15.75" customHeight="1">
      <c r="A1396" s="13" t="str">
        <f>Raw_Data!A1396</f>
        <v>EMP1463</v>
      </c>
      <c r="B1396" s="13" t="str">
        <f>TRIM(CLEAN(Raw_Data!B1396))</f>
        <v>Customer Support</v>
      </c>
      <c r="C1396" s="18" t="s">
        <v>37</v>
      </c>
      <c r="D1396" s="14" t="str">
        <f>IF(ISBLANK(Raw_Data!D1396),AVERAGE(Raw_Data!D$2:D$5002),Raw_Data!D1396)</f>
        <v>64067.89</v>
      </c>
      <c r="E1396" s="15" t="str">
        <f>IF(ISBLANK(Raw_Data!E1396),AVERAGE(Raw_Data!E$2:E$5002),Raw_Data!E1396)</f>
        <v>20741.96</v>
      </c>
      <c r="F1396" s="15" t="str">
        <f>IF(ISBLANK(Raw_Data!F1396),AVERAGE(Raw_Data!F$2:F$5002),Raw_Data!F1396)</f>
        <v>11407.10</v>
      </c>
      <c r="G1396" s="14" t="str">
        <f>IF(ISBLANK(Raw_Data!G1396),AVERAGE(Raw_Data!G$2:G$5002),Raw_Data!G1396)</f>
        <v>11880.40</v>
      </c>
      <c r="H1396" s="15" t="str">
        <f t="shared" si="1"/>
        <v>96217.00</v>
      </c>
      <c r="I1396" s="14" t="str">
        <f t="shared" si="2"/>
        <v>84337.00</v>
      </c>
      <c r="J1396" s="16" t="str">
        <f>TEXT(Raw_Data!J1396,"MMM-YYY")</f>
        <v>Feb-2025</v>
      </c>
      <c r="K1396" s="13" t="str">
        <f>Raw_Data!K1396</f>
        <v>15</v>
      </c>
      <c r="L1396" s="17" t="str">
        <f>Raw_Data!L1396</f>
        <v>Chennai-South</v>
      </c>
      <c r="M1396" s="13" t="str">
        <f t="shared" si="3"/>
        <v>OK</v>
      </c>
      <c r="N1396" s="18" t="str">
        <f t="shared" si="4"/>
        <v>VALID</v>
      </c>
    </row>
    <row r="1397" ht="15.75" customHeight="1">
      <c r="A1397" s="13" t="str">
        <f>Raw_Data!A1397</f>
        <v>EMP1464</v>
      </c>
      <c r="B1397" s="13" t="str">
        <f>TRIM(CLEAN(Raw_Data!B1397))</f>
        <v>Operations</v>
      </c>
      <c r="C1397" s="18" t="s">
        <v>33</v>
      </c>
      <c r="D1397" s="14" t="str">
        <f>IF(ISBLANK(Raw_Data!D1397),AVERAGE(Raw_Data!D$2:D$5002),Raw_Data!D1397)</f>
        <v>64078.78</v>
      </c>
      <c r="E1397" s="15" t="str">
        <f>IF(ISBLANK(Raw_Data!E1397),AVERAGE(Raw_Data!E$2:E$5002),Raw_Data!E1397)</f>
        <v>20746.57</v>
      </c>
      <c r="F1397" s="15" t="str">
        <f>IF(ISBLANK(Raw_Data!F1397),AVERAGE(Raw_Data!F$2:F$5002),Raw_Data!F1397)</f>
        <v>11414.78</v>
      </c>
      <c r="G1397" s="14" t="str">
        <f>IF(ISBLANK(Raw_Data!G1397),AVERAGE(Raw_Data!G$2:G$5002),Raw_Data!G1397)</f>
        <v>11883.79</v>
      </c>
      <c r="H1397" s="15" t="str">
        <f t="shared" si="1"/>
        <v>96240.00</v>
      </c>
      <c r="I1397" s="14" t="str">
        <f t="shared" si="2"/>
        <v>84356.00</v>
      </c>
      <c r="J1397" s="16" t="str">
        <f>TEXT(Raw_Data!J1397,"MMM-YYY")</f>
        <v>Jun-2025</v>
      </c>
      <c r="K1397" s="13" t="str">
        <f>Raw_Data!K1397</f>
        <v>18</v>
      </c>
      <c r="L1397" s="17" t="str">
        <f>Raw_Data!L1397</f>
        <v>Kolkata-East</v>
      </c>
      <c r="M1397" s="13" t="str">
        <f t="shared" si="3"/>
        <v>OK</v>
      </c>
      <c r="N1397" s="18" t="str">
        <f t="shared" si="4"/>
        <v>VALID</v>
      </c>
    </row>
    <row r="1398" ht="15.75" customHeight="1">
      <c r="A1398" s="13" t="str">
        <f>Raw_Data!A1398</f>
        <v>EMP1465</v>
      </c>
      <c r="B1398" s="13" t="str">
        <f>TRIM(CLEAN(Raw_Data!B1398))</f>
        <v>Marketing</v>
      </c>
      <c r="C1398" s="18" t="s">
        <v>54</v>
      </c>
      <c r="D1398" s="14" t="str">
        <f>IF(ISBLANK(Raw_Data!D1398),AVERAGE(Raw_Data!D$2:D$5002),Raw_Data!D1398)</f>
        <v>64089.66</v>
      </c>
      <c r="E1398" s="15" t="str">
        <f>IF(ISBLANK(Raw_Data!E1398),AVERAGE(Raw_Data!E$2:E$5002),Raw_Data!E1398)</f>
        <v>20751.19</v>
      </c>
      <c r="F1398" s="15" t="str">
        <f>IF(ISBLANK(Raw_Data!F1398),AVERAGE(Raw_Data!F$2:F$5002),Raw_Data!F1398)</f>
        <v>11422.46</v>
      </c>
      <c r="G1398" s="14" t="str">
        <f>IF(ISBLANK(Raw_Data!G1398),AVERAGE(Raw_Data!G$2:G$5002),Raw_Data!G1398)</f>
        <v>11887.19</v>
      </c>
      <c r="H1398" s="15" t="str">
        <f t="shared" si="1"/>
        <v>96263.00</v>
      </c>
      <c r="I1398" s="14" t="str">
        <f t="shared" si="2"/>
        <v>84376.00</v>
      </c>
      <c r="J1398" s="16" t="str">
        <f>TEXT(Raw_Data!J1398,"MMM-YYY")</f>
        <v>May-2025</v>
      </c>
      <c r="K1398" s="13" t="str">
        <f>Raw_Data!K1398</f>
        <v>9</v>
      </c>
      <c r="L1398" s="17" t="str">
        <f>Raw_Data!L1398</f>
        <v>Pune-West</v>
      </c>
      <c r="M1398" s="13" t="str">
        <f t="shared" si="3"/>
        <v>OK</v>
      </c>
      <c r="N1398" s="18" t="str">
        <f t="shared" si="4"/>
        <v>VALID</v>
      </c>
    </row>
    <row r="1399" ht="15.75" customHeight="1">
      <c r="A1399" s="13" t="str">
        <f>Raw_Data!A1399</f>
        <v>EMP1466</v>
      </c>
      <c r="B1399" s="13" t="str">
        <f>TRIM(CLEAN(Raw_Data!B1399))</f>
        <v>Operations</v>
      </c>
      <c r="C1399" s="18" t="s">
        <v>14</v>
      </c>
      <c r="D1399" s="14" t="str">
        <f>IF(ISBLANK(Raw_Data!D1399),AVERAGE(Raw_Data!D$2:D$5002),Raw_Data!D1399)</f>
        <v>64100.54</v>
      </c>
      <c r="E1399" s="15" t="str">
        <f>IF(ISBLANK(Raw_Data!E1399),AVERAGE(Raw_Data!E$2:E$5002),Raw_Data!E1399)</f>
        <v>20755.80</v>
      </c>
      <c r="F1399" s="15" t="str">
        <f>IF(ISBLANK(Raw_Data!F1399),AVERAGE(Raw_Data!F$2:F$5002),Raw_Data!F1399)</f>
        <v>11430.14</v>
      </c>
      <c r="G1399" s="14" t="str">
        <f>IF(ISBLANK(Raw_Data!G1399),AVERAGE(Raw_Data!G$2:G$5002),Raw_Data!G1399)</f>
        <v>11890.59</v>
      </c>
      <c r="H1399" s="15" t="str">
        <f t="shared" si="1"/>
        <v>96286.00</v>
      </c>
      <c r="I1399" s="14" t="str">
        <f t="shared" si="2"/>
        <v>84395.00</v>
      </c>
      <c r="J1399" s="16" t="str">
        <f>TEXT(Raw_Data!J1399,"MMM-YYY")</f>
        <v>Sep-2025</v>
      </c>
      <c r="K1399" s="13" t="str">
        <f>Raw_Data!K1399</f>
        <v>3</v>
      </c>
      <c r="L1399" s="17" t="str">
        <f>Raw_Data!L1399</f>
        <v>Hyderabad-South</v>
      </c>
      <c r="M1399" s="13" t="str">
        <f t="shared" si="3"/>
        <v>OK</v>
      </c>
      <c r="N1399" s="18" t="str">
        <f t="shared" si="4"/>
        <v>VALID</v>
      </c>
    </row>
    <row r="1400" ht="15.75" customHeight="1">
      <c r="A1400" s="13" t="str">
        <f>Raw_Data!A1400</f>
        <v>EMP1467</v>
      </c>
      <c r="B1400" s="13" t="str">
        <f>TRIM(CLEAN(Raw_Data!B1400))</f>
        <v>HR</v>
      </c>
      <c r="C1400" s="18" t="s">
        <v>18</v>
      </c>
      <c r="D1400" s="14" t="str">
        <f>IF(ISBLANK(Raw_Data!D1400),AVERAGE(Raw_Data!D$2:D$5002),Raw_Data!D1400)</f>
        <v>64111.43</v>
      </c>
      <c r="E1400" s="15" t="str">
        <f>IF(ISBLANK(Raw_Data!E1400),AVERAGE(Raw_Data!E$2:E$5002),Raw_Data!E1400)</f>
        <v>20760.42</v>
      </c>
      <c r="F1400" s="15" t="str">
        <f>IF(ISBLANK(Raw_Data!F1400),AVERAGE(Raw_Data!F$2:F$5002),Raw_Data!F1400)</f>
        <v>11437.82</v>
      </c>
      <c r="G1400" s="14" t="str">
        <f>IF(ISBLANK(Raw_Data!G1400),AVERAGE(Raw_Data!G$2:G$5002),Raw_Data!G1400)</f>
        <v>11893.99</v>
      </c>
      <c r="H1400" s="15" t="str">
        <f t="shared" si="1"/>
        <v>96310.00</v>
      </c>
      <c r="I1400" s="14" t="str">
        <f t="shared" si="2"/>
        <v>84416.00</v>
      </c>
      <c r="J1400" s="16" t="str">
        <f>TEXT(Raw_Data!J1400,"MMM-YYY")</f>
        <v>Jan-2025</v>
      </c>
      <c r="K1400" s="13" t="str">
        <f>Raw_Data!K1400</f>
        <v>17</v>
      </c>
      <c r="L1400" s="17" t="str">
        <f>Raw_Data!L1400</f>
        <v>Chandigarh-North</v>
      </c>
      <c r="M1400" s="13" t="str">
        <f t="shared" si="3"/>
        <v>OK</v>
      </c>
      <c r="N1400" s="18" t="str">
        <f t="shared" si="4"/>
        <v>VALID</v>
      </c>
    </row>
    <row r="1401" ht="15.75" customHeight="1">
      <c r="A1401" s="13" t="str">
        <f>Raw_Data!A1401</f>
        <v>EMP1468</v>
      </c>
      <c r="B1401" s="13" t="str">
        <f>TRIM(CLEAN(Raw_Data!B1401))</f>
        <v>Marketing</v>
      </c>
      <c r="C1401" s="18" t="s">
        <v>54</v>
      </c>
      <c r="D1401" s="14" t="str">
        <f>IF(ISBLANK(Raw_Data!D1401),AVERAGE(Raw_Data!D$2:D$5002),Raw_Data!D1401)</f>
        <v>64122.31</v>
      </c>
      <c r="E1401" s="15" t="str">
        <f>IF(ISBLANK(Raw_Data!E1401),AVERAGE(Raw_Data!E$2:E$5002),Raw_Data!E1401)</f>
        <v>20765.03</v>
      </c>
      <c r="F1401" s="15" t="str">
        <f>IF(ISBLANK(Raw_Data!F1401),AVERAGE(Raw_Data!F$2:F$5002),Raw_Data!F1401)</f>
        <v>11445.50</v>
      </c>
      <c r="G1401" s="14" t="str">
        <f>IF(ISBLANK(Raw_Data!G1401),AVERAGE(Raw_Data!G$2:G$5002),Raw_Data!G1401)</f>
        <v>14562.73</v>
      </c>
      <c r="H1401" s="15" t="str">
        <f t="shared" si="1"/>
        <v>96333.00</v>
      </c>
      <c r="I1401" s="14" t="str">
        <f t="shared" si="2"/>
        <v>81770.00</v>
      </c>
      <c r="J1401" s="16" t="str">
        <f>TEXT(Raw_Data!J1401,"MMM-YYY")</f>
        <v>Sep-2025</v>
      </c>
      <c r="K1401" s="13" t="str">
        <f>Raw_Data!K1401</f>
        <v>4</v>
      </c>
      <c r="L1401" s="17" t="str">
        <f>Raw_Data!L1401</f>
        <v>Ahmedabad-West</v>
      </c>
      <c r="M1401" s="13" t="str">
        <f t="shared" si="3"/>
        <v>OK</v>
      </c>
      <c r="N1401" s="18" t="str">
        <f t="shared" si="4"/>
        <v>VALID</v>
      </c>
    </row>
    <row r="1402" ht="15.75" customHeight="1">
      <c r="A1402" s="13" t="str">
        <f>Raw_Data!A1402</f>
        <v>EMP1469</v>
      </c>
      <c r="B1402" s="13" t="str">
        <f>TRIM(CLEAN(Raw_Data!B1402))</f>
        <v>Marketing</v>
      </c>
      <c r="C1402" s="18" t="s">
        <v>26</v>
      </c>
      <c r="D1402" s="14" t="str">
        <f>IF(ISBLANK(Raw_Data!D1402),AVERAGE(Raw_Data!D$2:D$5002),Raw_Data!D1402)</f>
        <v>64133.19</v>
      </c>
      <c r="E1402" s="15" t="str">
        <f>IF(ISBLANK(Raw_Data!E1402),AVERAGE(Raw_Data!E$2:E$5002),Raw_Data!E1402)</f>
        <v>20769.65</v>
      </c>
      <c r="F1402" s="15" t="str">
        <f>IF(ISBLANK(Raw_Data!F1402),AVERAGE(Raw_Data!F$2:F$5002),Raw_Data!F1402)</f>
        <v>11453.18</v>
      </c>
      <c r="G1402" s="14" t="str">
        <f>IF(ISBLANK(Raw_Data!G1402),AVERAGE(Raw_Data!G$2:G$5002),Raw_Data!G1402)</f>
        <v>11900.78</v>
      </c>
      <c r="H1402" s="15" t="str">
        <f t="shared" si="1"/>
        <v>96356.00</v>
      </c>
      <c r="I1402" s="14" t="str">
        <f t="shared" si="2"/>
        <v>84455.00</v>
      </c>
      <c r="J1402" s="16" t="str">
        <f>TEXT(Raw_Data!J1402,"MMM-YYY")</f>
        <v>Dec-2025</v>
      </c>
      <c r="K1402" s="13" t="str">
        <f>Raw_Data!K1402</f>
        <v>17</v>
      </c>
      <c r="L1402" s="17" t="str">
        <f>Raw_Data!L1402</f>
        <v>Jaipur-North</v>
      </c>
      <c r="M1402" s="13" t="str">
        <f t="shared" si="3"/>
        <v>OK</v>
      </c>
      <c r="N1402" s="18" t="str">
        <f t="shared" si="4"/>
        <v>VALID</v>
      </c>
    </row>
    <row r="1403" ht="15.75" customHeight="1">
      <c r="A1403" s="13" t="str">
        <f>Raw_Data!A1403</f>
        <v>EMP1470</v>
      </c>
      <c r="B1403" s="13" t="str">
        <f>TRIM(CLEAN(Raw_Data!B1403))</f>
        <v>Finance</v>
      </c>
      <c r="C1403" s="18" t="s">
        <v>14</v>
      </c>
      <c r="D1403" s="14" t="str">
        <f>IF(ISBLANK(Raw_Data!D1403),AVERAGE(Raw_Data!D$2:D$5002),Raw_Data!D1403)</f>
        <v>64144.07</v>
      </c>
      <c r="E1403" s="15" t="str">
        <f>IF(ISBLANK(Raw_Data!E1403),AVERAGE(Raw_Data!E$2:E$5002),Raw_Data!E1403)</f>
        <v>20774.26</v>
      </c>
      <c r="F1403" s="15" t="str">
        <f>IF(ISBLANK(Raw_Data!F1403),AVERAGE(Raw_Data!F$2:F$5002),Raw_Data!F1403)</f>
        <v>11460.86</v>
      </c>
      <c r="G1403" s="14" t="str">
        <f>IF(ISBLANK(Raw_Data!G1403),AVERAGE(Raw_Data!G$2:G$5002),Raw_Data!G1403)</f>
        <v>11904.18</v>
      </c>
      <c r="H1403" s="15" t="str">
        <f t="shared" si="1"/>
        <v>96379.00</v>
      </c>
      <c r="I1403" s="14" t="str">
        <f t="shared" si="2"/>
        <v>84475.00</v>
      </c>
      <c r="J1403" s="16" t="str">
        <f>TEXT(Raw_Data!J1403,"MMM-YYY")</f>
        <v>Aug-2025</v>
      </c>
      <c r="K1403" s="13" t="str">
        <f>Raw_Data!K1403</f>
        <v>3</v>
      </c>
      <c r="L1403" s="17" t="str">
        <f>Raw_Data!L1403</f>
        <v>Mumbai-HO</v>
      </c>
      <c r="M1403" s="13" t="str">
        <f t="shared" si="3"/>
        <v>OK</v>
      </c>
      <c r="N1403" s="18" t="str">
        <f t="shared" si="4"/>
        <v>VALID</v>
      </c>
    </row>
    <row r="1404" ht="15.75" customHeight="1">
      <c r="A1404" s="13" t="str">
        <f>Raw_Data!A1404</f>
        <v>EMP1471</v>
      </c>
      <c r="B1404" s="13" t="str">
        <f>TRIM(CLEAN(Raw_Data!B1404))</f>
        <v>HR</v>
      </c>
      <c r="C1404" s="18" t="s">
        <v>37</v>
      </c>
      <c r="D1404" s="14" t="str">
        <f>IF(ISBLANK(Raw_Data!D1404),AVERAGE(Raw_Data!D$2:D$5002),Raw_Data!D1404)</f>
        <v>64154.96</v>
      </c>
      <c r="E1404" s="15" t="str">
        <f>IF(ISBLANK(Raw_Data!E1404),AVERAGE(Raw_Data!E$2:E$5002),Raw_Data!E1404)</f>
        <v>20778.87</v>
      </c>
      <c r="F1404" s="15" t="str">
        <f>IF(ISBLANK(Raw_Data!F1404),AVERAGE(Raw_Data!F$2:F$5002),Raw_Data!F1404)</f>
        <v>11468.54</v>
      </c>
      <c r="G1404" s="14" t="str">
        <f>IF(ISBLANK(Raw_Data!G1404),AVERAGE(Raw_Data!G$2:G$5002),Raw_Data!G1404)</f>
        <v>11907.58</v>
      </c>
      <c r="H1404" s="15" t="str">
        <f t="shared" si="1"/>
        <v>96402.00</v>
      </c>
      <c r="I1404" s="14" t="str">
        <f t="shared" si="2"/>
        <v>84494.00</v>
      </c>
      <c r="J1404" s="16" t="str">
        <f>TEXT(Raw_Data!J1404,"MMM-YYY")</f>
        <v>Jul-2025</v>
      </c>
      <c r="K1404" s="13" t="str">
        <f>Raw_Data!K1404</f>
        <v>9</v>
      </c>
      <c r="L1404" s="17" t="str">
        <f>Raw_Data!L1404</f>
        <v>Delhi-North</v>
      </c>
      <c r="M1404" s="13" t="str">
        <f t="shared" si="3"/>
        <v>OK</v>
      </c>
      <c r="N1404" s="18" t="str">
        <f t="shared" si="4"/>
        <v>VALID</v>
      </c>
    </row>
    <row r="1405" ht="15.75" customHeight="1">
      <c r="A1405" s="13" t="str">
        <f>Raw_Data!A1405</f>
        <v>EMP1472</v>
      </c>
      <c r="B1405" s="13" t="str">
        <f>TRIM(CLEAN(Raw_Data!B1405))</f>
        <v>Operations</v>
      </c>
      <c r="C1405" s="18" t="s">
        <v>37</v>
      </c>
      <c r="D1405" s="14" t="str">
        <f>IF(ISBLANK(Raw_Data!D1405),AVERAGE(Raw_Data!D$2:D$5002),Raw_Data!D1405)</f>
        <v>64165.84</v>
      </c>
      <c r="E1405" s="15" t="str">
        <f>IF(ISBLANK(Raw_Data!E1405),AVERAGE(Raw_Data!E$2:E$5002),Raw_Data!E1405)</f>
        <v>20783.49</v>
      </c>
      <c r="F1405" s="15" t="str">
        <f>IF(ISBLANK(Raw_Data!F1405),AVERAGE(Raw_Data!F$2:F$5002),Raw_Data!F1405)</f>
        <v>11476.22</v>
      </c>
      <c r="G1405" s="14" t="str">
        <f>IF(ISBLANK(Raw_Data!G1405),AVERAGE(Raw_Data!G$2:G$5002),Raw_Data!G1405)</f>
        <v>11910.97</v>
      </c>
      <c r="H1405" s="15" t="str">
        <f t="shared" si="1"/>
        <v>96426.00</v>
      </c>
      <c r="I1405" s="14" t="str">
        <f t="shared" si="2"/>
        <v>84515.00</v>
      </c>
      <c r="J1405" s="16" t="str">
        <f>TEXT(Raw_Data!J1405,"MMM-YYY")</f>
        <v>Nov-2025</v>
      </c>
      <c r="K1405" s="13" t="str">
        <f>Raw_Data!K1405</f>
        <v>12</v>
      </c>
      <c r="L1405" s="17" t="str">
        <f>Raw_Data!L1405</f>
        <v>Bangalore-South</v>
      </c>
      <c r="M1405" s="13" t="str">
        <f t="shared" si="3"/>
        <v>OK</v>
      </c>
      <c r="N1405" s="18" t="str">
        <f t="shared" si="4"/>
        <v>VALID</v>
      </c>
    </row>
    <row r="1406" ht="15.75" customHeight="1">
      <c r="A1406" s="13" t="str">
        <f>Raw_Data!A1406</f>
        <v>EMP1473</v>
      </c>
      <c r="B1406" s="13" t="str">
        <f>TRIM(CLEAN(Raw_Data!B1406))</f>
        <v>Marketing</v>
      </c>
      <c r="C1406" s="18" t="s">
        <v>26</v>
      </c>
      <c r="D1406" s="14" t="str">
        <f>IF(ISBLANK(Raw_Data!D1406),AVERAGE(Raw_Data!D$2:D$5002),Raw_Data!D1406)</f>
        <v>64176.72</v>
      </c>
      <c r="E1406" s="15" t="str">
        <f>IF(ISBLANK(Raw_Data!E1406),AVERAGE(Raw_Data!E$2:E$5002),Raw_Data!E1406)</f>
        <v>20788.10</v>
      </c>
      <c r="F1406" s="15" t="str">
        <f>IF(ISBLANK(Raw_Data!F1406),AVERAGE(Raw_Data!F$2:F$5002),Raw_Data!F1406)</f>
        <v>11483.90</v>
      </c>
      <c r="G1406" s="14" t="str">
        <f>IF(ISBLANK(Raw_Data!G1406),AVERAGE(Raw_Data!G$2:G$5002),Raw_Data!G1406)</f>
        <v>11914.37</v>
      </c>
      <c r="H1406" s="15" t="str">
        <f t="shared" si="1"/>
        <v>96449.00</v>
      </c>
      <c r="I1406" s="14" t="str">
        <f t="shared" si="2"/>
        <v>84535.00</v>
      </c>
      <c r="J1406" s="16" t="str">
        <f>TEXT(Raw_Data!J1406,"MMM-YYY")</f>
        <v>May-2025</v>
      </c>
      <c r="K1406" s="13" t="str">
        <f>Raw_Data!K1406</f>
        <v>10</v>
      </c>
      <c r="L1406" s="17" t="str">
        <f>Raw_Data!L1406</f>
        <v>Chennai-South</v>
      </c>
      <c r="M1406" s="13" t="str">
        <f t="shared" si="3"/>
        <v>OK</v>
      </c>
      <c r="N1406" s="18" t="str">
        <f t="shared" si="4"/>
        <v>VALID</v>
      </c>
    </row>
    <row r="1407" ht="15.75" customHeight="1">
      <c r="A1407" s="13" t="str">
        <f>Raw_Data!A1407</f>
        <v>EMP1474</v>
      </c>
      <c r="B1407" s="13" t="str">
        <f>TRIM(CLEAN(Raw_Data!B1407))</f>
        <v>IT</v>
      </c>
      <c r="C1407" s="18" t="s">
        <v>14</v>
      </c>
      <c r="D1407" s="14" t="str">
        <f>IF(ISBLANK(Raw_Data!D1407),AVERAGE(Raw_Data!D$2:D$5002),Raw_Data!D1407)</f>
        <v>64187.61</v>
      </c>
      <c r="E1407" s="15" t="str">
        <f>IF(ISBLANK(Raw_Data!E1407),AVERAGE(Raw_Data!E$2:E$5002),Raw_Data!E1407)</f>
        <v>20792.72</v>
      </c>
      <c r="F1407" s="15" t="str">
        <f>IF(ISBLANK(Raw_Data!F1407),AVERAGE(Raw_Data!F$2:F$5002),Raw_Data!F1407)</f>
        <v>11491.58</v>
      </c>
      <c r="G1407" s="14" t="str">
        <f>IF(ISBLANK(Raw_Data!G1407),AVERAGE(Raw_Data!G$2:G$5002),Raw_Data!G1407)</f>
        <v>11917.77</v>
      </c>
      <c r="H1407" s="15" t="str">
        <f t="shared" si="1"/>
        <v>96472.00</v>
      </c>
      <c r="I1407" s="14" t="str">
        <f t="shared" si="2"/>
        <v>84554.00</v>
      </c>
      <c r="J1407" s="16" t="str">
        <f>TEXT(Raw_Data!J1407,"MMM-YYY")</f>
        <v>Jun-2025</v>
      </c>
      <c r="K1407" s="13" t="str">
        <f>Raw_Data!K1407</f>
        <v>4</v>
      </c>
      <c r="L1407" s="17" t="str">
        <f>Raw_Data!L1407</f>
        <v>Kolkata-East</v>
      </c>
      <c r="M1407" s="13" t="str">
        <f t="shared" si="3"/>
        <v>OK</v>
      </c>
      <c r="N1407" s="18" t="str">
        <f t="shared" si="4"/>
        <v>VALID</v>
      </c>
    </row>
    <row r="1408" ht="15.75" customHeight="1">
      <c r="A1408" s="13" t="str">
        <f>Raw_Data!A1408</f>
        <v>EMP1475</v>
      </c>
      <c r="B1408" s="13" t="str">
        <f>TRIM(CLEAN(Raw_Data!B1408))</f>
        <v>Sales</v>
      </c>
      <c r="C1408" s="18" t="s">
        <v>26</v>
      </c>
      <c r="D1408" s="14" t="str">
        <f>IF(ISBLANK(Raw_Data!D1408),AVERAGE(Raw_Data!D$2:D$5002),Raw_Data!D1408)</f>
        <v>64198.49</v>
      </c>
      <c r="E1408" s="15" t="str">
        <f>IF(ISBLANK(Raw_Data!E1408),AVERAGE(Raw_Data!E$2:E$5002),Raw_Data!E1408)</f>
        <v>20797.33</v>
      </c>
      <c r="F1408" s="15" t="str">
        <f>IF(ISBLANK(Raw_Data!F1408),AVERAGE(Raw_Data!F$2:F$5002),Raw_Data!F1408)</f>
        <v>11499.26</v>
      </c>
      <c r="G1408" s="14" t="str">
        <f>IF(ISBLANK(Raw_Data!G1408),AVERAGE(Raw_Data!G$2:G$5002),Raw_Data!G1408)</f>
        <v>11921.17</v>
      </c>
      <c r="H1408" s="15" t="str">
        <f t="shared" si="1"/>
        <v>96495.00</v>
      </c>
      <c r="I1408" s="14" t="str">
        <f t="shared" si="2"/>
        <v>84574.00</v>
      </c>
      <c r="J1408" s="16" t="str">
        <f>TEXT(Raw_Data!J1408,"MMM-YYY")</f>
        <v>Nov-2025</v>
      </c>
      <c r="K1408" s="13" t="str">
        <f>Raw_Data!K1408</f>
        <v>1</v>
      </c>
      <c r="L1408" s="17" t="str">
        <f>Raw_Data!L1408</f>
        <v>Pune-West</v>
      </c>
      <c r="M1408" s="13" t="str">
        <f t="shared" si="3"/>
        <v>OK</v>
      </c>
      <c r="N1408" s="18" t="str">
        <f t="shared" si="4"/>
        <v>VALID</v>
      </c>
    </row>
    <row r="1409" ht="15.75" customHeight="1">
      <c r="A1409" s="13" t="str">
        <f>Raw_Data!A1409</f>
        <v>EMP1476</v>
      </c>
      <c r="B1409" s="13" t="str">
        <f>TRIM(CLEAN(Raw_Data!B1409))</f>
        <v>HR</v>
      </c>
      <c r="C1409" s="18" t="s">
        <v>37</v>
      </c>
      <c r="D1409" s="14" t="str">
        <f>IF(ISBLANK(Raw_Data!D1409),AVERAGE(Raw_Data!D$2:D$5002),Raw_Data!D1409)</f>
        <v>64209.37</v>
      </c>
      <c r="E1409" s="15" t="str">
        <f>IF(ISBLANK(Raw_Data!E1409),AVERAGE(Raw_Data!E$2:E$5002),Raw_Data!E1409)</f>
        <v>20801.95</v>
      </c>
      <c r="F1409" s="15" t="str">
        <f>IF(ISBLANK(Raw_Data!F1409),AVERAGE(Raw_Data!F$2:F$5002),Raw_Data!F1409)</f>
        <v>11506.94</v>
      </c>
      <c r="G1409" s="14" t="str">
        <f>IF(ISBLANK(Raw_Data!G1409),AVERAGE(Raw_Data!G$2:G$5002),Raw_Data!G1409)</f>
        <v>11924.56</v>
      </c>
      <c r="H1409" s="15" t="str">
        <f t="shared" si="1"/>
        <v>96518.00</v>
      </c>
      <c r="I1409" s="14" t="str">
        <f t="shared" si="2"/>
        <v>84593.00</v>
      </c>
      <c r="J1409" s="16" t="str">
        <f>TEXT(Raw_Data!J1409,"MMM-YYY")</f>
        <v>May-2025</v>
      </c>
      <c r="K1409" s="13" t="str">
        <f>Raw_Data!K1409</f>
        <v>10</v>
      </c>
      <c r="L1409" s="17" t="str">
        <f>Raw_Data!L1409</f>
        <v>Hyderabad-South</v>
      </c>
      <c r="M1409" s="13" t="str">
        <f t="shared" si="3"/>
        <v>OK</v>
      </c>
      <c r="N1409" s="18" t="str">
        <f t="shared" si="4"/>
        <v>VALID</v>
      </c>
    </row>
    <row r="1410" ht="15.75" customHeight="1">
      <c r="A1410" s="13" t="str">
        <f>Raw_Data!A1410</f>
        <v>EMP1477</v>
      </c>
      <c r="B1410" s="13" t="str">
        <f>TRIM(CLEAN(Raw_Data!B1410))</f>
        <v>Sales</v>
      </c>
      <c r="C1410" s="18" t="s">
        <v>18</v>
      </c>
      <c r="D1410" s="14" t="str">
        <f>IF(ISBLANK(Raw_Data!D1410),AVERAGE(Raw_Data!D$2:D$5002),Raw_Data!D1410)</f>
        <v>64220.26</v>
      </c>
      <c r="E1410" s="15" t="str">
        <f>IF(ISBLANK(Raw_Data!E1410),AVERAGE(Raw_Data!E$2:E$5002),Raw_Data!E1410)</f>
        <v>20806.56</v>
      </c>
      <c r="F1410" s="15" t="str">
        <f>IF(ISBLANK(Raw_Data!F1410),AVERAGE(Raw_Data!F$2:F$5002),Raw_Data!F1410)</f>
        <v>11514.62</v>
      </c>
      <c r="G1410" s="14" t="str">
        <f>IF(ISBLANK(Raw_Data!G1410),AVERAGE(Raw_Data!G$2:G$5002),Raw_Data!G1410)</f>
        <v>11927.96</v>
      </c>
      <c r="H1410" s="15" t="str">
        <f t="shared" si="1"/>
        <v>96541.00</v>
      </c>
      <c r="I1410" s="14" t="str">
        <f t="shared" si="2"/>
        <v>84613.00</v>
      </c>
      <c r="J1410" s="16" t="str">
        <f>TEXT(Raw_Data!J1410,"MMM-YYY")</f>
        <v>Dec-2025</v>
      </c>
      <c r="K1410" s="13" t="str">
        <f>Raw_Data!K1410</f>
        <v>23</v>
      </c>
      <c r="L1410" s="17" t="str">
        <f>Raw_Data!L1410</f>
        <v>Chandigarh-North</v>
      </c>
      <c r="M1410" s="13" t="str">
        <f t="shared" si="3"/>
        <v>OK</v>
      </c>
      <c r="N1410" s="18" t="str">
        <f t="shared" si="4"/>
        <v>VALID</v>
      </c>
    </row>
    <row r="1411" ht="15.75" customHeight="1">
      <c r="A1411" s="13" t="str">
        <f>Raw_Data!A1411</f>
        <v>EMP1478</v>
      </c>
      <c r="B1411" s="13" t="str">
        <f>TRIM(CLEAN(Raw_Data!B1411))</f>
        <v>Operations</v>
      </c>
      <c r="C1411" s="18" t="s">
        <v>54</v>
      </c>
      <c r="D1411" s="14" t="str">
        <f>IF(ISBLANK(Raw_Data!D1411),AVERAGE(Raw_Data!D$2:D$5002),Raw_Data!D1411)</f>
        <v>64231.14</v>
      </c>
      <c r="E1411" s="15" t="str">
        <f>IF(ISBLANK(Raw_Data!E1411),AVERAGE(Raw_Data!E$2:E$5002),Raw_Data!E1411)</f>
        <v>20811.18</v>
      </c>
      <c r="F1411" s="15" t="str">
        <f>IF(ISBLANK(Raw_Data!F1411),AVERAGE(Raw_Data!F$2:F$5002),Raw_Data!F1411)</f>
        <v>11522.30</v>
      </c>
      <c r="G1411" s="14" t="str">
        <f>IF(ISBLANK(Raw_Data!G1411),AVERAGE(Raw_Data!G$2:G$5002),Raw_Data!G1411)</f>
        <v>11931.36</v>
      </c>
      <c r="H1411" s="15" t="str">
        <f t="shared" si="1"/>
        <v>96565.00</v>
      </c>
      <c r="I1411" s="14" t="str">
        <f t="shared" si="2"/>
        <v>84634.00</v>
      </c>
      <c r="J1411" s="16" t="str">
        <f>TEXT(Raw_Data!J1411,"MMM-YYY")</f>
        <v>Nov-2025</v>
      </c>
      <c r="K1411" s="13" t="str">
        <f>Raw_Data!K1411</f>
        <v>18</v>
      </c>
      <c r="L1411" s="17" t="str">
        <f>Raw_Data!L1411</f>
        <v>Ahmedabad-West</v>
      </c>
      <c r="M1411" s="13" t="str">
        <f t="shared" si="3"/>
        <v>OK</v>
      </c>
      <c r="N1411" s="18" t="str">
        <f t="shared" si="4"/>
        <v>VALID</v>
      </c>
    </row>
    <row r="1412" ht="15.75" customHeight="1">
      <c r="A1412" s="13" t="str">
        <f>Raw_Data!A1412</f>
        <v>EMP1479</v>
      </c>
      <c r="B1412" s="13" t="str">
        <f>TRIM(CLEAN(Raw_Data!B1412))</f>
        <v>Customer Support</v>
      </c>
      <c r="C1412" s="18" t="s">
        <v>18</v>
      </c>
      <c r="D1412" s="14" t="str">
        <f>IF(ISBLANK(Raw_Data!D1412),AVERAGE(Raw_Data!D$2:D$5002),Raw_Data!D1412)</f>
        <v>64242.02</v>
      </c>
      <c r="E1412" s="15" t="str">
        <f>IF(ISBLANK(Raw_Data!E1412),AVERAGE(Raw_Data!E$2:E$5002),Raw_Data!E1412)</f>
        <v>20815.79</v>
      </c>
      <c r="F1412" s="15" t="str">
        <f>IF(ISBLANK(Raw_Data!F1412),AVERAGE(Raw_Data!F$2:F$5002),Raw_Data!F1412)</f>
        <v>11529.98</v>
      </c>
      <c r="G1412" s="14" t="str">
        <f>IF(ISBLANK(Raw_Data!G1412),AVERAGE(Raw_Data!G$2:G$5002),Raw_Data!G1412)</f>
        <v>11934.76</v>
      </c>
      <c r="H1412" s="15" t="str">
        <f t="shared" si="1"/>
        <v>96588.00</v>
      </c>
      <c r="I1412" s="14" t="str">
        <f t="shared" si="2"/>
        <v>84653.00</v>
      </c>
      <c r="J1412" s="16" t="str">
        <f>TEXT(Raw_Data!J1412,"MMM-YYY")</f>
        <v>Apr-2025</v>
      </c>
      <c r="K1412" s="13" t="str">
        <f>Raw_Data!K1412</f>
        <v>22</v>
      </c>
      <c r="L1412" s="17" t="str">
        <f>Raw_Data!L1412</f>
        <v>Jaipur-North</v>
      </c>
      <c r="M1412" s="13" t="str">
        <f t="shared" si="3"/>
        <v>OK</v>
      </c>
      <c r="N1412" s="18" t="str">
        <f t="shared" si="4"/>
        <v>VALID</v>
      </c>
    </row>
    <row r="1413" ht="15.75" customHeight="1">
      <c r="A1413" s="13" t="str">
        <f>Raw_Data!A1413</f>
        <v>EMP1480</v>
      </c>
      <c r="B1413" s="13" t="str">
        <f>TRIM(CLEAN(Raw_Data!B1413))</f>
        <v>Marketing</v>
      </c>
      <c r="C1413" s="18" t="s">
        <v>37</v>
      </c>
      <c r="D1413" s="14" t="str">
        <f>IF(ISBLANK(Raw_Data!D1413),AVERAGE(Raw_Data!D$2:D$5002),Raw_Data!D1413)</f>
        <v>64252.90</v>
      </c>
      <c r="E1413" s="15" t="str">
        <f>IF(ISBLANK(Raw_Data!E1413),AVERAGE(Raw_Data!E$2:E$5002),Raw_Data!E1413)</f>
        <v>20820.41</v>
      </c>
      <c r="F1413" s="15" t="str">
        <f>IF(ISBLANK(Raw_Data!F1413),AVERAGE(Raw_Data!F$2:F$5002),Raw_Data!F1413)</f>
        <v>11537.66</v>
      </c>
      <c r="G1413" s="14" t="str">
        <f>IF(ISBLANK(Raw_Data!G1413),AVERAGE(Raw_Data!G$2:G$5002),Raw_Data!G1413)</f>
        <v>11938.15</v>
      </c>
      <c r="H1413" s="15" t="str">
        <f t="shared" si="1"/>
        <v>96611.00</v>
      </c>
      <c r="I1413" s="14" t="str">
        <f t="shared" si="2"/>
        <v>84673.00</v>
      </c>
      <c r="J1413" s="16" t="str">
        <f>TEXT(Raw_Data!J1413,"MMM-YYY")</f>
        <v>Feb-2025</v>
      </c>
      <c r="K1413" s="13" t="str">
        <f>Raw_Data!K1413</f>
        <v>7</v>
      </c>
      <c r="L1413" s="17" t="str">
        <f>Raw_Data!L1413</f>
        <v>Mumbai-HO</v>
      </c>
      <c r="M1413" s="13" t="str">
        <f t="shared" si="3"/>
        <v>OK</v>
      </c>
      <c r="N1413" s="18" t="str">
        <f t="shared" si="4"/>
        <v>VALID</v>
      </c>
    </row>
    <row r="1414" ht="15.75" customHeight="1">
      <c r="A1414" s="13" t="str">
        <f>Raw_Data!A1414</f>
        <v>EMP1481</v>
      </c>
      <c r="B1414" s="13" t="str">
        <f>TRIM(CLEAN(Raw_Data!B1414))</f>
        <v>IT</v>
      </c>
      <c r="C1414" s="18" t="s">
        <v>26</v>
      </c>
      <c r="D1414" s="14" t="str">
        <f>IF(ISBLANK(Raw_Data!D1414),AVERAGE(Raw_Data!D$2:D$5002),Raw_Data!D1414)</f>
        <v>64263.79</v>
      </c>
      <c r="E1414" s="15" t="str">
        <f>IF(ISBLANK(Raw_Data!E1414),AVERAGE(Raw_Data!E$2:E$5002),Raw_Data!E1414)</f>
        <v>20825.02</v>
      </c>
      <c r="F1414" s="15" t="str">
        <f>IF(ISBLANK(Raw_Data!F1414),AVERAGE(Raw_Data!F$2:F$5002),Raw_Data!F1414)</f>
        <v>11545.34</v>
      </c>
      <c r="G1414" s="14" t="str">
        <f>IF(ISBLANK(Raw_Data!G1414),AVERAGE(Raw_Data!G$2:G$5002),Raw_Data!G1414)</f>
        <v>11941.55</v>
      </c>
      <c r="H1414" s="15" t="str">
        <f t="shared" si="1"/>
        <v>96634.00</v>
      </c>
      <c r="I1414" s="14" t="str">
        <f t="shared" si="2"/>
        <v>84692.00</v>
      </c>
      <c r="J1414" s="16" t="str">
        <f>TEXT(Raw_Data!J1414,"MMM-YYY")</f>
        <v>Dec-2025</v>
      </c>
      <c r="K1414" s="13" t="str">
        <f>Raw_Data!K1414</f>
        <v>14</v>
      </c>
      <c r="L1414" s="17" t="str">
        <f>Raw_Data!L1414</f>
        <v>Delhi-North</v>
      </c>
      <c r="M1414" s="13" t="str">
        <f t="shared" si="3"/>
        <v>OK</v>
      </c>
      <c r="N1414" s="18" t="str">
        <f t="shared" si="4"/>
        <v>VALID</v>
      </c>
    </row>
    <row r="1415" ht="15.75" customHeight="1">
      <c r="A1415" s="13" t="str">
        <f>Raw_Data!A1415</f>
        <v>EMP1482</v>
      </c>
      <c r="B1415" s="13" t="str">
        <f>TRIM(CLEAN(Raw_Data!B1415))</f>
        <v>IT</v>
      </c>
      <c r="C1415" s="18" t="s">
        <v>26</v>
      </c>
      <c r="D1415" s="14" t="str">
        <f>IF(ISBLANK(Raw_Data!D1415),AVERAGE(Raw_Data!D$2:D$5002),Raw_Data!D1415)</f>
        <v>64274.67</v>
      </c>
      <c r="E1415" s="15" t="str">
        <f>IF(ISBLANK(Raw_Data!E1415),AVERAGE(Raw_Data!E$2:E$5002),Raw_Data!E1415)</f>
        <v>20829.64</v>
      </c>
      <c r="F1415" s="15" t="str">
        <f>IF(ISBLANK(Raw_Data!F1415),AVERAGE(Raw_Data!F$2:F$5002),Raw_Data!F1415)</f>
        <v>11553.02</v>
      </c>
      <c r="G1415" s="14" t="str">
        <f>IF(ISBLANK(Raw_Data!G1415),AVERAGE(Raw_Data!G$2:G$5002),Raw_Data!G1415)</f>
        <v>11944.95</v>
      </c>
      <c r="H1415" s="15" t="str">
        <f t="shared" si="1"/>
        <v>96657.00</v>
      </c>
      <c r="I1415" s="14" t="str">
        <f t="shared" si="2"/>
        <v>84712.00</v>
      </c>
      <c r="J1415" s="16" t="str">
        <f>TEXT(Raw_Data!J1415,"MMM-YYY")</f>
        <v>Oct-2025</v>
      </c>
      <c r="K1415" s="13" t="str">
        <f>Raw_Data!K1415</f>
        <v>5</v>
      </c>
      <c r="L1415" s="17" t="str">
        <f>Raw_Data!L1415</f>
        <v>Bangalore-South</v>
      </c>
      <c r="M1415" s="13" t="str">
        <f t="shared" si="3"/>
        <v>OK</v>
      </c>
      <c r="N1415" s="18" t="str">
        <f t="shared" si="4"/>
        <v>VALID</v>
      </c>
    </row>
    <row r="1416" ht="15.75" customHeight="1">
      <c r="A1416" s="13" t="str">
        <f>Raw_Data!A1416</f>
        <v>EMP1483</v>
      </c>
      <c r="B1416" s="13" t="str">
        <f>TRIM(CLEAN(Raw_Data!B1416))</f>
        <v>Operations</v>
      </c>
      <c r="C1416" s="18" t="s">
        <v>14</v>
      </c>
      <c r="D1416" s="14" t="str">
        <f>IF(ISBLANK(Raw_Data!D1416),AVERAGE(Raw_Data!D$2:D$5002),Raw_Data!D1416)</f>
        <v>64285.55</v>
      </c>
      <c r="E1416" s="15" t="str">
        <f>IF(ISBLANK(Raw_Data!E1416),AVERAGE(Raw_Data!E$2:E$5002),Raw_Data!E1416)</f>
        <v>20834.25</v>
      </c>
      <c r="F1416" s="15" t="str">
        <f>IF(ISBLANK(Raw_Data!F1416),AVERAGE(Raw_Data!F$2:F$5002),Raw_Data!F1416)</f>
        <v>11560.70</v>
      </c>
      <c r="G1416" s="14" t="str">
        <f>IF(ISBLANK(Raw_Data!G1416),AVERAGE(Raw_Data!G$2:G$5002),Raw_Data!G1416)</f>
        <v>11948.35</v>
      </c>
      <c r="H1416" s="15" t="str">
        <f t="shared" si="1"/>
        <v>96681.00</v>
      </c>
      <c r="I1416" s="14" t="str">
        <f t="shared" si="2"/>
        <v>84733.00</v>
      </c>
      <c r="J1416" s="16" t="str">
        <f>TEXT(Raw_Data!J1416,"MMM-YYY")</f>
        <v>Mar-2025</v>
      </c>
      <c r="K1416" s="13" t="str">
        <f>Raw_Data!K1416</f>
        <v>23</v>
      </c>
      <c r="L1416" s="17" t="str">
        <f>Raw_Data!L1416</f>
        <v>Chennai-South</v>
      </c>
      <c r="M1416" s="13" t="str">
        <f t="shared" si="3"/>
        <v>OK</v>
      </c>
      <c r="N1416" s="18" t="str">
        <f t="shared" si="4"/>
        <v>VALID</v>
      </c>
    </row>
    <row r="1417" ht="15.75" customHeight="1">
      <c r="A1417" s="13" t="str">
        <f>Raw_Data!A1417</f>
        <v>EMP1485</v>
      </c>
      <c r="B1417" s="13" t="str">
        <f>TRIM(CLEAN(Raw_Data!B1417))</f>
        <v>Sales</v>
      </c>
      <c r="C1417" s="18" t="s">
        <v>54</v>
      </c>
      <c r="D1417" s="14" t="str">
        <f>IF(ISBLANK(Raw_Data!D1417),AVERAGE(Raw_Data!D$2:D$5002),Raw_Data!D1417)</f>
        <v>64307.32</v>
      </c>
      <c r="E1417" s="15" t="str">
        <f>IF(ISBLANK(Raw_Data!E1417),AVERAGE(Raw_Data!E$2:E$5002),Raw_Data!E1417)</f>
        <v>20843.48</v>
      </c>
      <c r="F1417" s="15" t="str">
        <f>IF(ISBLANK(Raw_Data!F1417),AVERAGE(Raw_Data!F$2:F$5002),Raw_Data!F1417)</f>
        <v>11576.06</v>
      </c>
      <c r="G1417" s="14" t="str">
        <f>IF(ISBLANK(Raw_Data!G1417),AVERAGE(Raw_Data!G$2:G$5002),Raw_Data!G1417)</f>
        <v>11955.14</v>
      </c>
      <c r="H1417" s="15" t="str">
        <f t="shared" si="1"/>
        <v>96727.00</v>
      </c>
      <c r="I1417" s="14" t="str">
        <f t="shared" si="2"/>
        <v>84772.00</v>
      </c>
      <c r="J1417" s="16" t="str">
        <f>TEXT(Raw_Data!J1417,"MMM-YYY")</f>
        <v>Apr-2025</v>
      </c>
      <c r="K1417" s="13" t="str">
        <f>Raw_Data!K1417</f>
        <v>7</v>
      </c>
      <c r="L1417" s="17" t="str">
        <f>Raw_Data!L1417</f>
        <v>Pune-West</v>
      </c>
      <c r="M1417" s="13" t="str">
        <f t="shared" si="3"/>
        <v>OK</v>
      </c>
      <c r="N1417" s="18" t="str">
        <f t="shared" si="4"/>
        <v>VALID</v>
      </c>
    </row>
    <row r="1418" ht="15.75" customHeight="1">
      <c r="A1418" s="13" t="str">
        <f>Raw_Data!A1418</f>
        <v>EMP1486</v>
      </c>
      <c r="B1418" s="13" t="str">
        <f>TRIM(CLEAN(Raw_Data!B1418))</f>
        <v>Operations</v>
      </c>
      <c r="C1418" s="18" t="s">
        <v>33</v>
      </c>
      <c r="D1418" s="14" t="str">
        <f>IF(ISBLANK(Raw_Data!D1418),AVERAGE(Raw_Data!D$2:D$5002),Raw_Data!D1418)</f>
        <v>64318.20</v>
      </c>
      <c r="E1418" s="15" t="str">
        <f>IF(ISBLANK(Raw_Data!E1418),AVERAGE(Raw_Data!E$2:E$5002),Raw_Data!E1418)</f>
        <v>20848.10</v>
      </c>
      <c r="F1418" s="15" t="str">
        <f>IF(ISBLANK(Raw_Data!F1418),AVERAGE(Raw_Data!F$2:F$5002),Raw_Data!F1418)</f>
        <v>11583.74</v>
      </c>
      <c r="G1418" s="14" t="str">
        <f>IF(ISBLANK(Raw_Data!G1418),AVERAGE(Raw_Data!G$2:G$5002),Raw_Data!G1418)</f>
        <v>11958.54</v>
      </c>
      <c r="H1418" s="15" t="str">
        <f t="shared" si="1"/>
        <v>96750.00</v>
      </c>
      <c r="I1418" s="14" t="str">
        <f t="shared" si="2"/>
        <v>84791.00</v>
      </c>
      <c r="J1418" s="16" t="str">
        <f>TEXT(Raw_Data!J1418,"MMM-YYY")</f>
        <v>Nov-2025</v>
      </c>
      <c r="K1418" s="13" t="str">
        <f>Raw_Data!K1418</f>
        <v>14</v>
      </c>
      <c r="L1418" s="17" t="str">
        <f>Raw_Data!L1418</f>
        <v>Hyderabad-South</v>
      </c>
      <c r="M1418" s="13" t="str">
        <f t="shared" si="3"/>
        <v>OK</v>
      </c>
      <c r="N1418" s="18" t="str">
        <f t="shared" si="4"/>
        <v>VALID</v>
      </c>
    </row>
    <row r="1419" ht="15.75" customHeight="1">
      <c r="A1419" s="13" t="str">
        <f>Raw_Data!A1419</f>
        <v>EMP1487</v>
      </c>
      <c r="B1419" s="13" t="str">
        <f>TRIM(CLEAN(Raw_Data!B1419))</f>
        <v>IT</v>
      </c>
      <c r="C1419" s="18" t="s">
        <v>26</v>
      </c>
      <c r="D1419" s="14" t="str">
        <f>IF(ISBLANK(Raw_Data!D1419),AVERAGE(Raw_Data!D$2:D$5002),Raw_Data!D1419)</f>
        <v>64329.09</v>
      </c>
      <c r="E1419" s="15" t="str">
        <f>IF(ISBLANK(Raw_Data!E1419),AVERAGE(Raw_Data!E$2:E$5002),Raw_Data!E1419)</f>
        <v>20852.71</v>
      </c>
      <c r="F1419" s="15" t="str">
        <f>IF(ISBLANK(Raw_Data!F1419),AVERAGE(Raw_Data!F$2:F$5002),Raw_Data!F1419)</f>
        <v>11591.42</v>
      </c>
      <c r="G1419" s="14" t="str">
        <f>IF(ISBLANK(Raw_Data!G1419),AVERAGE(Raw_Data!G$2:G$5002),Raw_Data!G1419)</f>
        <v>11961.94</v>
      </c>
      <c r="H1419" s="15" t="str">
        <f t="shared" si="1"/>
        <v>96773.00</v>
      </c>
      <c r="I1419" s="14" t="str">
        <f t="shared" si="2"/>
        <v>84811.00</v>
      </c>
      <c r="J1419" s="16" t="str">
        <f>TEXT(Raw_Data!J1419,"MMM-YYY")</f>
        <v>Sep-2025</v>
      </c>
      <c r="K1419" s="13" t="str">
        <f>Raw_Data!K1419</f>
        <v>20</v>
      </c>
      <c r="L1419" s="17" t="str">
        <f>Raw_Data!L1419</f>
        <v>Chandigarh-North</v>
      </c>
      <c r="M1419" s="13" t="str">
        <f t="shared" si="3"/>
        <v>OK</v>
      </c>
      <c r="N1419" s="18" t="str">
        <f t="shared" si="4"/>
        <v>VALID</v>
      </c>
    </row>
    <row r="1420" ht="15.75" customHeight="1">
      <c r="A1420" s="13" t="str">
        <f>Raw_Data!A1420</f>
        <v>EMP1489</v>
      </c>
      <c r="B1420" s="13" t="str">
        <f>TRIM(CLEAN(Raw_Data!B1420))</f>
        <v>Marketing</v>
      </c>
      <c r="C1420" s="18" t="s">
        <v>30</v>
      </c>
      <c r="D1420" s="14" t="str">
        <f>IF(ISBLANK(Raw_Data!D1420),AVERAGE(Raw_Data!D$2:D$5002),Raw_Data!D1420)</f>
        <v>64350.85</v>
      </c>
      <c r="E1420" s="15" t="str">
        <f>IF(ISBLANK(Raw_Data!E1420),AVERAGE(Raw_Data!E$2:E$5002),Raw_Data!E1420)</f>
        <v>20861.94</v>
      </c>
      <c r="F1420" s="15" t="str">
        <f>IF(ISBLANK(Raw_Data!F1420),AVERAGE(Raw_Data!F$2:F$5002),Raw_Data!F1420)</f>
        <v>11606.78</v>
      </c>
      <c r="G1420" s="14" t="str">
        <f>IF(ISBLANK(Raw_Data!G1420),AVERAGE(Raw_Data!G$2:G$5002),Raw_Data!G1420)</f>
        <v>11968.73</v>
      </c>
      <c r="H1420" s="15" t="str">
        <f t="shared" si="1"/>
        <v>96820.00</v>
      </c>
      <c r="I1420" s="14" t="str">
        <f t="shared" si="2"/>
        <v>84851.00</v>
      </c>
      <c r="J1420" s="16" t="str">
        <f>TEXT(Raw_Data!J1420,"MMM-YYY")</f>
        <v>Dec-2025</v>
      </c>
      <c r="K1420" s="13" t="str">
        <f>Raw_Data!K1420</f>
        <v>23</v>
      </c>
      <c r="L1420" s="17" t="str">
        <f>Raw_Data!L1420</f>
        <v>Jaipur-North</v>
      </c>
      <c r="M1420" s="13" t="str">
        <f t="shared" si="3"/>
        <v>OK</v>
      </c>
      <c r="N1420" s="18" t="str">
        <f t="shared" si="4"/>
        <v>VALID</v>
      </c>
    </row>
    <row r="1421" ht="15.75" customHeight="1">
      <c r="A1421" s="13" t="str">
        <f>Raw_Data!A1421</f>
        <v>EMP1490</v>
      </c>
      <c r="B1421" s="13" t="str">
        <f>TRIM(CLEAN(Raw_Data!B1421))</f>
        <v>HR</v>
      </c>
      <c r="C1421" s="18" t="s">
        <v>18</v>
      </c>
      <c r="D1421" s="14" t="str">
        <f>IF(ISBLANK(Raw_Data!D1421),AVERAGE(Raw_Data!D$2:D$5002),Raw_Data!D1421)</f>
        <v>64361.73</v>
      </c>
      <c r="E1421" s="15" t="str">
        <f>IF(ISBLANK(Raw_Data!E1421),AVERAGE(Raw_Data!E$2:E$5002),Raw_Data!E1421)</f>
        <v>20866.55</v>
      </c>
      <c r="F1421" s="15" t="str">
        <f>IF(ISBLANK(Raw_Data!F1421),AVERAGE(Raw_Data!F$2:F$5002),Raw_Data!F1421)</f>
        <v>11614.46</v>
      </c>
      <c r="G1421" s="14" t="str">
        <f>IF(ISBLANK(Raw_Data!G1421),AVERAGE(Raw_Data!G$2:G$5002),Raw_Data!G1421)</f>
        <v>11972.13</v>
      </c>
      <c r="H1421" s="15" t="str">
        <f t="shared" si="1"/>
        <v>96843.00</v>
      </c>
      <c r="I1421" s="14" t="str">
        <f t="shared" si="2"/>
        <v>84871.00</v>
      </c>
      <c r="J1421" s="16" t="str">
        <f>TEXT(Raw_Data!J1421,"MMM-YYY")</f>
        <v>May-2025</v>
      </c>
      <c r="K1421" s="13" t="str">
        <f>Raw_Data!K1421</f>
        <v>10</v>
      </c>
      <c r="L1421" s="17" t="str">
        <f>Raw_Data!L1421</f>
        <v>Mumbai-HO</v>
      </c>
      <c r="M1421" s="13" t="str">
        <f t="shared" si="3"/>
        <v>OK</v>
      </c>
      <c r="N1421" s="18" t="str">
        <f t="shared" si="4"/>
        <v>VALID</v>
      </c>
    </row>
    <row r="1422" ht="15.75" customHeight="1">
      <c r="A1422" s="13" t="str">
        <f>Raw_Data!A1422</f>
        <v>EMP1491</v>
      </c>
      <c r="B1422" s="13" t="str">
        <f>TRIM(CLEAN(Raw_Data!B1422))</f>
        <v>Customer Support</v>
      </c>
      <c r="C1422" s="18" t="s">
        <v>37</v>
      </c>
      <c r="D1422" s="14" t="str">
        <f>IF(ISBLANK(Raw_Data!D1422),AVERAGE(Raw_Data!D$2:D$5002),Raw_Data!D1422)</f>
        <v>64372.62</v>
      </c>
      <c r="E1422" s="15" t="str">
        <f>IF(ISBLANK(Raw_Data!E1422),AVERAGE(Raw_Data!E$2:E$5002),Raw_Data!E1422)</f>
        <v>20871.17</v>
      </c>
      <c r="F1422" s="15" t="str">
        <f>IF(ISBLANK(Raw_Data!F1422),AVERAGE(Raw_Data!F$2:F$5002),Raw_Data!F1422)</f>
        <v>11622.14</v>
      </c>
      <c r="G1422" s="14" t="str">
        <f>IF(ISBLANK(Raw_Data!G1422),AVERAGE(Raw_Data!G$2:G$5002),Raw_Data!G1422)</f>
        <v>11975.53</v>
      </c>
      <c r="H1422" s="15" t="str">
        <f t="shared" si="1"/>
        <v>96866.00</v>
      </c>
      <c r="I1422" s="14" t="str">
        <f t="shared" si="2"/>
        <v>84890.00</v>
      </c>
      <c r="J1422" s="16" t="str">
        <f>TEXT(Raw_Data!J1422,"MMM-YYY")</f>
        <v>Apr-2025</v>
      </c>
      <c r="K1422" s="13" t="str">
        <f>Raw_Data!K1422</f>
        <v>3</v>
      </c>
      <c r="L1422" s="17" t="str">
        <f>Raw_Data!L1422</f>
        <v>Delhi-North</v>
      </c>
      <c r="M1422" s="13" t="str">
        <f t="shared" si="3"/>
        <v>OK</v>
      </c>
      <c r="N1422" s="18" t="str">
        <f t="shared" si="4"/>
        <v>VALID</v>
      </c>
    </row>
    <row r="1423" ht="15.75" customHeight="1">
      <c r="A1423" s="13" t="str">
        <f>Raw_Data!A1423</f>
        <v>EMP1492</v>
      </c>
      <c r="B1423" s="13" t="str">
        <f>TRIM(CLEAN(Raw_Data!B1423))</f>
        <v>Marketing</v>
      </c>
      <c r="C1423" s="18" t="s">
        <v>37</v>
      </c>
      <c r="D1423" s="14" t="str">
        <f>IF(ISBLANK(Raw_Data!D1423),AVERAGE(Raw_Data!D$2:D$5002),Raw_Data!D1423)</f>
        <v>64383.50</v>
      </c>
      <c r="E1423" s="15" t="str">
        <f>IF(ISBLANK(Raw_Data!E1423),AVERAGE(Raw_Data!E$2:E$5002),Raw_Data!E1423)</f>
        <v>20875.78</v>
      </c>
      <c r="F1423" s="15" t="str">
        <f>IF(ISBLANK(Raw_Data!F1423),AVERAGE(Raw_Data!F$2:F$5002),Raw_Data!F1423)</f>
        <v>11629.82</v>
      </c>
      <c r="G1423" s="14" t="str">
        <f>IF(ISBLANK(Raw_Data!G1423),AVERAGE(Raw_Data!G$2:G$5002),Raw_Data!G1423)</f>
        <v>11978.92</v>
      </c>
      <c r="H1423" s="15" t="str">
        <f t="shared" si="1"/>
        <v>96889.00</v>
      </c>
      <c r="I1423" s="14" t="str">
        <f t="shared" si="2"/>
        <v>84910.00</v>
      </c>
      <c r="J1423" s="16" t="str">
        <f>TEXT(Raw_Data!J1423,"MMM-YYY")</f>
        <v>Jul-2025</v>
      </c>
      <c r="K1423" s="13" t="str">
        <f>Raw_Data!K1423</f>
        <v>1</v>
      </c>
      <c r="L1423" s="17" t="str">
        <f>Raw_Data!L1423</f>
        <v>Bangalore-South</v>
      </c>
      <c r="M1423" s="13" t="str">
        <f t="shared" si="3"/>
        <v>OK</v>
      </c>
      <c r="N1423" s="18" t="str">
        <f t="shared" si="4"/>
        <v>VALID</v>
      </c>
    </row>
    <row r="1424" ht="15.75" customHeight="1">
      <c r="A1424" s="13" t="str">
        <f>Raw_Data!A1424</f>
        <v>EMP1493</v>
      </c>
      <c r="B1424" s="13" t="str">
        <f>TRIM(CLEAN(Raw_Data!B1424))</f>
        <v>Customer Support</v>
      </c>
      <c r="C1424" s="18" t="s">
        <v>54</v>
      </c>
      <c r="D1424" s="14" t="str">
        <f>IF(ISBLANK(Raw_Data!D1424),AVERAGE(Raw_Data!D$2:D$5002),Raw_Data!D1424)</f>
        <v>64394.38</v>
      </c>
      <c r="E1424" s="15" t="str">
        <f>IF(ISBLANK(Raw_Data!E1424),AVERAGE(Raw_Data!E$2:E$5002),Raw_Data!E1424)</f>
        <v>20880.40</v>
      </c>
      <c r="F1424" s="15" t="str">
        <f>IF(ISBLANK(Raw_Data!F1424),AVERAGE(Raw_Data!F$2:F$5002),Raw_Data!F1424)</f>
        <v>11637.50</v>
      </c>
      <c r="G1424" s="14" t="str">
        <f>IF(ISBLANK(Raw_Data!G1424),AVERAGE(Raw_Data!G$2:G$5002),Raw_Data!G1424)</f>
        <v>14562.73</v>
      </c>
      <c r="H1424" s="15" t="str">
        <f t="shared" si="1"/>
        <v>96912.00</v>
      </c>
      <c r="I1424" s="14" t="str">
        <f t="shared" si="2"/>
        <v>82349.00</v>
      </c>
      <c r="J1424" s="16" t="str">
        <f>TEXT(Raw_Data!J1424,"MMM-YYY")</f>
        <v>Jan-2025</v>
      </c>
      <c r="K1424" s="13" t="str">
        <f>Raw_Data!K1424</f>
        <v>4</v>
      </c>
      <c r="L1424" s="17" t="str">
        <f>Raw_Data!L1424</f>
        <v>Chennai-South</v>
      </c>
      <c r="M1424" s="13" t="str">
        <f t="shared" si="3"/>
        <v>OK</v>
      </c>
      <c r="N1424" s="18" t="str">
        <f t="shared" si="4"/>
        <v>VALID</v>
      </c>
    </row>
    <row r="1425" ht="15.75" customHeight="1">
      <c r="A1425" s="13" t="str">
        <f>Raw_Data!A1425</f>
        <v>EMP1494</v>
      </c>
      <c r="B1425" s="13" t="str">
        <f>TRIM(CLEAN(Raw_Data!B1425))</f>
        <v>Operations</v>
      </c>
      <c r="C1425" s="18" t="s">
        <v>33</v>
      </c>
      <c r="D1425" s="14" t="str">
        <f>IF(ISBLANK(Raw_Data!D1425),AVERAGE(Raw_Data!D$2:D$5002),Raw_Data!D1425)</f>
        <v>64405.27</v>
      </c>
      <c r="E1425" s="15" t="str">
        <f>IF(ISBLANK(Raw_Data!E1425),AVERAGE(Raw_Data!E$2:E$5002),Raw_Data!E1425)</f>
        <v>20885.01</v>
      </c>
      <c r="F1425" s="15" t="str">
        <f>IF(ISBLANK(Raw_Data!F1425),AVERAGE(Raw_Data!F$2:F$5002),Raw_Data!F1425)</f>
        <v>11645.18</v>
      </c>
      <c r="G1425" s="14" t="str">
        <f>IF(ISBLANK(Raw_Data!G1425),AVERAGE(Raw_Data!G$2:G$5002),Raw_Data!G1425)</f>
        <v>11985.72</v>
      </c>
      <c r="H1425" s="15" t="str">
        <f t="shared" si="1"/>
        <v>96935.00</v>
      </c>
      <c r="I1425" s="14" t="str">
        <f t="shared" si="2"/>
        <v>84949.00</v>
      </c>
      <c r="J1425" s="16" t="str">
        <f>TEXT(Raw_Data!J1425,"MMM-YYY")</f>
        <v>Mar-2025</v>
      </c>
      <c r="K1425" s="13" t="str">
        <f>Raw_Data!K1425</f>
        <v>2</v>
      </c>
      <c r="L1425" s="17" t="str">
        <f>Raw_Data!L1425</f>
        <v>Kolkata-East</v>
      </c>
      <c r="M1425" s="13" t="str">
        <f t="shared" si="3"/>
        <v>OK</v>
      </c>
      <c r="N1425" s="18" t="str">
        <f t="shared" si="4"/>
        <v>VALID</v>
      </c>
    </row>
    <row r="1426" ht="15.75" customHeight="1">
      <c r="A1426" s="13" t="str">
        <f>Raw_Data!A1426</f>
        <v>EMP1495</v>
      </c>
      <c r="B1426" s="13" t="str">
        <f>TRIM(CLEAN(Raw_Data!B1426))</f>
        <v>IT</v>
      </c>
      <c r="C1426" s="18" t="s">
        <v>14</v>
      </c>
      <c r="D1426" s="14" t="str">
        <f>IF(ISBLANK(Raw_Data!D1426),AVERAGE(Raw_Data!D$2:D$5002),Raw_Data!D1426)</f>
        <v>64416.15</v>
      </c>
      <c r="E1426" s="15" t="str">
        <f>IF(ISBLANK(Raw_Data!E1426),AVERAGE(Raw_Data!E$2:E$5002),Raw_Data!E1426)</f>
        <v>20889.63</v>
      </c>
      <c r="F1426" s="15" t="str">
        <f>IF(ISBLANK(Raw_Data!F1426),AVERAGE(Raw_Data!F$2:F$5002),Raw_Data!F1426)</f>
        <v>11652.86</v>
      </c>
      <c r="G1426" s="14" t="str">
        <f>IF(ISBLANK(Raw_Data!G1426),AVERAGE(Raw_Data!G$2:G$5002),Raw_Data!G1426)</f>
        <v>11989.12</v>
      </c>
      <c r="H1426" s="15" t="str">
        <f t="shared" si="1"/>
        <v>96959.00</v>
      </c>
      <c r="I1426" s="14" t="str">
        <f t="shared" si="2"/>
        <v>84970.00</v>
      </c>
      <c r="J1426" s="16" t="str">
        <f>TEXT(Raw_Data!J1426,"MMM-YYY")</f>
        <v>Dec-2025</v>
      </c>
      <c r="K1426" s="13" t="str">
        <f>Raw_Data!K1426</f>
        <v>7</v>
      </c>
      <c r="L1426" s="17" t="str">
        <f>Raw_Data!L1426</f>
        <v>Pune-West</v>
      </c>
      <c r="M1426" s="13" t="str">
        <f t="shared" si="3"/>
        <v>OK</v>
      </c>
      <c r="N1426" s="18" t="str">
        <f t="shared" si="4"/>
        <v>VALID</v>
      </c>
    </row>
    <row r="1427" ht="15.75" customHeight="1">
      <c r="A1427" s="13" t="str">
        <f>Raw_Data!A1427</f>
        <v>EMP1496</v>
      </c>
      <c r="B1427" s="13" t="str">
        <f>TRIM(CLEAN(Raw_Data!B1427))</f>
        <v>HR</v>
      </c>
      <c r="C1427" s="18" t="s">
        <v>33</v>
      </c>
      <c r="D1427" s="14" t="str">
        <f>IF(ISBLANK(Raw_Data!D1427),AVERAGE(Raw_Data!D$2:D$5002),Raw_Data!D1427)</f>
        <v>64427.03</v>
      </c>
      <c r="E1427" s="15" t="str">
        <f>IF(ISBLANK(Raw_Data!E1427),AVERAGE(Raw_Data!E$2:E$5002),Raw_Data!E1427)</f>
        <v>20894.24</v>
      </c>
      <c r="F1427" s="15" t="str">
        <f>IF(ISBLANK(Raw_Data!F1427),AVERAGE(Raw_Data!F$2:F$5002),Raw_Data!F1427)</f>
        <v>11660.54</v>
      </c>
      <c r="G1427" s="14" t="str">
        <f>IF(ISBLANK(Raw_Data!G1427),AVERAGE(Raw_Data!G$2:G$5002),Raw_Data!G1427)</f>
        <v>11992.51</v>
      </c>
      <c r="H1427" s="15" t="str">
        <f t="shared" si="1"/>
        <v>96982.00</v>
      </c>
      <c r="I1427" s="14" t="str">
        <f t="shared" si="2"/>
        <v>84989.00</v>
      </c>
      <c r="J1427" s="16" t="str">
        <f>TEXT(Raw_Data!J1427,"MMM-YYY")</f>
        <v>Apr-2025</v>
      </c>
      <c r="K1427" s="13" t="str">
        <f>Raw_Data!K1427</f>
        <v>11</v>
      </c>
      <c r="L1427" s="17" t="str">
        <f>Raw_Data!L1427</f>
        <v>Hyderabad-South</v>
      </c>
      <c r="M1427" s="13" t="str">
        <f t="shared" si="3"/>
        <v>OK</v>
      </c>
      <c r="N1427" s="18" t="str">
        <f t="shared" si="4"/>
        <v>VALID</v>
      </c>
    </row>
    <row r="1428" ht="15.75" customHeight="1">
      <c r="A1428" s="13" t="str">
        <f>Raw_Data!A1428</f>
        <v>EMP1497</v>
      </c>
      <c r="B1428" s="13" t="str">
        <f>TRIM(CLEAN(Raw_Data!B1428))</f>
        <v>Marketing</v>
      </c>
      <c r="C1428" s="18" t="s">
        <v>54</v>
      </c>
      <c r="D1428" s="14" t="str">
        <f>IF(ISBLANK(Raw_Data!D1428),AVERAGE(Raw_Data!D$2:D$5002),Raw_Data!D1428)</f>
        <v>64437.92</v>
      </c>
      <c r="E1428" s="15" t="str">
        <f>IF(ISBLANK(Raw_Data!E1428),AVERAGE(Raw_Data!E$2:E$5002),Raw_Data!E1428)</f>
        <v>20898.86</v>
      </c>
      <c r="F1428" s="15" t="str">
        <f>IF(ISBLANK(Raw_Data!F1428),AVERAGE(Raw_Data!F$2:F$5002),Raw_Data!F1428)</f>
        <v>11668.22</v>
      </c>
      <c r="G1428" s="14" t="str">
        <f>IF(ISBLANK(Raw_Data!G1428),AVERAGE(Raw_Data!G$2:G$5002),Raw_Data!G1428)</f>
        <v>11995.91</v>
      </c>
      <c r="H1428" s="15" t="str">
        <f t="shared" si="1"/>
        <v>97005.00</v>
      </c>
      <c r="I1428" s="14" t="str">
        <f t="shared" si="2"/>
        <v>85009.00</v>
      </c>
      <c r="J1428" s="16" t="str">
        <f>TEXT(Raw_Data!J1428,"MMM-YYY")</f>
        <v>Feb-2025</v>
      </c>
      <c r="K1428" s="13" t="str">
        <f>Raw_Data!K1428</f>
        <v>22</v>
      </c>
      <c r="L1428" s="17" t="str">
        <f>Raw_Data!L1428</f>
        <v>Chandigarh-North</v>
      </c>
      <c r="M1428" s="13" t="str">
        <f t="shared" si="3"/>
        <v>OK</v>
      </c>
      <c r="N1428" s="18" t="str">
        <f t="shared" si="4"/>
        <v>VALID</v>
      </c>
    </row>
    <row r="1429" ht="15.75" customHeight="1">
      <c r="A1429" s="13" t="str">
        <f>Raw_Data!A1429</f>
        <v>EMP1498</v>
      </c>
      <c r="B1429" s="13" t="str">
        <f>TRIM(CLEAN(Raw_Data!B1429))</f>
        <v>Customer Support</v>
      </c>
      <c r="C1429" s="18" t="s">
        <v>30</v>
      </c>
      <c r="D1429" s="14" t="str">
        <f>IF(ISBLANK(Raw_Data!D1429),AVERAGE(Raw_Data!D$2:D$5002),Raw_Data!D1429)</f>
        <v>64448.80</v>
      </c>
      <c r="E1429" s="15" t="str">
        <f>IF(ISBLANK(Raw_Data!E1429),AVERAGE(Raw_Data!E$2:E$5002),Raw_Data!E1429)</f>
        <v>20903.47</v>
      </c>
      <c r="F1429" s="15" t="str">
        <f>IF(ISBLANK(Raw_Data!F1429),AVERAGE(Raw_Data!F$2:F$5002),Raw_Data!F1429)</f>
        <v>11675.90</v>
      </c>
      <c r="G1429" s="14" t="str">
        <f>IF(ISBLANK(Raw_Data!G1429),AVERAGE(Raw_Data!G$2:G$5002),Raw_Data!G1429)</f>
        <v>11999.31</v>
      </c>
      <c r="H1429" s="15" t="str">
        <f t="shared" si="1"/>
        <v>97028.00</v>
      </c>
      <c r="I1429" s="14" t="str">
        <f t="shared" si="2"/>
        <v>85029.00</v>
      </c>
      <c r="J1429" s="16" t="str">
        <f>TEXT(Raw_Data!J1429,"MMM-YYY")</f>
        <v>Nov-2025</v>
      </c>
      <c r="K1429" s="13" t="str">
        <f>Raw_Data!K1429</f>
        <v>9</v>
      </c>
      <c r="L1429" s="17" t="str">
        <f>Raw_Data!L1429</f>
        <v>Ahmedabad-West</v>
      </c>
      <c r="M1429" s="13" t="str">
        <f t="shared" si="3"/>
        <v>OK</v>
      </c>
      <c r="N1429" s="18" t="str">
        <f t="shared" si="4"/>
        <v>VALID</v>
      </c>
    </row>
    <row r="1430" ht="15.75" customHeight="1">
      <c r="A1430" s="13" t="str">
        <f>Raw_Data!A1430</f>
        <v>EMP1499</v>
      </c>
      <c r="B1430" s="13" t="str">
        <f>TRIM(CLEAN(Raw_Data!B1430))</f>
        <v>Customer Support</v>
      </c>
      <c r="C1430" s="18" t="s">
        <v>33</v>
      </c>
      <c r="D1430" s="14" t="str">
        <f>IF(ISBLANK(Raw_Data!D1430),AVERAGE(Raw_Data!D$2:D$5002),Raw_Data!D1430)</f>
        <v>64459.68</v>
      </c>
      <c r="E1430" s="15" t="str">
        <f>IF(ISBLANK(Raw_Data!E1430),AVERAGE(Raw_Data!E$2:E$5002),Raw_Data!E1430)</f>
        <v>20908.09</v>
      </c>
      <c r="F1430" s="15" t="str">
        <f>IF(ISBLANK(Raw_Data!F1430),AVERAGE(Raw_Data!F$2:F$5002),Raw_Data!F1430)</f>
        <v>11683.58</v>
      </c>
      <c r="G1430" s="14" t="str">
        <f>IF(ISBLANK(Raw_Data!G1430),AVERAGE(Raw_Data!G$2:G$5002),Raw_Data!G1430)</f>
        <v>12002.71</v>
      </c>
      <c r="H1430" s="15" t="str">
        <f t="shared" si="1"/>
        <v>97051.00</v>
      </c>
      <c r="I1430" s="14" t="str">
        <f t="shared" si="2"/>
        <v>85048.00</v>
      </c>
      <c r="J1430" s="16" t="str">
        <f>TEXT(Raw_Data!J1430,"MMM-YYY")</f>
        <v>Oct-2025</v>
      </c>
      <c r="K1430" s="13" t="str">
        <f>Raw_Data!K1430</f>
        <v>22</v>
      </c>
      <c r="L1430" s="17" t="str">
        <f>Raw_Data!L1430</f>
        <v>Jaipur-North</v>
      </c>
      <c r="M1430" s="13" t="str">
        <f t="shared" si="3"/>
        <v>OK</v>
      </c>
      <c r="N1430" s="18" t="str">
        <f t="shared" si="4"/>
        <v>VALID</v>
      </c>
    </row>
    <row r="1431" ht="15.75" customHeight="1">
      <c r="A1431" s="13" t="str">
        <f>Raw_Data!A1431</f>
        <v>EMP1500</v>
      </c>
      <c r="B1431" s="13" t="str">
        <f>TRIM(CLEAN(Raw_Data!B1431))</f>
        <v>Customer Support</v>
      </c>
      <c r="C1431" s="18" t="s">
        <v>37</v>
      </c>
      <c r="D1431" s="14" t="str">
        <f>IF(ISBLANK(Raw_Data!D1431),AVERAGE(Raw_Data!D$2:D$5002),Raw_Data!D1431)</f>
        <v>64470.56</v>
      </c>
      <c r="E1431" s="15" t="str">
        <f>IF(ISBLANK(Raw_Data!E1431),AVERAGE(Raw_Data!E$2:E$5002),Raw_Data!E1431)</f>
        <v>20912.70</v>
      </c>
      <c r="F1431" s="15" t="str">
        <f>IF(ISBLANK(Raw_Data!F1431),AVERAGE(Raw_Data!F$2:F$5002),Raw_Data!F1431)</f>
        <v>11691.26</v>
      </c>
      <c r="G1431" s="14" t="str">
        <f>IF(ISBLANK(Raw_Data!G1431),AVERAGE(Raw_Data!G$2:G$5002),Raw_Data!G1431)</f>
        <v>12006.10</v>
      </c>
      <c r="H1431" s="15" t="str">
        <f t="shared" si="1"/>
        <v>97075.00</v>
      </c>
      <c r="I1431" s="14" t="str">
        <f t="shared" si="2"/>
        <v>85069.00</v>
      </c>
      <c r="J1431" s="16" t="str">
        <f>TEXT(Raw_Data!J1431,"MMM-YYY")</f>
        <v>May-2025</v>
      </c>
      <c r="K1431" s="13" t="str">
        <f>Raw_Data!K1431</f>
        <v>3</v>
      </c>
      <c r="L1431" s="17" t="str">
        <f>Raw_Data!L1431</f>
        <v>Mumbai-HO</v>
      </c>
      <c r="M1431" s="13" t="str">
        <f t="shared" si="3"/>
        <v>OK</v>
      </c>
      <c r="N1431" s="18" t="str">
        <f t="shared" si="4"/>
        <v>VALID</v>
      </c>
    </row>
    <row r="1432" ht="15.75" customHeight="1">
      <c r="A1432" s="13" t="str">
        <f>Raw_Data!A1432</f>
        <v>EMP1501</v>
      </c>
      <c r="B1432" s="13" t="str">
        <f>TRIM(CLEAN(Raw_Data!B1432))</f>
        <v>Operations</v>
      </c>
      <c r="C1432" s="18" t="s">
        <v>14</v>
      </c>
      <c r="D1432" s="14" t="str">
        <f>IF(ISBLANK(Raw_Data!D1432),AVERAGE(Raw_Data!D$2:D$5002),Raw_Data!D1432)</f>
        <v>64481.45</v>
      </c>
      <c r="E1432" s="15" t="str">
        <f>IF(ISBLANK(Raw_Data!E1432),AVERAGE(Raw_Data!E$2:E$5002),Raw_Data!E1432)</f>
        <v>20917.32</v>
      </c>
      <c r="F1432" s="15" t="str">
        <f>IF(ISBLANK(Raw_Data!F1432),AVERAGE(Raw_Data!F$2:F$5002),Raw_Data!F1432)</f>
        <v>11698.94</v>
      </c>
      <c r="G1432" s="14" t="str">
        <f>IF(ISBLANK(Raw_Data!G1432),AVERAGE(Raw_Data!G$2:G$5002),Raw_Data!G1432)</f>
        <v>12009.50</v>
      </c>
      <c r="H1432" s="15" t="str">
        <f t="shared" si="1"/>
        <v>97098.00</v>
      </c>
      <c r="I1432" s="14" t="str">
        <f t="shared" si="2"/>
        <v>85088.00</v>
      </c>
      <c r="J1432" s="16" t="str">
        <f>TEXT(Raw_Data!J1432,"MMM-YYY")</f>
        <v>Nov-2025</v>
      </c>
      <c r="K1432" s="13" t="str">
        <f>Raw_Data!K1432</f>
        <v>25</v>
      </c>
      <c r="L1432" s="17" t="str">
        <f>Raw_Data!L1432</f>
        <v>Delhi-North</v>
      </c>
      <c r="M1432" s="13" t="str">
        <f t="shared" si="3"/>
        <v>OK</v>
      </c>
      <c r="N1432" s="18" t="str">
        <f t="shared" si="4"/>
        <v>VALID</v>
      </c>
    </row>
    <row r="1433" ht="15.75" customHeight="1">
      <c r="A1433" s="13" t="str">
        <f>Raw_Data!A1433</f>
        <v>EMP1502</v>
      </c>
      <c r="B1433" s="13" t="str">
        <f>TRIM(CLEAN(Raw_Data!B1433))</f>
        <v>Marketing</v>
      </c>
      <c r="C1433" s="18" t="s">
        <v>14</v>
      </c>
      <c r="D1433" s="14" t="str">
        <f>IF(ISBLANK(Raw_Data!D1433),AVERAGE(Raw_Data!D$2:D$5002),Raw_Data!D1433)</f>
        <v>64492.33</v>
      </c>
      <c r="E1433" s="15" t="str">
        <f>IF(ISBLANK(Raw_Data!E1433),AVERAGE(Raw_Data!E$2:E$5002),Raw_Data!E1433)</f>
        <v>20921.93</v>
      </c>
      <c r="F1433" s="15" t="str">
        <f>IF(ISBLANK(Raw_Data!F1433),AVERAGE(Raw_Data!F$2:F$5002),Raw_Data!F1433)</f>
        <v>11706.62</v>
      </c>
      <c r="G1433" s="14" t="str">
        <f>IF(ISBLANK(Raw_Data!G1433),AVERAGE(Raw_Data!G$2:G$5002),Raw_Data!G1433)</f>
        <v>12012.90</v>
      </c>
      <c r="H1433" s="15" t="str">
        <f t="shared" si="1"/>
        <v>97121.00</v>
      </c>
      <c r="I1433" s="14" t="str">
        <f t="shared" si="2"/>
        <v>85108.00</v>
      </c>
      <c r="J1433" s="16" t="str">
        <f>TEXT(Raw_Data!J1433,"MMM-YYY")</f>
        <v>Sep-2025</v>
      </c>
      <c r="K1433" s="13" t="str">
        <f>Raw_Data!K1433</f>
        <v>13</v>
      </c>
      <c r="L1433" s="17" t="str">
        <f>Raw_Data!L1433</f>
        <v>Bangalore-South</v>
      </c>
      <c r="M1433" s="13" t="str">
        <f t="shared" si="3"/>
        <v>OK</v>
      </c>
      <c r="N1433" s="18" t="str">
        <f t="shared" si="4"/>
        <v>VALID</v>
      </c>
    </row>
    <row r="1434" ht="15.75" customHeight="1">
      <c r="A1434" s="13" t="str">
        <f>Raw_Data!A1434</f>
        <v>EMP1503</v>
      </c>
      <c r="B1434" s="13" t="str">
        <f>TRIM(CLEAN(Raw_Data!B1434))</f>
        <v>Sales</v>
      </c>
      <c r="C1434" s="18" t="s">
        <v>14</v>
      </c>
      <c r="D1434" s="14" t="str">
        <f>IF(ISBLANK(Raw_Data!D1434),AVERAGE(Raw_Data!D$2:D$5002),Raw_Data!D1434)</f>
        <v>64503.21</v>
      </c>
      <c r="E1434" s="15" t="str">
        <f>IF(ISBLANK(Raw_Data!E1434),AVERAGE(Raw_Data!E$2:E$5002),Raw_Data!E1434)</f>
        <v>20926.55</v>
      </c>
      <c r="F1434" s="15" t="str">
        <f>IF(ISBLANK(Raw_Data!F1434),AVERAGE(Raw_Data!F$2:F$5002),Raw_Data!F1434)</f>
        <v>11714.30</v>
      </c>
      <c r="G1434" s="14" t="str">
        <f>IF(ISBLANK(Raw_Data!G1434),AVERAGE(Raw_Data!G$2:G$5002),Raw_Data!G1434)</f>
        <v>12016.30</v>
      </c>
      <c r="H1434" s="15" t="str">
        <f t="shared" si="1"/>
        <v>97144.00</v>
      </c>
      <c r="I1434" s="14" t="str">
        <f t="shared" si="2"/>
        <v>85128.00</v>
      </c>
      <c r="J1434" s="16" t="str">
        <f>TEXT(Raw_Data!J1434,"MMM-YYY")</f>
        <v>Aug-2025</v>
      </c>
      <c r="K1434" s="13" t="str">
        <f>Raw_Data!K1434</f>
        <v>8</v>
      </c>
      <c r="L1434" s="17" t="str">
        <f>Raw_Data!L1434</f>
        <v>Chennai-South</v>
      </c>
      <c r="M1434" s="13" t="str">
        <f t="shared" si="3"/>
        <v>OK</v>
      </c>
      <c r="N1434" s="18" t="str">
        <f t="shared" si="4"/>
        <v>VALID</v>
      </c>
    </row>
    <row r="1435" ht="15.75" customHeight="1">
      <c r="A1435" s="13" t="str">
        <f>Raw_Data!A1435</f>
        <v>EMP1504</v>
      </c>
      <c r="B1435" s="13" t="str">
        <f>TRIM(CLEAN(Raw_Data!B1435))</f>
        <v>Operations</v>
      </c>
      <c r="C1435" s="18" t="s">
        <v>26</v>
      </c>
      <c r="D1435" s="14" t="str">
        <f>IF(ISBLANK(Raw_Data!D1435),AVERAGE(Raw_Data!D$2:D$5002),Raw_Data!D1435)</f>
        <v>64514.10</v>
      </c>
      <c r="E1435" s="15" t="str">
        <f>IF(ISBLANK(Raw_Data!E1435),AVERAGE(Raw_Data!E$2:E$5002),Raw_Data!E1435)</f>
        <v>20931.16</v>
      </c>
      <c r="F1435" s="15" t="str">
        <f>IF(ISBLANK(Raw_Data!F1435),AVERAGE(Raw_Data!F$2:F$5002),Raw_Data!F1435)</f>
        <v>11721.98</v>
      </c>
      <c r="G1435" s="14" t="str">
        <f>IF(ISBLANK(Raw_Data!G1435),AVERAGE(Raw_Data!G$2:G$5002),Raw_Data!G1435)</f>
        <v>12019.70</v>
      </c>
      <c r="H1435" s="15" t="str">
        <f t="shared" si="1"/>
        <v>97167.00</v>
      </c>
      <c r="I1435" s="14" t="str">
        <f t="shared" si="2"/>
        <v>85147.00</v>
      </c>
      <c r="J1435" s="16" t="str">
        <f>TEXT(Raw_Data!J1435,"MMM-YYY")</f>
        <v>Jun-2025</v>
      </c>
      <c r="K1435" s="13" t="str">
        <f>Raw_Data!K1435</f>
        <v>18</v>
      </c>
      <c r="L1435" s="17" t="str">
        <f>Raw_Data!L1435</f>
        <v>Kolkata-East</v>
      </c>
      <c r="M1435" s="13" t="str">
        <f t="shared" si="3"/>
        <v>OK</v>
      </c>
      <c r="N1435" s="18" t="str">
        <f t="shared" si="4"/>
        <v>VALID</v>
      </c>
    </row>
    <row r="1436" ht="15.75" customHeight="1">
      <c r="A1436" s="13" t="str">
        <f>Raw_Data!A1436</f>
        <v>EMP1505</v>
      </c>
      <c r="B1436" s="13" t="str">
        <f>TRIM(CLEAN(Raw_Data!B1436))</f>
        <v>HR</v>
      </c>
      <c r="C1436" s="18" t="s">
        <v>18</v>
      </c>
      <c r="D1436" s="14" t="str">
        <f>IF(ISBLANK(Raw_Data!D1436),AVERAGE(Raw_Data!D$2:D$5002),Raw_Data!D1436)</f>
        <v>64524.98</v>
      </c>
      <c r="E1436" s="15" t="str">
        <f>IF(ISBLANK(Raw_Data!E1436),AVERAGE(Raw_Data!E$2:E$5002),Raw_Data!E1436)</f>
        <v>20935.78</v>
      </c>
      <c r="F1436" s="15" t="str">
        <f>IF(ISBLANK(Raw_Data!F1436),AVERAGE(Raw_Data!F$2:F$5002),Raw_Data!F1436)</f>
        <v>11729.66</v>
      </c>
      <c r="G1436" s="14" t="str">
        <f>IF(ISBLANK(Raw_Data!G1436),AVERAGE(Raw_Data!G$2:G$5002),Raw_Data!G1436)</f>
        <v>12023.09</v>
      </c>
      <c r="H1436" s="15" t="str">
        <f t="shared" si="1"/>
        <v>97190.00</v>
      </c>
      <c r="I1436" s="14" t="str">
        <f t="shared" si="2"/>
        <v>85167.00</v>
      </c>
      <c r="J1436" s="16" t="str">
        <f>TEXT(Raw_Data!J1436,"MMM-YYY")</f>
        <v>Oct-2025</v>
      </c>
      <c r="K1436" s="13" t="str">
        <f>Raw_Data!K1436</f>
        <v>17</v>
      </c>
      <c r="L1436" s="17" t="str">
        <f>Raw_Data!L1436</f>
        <v>Pune-West</v>
      </c>
      <c r="M1436" s="13" t="str">
        <f t="shared" si="3"/>
        <v>OK</v>
      </c>
      <c r="N1436" s="18" t="str">
        <f t="shared" si="4"/>
        <v>VALID</v>
      </c>
    </row>
    <row r="1437" ht="15.75" customHeight="1">
      <c r="A1437" s="13" t="str">
        <f>Raw_Data!A1437</f>
        <v>EMP1506</v>
      </c>
      <c r="B1437" s="13" t="str">
        <f>TRIM(CLEAN(Raw_Data!B1437))</f>
        <v>Customer Support</v>
      </c>
      <c r="C1437" s="18" t="s">
        <v>14</v>
      </c>
      <c r="D1437" s="14" t="str">
        <f>IF(ISBLANK(Raw_Data!D1437),AVERAGE(Raw_Data!D$2:D$5002),Raw_Data!D1437)</f>
        <v>64535.86</v>
      </c>
      <c r="E1437" s="15" t="str">
        <f>IF(ISBLANK(Raw_Data!E1437),AVERAGE(Raw_Data!E$2:E$5002),Raw_Data!E1437)</f>
        <v>20940.39</v>
      </c>
      <c r="F1437" s="15" t="str">
        <f>IF(ISBLANK(Raw_Data!F1437),AVERAGE(Raw_Data!F$2:F$5002),Raw_Data!F1437)</f>
        <v>11737.34</v>
      </c>
      <c r="G1437" s="14" t="str">
        <f>IF(ISBLANK(Raw_Data!G1437),AVERAGE(Raw_Data!G$2:G$5002),Raw_Data!G1437)</f>
        <v>12026.49</v>
      </c>
      <c r="H1437" s="15" t="str">
        <f t="shared" si="1"/>
        <v>97214.00</v>
      </c>
      <c r="I1437" s="14" t="str">
        <f t="shared" si="2"/>
        <v>85188.00</v>
      </c>
      <c r="J1437" s="16" t="str">
        <f>TEXT(Raw_Data!J1437,"MMM-YYY")</f>
        <v>Nov-2025</v>
      </c>
      <c r="K1437" s="13" t="str">
        <f>Raw_Data!K1437</f>
        <v>6</v>
      </c>
      <c r="L1437" s="17" t="str">
        <f>Raw_Data!L1437</f>
        <v>Hyderabad-South</v>
      </c>
      <c r="M1437" s="13" t="str">
        <f t="shared" si="3"/>
        <v>OK</v>
      </c>
      <c r="N1437" s="18" t="str">
        <f t="shared" si="4"/>
        <v>VALID</v>
      </c>
    </row>
    <row r="1438" ht="15.75" customHeight="1">
      <c r="A1438" s="13" t="str">
        <f>Raw_Data!A1438</f>
        <v>EMP1507</v>
      </c>
      <c r="B1438" s="13" t="str">
        <f>TRIM(CLEAN(Raw_Data!B1438))</f>
        <v>Sales</v>
      </c>
      <c r="C1438" s="18" t="s">
        <v>26</v>
      </c>
      <c r="D1438" s="14" t="str">
        <f>IF(ISBLANK(Raw_Data!D1438),AVERAGE(Raw_Data!D$2:D$5002),Raw_Data!D1438)</f>
        <v>64546.74</v>
      </c>
      <c r="E1438" s="15" t="str">
        <f>IF(ISBLANK(Raw_Data!E1438),AVERAGE(Raw_Data!E$2:E$5002),Raw_Data!E1438)</f>
        <v>20945.00</v>
      </c>
      <c r="F1438" s="15" t="str">
        <f>IF(ISBLANK(Raw_Data!F1438),AVERAGE(Raw_Data!F$2:F$5002),Raw_Data!F1438)</f>
        <v>11745.02</v>
      </c>
      <c r="G1438" s="14" t="str">
        <f>IF(ISBLANK(Raw_Data!G1438),AVERAGE(Raw_Data!G$2:G$5002),Raw_Data!G1438)</f>
        <v>12029.89</v>
      </c>
      <c r="H1438" s="15" t="str">
        <f t="shared" si="1"/>
        <v>97237.00</v>
      </c>
      <c r="I1438" s="14" t="str">
        <f t="shared" si="2"/>
        <v>85207.00</v>
      </c>
      <c r="J1438" s="16" t="str">
        <f>TEXT(Raw_Data!J1438,"MMM-YYY")</f>
        <v>Nov-2025</v>
      </c>
      <c r="K1438" s="13" t="str">
        <f>Raw_Data!K1438</f>
        <v>6</v>
      </c>
      <c r="L1438" s="17" t="str">
        <f>Raw_Data!L1438</f>
        <v>Chandigarh-North</v>
      </c>
      <c r="M1438" s="13" t="str">
        <f t="shared" si="3"/>
        <v>OK</v>
      </c>
      <c r="N1438" s="18" t="str">
        <f t="shared" si="4"/>
        <v>VALID</v>
      </c>
    </row>
    <row r="1439" ht="15.75" customHeight="1">
      <c r="A1439" s="13" t="str">
        <f>Raw_Data!A1439</f>
        <v>EMP1508</v>
      </c>
      <c r="B1439" s="13" t="str">
        <f>TRIM(CLEAN(Raw_Data!B1439))</f>
        <v>Finance</v>
      </c>
      <c r="C1439" s="18" t="s">
        <v>26</v>
      </c>
      <c r="D1439" s="14" t="str">
        <f>IF(ISBLANK(Raw_Data!D1439),AVERAGE(Raw_Data!D$2:D$5002),Raw_Data!D1439)</f>
        <v>64557.63</v>
      </c>
      <c r="E1439" s="15" t="str">
        <f>IF(ISBLANK(Raw_Data!E1439),AVERAGE(Raw_Data!E$2:E$5002),Raw_Data!E1439)</f>
        <v>20949.62</v>
      </c>
      <c r="F1439" s="15" t="str">
        <f>IF(ISBLANK(Raw_Data!F1439),AVERAGE(Raw_Data!F$2:F$5002),Raw_Data!F1439)</f>
        <v>11752.70</v>
      </c>
      <c r="G1439" s="14" t="str">
        <f>IF(ISBLANK(Raw_Data!G1439),AVERAGE(Raw_Data!G$2:G$5002),Raw_Data!G1439)</f>
        <v>12033.29</v>
      </c>
      <c r="H1439" s="15" t="str">
        <f t="shared" si="1"/>
        <v>97260.00</v>
      </c>
      <c r="I1439" s="14" t="str">
        <f t="shared" si="2"/>
        <v>85227.00</v>
      </c>
      <c r="J1439" s="16" t="str">
        <f>TEXT(Raw_Data!J1439,"MMM-YYY")</f>
        <v>Jan-2025</v>
      </c>
      <c r="K1439" s="13" t="str">
        <f>Raw_Data!K1439</f>
        <v>8</v>
      </c>
      <c r="L1439" s="17" t="str">
        <f>Raw_Data!L1439</f>
        <v>Ahmedabad-West</v>
      </c>
      <c r="M1439" s="13" t="str">
        <f t="shared" si="3"/>
        <v>OK</v>
      </c>
      <c r="N1439" s="18" t="str">
        <f t="shared" si="4"/>
        <v>VALID</v>
      </c>
    </row>
    <row r="1440" ht="15.75" customHeight="1">
      <c r="A1440" s="13" t="str">
        <f>Raw_Data!A1440</f>
        <v>EMP1509</v>
      </c>
      <c r="B1440" s="13" t="str">
        <f>TRIM(CLEAN(Raw_Data!B1440))</f>
        <v>Finance</v>
      </c>
      <c r="C1440" s="18" t="s">
        <v>26</v>
      </c>
      <c r="D1440" s="14" t="str">
        <f>IF(ISBLANK(Raw_Data!D1440),AVERAGE(Raw_Data!D$2:D$5002),Raw_Data!D1440)</f>
        <v>64568.51</v>
      </c>
      <c r="E1440" s="15" t="str">
        <f>IF(ISBLANK(Raw_Data!E1440),AVERAGE(Raw_Data!E$2:E$5002),Raw_Data!E1440)</f>
        <v>20954.23</v>
      </c>
      <c r="F1440" s="15" t="str">
        <f>IF(ISBLANK(Raw_Data!F1440),AVERAGE(Raw_Data!F$2:F$5002),Raw_Data!F1440)</f>
        <v>11760.38</v>
      </c>
      <c r="G1440" s="14" t="str">
        <f>IF(ISBLANK(Raw_Data!G1440),AVERAGE(Raw_Data!G$2:G$5002),Raw_Data!G1440)</f>
        <v>12036.68</v>
      </c>
      <c r="H1440" s="15" t="str">
        <f t="shared" si="1"/>
        <v>97283.00</v>
      </c>
      <c r="I1440" s="14" t="str">
        <f t="shared" si="2"/>
        <v>85246.00</v>
      </c>
      <c r="J1440" s="16" t="str">
        <f>TEXT(Raw_Data!J1440,"MMM-YYY")</f>
        <v>May-2025</v>
      </c>
      <c r="K1440" s="13" t="str">
        <f>Raw_Data!K1440</f>
        <v>25</v>
      </c>
      <c r="L1440" s="17" t="str">
        <f>Raw_Data!L1440</f>
        <v>Jaipur-North</v>
      </c>
      <c r="M1440" s="13" t="str">
        <f t="shared" si="3"/>
        <v>OK</v>
      </c>
      <c r="N1440" s="18" t="str">
        <f t="shared" si="4"/>
        <v>VALID</v>
      </c>
    </row>
    <row r="1441" ht="15.75" customHeight="1">
      <c r="A1441" s="13" t="str">
        <f>Raw_Data!A1441</f>
        <v>EMP1511</v>
      </c>
      <c r="B1441" s="13" t="str">
        <f>TRIM(CLEAN(Raw_Data!B1441))</f>
        <v>Operations</v>
      </c>
      <c r="C1441" s="18" t="s">
        <v>54</v>
      </c>
      <c r="D1441" s="14" t="str">
        <f>IF(ISBLANK(Raw_Data!D1441),AVERAGE(Raw_Data!D$2:D$5002),Raw_Data!D1441)</f>
        <v>64590.28</v>
      </c>
      <c r="E1441" s="15" t="str">
        <f>IF(ISBLANK(Raw_Data!E1441),AVERAGE(Raw_Data!E$2:E$5002),Raw_Data!E1441)</f>
        <v>20963.46</v>
      </c>
      <c r="F1441" s="15" t="str">
        <f>IF(ISBLANK(Raw_Data!F1441),AVERAGE(Raw_Data!F$2:F$5002),Raw_Data!F1441)</f>
        <v>11775.74</v>
      </c>
      <c r="G1441" s="14" t="str">
        <f>IF(ISBLANK(Raw_Data!G1441),AVERAGE(Raw_Data!G$2:G$5002),Raw_Data!G1441)</f>
        <v>12043.48</v>
      </c>
      <c r="H1441" s="15" t="str">
        <f t="shared" si="1"/>
        <v>97329.00</v>
      </c>
      <c r="I1441" s="14" t="str">
        <f t="shared" si="2"/>
        <v>85286.00</v>
      </c>
      <c r="J1441" s="16" t="str">
        <f>TEXT(Raw_Data!J1441,"MMM-YYY")</f>
        <v>Jun-2025</v>
      </c>
      <c r="K1441" s="13" t="str">
        <f>Raw_Data!K1441</f>
        <v>1</v>
      </c>
      <c r="L1441" s="17" t="str">
        <f>Raw_Data!L1441</f>
        <v>Delhi-North</v>
      </c>
      <c r="M1441" s="13" t="str">
        <f t="shared" si="3"/>
        <v>OK</v>
      </c>
      <c r="N1441" s="18" t="str">
        <f t="shared" si="4"/>
        <v>VALID</v>
      </c>
    </row>
    <row r="1442" ht="15.75" customHeight="1">
      <c r="A1442" s="13" t="str">
        <f>Raw_Data!A1442</f>
        <v>EMP1512</v>
      </c>
      <c r="B1442" s="13" t="str">
        <f>TRIM(CLEAN(Raw_Data!B1442))</f>
        <v>Finance</v>
      </c>
      <c r="C1442" s="18" t="s">
        <v>33</v>
      </c>
      <c r="D1442" s="14" t="str">
        <f>IF(ISBLANK(Raw_Data!D1442),AVERAGE(Raw_Data!D$2:D$5002),Raw_Data!D1442)</f>
        <v>64601.16</v>
      </c>
      <c r="E1442" s="15" t="str">
        <f>IF(ISBLANK(Raw_Data!E1442),AVERAGE(Raw_Data!E$2:E$5002),Raw_Data!E1442)</f>
        <v>20968.08</v>
      </c>
      <c r="F1442" s="15" t="str">
        <f>IF(ISBLANK(Raw_Data!F1442),AVERAGE(Raw_Data!F$2:F$5002),Raw_Data!F1442)</f>
        <v>11783.42</v>
      </c>
      <c r="G1442" s="14" t="str">
        <f>IF(ISBLANK(Raw_Data!G1442),AVERAGE(Raw_Data!G$2:G$5002),Raw_Data!G1442)</f>
        <v>12046.88</v>
      </c>
      <c r="H1442" s="15" t="str">
        <f t="shared" si="1"/>
        <v>97353.00</v>
      </c>
      <c r="I1442" s="14" t="str">
        <f t="shared" si="2"/>
        <v>85306.00</v>
      </c>
      <c r="J1442" s="16" t="str">
        <f>TEXT(Raw_Data!J1442,"MMM-YYY")</f>
        <v>Aug-2025</v>
      </c>
      <c r="K1442" s="13" t="str">
        <f>Raw_Data!K1442</f>
        <v>13</v>
      </c>
      <c r="L1442" s="17" t="str">
        <f>Raw_Data!L1442</f>
        <v>Bangalore-South</v>
      </c>
      <c r="M1442" s="13" t="str">
        <f t="shared" si="3"/>
        <v>OK</v>
      </c>
      <c r="N1442" s="18" t="str">
        <f t="shared" si="4"/>
        <v>VALID</v>
      </c>
    </row>
    <row r="1443" ht="15.75" customHeight="1">
      <c r="A1443" s="13" t="str">
        <f>Raw_Data!A1443</f>
        <v>EMP1513</v>
      </c>
      <c r="B1443" s="13" t="str">
        <f>TRIM(CLEAN(Raw_Data!B1443))</f>
        <v>IT</v>
      </c>
      <c r="C1443" s="18" t="s">
        <v>14</v>
      </c>
      <c r="D1443" s="14" t="str">
        <f>IF(ISBLANK(Raw_Data!D1443),AVERAGE(Raw_Data!D$2:D$5002),Raw_Data!D1443)</f>
        <v>64612.04</v>
      </c>
      <c r="E1443" s="15" t="str">
        <f>IF(ISBLANK(Raw_Data!E1443),AVERAGE(Raw_Data!E$2:E$5002),Raw_Data!E1443)</f>
        <v>20972.69</v>
      </c>
      <c r="F1443" s="15" t="str">
        <f>IF(ISBLANK(Raw_Data!F1443),AVERAGE(Raw_Data!F$2:F$5002),Raw_Data!F1443)</f>
        <v>11791.10</v>
      </c>
      <c r="G1443" s="14" t="str">
        <f>IF(ISBLANK(Raw_Data!G1443),AVERAGE(Raw_Data!G$2:G$5002),Raw_Data!G1443)</f>
        <v>12050.27</v>
      </c>
      <c r="H1443" s="15" t="str">
        <f t="shared" si="1"/>
        <v>97376.00</v>
      </c>
      <c r="I1443" s="14" t="str">
        <f t="shared" si="2"/>
        <v>85326.00</v>
      </c>
      <c r="J1443" s="16" t="str">
        <f>TEXT(Raw_Data!J1443,"MMM-YYY")</f>
        <v>Sep-2025</v>
      </c>
      <c r="K1443" s="13" t="str">
        <f>Raw_Data!K1443</f>
        <v>13</v>
      </c>
      <c r="L1443" s="17" t="str">
        <f>Raw_Data!L1443</f>
        <v>Chennai-South</v>
      </c>
      <c r="M1443" s="13" t="str">
        <f t="shared" si="3"/>
        <v>OK</v>
      </c>
      <c r="N1443" s="18" t="str">
        <f t="shared" si="4"/>
        <v>VALID</v>
      </c>
    </row>
    <row r="1444" ht="15.75" customHeight="1">
      <c r="A1444" s="13" t="str">
        <f>Raw_Data!A1444</f>
        <v>EMP1514</v>
      </c>
      <c r="B1444" s="13" t="str">
        <f>TRIM(CLEAN(Raw_Data!B1444))</f>
        <v>Marketing</v>
      </c>
      <c r="C1444" s="18" t="s">
        <v>33</v>
      </c>
      <c r="D1444" s="14" t="str">
        <f>IF(ISBLANK(Raw_Data!D1444),AVERAGE(Raw_Data!D$2:D$5002),Raw_Data!D1444)</f>
        <v>64622.93</v>
      </c>
      <c r="E1444" s="15" t="str">
        <f>IF(ISBLANK(Raw_Data!E1444),AVERAGE(Raw_Data!E$2:E$5002),Raw_Data!E1444)</f>
        <v>20977.31</v>
      </c>
      <c r="F1444" s="15" t="str">
        <f>IF(ISBLANK(Raw_Data!F1444),AVERAGE(Raw_Data!F$2:F$5002),Raw_Data!F1444)</f>
        <v>11798.78</v>
      </c>
      <c r="G1444" s="14" t="str">
        <f>IF(ISBLANK(Raw_Data!G1444),AVERAGE(Raw_Data!G$2:G$5002),Raw_Data!G1444)</f>
        <v>12053.67</v>
      </c>
      <c r="H1444" s="15" t="str">
        <f t="shared" si="1"/>
        <v>97399.00</v>
      </c>
      <c r="I1444" s="14" t="str">
        <f t="shared" si="2"/>
        <v>85345.00</v>
      </c>
      <c r="J1444" s="16" t="str">
        <f>TEXT(Raw_Data!J1444,"MMM-YYY")</f>
        <v>Mar-2025</v>
      </c>
      <c r="K1444" s="13" t="str">
        <f>Raw_Data!K1444</f>
        <v>10</v>
      </c>
      <c r="L1444" s="17" t="str">
        <f>Raw_Data!L1444</f>
        <v>Kolkata-East</v>
      </c>
      <c r="M1444" s="13" t="str">
        <f t="shared" si="3"/>
        <v>OK</v>
      </c>
      <c r="N1444" s="18" t="str">
        <f t="shared" si="4"/>
        <v>VALID</v>
      </c>
    </row>
    <row r="1445" ht="15.75" customHeight="1">
      <c r="A1445" s="13" t="str">
        <f>Raw_Data!A1445</f>
        <v>EMP1515</v>
      </c>
      <c r="B1445" s="13" t="str">
        <f>TRIM(CLEAN(Raw_Data!B1445))</f>
        <v>IT</v>
      </c>
      <c r="C1445" s="18" t="s">
        <v>26</v>
      </c>
      <c r="D1445" s="14" t="str">
        <f>IF(ISBLANK(Raw_Data!D1445),AVERAGE(Raw_Data!D$2:D$5002),Raw_Data!D1445)</f>
        <v>64633.81</v>
      </c>
      <c r="E1445" s="15" t="str">
        <f>IF(ISBLANK(Raw_Data!E1445),AVERAGE(Raw_Data!E$2:E$5002),Raw_Data!E1445)</f>
        <v>20981.92</v>
      </c>
      <c r="F1445" s="15" t="str">
        <f>IF(ISBLANK(Raw_Data!F1445),AVERAGE(Raw_Data!F$2:F$5002),Raw_Data!F1445)</f>
        <v>11806.46</v>
      </c>
      <c r="G1445" s="14" t="str">
        <f>IF(ISBLANK(Raw_Data!G1445),AVERAGE(Raw_Data!G$2:G$5002),Raw_Data!G1445)</f>
        <v>12057.07</v>
      </c>
      <c r="H1445" s="15" t="str">
        <f t="shared" si="1"/>
        <v>97422.00</v>
      </c>
      <c r="I1445" s="14" t="str">
        <f t="shared" si="2"/>
        <v>85365.00</v>
      </c>
      <c r="J1445" s="16" t="str">
        <f>TEXT(Raw_Data!J1445,"MMM-YYY")</f>
        <v>May-2025</v>
      </c>
      <c r="K1445" s="13" t="str">
        <f>Raw_Data!K1445</f>
        <v>19</v>
      </c>
      <c r="L1445" s="17" t="str">
        <f>Raw_Data!L1445</f>
        <v>Pune-West</v>
      </c>
      <c r="M1445" s="13" t="str">
        <f t="shared" si="3"/>
        <v>OK</v>
      </c>
      <c r="N1445" s="18" t="str">
        <f t="shared" si="4"/>
        <v>VALID</v>
      </c>
    </row>
    <row r="1446" ht="15.75" customHeight="1">
      <c r="A1446" s="13" t="str">
        <f>Raw_Data!A1446</f>
        <v>EMP1516</v>
      </c>
      <c r="B1446" s="13" t="str">
        <f>TRIM(CLEAN(Raw_Data!B1446))</f>
        <v>Operations</v>
      </c>
      <c r="C1446" s="18" t="s">
        <v>33</v>
      </c>
      <c r="D1446" s="14" t="str">
        <f>IF(ISBLANK(Raw_Data!D1446),AVERAGE(Raw_Data!D$2:D$5002),Raw_Data!D1446)</f>
        <v>64644.69</v>
      </c>
      <c r="E1446" s="15" t="str">
        <f>IF(ISBLANK(Raw_Data!E1446),AVERAGE(Raw_Data!E$2:E$5002),Raw_Data!E1446)</f>
        <v>20986.54</v>
      </c>
      <c r="F1446" s="15" t="str">
        <f>IF(ISBLANK(Raw_Data!F1446),AVERAGE(Raw_Data!F$2:F$5002),Raw_Data!F1446)</f>
        <v>11814.14</v>
      </c>
      <c r="G1446" s="14" t="str">
        <f>IF(ISBLANK(Raw_Data!G1446),AVERAGE(Raw_Data!G$2:G$5002),Raw_Data!G1446)</f>
        <v>12060.47</v>
      </c>
      <c r="H1446" s="15" t="str">
        <f t="shared" si="1"/>
        <v>97445.00</v>
      </c>
      <c r="I1446" s="14" t="str">
        <f t="shared" si="2"/>
        <v>85385.00</v>
      </c>
      <c r="J1446" s="16" t="str">
        <f>TEXT(Raw_Data!J1446,"MMM-YYY")</f>
        <v>Aug-2025</v>
      </c>
      <c r="K1446" s="13" t="str">
        <f>Raw_Data!K1446</f>
        <v>6</v>
      </c>
      <c r="L1446" s="17" t="str">
        <f>Raw_Data!L1446</f>
        <v>Hyderabad-South</v>
      </c>
      <c r="M1446" s="13" t="str">
        <f t="shared" si="3"/>
        <v>OK</v>
      </c>
      <c r="N1446" s="18" t="str">
        <f t="shared" si="4"/>
        <v>VALID</v>
      </c>
    </row>
    <row r="1447" ht="15.75" customHeight="1">
      <c r="A1447" s="13" t="str">
        <f>Raw_Data!A1447</f>
        <v>EMP1517</v>
      </c>
      <c r="B1447" s="13" t="str">
        <f>TRIM(CLEAN(Raw_Data!B1447))</f>
        <v>Marketing</v>
      </c>
      <c r="C1447" s="18" t="s">
        <v>37</v>
      </c>
      <c r="D1447" s="14" t="str">
        <f>IF(ISBLANK(Raw_Data!D1447),AVERAGE(Raw_Data!D$2:D$5002),Raw_Data!D1447)</f>
        <v>64655.57</v>
      </c>
      <c r="E1447" s="15" t="str">
        <f>IF(ISBLANK(Raw_Data!E1447),AVERAGE(Raw_Data!E$2:E$5002),Raw_Data!E1447)</f>
        <v>20991.15</v>
      </c>
      <c r="F1447" s="15" t="str">
        <f>IF(ISBLANK(Raw_Data!F1447),AVERAGE(Raw_Data!F$2:F$5002),Raw_Data!F1447)</f>
        <v>11821.82</v>
      </c>
      <c r="G1447" s="14" t="str">
        <f>IF(ISBLANK(Raw_Data!G1447),AVERAGE(Raw_Data!G$2:G$5002),Raw_Data!G1447)</f>
        <v>12063.86</v>
      </c>
      <c r="H1447" s="15" t="str">
        <f t="shared" si="1"/>
        <v>97469.00</v>
      </c>
      <c r="I1447" s="14" t="str">
        <f t="shared" si="2"/>
        <v>85405.00</v>
      </c>
      <c r="J1447" s="16" t="str">
        <f>TEXT(Raw_Data!J1447,"MMM-YYY")</f>
        <v>May-2025</v>
      </c>
      <c r="K1447" s="13" t="str">
        <f>Raw_Data!K1447</f>
        <v>4</v>
      </c>
      <c r="L1447" s="17" t="str">
        <f>Raw_Data!L1447</f>
        <v>Chandigarh-North</v>
      </c>
      <c r="M1447" s="13" t="str">
        <f t="shared" si="3"/>
        <v>OK</v>
      </c>
      <c r="N1447" s="18" t="str">
        <f t="shared" si="4"/>
        <v>VALID</v>
      </c>
    </row>
    <row r="1448" ht="15.75" customHeight="1">
      <c r="A1448" s="13" t="str">
        <f>Raw_Data!A1448</f>
        <v>EMP1518</v>
      </c>
      <c r="B1448" s="13" t="str">
        <f>TRIM(CLEAN(Raw_Data!B1448))</f>
        <v>HR</v>
      </c>
      <c r="C1448" s="18" t="s">
        <v>18</v>
      </c>
      <c r="D1448" s="14" t="str">
        <f>IF(ISBLANK(Raw_Data!D1448),AVERAGE(Raw_Data!D$2:D$5002),Raw_Data!D1448)</f>
        <v>64666.46</v>
      </c>
      <c r="E1448" s="15" t="str">
        <f>IF(ISBLANK(Raw_Data!E1448),AVERAGE(Raw_Data!E$2:E$5002),Raw_Data!E1448)</f>
        <v>20995.77</v>
      </c>
      <c r="F1448" s="15" t="str">
        <f>IF(ISBLANK(Raw_Data!F1448),AVERAGE(Raw_Data!F$2:F$5002),Raw_Data!F1448)</f>
        <v>11829.50</v>
      </c>
      <c r="G1448" s="14" t="str">
        <f>IF(ISBLANK(Raw_Data!G1448),AVERAGE(Raw_Data!G$2:G$5002),Raw_Data!G1448)</f>
        <v>12067.26</v>
      </c>
      <c r="H1448" s="15" t="str">
        <f t="shared" si="1"/>
        <v>97492.00</v>
      </c>
      <c r="I1448" s="14" t="str">
        <f t="shared" si="2"/>
        <v>85425.00</v>
      </c>
      <c r="J1448" s="16" t="str">
        <f>TEXT(Raw_Data!J1448,"MMM-YYY")</f>
        <v>Jun-2025</v>
      </c>
      <c r="K1448" s="13" t="str">
        <f>Raw_Data!K1448</f>
        <v>23</v>
      </c>
      <c r="L1448" s="17" t="str">
        <f>Raw_Data!L1448</f>
        <v>Ahmedabad-West</v>
      </c>
      <c r="M1448" s="13" t="str">
        <f t="shared" si="3"/>
        <v>OK</v>
      </c>
      <c r="N1448" s="18" t="str">
        <f t="shared" si="4"/>
        <v>VALID</v>
      </c>
    </row>
    <row r="1449" ht="15.75" customHeight="1">
      <c r="A1449" s="13" t="str">
        <f>Raw_Data!A1449</f>
        <v>EMP1519</v>
      </c>
      <c r="B1449" s="13" t="str">
        <f>TRIM(CLEAN(Raw_Data!B1449))</f>
        <v>Sales</v>
      </c>
      <c r="C1449" s="18" t="s">
        <v>26</v>
      </c>
      <c r="D1449" s="14" t="str">
        <f>IF(ISBLANK(Raw_Data!D1449),AVERAGE(Raw_Data!D$2:D$5002),Raw_Data!D1449)</f>
        <v>64677.34</v>
      </c>
      <c r="E1449" s="15" t="str">
        <f>IF(ISBLANK(Raw_Data!E1449),AVERAGE(Raw_Data!E$2:E$5002),Raw_Data!E1449)</f>
        <v>21000.38</v>
      </c>
      <c r="F1449" s="15" t="str">
        <f>IF(ISBLANK(Raw_Data!F1449),AVERAGE(Raw_Data!F$2:F$5002),Raw_Data!F1449)</f>
        <v>11837.18</v>
      </c>
      <c r="G1449" s="14" t="str">
        <f>IF(ISBLANK(Raw_Data!G1449),AVERAGE(Raw_Data!G$2:G$5002),Raw_Data!G1449)</f>
        <v>12070.66</v>
      </c>
      <c r="H1449" s="15" t="str">
        <f t="shared" si="1"/>
        <v>97515.00</v>
      </c>
      <c r="I1449" s="14" t="str">
        <f t="shared" si="2"/>
        <v>85444.00</v>
      </c>
      <c r="J1449" s="16" t="str">
        <f>TEXT(Raw_Data!J1449,"MMM-YYY")</f>
        <v>Oct-2025</v>
      </c>
      <c r="K1449" s="13" t="str">
        <f>Raw_Data!K1449</f>
        <v>17</v>
      </c>
      <c r="L1449" s="17" t="str">
        <f>Raw_Data!L1449</f>
        <v>Jaipur-North</v>
      </c>
      <c r="M1449" s="13" t="str">
        <f t="shared" si="3"/>
        <v>OK</v>
      </c>
      <c r="N1449" s="18" t="str">
        <f t="shared" si="4"/>
        <v>VALID</v>
      </c>
    </row>
    <row r="1450" ht="15.75" customHeight="1">
      <c r="A1450" s="13" t="str">
        <f>Raw_Data!A1450</f>
        <v>EMP1520</v>
      </c>
      <c r="B1450" s="13" t="str">
        <f>TRIM(CLEAN(Raw_Data!B1450))</f>
        <v>Operations</v>
      </c>
      <c r="C1450" s="18" t="s">
        <v>26</v>
      </c>
      <c r="D1450" s="14" t="str">
        <f>IF(ISBLANK(Raw_Data!D1450),AVERAGE(Raw_Data!D$2:D$5002),Raw_Data!D1450)</f>
        <v>64688.22</v>
      </c>
      <c r="E1450" s="15" t="str">
        <f>IF(ISBLANK(Raw_Data!E1450),AVERAGE(Raw_Data!E$2:E$5002),Raw_Data!E1450)</f>
        <v>21005.00</v>
      </c>
      <c r="F1450" s="15" t="str">
        <f>IF(ISBLANK(Raw_Data!F1450),AVERAGE(Raw_Data!F$2:F$5002),Raw_Data!F1450)</f>
        <v>11844.86</v>
      </c>
      <c r="G1450" s="14" t="str">
        <f>IF(ISBLANK(Raw_Data!G1450),AVERAGE(Raw_Data!G$2:G$5002),Raw_Data!G1450)</f>
        <v>12074.06</v>
      </c>
      <c r="H1450" s="15" t="str">
        <f t="shared" si="1"/>
        <v>97538.00</v>
      </c>
      <c r="I1450" s="14" t="str">
        <f t="shared" si="2"/>
        <v>85464.00</v>
      </c>
      <c r="J1450" s="16" t="str">
        <f>TEXT(Raw_Data!J1450,"MMM-YYY")</f>
        <v>Nov-2025</v>
      </c>
      <c r="K1450" s="13" t="str">
        <f>Raw_Data!K1450</f>
        <v>10</v>
      </c>
      <c r="L1450" s="17" t="str">
        <f>Raw_Data!L1450</f>
        <v>Mumbai-HO</v>
      </c>
      <c r="M1450" s="13" t="str">
        <f t="shared" si="3"/>
        <v>OK</v>
      </c>
      <c r="N1450" s="18" t="str">
        <f t="shared" si="4"/>
        <v>VALID</v>
      </c>
    </row>
    <row r="1451" ht="15.75" customHeight="1">
      <c r="A1451" s="13" t="str">
        <f>Raw_Data!A1451</f>
        <v>EMP1522</v>
      </c>
      <c r="B1451" s="13" t="str">
        <f>TRIM(CLEAN(Raw_Data!B1451))</f>
        <v>IT</v>
      </c>
      <c r="C1451" s="18" t="s">
        <v>33</v>
      </c>
      <c r="D1451" s="14" t="str">
        <f>IF(ISBLANK(Raw_Data!D1451),AVERAGE(Raw_Data!D$2:D$5002),Raw_Data!D1451)</f>
        <v>64709.99</v>
      </c>
      <c r="E1451" s="15" t="str">
        <f>IF(ISBLANK(Raw_Data!E1451),AVERAGE(Raw_Data!E$2:E$5002),Raw_Data!E1451)</f>
        <v>21014.23</v>
      </c>
      <c r="F1451" s="15" t="str">
        <f>IF(ISBLANK(Raw_Data!F1451),AVERAGE(Raw_Data!F$2:F$5002),Raw_Data!F1451)</f>
        <v>11860.22</v>
      </c>
      <c r="G1451" s="14" t="str">
        <f>IF(ISBLANK(Raw_Data!G1451),AVERAGE(Raw_Data!G$2:G$5002),Raw_Data!G1451)</f>
        <v>12080.85</v>
      </c>
      <c r="H1451" s="15" t="str">
        <f t="shared" si="1"/>
        <v>97584.00</v>
      </c>
      <c r="I1451" s="14" t="str">
        <f t="shared" si="2"/>
        <v>85503.00</v>
      </c>
      <c r="J1451" s="16" t="str">
        <f>TEXT(Raw_Data!J1451,"MMM-YYY")</f>
        <v>Sep-2025</v>
      </c>
      <c r="K1451" s="13" t="str">
        <f>Raw_Data!K1451</f>
        <v>14</v>
      </c>
      <c r="L1451" s="17" t="str">
        <f>Raw_Data!L1451</f>
        <v>Bangalore-South</v>
      </c>
      <c r="M1451" s="13" t="str">
        <f t="shared" si="3"/>
        <v>OK</v>
      </c>
      <c r="N1451" s="18" t="str">
        <f t="shared" si="4"/>
        <v>VALID</v>
      </c>
    </row>
    <row r="1452" ht="15.75" customHeight="1">
      <c r="A1452" s="13" t="str">
        <f>Raw_Data!A1452</f>
        <v>EMP1523</v>
      </c>
      <c r="B1452" s="13" t="str">
        <f>TRIM(CLEAN(Raw_Data!B1452))</f>
        <v>Marketing</v>
      </c>
      <c r="C1452" s="18" t="s">
        <v>33</v>
      </c>
      <c r="D1452" s="14" t="str">
        <f>IF(ISBLANK(Raw_Data!D1452),AVERAGE(Raw_Data!D$2:D$5002),Raw_Data!D1452)</f>
        <v>64720.87</v>
      </c>
      <c r="E1452" s="15" t="str">
        <f>IF(ISBLANK(Raw_Data!E1452),AVERAGE(Raw_Data!E$2:E$5002),Raw_Data!E1452)</f>
        <v>21018.84</v>
      </c>
      <c r="F1452" s="15" t="str">
        <f>IF(ISBLANK(Raw_Data!F1452),AVERAGE(Raw_Data!F$2:F$5002),Raw_Data!F1452)</f>
        <v>11867.90</v>
      </c>
      <c r="G1452" s="14" t="str">
        <f>IF(ISBLANK(Raw_Data!G1452),AVERAGE(Raw_Data!G$2:G$5002),Raw_Data!G1452)</f>
        <v>12084.25</v>
      </c>
      <c r="H1452" s="15" t="str">
        <f t="shared" si="1"/>
        <v>97608.00</v>
      </c>
      <c r="I1452" s="14" t="str">
        <f t="shared" si="2"/>
        <v>85524.00</v>
      </c>
      <c r="J1452" s="16" t="str">
        <f>TEXT(Raw_Data!J1452,"MMM-YYY")</f>
        <v>Jan-2025</v>
      </c>
      <c r="K1452" s="13" t="str">
        <f>Raw_Data!K1452</f>
        <v>16</v>
      </c>
      <c r="L1452" s="17" t="str">
        <f>Raw_Data!L1452</f>
        <v>Chennai-South</v>
      </c>
      <c r="M1452" s="13" t="str">
        <f t="shared" si="3"/>
        <v>OK</v>
      </c>
      <c r="N1452" s="18" t="str">
        <f t="shared" si="4"/>
        <v>VALID</v>
      </c>
    </row>
    <row r="1453" ht="15.75" customHeight="1">
      <c r="A1453" s="13" t="str">
        <f>Raw_Data!A1453</f>
        <v>EMP1524</v>
      </c>
      <c r="B1453" s="13" t="str">
        <f>TRIM(CLEAN(Raw_Data!B1453))</f>
        <v>IT</v>
      </c>
      <c r="C1453" s="18" t="s">
        <v>54</v>
      </c>
      <c r="D1453" s="14" t="str">
        <f>IF(ISBLANK(Raw_Data!D1453),AVERAGE(Raw_Data!D$2:D$5002),Raw_Data!D1453)</f>
        <v>64731.76</v>
      </c>
      <c r="E1453" s="15" t="str">
        <f>IF(ISBLANK(Raw_Data!E1453),AVERAGE(Raw_Data!E$2:E$5002),Raw_Data!E1453)</f>
        <v>21023.45</v>
      </c>
      <c r="F1453" s="15" t="str">
        <f>IF(ISBLANK(Raw_Data!F1453),AVERAGE(Raw_Data!F$2:F$5002),Raw_Data!F1453)</f>
        <v>11875.58</v>
      </c>
      <c r="G1453" s="14" t="str">
        <f>IF(ISBLANK(Raw_Data!G1453),AVERAGE(Raw_Data!G$2:G$5002),Raw_Data!G1453)</f>
        <v>12087.65</v>
      </c>
      <c r="H1453" s="15" t="str">
        <f t="shared" si="1"/>
        <v>97631.00</v>
      </c>
      <c r="I1453" s="14" t="str">
        <f t="shared" si="2"/>
        <v>85543.00</v>
      </c>
      <c r="J1453" s="16" t="str">
        <f>TEXT(Raw_Data!J1453,"MMM-YYY")</f>
        <v>May-2025</v>
      </c>
      <c r="K1453" s="13" t="str">
        <f>Raw_Data!K1453</f>
        <v>23</v>
      </c>
      <c r="L1453" s="17" t="str">
        <f>Raw_Data!L1453</f>
        <v>Kolkata-East</v>
      </c>
      <c r="M1453" s="13" t="str">
        <f t="shared" si="3"/>
        <v>OK</v>
      </c>
      <c r="N1453" s="18" t="str">
        <f t="shared" si="4"/>
        <v>VALID</v>
      </c>
    </row>
    <row r="1454" ht="15.75" customHeight="1">
      <c r="A1454" s="13" t="str">
        <f>Raw_Data!A1454</f>
        <v>EMP1525</v>
      </c>
      <c r="B1454" s="13" t="str">
        <f>TRIM(CLEAN(Raw_Data!B1454))</f>
        <v>Sales</v>
      </c>
      <c r="C1454" s="18" t="s">
        <v>30</v>
      </c>
      <c r="D1454" s="14" t="str">
        <f>IF(ISBLANK(Raw_Data!D1454),AVERAGE(Raw_Data!D$2:D$5002),Raw_Data!D1454)</f>
        <v>64742.64</v>
      </c>
      <c r="E1454" s="15" t="str">
        <f>IF(ISBLANK(Raw_Data!E1454),AVERAGE(Raw_Data!E$2:E$5002),Raw_Data!E1454)</f>
        <v>21028.07</v>
      </c>
      <c r="F1454" s="15" t="str">
        <f>IF(ISBLANK(Raw_Data!F1454),AVERAGE(Raw_Data!F$2:F$5002),Raw_Data!F1454)</f>
        <v>11883.26</v>
      </c>
      <c r="G1454" s="14" t="str">
        <f>IF(ISBLANK(Raw_Data!G1454),AVERAGE(Raw_Data!G$2:G$5002),Raw_Data!G1454)</f>
        <v>12091.04</v>
      </c>
      <c r="H1454" s="15" t="str">
        <f t="shared" si="1"/>
        <v>97654.00</v>
      </c>
      <c r="I1454" s="14" t="str">
        <f t="shared" si="2"/>
        <v>85563.00</v>
      </c>
      <c r="J1454" s="16" t="str">
        <f>TEXT(Raw_Data!J1454,"MMM-YYY")</f>
        <v>Dec-2025</v>
      </c>
      <c r="K1454" s="13" t="str">
        <f>Raw_Data!K1454</f>
        <v>1</v>
      </c>
      <c r="L1454" s="17" t="str">
        <f>Raw_Data!L1454</f>
        <v>Pune-West</v>
      </c>
      <c r="M1454" s="13" t="str">
        <f t="shared" si="3"/>
        <v>OK</v>
      </c>
      <c r="N1454" s="18" t="str">
        <f t="shared" si="4"/>
        <v>VALID</v>
      </c>
    </row>
    <row r="1455" ht="15.75" customHeight="1">
      <c r="A1455" s="13" t="str">
        <f>Raw_Data!A1455</f>
        <v>EMP1526</v>
      </c>
      <c r="B1455" s="13" t="str">
        <f>TRIM(CLEAN(Raw_Data!B1455))</f>
        <v>Customer Support</v>
      </c>
      <c r="C1455" s="18" t="s">
        <v>33</v>
      </c>
      <c r="D1455" s="14" t="str">
        <f>IF(ISBLANK(Raw_Data!D1455),AVERAGE(Raw_Data!D$2:D$5002),Raw_Data!D1455)</f>
        <v>64753.52</v>
      </c>
      <c r="E1455" s="15" t="str">
        <f>IF(ISBLANK(Raw_Data!E1455),AVERAGE(Raw_Data!E$2:E$5002),Raw_Data!E1455)</f>
        <v>21032.68</v>
      </c>
      <c r="F1455" s="15" t="str">
        <f>IF(ISBLANK(Raw_Data!F1455),AVERAGE(Raw_Data!F$2:F$5002),Raw_Data!F1455)</f>
        <v>11890.94</v>
      </c>
      <c r="G1455" s="14" t="str">
        <f>IF(ISBLANK(Raw_Data!G1455),AVERAGE(Raw_Data!G$2:G$5002),Raw_Data!G1455)</f>
        <v>12094.44</v>
      </c>
      <c r="H1455" s="15" t="str">
        <f t="shared" si="1"/>
        <v>97677.00</v>
      </c>
      <c r="I1455" s="14" t="str">
        <f t="shared" si="2"/>
        <v>85583.00</v>
      </c>
      <c r="J1455" s="16" t="str">
        <f>TEXT(Raw_Data!J1455,"MMM-YYY")</f>
        <v>Dec-2025</v>
      </c>
      <c r="K1455" s="13" t="str">
        <f>Raw_Data!K1455</f>
        <v>12</v>
      </c>
      <c r="L1455" s="17" t="str">
        <f>Raw_Data!L1455</f>
        <v>Hyderabad-South</v>
      </c>
      <c r="M1455" s="13" t="str">
        <f t="shared" si="3"/>
        <v>OK</v>
      </c>
      <c r="N1455" s="18" t="str">
        <f t="shared" si="4"/>
        <v>VALID</v>
      </c>
    </row>
    <row r="1456" ht="15.75" customHeight="1">
      <c r="A1456" s="13" t="str">
        <f>Raw_Data!A1456</f>
        <v>EMP1527</v>
      </c>
      <c r="B1456" s="13" t="str">
        <f>TRIM(CLEAN(Raw_Data!B1456))</f>
        <v>Marketing</v>
      </c>
      <c r="C1456" s="18" t="s">
        <v>30</v>
      </c>
      <c r="D1456" s="14" t="str">
        <f>IF(ISBLANK(Raw_Data!D1456),AVERAGE(Raw_Data!D$2:D$5002),Raw_Data!D1456)</f>
        <v>64764.40</v>
      </c>
      <c r="E1456" s="15" t="str">
        <f>IF(ISBLANK(Raw_Data!E1456),AVERAGE(Raw_Data!E$2:E$5002),Raw_Data!E1456)</f>
        <v>21037.30</v>
      </c>
      <c r="F1456" s="15" t="str">
        <f>IF(ISBLANK(Raw_Data!F1456),AVERAGE(Raw_Data!F$2:F$5002),Raw_Data!F1456)</f>
        <v>11898.62</v>
      </c>
      <c r="G1456" s="14" t="str">
        <f>IF(ISBLANK(Raw_Data!G1456),AVERAGE(Raw_Data!G$2:G$5002),Raw_Data!G1456)</f>
        <v>12097.84</v>
      </c>
      <c r="H1456" s="15" t="str">
        <f t="shared" si="1"/>
        <v>97700.00</v>
      </c>
      <c r="I1456" s="14" t="str">
        <f t="shared" si="2"/>
        <v>85602.00</v>
      </c>
      <c r="J1456" s="16" t="str">
        <f>TEXT(Raw_Data!J1456,"MMM-YYY")</f>
        <v>Nov-2025</v>
      </c>
      <c r="K1456" s="13" t="str">
        <f>Raw_Data!K1456</f>
        <v>18</v>
      </c>
      <c r="L1456" s="17" t="str">
        <f>Raw_Data!L1456</f>
        <v>Chandigarh-North</v>
      </c>
      <c r="M1456" s="13" t="str">
        <f t="shared" si="3"/>
        <v>OK</v>
      </c>
      <c r="N1456" s="18" t="str">
        <f t="shared" si="4"/>
        <v>VALID</v>
      </c>
    </row>
    <row r="1457" ht="15.75" customHeight="1">
      <c r="A1457" s="13" t="str">
        <f>Raw_Data!A1457</f>
        <v>EMP1528</v>
      </c>
      <c r="B1457" s="13" t="str">
        <f>TRIM(CLEAN(Raw_Data!B1457))</f>
        <v>Marketing</v>
      </c>
      <c r="C1457" s="18" t="s">
        <v>14</v>
      </c>
      <c r="D1457" s="14" t="str">
        <f>IF(ISBLANK(Raw_Data!D1457),AVERAGE(Raw_Data!D$2:D$5002),Raw_Data!D1457)</f>
        <v>64775.29</v>
      </c>
      <c r="E1457" s="15" t="str">
        <f>IF(ISBLANK(Raw_Data!E1457),AVERAGE(Raw_Data!E$2:E$5002),Raw_Data!E1457)</f>
        <v>21041.91</v>
      </c>
      <c r="F1457" s="15" t="str">
        <f>IF(ISBLANK(Raw_Data!F1457),AVERAGE(Raw_Data!F$2:F$5002),Raw_Data!F1457)</f>
        <v>11906.30</v>
      </c>
      <c r="G1457" s="14" t="str">
        <f>IF(ISBLANK(Raw_Data!G1457),AVERAGE(Raw_Data!G$2:G$5002),Raw_Data!G1457)</f>
        <v>12101.24</v>
      </c>
      <c r="H1457" s="15" t="str">
        <f t="shared" si="1"/>
        <v>97724.00</v>
      </c>
      <c r="I1457" s="14" t="str">
        <f t="shared" si="2"/>
        <v>85623.00</v>
      </c>
      <c r="J1457" s="16" t="str">
        <f>TEXT(Raw_Data!J1457,"MMM-YYY")</f>
        <v>Mar-2025</v>
      </c>
      <c r="K1457" s="13" t="str">
        <f>Raw_Data!K1457</f>
        <v>4</v>
      </c>
      <c r="L1457" s="17" t="str">
        <f>Raw_Data!L1457</f>
        <v>Ahmedabad-West</v>
      </c>
      <c r="M1457" s="13" t="str">
        <f t="shared" si="3"/>
        <v>OK</v>
      </c>
      <c r="N1457" s="18" t="str">
        <f t="shared" si="4"/>
        <v>VALID</v>
      </c>
    </row>
    <row r="1458" ht="15.75" customHeight="1">
      <c r="A1458" s="13" t="str">
        <f>Raw_Data!A1458</f>
        <v>EMP1529</v>
      </c>
      <c r="B1458" s="13" t="str">
        <f>TRIM(CLEAN(Raw_Data!B1458))</f>
        <v>IT</v>
      </c>
      <c r="C1458" s="18" t="s">
        <v>18</v>
      </c>
      <c r="D1458" s="14" t="str">
        <f>IF(ISBLANK(Raw_Data!D1458),AVERAGE(Raw_Data!D$2:D$5002),Raw_Data!D1458)</f>
        <v>64786.17</v>
      </c>
      <c r="E1458" s="15" t="str">
        <f>IF(ISBLANK(Raw_Data!E1458),AVERAGE(Raw_Data!E$2:E$5002),Raw_Data!E1458)</f>
        <v>21046.53</v>
      </c>
      <c r="F1458" s="15" t="str">
        <f>IF(ISBLANK(Raw_Data!F1458),AVERAGE(Raw_Data!F$2:F$5002),Raw_Data!F1458)</f>
        <v>11913.98</v>
      </c>
      <c r="G1458" s="14" t="str">
        <f>IF(ISBLANK(Raw_Data!G1458),AVERAGE(Raw_Data!G$2:G$5002),Raw_Data!G1458)</f>
        <v>12104.63</v>
      </c>
      <c r="H1458" s="15" t="str">
        <f t="shared" si="1"/>
        <v>97747.00</v>
      </c>
      <c r="I1458" s="14" t="str">
        <f t="shared" si="2"/>
        <v>85642.00</v>
      </c>
      <c r="J1458" s="16" t="str">
        <f>TEXT(Raw_Data!J1458,"MMM-YYY")</f>
        <v>Sep-2025</v>
      </c>
      <c r="K1458" s="13" t="str">
        <f>Raw_Data!K1458</f>
        <v>25</v>
      </c>
      <c r="L1458" s="17" t="str">
        <f>Raw_Data!L1458</f>
        <v>Jaipur-North</v>
      </c>
      <c r="M1458" s="13" t="str">
        <f t="shared" si="3"/>
        <v>OK</v>
      </c>
      <c r="N1458" s="18" t="str">
        <f t="shared" si="4"/>
        <v>VALID</v>
      </c>
    </row>
    <row r="1459" ht="15.75" customHeight="1">
      <c r="A1459" s="13" t="str">
        <f>Raw_Data!A1459</f>
        <v>EMP1530</v>
      </c>
      <c r="B1459" s="13" t="str">
        <f>TRIM(CLEAN(Raw_Data!B1459))</f>
        <v>Sales</v>
      </c>
      <c r="C1459" s="18" t="s">
        <v>18</v>
      </c>
      <c r="D1459" s="14" t="str">
        <f>IF(ISBLANK(Raw_Data!D1459),AVERAGE(Raw_Data!D$2:D$5002),Raw_Data!D1459)</f>
        <v>64797.05</v>
      </c>
      <c r="E1459" s="15" t="str">
        <f>IF(ISBLANK(Raw_Data!E1459),AVERAGE(Raw_Data!E$2:E$5002),Raw_Data!E1459)</f>
        <v>21051.14</v>
      </c>
      <c r="F1459" s="15" t="str">
        <f>IF(ISBLANK(Raw_Data!F1459),AVERAGE(Raw_Data!F$2:F$5002),Raw_Data!F1459)</f>
        <v>11921.66</v>
      </c>
      <c r="G1459" s="14" t="str">
        <f>IF(ISBLANK(Raw_Data!G1459),AVERAGE(Raw_Data!G$2:G$5002),Raw_Data!G1459)</f>
        <v>12108.03</v>
      </c>
      <c r="H1459" s="15" t="str">
        <f t="shared" si="1"/>
        <v>97770.00</v>
      </c>
      <c r="I1459" s="14" t="str">
        <f t="shared" si="2"/>
        <v>85662.00</v>
      </c>
      <c r="J1459" s="16" t="str">
        <f>TEXT(Raw_Data!J1459,"MMM-YYY")</f>
        <v>Aug-2025</v>
      </c>
      <c r="K1459" s="13" t="str">
        <f>Raw_Data!K1459</f>
        <v>24</v>
      </c>
      <c r="L1459" s="17" t="str">
        <f>Raw_Data!L1459</f>
        <v>Mumbai-HO</v>
      </c>
      <c r="M1459" s="13" t="str">
        <f t="shared" si="3"/>
        <v>OK</v>
      </c>
      <c r="N1459" s="18" t="str">
        <f t="shared" si="4"/>
        <v>VALID</v>
      </c>
    </row>
    <row r="1460" ht="15.75" customHeight="1">
      <c r="A1460" s="13" t="str">
        <f>Raw_Data!A1460</f>
        <v>EMP1531</v>
      </c>
      <c r="B1460" s="13" t="str">
        <f>TRIM(CLEAN(Raw_Data!B1460))</f>
        <v>Finance</v>
      </c>
      <c r="C1460" s="18" t="s">
        <v>14</v>
      </c>
      <c r="D1460" s="14" t="str">
        <f>IF(ISBLANK(Raw_Data!D1460),AVERAGE(Raw_Data!D$2:D$5002),Raw_Data!D1460)</f>
        <v>64807.94</v>
      </c>
      <c r="E1460" s="15" t="str">
        <f>IF(ISBLANK(Raw_Data!E1460),AVERAGE(Raw_Data!E$2:E$5002),Raw_Data!E1460)</f>
        <v>21055.76</v>
      </c>
      <c r="F1460" s="15" t="str">
        <f>IF(ISBLANK(Raw_Data!F1460),AVERAGE(Raw_Data!F$2:F$5002),Raw_Data!F1460)</f>
        <v>11929.34</v>
      </c>
      <c r="G1460" s="14" t="str">
        <f>IF(ISBLANK(Raw_Data!G1460),AVERAGE(Raw_Data!G$2:G$5002),Raw_Data!G1460)</f>
        <v>12111.43</v>
      </c>
      <c r="H1460" s="15" t="str">
        <f t="shared" si="1"/>
        <v>97793.00</v>
      </c>
      <c r="I1460" s="14" t="str">
        <f t="shared" si="2"/>
        <v>85682.00</v>
      </c>
      <c r="J1460" s="16" t="str">
        <f>TEXT(Raw_Data!J1460,"MMM-YYY")</f>
        <v>Sep-2025</v>
      </c>
      <c r="K1460" s="13" t="str">
        <f>Raw_Data!K1460</f>
        <v>5</v>
      </c>
      <c r="L1460" s="17" t="str">
        <f>Raw_Data!L1460</f>
        <v>Delhi-North</v>
      </c>
      <c r="M1460" s="13" t="str">
        <f t="shared" si="3"/>
        <v>OK</v>
      </c>
      <c r="N1460" s="18" t="str">
        <f t="shared" si="4"/>
        <v>VALID</v>
      </c>
    </row>
    <row r="1461" ht="15.75" customHeight="1">
      <c r="A1461" s="13" t="str">
        <f>Raw_Data!A1461</f>
        <v>EMP1532</v>
      </c>
      <c r="B1461" s="13" t="str">
        <f>TRIM(CLEAN(Raw_Data!B1461))</f>
        <v>HR</v>
      </c>
      <c r="C1461" s="18" t="s">
        <v>33</v>
      </c>
      <c r="D1461" s="14" t="str">
        <f>IF(ISBLANK(Raw_Data!D1461),AVERAGE(Raw_Data!D$2:D$5002),Raw_Data!D1461)</f>
        <v>64818.82</v>
      </c>
      <c r="E1461" s="15" t="str">
        <f>IF(ISBLANK(Raw_Data!E1461),AVERAGE(Raw_Data!E$2:E$5002),Raw_Data!E1461)</f>
        <v>21060.37</v>
      </c>
      <c r="F1461" s="15" t="str">
        <f>IF(ISBLANK(Raw_Data!F1461),AVERAGE(Raw_Data!F$2:F$5002),Raw_Data!F1461)</f>
        <v>11937.02</v>
      </c>
      <c r="G1461" s="14" t="str">
        <f>IF(ISBLANK(Raw_Data!G1461),AVERAGE(Raw_Data!G$2:G$5002),Raw_Data!G1461)</f>
        <v>12114.83</v>
      </c>
      <c r="H1461" s="15" t="str">
        <f t="shared" si="1"/>
        <v>97816.00</v>
      </c>
      <c r="I1461" s="14" t="str">
        <f t="shared" si="2"/>
        <v>85701.00</v>
      </c>
      <c r="J1461" s="16" t="str">
        <f>TEXT(Raw_Data!J1461,"MMM-YYY")</f>
        <v>Dec-2025</v>
      </c>
      <c r="K1461" s="13" t="str">
        <f>Raw_Data!K1461</f>
        <v>12</v>
      </c>
      <c r="L1461" s="17" t="str">
        <f>Raw_Data!L1461</f>
        <v>Bangalore-South</v>
      </c>
      <c r="M1461" s="13" t="str">
        <f t="shared" si="3"/>
        <v>OK</v>
      </c>
      <c r="N1461" s="18" t="str">
        <f t="shared" si="4"/>
        <v>VALID</v>
      </c>
    </row>
    <row r="1462" ht="15.75" customHeight="1">
      <c r="A1462" s="13" t="str">
        <f>Raw_Data!A1462</f>
        <v>EMP1533</v>
      </c>
      <c r="B1462" s="13" t="str">
        <f>TRIM(CLEAN(Raw_Data!B1462))</f>
        <v>Finance</v>
      </c>
      <c r="C1462" s="18" t="s">
        <v>37</v>
      </c>
      <c r="D1462" s="14" t="str">
        <f>IF(ISBLANK(Raw_Data!D1462),AVERAGE(Raw_Data!D$2:D$5002),Raw_Data!D1462)</f>
        <v>64829.70</v>
      </c>
      <c r="E1462" s="15" t="str">
        <f>IF(ISBLANK(Raw_Data!E1462),AVERAGE(Raw_Data!E$2:E$5002),Raw_Data!E1462)</f>
        <v>21064.99</v>
      </c>
      <c r="F1462" s="15" t="str">
        <f>IF(ISBLANK(Raw_Data!F1462),AVERAGE(Raw_Data!F$2:F$5002),Raw_Data!F1462)</f>
        <v>11944.70</v>
      </c>
      <c r="G1462" s="14" t="str">
        <f>IF(ISBLANK(Raw_Data!G1462),AVERAGE(Raw_Data!G$2:G$5002),Raw_Data!G1462)</f>
        <v>12118.22</v>
      </c>
      <c r="H1462" s="15" t="str">
        <f t="shared" si="1"/>
        <v>97839.00</v>
      </c>
      <c r="I1462" s="14" t="str">
        <f t="shared" si="2"/>
        <v>85721.00</v>
      </c>
      <c r="J1462" s="16" t="str">
        <f>TEXT(Raw_Data!J1462,"MMM-YYY")</f>
        <v>Feb-2025</v>
      </c>
      <c r="K1462" s="13" t="str">
        <f>Raw_Data!K1462</f>
        <v>18</v>
      </c>
      <c r="L1462" s="17" t="str">
        <f>Raw_Data!L1462</f>
        <v>Chennai-South</v>
      </c>
      <c r="M1462" s="13" t="str">
        <f t="shared" si="3"/>
        <v>OK</v>
      </c>
      <c r="N1462" s="18" t="str">
        <f t="shared" si="4"/>
        <v>VALID</v>
      </c>
    </row>
    <row r="1463" ht="15.75" customHeight="1">
      <c r="A1463" s="13" t="str">
        <f>Raw_Data!A1463</f>
        <v>EMP1534</v>
      </c>
      <c r="B1463" s="13" t="str">
        <f>TRIM(CLEAN(Raw_Data!B1463))</f>
        <v>Sales</v>
      </c>
      <c r="C1463" s="18" t="s">
        <v>54</v>
      </c>
      <c r="D1463" s="14" t="str">
        <f>IF(ISBLANK(Raw_Data!D1463),AVERAGE(Raw_Data!D$2:D$5002),Raw_Data!D1463)</f>
        <v>64840.59</v>
      </c>
      <c r="E1463" s="15" t="str">
        <f>IF(ISBLANK(Raw_Data!E1463),AVERAGE(Raw_Data!E$2:E$5002),Raw_Data!E1463)</f>
        <v>21069.60</v>
      </c>
      <c r="F1463" s="15" t="str">
        <f>IF(ISBLANK(Raw_Data!F1463),AVERAGE(Raw_Data!F$2:F$5002),Raw_Data!F1463)</f>
        <v>11952.38</v>
      </c>
      <c r="G1463" s="14" t="str">
        <f>IF(ISBLANK(Raw_Data!G1463),AVERAGE(Raw_Data!G$2:G$5002),Raw_Data!G1463)</f>
        <v>12121.62</v>
      </c>
      <c r="H1463" s="15" t="str">
        <f t="shared" si="1"/>
        <v>97863.00</v>
      </c>
      <c r="I1463" s="14" t="str">
        <f t="shared" si="2"/>
        <v>85741.00</v>
      </c>
      <c r="J1463" s="16" t="str">
        <f>TEXT(Raw_Data!J1463,"MMM-YYY")</f>
        <v>Jun-2025</v>
      </c>
      <c r="K1463" s="13" t="str">
        <f>Raw_Data!K1463</f>
        <v>3</v>
      </c>
      <c r="L1463" s="17" t="str">
        <f>Raw_Data!L1463</f>
        <v>Kolkata-East</v>
      </c>
      <c r="M1463" s="13" t="str">
        <f t="shared" si="3"/>
        <v>OK</v>
      </c>
      <c r="N1463" s="18" t="str">
        <f t="shared" si="4"/>
        <v>VALID</v>
      </c>
    </row>
    <row r="1464" ht="15.75" customHeight="1">
      <c r="A1464" s="13" t="str">
        <f>Raw_Data!A1464</f>
        <v>EMP1535</v>
      </c>
      <c r="B1464" s="13" t="str">
        <f>TRIM(CLEAN(Raw_Data!B1464))</f>
        <v>Finance</v>
      </c>
      <c r="C1464" s="18" t="s">
        <v>33</v>
      </c>
      <c r="D1464" s="14" t="str">
        <f>IF(ISBLANK(Raw_Data!D1464),AVERAGE(Raw_Data!D$2:D$5002),Raw_Data!D1464)</f>
        <v>64851.47</v>
      </c>
      <c r="E1464" s="15" t="str">
        <f>IF(ISBLANK(Raw_Data!E1464),AVERAGE(Raw_Data!E$2:E$5002),Raw_Data!E1464)</f>
        <v>21074.22</v>
      </c>
      <c r="F1464" s="15" t="str">
        <f>IF(ISBLANK(Raw_Data!F1464),AVERAGE(Raw_Data!F$2:F$5002),Raw_Data!F1464)</f>
        <v>11960.06</v>
      </c>
      <c r="G1464" s="14" t="str">
        <f>IF(ISBLANK(Raw_Data!G1464),AVERAGE(Raw_Data!G$2:G$5002),Raw_Data!G1464)</f>
        <v>12125.02</v>
      </c>
      <c r="H1464" s="15" t="str">
        <f t="shared" si="1"/>
        <v>97886.00</v>
      </c>
      <c r="I1464" s="14" t="str">
        <f t="shared" si="2"/>
        <v>85761.00</v>
      </c>
      <c r="J1464" s="16" t="str">
        <f>TEXT(Raw_Data!J1464,"MMM-YYY")</f>
        <v>Mar-2025</v>
      </c>
      <c r="K1464" s="13" t="str">
        <f>Raw_Data!K1464</f>
        <v>23</v>
      </c>
      <c r="L1464" s="17" t="str">
        <f>Raw_Data!L1464</f>
        <v>Pune-West</v>
      </c>
      <c r="M1464" s="13" t="str">
        <f t="shared" si="3"/>
        <v>OK</v>
      </c>
      <c r="N1464" s="18" t="str">
        <f t="shared" si="4"/>
        <v>VALID</v>
      </c>
    </row>
    <row r="1465" ht="15.75" customHeight="1">
      <c r="A1465" s="13" t="str">
        <f>Raw_Data!A1465</f>
        <v>EMP1536</v>
      </c>
      <c r="B1465" s="13" t="str">
        <f>TRIM(CLEAN(Raw_Data!B1465))</f>
        <v>Finance</v>
      </c>
      <c r="C1465" s="18" t="s">
        <v>26</v>
      </c>
      <c r="D1465" s="14" t="str">
        <f>IF(ISBLANK(Raw_Data!D1465),AVERAGE(Raw_Data!D$2:D$5002),Raw_Data!D1465)</f>
        <v>64862.35</v>
      </c>
      <c r="E1465" s="15" t="str">
        <f>IF(ISBLANK(Raw_Data!E1465),AVERAGE(Raw_Data!E$2:E$5002),Raw_Data!E1465)</f>
        <v>21078.83</v>
      </c>
      <c r="F1465" s="15" t="str">
        <f>IF(ISBLANK(Raw_Data!F1465),AVERAGE(Raw_Data!F$2:F$5002),Raw_Data!F1465)</f>
        <v>11967.74</v>
      </c>
      <c r="G1465" s="14" t="str">
        <f>IF(ISBLANK(Raw_Data!G1465),AVERAGE(Raw_Data!G$2:G$5002),Raw_Data!G1465)</f>
        <v>12128.42</v>
      </c>
      <c r="H1465" s="15" t="str">
        <f t="shared" si="1"/>
        <v>97909.00</v>
      </c>
      <c r="I1465" s="14" t="str">
        <f t="shared" si="2"/>
        <v>85781.00</v>
      </c>
      <c r="J1465" s="16" t="str">
        <f>TEXT(Raw_Data!J1465,"MMM-YYY")</f>
        <v>Mar-2025</v>
      </c>
      <c r="K1465" s="13" t="str">
        <f>Raw_Data!K1465</f>
        <v>6</v>
      </c>
      <c r="L1465" s="17" t="str">
        <f>Raw_Data!L1465</f>
        <v>Hyderabad-South</v>
      </c>
      <c r="M1465" s="13" t="str">
        <f t="shared" si="3"/>
        <v>OK</v>
      </c>
      <c r="N1465" s="18" t="str">
        <f t="shared" si="4"/>
        <v>VALID</v>
      </c>
    </row>
    <row r="1466" ht="15.75" customHeight="1">
      <c r="A1466" s="13" t="str">
        <f>Raw_Data!A1466</f>
        <v>EMP1537</v>
      </c>
      <c r="B1466" s="13" t="str">
        <f>TRIM(CLEAN(Raw_Data!B1466))</f>
        <v>Marketing</v>
      </c>
      <c r="C1466" s="18" t="s">
        <v>37</v>
      </c>
      <c r="D1466" s="14" t="str">
        <f>IF(ISBLANK(Raw_Data!D1466),AVERAGE(Raw_Data!D$2:D$5002),Raw_Data!D1466)</f>
        <v>64873.23</v>
      </c>
      <c r="E1466" s="15" t="str">
        <f>IF(ISBLANK(Raw_Data!E1466),AVERAGE(Raw_Data!E$2:E$5002),Raw_Data!E1466)</f>
        <v>21083.45</v>
      </c>
      <c r="F1466" s="15" t="str">
        <f>IF(ISBLANK(Raw_Data!F1466),AVERAGE(Raw_Data!F$2:F$5002),Raw_Data!F1466)</f>
        <v>11975.42</v>
      </c>
      <c r="G1466" s="14" t="str">
        <f>IF(ISBLANK(Raw_Data!G1466),AVERAGE(Raw_Data!G$2:G$5002),Raw_Data!G1466)</f>
        <v>12131.81</v>
      </c>
      <c r="H1466" s="15" t="str">
        <f t="shared" si="1"/>
        <v>97932.00</v>
      </c>
      <c r="I1466" s="14" t="str">
        <f t="shared" si="2"/>
        <v>85800.00</v>
      </c>
      <c r="J1466" s="16" t="str">
        <f>TEXT(Raw_Data!J1466,"MMM-YYY")</f>
        <v>Sep-2025</v>
      </c>
      <c r="K1466" s="13" t="str">
        <f>Raw_Data!K1466</f>
        <v>25</v>
      </c>
      <c r="L1466" s="17" t="str">
        <f>Raw_Data!L1466</f>
        <v>Chandigarh-North</v>
      </c>
      <c r="M1466" s="13" t="str">
        <f t="shared" si="3"/>
        <v>OK</v>
      </c>
      <c r="N1466" s="18" t="str">
        <f t="shared" si="4"/>
        <v>VALID</v>
      </c>
    </row>
    <row r="1467" ht="15.75" customHeight="1">
      <c r="A1467" s="13" t="str">
        <f>Raw_Data!A1467</f>
        <v>EMP1538</v>
      </c>
      <c r="B1467" s="13" t="str">
        <f>TRIM(CLEAN(Raw_Data!B1467))</f>
        <v>IT</v>
      </c>
      <c r="C1467" s="18" t="s">
        <v>30</v>
      </c>
      <c r="D1467" s="14" t="str">
        <f>IF(ISBLANK(Raw_Data!D1467),AVERAGE(Raw_Data!D$2:D$5002),Raw_Data!D1467)</f>
        <v>64884.12</v>
      </c>
      <c r="E1467" s="15" t="str">
        <f>IF(ISBLANK(Raw_Data!E1467),AVERAGE(Raw_Data!E$2:E$5002),Raw_Data!E1467)</f>
        <v>21088.06</v>
      </c>
      <c r="F1467" s="15" t="str">
        <f>IF(ISBLANK(Raw_Data!F1467),AVERAGE(Raw_Data!F$2:F$5002),Raw_Data!F1467)</f>
        <v>11983.10</v>
      </c>
      <c r="G1467" s="14" t="str">
        <f>IF(ISBLANK(Raw_Data!G1467),AVERAGE(Raw_Data!G$2:G$5002),Raw_Data!G1467)</f>
        <v>12135.21</v>
      </c>
      <c r="H1467" s="15" t="str">
        <f t="shared" si="1"/>
        <v>97955.00</v>
      </c>
      <c r="I1467" s="14" t="str">
        <f t="shared" si="2"/>
        <v>85820.00</v>
      </c>
      <c r="J1467" s="16" t="str">
        <f>TEXT(Raw_Data!J1467,"MMM-YYY")</f>
        <v>May-2025</v>
      </c>
      <c r="K1467" s="13" t="str">
        <f>Raw_Data!K1467</f>
        <v>11</v>
      </c>
      <c r="L1467" s="17" t="str">
        <f>Raw_Data!L1467</f>
        <v>Ahmedabad-West</v>
      </c>
      <c r="M1467" s="13" t="str">
        <f t="shared" si="3"/>
        <v>OK</v>
      </c>
      <c r="N1467" s="18" t="str">
        <f t="shared" si="4"/>
        <v>VALID</v>
      </c>
    </row>
    <row r="1468" ht="15.75" customHeight="1">
      <c r="A1468" s="13" t="str">
        <f>Raw_Data!A1468</f>
        <v>EMP1540</v>
      </c>
      <c r="B1468" s="13" t="str">
        <f>TRIM(CLEAN(Raw_Data!B1468))</f>
        <v>Finance</v>
      </c>
      <c r="C1468" s="18" t="s">
        <v>18</v>
      </c>
      <c r="D1468" s="14" t="str">
        <f>IF(ISBLANK(Raw_Data!D1468),AVERAGE(Raw_Data!D$2:D$5002),Raw_Data!D1468)</f>
        <v>64905.88</v>
      </c>
      <c r="E1468" s="15" t="str">
        <f>IF(ISBLANK(Raw_Data!E1468),AVERAGE(Raw_Data!E$2:E$5002),Raw_Data!E1468)</f>
        <v>21097.29</v>
      </c>
      <c r="F1468" s="15" t="str">
        <f>IF(ISBLANK(Raw_Data!F1468),AVERAGE(Raw_Data!F$2:F$5002),Raw_Data!F1468)</f>
        <v>11998.46</v>
      </c>
      <c r="G1468" s="14" t="str">
        <f>IF(ISBLANK(Raw_Data!G1468),AVERAGE(Raw_Data!G$2:G$5002),Raw_Data!G1468)</f>
        <v>12142.01</v>
      </c>
      <c r="H1468" s="15" t="str">
        <f t="shared" si="1"/>
        <v>98002.00</v>
      </c>
      <c r="I1468" s="14" t="str">
        <f t="shared" si="2"/>
        <v>85860.00</v>
      </c>
      <c r="J1468" s="16" t="str">
        <f>TEXT(Raw_Data!J1468,"MMM-YYY")</f>
        <v>Oct-2025</v>
      </c>
      <c r="K1468" s="13" t="str">
        <f>Raw_Data!K1468</f>
        <v>11</v>
      </c>
      <c r="L1468" s="17" t="str">
        <f>Raw_Data!L1468</f>
        <v>Mumbai-HO</v>
      </c>
      <c r="M1468" s="13" t="str">
        <f t="shared" si="3"/>
        <v>OK</v>
      </c>
      <c r="N1468" s="18" t="str">
        <f t="shared" si="4"/>
        <v>VALID</v>
      </c>
    </row>
    <row r="1469" ht="15.75" customHeight="1">
      <c r="A1469" s="13" t="str">
        <f>Raw_Data!A1469</f>
        <v>EMP1541</v>
      </c>
      <c r="B1469" s="13" t="str">
        <f>TRIM(CLEAN(Raw_Data!B1469))</f>
        <v>Operations</v>
      </c>
      <c r="C1469" s="18" t="s">
        <v>37</v>
      </c>
      <c r="D1469" s="14" t="str">
        <f>IF(ISBLANK(Raw_Data!D1469),AVERAGE(Raw_Data!D$2:D$5002),Raw_Data!D1469)</f>
        <v>64916.77</v>
      </c>
      <c r="E1469" s="15" t="str">
        <f>IF(ISBLANK(Raw_Data!E1469),AVERAGE(Raw_Data!E$2:E$5002),Raw_Data!E1469)</f>
        <v>21101.91</v>
      </c>
      <c r="F1469" s="15" t="str">
        <f>IF(ISBLANK(Raw_Data!F1469),AVERAGE(Raw_Data!F$2:F$5002),Raw_Data!F1469)</f>
        <v>12006.14</v>
      </c>
      <c r="G1469" s="14" t="str">
        <f>IF(ISBLANK(Raw_Data!G1469),AVERAGE(Raw_Data!G$2:G$5002),Raw_Data!G1469)</f>
        <v>12145.40</v>
      </c>
      <c r="H1469" s="15" t="str">
        <f t="shared" si="1"/>
        <v>98025.00</v>
      </c>
      <c r="I1469" s="14" t="str">
        <f t="shared" si="2"/>
        <v>85880.00</v>
      </c>
      <c r="J1469" s="16" t="str">
        <f>TEXT(Raw_Data!J1469,"MMM-YYY")</f>
        <v>Feb-2025</v>
      </c>
      <c r="K1469" s="13" t="str">
        <f>Raw_Data!K1469</f>
        <v>5</v>
      </c>
      <c r="L1469" s="17" t="str">
        <f>Raw_Data!L1469</f>
        <v>Delhi-North</v>
      </c>
      <c r="M1469" s="13" t="str">
        <f t="shared" si="3"/>
        <v>OK</v>
      </c>
      <c r="N1469" s="18" t="str">
        <f t="shared" si="4"/>
        <v>VALID</v>
      </c>
    </row>
    <row r="1470" ht="15.75" customHeight="1">
      <c r="A1470" s="13" t="str">
        <f>Raw_Data!A1470</f>
        <v>EMP1542</v>
      </c>
      <c r="B1470" s="13" t="str">
        <f>TRIM(CLEAN(Raw_Data!B1470))</f>
        <v>IT</v>
      </c>
      <c r="C1470" s="18" t="s">
        <v>26</v>
      </c>
      <c r="D1470" s="14" t="str">
        <f>IF(ISBLANK(Raw_Data!D1470),AVERAGE(Raw_Data!D$2:D$5002),Raw_Data!D1470)</f>
        <v>64927.65</v>
      </c>
      <c r="E1470" s="15" t="str">
        <f>IF(ISBLANK(Raw_Data!E1470),AVERAGE(Raw_Data!E$2:E$5002),Raw_Data!E1470)</f>
        <v>21106.52</v>
      </c>
      <c r="F1470" s="15" t="str">
        <f>IF(ISBLANK(Raw_Data!F1470),AVERAGE(Raw_Data!F$2:F$5002),Raw_Data!F1470)</f>
        <v>12013.82</v>
      </c>
      <c r="G1470" s="14" t="str">
        <f>IF(ISBLANK(Raw_Data!G1470),AVERAGE(Raw_Data!G$2:G$5002),Raw_Data!G1470)</f>
        <v>12148.80</v>
      </c>
      <c r="H1470" s="15" t="str">
        <f t="shared" si="1"/>
        <v>98048.00</v>
      </c>
      <c r="I1470" s="14" t="str">
        <f t="shared" si="2"/>
        <v>85899.00</v>
      </c>
      <c r="J1470" s="16" t="str">
        <f>TEXT(Raw_Data!J1470,"MMM-YYY")</f>
        <v>Oct-2025</v>
      </c>
      <c r="K1470" s="13" t="str">
        <f>Raw_Data!K1470</f>
        <v>12</v>
      </c>
      <c r="L1470" s="17" t="str">
        <f>Raw_Data!L1470</f>
        <v>Bangalore-South</v>
      </c>
      <c r="M1470" s="13" t="str">
        <f t="shared" si="3"/>
        <v>OK</v>
      </c>
      <c r="N1470" s="18" t="str">
        <f t="shared" si="4"/>
        <v>VALID</v>
      </c>
    </row>
    <row r="1471" ht="15.75" customHeight="1">
      <c r="A1471" s="13" t="str">
        <f>Raw_Data!A1471</f>
        <v>EMP1543</v>
      </c>
      <c r="B1471" s="13" t="str">
        <f>TRIM(CLEAN(Raw_Data!B1471))</f>
        <v>HR</v>
      </c>
      <c r="C1471" s="18" t="s">
        <v>18</v>
      </c>
      <c r="D1471" s="14" t="str">
        <f>IF(ISBLANK(Raw_Data!D1471),AVERAGE(Raw_Data!D$2:D$5002),Raw_Data!D1471)</f>
        <v>64938.53</v>
      </c>
      <c r="E1471" s="15" t="str">
        <f>IF(ISBLANK(Raw_Data!E1471),AVERAGE(Raw_Data!E$2:E$5002),Raw_Data!E1471)</f>
        <v>21111.13</v>
      </c>
      <c r="F1471" s="15" t="str">
        <f>IF(ISBLANK(Raw_Data!F1471),AVERAGE(Raw_Data!F$2:F$5002),Raw_Data!F1471)</f>
        <v>12021.50</v>
      </c>
      <c r="G1471" s="14" t="str">
        <f>IF(ISBLANK(Raw_Data!G1471),AVERAGE(Raw_Data!G$2:G$5002),Raw_Data!G1471)</f>
        <v>12152.20</v>
      </c>
      <c r="H1471" s="15" t="str">
        <f t="shared" si="1"/>
        <v>98071.00</v>
      </c>
      <c r="I1471" s="14" t="str">
        <f t="shared" si="2"/>
        <v>85919.00</v>
      </c>
      <c r="J1471" s="16" t="str">
        <f>TEXT(Raw_Data!J1471,"MMM-YYY")</f>
        <v>May-2025</v>
      </c>
      <c r="K1471" s="13" t="str">
        <f>Raw_Data!K1471</f>
        <v>25</v>
      </c>
      <c r="L1471" s="17" t="str">
        <f>Raw_Data!L1471</f>
        <v>Chennai-South</v>
      </c>
      <c r="M1471" s="13" t="str">
        <f t="shared" si="3"/>
        <v>OK</v>
      </c>
      <c r="N1471" s="18" t="str">
        <f t="shared" si="4"/>
        <v>VALID</v>
      </c>
    </row>
    <row r="1472" ht="15.75" customHeight="1">
      <c r="A1472" s="13" t="str">
        <f>Raw_Data!A1472</f>
        <v>EMP1544</v>
      </c>
      <c r="B1472" s="13" t="str">
        <f>TRIM(CLEAN(Raw_Data!B1472))</f>
        <v>Marketing</v>
      </c>
      <c r="C1472" s="18" t="s">
        <v>37</v>
      </c>
      <c r="D1472" s="14" t="str">
        <f>IF(ISBLANK(Raw_Data!D1472),AVERAGE(Raw_Data!D$2:D$5002),Raw_Data!D1472)</f>
        <v>64949.41</v>
      </c>
      <c r="E1472" s="15" t="str">
        <f>IF(ISBLANK(Raw_Data!E1472),AVERAGE(Raw_Data!E$2:E$5002),Raw_Data!E1472)</f>
        <v>21115.75</v>
      </c>
      <c r="F1472" s="15" t="str">
        <f>IF(ISBLANK(Raw_Data!F1472),AVERAGE(Raw_Data!F$2:F$5002),Raw_Data!F1472)</f>
        <v>12029.18</v>
      </c>
      <c r="G1472" s="14" t="str">
        <f>IF(ISBLANK(Raw_Data!G1472),AVERAGE(Raw_Data!G$2:G$5002),Raw_Data!G1472)</f>
        <v>12155.60</v>
      </c>
      <c r="H1472" s="15" t="str">
        <f t="shared" si="1"/>
        <v>98094.00</v>
      </c>
      <c r="I1472" s="14" t="str">
        <f t="shared" si="2"/>
        <v>85938.00</v>
      </c>
      <c r="J1472" s="16" t="str">
        <f>TEXT(Raw_Data!J1472,"MMM-YYY")</f>
        <v>May-2025</v>
      </c>
      <c r="K1472" s="13" t="str">
        <f>Raw_Data!K1472</f>
        <v>16</v>
      </c>
      <c r="L1472" s="17" t="str">
        <f>Raw_Data!L1472</f>
        <v>Kolkata-East</v>
      </c>
      <c r="M1472" s="13" t="str">
        <f t="shared" si="3"/>
        <v>OK</v>
      </c>
      <c r="N1472" s="18" t="str">
        <f t="shared" si="4"/>
        <v>VALID</v>
      </c>
    </row>
    <row r="1473" ht="15.75" customHeight="1">
      <c r="A1473" s="13" t="str">
        <f>Raw_Data!A1473</f>
        <v>EMP1545</v>
      </c>
      <c r="B1473" s="13" t="str">
        <f>TRIM(CLEAN(Raw_Data!B1473))</f>
        <v>Sales</v>
      </c>
      <c r="C1473" s="18" t="s">
        <v>33</v>
      </c>
      <c r="D1473" s="14" t="str">
        <f>IF(ISBLANK(Raw_Data!D1473),AVERAGE(Raw_Data!D$2:D$5002),Raw_Data!D1473)</f>
        <v>64960.30</v>
      </c>
      <c r="E1473" s="15" t="str">
        <f>IF(ISBLANK(Raw_Data!E1473),AVERAGE(Raw_Data!E$2:E$5002),Raw_Data!E1473)</f>
        <v>21120.36</v>
      </c>
      <c r="F1473" s="15" t="str">
        <f>IF(ISBLANK(Raw_Data!F1473),AVERAGE(Raw_Data!F$2:F$5002),Raw_Data!F1473)</f>
        <v>12036.86</v>
      </c>
      <c r="G1473" s="14" t="str">
        <f>IF(ISBLANK(Raw_Data!G1473),AVERAGE(Raw_Data!G$2:G$5002),Raw_Data!G1473)</f>
        <v>14562.73</v>
      </c>
      <c r="H1473" s="15" t="str">
        <f t="shared" si="1"/>
        <v>98118.00</v>
      </c>
      <c r="I1473" s="14" t="str">
        <f t="shared" si="2"/>
        <v>83555.00</v>
      </c>
      <c r="J1473" s="16" t="str">
        <f>TEXT(Raw_Data!J1473,"MMM-YYY")</f>
        <v>Aug-2025</v>
      </c>
      <c r="K1473" s="13" t="str">
        <f>Raw_Data!K1473</f>
        <v>19</v>
      </c>
      <c r="L1473" s="17" t="str">
        <f>Raw_Data!L1473</f>
        <v>Pune-West</v>
      </c>
      <c r="M1473" s="13" t="str">
        <f t="shared" si="3"/>
        <v>OK</v>
      </c>
      <c r="N1473" s="18" t="str">
        <f t="shared" si="4"/>
        <v>VALID</v>
      </c>
    </row>
    <row r="1474" ht="15.75" customHeight="1">
      <c r="A1474" s="13" t="str">
        <f>Raw_Data!A1474</f>
        <v>EMP1546</v>
      </c>
      <c r="B1474" s="13" t="str">
        <f>TRIM(CLEAN(Raw_Data!B1474))</f>
        <v>Marketing</v>
      </c>
      <c r="C1474" s="18" t="s">
        <v>14</v>
      </c>
      <c r="D1474" s="14" t="str">
        <f>IF(ISBLANK(Raw_Data!D1474),AVERAGE(Raw_Data!D$2:D$5002),Raw_Data!D1474)</f>
        <v>64971.18</v>
      </c>
      <c r="E1474" s="15" t="str">
        <f>IF(ISBLANK(Raw_Data!E1474),AVERAGE(Raw_Data!E$2:E$5002),Raw_Data!E1474)</f>
        <v>21124.98</v>
      </c>
      <c r="F1474" s="15" t="str">
        <f>IF(ISBLANK(Raw_Data!F1474),AVERAGE(Raw_Data!F$2:F$5002),Raw_Data!F1474)</f>
        <v>12044.54</v>
      </c>
      <c r="G1474" s="14" t="str">
        <f>IF(ISBLANK(Raw_Data!G1474),AVERAGE(Raw_Data!G$2:G$5002),Raw_Data!G1474)</f>
        <v>12162.39</v>
      </c>
      <c r="H1474" s="15" t="str">
        <f t="shared" si="1"/>
        <v>98141.00</v>
      </c>
      <c r="I1474" s="14" t="str">
        <f t="shared" si="2"/>
        <v>85979.00</v>
      </c>
      <c r="J1474" s="16" t="str">
        <f>TEXT(Raw_Data!J1474,"MMM-YYY")</f>
        <v>Dec-2025</v>
      </c>
      <c r="K1474" s="13" t="str">
        <f>Raw_Data!K1474</f>
        <v>15</v>
      </c>
      <c r="L1474" s="17" t="str">
        <f>Raw_Data!L1474</f>
        <v>Hyderabad-South</v>
      </c>
      <c r="M1474" s="13" t="str">
        <f t="shared" si="3"/>
        <v>OK</v>
      </c>
      <c r="N1474" s="18" t="str">
        <f t="shared" si="4"/>
        <v>VALID</v>
      </c>
    </row>
    <row r="1475" ht="15.75" customHeight="1">
      <c r="A1475" s="13" t="str">
        <f>Raw_Data!A1475</f>
        <v>EMP1547</v>
      </c>
      <c r="B1475" s="13" t="str">
        <f>TRIM(CLEAN(Raw_Data!B1475))</f>
        <v>Finance</v>
      </c>
      <c r="C1475" s="18" t="s">
        <v>33</v>
      </c>
      <c r="D1475" s="14" t="str">
        <f>IF(ISBLANK(Raw_Data!D1475),AVERAGE(Raw_Data!D$2:D$5002),Raw_Data!D1475)</f>
        <v>64982.06</v>
      </c>
      <c r="E1475" s="15" t="str">
        <f>IF(ISBLANK(Raw_Data!E1475),AVERAGE(Raw_Data!E$2:E$5002),Raw_Data!E1475)</f>
        <v>21129.59</v>
      </c>
      <c r="F1475" s="15" t="str">
        <f>IF(ISBLANK(Raw_Data!F1475),AVERAGE(Raw_Data!F$2:F$5002),Raw_Data!F1475)</f>
        <v>12052.22</v>
      </c>
      <c r="G1475" s="14" t="str">
        <f>IF(ISBLANK(Raw_Data!G1475),AVERAGE(Raw_Data!G$2:G$5002),Raw_Data!G1475)</f>
        <v>12165.79</v>
      </c>
      <c r="H1475" s="15" t="str">
        <f t="shared" si="1"/>
        <v>98164.00</v>
      </c>
      <c r="I1475" s="14" t="str">
        <f t="shared" si="2"/>
        <v>85998.00</v>
      </c>
      <c r="J1475" s="16" t="str">
        <f>TEXT(Raw_Data!J1475,"MMM-YYY")</f>
        <v>Sep-2025</v>
      </c>
      <c r="K1475" s="13" t="str">
        <f>Raw_Data!K1475</f>
        <v>21</v>
      </c>
      <c r="L1475" s="17" t="str">
        <f>Raw_Data!L1475</f>
        <v>Chandigarh-North</v>
      </c>
      <c r="M1475" s="13" t="str">
        <f t="shared" si="3"/>
        <v>OK</v>
      </c>
      <c r="N1475" s="18" t="str">
        <f t="shared" si="4"/>
        <v>VALID</v>
      </c>
    </row>
    <row r="1476" ht="15.75" customHeight="1">
      <c r="A1476" s="13" t="str">
        <f>Raw_Data!A1476</f>
        <v>EMP1548</v>
      </c>
      <c r="B1476" s="13" t="str">
        <f>TRIM(CLEAN(Raw_Data!B1476))</f>
        <v>Customer Support</v>
      </c>
      <c r="C1476" s="18" t="s">
        <v>33</v>
      </c>
      <c r="D1476" s="14" t="str">
        <f>IF(ISBLANK(Raw_Data!D1476),AVERAGE(Raw_Data!D$2:D$5002),Raw_Data!D1476)</f>
        <v>64992.95</v>
      </c>
      <c r="E1476" s="15" t="str">
        <f>IF(ISBLANK(Raw_Data!E1476),AVERAGE(Raw_Data!E$2:E$5002),Raw_Data!E1476)</f>
        <v>21134.21</v>
      </c>
      <c r="F1476" s="15" t="str">
        <f>IF(ISBLANK(Raw_Data!F1476),AVERAGE(Raw_Data!F$2:F$5002),Raw_Data!F1476)</f>
        <v>12059.90</v>
      </c>
      <c r="G1476" s="14" t="str">
        <f>IF(ISBLANK(Raw_Data!G1476),AVERAGE(Raw_Data!G$2:G$5002),Raw_Data!G1476)</f>
        <v>12169.19</v>
      </c>
      <c r="H1476" s="15" t="str">
        <f t="shared" si="1"/>
        <v>98187.00</v>
      </c>
      <c r="I1476" s="14" t="str">
        <f t="shared" si="2"/>
        <v>86018.00</v>
      </c>
      <c r="J1476" s="16" t="str">
        <f>TEXT(Raw_Data!J1476,"MMM-YYY")</f>
        <v>Mar-2025</v>
      </c>
      <c r="K1476" s="13" t="str">
        <f>Raw_Data!K1476</f>
        <v>9</v>
      </c>
      <c r="L1476" s="17" t="str">
        <f>Raw_Data!L1476</f>
        <v>Ahmedabad-West</v>
      </c>
      <c r="M1476" s="13" t="str">
        <f t="shared" si="3"/>
        <v>OK</v>
      </c>
      <c r="N1476" s="18" t="str">
        <f t="shared" si="4"/>
        <v>VALID</v>
      </c>
    </row>
    <row r="1477" ht="15.75" customHeight="1">
      <c r="A1477" s="13" t="str">
        <f>Raw_Data!A1477</f>
        <v>EMP1549</v>
      </c>
      <c r="B1477" s="13" t="str">
        <f>TRIM(CLEAN(Raw_Data!B1477))</f>
        <v>HR</v>
      </c>
      <c r="C1477" s="18" t="s">
        <v>33</v>
      </c>
      <c r="D1477" s="14" t="str">
        <f>IF(ISBLANK(Raw_Data!D1477),AVERAGE(Raw_Data!D$2:D$5002),Raw_Data!D1477)</f>
        <v>65003.83</v>
      </c>
      <c r="E1477" s="15" t="str">
        <f>IF(ISBLANK(Raw_Data!E1477),AVERAGE(Raw_Data!E$2:E$5002),Raw_Data!E1477)</f>
        <v>21138.82</v>
      </c>
      <c r="F1477" s="15" t="str">
        <f>IF(ISBLANK(Raw_Data!F1477),AVERAGE(Raw_Data!F$2:F$5002),Raw_Data!F1477)</f>
        <v>12067.58</v>
      </c>
      <c r="G1477" s="14" t="str">
        <f>IF(ISBLANK(Raw_Data!G1477),AVERAGE(Raw_Data!G$2:G$5002),Raw_Data!G1477)</f>
        <v>12172.58</v>
      </c>
      <c r="H1477" s="15" t="str">
        <f t="shared" si="1"/>
        <v>98210.00</v>
      </c>
      <c r="I1477" s="14" t="str">
        <f t="shared" si="2"/>
        <v>86037.00</v>
      </c>
      <c r="J1477" s="16" t="str">
        <f>TEXT(Raw_Data!J1477,"MMM-YYY")</f>
        <v>Apr-2025</v>
      </c>
      <c r="K1477" s="13" t="str">
        <f>Raw_Data!K1477</f>
        <v>3</v>
      </c>
      <c r="L1477" s="17" t="str">
        <f>Raw_Data!L1477</f>
        <v>Jaipur-North</v>
      </c>
      <c r="M1477" s="13" t="str">
        <f t="shared" si="3"/>
        <v>OK</v>
      </c>
      <c r="N1477" s="18" t="str">
        <f t="shared" si="4"/>
        <v>VALID</v>
      </c>
    </row>
    <row r="1478" ht="15.75" customHeight="1">
      <c r="A1478" s="13" t="str">
        <f>Raw_Data!A1478</f>
        <v>EMP1550</v>
      </c>
      <c r="B1478" s="13" t="str">
        <f>TRIM(CLEAN(Raw_Data!B1478))</f>
        <v>HR</v>
      </c>
      <c r="C1478" s="18" t="s">
        <v>14</v>
      </c>
      <c r="D1478" s="14" t="str">
        <f>IF(ISBLANK(Raw_Data!D1478),AVERAGE(Raw_Data!D$2:D$5002),Raw_Data!D1478)</f>
        <v>65014.71</v>
      </c>
      <c r="E1478" s="15" t="str">
        <f>IF(ISBLANK(Raw_Data!E1478),AVERAGE(Raw_Data!E$2:E$5002),Raw_Data!E1478)</f>
        <v>21143.44</v>
      </c>
      <c r="F1478" s="15" t="str">
        <f>IF(ISBLANK(Raw_Data!F1478),AVERAGE(Raw_Data!F$2:F$5002),Raw_Data!F1478)</f>
        <v>12075.26</v>
      </c>
      <c r="G1478" s="14" t="str">
        <f>IF(ISBLANK(Raw_Data!G1478),AVERAGE(Raw_Data!G$2:G$5002),Raw_Data!G1478)</f>
        <v>12175.98</v>
      </c>
      <c r="H1478" s="15" t="str">
        <f t="shared" si="1"/>
        <v>98233.00</v>
      </c>
      <c r="I1478" s="14" t="str">
        <f t="shared" si="2"/>
        <v>86057.00</v>
      </c>
      <c r="J1478" s="16" t="str">
        <f>TEXT(Raw_Data!J1478,"MMM-YYY")</f>
        <v>Apr-2025</v>
      </c>
      <c r="K1478" s="13" t="str">
        <f>Raw_Data!K1478</f>
        <v>15</v>
      </c>
      <c r="L1478" s="17" t="str">
        <f>Raw_Data!L1478</f>
        <v>Mumbai-HO</v>
      </c>
      <c r="M1478" s="13" t="str">
        <f t="shared" si="3"/>
        <v>OK</v>
      </c>
      <c r="N1478" s="18" t="str">
        <f t="shared" si="4"/>
        <v>VALID</v>
      </c>
    </row>
    <row r="1479" ht="15.75" customHeight="1">
      <c r="A1479" s="13" t="str">
        <f>Raw_Data!A1479</f>
        <v>EMP1551</v>
      </c>
      <c r="B1479" s="13" t="str">
        <f>TRIM(CLEAN(Raw_Data!B1479))</f>
        <v>Customer Support</v>
      </c>
      <c r="C1479" s="18" t="s">
        <v>30</v>
      </c>
      <c r="D1479" s="14" t="str">
        <f>IF(ISBLANK(Raw_Data!D1479),AVERAGE(Raw_Data!D$2:D$5002),Raw_Data!D1479)</f>
        <v>65025.60</v>
      </c>
      <c r="E1479" s="15" t="str">
        <f>IF(ISBLANK(Raw_Data!E1479),AVERAGE(Raw_Data!E$2:E$5002),Raw_Data!E1479)</f>
        <v>21148.05</v>
      </c>
      <c r="F1479" s="15" t="str">
        <f>IF(ISBLANK(Raw_Data!F1479),AVERAGE(Raw_Data!F$2:F$5002),Raw_Data!F1479)</f>
        <v>12082.94</v>
      </c>
      <c r="G1479" s="14" t="str">
        <f>IF(ISBLANK(Raw_Data!G1479),AVERAGE(Raw_Data!G$2:G$5002),Raw_Data!G1479)</f>
        <v>12179.38</v>
      </c>
      <c r="H1479" s="15" t="str">
        <f t="shared" si="1"/>
        <v>98257.00</v>
      </c>
      <c r="I1479" s="14" t="str">
        <f t="shared" si="2"/>
        <v>86078.00</v>
      </c>
      <c r="J1479" s="16" t="str">
        <f>TEXT(Raw_Data!J1479,"MMM-YYY")</f>
        <v>May-2025</v>
      </c>
      <c r="K1479" s="13" t="str">
        <f>Raw_Data!K1479</f>
        <v>7</v>
      </c>
      <c r="L1479" s="17" t="str">
        <f>Raw_Data!L1479</f>
        <v>Delhi-North</v>
      </c>
      <c r="M1479" s="13" t="str">
        <f t="shared" si="3"/>
        <v>OK</v>
      </c>
      <c r="N1479" s="18" t="str">
        <f t="shared" si="4"/>
        <v>VALID</v>
      </c>
    </row>
    <row r="1480" ht="15.75" customHeight="1">
      <c r="A1480" s="13" t="str">
        <f>Raw_Data!A1480</f>
        <v>EMP1552</v>
      </c>
      <c r="B1480" s="13" t="str">
        <f>TRIM(CLEAN(Raw_Data!B1480))</f>
        <v>Customer Support</v>
      </c>
      <c r="C1480" s="18" t="s">
        <v>30</v>
      </c>
      <c r="D1480" s="14" t="str">
        <f>IF(ISBLANK(Raw_Data!D1480),AVERAGE(Raw_Data!D$2:D$5002),Raw_Data!D1480)</f>
        <v>65036.48</v>
      </c>
      <c r="E1480" s="15" t="str">
        <f>IF(ISBLANK(Raw_Data!E1480),AVERAGE(Raw_Data!E$2:E$5002),Raw_Data!E1480)</f>
        <v>21152.67</v>
      </c>
      <c r="F1480" s="15" t="str">
        <f>IF(ISBLANK(Raw_Data!F1480),AVERAGE(Raw_Data!F$2:F$5002),Raw_Data!F1480)</f>
        <v>12090.62</v>
      </c>
      <c r="G1480" s="14" t="str">
        <f>IF(ISBLANK(Raw_Data!G1480),AVERAGE(Raw_Data!G$2:G$5002),Raw_Data!G1480)</f>
        <v>12182.78</v>
      </c>
      <c r="H1480" s="15" t="str">
        <f t="shared" si="1"/>
        <v>98280.00</v>
      </c>
      <c r="I1480" s="14" t="str">
        <f t="shared" si="2"/>
        <v>86097.00</v>
      </c>
      <c r="J1480" s="16" t="str">
        <f>TEXT(Raw_Data!J1480,"MMM-YYY")</f>
        <v>Apr-2025</v>
      </c>
      <c r="K1480" s="13" t="str">
        <f>Raw_Data!K1480</f>
        <v>17</v>
      </c>
      <c r="L1480" s="17" t="str">
        <f>Raw_Data!L1480</f>
        <v>Bangalore-South</v>
      </c>
      <c r="M1480" s="13" t="str">
        <f t="shared" si="3"/>
        <v>OK</v>
      </c>
      <c r="N1480" s="18" t="str">
        <f t="shared" si="4"/>
        <v>VALID</v>
      </c>
    </row>
    <row r="1481" ht="15.75" customHeight="1">
      <c r="A1481" s="13" t="str">
        <f>Raw_Data!A1481</f>
        <v>EMP1553</v>
      </c>
      <c r="B1481" s="13" t="str">
        <f>TRIM(CLEAN(Raw_Data!B1481))</f>
        <v>Marketing</v>
      </c>
      <c r="C1481" s="18" t="s">
        <v>14</v>
      </c>
      <c r="D1481" s="14" t="str">
        <f>IF(ISBLANK(Raw_Data!D1481),AVERAGE(Raw_Data!D$2:D$5002),Raw_Data!D1481)</f>
        <v>65047.36</v>
      </c>
      <c r="E1481" s="15" t="str">
        <f>IF(ISBLANK(Raw_Data!E1481),AVERAGE(Raw_Data!E$2:E$5002),Raw_Data!E1481)</f>
        <v>21157.28</v>
      </c>
      <c r="F1481" s="15" t="str">
        <f>IF(ISBLANK(Raw_Data!F1481),AVERAGE(Raw_Data!F$2:F$5002),Raw_Data!F1481)</f>
        <v>12098.30</v>
      </c>
      <c r="G1481" s="14" t="str">
        <f>IF(ISBLANK(Raw_Data!G1481),AVERAGE(Raw_Data!G$2:G$5002),Raw_Data!G1481)</f>
        <v>12186.18</v>
      </c>
      <c r="H1481" s="15" t="str">
        <f t="shared" si="1"/>
        <v>98303.00</v>
      </c>
      <c r="I1481" s="14" t="str">
        <f t="shared" si="2"/>
        <v>86117.00</v>
      </c>
      <c r="J1481" s="16" t="str">
        <f>TEXT(Raw_Data!J1481,"MMM-YYY")</f>
        <v>Nov-2025</v>
      </c>
      <c r="K1481" s="13" t="str">
        <f>Raw_Data!K1481</f>
        <v>17</v>
      </c>
      <c r="L1481" s="17" t="str">
        <f>Raw_Data!L1481</f>
        <v>Chennai-South</v>
      </c>
      <c r="M1481" s="13" t="str">
        <f t="shared" si="3"/>
        <v>OK</v>
      </c>
      <c r="N1481" s="18" t="str">
        <f t="shared" si="4"/>
        <v>VALID</v>
      </c>
    </row>
    <row r="1482" ht="15.75" customHeight="1">
      <c r="A1482" s="13" t="str">
        <f>Raw_Data!A1482</f>
        <v>EMP1554</v>
      </c>
      <c r="B1482" s="13" t="str">
        <f>TRIM(CLEAN(Raw_Data!B1482))</f>
        <v>Finance</v>
      </c>
      <c r="C1482" s="18" t="s">
        <v>37</v>
      </c>
      <c r="D1482" s="14" t="str">
        <f>IF(ISBLANK(Raw_Data!D1482),AVERAGE(Raw_Data!D$2:D$5002),Raw_Data!D1482)</f>
        <v>65058.24</v>
      </c>
      <c r="E1482" s="15" t="str">
        <f>IF(ISBLANK(Raw_Data!E1482),AVERAGE(Raw_Data!E$2:E$5002),Raw_Data!E1482)</f>
        <v>21161.90</v>
      </c>
      <c r="F1482" s="15" t="str">
        <f>IF(ISBLANK(Raw_Data!F1482),AVERAGE(Raw_Data!F$2:F$5002),Raw_Data!F1482)</f>
        <v>12105.98</v>
      </c>
      <c r="G1482" s="14" t="str">
        <f>IF(ISBLANK(Raw_Data!G1482),AVERAGE(Raw_Data!G$2:G$5002),Raw_Data!G1482)</f>
        <v>12189.57</v>
      </c>
      <c r="H1482" s="15" t="str">
        <f t="shared" si="1"/>
        <v>98326.00</v>
      </c>
      <c r="I1482" s="14" t="str">
        <f t="shared" si="2"/>
        <v>86136.00</v>
      </c>
      <c r="J1482" s="16" t="str">
        <f>TEXT(Raw_Data!J1482,"MMM-YYY")</f>
        <v>Mar-2025</v>
      </c>
      <c r="K1482" s="13" t="str">
        <f>Raw_Data!K1482</f>
        <v>13</v>
      </c>
      <c r="L1482" s="17" t="str">
        <f>Raw_Data!L1482</f>
        <v>Kolkata-East</v>
      </c>
      <c r="M1482" s="13" t="str">
        <f t="shared" si="3"/>
        <v>OK</v>
      </c>
      <c r="N1482" s="18" t="str">
        <f t="shared" si="4"/>
        <v>VALID</v>
      </c>
    </row>
    <row r="1483" ht="15.75" customHeight="1">
      <c r="A1483" s="13" t="str">
        <f>Raw_Data!A1483</f>
        <v>EMP1555</v>
      </c>
      <c r="B1483" s="13" t="str">
        <f>TRIM(CLEAN(Raw_Data!B1483))</f>
        <v>Sales</v>
      </c>
      <c r="C1483" s="18" t="s">
        <v>54</v>
      </c>
      <c r="D1483" s="14" t="str">
        <f>IF(ISBLANK(Raw_Data!D1483),AVERAGE(Raw_Data!D$2:D$5002),Raw_Data!D1483)</f>
        <v>65069.13</v>
      </c>
      <c r="E1483" s="15" t="str">
        <f>IF(ISBLANK(Raw_Data!E1483),AVERAGE(Raw_Data!E$2:E$5002),Raw_Data!E1483)</f>
        <v>21166.51</v>
      </c>
      <c r="F1483" s="15" t="str">
        <f>IF(ISBLANK(Raw_Data!F1483),AVERAGE(Raw_Data!F$2:F$5002),Raw_Data!F1483)</f>
        <v>12113.66</v>
      </c>
      <c r="G1483" s="14" t="str">
        <f>IF(ISBLANK(Raw_Data!G1483),AVERAGE(Raw_Data!G$2:G$5002),Raw_Data!G1483)</f>
        <v>12192.97</v>
      </c>
      <c r="H1483" s="15" t="str">
        <f t="shared" si="1"/>
        <v>98349.00</v>
      </c>
      <c r="I1483" s="14" t="str">
        <f t="shared" si="2"/>
        <v>86156.00</v>
      </c>
      <c r="J1483" s="16" t="str">
        <f>TEXT(Raw_Data!J1483,"MMM-YYY")</f>
        <v>Jan-2025</v>
      </c>
      <c r="K1483" s="13" t="str">
        <f>Raw_Data!K1483</f>
        <v>24</v>
      </c>
      <c r="L1483" s="17" t="str">
        <f>Raw_Data!L1483</f>
        <v>Pune-West</v>
      </c>
      <c r="M1483" s="13" t="str">
        <f t="shared" si="3"/>
        <v>OK</v>
      </c>
      <c r="N1483" s="18" t="str">
        <f t="shared" si="4"/>
        <v>VALID</v>
      </c>
    </row>
    <row r="1484" ht="15.75" customHeight="1">
      <c r="A1484" s="13" t="str">
        <f>Raw_Data!A1484</f>
        <v>EMP1556</v>
      </c>
      <c r="B1484" s="13" t="str">
        <f>TRIM(CLEAN(Raw_Data!B1484))</f>
        <v>IT</v>
      </c>
      <c r="C1484" s="18" t="s">
        <v>18</v>
      </c>
      <c r="D1484" s="14" t="str">
        <f>IF(ISBLANK(Raw_Data!D1484),AVERAGE(Raw_Data!D$2:D$5002),Raw_Data!D1484)</f>
        <v>65080.01</v>
      </c>
      <c r="E1484" s="15" t="str">
        <f>IF(ISBLANK(Raw_Data!E1484),AVERAGE(Raw_Data!E$2:E$5002),Raw_Data!E1484)</f>
        <v>21171.13</v>
      </c>
      <c r="F1484" s="15" t="str">
        <f>IF(ISBLANK(Raw_Data!F1484),AVERAGE(Raw_Data!F$2:F$5002),Raw_Data!F1484)</f>
        <v>12121.34</v>
      </c>
      <c r="G1484" s="14" t="str">
        <f>IF(ISBLANK(Raw_Data!G1484),AVERAGE(Raw_Data!G$2:G$5002),Raw_Data!G1484)</f>
        <v>12196.37</v>
      </c>
      <c r="H1484" s="15" t="str">
        <f t="shared" si="1"/>
        <v>98372.00</v>
      </c>
      <c r="I1484" s="14" t="str">
        <f t="shared" si="2"/>
        <v>86176.00</v>
      </c>
      <c r="J1484" s="16" t="str">
        <f>TEXT(Raw_Data!J1484,"MMM-YYY")</f>
        <v>Sep-2025</v>
      </c>
      <c r="K1484" s="13" t="str">
        <f>Raw_Data!K1484</f>
        <v>23</v>
      </c>
      <c r="L1484" s="17" t="str">
        <f>Raw_Data!L1484</f>
        <v>Hyderabad-South</v>
      </c>
      <c r="M1484" s="13" t="str">
        <f t="shared" si="3"/>
        <v>OK</v>
      </c>
      <c r="N1484" s="18" t="str">
        <f t="shared" si="4"/>
        <v>VALID</v>
      </c>
    </row>
    <row r="1485" ht="15.75" customHeight="1">
      <c r="A1485" s="13" t="str">
        <f>Raw_Data!A1485</f>
        <v>EMP1557</v>
      </c>
      <c r="B1485" s="13" t="str">
        <f>TRIM(CLEAN(Raw_Data!B1485))</f>
        <v>Operations</v>
      </c>
      <c r="C1485" s="18" t="s">
        <v>37</v>
      </c>
      <c r="D1485" s="14" t="str">
        <f>IF(ISBLANK(Raw_Data!D1485),AVERAGE(Raw_Data!D$2:D$5002),Raw_Data!D1485)</f>
        <v>65090.89</v>
      </c>
      <c r="E1485" s="15" t="str">
        <f>IF(ISBLANK(Raw_Data!E1485),AVERAGE(Raw_Data!E$2:E$5002),Raw_Data!E1485)</f>
        <v>21175.74</v>
      </c>
      <c r="F1485" s="15" t="str">
        <f>IF(ISBLANK(Raw_Data!F1485),AVERAGE(Raw_Data!F$2:F$5002),Raw_Data!F1485)</f>
        <v>12129.02</v>
      </c>
      <c r="G1485" s="14" t="str">
        <f>IF(ISBLANK(Raw_Data!G1485),AVERAGE(Raw_Data!G$2:G$5002),Raw_Data!G1485)</f>
        <v>12199.77</v>
      </c>
      <c r="H1485" s="15" t="str">
        <f t="shared" si="1"/>
        <v>98396.00</v>
      </c>
      <c r="I1485" s="14" t="str">
        <f t="shared" si="2"/>
        <v>86196.00</v>
      </c>
      <c r="J1485" s="16" t="str">
        <f>TEXT(Raw_Data!J1485,"MMM-YYY")</f>
        <v>Oct-2025</v>
      </c>
      <c r="K1485" s="13" t="str">
        <f>Raw_Data!K1485</f>
        <v>11</v>
      </c>
      <c r="L1485" s="17" t="str">
        <f>Raw_Data!L1485</f>
        <v>Chandigarh-North</v>
      </c>
      <c r="M1485" s="13" t="str">
        <f t="shared" si="3"/>
        <v>OK</v>
      </c>
      <c r="N1485" s="18" t="str">
        <f t="shared" si="4"/>
        <v>VALID</v>
      </c>
    </row>
    <row r="1486" ht="15.75" customHeight="1">
      <c r="A1486" s="13" t="str">
        <f>Raw_Data!A1486</f>
        <v>EMP1558</v>
      </c>
      <c r="B1486" s="13" t="str">
        <f>TRIM(CLEAN(Raw_Data!B1486))</f>
        <v>Marketing</v>
      </c>
      <c r="C1486" s="18" t="s">
        <v>26</v>
      </c>
      <c r="D1486" s="14" t="str">
        <f>IF(ISBLANK(Raw_Data!D1486),AVERAGE(Raw_Data!D$2:D$5002),Raw_Data!D1486)</f>
        <v>65101.78</v>
      </c>
      <c r="E1486" s="15" t="str">
        <f>IF(ISBLANK(Raw_Data!E1486),AVERAGE(Raw_Data!E$2:E$5002),Raw_Data!E1486)</f>
        <v>21180.36</v>
      </c>
      <c r="F1486" s="15" t="str">
        <f>IF(ISBLANK(Raw_Data!F1486),AVERAGE(Raw_Data!F$2:F$5002),Raw_Data!F1486)</f>
        <v>12136.70</v>
      </c>
      <c r="G1486" s="14" t="str">
        <f>IF(ISBLANK(Raw_Data!G1486),AVERAGE(Raw_Data!G$2:G$5002),Raw_Data!G1486)</f>
        <v>12203.16</v>
      </c>
      <c r="H1486" s="15" t="str">
        <f t="shared" si="1"/>
        <v>98419.00</v>
      </c>
      <c r="I1486" s="14" t="str">
        <f t="shared" si="2"/>
        <v>86216.00</v>
      </c>
      <c r="J1486" s="16" t="str">
        <f>TEXT(Raw_Data!J1486,"MMM-YYY")</f>
        <v>Jun-2025</v>
      </c>
      <c r="K1486" s="13" t="str">
        <f>Raw_Data!K1486</f>
        <v>8</v>
      </c>
      <c r="L1486" s="17" t="str">
        <f>Raw_Data!L1486</f>
        <v>Ahmedabad-West</v>
      </c>
      <c r="M1486" s="13" t="str">
        <f t="shared" si="3"/>
        <v>OK</v>
      </c>
      <c r="N1486" s="18" t="str">
        <f t="shared" si="4"/>
        <v>VALID</v>
      </c>
    </row>
    <row r="1487" ht="15.75" customHeight="1">
      <c r="A1487" s="13" t="str">
        <f>Raw_Data!A1487</f>
        <v>EMP1559</v>
      </c>
      <c r="B1487" s="13" t="str">
        <f>TRIM(CLEAN(Raw_Data!B1487))</f>
        <v>HR</v>
      </c>
      <c r="C1487" s="18" t="s">
        <v>30</v>
      </c>
      <c r="D1487" s="14" t="str">
        <f>IF(ISBLANK(Raw_Data!D1487),AVERAGE(Raw_Data!D$2:D$5002),Raw_Data!D1487)</f>
        <v>65112.66</v>
      </c>
      <c r="E1487" s="15" t="str">
        <f>IF(ISBLANK(Raw_Data!E1487),AVERAGE(Raw_Data!E$2:E$5002),Raw_Data!E1487)</f>
        <v>21184.97</v>
      </c>
      <c r="F1487" s="15" t="str">
        <f>IF(ISBLANK(Raw_Data!F1487),AVERAGE(Raw_Data!F$2:F$5002),Raw_Data!F1487)</f>
        <v>12144.38</v>
      </c>
      <c r="G1487" s="14" t="str">
        <f>IF(ISBLANK(Raw_Data!G1487),AVERAGE(Raw_Data!G$2:G$5002),Raw_Data!G1487)</f>
        <v>12206.56</v>
      </c>
      <c r="H1487" s="15" t="str">
        <f t="shared" si="1"/>
        <v>98442.00</v>
      </c>
      <c r="I1487" s="14" t="str">
        <f t="shared" si="2"/>
        <v>86235.00</v>
      </c>
      <c r="J1487" s="16" t="str">
        <f>TEXT(Raw_Data!J1487,"MMM-YYY")</f>
        <v>Sep-2025</v>
      </c>
      <c r="K1487" s="13" t="str">
        <f>Raw_Data!K1487</f>
        <v>25</v>
      </c>
      <c r="L1487" s="17" t="str">
        <f>Raw_Data!L1487</f>
        <v>Jaipur-North</v>
      </c>
      <c r="M1487" s="13" t="str">
        <f t="shared" si="3"/>
        <v>OK</v>
      </c>
      <c r="N1487" s="18" t="str">
        <f t="shared" si="4"/>
        <v>VALID</v>
      </c>
    </row>
    <row r="1488" ht="15.75" customHeight="1">
      <c r="A1488" s="13" t="str">
        <f>Raw_Data!A1488</f>
        <v>EMP1560</v>
      </c>
      <c r="B1488" s="13" t="str">
        <f>TRIM(CLEAN(Raw_Data!B1488))</f>
        <v>Operations</v>
      </c>
      <c r="C1488" s="18" t="s">
        <v>33</v>
      </c>
      <c r="D1488" s="14" t="str">
        <f>IF(ISBLANK(Raw_Data!D1488),AVERAGE(Raw_Data!D$2:D$5002),Raw_Data!D1488)</f>
        <v>65123.54</v>
      </c>
      <c r="E1488" s="15" t="str">
        <f>IF(ISBLANK(Raw_Data!E1488),AVERAGE(Raw_Data!E$2:E$5002),Raw_Data!E1488)</f>
        <v>21189.58</v>
      </c>
      <c r="F1488" s="15" t="str">
        <f>IF(ISBLANK(Raw_Data!F1488),AVERAGE(Raw_Data!F$2:F$5002),Raw_Data!F1488)</f>
        <v>12152.06</v>
      </c>
      <c r="G1488" s="14" t="str">
        <f>IF(ISBLANK(Raw_Data!G1488),AVERAGE(Raw_Data!G$2:G$5002),Raw_Data!G1488)</f>
        <v>12209.96</v>
      </c>
      <c r="H1488" s="15" t="str">
        <f t="shared" si="1"/>
        <v>98465.00</v>
      </c>
      <c r="I1488" s="14" t="str">
        <f t="shared" si="2"/>
        <v>86255.00</v>
      </c>
      <c r="J1488" s="16" t="str">
        <f>TEXT(Raw_Data!J1488,"MMM-YYY")</f>
        <v>Sep-2025</v>
      </c>
      <c r="K1488" s="13" t="str">
        <f>Raw_Data!K1488</f>
        <v>5</v>
      </c>
      <c r="L1488" s="17" t="str">
        <f>Raw_Data!L1488</f>
        <v>Mumbai-HO</v>
      </c>
      <c r="M1488" s="13" t="str">
        <f t="shared" si="3"/>
        <v>OK</v>
      </c>
      <c r="N1488" s="18" t="str">
        <f t="shared" si="4"/>
        <v>VALID</v>
      </c>
    </row>
    <row r="1489" ht="15.75" customHeight="1">
      <c r="A1489" s="13" t="str">
        <f>Raw_Data!A1489</f>
        <v>EMP1561</v>
      </c>
      <c r="B1489" s="13" t="str">
        <f>TRIM(CLEAN(Raw_Data!B1489))</f>
        <v>HR</v>
      </c>
      <c r="C1489" s="18" t="s">
        <v>14</v>
      </c>
      <c r="D1489" s="14" t="str">
        <f>IF(ISBLANK(Raw_Data!D1489),AVERAGE(Raw_Data!D$2:D$5002),Raw_Data!D1489)</f>
        <v>65134.43</v>
      </c>
      <c r="E1489" s="15" t="str">
        <f>IF(ISBLANK(Raw_Data!E1489),AVERAGE(Raw_Data!E$2:E$5002),Raw_Data!E1489)</f>
        <v>21194.20</v>
      </c>
      <c r="F1489" s="15" t="str">
        <f>IF(ISBLANK(Raw_Data!F1489),AVERAGE(Raw_Data!F$2:F$5002),Raw_Data!F1489)</f>
        <v>12159.74</v>
      </c>
      <c r="G1489" s="14" t="str">
        <f>IF(ISBLANK(Raw_Data!G1489),AVERAGE(Raw_Data!G$2:G$5002),Raw_Data!G1489)</f>
        <v>12213.36</v>
      </c>
      <c r="H1489" s="15" t="str">
        <f t="shared" si="1"/>
        <v>98488.00</v>
      </c>
      <c r="I1489" s="14" t="str">
        <f t="shared" si="2"/>
        <v>86275.00</v>
      </c>
      <c r="J1489" s="16" t="str">
        <f>TEXT(Raw_Data!J1489,"MMM-YYY")</f>
        <v>Oct-2025</v>
      </c>
      <c r="K1489" s="13" t="str">
        <f>Raw_Data!K1489</f>
        <v>8</v>
      </c>
      <c r="L1489" s="17" t="str">
        <f>Raw_Data!L1489</f>
        <v>Delhi-North</v>
      </c>
      <c r="M1489" s="13" t="str">
        <f t="shared" si="3"/>
        <v>OK</v>
      </c>
      <c r="N1489" s="18" t="str">
        <f t="shared" si="4"/>
        <v>VALID</v>
      </c>
    </row>
    <row r="1490" ht="15.75" customHeight="1">
      <c r="A1490" s="13" t="str">
        <f>Raw_Data!A1490</f>
        <v>EMP1562</v>
      </c>
      <c r="B1490" s="13" t="str">
        <f>TRIM(CLEAN(Raw_Data!B1490))</f>
        <v>Marketing</v>
      </c>
      <c r="C1490" s="18" t="s">
        <v>30</v>
      </c>
      <c r="D1490" s="14" t="str">
        <f>IF(ISBLANK(Raw_Data!D1490),AVERAGE(Raw_Data!D$2:D$5002),Raw_Data!D1490)</f>
        <v>65145.31</v>
      </c>
      <c r="E1490" s="15" t="str">
        <f>IF(ISBLANK(Raw_Data!E1490),AVERAGE(Raw_Data!E$2:E$5002),Raw_Data!E1490)</f>
        <v>21198.81</v>
      </c>
      <c r="F1490" s="15" t="str">
        <f>IF(ISBLANK(Raw_Data!F1490),AVERAGE(Raw_Data!F$2:F$5002),Raw_Data!F1490)</f>
        <v>12167.42</v>
      </c>
      <c r="G1490" s="14" t="str">
        <f>IF(ISBLANK(Raw_Data!G1490),AVERAGE(Raw_Data!G$2:G$5002),Raw_Data!G1490)</f>
        <v>12216.75</v>
      </c>
      <c r="H1490" s="15" t="str">
        <f t="shared" si="1"/>
        <v>98512.00</v>
      </c>
      <c r="I1490" s="14" t="str">
        <f t="shared" si="2"/>
        <v>86295.00</v>
      </c>
      <c r="J1490" s="16" t="str">
        <f>TEXT(Raw_Data!J1490,"MMM-YYY")</f>
        <v>Oct-2025</v>
      </c>
      <c r="K1490" s="13" t="str">
        <f>Raw_Data!K1490</f>
        <v>23</v>
      </c>
      <c r="L1490" s="17" t="str">
        <f>Raw_Data!L1490</f>
        <v>Bangalore-South</v>
      </c>
      <c r="M1490" s="13" t="str">
        <f t="shared" si="3"/>
        <v>OK</v>
      </c>
      <c r="N1490" s="18" t="str">
        <f t="shared" si="4"/>
        <v>VALID</v>
      </c>
    </row>
    <row r="1491" ht="15.75" customHeight="1">
      <c r="A1491" s="13" t="str">
        <f>Raw_Data!A1491</f>
        <v>EMP1563</v>
      </c>
      <c r="B1491" s="13" t="str">
        <f>TRIM(CLEAN(Raw_Data!B1491))</f>
        <v>IT</v>
      </c>
      <c r="C1491" s="18" t="s">
        <v>30</v>
      </c>
      <c r="D1491" s="14" t="str">
        <f>IF(ISBLANK(Raw_Data!D1491),AVERAGE(Raw_Data!D$2:D$5002),Raw_Data!D1491)</f>
        <v>65156.19</v>
      </c>
      <c r="E1491" s="15" t="str">
        <f>IF(ISBLANK(Raw_Data!E1491),AVERAGE(Raw_Data!E$2:E$5002),Raw_Data!E1491)</f>
        <v>21203.43</v>
      </c>
      <c r="F1491" s="15" t="str">
        <f>IF(ISBLANK(Raw_Data!F1491),AVERAGE(Raw_Data!F$2:F$5002),Raw_Data!F1491)</f>
        <v>12175.10</v>
      </c>
      <c r="G1491" s="14" t="str">
        <f>IF(ISBLANK(Raw_Data!G1491),AVERAGE(Raw_Data!G$2:G$5002),Raw_Data!G1491)</f>
        <v>12220.15</v>
      </c>
      <c r="H1491" s="15" t="str">
        <f t="shared" si="1"/>
        <v>98535.00</v>
      </c>
      <c r="I1491" s="14" t="str">
        <f t="shared" si="2"/>
        <v>86315.00</v>
      </c>
      <c r="J1491" s="16" t="str">
        <f>TEXT(Raw_Data!J1491,"MMM-YYY")</f>
        <v>May-2025</v>
      </c>
      <c r="K1491" s="13" t="str">
        <f>Raw_Data!K1491</f>
        <v>17</v>
      </c>
      <c r="L1491" s="17" t="str">
        <f>Raw_Data!L1491</f>
        <v>Chennai-South</v>
      </c>
      <c r="M1491" s="13" t="str">
        <f t="shared" si="3"/>
        <v>OK</v>
      </c>
      <c r="N1491" s="18" t="str">
        <f t="shared" si="4"/>
        <v>VALID</v>
      </c>
    </row>
    <row r="1492" ht="15.75" customHeight="1">
      <c r="A1492" s="13" t="str">
        <f>Raw_Data!A1492</f>
        <v>EMP1564</v>
      </c>
      <c r="B1492" s="13" t="str">
        <f>TRIM(CLEAN(Raw_Data!B1492))</f>
        <v>IT</v>
      </c>
      <c r="C1492" s="18" t="s">
        <v>37</v>
      </c>
      <c r="D1492" s="14" t="str">
        <f>IF(ISBLANK(Raw_Data!D1492),AVERAGE(Raw_Data!D$2:D$5002),Raw_Data!D1492)</f>
        <v>65167.07</v>
      </c>
      <c r="E1492" s="15" t="str">
        <f>IF(ISBLANK(Raw_Data!E1492),AVERAGE(Raw_Data!E$2:E$5002),Raw_Data!E1492)</f>
        <v>21208.04</v>
      </c>
      <c r="F1492" s="15" t="str">
        <f>IF(ISBLANK(Raw_Data!F1492),AVERAGE(Raw_Data!F$2:F$5002),Raw_Data!F1492)</f>
        <v>12182.78</v>
      </c>
      <c r="G1492" s="14" t="str">
        <f>IF(ISBLANK(Raw_Data!G1492),AVERAGE(Raw_Data!G$2:G$5002),Raw_Data!G1492)</f>
        <v>12223.55</v>
      </c>
      <c r="H1492" s="15" t="str">
        <f t="shared" si="1"/>
        <v>98558.00</v>
      </c>
      <c r="I1492" s="14" t="str">
        <f t="shared" si="2"/>
        <v>86334.00</v>
      </c>
      <c r="J1492" s="16" t="str">
        <f>TEXT(Raw_Data!J1492,"MMM-YYY")</f>
        <v>Jul-2025</v>
      </c>
      <c r="K1492" s="13" t="str">
        <f>Raw_Data!K1492</f>
        <v>22</v>
      </c>
      <c r="L1492" s="17" t="str">
        <f>Raw_Data!L1492</f>
        <v>Kolkata-East</v>
      </c>
      <c r="M1492" s="13" t="str">
        <f t="shared" si="3"/>
        <v>OK</v>
      </c>
      <c r="N1492" s="18" t="str">
        <f t="shared" si="4"/>
        <v>VALID</v>
      </c>
    </row>
    <row r="1493" ht="15.75" customHeight="1">
      <c r="A1493" s="13" t="str">
        <f>Raw_Data!A1493</f>
        <v>EMP1565</v>
      </c>
      <c r="B1493" s="13" t="str">
        <f>TRIM(CLEAN(Raw_Data!B1493))</f>
        <v>Marketing</v>
      </c>
      <c r="C1493" s="18" t="s">
        <v>26</v>
      </c>
      <c r="D1493" s="14" t="str">
        <f>IF(ISBLANK(Raw_Data!D1493),AVERAGE(Raw_Data!D$2:D$5002),Raw_Data!D1493)</f>
        <v>65177.96</v>
      </c>
      <c r="E1493" s="15" t="str">
        <f>IF(ISBLANK(Raw_Data!E1493),AVERAGE(Raw_Data!E$2:E$5002),Raw_Data!E1493)</f>
        <v>21212.66</v>
      </c>
      <c r="F1493" s="15" t="str">
        <f>IF(ISBLANK(Raw_Data!F1493),AVERAGE(Raw_Data!F$2:F$5002),Raw_Data!F1493)</f>
        <v>12190.46</v>
      </c>
      <c r="G1493" s="14" t="str">
        <f>IF(ISBLANK(Raw_Data!G1493),AVERAGE(Raw_Data!G$2:G$5002),Raw_Data!G1493)</f>
        <v>12226.95</v>
      </c>
      <c r="H1493" s="15" t="str">
        <f t="shared" si="1"/>
        <v>98581.00</v>
      </c>
      <c r="I1493" s="14" t="str">
        <f t="shared" si="2"/>
        <v>86354.00</v>
      </c>
      <c r="J1493" s="16" t="str">
        <f>TEXT(Raw_Data!J1493,"MMM-YYY")</f>
        <v>Jan-2025</v>
      </c>
      <c r="K1493" s="13" t="str">
        <f>Raw_Data!K1493</f>
        <v>10</v>
      </c>
      <c r="L1493" s="17" t="str">
        <f>Raw_Data!L1493</f>
        <v>Pune-West</v>
      </c>
      <c r="M1493" s="13" t="str">
        <f t="shared" si="3"/>
        <v>OK</v>
      </c>
      <c r="N1493" s="18" t="str">
        <f t="shared" si="4"/>
        <v>VALID</v>
      </c>
    </row>
    <row r="1494" ht="15.75" customHeight="1">
      <c r="A1494" s="13" t="str">
        <f>Raw_Data!A1494</f>
        <v>EMP1566</v>
      </c>
      <c r="B1494" s="13" t="str">
        <f>TRIM(CLEAN(Raw_Data!B1494))</f>
        <v>Operations</v>
      </c>
      <c r="C1494" s="18" t="s">
        <v>33</v>
      </c>
      <c r="D1494" s="14" t="str">
        <f>IF(ISBLANK(Raw_Data!D1494),AVERAGE(Raw_Data!D$2:D$5002),Raw_Data!D1494)</f>
        <v>65188.84</v>
      </c>
      <c r="E1494" s="15" t="str">
        <f>IF(ISBLANK(Raw_Data!E1494),AVERAGE(Raw_Data!E$2:E$5002),Raw_Data!E1494)</f>
        <v>21217.27</v>
      </c>
      <c r="F1494" s="15" t="str">
        <f>IF(ISBLANK(Raw_Data!F1494),AVERAGE(Raw_Data!F$2:F$5002),Raw_Data!F1494)</f>
        <v>12198.14</v>
      </c>
      <c r="G1494" s="14" t="str">
        <f>IF(ISBLANK(Raw_Data!G1494),AVERAGE(Raw_Data!G$2:G$5002),Raw_Data!G1494)</f>
        <v>12230.34</v>
      </c>
      <c r="H1494" s="15" t="str">
        <f t="shared" si="1"/>
        <v>98604.00</v>
      </c>
      <c r="I1494" s="14" t="str">
        <f t="shared" si="2"/>
        <v>86374.00</v>
      </c>
      <c r="J1494" s="16" t="str">
        <f>TEXT(Raw_Data!J1494,"MMM-YYY")</f>
        <v>Oct-2025</v>
      </c>
      <c r="K1494" s="13" t="str">
        <f>Raw_Data!K1494</f>
        <v>4</v>
      </c>
      <c r="L1494" s="17" t="str">
        <f>Raw_Data!L1494</f>
        <v>Hyderabad-South</v>
      </c>
      <c r="M1494" s="13" t="str">
        <f t="shared" si="3"/>
        <v>OK</v>
      </c>
      <c r="N1494" s="18" t="str">
        <f t="shared" si="4"/>
        <v>VALID</v>
      </c>
    </row>
    <row r="1495" ht="15.75" customHeight="1">
      <c r="A1495" s="13" t="str">
        <f>Raw_Data!A1495</f>
        <v>EMP1567</v>
      </c>
      <c r="B1495" s="13" t="str">
        <f>TRIM(CLEAN(Raw_Data!B1495))</f>
        <v>Operations</v>
      </c>
      <c r="C1495" s="18" t="s">
        <v>54</v>
      </c>
      <c r="D1495" s="14" t="str">
        <f>IF(ISBLANK(Raw_Data!D1495),AVERAGE(Raw_Data!D$2:D$5002),Raw_Data!D1495)</f>
        <v>65199.72</v>
      </c>
      <c r="E1495" s="15" t="str">
        <f>IF(ISBLANK(Raw_Data!E1495),AVERAGE(Raw_Data!E$2:E$5002),Raw_Data!E1495)</f>
        <v>21221.89</v>
      </c>
      <c r="F1495" s="15" t="str">
        <f>IF(ISBLANK(Raw_Data!F1495),AVERAGE(Raw_Data!F$2:F$5002),Raw_Data!F1495)</f>
        <v>12205.82</v>
      </c>
      <c r="G1495" s="14" t="str">
        <f>IF(ISBLANK(Raw_Data!G1495),AVERAGE(Raw_Data!G$2:G$5002),Raw_Data!G1495)</f>
        <v>12233.74</v>
      </c>
      <c r="H1495" s="15" t="str">
        <f t="shared" si="1"/>
        <v>98627.00</v>
      </c>
      <c r="I1495" s="14" t="str">
        <f t="shared" si="2"/>
        <v>86393.00</v>
      </c>
      <c r="J1495" s="16" t="str">
        <f>TEXT(Raw_Data!J1495,"MMM-YYY")</f>
        <v>Nov-2025</v>
      </c>
      <c r="K1495" s="13" t="str">
        <f>Raw_Data!K1495</f>
        <v>18</v>
      </c>
      <c r="L1495" s="17" t="str">
        <f>Raw_Data!L1495</f>
        <v>Chandigarh-North</v>
      </c>
      <c r="M1495" s="13" t="str">
        <f t="shared" si="3"/>
        <v>OK</v>
      </c>
      <c r="N1495" s="18" t="str">
        <f t="shared" si="4"/>
        <v>VALID</v>
      </c>
    </row>
    <row r="1496" ht="15.75" customHeight="1">
      <c r="A1496" s="13" t="str">
        <f>Raw_Data!A1496</f>
        <v>EMP1569</v>
      </c>
      <c r="B1496" s="13" t="str">
        <f>TRIM(CLEAN(Raw_Data!B1496))</f>
        <v>Sales</v>
      </c>
      <c r="C1496" s="18" t="s">
        <v>37</v>
      </c>
      <c r="D1496" s="14" t="str">
        <f>IF(ISBLANK(Raw_Data!D1496),AVERAGE(Raw_Data!D$2:D$5002),Raw_Data!D1496)</f>
        <v>65221.49</v>
      </c>
      <c r="E1496" s="15" t="str">
        <f>IF(ISBLANK(Raw_Data!E1496),AVERAGE(Raw_Data!E$2:E$5002),Raw_Data!E1496)</f>
        <v>21231.12</v>
      </c>
      <c r="F1496" s="15" t="str">
        <f>IF(ISBLANK(Raw_Data!F1496),AVERAGE(Raw_Data!F$2:F$5002),Raw_Data!F1496)</f>
        <v>12221.18</v>
      </c>
      <c r="G1496" s="14" t="str">
        <f>IF(ISBLANK(Raw_Data!G1496),AVERAGE(Raw_Data!G$2:G$5002),Raw_Data!G1496)</f>
        <v>12240.54</v>
      </c>
      <c r="H1496" s="15" t="str">
        <f t="shared" si="1"/>
        <v>98674.00</v>
      </c>
      <c r="I1496" s="14" t="str">
        <f t="shared" si="2"/>
        <v>86433.00</v>
      </c>
      <c r="J1496" s="16" t="str">
        <f>TEXT(Raw_Data!J1496,"MMM-YYY")</f>
        <v>Jun-2025</v>
      </c>
      <c r="K1496" s="13" t="str">
        <f>Raw_Data!K1496</f>
        <v>23</v>
      </c>
      <c r="L1496" s="17" t="str">
        <f>Raw_Data!L1496</f>
        <v>Jaipur-North</v>
      </c>
      <c r="M1496" s="13" t="str">
        <f t="shared" si="3"/>
        <v>OK</v>
      </c>
      <c r="N1496" s="18" t="str">
        <f t="shared" si="4"/>
        <v>VALID</v>
      </c>
    </row>
    <row r="1497" ht="15.75" customHeight="1">
      <c r="A1497" s="13" t="str">
        <f>Raw_Data!A1497</f>
        <v>EMP1570</v>
      </c>
      <c r="B1497" s="13" t="str">
        <f>TRIM(CLEAN(Raw_Data!B1497))</f>
        <v>HR</v>
      </c>
      <c r="C1497" s="18" t="s">
        <v>37</v>
      </c>
      <c r="D1497" s="14" t="str">
        <f>IF(ISBLANK(Raw_Data!D1497),AVERAGE(Raw_Data!D$2:D$5002),Raw_Data!D1497)</f>
        <v>65232.37</v>
      </c>
      <c r="E1497" s="15" t="str">
        <f>IF(ISBLANK(Raw_Data!E1497),AVERAGE(Raw_Data!E$2:E$5002),Raw_Data!E1497)</f>
        <v>21235.73</v>
      </c>
      <c r="F1497" s="15" t="str">
        <f>IF(ISBLANK(Raw_Data!F1497),AVERAGE(Raw_Data!F$2:F$5002),Raw_Data!F1497)</f>
        <v>12228.86</v>
      </c>
      <c r="G1497" s="14" t="str">
        <f>IF(ISBLANK(Raw_Data!G1497),AVERAGE(Raw_Data!G$2:G$5002),Raw_Data!G1497)</f>
        <v>12243.93</v>
      </c>
      <c r="H1497" s="15" t="str">
        <f t="shared" si="1"/>
        <v>98697.00</v>
      </c>
      <c r="I1497" s="14" t="str">
        <f t="shared" si="2"/>
        <v>86453.00</v>
      </c>
      <c r="J1497" s="16" t="str">
        <f>TEXT(Raw_Data!J1497,"MMM-YYY")</f>
        <v>Oct-2025</v>
      </c>
      <c r="K1497" s="13" t="str">
        <f>Raw_Data!K1497</f>
        <v>9</v>
      </c>
      <c r="L1497" s="17" t="str">
        <f>Raw_Data!L1497</f>
        <v>Mumbai-HO</v>
      </c>
      <c r="M1497" s="13" t="str">
        <f t="shared" si="3"/>
        <v>OK</v>
      </c>
      <c r="N1497" s="18" t="str">
        <f t="shared" si="4"/>
        <v>VALID</v>
      </c>
    </row>
    <row r="1498" ht="15.75" customHeight="1">
      <c r="A1498" s="13" t="str">
        <f>Raw_Data!A1498</f>
        <v>EMP1571</v>
      </c>
      <c r="B1498" s="13" t="str">
        <f>TRIM(CLEAN(Raw_Data!B1498))</f>
        <v>Marketing</v>
      </c>
      <c r="C1498" s="18" t="s">
        <v>30</v>
      </c>
      <c r="D1498" s="14" t="str">
        <f>IF(ISBLANK(Raw_Data!D1498),AVERAGE(Raw_Data!D$2:D$5002),Raw_Data!D1498)</f>
        <v>65243.25</v>
      </c>
      <c r="E1498" s="15" t="str">
        <f>IF(ISBLANK(Raw_Data!E1498),AVERAGE(Raw_Data!E$2:E$5002),Raw_Data!E1498)</f>
        <v>21240.35</v>
      </c>
      <c r="F1498" s="15" t="str">
        <f>IF(ISBLANK(Raw_Data!F1498),AVERAGE(Raw_Data!F$2:F$5002),Raw_Data!F1498)</f>
        <v>12236.54</v>
      </c>
      <c r="G1498" s="14" t="str">
        <f>IF(ISBLANK(Raw_Data!G1498),AVERAGE(Raw_Data!G$2:G$5002),Raw_Data!G1498)</f>
        <v>12247.33</v>
      </c>
      <c r="H1498" s="15" t="str">
        <f t="shared" si="1"/>
        <v>98720.00</v>
      </c>
      <c r="I1498" s="14" t="str">
        <f t="shared" si="2"/>
        <v>86473.00</v>
      </c>
      <c r="J1498" s="16" t="str">
        <f>TEXT(Raw_Data!J1498,"MMM-YYY")</f>
        <v>Sep-2025</v>
      </c>
      <c r="K1498" s="13" t="str">
        <f>Raw_Data!K1498</f>
        <v>4</v>
      </c>
      <c r="L1498" s="17" t="str">
        <f>Raw_Data!L1498</f>
        <v>Delhi-North</v>
      </c>
      <c r="M1498" s="13" t="str">
        <f t="shared" si="3"/>
        <v>OK</v>
      </c>
      <c r="N1498" s="18" t="str">
        <f t="shared" si="4"/>
        <v>VALID</v>
      </c>
    </row>
    <row r="1499" ht="15.75" customHeight="1">
      <c r="A1499" s="13" t="str">
        <f>Raw_Data!A1499</f>
        <v>EMP1572</v>
      </c>
      <c r="B1499" s="13" t="str">
        <f>TRIM(CLEAN(Raw_Data!B1499))</f>
        <v>Marketing</v>
      </c>
      <c r="C1499" s="18" t="s">
        <v>26</v>
      </c>
      <c r="D1499" s="14" t="str">
        <f>IF(ISBLANK(Raw_Data!D1499),AVERAGE(Raw_Data!D$2:D$5002),Raw_Data!D1499)</f>
        <v>65254.14</v>
      </c>
      <c r="E1499" s="15" t="str">
        <f>IF(ISBLANK(Raw_Data!E1499),AVERAGE(Raw_Data!E$2:E$5002),Raw_Data!E1499)</f>
        <v>21244.96</v>
      </c>
      <c r="F1499" s="15" t="str">
        <f>IF(ISBLANK(Raw_Data!F1499),AVERAGE(Raw_Data!F$2:F$5002),Raw_Data!F1499)</f>
        <v>12244.22</v>
      </c>
      <c r="G1499" s="14" t="str">
        <f>IF(ISBLANK(Raw_Data!G1499),AVERAGE(Raw_Data!G$2:G$5002),Raw_Data!G1499)</f>
        <v>12250.73</v>
      </c>
      <c r="H1499" s="15" t="str">
        <f t="shared" si="1"/>
        <v>98743.00</v>
      </c>
      <c r="I1499" s="14" t="str">
        <f t="shared" si="2"/>
        <v>86492.00</v>
      </c>
      <c r="J1499" s="16" t="str">
        <f>TEXT(Raw_Data!J1499,"MMM-YYY")</f>
        <v>Jun-2025</v>
      </c>
      <c r="K1499" s="13" t="str">
        <f>Raw_Data!K1499</f>
        <v>19</v>
      </c>
      <c r="L1499" s="17" t="str">
        <f>Raw_Data!L1499</f>
        <v>Bangalore-South</v>
      </c>
      <c r="M1499" s="13" t="str">
        <f t="shared" si="3"/>
        <v>OK</v>
      </c>
      <c r="N1499" s="18" t="str">
        <f t="shared" si="4"/>
        <v>VALID</v>
      </c>
    </row>
    <row r="1500" ht="15.75" customHeight="1">
      <c r="A1500" s="13" t="str">
        <f>Raw_Data!A1500</f>
        <v>EMP1573</v>
      </c>
      <c r="B1500" s="13" t="str">
        <f>TRIM(CLEAN(Raw_Data!B1500))</f>
        <v>Finance</v>
      </c>
      <c r="C1500" s="18" t="s">
        <v>37</v>
      </c>
      <c r="D1500" s="14" t="str">
        <f>IF(ISBLANK(Raw_Data!D1500),AVERAGE(Raw_Data!D$2:D$5002),Raw_Data!D1500)</f>
        <v>65265.02</v>
      </c>
      <c r="E1500" s="15" t="str">
        <f>IF(ISBLANK(Raw_Data!E1500),AVERAGE(Raw_Data!E$2:E$5002),Raw_Data!E1500)</f>
        <v>21249.58</v>
      </c>
      <c r="F1500" s="15" t="str">
        <f>IF(ISBLANK(Raw_Data!F1500),AVERAGE(Raw_Data!F$2:F$5002),Raw_Data!F1500)</f>
        <v>12251.90</v>
      </c>
      <c r="G1500" s="14" t="str">
        <f>IF(ISBLANK(Raw_Data!G1500),AVERAGE(Raw_Data!G$2:G$5002),Raw_Data!G1500)</f>
        <v>12254.13</v>
      </c>
      <c r="H1500" s="15" t="str">
        <f t="shared" si="1"/>
        <v>98766.00</v>
      </c>
      <c r="I1500" s="14" t="str">
        <f t="shared" si="2"/>
        <v>86512.00</v>
      </c>
      <c r="J1500" s="16" t="str">
        <f>TEXT(Raw_Data!J1500,"MMM-YYY")</f>
        <v>Dec-2025</v>
      </c>
      <c r="K1500" s="13" t="str">
        <f>Raw_Data!K1500</f>
        <v>5</v>
      </c>
      <c r="L1500" s="17" t="str">
        <f>Raw_Data!L1500</f>
        <v>Chennai-South</v>
      </c>
      <c r="M1500" s="13" t="str">
        <f t="shared" si="3"/>
        <v>OK</v>
      </c>
      <c r="N1500" s="18" t="str">
        <f t="shared" si="4"/>
        <v>VALID</v>
      </c>
    </row>
    <row r="1501" ht="15.75" customHeight="1">
      <c r="A1501" s="13" t="str">
        <f>Raw_Data!A1501</f>
        <v>EMP1574</v>
      </c>
      <c r="B1501" s="13" t="str">
        <f>TRIM(CLEAN(Raw_Data!B1501))</f>
        <v>Finance</v>
      </c>
      <c r="C1501" s="18" t="s">
        <v>54</v>
      </c>
      <c r="D1501" s="14" t="str">
        <f>IF(ISBLANK(Raw_Data!D1501),AVERAGE(Raw_Data!D$2:D$5002),Raw_Data!D1501)</f>
        <v>65275.90</v>
      </c>
      <c r="E1501" s="15" t="str">
        <f>IF(ISBLANK(Raw_Data!E1501),AVERAGE(Raw_Data!E$2:E$5002),Raw_Data!E1501)</f>
        <v>21254.19</v>
      </c>
      <c r="F1501" s="15" t="str">
        <f>IF(ISBLANK(Raw_Data!F1501),AVERAGE(Raw_Data!F$2:F$5002),Raw_Data!F1501)</f>
        <v>12259.58</v>
      </c>
      <c r="G1501" s="14" t="str">
        <f>IF(ISBLANK(Raw_Data!G1501),AVERAGE(Raw_Data!G$2:G$5002),Raw_Data!G1501)</f>
        <v>12257.52</v>
      </c>
      <c r="H1501" s="15" t="str">
        <f t="shared" si="1"/>
        <v>98790.00</v>
      </c>
      <c r="I1501" s="14" t="str">
        <f t="shared" si="2"/>
        <v>86532.00</v>
      </c>
      <c r="J1501" s="16" t="str">
        <f>TEXT(Raw_Data!J1501,"MMM-YYY")</f>
        <v>Apr-2025</v>
      </c>
      <c r="K1501" s="13" t="str">
        <f>Raw_Data!K1501</f>
        <v>3</v>
      </c>
      <c r="L1501" s="17" t="str">
        <f>Raw_Data!L1501</f>
        <v>Kolkata-East</v>
      </c>
      <c r="M1501" s="13" t="str">
        <f t="shared" si="3"/>
        <v>OK</v>
      </c>
      <c r="N1501" s="18" t="str">
        <f t="shared" si="4"/>
        <v>VALID</v>
      </c>
    </row>
    <row r="1502" ht="15.75" customHeight="1">
      <c r="A1502" s="13" t="str">
        <f>Raw_Data!A1502</f>
        <v>EMP1575</v>
      </c>
      <c r="B1502" s="13" t="str">
        <f>TRIM(CLEAN(Raw_Data!B1502))</f>
        <v>Sales</v>
      </c>
      <c r="C1502" s="18" t="s">
        <v>18</v>
      </c>
      <c r="D1502" s="14" t="str">
        <f>IF(ISBLANK(Raw_Data!D1502),AVERAGE(Raw_Data!D$2:D$5002),Raw_Data!D1502)</f>
        <v>65286.79</v>
      </c>
      <c r="E1502" s="15" t="str">
        <f>IF(ISBLANK(Raw_Data!E1502),AVERAGE(Raw_Data!E$2:E$5002),Raw_Data!E1502)</f>
        <v>21258.81</v>
      </c>
      <c r="F1502" s="15" t="str">
        <f>IF(ISBLANK(Raw_Data!F1502),AVERAGE(Raw_Data!F$2:F$5002),Raw_Data!F1502)</f>
        <v>12267.26</v>
      </c>
      <c r="G1502" s="14" t="str">
        <f>IF(ISBLANK(Raw_Data!G1502),AVERAGE(Raw_Data!G$2:G$5002),Raw_Data!G1502)</f>
        <v>12260.92</v>
      </c>
      <c r="H1502" s="15" t="str">
        <f t="shared" si="1"/>
        <v>98813.00</v>
      </c>
      <c r="I1502" s="14" t="str">
        <f t="shared" si="2"/>
        <v>86552.00</v>
      </c>
      <c r="J1502" s="16" t="str">
        <f>TEXT(Raw_Data!J1502,"MMM-YYY")</f>
        <v>May-2025</v>
      </c>
      <c r="K1502" s="13" t="str">
        <f>Raw_Data!K1502</f>
        <v>18</v>
      </c>
      <c r="L1502" s="17" t="str">
        <f>Raw_Data!L1502</f>
        <v>Pune-West</v>
      </c>
      <c r="M1502" s="13" t="str">
        <f t="shared" si="3"/>
        <v>OK</v>
      </c>
      <c r="N1502" s="18" t="str">
        <f t="shared" si="4"/>
        <v>VALID</v>
      </c>
    </row>
    <row r="1503" ht="15.75" customHeight="1">
      <c r="A1503" s="13" t="str">
        <f>Raw_Data!A1503</f>
        <v>EMP1576</v>
      </c>
      <c r="B1503" s="13" t="str">
        <f>TRIM(CLEAN(Raw_Data!B1503))</f>
        <v>IT</v>
      </c>
      <c r="C1503" s="18" t="s">
        <v>37</v>
      </c>
      <c r="D1503" s="14" t="str">
        <f>IF(ISBLANK(Raw_Data!D1503),AVERAGE(Raw_Data!D$2:D$5002),Raw_Data!D1503)</f>
        <v>65297.67</v>
      </c>
      <c r="E1503" s="15" t="str">
        <f>IF(ISBLANK(Raw_Data!E1503),AVERAGE(Raw_Data!E$2:E$5002),Raw_Data!E1503)</f>
        <v>21263.42</v>
      </c>
      <c r="F1503" s="15" t="str">
        <f>IF(ISBLANK(Raw_Data!F1503),AVERAGE(Raw_Data!F$2:F$5002),Raw_Data!F1503)</f>
        <v>12274.94</v>
      </c>
      <c r="G1503" s="14" t="str">
        <f>IF(ISBLANK(Raw_Data!G1503),AVERAGE(Raw_Data!G$2:G$5002),Raw_Data!G1503)</f>
        <v>12264.32</v>
      </c>
      <c r="H1503" s="15" t="str">
        <f t="shared" si="1"/>
        <v>98836.00</v>
      </c>
      <c r="I1503" s="14" t="str">
        <f t="shared" si="2"/>
        <v>86572.00</v>
      </c>
      <c r="J1503" s="16" t="str">
        <f>TEXT(Raw_Data!J1503,"MMM-YYY")</f>
        <v>Sep-2025</v>
      </c>
      <c r="K1503" s="13" t="str">
        <f>Raw_Data!K1503</f>
        <v>3</v>
      </c>
      <c r="L1503" s="17" t="str">
        <f>Raw_Data!L1503</f>
        <v>Hyderabad-South</v>
      </c>
      <c r="M1503" s="13" t="str">
        <f t="shared" si="3"/>
        <v>OK</v>
      </c>
      <c r="N1503" s="18" t="str">
        <f t="shared" si="4"/>
        <v>VALID</v>
      </c>
    </row>
    <row r="1504" ht="15.75" customHeight="1">
      <c r="A1504" s="13" t="str">
        <f>Raw_Data!A1504</f>
        <v>EMP1577</v>
      </c>
      <c r="B1504" s="13" t="str">
        <f>TRIM(CLEAN(Raw_Data!B1504))</f>
        <v>Sales</v>
      </c>
      <c r="C1504" s="18" t="s">
        <v>30</v>
      </c>
      <c r="D1504" s="14" t="str">
        <f>IF(ISBLANK(Raw_Data!D1504),AVERAGE(Raw_Data!D$2:D$5002),Raw_Data!D1504)</f>
        <v>65308.55</v>
      </c>
      <c r="E1504" s="15" t="str">
        <f>IF(ISBLANK(Raw_Data!E1504),AVERAGE(Raw_Data!E$2:E$5002),Raw_Data!E1504)</f>
        <v>21268.03</v>
      </c>
      <c r="F1504" s="15" t="str">
        <f>IF(ISBLANK(Raw_Data!F1504),AVERAGE(Raw_Data!F$2:F$5002),Raw_Data!F1504)</f>
        <v>12282.62</v>
      </c>
      <c r="G1504" s="14" t="str">
        <f>IF(ISBLANK(Raw_Data!G1504),AVERAGE(Raw_Data!G$2:G$5002),Raw_Data!G1504)</f>
        <v>12267.72</v>
      </c>
      <c r="H1504" s="15" t="str">
        <f t="shared" si="1"/>
        <v>98859.00</v>
      </c>
      <c r="I1504" s="14" t="str">
        <f t="shared" si="2"/>
        <v>86591.00</v>
      </c>
      <c r="J1504" s="16" t="str">
        <f>TEXT(Raw_Data!J1504,"MMM-YYY")</f>
        <v>Jul-2025</v>
      </c>
      <c r="K1504" s="13" t="str">
        <f>Raw_Data!K1504</f>
        <v>12</v>
      </c>
      <c r="L1504" s="17" t="str">
        <f>Raw_Data!L1504</f>
        <v>Chandigarh-North</v>
      </c>
      <c r="M1504" s="13" t="str">
        <f t="shared" si="3"/>
        <v>OK</v>
      </c>
      <c r="N1504" s="18" t="str">
        <f t="shared" si="4"/>
        <v>VALID</v>
      </c>
    </row>
    <row r="1505" ht="15.75" customHeight="1">
      <c r="A1505" s="13" t="str">
        <f>Raw_Data!A1505</f>
        <v>EMP1579</v>
      </c>
      <c r="B1505" s="13" t="str">
        <f>TRIM(CLEAN(Raw_Data!B1505))</f>
        <v>Marketing</v>
      </c>
      <c r="C1505" s="18" t="s">
        <v>26</v>
      </c>
      <c r="D1505" s="14" t="str">
        <f>IF(ISBLANK(Raw_Data!D1505),AVERAGE(Raw_Data!D$2:D$5002),Raw_Data!D1505)</f>
        <v>65330.32</v>
      </c>
      <c r="E1505" s="15" t="str">
        <f>IF(ISBLANK(Raw_Data!E1505),AVERAGE(Raw_Data!E$2:E$5002),Raw_Data!E1505)</f>
        <v>21277.26</v>
      </c>
      <c r="F1505" s="15" t="str">
        <f>IF(ISBLANK(Raw_Data!F1505),AVERAGE(Raw_Data!F$2:F$5002),Raw_Data!F1505)</f>
        <v>12297.98</v>
      </c>
      <c r="G1505" s="14" t="str">
        <f>IF(ISBLANK(Raw_Data!G1505),AVERAGE(Raw_Data!G$2:G$5002),Raw_Data!G1505)</f>
        <v>12274.51</v>
      </c>
      <c r="H1505" s="15" t="str">
        <f t="shared" si="1"/>
        <v>98906.00</v>
      </c>
      <c r="I1505" s="14" t="str">
        <f t="shared" si="2"/>
        <v>86631.00</v>
      </c>
      <c r="J1505" s="16" t="str">
        <f>TEXT(Raw_Data!J1505,"MMM-YYY")</f>
        <v>Dec-2025</v>
      </c>
      <c r="K1505" s="13" t="str">
        <f>Raw_Data!K1505</f>
        <v>5</v>
      </c>
      <c r="L1505" s="17" t="str">
        <f>Raw_Data!L1505</f>
        <v>Jaipur-North</v>
      </c>
      <c r="M1505" s="13" t="str">
        <f t="shared" si="3"/>
        <v>OK</v>
      </c>
      <c r="N1505" s="18" t="str">
        <f t="shared" si="4"/>
        <v>VALID</v>
      </c>
    </row>
    <row r="1506" ht="15.75" customHeight="1">
      <c r="A1506" s="13" t="str">
        <f>Raw_Data!A1506</f>
        <v>EMP1580</v>
      </c>
      <c r="B1506" s="13" t="str">
        <f>TRIM(CLEAN(Raw_Data!B1506))</f>
        <v>IT</v>
      </c>
      <c r="C1506" s="18" t="s">
        <v>18</v>
      </c>
      <c r="D1506" s="14" t="str">
        <f>IF(ISBLANK(Raw_Data!D1506),AVERAGE(Raw_Data!D$2:D$5002),Raw_Data!D1506)</f>
        <v>65341.20</v>
      </c>
      <c r="E1506" s="15" t="str">
        <f>IF(ISBLANK(Raw_Data!E1506),AVERAGE(Raw_Data!E$2:E$5002),Raw_Data!E1506)</f>
        <v>21281.88</v>
      </c>
      <c r="F1506" s="15" t="str">
        <f>IF(ISBLANK(Raw_Data!F1506),AVERAGE(Raw_Data!F$2:F$5002),Raw_Data!F1506)</f>
        <v>12305.66</v>
      </c>
      <c r="G1506" s="14" t="str">
        <f>IF(ISBLANK(Raw_Data!G1506),AVERAGE(Raw_Data!G$2:G$5002),Raw_Data!G1506)</f>
        <v>12277.91</v>
      </c>
      <c r="H1506" s="15" t="str">
        <f t="shared" si="1"/>
        <v>98929.00</v>
      </c>
      <c r="I1506" s="14" t="str">
        <f t="shared" si="2"/>
        <v>86651.00</v>
      </c>
      <c r="J1506" s="16" t="str">
        <f>TEXT(Raw_Data!J1506,"MMM-YYY")</f>
        <v>Dec-2025</v>
      </c>
      <c r="K1506" s="13" t="str">
        <f>Raw_Data!K1506</f>
        <v>22</v>
      </c>
      <c r="L1506" s="17" t="str">
        <f>Raw_Data!L1506</f>
        <v>Mumbai-HO</v>
      </c>
      <c r="M1506" s="13" t="str">
        <f t="shared" si="3"/>
        <v>OK</v>
      </c>
      <c r="N1506" s="18" t="str">
        <f t="shared" si="4"/>
        <v>VALID</v>
      </c>
    </row>
    <row r="1507" ht="15.75" customHeight="1">
      <c r="A1507" s="13" t="str">
        <f>Raw_Data!A1507</f>
        <v>EMP1581</v>
      </c>
      <c r="B1507" s="13" t="str">
        <f>TRIM(CLEAN(Raw_Data!B1507))</f>
        <v>Marketing</v>
      </c>
      <c r="C1507" s="18" t="s">
        <v>30</v>
      </c>
      <c r="D1507" s="14" t="str">
        <f>IF(ISBLANK(Raw_Data!D1507),AVERAGE(Raw_Data!D$2:D$5002),Raw_Data!D1507)</f>
        <v>65352.08</v>
      </c>
      <c r="E1507" s="15" t="str">
        <f>IF(ISBLANK(Raw_Data!E1507),AVERAGE(Raw_Data!E$2:E$5002),Raw_Data!E1507)</f>
        <v>21286.49</v>
      </c>
      <c r="F1507" s="15" t="str">
        <f>IF(ISBLANK(Raw_Data!F1507),AVERAGE(Raw_Data!F$2:F$5002),Raw_Data!F1507)</f>
        <v>12313.34</v>
      </c>
      <c r="G1507" s="14" t="str">
        <f>IF(ISBLANK(Raw_Data!G1507),AVERAGE(Raw_Data!G$2:G$5002),Raw_Data!G1507)</f>
        <v>12281.31</v>
      </c>
      <c r="H1507" s="15" t="str">
        <f t="shared" si="1"/>
        <v>98952.00</v>
      </c>
      <c r="I1507" s="14" t="str">
        <f t="shared" si="2"/>
        <v>86671.00</v>
      </c>
      <c r="J1507" s="16" t="str">
        <f>TEXT(Raw_Data!J1507,"MMM-YYY")</f>
        <v>Jan-2025</v>
      </c>
      <c r="K1507" s="13" t="str">
        <f>Raw_Data!K1507</f>
        <v>23</v>
      </c>
      <c r="L1507" s="17" t="str">
        <f>Raw_Data!L1507</f>
        <v>Delhi-North</v>
      </c>
      <c r="M1507" s="13" t="str">
        <f t="shared" si="3"/>
        <v>OK</v>
      </c>
      <c r="N1507" s="18" t="str">
        <f t="shared" si="4"/>
        <v>VALID</v>
      </c>
    </row>
    <row r="1508" ht="15.75" customHeight="1">
      <c r="A1508" s="13" t="str">
        <f>Raw_Data!A1508</f>
        <v>EMP1582</v>
      </c>
      <c r="B1508" s="13" t="str">
        <f>TRIM(CLEAN(Raw_Data!B1508))</f>
        <v>IT</v>
      </c>
      <c r="C1508" s="18" t="s">
        <v>30</v>
      </c>
      <c r="D1508" s="14" t="str">
        <f>IF(ISBLANK(Raw_Data!D1508),AVERAGE(Raw_Data!D$2:D$5002),Raw_Data!D1508)</f>
        <v>65362.97</v>
      </c>
      <c r="E1508" s="15" t="str">
        <f>IF(ISBLANK(Raw_Data!E1508),AVERAGE(Raw_Data!E$2:E$5002),Raw_Data!E1508)</f>
        <v>21291.11</v>
      </c>
      <c r="F1508" s="15" t="str">
        <f>IF(ISBLANK(Raw_Data!F1508),AVERAGE(Raw_Data!F$2:F$5002),Raw_Data!F1508)</f>
        <v>12321.02</v>
      </c>
      <c r="G1508" s="14" t="str">
        <f>IF(ISBLANK(Raw_Data!G1508),AVERAGE(Raw_Data!G$2:G$5002),Raw_Data!G1508)</f>
        <v>12284.70</v>
      </c>
      <c r="H1508" s="15" t="str">
        <f t="shared" si="1"/>
        <v>98975.00</v>
      </c>
      <c r="I1508" s="14" t="str">
        <f t="shared" si="2"/>
        <v>86690.00</v>
      </c>
      <c r="J1508" s="16" t="str">
        <f>TEXT(Raw_Data!J1508,"MMM-YYY")</f>
        <v>Jun-2025</v>
      </c>
      <c r="K1508" s="13" t="str">
        <f>Raw_Data!K1508</f>
        <v>8</v>
      </c>
      <c r="L1508" s="17" t="str">
        <f>Raw_Data!L1508</f>
        <v>Bangalore-South</v>
      </c>
      <c r="M1508" s="13" t="str">
        <f t="shared" si="3"/>
        <v>OK</v>
      </c>
      <c r="N1508" s="18" t="str">
        <f t="shared" si="4"/>
        <v>VALID</v>
      </c>
    </row>
    <row r="1509" ht="15.75" customHeight="1">
      <c r="A1509" s="13" t="str">
        <f>Raw_Data!A1509</f>
        <v>EMP1583</v>
      </c>
      <c r="B1509" s="13" t="str">
        <f>TRIM(CLEAN(Raw_Data!B1509))</f>
        <v>Sales</v>
      </c>
      <c r="C1509" s="18" t="s">
        <v>37</v>
      </c>
      <c r="D1509" s="14" t="str">
        <f>IF(ISBLANK(Raw_Data!D1509),AVERAGE(Raw_Data!D$2:D$5002),Raw_Data!D1509)</f>
        <v>65373.85</v>
      </c>
      <c r="E1509" s="15" t="str">
        <f>IF(ISBLANK(Raw_Data!E1509),AVERAGE(Raw_Data!E$2:E$5002),Raw_Data!E1509)</f>
        <v>21295.72</v>
      </c>
      <c r="F1509" s="15" t="str">
        <f>IF(ISBLANK(Raw_Data!F1509),AVERAGE(Raw_Data!F$2:F$5002),Raw_Data!F1509)</f>
        <v>12328.70</v>
      </c>
      <c r="G1509" s="14" t="str">
        <f>IF(ISBLANK(Raw_Data!G1509),AVERAGE(Raw_Data!G$2:G$5002),Raw_Data!G1509)</f>
        <v>12288.10</v>
      </c>
      <c r="H1509" s="15" t="str">
        <f t="shared" si="1"/>
        <v>98998.00</v>
      </c>
      <c r="I1509" s="14" t="str">
        <f t="shared" si="2"/>
        <v>86710.00</v>
      </c>
      <c r="J1509" s="16" t="str">
        <f>TEXT(Raw_Data!J1509,"MMM-YYY")</f>
        <v>Sep-2025</v>
      </c>
      <c r="K1509" s="13" t="str">
        <f>Raw_Data!K1509</f>
        <v>9</v>
      </c>
      <c r="L1509" s="17" t="str">
        <f>Raw_Data!L1509</f>
        <v>Chennai-South</v>
      </c>
      <c r="M1509" s="13" t="str">
        <f t="shared" si="3"/>
        <v>OK</v>
      </c>
      <c r="N1509" s="18" t="str">
        <f t="shared" si="4"/>
        <v>VALID</v>
      </c>
    </row>
    <row r="1510" ht="15.75" customHeight="1">
      <c r="A1510" s="13" t="str">
        <f>Raw_Data!A1510</f>
        <v>EMP1584</v>
      </c>
      <c r="B1510" s="13" t="str">
        <f>TRIM(CLEAN(Raw_Data!B1510))</f>
        <v>Sales</v>
      </c>
      <c r="C1510" s="18" t="s">
        <v>54</v>
      </c>
      <c r="D1510" s="14" t="str">
        <f>IF(ISBLANK(Raw_Data!D1510),AVERAGE(Raw_Data!D$2:D$5002),Raw_Data!D1510)</f>
        <v>65384.73</v>
      </c>
      <c r="E1510" s="15" t="str">
        <f>IF(ISBLANK(Raw_Data!E1510),AVERAGE(Raw_Data!E$2:E$5002),Raw_Data!E1510)</f>
        <v>21300.34</v>
      </c>
      <c r="F1510" s="15" t="str">
        <f>IF(ISBLANK(Raw_Data!F1510),AVERAGE(Raw_Data!F$2:F$5002),Raw_Data!F1510)</f>
        <v>12336.38</v>
      </c>
      <c r="G1510" s="14" t="str">
        <f>IF(ISBLANK(Raw_Data!G1510),AVERAGE(Raw_Data!G$2:G$5002),Raw_Data!G1510)</f>
        <v>12291.50</v>
      </c>
      <c r="H1510" s="15" t="str">
        <f t="shared" si="1"/>
        <v>99021.00</v>
      </c>
      <c r="I1510" s="14" t="str">
        <f t="shared" si="2"/>
        <v>86730.00</v>
      </c>
      <c r="J1510" s="16" t="str">
        <f>TEXT(Raw_Data!J1510,"MMM-YYY")</f>
        <v>Nov-2025</v>
      </c>
      <c r="K1510" s="13" t="str">
        <f>Raw_Data!K1510</f>
        <v>21</v>
      </c>
      <c r="L1510" s="17" t="str">
        <f>Raw_Data!L1510</f>
        <v>Kolkata-East</v>
      </c>
      <c r="M1510" s="13" t="str">
        <f t="shared" si="3"/>
        <v>OK</v>
      </c>
      <c r="N1510" s="18" t="str">
        <f t="shared" si="4"/>
        <v>VALID</v>
      </c>
    </row>
    <row r="1511" ht="15.75" customHeight="1">
      <c r="A1511" s="13" t="str">
        <f>Raw_Data!A1511</f>
        <v>EMP1585</v>
      </c>
      <c r="B1511" s="13" t="str">
        <f>TRIM(CLEAN(Raw_Data!B1511))</f>
        <v>Finance</v>
      </c>
      <c r="C1511" s="18" t="s">
        <v>54</v>
      </c>
      <c r="D1511" s="14" t="str">
        <f>IF(ISBLANK(Raw_Data!D1511),AVERAGE(Raw_Data!D$2:D$5002),Raw_Data!D1511)</f>
        <v>65395.62</v>
      </c>
      <c r="E1511" s="15" t="str">
        <f>IF(ISBLANK(Raw_Data!E1511),AVERAGE(Raw_Data!E$2:E$5002),Raw_Data!E1511)</f>
        <v>21304.95</v>
      </c>
      <c r="F1511" s="15" t="str">
        <f>IF(ISBLANK(Raw_Data!F1511),AVERAGE(Raw_Data!F$2:F$5002),Raw_Data!F1511)</f>
        <v>12344.06</v>
      </c>
      <c r="G1511" s="14" t="str">
        <f>IF(ISBLANK(Raw_Data!G1511),AVERAGE(Raw_Data!G$2:G$5002),Raw_Data!G1511)</f>
        <v>12294.90</v>
      </c>
      <c r="H1511" s="15" t="str">
        <f t="shared" si="1"/>
        <v>99045.00</v>
      </c>
      <c r="I1511" s="14" t="str">
        <f t="shared" si="2"/>
        <v>86750.00</v>
      </c>
      <c r="J1511" s="16" t="str">
        <f>TEXT(Raw_Data!J1511,"MMM-YYY")</f>
        <v>Feb-2025</v>
      </c>
      <c r="K1511" s="13" t="str">
        <f>Raw_Data!K1511</f>
        <v>10</v>
      </c>
      <c r="L1511" s="17" t="str">
        <f>Raw_Data!L1511</f>
        <v>Pune-West</v>
      </c>
      <c r="M1511" s="13" t="str">
        <f t="shared" si="3"/>
        <v>OK</v>
      </c>
      <c r="N1511" s="18" t="str">
        <f t="shared" si="4"/>
        <v>VALID</v>
      </c>
    </row>
    <row r="1512" ht="15.75" customHeight="1">
      <c r="A1512" s="13" t="str">
        <f>Raw_Data!A1512</f>
        <v>EMP1586</v>
      </c>
      <c r="B1512" s="13" t="str">
        <f>TRIM(CLEAN(Raw_Data!B1512))</f>
        <v>Finance</v>
      </c>
      <c r="C1512" s="18" t="s">
        <v>26</v>
      </c>
      <c r="D1512" s="14" t="str">
        <f>IF(ISBLANK(Raw_Data!D1512),AVERAGE(Raw_Data!D$2:D$5002),Raw_Data!D1512)</f>
        <v>65406.50</v>
      </c>
      <c r="E1512" s="15" t="str">
        <f>IF(ISBLANK(Raw_Data!E1512),AVERAGE(Raw_Data!E$2:E$5002),Raw_Data!E1512)</f>
        <v>21309.57</v>
      </c>
      <c r="F1512" s="15" t="str">
        <f>IF(ISBLANK(Raw_Data!F1512),AVERAGE(Raw_Data!F$2:F$5002),Raw_Data!F1512)</f>
        <v>12351.74</v>
      </c>
      <c r="G1512" s="14" t="str">
        <f>IF(ISBLANK(Raw_Data!G1512),AVERAGE(Raw_Data!G$2:G$5002),Raw_Data!G1512)</f>
        <v>12298.29</v>
      </c>
      <c r="H1512" s="15" t="str">
        <f t="shared" si="1"/>
        <v>99068.00</v>
      </c>
      <c r="I1512" s="14" t="str">
        <f t="shared" si="2"/>
        <v>86770.00</v>
      </c>
      <c r="J1512" s="16" t="str">
        <f>TEXT(Raw_Data!J1512,"MMM-YYY")</f>
        <v>Jan-2025</v>
      </c>
      <c r="K1512" s="13" t="str">
        <f>Raw_Data!K1512</f>
        <v>16</v>
      </c>
      <c r="L1512" s="17" t="str">
        <f>Raw_Data!L1512</f>
        <v>Hyderabad-South</v>
      </c>
      <c r="M1512" s="13" t="str">
        <f t="shared" si="3"/>
        <v>OK</v>
      </c>
      <c r="N1512" s="18" t="str">
        <f t="shared" si="4"/>
        <v>VALID</v>
      </c>
    </row>
    <row r="1513" ht="15.75" customHeight="1">
      <c r="A1513" s="13" t="str">
        <f>Raw_Data!A1513</f>
        <v>EMP1587</v>
      </c>
      <c r="B1513" s="13" t="str">
        <f>TRIM(CLEAN(Raw_Data!B1513))</f>
        <v>Sales</v>
      </c>
      <c r="C1513" s="18" t="s">
        <v>37</v>
      </c>
      <c r="D1513" s="14" t="str">
        <f>IF(ISBLANK(Raw_Data!D1513),AVERAGE(Raw_Data!D$2:D$5002),Raw_Data!D1513)</f>
        <v>65417.38</v>
      </c>
      <c r="E1513" s="15" t="str">
        <f>IF(ISBLANK(Raw_Data!E1513),AVERAGE(Raw_Data!E$2:E$5002),Raw_Data!E1513)</f>
        <v>21314.18</v>
      </c>
      <c r="F1513" s="15" t="str">
        <f>IF(ISBLANK(Raw_Data!F1513),AVERAGE(Raw_Data!F$2:F$5002),Raw_Data!F1513)</f>
        <v>12359.42</v>
      </c>
      <c r="G1513" s="14" t="str">
        <f>IF(ISBLANK(Raw_Data!G1513),AVERAGE(Raw_Data!G$2:G$5002),Raw_Data!G1513)</f>
        <v>12301.69</v>
      </c>
      <c r="H1513" s="15" t="str">
        <f t="shared" si="1"/>
        <v>99091.00</v>
      </c>
      <c r="I1513" s="14" t="str">
        <f t="shared" si="2"/>
        <v>86789.00</v>
      </c>
      <c r="J1513" s="16" t="str">
        <f>TEXT(Raw_Data!J1513,"MMM-YYY")</f>
        <v>Jul-2025</v>
      </c>
      <c r="K1513" s="13" t="str">
        <f>Raw_Data!K1513</f>
        <v>16</v>
      </c>
      <c r="L1513" s="17" t="str">
        <f>Raw_Data!L1513</f>
        <v>Chandigarh-North</v>
      </c>
      <c r="M1513" s="13" t="str">
        <f t="shared" si="3"/>
        <v>OK</v>
      </c>
      <c r="N1513" s="18" t="str">
        <f t="shared" si="4"/>
        <v>VALID</v>
      </c>
    </row>
    <row r="1514" ht="15.75" customHeight="1">
      <c r="A1514" s="13" t="str">
        <f>Raw_Data!A1514</f>
        <v>EMP1588</v>
      </c>
      <c r="B1514" s="13" t="str">
        <f>TRIM(CLEAN(Raw_Data!B1514))</f>
        <v>Finance</v>
      </c>
      <c r="C1514" s="18" t="s">
        <v>54</v>
      </c>
      <c r="D1514" s="14" t="str">
        <f>IF(ISBLANK(Raw_Data!D1514),AVERAGE(Raw_Data!D$2:D$5002),Raw_Data!D1514)</f>
        <v>65428.27</v>
      </c>
      <c r="E1514" s="15" t="str">
        <f>IF(ISBLANK(Raw_Data!E1514),AVERAGE(Raw_Data!E$2:E$5002),Raw_Data!E1514)</f>
        <v>21318.80</v>
      </c>
      <c r="F1514" s="15" t="str">
        <f>IF(ISBLANK(Raw_Data!F1514),AVERAGE(Raw_Data!F$2:F$5002),Raw_Data!F1514)</f>
        <v>12367.10</v>
      </c>
      <c r="G1514" s="14" t="str">
        <f>IF(ISBLANK(Raw_Data!G1514),AVERAGE(Raw_Data!G$2:G$5002),Raw_Data!G1514)</f>
        <v>12305.09</v>
      </c>
      <c r="H1514" s="15" t="str">
        <f t="shared" si="1"/>
        <v>99114.00</v>
      </c>
      <c r="I1514" s="14" t="str">
        <f t="shared" si="2"/>
        <v>86809.00</v>
      </c>
      <c r="J1514" s="16" t="str">
        <f>TEXT(Raw_Data!J1514,"MMM-YYY")</f>
        <v>May-2025</v>
      </c>
      <c r="K1514" s="13" t="str">
        <f>Raw_Data!K1514</f>
        <v>3</v>
      </c>
      <c r="L1514" s="17" t="str">
        <f>Raw_Data!L1514</f>
        <v>Ahmedabad-West</v>
      </c>
      <c r="M1514" s="13" t="str">
        <f t="shared" si="3"/>
        <v>OK</v>
      </c>
      <c r="N1514" s="18" t="str">
        <f t="shared" si="4"/>
        <v>VALID</v>
      </c>
    </row>
    <row r="1515" ht="15.75" customHeight="1">
      <c r="A1515" s="13" t="str">
        <f>Raw_Data!A1515</f>
        <v>EMP1589</v>
      </c>
      <c r="B1515" s="13" t="str">
        <f>TRIM(CLEAN(Raw_Data!B1515))</f>
        <v>Customer Support</v>
      </c>
      <c r="C1515" s="18" t="s">
        <v>54</v>
      </c>
      <c r="D1515" s="14" t="str">
        <f>IF(ISBLANK(Raw_Data!D1515),AVERAGE(Raw_Data!D$2:D$5002),Raw_Data!D1515)</f>
        <v>65439.15</v>
      </c>
      <c r="E1515" s="15" t="str">
        <f>IF(ISBLANK(Raw_Data!E1515),AVERAGE(Raw_Data!E$2:E$5002),Raw_Data!E1515)</f>
        <v>21323.41</v>
      </c>
      <c r="F1515" s="15" t="str">
        <f>IF(ISBLANK(Raw_Data!F1515),AVERAGE(Raw_Data!F$2:F$5002),Raw_Data!F1515)</f>
        <v>12374.78</v>
      </c>
      <c r="G1515" s="14" t="str">
        <f>IF(ISBLANK(Raw_Data!G1515),AVERAGE(Raw_Data!G$2:G$5002),Raw_Data!G1515)</f>
        <v>12308.49</v>
      </c>
      <c r="H1515" s="15" t="str">
        <f t="shared" si="1"/>
        <v>99137.00</v>
      </c>
      <c r="I1515" s="14" t="str">
        <f t="shared" si="2"/>
        <v>86829.00</v>
      </c>
      <c r="J1515" s="16" t="str">
        <f>TEXT(Raw_Data!J1515,"MMM-YYY")</f>
        <v>Jun-2025</v>
      </c>
      <c r="K1515" s="13" t="str">
        <f>Raw_Data!K1515</f>
        <v>17</v>
      </c>
      <c r="L1515" s="17" t="str">
        <f>Raw_Data!L1515</f>
        <v>Jaipur-North</v>
      </c>
      <c r="M1515" s="13" t="str">
        <f t="shared" si="3"/>
        <v>OK</v>
      </c>
      <c r="N1515" s="18" t="str">
        <f t="shared" si="4"/>
        <v>VALID</v>
      </c>
    </row>
    <row r="1516" ht="15.75" customHeight="1">
      <c r="A1516" s="13" t="str">
        <f>Raw_Data!A1516</f>
        <v>EMP1590</v>
      </c>
      <c r="B1516" s="13" t="str">
        <f>TRIM(CLEAN(Raw_Data!B1516))</f>
        <v>HR</v>
      </c>
      <c r="C1516" s="18" t="s">
        <v>14</v>
      </c>
      <c r="D1516" s="14" t="str">
        <f>IF(ISBLANK(Raw_Data!D1516),AVERAGE(Raw_Data!D$2:D$5002),Raw_Data!D1516)</f>
        <v>65450.03</v>
      </c>
      <c r="E1516" s="15" t="str">
        <f>IF(ISBLANK(Raw_Data!E1516),AVERAGE(Raw_Data!E$2:E$5002),Raw_Data!E1516)</f>
        <v>21328.03</v>
      </c>
      <c r="F1516" s="15" t="str">
        <f>IF(ISBLANK(Raw_Data!F1516),AVERAGE(Raw_Data!F$2:F$5002),Raw_Data!F1516)</f>
        <v>12382.46</v>
      </c>
      <c r="G1516" s="14" t="str">
        <f>IF(ISBLANK(Raw_Data!G1516),AVERAGE(Raw_Data!G$2:G$5002),Raw_Data!G1516)</f>
        <v>12311.88</v>
      </c>
      <c r="H1516" s="15" t="str">
        <f t="shared" si="1"/>
        <v>99161.00</v>
      </c>
      <c r="I1516" s="14" t="str">
        <f t="shared" si="2"/>
        <v>86849.00</v>
      </c>
      <c r="J1516" s="16" t="str">
        <f>TEXT(Raw_Data!J1516,"MMM-YYY")</f>
        <v>Mar-2025</v>
      </c>
      <c r="K1516" s="13" t="str">
        <f>Raw_Data!K1516</f>
        <v>20</v>
      </c>
      <c r="L1516" s="17" t="str">
        <f>Raw_Data!L1516</f>
        <v>Mumbai-HO</v>
      </c>
      <c r="M1516" s="13" t="str">
        <f t="shared" si="3"/>
        <v>OK</v>
      </c>
      <c r="N1516" s="18" t="str">
        <f t="shared" si="4"/>
        <v>VALID</v>
      </c>
    </row>
    <row r="1517" ht="15.75" customHeight="1">
      <c r="A1517" s="13" t="str">
        <f>Raw_Data!A1517</f>
        <v>EMP1591</v>
      </c>
      <c r="B1517" s="13" t="str">
        <f>TRIM(CLEAN(Raw_Data!B1517))</f>
        <v>IT</v>
      </c>
      <c r="C1517" s="18" t="s">
        <v>54</v>
      </c>
      <c r="D1517" s="14" t="str">
        <f>IF(ISBLANK(Raw_Data!D1517),AVERAGE(Raw_Data!D$2:D$5002),Raw_Data!D1517)</f>
        <v>65460.91</v>
      </c>
      <c r="E1517" s="15" t="str">
        <f>IF(ISBLANK(Raw_Data!E1517),AVERAGE(Raw_Data!E$2:E$5002),Raw_Data!E1517)</f>
        <v>21332.64</v>
      </c>
      <c r="F1517" s="15" t="str">
        <f>IF(ISBLANK(Raw_Data!F1517),AVERAGE(Raw_Data!F$2:F$5002),Raw_Data!F1517)</f>
        <v>12390.14</v>
      </c>
      <c r="G1517" s="14" t="str">
        <f>IF(ISBLANK(Raw_Data!G1517),AVERAGE(Raw_Data!G$2:G$5002),Raw_Data!G1517)</f>
        <v>12315.28</v>
      </c>
      <c r="H1517" s="15" t="str">
        <f t="shared" si="1"/>
        <v>99184.00</v>
      </c>
      <c r="I1517" s="14" t="str">
        <f t="shared" si="2"/>
        <v>86869.00</v>
      </c>
      <c r="J1517" s="16" t="str">
        <f>TEXT(Raw_Data!J1517,"MMM-YYY")</f>
        <v>Mar-2025</v>
      </c>
      <c r="K1517" s="13" t="str">
        <f>Raw_Data!K1517</f>
        <v>12</v>
      </c>
      <c r="L1517" s="17" t="str">
        <f>Raw_Data!L1517</f>
        <v>Delhi-North</v>
      </c>
      <c r="M1517" s="13" t="str">
        <f t="shared" si="3"/>
        <v>OK</v>
      </c>
      <c r="N1517" s="18" t="str">
        <f t="shared" si="4"/>
        <v>VALID</v>
      </c>
    </row>
    <row r="1518" ht="15.75" customHeight="1">
      <c r="A1518" s="13" t="str">
        <f>Raw_Data!A1518</f>
        <v>EMP1593</v>
      </c>
      <c r="B1518" s="13" t="str">
        <f>TRIM(CLEAN(Raw_Data!B1518))</f>
        <v>Sales</v>
      </c>
      <c r="C1518" s="18" t="s">
        <v>54</v>
      </c>
      <c r="D1518" s="14" t="str">
        <f>IF(ISBLANK(Raw_Data!D1518),AVERAGE(Raw_Data!D$2:D$5002),Raw_Data!D1518)</f>
        <v>65482.68</v>
      </c>
      <c r="E1518" s="15" t="str">
        <f>IF(ISBLANK(Raw_Data!E1518),AVERAGE(Raw_Data!E$2:E$5002),Raw_Data!E1518)</f>
        <v>21341.87</v>
      </c>
      <c r="F1518" s="15" t="str">
        <f>IF(ISBLANK(Raw_Data!F1518),AVERAGE(Raw_Data!F$2:F$5002),Raw_Data!F1518)</f>
        <v>12405.50</v>
      </c>
      <c r="G1518" s="14" t="str">
        <f>IF(ISBLANK(Raw_Data!G1518),AVERAGE(Raw_Data!G$2:G$5002),Raw_Data!G1518)</f>
        <v>12322.08</v>
      </c>
      <c r="H1518" s="15" t="str">
        <f t="shared" si="1"/>
        <v>99230.00</v>
      </c>
      <c r="I1518" s="14" t="str">
        <f t="shared" si="2"/>
        <v>86908.00</v>
      </c>
      <c r="J1518" s="16" t="str">
        <f>TEXT(Raw_Data!J1518,"MMM-YYY")</f>
        <v>Nov-2025</v>
      </c>
      <c r="K1518" s="13" t="str">
        <f>Raw_Data!K1518</f>
        <v>17</v>
      </c>
      <c r="L1518" s="17" t="str">
        <f>Raw_Data!L1518</f>
        <v>Chennai-South</v>
      </c>
      <c r="M1518" s="13" t="str">
        <f t="shared" si="3"/>
        <v>OK</v>
      </c>
      <c r="N1518" s="18" t="str">
        <f t="shared" si="4"/>
        <v>VALID</v>
      </c>
    </row>
    <row r="1519" ht="15.75" customHeight="1">
      <c r="A1519" s="13" t="str">
        <f>Raw_Data!A1519</f>
        <v>EMP1594</v>
      </c>
      <c r="B1519" s="13" t="str">
        <f>TRIM(CLEAN(Raw_Data!B1519))</f>
        <v>Customer Support</v>
      </c>
      <c r="C1519" s="18" t="s">
        <v>33</v>
      </c>
      <c r="D1519" s="14" t="str">
        <f>IF(ISBLANK(Raw_Data!D1519),AVERAGE(Raw_Data!D$2:D$5002),Raw_Data!D1519)</f>
        <v>65493.56</v>
      </c>
      <c r="E1519" s="15" t="str">
        <f>IF(ISBLANK(Raw_Data!E1519),AVERAGE(Raw_Data!E$2:E$5002),Raw_Data!E1519)</f>
        <v>21346.49</v>
      </c>
      <c r="F1519" s="15" t="str">
        <f>IF(ISBLANK(Raw_Data!F1519),AVERAGE(Raw_Data!F$2:F$5002),Raw_Data!F1519)</f>
        <v>12413.18</v>
      </c>
      <c r="G1519" s="14" t="str">
        <f>IF(ISBLANK(Raw_Data!G1519),AVERAGE(Raw_Data!G$2:G$5002),Raw_Data!G1519)</f>
        <v>12325.47</v>
      </c>
      <c r="H1519" s="15" t="str">
        <f t="shared" si="1"/>
        <v>99253.00</v>
      </c>
      <c r="I1519" s="14" t="str">
        <f t="shared" si="2"/>
        <v>86928.00</v>
      </c>
      <c r="J1519" s="16" t="str">
        <f>TEXT(Raw_Data!J1519,"MMM-YYY")</f>
        <v>Feb-2025</v>
      </c>
      <c r="K1519" s="13" t="str">
        <f>Raw_Data!K1519</f>
        <v>15</v>
      </c>
      <c r="L1519" s="17" t="str">
        <f>Raw_Data!L1519</f>
        <v>Kolkata-East</v>
      </c>
      <c r="M1519" s="13" t="str">
        <f t="shared" si="3"/>
        <v>OK</v>
      </c>
      <c r="N1519" s="18" t="str">
        <f t="shared" si="4"/>
        <v>VALID</v>
      </c>
    </row>
    <row r="1520" ht="15.75" customHeight="1">
      <c r="A1520" s="13" t="str">
        <f>Raw_Data!A1520</f>
        <v>EMP1595</v>
      </c>
      <c r="B1520" s="13" t="str">
        <f>TRIM(CLEAN(Raw_Data!B1520))</f>
        <v>Marketing</v>
      </c>
      <c r="C1520" s="18" t="s">
        <v>26</v>
      </c>
      <c r="D1520" s="14" t="str">
        <f>IF(ISBLANK(Raw_Data!D1520),AVERAGE(Raw_Data!D$2:D$5002),Raw_Data!D1520)</f>
        <v>65504.45</v>
      </c>
      <c r="E1520" s="15" t="str">
        <f>IF(ISBLANK(Raw_Data!E1520),AVERAGE(Raw_Data!E$2:E$5002),Raw_Data!E1520)</f>
        <v>21351.10</v>
      </c>
      <c r="F1520" s="15" t="str">
        <f>IF(ISBLANK(Raw_Data!F1520),AVERAGE(Raw_Data!F$2:F$5002),Raw_Data!F1520)</f>
        <v>12420.86</v>
      </c>
      <c r="G1520" s="14" t="str">
        <f>IF(ISBLANK(Raw_Data!G1520),AVERAGE(Raw_Data!G$2:G$5002),Raw_Data!G1520)</f>
        <v>12328.87</v>
      </c>
      <c r="H1520" s="15" t="str">
        <f t="shared" si="1"/>
        <v>99276.00</v>
      </c>
      <c r="I1520" s="14" t="str">
        <f t="shared" si="2"/>
        <v>86947.00</v>
      </c>
      <c r="J1520" s="16" t="str">
        <f>TEXT(Raw_Data!J1520,"MMM-YYY")</f>
        <v>Jul-2025</v>
      </c>
      <c r="K1520" s="13" t="str">
        <f>Raw_Data!K1520</f>
        <v>14</v>
      </c>
      <c r="L1520" s="17" t="str">
        <f>Raw_Data!L1520</f>
        <v>Pune-West</v>
      </c>
      <c r="M1520" s="13" t="str">
        <f t="shared" si="3"/>
        <v>OK</v>
      </c>
      <c r="N1520" s="18" t="str">
        <f t="shared" si="4"/>
        <v>VALID</v>
      </c>
    </row>
    <row r="1521" ht="15.75" customHeight="1">
      <c r="A1521" s="13" t="str">
        <f>Raw_Data!A1521</f>
        <v>EMP1596</v>
      </c>
      <c r="B1521" s="13" t="str">
        <f>TRIM(CLEAN(Raw_Data!B1521))</f>
        <v>Finance</v>
      </c>
      <c r="C1521" s="18" t="s">
        <v>30</v>
      </c>
      <c r="D1521" s="14" t="str">
        <f>IF(ISBLANK(Raw_Data!D1521),AVERAGE(Raw_Data!D$2:D$5002),Raw_Data!D1521)</f>
        <v>65515.33</v>
      </c>
      <c r="E1521" s="15" t="str">
        <f>IF(ISBLANK(Raw_Data!E1521),AVERAGE(Raw_Data!E$2:E$5002),Raw_Data!E1521)</f>
        <v>21355.71</v>
      </c>
      <c r="F1521" s="15" t="str">
        <f>IF(ISBLANK(Raw_Data!F1521),AVERAGE(Raw_Data!F$2:F$5002),Raw_Data!F1521)</f>
        <v>12428.54</v>
      </c>
      <c r="G1521" s="14" t="str">
        <f>IF(ISBLANK(Raw_Data!G1521),AVERAGE(Raw_Data!G$2:G$5002),Raw_Data!G1521)</f>
        <v>12332.27</v>
      </c>
      <c r="H1521" s="15" t="str">
        <f t="shared" si="1"/>
        <v>99300.00</v>
      </c>
      <c r="I1521" s="14" t="str">
        <f t="shared" si="2"/>
        <v>86968.00</v>
      </c>
      <c r="J1521" s="16" t="str">
        <f>TEXT(Raw_Data!J1521,"MMM-YYY")</f>
        <v>Dec-2025</v>
      </c>
      <c r="K1521" s="13" t="str">
        <f>Raw_Data!K1521</f>
        <v>22</v>
      </c>
      <c r="L1521" s="17" t="str">
        <f>Raw_Data!L1521</f>
        <v>Hyderabad-South</v>
      </c>
      <c r="M1521" s="13" t="str">
        <f t="shared" si="3"/>
        <v>OK</v>
      </c>
      <c r="N1521" s="18" t="str">
        <f t="shared" si="4"/>
        <v>VALID</v>
      </c>
    </row>
    <row r="1522" ht="15.75" customHeight="1">
      <c r="A1522" s="13" t="str">
        <f>Raw_Data!A1522</f>
        <v>EMP1597</v>
      </c>
      <c r="B1522" s="13" t="str">
        <f>TRIM(CLEAN(Raw_Data!B1522))</f>
        <v>Finance</v>
      </c>
      <c r="C1522" s="18" t="s">
        <v>54</v>
      </c>
      <c r="D1522" s="14" t="str">
        <f>IF(ISBLANK(Raw_Data!D1522),AVERAGE(Raw_Data!D$2:D$5002),Raw_Data!D1522)</f>
        <v>65526.21</v>
      </c>
      <c r="E1522" s="15" t="str">
        <f>IF(ISBLANK(Raw_Data!E1522),AVERAGE(Raw_Data!E$2:E$5002),Raw_Data!E1522)</f>
        <v>21360.33</v>
      </c>
      <c r="F1522" s="15" t="str">
        <f>IF(ISBLANK(Raw_Data!F1522),AVERAGE(Raw_Data!F$2:F$5002),Raw_Data!F1522)</f>
        <v>12436.22</v>
      </c>
      <c r="G1522" s="14" t="str">
        <f>IF(ISBLANK(Raw_Data!G1522),AVERAGE(Raw_Data!G$2:G$5002),Raw_Data!G1522)</f>
        <v>12335.67</v>
      </c>
      <c r="H1522" s="15" t="str">
        <f t="shared" si="1"/>
        <v>99323.00</v>
      </c>
      <c r="I1522" s="14" t="str">
        <f t="shared" si="2"/>
        <v>86987.00</v>
      </c>
      <c r="J1522" s="16" t="str">
        <f>TEXT(Raw_Data!J1522,"MMM-YYY")</f>
        <v>Nov-2025</v>
      </c>
      <c r="K1522" s="13" t="str">
        <f>Raw_Data!K1522</f>
        <v>5</v>
      </c>
      <c r="L1522" s="17" t="str">
        <f>Raw_Data!L1522</f>
        <v>Chandigarh-North</v>
      </c>
      <c r="M1522" s="13" t="str">
        <f t="shared" si="3"/>
        <v>OK</v>
      </c>
      <c r="N1522" s="18" t="str">
        <f t="shared" si="4"/>
        <v>VALID</v>
      </c>
    </row>
    <row r="1523" ht="15.75" customHeight="1">
      <c r="A1523" s="13" t="str">
        <f>Raw_Data!A1523</f>
        <v>EMP1598</v>
      </c>
      <c r="B1523" s="13" t="str">
        <f>TRIM(CLEAN(Raw_Data!B1523))</f>
        <v>Operations</v>
      </c>
      <c r="C1523" s="18" t="s">
        <v>14</v>
      </c>
      <c r="D1523" s="14" t="str">
        <f>IF(ISBLANK(Raw_Data!D1523),AVERAGE(Raw_Data!D$2:D$5002),Raw_Data!D1523)</f>
        <v>65537.10</v>
      </c>
      <c r="E1523" s="15" t="str">
        <f>IF(ISBLANK(Raw_Data!E1523),AVERAGE(Raw_Data!E$2:E$5002),Raw_Data!E1523)</f>
        <v>21364.94</v>
      </c>
      <c r="F1523" s="15" t="str">
        <f>IF(ISBLANK(Raw_Data!F1523),AVERAGE(Raw_Data!F$2:F$5002),Raw_Data!F1523)</f>
        <v>12443.90</v>
      </c>
      <c r="G1523" s="14" t="str">
        <f>IF(ISBLANK(Raw_Data!G1523),AVERAGE(Raw_Data!G$2:G$5002),Raw_Data!G1523)</f>
        <v>12339.06</v>
      </c>
      <c r="H1523" s="15" t="str">
        <f t="shared" si="1"/>
        <v>99346.00</v>
      </c>
      <c r="I1523" s="14" t="str">
        <f t="shared" si="2"/>
        <v>87007.00</v>
      </c>
      <c r="J1523" s="16" t="str">
        <f>TEXT(Raw_Data!J1523,"MMM-YYY")</f>
        <v>Dec-2025</v>
      </c>
      <c r="K1523" s="13" t="str">
        <f>Raw_Data!K1523</f>
        <v>2</v>
      </c>
      <c r="L1523" s="17" t="str">
        <f>Raw_Data!L1523</f>
        <v>Ahmedabad-West</v>
      </c>
      <c r="M1523" s="13" t="str">
        <f t="shared" si="3"/>
        <v>OK</v>
      </c>
      <c r="N1523" s="18" t="str">
        <f t="shared" si="4"/>
        <v>VALID</v>
      </c>
    </row>
    <row r="1524" ht="15.75" customHeight="1">
      <c r="A1524" s="13" t="str">
        <f>Raw_Data!A1524</f>
        <v>EMP1599</v>
      </c>
      <c r="B1524" s="13" t="str">
        <f>TRIM(CLEAN(Raw_Data!B1524))</f>
        <v>HR</v>
      </c>
      <c r="C1524" s="18" t="s">
        <v>54</v>
      </c>
      <c r="D1524" s="14" t="str">
        <f>IF(ISBLANK(Raw_Data!D1524),AVERAGE(Raw_Data!D$2:D$5002),Raw_Data!D1524)</f>
        <v>65547.98</v>
      </c>
      <c r="E1524" s="15" t="str">
        <f>IF(ISBLANK(Raw_Data!E1524),AVERAGE(Raw_Data!E$2:E$5002),Raw_Data!E1524)</f>
        <v>21369.56</v>
      </c>
      <c r="F1524" s="15" t="str">
        <f>IF(ISBLANK(Raw_Data!F1524),AVERAGE(Raw_Data!F$2:F$5002),Raw_Data!F1524)</f>
        <v>12451.58</v>
      </c>
      <c r="G1524" s="14" t="str">
        <f>IF(ISBLANK(Raw_Data!G1524),AVERAGE(Raw_Data!G$2:G$5002),Raw_Data!G1524)</f>
        <v>12342.46</v>
      </c>
      <c r="H1524" s="15" t="str">
        <f t="shared" si="1"/>
        <v>99369.00</v>
      </c>
      <c r="I1524" s="14" t="str">
        <f t="shared" si="2"/>
        <v>87027.00</v>
      </c>
      <c r="J1524" s="16" t="str">
        <f>TEXT(Raw_Data!J1524,"MMM-YYY")</f>
        <v>Jun-2025</v>
      </c>
      <c r="K1524" s="13" t="str">
        <f>Raw_Data!K1524</f>
        <v>6</v>
      </c>
      <c r="L1524" s="17" t="str">
        <f>Raw_Data!L1524</f>
        <v>Jaipur-North</v>
      </c>
      <c r="M1524" s="13" t="str">
        <f t="shared" si="3"/>
        <v>OK</v>
      </c>
      <c r="N1524" s="18" t="str">
        <f t="shared" si="4"/>
        <v>VALID</v>
      </c>
    </row>
    <row r="1525" ht="15.75" customHeight="1">
      <c r="A1525" s="13" t="str">
        <f>Raw_Data!A1525</f>
        <v>EMP1600</v>
      </c>
      <c r="B1525" s="13" t="str">
        <f>TRIM(CLEAN(Raw_Data!B1525))</f>
        <v>Customer Support</v>
      </c>
      <c r="C1525" s="18" t="s">
        <v>33</v>
      </c>
      <c r="D1525" s="14" t="str">
        <f>IF(ISBLANK(Raw_Data!D1525),AVERAGE(Raw_Data!D$2:D$5002),Raw_Data!D1525)</f>
        <v>65558.86</v>
      </c>
      <c r="E1525" s="15" t="str">
        <f>IF(ISBLANK(Raw_Data!E1525),AVERAGE(Raw_Data!E$2:E$5002),Raw_Data!E1525)</f>
        <v>21374.17</v>
      </c>
      <c r="F1525" s="15" t="str">
        <f>IF(ISBLANK(Raw_Data!F1525),AVERAGE(Raw_Data!F$2:F$5002),Raw_Data!F1525)</f>
        <v>12459.26</v>
      </c>
      <c r="G1525" s="14" t="str">
        <f>IF(ISBLANK(Raw_Data!G1525),AVERAGE(Raw_Data!G$2:G$5002),Raw_Data!G1525)</f>
        <v>12345.86</v>
      </c>
      <c r="H1525" s="15" t="str">
        <f t="shared" si="1"/>
        <v>99392.00</v>
      </c>
      <c r="I1525" s="14" t="str">
        <f t="shared" si="2"/>
        <v>87046.00</v>
      </c>
      <c r="J1525" s="16" t="str">
        <f>TEXT(Raw_Data!J1525,"MMM-YYY")</f>
        <v>Dec-2025</v>
      </c>
      <c r="K1525" s="13" t="str">
        <f>Raw_Data!K1525</f>
        <v>15</v>
      </c>
      <c r="L1525" s="17" t="str">
        <f>Raw_Data!L1525</f>
        <v>Mumbai-HO</v>
      </c>
      <c r="M1525" s="13" t="str">
        <f t="shared" si="3"/>
        <v>OK</v>
      </c>
      <c r="N1525" s="18" t="str">
        <f t="shared" si="4"/>
        <v>VALID</v>
      </c>
    </row>
    <row r="1526" ht="15.75" customHeight="1">
      <c r="A1526" s="13" t="str">
        <f>Raw_Data!A1526</f>
        <v>EMP1601</v>
      </c>
      <c r="B1526" s="13" t="str">
        <f>TRIM(CLEAN(Raw_Data!B1526))</f>
        <v>Operations</v>
      </c>
      <c r="C1526" s="18" t="s">
        <v>30</v>
      </c>
      <c r="D1526" s="14" t="str">
        <f>IF(ISBLANK(Raw_Data!D1526),AVERAGE(Raw_Data!D$2:D$5002),Raw_Data!D1526)</f>
        <v>65569.74</v>
      </c>
      <c r="E1526" s="15" t="str">
        <f>IF(ISBLANK(Raw_Data!E1526),AVERAGE(Raw_Data!E$2:E$5002),Raw_Data!E1526)</f>
        <v>21378.79</v>
      </c>
      <c r="F1526" s="15" t="str">
        <f>IF(ISBLANK(Raw_Data!F1526),AVERAGE(Raw_Data!F$2:F$5002),Raw_Data!F1526)</f>
        <v>12466.94</v>
      </c>
      <c r="G1526" s="14" t="str">
        <f>IF(ISBLANK(Raw_Data!G1526),AVERAGE(Raw_Data!G$2:G$5002),Raw_Data!G1526)</f>
        <v>12349.26</v>
      </c>
      <c r="H1526" s="15" t="str">
        <f t="shared" si="1"/>
        <v>99415.00</v>
      </c>
      <c r="I1526" s="14" t="str">
        <f t="shared" si="2"/>
        <v>87066.00</v>
      </c>
      <c r="J1526" s="16" t="str">
        <f>TEXT(Raw_Data!J1526,"MMM-YYY")</f>
        <v>Sep-2025</v>
      </c>
      <c r="K1526" s="13" t="str">
        <f>Raw_Data!K1526</f>
        <v>20</v>
      </c>
      <c r="L1526" s="17" t="str">
        <f>Raw_Data!L1526</f>
        <v>Delhi-North</v>
      </c>
      <c r="M1526" s="13" t="str">
        <f t="shared" si="3"/>
        <v>OK</v>
      </c>
      <c r="N1526" s="18" t="str">
        <f t="shared" si="4"/>
        <v>VALID</v>
      </c>
    </row>
    <row r="1527" ht="15.75" customHeight="1">
      <c r="A1527" s="13" t="str">
        <f>Raw_Data!A1527</f>
        <v>EMP1602</v>
      </c>
      <c r="B1527" s="13" t="str">
        <f>TRIM(CLEAN(Raw_Data!B1527))</f>
        <v>Operations</v>
      </c>
      <c r="C1527" s="18" t="s">
        <v>33</v>
      </c>
      <c r="D1527" s="14" t="str">
        <f>IF(ISBLANK(Raw_Data!D1527),AVERAGE(Raw_Data!D$2:D$5002),Raw_Data!D1527)</f>
        <v>65580.63</v>
      </c>
      <c r="E1527" s="15" t="str">
        <f>IF(ISBLANK(Raw_Data!E1527),AVERAGE(Raw_Data!E$2:E$5002),Raw_Data!E1527)</f>
        <v>21383.40</v>
      </c>
      <c r="F1527" s="15" t="str">
        <f>IF(ISBLANK(Raw_Data!F1527),AVERAGE(Raw_Data!F$2:F$5002),Raw_Data!F1527)</f>
        <v>12474.62</v>
      </c>
      <c r="G1527" s="14" t="str">
        <f>IF(ISBLANK(Raw_Data!G1527),AVERAGE(Raw_Data!G$2:G$5002),Raw_Data!G1527)</f>
        <v>12352.66</v>
      </c>
      <c r="H1527" s="15" t="str">
        <f t="shared" si="1"/>
        <v>99439.00</v>
      </c>
      <c r="I1527" s="14" t="str">
        <f t="shared" si="2"/>
        <v>87086.00</v>
      </c>
      <c r="J1527" s="16" t="str">
        <f>TEXT(Raw_Data!J1527,"MMM-YYY")</f>
        <v>Oct-2025</v>
      </c>
      <c r="K1527" s="13" t="str">
        <f>Raw_Data!K1527</f>
        <v>12</v>
      </c>
      <c r="L1527" s="17" t="str">
        <f>Raw_Data!L1527</f>
        <v>Bangalore-South</v>
      </c>
      <c r="M1527" s="13" t="str">
        <f t="shared" si="3"/>
        <v>OK</v>
      </c>
      <c r="N1527" s="18" t="str">
        <f t="shared" si="4"/>
        <v>VALID</v>
      </c>
    </row>
    <row r="1528" ht="15.75" customHeight="1">
      <c r="A1528" s="13" t="str">
        <f>Raw_Data!A1528</f>
        <v>EMP1603</v>
      </c>
      <c r="B1528" s="13" t="str">
        <f>TRIM(CLEAN(Raw_Data!B1528))</f>
        <v>Customer Support</v>
      </c>
      <c r="C1528" s="18" t="s">
        <v>18</v>
      </c>
      <c r="D1528" s="14" t="str">
        <f>IF(ISBLANK(Raw_Data!D1528),AVERAGE(Raw_Data!D$2:D$5002),Raw_Data!D1528)</f>
        <v>65591.51</v>
      </c>
      <c r="E1528" s="15" t="str">
        <f>IF(ISBLANK(Raw_Data!E1528),AVERAGE(Raw_Data!E$2:E$5002),Raw_Data!E1528)</f>
        <v>21388.02</v>
      </c>
      <c r="F1528" s="15" t="str">
        <f>IF(ISBLANK(Raw_Data!F1528),AVERAGE(Raw_Data!F$2:F$5002),Raw_Data!F1528)</f>
        <v>12482.30</v>
      </c>
      <c r="G1528" s="14" t="str">
        <f>IF(ISBLANK(Raw_Data!G1528),AVERAGE(Raw_Data!G$2:G$5002),Raw_Data!G1528)</f>
        <v>12356.05</v>
      </c>
      <c r="H1528" s="15" t="str">
        <f t="shared" si="1"/>
        <v>99462.00</v>
      </c>
      <c r="I1528" s="14" t="str">
        <f t="shared" si="2"/>
        <v>87106.00</v>
      </c>
      <c r="J1528" s="16" t="str">
        <f>TEXT(Raw_Data!J1528,"MMM-YYY")</f>
        <v>Feb-2025</v>
      </c>
      <c r="K1528" s="13" t="str">
        <f>Raw_Data!K1528</f>
        <v>7</v>
      </c>
      <c r="L1528" s="17" t="str">
        <f>Raw_Data!L1528</f>
        <v>Chennai-South</v>
      </c>
      <c r="M1528" s="13" t="str">
        <f t="shared" si="3"/>
        <v>OK</v>
      </c>
      <c r="N1528" s="18" t="str">
        <f t="shared" si="4"/>
        <v>VALID</v>
      </c>
    </row>
    <row r="1529" ht="15.75" customHeight="1">
      <c r="A1529" s="13" t="str">
        <f>Raw_Data!A1529</f>
        <v>EMP1604</v>
      </c>
      <c r="B1529" s="13" t="str">
        <f>TRIM(CLEAN(Raw_Data!B1529))</f>
        <v>Customer Support</v>
      </c>
      <c r="C1529" s="18" t="s">
        <v>26</v>
      </c>
      <c r="D1529" s="14" t="str">
        <f>IF(ISBLANK(Raw_Data!D1529),AVERAGE(Raw_Data!D$2:D$5002),Raw_Data!D1529)</f>
        <v>65602.39</v>
      </c>
      <c r="E1529" s="15" t="str">
        <f>IF(ISBLANK(Raw_Data!E1529),AVERAGE(Raw_Data!E$2:E$5002),Raw_Data!E1529)</f>
        <v>21392.63</v>
      </c>
      <c r="F1529" s="15" t="str">
        <f>IF(ISBLANK(Raw_Data!F1529),AVERAGE(Raw_Data!F$2:F$5002),Raw_Data!F1529)</f>
        <v>12489.98</v>
      </c>
      <c r="G1529" s="14" t="str">
        <f>IF(ISBLANK(Raw_Data!G1529),AVERAGE(Raw_Data!G$2:G$5002),Raw_Data!G1529)</f>
        <v>12359.45</v>
      </c>
      <c r="H1529" s="15" t="str">
        <f t="shared" si="1"/>
        <v>99485.00</v>
      </c>
      <c r="I1529" s="14" t="str">
        <f t="shared" si="2"/>
        <v>87126.00</v>
      </c>
      <c r="J1529" s="16" t="str">
        <f>TEXT(Raw_Data!J1529,"MMM-YYY")</f>
        <v>Oct-2025</v>
      </c>
      <c r="K1529" s="13" t="str">
        <f>Raw_Data!K1529</f>
        <v>20</v>
      </c>
      <c r="L1529" s="17" t="str">
        <f>Raw_Data!L1529</f>
        <v>Kolkata-East</v>
      </c>
      <c r="M1529" s="13" t="str">
        <f t="shared" si="3"/>
        <v>OK</v>
      </c>
      <c r="N1529" s="18" t="str">
        <f t="shared" si="4"/>
        <v>VALID</v>
      </c>
    </row>
    <row r="1530" ht="15.75" customHeight="1">
      <c r="A1530" s="13" t="str">
        <f>Raw_Data!A1530</f>
        <v>EMP1605</v>
      </c>
      <c r="B1530" s="13" t="str">
        <f>TRIM(CLEAN(Raw_Data!B1530))</f>
        <v>Operations</v>
      </c>
      <c r="C1530" s="18" t="s">
        <v>14</v>
      </c>
      <c r="D1530" s="14" t="str">
        <f>IF(ISBLANK(Raw_Data!D1530),AVERAGE(Raw_Data!D$2:D$5002),Raw_Data!D1530)</f>
        <v>65613.28</v>
      </c>
      <c r="E1530" s="15" t="str">
        <f>IF(ISBLANK(Raw_Data!E1530),AVERAGE(Raw_Data!E$2:E$5002),Raw_Data!E1530)</f>
        <v>21397.25</v>
      </c>
      <c r="F1530" s="15" t="str">
        <f>IF(ISBLANK(Raw_Data!F1530),AVERAGE(Raw_Data!F$2:F$5002),Raw_Data!F1530)</f>
        <v>12497.66</v>
      </c>
      <c r="G1530" s="14" t="str">
        <f>IF(ISBLANK(Raw_Data!G1530),AVERAGE(Raw_Data!G$2:G$5002),Raw_Data!G1530)</f>
        <v>12362.85</v>
      </c>
      <c r="H1530" s="15" t="str">
        <f t="shared" si="1"/>
        <v>99508.00</v>
      </c>
      <c r="I1530" s="14" t="str">
        <f t="shared" si="2"/>
        <v>87145.00</v>
      </c>
      <c r="J1530" s="16" t="str">
        <f>TEXT(Raw_Data!J1530,"MMM-YYY")</f>
        <v>Nov-2025</v>
      </c>
      <c r="K1530" s="13" t="str">
        <f>Raw_Data!K1530</f>
        <v>6</v>
      </c>
      <c r="L1530" s="17" t="str">
        <f>Raw_Data!L1530</f>
        <v>Pune-West</v>
      </c>
      <c r="M1530" s="13" t="str">
        <f t="shared" si="3"/>
        <v>OK</v>
      </c>
      <c r="N1530" s="18" t="str">
        <f t="shared" si="4"/>
        <v>VALID</v>
      </c>
    </row>
    <row r="1531" ht="15.75" customHeight="1">
      <c r="A1531" s="13" t="str">
        <f>Raw_Data!A1531</f>
        <v>EMP1606</v>
      </c>
      <c r="B1531" s="13" t="str">
        <f>TRIM(CLEAN(Raw_Data!B1531))</f>
        <v>Operations</v>
      </c>
      <c r="C1531" s="18" t="s">
        <v>30</v>
      </c>
      <c r="D1531" s="14" t="str">
        <f>IF(ISBLANK(Raw_Data!D1531),AVERAGE(Raw_Data!D$2:D$5002),Raw_Data!D1531)</f>
        <v>65624.16</v>
      </c>
      <c r="E1531" s="15" t="str">
        <f>IF(ISBLANK(Raw_Data!E1531),AVERAGE(Raw_Data!E$2:E$5002),Raw_Data!E1531)</f>
        <v>21401.86</v>
      </c>
      <c r="F1531" s="15" t="str">
        <f>IF(ISBLANK(Raw_Data!F1531),AVERAGE(Raw_Data!F$2:F$5002),Raw_Data!F1531)</f>
        <v>12505.34</v>
      </c>
      <c r="G1531" s="14" t="str">
        <f>IF(ISBLANK(Raw_Data!G1531),AVERAGE(Raw_Data!G$2:G$5002),Raw_Data!G1531)</f>
        <v>12366.25</v>
      </c>
      <c r="H1531" s="15" t="str">
        <f t="shared" si="1"/>
        <v>99531.00</v>
      </c>
      <c r="I1531" s="14" t="str">
        <f t="shared" si="2"/>
        <v>87165.00</v>
      </c>
      <c r="J1531" s="16" t="str">
        <f>TEXT(Raw_Data!J1531,"MMM-YYY")</f>
        <v>Jan-2025</v>
      </c>
      <c r="K1531" s="13" t="str">
        <f>Raw_Data!K1531</f>
        <v>24</v>
      </c>
      <c r="L1531" s="17" t="str">
        <f>Raw_Data!L1531</f>
        <v>Hyderabad-South</v>
      </c>
      <c r="M1531" s="13" t="str">
        <f t="shared" si="3"/>
        <v>OK</v>
      </c>
      <c r="N1531" s="18" t="str">
        <f t="shared" si="4"/>
        <v>VALID</v>
      </c>
    </row>
    <row r="1532" ht="15.75" customHeight="1">
      <c r="A1532" s="13" t="str">
        <f>Raw_Data!A1532</f>
        <v>EMP1607</v>
      </c>
      <c r="B1532" s="13" t="str">
        <f>TRIM(CLEAN(Raw_Data!B1532))</f>
        <v>Finance</v>
      </c>
      <c r="C1532" s="18" t="s">
        <v>18</v>
      </c>
      <c r="D1532" s="14" t="str">
        <f>IF(ISBLANK(Raw_Data!D1532),AVERAGE(Raw_Data!D$2:D$5002),Raw_Data!D1532)</f>
        <v>71831.17</v>
      </c>
      <c r="E1532" s="15" t="str">
        <f>IF(ISBLANK(Raw_Data!E1532),AVERAGE(Raw_Data!E$2:E$5002),Raw_Data!E1532)</f>
        <v>21406.48</v>
      </c>
      <c r="F1532" s="15" t="str">
        <f>IF(ISBLANK(Raw_Data!F1532),AVERAGE(Raw_Data!F$2:F$5002),Raw_Data!F1532)</f>
        <v>12513.02</v>
      </c>
      <c r="G1532" s="14" t="str">
        <f>IF(ISBLANK(Raw_Data!G1532),AVERAGE(Raw_Data!G$2:G$5002),Raw_Data!G1532)</f>
        <v>12369.64</v>
      </c>
      <c r="H1532" s="15" t="str">
        <f t="shared" si="1"/>
        <v>105751.00</v>
      </c>
      <c r="I1532" s="14" t="str">
        <f t="shared" si="2"/>
        <v>93381.00</v>
      </c>
      <c r="J1532" s="16" t="str">
        <f>TEXT(Raw_Data!J1532,"MMM-YYY")</f>
        <v>Aug-2025</v>
      </c>
      <c r="K1532" s="13" t="str">
        <f>Raw_Data!K1532</f>
        <v>19</v>
      </c>
      <c r="L1532" s="17" t="str">
        <f>Raw_Data!L1532</f>
        <v>Chandigarh-North</v>
      </c>
      <c r="M1532" s="13" t="str">
        <f t="shared" si="3"/>
        <v>OK</v>
      </c>
      <c r="N1532" s="18" t="str">
        <f t="shared" si="4"/>
        <v>VALID</v>
      </c>
    </row>
    <row r="1533" ht="15.75" customHeight="1">
      <c r="A1533" s="13" t="str">
        <f>Raw_Data!A1533</f>
        <v>EMP1608</v>
      </c>
      <c r="B1533" s="13" t="str">
        <f>TRIM(CLEAN(Raw_Data!B1533))</f>
        <v>Marketing</v>
      </c>
      <c r="C1533" s="18" t="s">
        <v>30</v>
      </c>
      <c r="D1533" s="14" t="str">
        <f>IF(ISBLANK(Raw_Data!D1533),AVERAGE(Raw_Data!D$2:D$5002),Raw_Data!D1533)</f>
        <v>65645.92</v>
      </c>
      <c r="E1533" s="15" t="str">
        <f>IF(ISBLANK(Raw_Data!E1533),AVERAGE(Raw_Data!E$2:E$5002),Raw_Data!E1533)</f>
        <v>21411.09</v>
      </c>
      <c r="F1533" s="15" t="str">
        <f>IF(ISBLANK(Raw_Data!F1533),AVERAGE(Raw_Data!F$2:F$5002),Raw_Data!F1533)</f>
        <v>12520.70</v>
      </c>
      <c r="G1533" s="14" t="str">
        <f>IF(ISBLANK(Raw_Data!G1533),AVERAGE(Raw_Data!G$2:G$5002),Raw_Data!G1533)</f>
        <v>12373.04</v>
      </c>
      <c r="H1533" s="15" t="str">
        <f t="shared" si="1"/>
        <v>99578.00</v>
      </c>
      <c r="I1533" s="14" t="str">
        <f t="shared" si="2"/>
        <v>87205.00</v>
      </c>
      <c r="J1533" s="16" t="str">
        <f>TEXT(Raw_Data!J1533,"MMM-YYY")</f>
        <v>Jan-2025</v>
      </c>
      <c r="K1533" s="13" t="str">
        <f>Raw_Data!K1533</f>
        <v>3</v>
      </c>
      <c r="L1533" s="17" t="str">
        <f>Raw_Data!L1533</f>
        <v>Ahmedabad-West</v>
      </c>
      <c r="M1533" s="13" t="str">
        <f t="shared" si="3"/>
        <v>OK</v>
      </c>
      <c r="N1533" s="18" t="str">
        <f t="shared" si="4"/>
        <v>VALID</v>
      </c>
    </row>
    <row r="1534" ht="15.75" customHeight="1">
      <c r="A1534" s="13" t="str">
        <f>Raw_Data!A1534</f>
        <v>EMP1609</v>
      </c>
      <c r="B1534" s="13" t="str">
        <f>TRIM(CLEAN(Raw_Data!B1534))</f>
        <v>Sales</v>
      </c>
      <c r="C1534" s="18" t="s">
        <v>26</v>
      </c>
      <c r="D1534" s="14" t="str">
        <f>IF(ISBLANK(Raw_Data!D1534),AVERAGE(Raw_Data!D$2:D$5002),Raw_Data!D1534)</f>
        <v>65656.81</v>
      </c>
      <c r="E1534" s="15" t="str">
        <f>IF(ISBLANK(Raw_Data!E1534),AVERAGE(Raw_Data!E$2:E$5002),Raw_Data!E1534)</f>
        <v>21415.71</v>
      </c>
      <c r="F1534" s="15" t="str">
        <f>IF(ISBLANK(Raw_Data!F1534),AVERAGE(Raw_Data!F$2:F$5002),Raw_Data!F1534)</f>
        <v>12528.38</v>
      </c>
      <c r="G1534" s="14" t="str">
        <f>IF(ISBLANK(Raw_Data!G1534),AVERAGE(Raw_Data!G$2:G$5002),Raw_Data!G1534)</f>
        <v>12376.44</v>
      </c>
      <c r="H1534" s="15" t="str">
        <f t="shared" si="1"/>
        <v>99601.00</v>
      </c>
      <c r="I1534" s="14" t="str">
        <f t="shared" si="2"/>
        <v>87225.00</v>
      </c>
      <c r="J1534" s="16" t="str">
        <f>TEXT(Raw_Data!J1534,"MMM-YYY")</f>
        <v>Feb-2025</v>
      </c>
      <c r="K1534" s="13" t="str">
        <f>Raw_Data!K1534</f>
        <v>2</v>
      </c>
      <c r="L1534" s="17" t="str">
        <f>Raw_Data!L1534</f>
        <v>Jaipur-North</v>
      </c>
      <c r="M1534" s="13" t="str">
        <f t="shared" si="3"/>
        <v>OK</v>
      </c>
      <c r="N1534" s="18" t="str">
        <f t="shared" si="4"/>
        <v>VALID</v>
      </c>
    </row>
    <row r="1535" ht="15.75" customHeight="1">
      <c r="A1535" s="13" t="str">
        <f>Raw_Data!A1535</f>
        <v>EMP1610</v>
      </c>
      <c r="B1535" s="13" t="str">
        <f>TRIM(CLEAN(Raw_Data!B1535))</f>
        <v>Sales</v>
      </c>
      <c r="C1535" s="18" t="s">
        <v>30</v>
      </c>
      <c r="D1535" s="14" t="str">
        <f>IF(ISBLANK(Raw_Data!D1535),AVERAGE(Raw_Data!D$2:D$5002),Raw_Data!D1535)</f>
        <v>65667.69</v>
      </c>
      <c r="E1535" s="15" t="str">
        <f>IF(ISBLANK(Raw_Data!E1535),AVERAGE(Raw_Data!E$2:E$5002),Raw_Data!E1535)</f>
        <v>21420.32</v>
      </c>
      <c r="F1535" s="15" t="str">
        <f>IF(ISBLANK(Raw_Data!F1535),AVERAGE(Raw_Data!F$2:F$5002),Raw_Data!F1535)</f>
        <v>12536.06</v>
      </c>
      <c r="G1535" s="14" t="str">
        <f>IF(ISBLANK(Raw_Data!G1535),AVERAGE(Raw_Data!G$2:G$5002),Raw_Data!G1535)</f>
        <v>12379.84</v>
      </c>
      <c r="H1535" s="15" t="str">
        <f t="shared" si="1"/>
        <v>99624.00</v>
      </c>
      <c r="I1535" s="14" t="str">
        <f t="shared" si="2"/>
        <v>87244.00</v>
      </c>
      <c r="J1535" s="16" t="str">
        <f>TEXT(Raw_Data!J1535,"MMM-YYY")</f>
        <v>Jan-2025</v>
      </c>
      <c r="K1535" s="13" t="str">
        <f>Raw_Data!K1535</f>
        <v>15</v>
      </c>
      <c r="L1535" s="17" t="str">
        <f>Raw_Data!L1535</f>
        <v>Mumbai-HO</v>
      </c>
      <c r="M1535" s="13" t="str">
        <f t="shared" si="3"/>
        <v>OK</v>
      </c>
      <c r="N1535" s="18" t="str">
        <f t="shared" si="4"/>
        <v>VALID</v>
      </c>
    </row>
    <row r="1536" ht="15.75" customHeight="1">
      <c r="A1536" s="13" t="str">
        <f>Raw_Data!A1536</f>
        <v>EMP1611</v>
      </c>
      <c r="B1536" s="13" t="str">
        <f>TRIM(CLEAN(Raw_Data!B1536))</f>
        <v>Operations</v>
      </c>
      <c r="C1536" s="18" t="s">
        <v>14</v>
      </c>
      <c r="D1536" s="14" t="str">
        <f>IF(ISBLANK(Raw_Data!D1536),AVERAGE(Raw_Data!D$2:D$5002),Raw_Data!D1536)</f>
        <v>65678.57</v>
      </c>
      <c r="E1536" s="15" t="str">
        <f>IF(ISBLANK(Raw_Data!E1536),AVERAGE(Raw_Data!E$2:E$5002),Raw_Data!E1536)</f>
        <v>21424.94</v>
      </c>
      <c r="F1536" s="15" t="str">
        <f>IF(ISBLANK(Raw_Data!F1536),AVERAGE(Raw_Data!F$2:F$5002),Raw_Data!F1536)</f>
        <v>12543.74</v>
      </c>
      <c r="G1536" s="14" t="str">
        <f>IF(ISBLANK(Raw_Data!G1536),AVERAGE(Raw_Data!G$2:G$5002),Raw_Data!G1536)</f>
        <v>12383.23</v>
      </c>
      <c r="H1536" s="15" t="str">
        <f t="shared" si="1"/>
        <v>99647.00</v>
      </c>
      <c r="I1536" s="14" t="str">
        <f t="shared" si="2"/>
        <v>87264.00</v>
      </c>
      <c r="J1536" s="16" t="str">
        <f>TEXT(Raw_Data!J1536,"MMM-YYY")</f>
        <v>Dec-2025</v>
      </c>
      <c r="K1536" s="13" t="str">
        <f>Raw_Data!K1536</f>
        <v>7</v>
      </c>
      <c r="L1536" s="17" t="str">
        <f>Raw_Data!L1536</f>
        <v>Delhi-North</v>
      </c>
      <c r="M1536" s="13" t="str">
        <f t="shared" si="3"/>
        <v>OK</v>
      </c>
      <c r="N1536" s="18" t="str">
        <f t="shared" si="4"/>
        <v>VALID</v>
      </c>
    </row>
    <row r="1537" ht="15.75" customHeight="1">
      <c r="A1537" s="13" t="str">
        <f>Raw_Data!A1537</f>
        <v>EMP1612</v>
      </c>
      <c r="B1537" s="13" t="str">
        <f>TRIM(CLEAN(Raw_Data!B1537))</f>
        <v>IT</v>
      </c>
      <c r="C1537" s="18" t="s">
        <v>54</v>
      </c>
      <c r="D1537" s="14" t="str">
        <f>IF(ISBLANK(Raw_Data!D1537),AVERAGE(Raw_Data!D$2:D$5002),Raw_Data!D1537)</f>
        <v>65689.46</v>
      </c>
      <c r="E1537" s="15" t="str">
        <f>IF(ISBLANK(Raw_Data!E1537),AVERAGE(Raw_Data!E$2:E$5002),Raw_Data!E1537)</f>
        <v>21429.55</v>
      </c>
      <c r="F1537" s="15" t="str">
        <f>IF(ISBLANK(Raw_Data!F1537),AVERAGE(Raw_Data!F$2:F$5002),Raw_Data!F1537)</f>
        <v>12551.42</v>
      </c>
      <c r="G1537" s="14" t="str">
        <f>IF(ISBLANK(Raw_Data!G1537),AVERAGE(Raw_Data!G$2:G$5002),Raw_Data!G1537)</f>
        <v>12386.63</v>
      </c>
      <c r="H1537" s="15" t="str">
        <f t="shared" si="1"/>
        <v>99670.00</v>
      </c>
      <c r="I1537" s="14" t="str">
        <f t="shared" si="2"/>
        <v>87283.00</v>
      </c>
      <c r="J1537" s="16" t="str">
        <f>TEXT(Raw_Data!J1537,"MMM-YYY")</f>
        <v>Jul-2025</v>
      </c>
      <c r="K1537" s="13" t="str">
        <f>Raw_Data!K1537</f>
        <v>21</v>
      </c>
      <c r="L1537" s="17" t="str">
        <f>Raw_Data!L1537</f>
        <v>Bangalore-South</v>
      </c>
      <c r="M1537" s="13" t="str">
        <f t="shared" si="3"/>
        <v>OK</v>
      </c>
      <c r="N1537" s="18" t="str">
        <f t="shared" si="4"/>
        <v>VALID</v>
      </c>
    </row>
    <row r="1538" ht="15.75" customHeight="1">
      <c r="A1538" s="13" t="str">
        <f>Raw_Data!A1538</f>
        <v>EMP1613</v>
      </c>
      <c r="B1538" s="13" t="str">
        <f>TRIM(CLEAN(Raw_Data!B1538))</f>
        <v>Sales</v>
      </c>
      <c r="C1538" s="18" t="s">
        <v>54</v>
      </c>
      <c r="D1538" s="14" t="str">
        <f>IF(ISBLANK(Raw_Data!D1538),AVERAGE(Raw_Data!D$2:D$5002),Raw_Data!D1538)</f>
        <v>65700.34</v>
      </c>
      <c r="E1538" s="15" t="str">
        <f>IF(ISBLANK(Raw_Data!E1538),AVERAGE(Raw_Data!E$2:E$5002),Raw_Data!E1538)</f>
        <v>21434.16</v>
      </c>
      <c r="F1538" s="15" t="str">
        <f>IF(ISBLANK(Raw_Data!F1538),AVERAGE(Raw_Data!F$2:F$5002),Raw_Data!F1538)</f>
        <v>12559.10</v>
      </c>
      <c r="G1538" s="14" t="str">
        <f>IF(ISBLANK(Raw_Data!G1538),AVERAGE(Raw_Data!G$2:G$5002),Raw_Data!G1538)</f>
        <v>12390.03</v>
      </c>
      <c r="H1538" s="15" t="str">
        <f t="shared" si="1"/>
        <v>99694.00</v>
      </c>
      <c r="I1538" s="14" t="str">
        <f t="shared" si="2"/>
        <v>87304.00</v>
      </c>
      <c r="J1538" s="16" t="str">
        <f>TEXT(Raw_Data!J1538,"MMM-YYY")</f>
        <v>Nov-2025</v>
      </c>
      <c r="K1538" s="13" t="str">
        <f>Raw_Data!K1538</f>
        <v>9</v>
      </c>
      <c r="L1538" s="17" t="str">
        <f>Raw_Data!L1538</f>
        <v>Chennai-South</v>
      </c>
      <c r="M1538" s="13" t="str">
        <f t="shared" si="3"/>
        <v>OK</v>
      </c>
      <c r="N1538" s="18" t="str">
        <f t="shared" si="4"/>
        <v>VALID</v>
      </c>
    </row>
    <row r="1539" ht="15.75" customHeight="1">
      <c r="A1539" s="13" t="str">
        <f>Raw_Data!A1539</f>
        <v>EMP1614</v>
      </c>
      <c r="B1539" s="13" t="str">
        <f>TRIM(CLEAN(Raw_Data!B1539))</f>
        <v>Marketing</v>
      </c>
      <c r="C1539" s="18" t="s">
        <v>14</v>
      </c>
      <c r="D1539" s="14" t="str">
        <f>IF(ISBLANK(Raw_Data!D1539),AVERAGE(Raw_Data!D$2:D$5002),Raw_Data!D1539)</f>
        <v>65711.22</v>
      </c>
      <c r="E1539" s="15" t="str">
        <f>IF(ISBLANK(Raw_Data!E1539),AVERAGE(Raw_Data!E$2:E$5002),Raw_Data!E1539)</f>
        <v>21438.78</v>
      </c>
      <c r="F1539" s="15" t="str">
        <f>IF(ISBLANK(Raw_Data!F1539),AVERAGE(Raw_Data!F$2:F$5002),Raw_Data!F1539)</f>
        <v>12566.78</v>
      </c>
      <c r="G1539" s="14" t="str">
        <f>IF(ISBLANK(Raw_Data!G1539),AVERAGE(Raw_Data!G$2:G$5002),Raw_Data!G1539)</f>
        <v>12393.43</v>
      </c>
      <c r="H1539" s="15" t="str">
        <f t="shared" si="1"/>
        <v>99717.00</v>
      </c>
      <c r="I1539" s="14" t="str">
        <f t="shared" si="2"/>
        <v>87324.00</v>
      </c>
      <c r="J1539" s="16" t="str">
        <f>TEXT(Raw_Data!J1539,"MMM-YYY")</f>
        <v>Mar-2025</v>
      </c>
      <c r="K1539" s="13" t="str">
        <f>Raw_Data!K1539</f>
        <v>17</v>
      </c>
      <c r="L1539" s="17" t="str">
        <f>Raw_Data!L1539</f>
        <v>Kolkata-East</v>
      </c>
      <c r="M1539" s="13" t="str">
        <f t="shared" si="3"/>
        <v>OK</v>
      </c>
      <c r="N1539" s="18" t="str">
        <f t="shared" si="4"/>
        <v>VALID</v>
      </c>
    </row>
    <row r="1540" ht="15.75" customHeight="1">
      <c r="A1540" s="13" t="str">
        <f>Raw_Data!A1540</f>
        <v>EMP1615</v>
      </c>
      <c r="B1540" s="13" t="str">
        <f>TRIM(CLEAN(Raw_Data!B1540))</f>
        <v>Customer Support</v>
      </c>
      <c r="C1540" s="18" t="s">
        <v>33</v>
      </c>
      <c r="D1540" s="14" t="str">
        <f>IF(ISBLANK(Raw_Data!D1540),AVERAGE(Raw_Data!D$2:D$5002),Raw_Data!D1540)</f>
        <v>65722.11</v>
      </c>
      <c r="E1540" s="15" t="str">
        <f>IF(ISBLANK(Raw_Data!E1540),AVERAGE(Raw_Data!E$2:E$5002),Raw_Data!E1540)</f>
        <v>21443.39</v>
      </c>
      <c r="F1540" s="15" t="str">
        <f>IF(ISBLANK(Raw_Data!F1540),AVERAGE(Raw_Data!F$2:F$5002),Raw_Data!F1540)</f>
        <v>12574.46</v>
      </c>
      <c r="G1540" s="14" t="str">
        <f>IF(ISBLANK(Raw_Data!G1540),AVERAGE(Raw_Data!G$2:G$5002),Raw_Data!G1540)</f>
        <v>12396.82</v>
      </c>
      <c r="H1540" s="15" t="str">
        <f t="shared" si="1"/>
        <v>99740.00</v>
      </c>
      <c r="I1540" s="14" t="str">
        <f t="shared" si="2"/>
        <v>87343.00</v>
      </c>
      <c r="J1540" s="16" t="str">
        <f>TEXT(Raw_Data!J1540,"MMM-YYY")</f>
        <v>Aug-2025</v>
      </c>
      <c r="K1540" s="13" t="str">
        <f>Raw_Data!K1540</f>
        <v>9</v>
      </c>
      <c r="L1540" s="17" t="str">
        <f>Raw_Data!L1540</f>
        <v>Pune-West</v>
      </c>
      <c r="M1540" s="13" t="str">
        <f t="shared" si="3"/>
        <v>OK</v>
      </c>
      <c r="N1540" s="18" t="str">
        <f t="shared" si="4"/>
        <v>VALID</v>
      </c>
    </row>
    <row r="1541" ht="15.75" customHeight="1">
      <c r="A1541" s="13" t="str">
        <f>Raw_Data!A1541</f>
        <v>EMP1616</v>
      </c>
      <c r="B1541" s="13" t="str">
        <f>TRIM(CLEAN(Raw_Data!B1541))</f>
        <v>Sales</v>
      </c>
      <c r="C1541" s="18" t="s">
        <v>30</v>
      </c>
      <c r="D1541" s="14" t="str">
        <f>IF(ISBLANK(Raw_Data!D1541),AVERAGE(Raw_Data!D$2:D$5002),Raw_Data!D1541)</f>
        <v>71831.17</v>
      </c>
      <c r="E1541" s="15" t="str">
        <f>IF(ISBLANK(Raw_Data!E1541),AVERAGE(Raw_Data!E$2:E$5002),Raw_Data!E1541)</f>
        <v>21448.01</v>
      </c>
      <c r="F1541" s="15" t="str">
        <f>IF(ISBLANK(Raw_Data!F1541),AVERAGE(Raw_Data!F$2:F$5002),Raw_Data!F1541)</f>
        <v>12582.14</v>
      </c>
      <c r="G1541" s="14" t="str">
        <f>IF(ISBLANK(Raw_Data!G1541),AVERAGE(Raw_Data!G$2:G$5002),Raw_Data!G1541)</f>
        <v>12400.22</v>
      </c>
      <c r="H1541" s="15" t="str">
        <f t="shared" si="1"/>
        <v>105861.00</v>
      </c>
      <c r="I1541" s="14" t="str">
        <f t="shared" si="2"/>
        <v>93461.00</v>
      </c>
      <c r="J1541" s="16" t="str">
        <f>TEXT(Raw_Data!J1541,"MMM-YYY")</f>
        <v>Apr-2025</v>
      </c>
      <c r="K1541" s="13" t="str">
        <f>Raw_Data!K1541</f>
        <v>12</v>
      </c>
      <c r="L1541" s="17" t="str">
        <f>Raw_Data!L1541</f>
        <v>Hyderabad-South</v>
      </c>
      <c r="M1541" s="13" t="str">
        <f t="shared" si="3"/>
        <v>OK</v>
      </c>
      <c r="N1541" s="18" t="str">
        <f t="shared" si="4"/>
        <v>VALID</v>
      </c>
    </row>
    <row r="1542" ht="15.75" customHeight="1">
      <c r="A1542" s="13" t="str">
        <f>Raw_Data!A1542</f>
        <v>EMP1617</v>
      </c>
      <c r="B1542" s="13" t="str">
        <f>TRIM(CLEAN(Raw_Data!B1542))</f>
        <v>Sales</v>
      </c>
      <c r="C1542" s="18" t="s">
        <v>18</v>
      </c>
      <c r="D1542" s="14" t="str">
        <f>IF(ISBLANK(Raw_Data!D1542),AVERAGE(Raw_Data!D$2:D$5002),Raw_Data!D1542)</f>
        <v>65743.87</v>
      </c>
      <c r="E1542" s="15" t="str">
        <f>IF(ISBLANK(Raw_Data!E1542),AVERAGE(Raw_Data!E$2:E$5002),Raw_Data!E1542)</f>
        <v>21452.62</v>
      </c>
      <c r="F1542" s="15" t="str">
        <f>IF(ISBLANK(Raw_Data!F1542),AVERAGE(Raw_Data!F$2:F$5002),Raw_Data!F1542)</f>
        <v>12589.82</v>
      </c>
      <c r="G1542" s="14" t="str">
        <f>IF(ISBLANK(Raw_Data!G1542),AVERAGE(Raw_Data!G$2:G$5002),Raw_Data!G1542)</f>
        <v>12403.62</v>
      </c>
      <c r="H1542" s="15" t="str">
        <f t="shared" si="1"/>
        <v>99786.00</v>
      </c>
      <c r="I1542" s="14" t="str">
        <f t="shared" si="2"/>
        <v>87382.00</v>
      </c>
      <c r="J1542" s="16" t="str">
        <f>TEXT(Raw_Data!J1542,"MMM-YYY")</f>
        <v>Feb-2025</v>
      </c>
      <c r="K1542" s="13" t="str">
        <f>Raw_Data!K1542</f>
        <v>2</v>
      </c>
      <c r="L1542" s="17" t="str">
        <f>Raw_Data!L1542</f>
        <v>Chandigarh-North</v>
      </c>
      <c r="M1542" s="13" t="str">
        <f t="shared" si="3"/>
        <v>OK</v>
      </c>
      <c r="N1542" s="18" t="str">
        <f t="shared" si="4"/>
        <v>VALID</v>
      </c>
    </row>
    <row r="1543" ht="15.75" customHeight="1">
      <c r="A1543" s="13" t="str">
        <f>Raw_Data!A1543</f>
        <v>EMP1618</v>
      </c>
      <c r="B1543" s="13" t="str">
        <f>TRIM(CLEAN(Raw_Data!B1543))</f>
        <v>Marketing</v>
      </c>
      <c r="C1543" s="18" t="s">
        <v>33</v>
      </c>
      <c r="D1543" s="14" t="str">
        <f>IF(ISBLANK(Raw_Data!D1543),AVERAGE(Raw_Data!D$2:D$5002),Raw_Data!D1543)</f>
        <v>65754.75</v>
      </c>
      <c r="E1543" s="15" t="str">
        <f>IF(ISBLANK(Raw_Data!E1543),AVERAGE(Raw_Data!E$2:E$5002),Raw_Data!E1543)</f>
        <v>21457.24</v>
      </c>
      <c r="F1543" s="15" t="str">
        <f>IF(ISBLANK(Raw_Data!F1543),AVERAGE(Raw_Data!F$2:F$5002),Raw_Data!F1543)</f>
        <v>12597.50</v>
      </c>
      <c r="G1543" s="14" t="str">
        <f>IF(ISBLANK(Raw_Data!G1543),AVERAGE(Raw_Data!G$2:G$5002),Raw_Data!G1543)</f>
        <v>12407.02</v>
      </c>
      <c r="H1543" s="15" t="str">
        <f t="shared" si="1"/>
        <v>99809.00</v>
      </c>
      <c r="I1543" s="14" t="str">
        <f t="shared" si="2"/>
        <v>87402.00</v>
      </c>
      <c r="J1543" s="16" t="str">
        <f>TEXT(Raw_Data!J1543,"MMM-YYY")</f>
        <v>Jan-2025</v>
      </c>
      <c r="K1543" s="13" t="str">
        <f>Raw_Data!K1543</f>
        <v>6</v>
      </c>
      <c r="L1543" s="17" t="str">
        <f>Raw_Data!L1543</f>
        <v>Ahmedabad-West</v>
      </c>
      <c r="M1543" s="13" t="str">
        <f t="shared" si="3"/>
        <v>OK</v>
      </c>
      <c r="N1543" s="18" t="str">
        <f t="shared" si="4"/>
        <v>VALID</v>
      </c>
    </row>
    <row r="1544" ht="15.75" customHeight="1">
      <c r="A1544" s="13" t="str">
        <f>Raw_Data!A1544</f>
        <v>EMP1619</v>
      </c>
      <c r="B1544" s="13" t="str">
        <f>TRIM(CLEAN(Raw_Data!B1544))</f>
        <v>HR</v>
      </c>
      <c r="C1544" s="18" t="s">
        <v>26</v>
      </c>
      <c r="D1544" s="14" t="str">
        <f>IF(ISBLANK(Raw_Data!D1544),AVERAGE(Raw_Data!D$2:D$5002),Raw_Data!D1544)</f>
        <v>65765.64</v>
      </c>
      <c r="E1544" s="15" t="str">
        <f>IF(ISBLANK(Raw_Data!E1544),AVERAGE(Raw_Data!E$2:E$5002),Raw_Data!E1544)</f>
        <v>21461.85</v>
      </c>
      <c r="F1544" s="15" t="str">
        <f>IF(ISBLANK(Raw_Data!F1544),AVERAGE(Raw_Data!F$2:F$5002),Raw_Data!F1544)</f>
        <v>12605.18</v>
      </c>
      <c r="G1544" s="14" t="str">
        <f>IF(ISBLANK(Raw_Data!G1544),AVERAGE(Raw_Data!G$2:G$5002),Raw_Data!G1544)</f>
        <v>12410.41</v>
      </c>
      <c r="H1544" s="15" t="str">
        <f t="shared" si="1"/>
        <v>99833.00</v>
      </c>
      <c r="I1544" s="14" t="str">
        <f t="shared" si="2"/>
        <v>87423.00</v>
      </c>
      <c r="J1544" s="16" t="str">
        <f>TEXT(Raw_Data!J1544,"MMM-YYY")</f>
        <v>Nov-2025</v>
      </c>
      <c r="K1544" s="13" t="str">
        <f>Raw_Data!K1544</f>
        <v>11</v>
      </c>
      <c r="L1544" s="17" t="str">
        <f>Raw_Data!L1544</f>
        <v>Jaipur-North</v>
      </c>
      <c r="M1544" s="13" t="str">
        <f t="shared" si="3"/>
        <v>OK</v>
      </c>
      <c r="N1544" s="18" t="str">
        <f t="shared" si="4"/>
        <v>VALID</v>
      </c>
    </row>
    <row r="1545" ht="15.75" customHeight="1">
      <c r="A1545" s="13" t="str">
        <f>Raw_Data!A1545</f>
        <v>EMP1620</v>
      </c>
      <c r="B1545" s="13" t="str">
        <f>TRIM(CLEAN(Raw_Data!B1545))</f>
        <v>Finance</v>
      </c>
      <c r="C1545" s="18" t="s">
        <v>30</v>
      </c>
      <c r="D1545" s="14" t="str">
        <f>IF(ISBLANK(Raw_Data!D1545),AVERAGE(Raw_Data!D$2:D$5002),Raw_Data!D1545)</f>
        <v>65776.52</v>
      </c>
      <c r="E1545" s="15" t="str">
        <f>IF(ISBLANK(Raw_Data!E1545),AVERAGE(Raw_Data!E$2:E$5002),Raw_Data!E1545)</f>
        <v>21466.47</v>
      </c>
      <c r="F1545" s="15" t="str">
        <f>IF(ISBLANK(Raw_Data!F1545),AVERAGE(Raw_Data!F$2:F$5002),Raw_Data!F1545)</f>
        <v>12612.86</v>
      </c>
      <c r="G1545" s="14" t="str">
        <f>IF(ISBLANK(Raw_Data!G1545),AVERAGE(Raw_Data!G$2:G$5002),Raw_Data!G1545)</f>
        <v>12413.81</v>
      </c>
      <c r="H1545" s="15" t="str">
        <f t="shared" si="1"/>
        <v>99856.00</v>
      </c>
      <c r="I1545" s="14" t="str">
        <f t="shared" si="2"/>
        <v>87442.00</v>
      </c>
      <c r="J1545" s="16" t="str">
        <f>TEXT(Raw_Data!J1545,"MMM-YYY")</f>
        <v>Apr-2025</v>
      </c>
      <c r="K1545" s="13" t="str">
        <f>Raw_Data!K1545</f>
        <v>19</v>
      </c>
      <c r="L1545" s="17" t="str">
        <f>Raw_Data!L1545</f>
        <v>Mumbai-HO</v>
      </c>
      <c r="M1545" s="13" t="str">
        <f t="shared" si="3"/>
        <v>OK</v>
      </c>
      <c r="N1545" s="18" t="str">
        <f t="shared" si="4"/>
        <v>VALID</v>
      </c>
    </row>
    <row r="1546" ht="15.75" customHeight="1">
      <c r="A1546" s="13" t="str">
        <f>Raw_Data!A1546</f>
        <v>EMP1621</v>
      </c>
      <c r="B1546" s="13" t="s">
        <v>36</v>
      </c>
      <c r="C1546" s="18" t="s">
        <v>26</v>
      </c>
      <c r="D1546" s="14" t="str">
        <f>IF(ISBLANK(Raw_Data!D1546),AVERAGE(Raw_Data!D$2:D$5002),Raw_Data!D1546)</f>
        <v>65787.40</v>
      </c>
      <c r="E1546" s="15" t="str">
        <f>IF(ISBLANK(Raw_Data!E1546),AVERAGE(Raw_Data!E$2:E$5002),Raw_Data!E1546)</f>
        <v>21471.08</v>
      </c>
      <c r="F1546" s="15" t="str">
        <f>IF(ISBLANK(Raw_Data!F1546),AVERAGE(Raw_Data!F$2:F$5002),Raw_Data!F1546)</f>
        <v>12620.54</v>
      </c>
      <c r="G1546" s="14" t="str">
        <f>IF(ISBLANK(Raw_Data!G1546),AVERAGE(Raw_Data!G$2:G$5002),Raw_Data!G1546)</f>
        <v>12417.21</v>
      </c>
      <c r="H1546" s="15" t="str">
        <f t="shared" si="1"/>
        <v>99879.00</v>
      </c>
      <c r="I1546" s="14" t="str">
        <f t="shared" si="2"/>
        <v>87462.00</v>
      </c>
      <c r="J1546" s="16" t="str">
        <f>TEXT(Raw_Data!J1546,"MMM-YYY")</f>
        <v>May-2025</v>
      </c>
      <c r="K1546" s="13" t="str">
        <f>Raw_Data!K1546</f>
        <v>2</v>
      </c>
      <c r="L1546" s="17" t="str">
        <f>Raw_Data!L1546</f>
        <v>Delhi-North</v>
      </c>
      <c r="M1546" s="13" t="str">
        <f t="shared" si="3"/>
        <v>OK</v>
      </c>
      <c r="N1546" s="18" t="str">
        <f t="shared" si="4"/>
        <v>VALID</v>
      </c>
    </row>
    <row r="1547" ht="15.75" customHeight="1">
      <c r="A1547" s="13" t="str">
        <f>Raw_Data!A1547</f>
        <v>EMP1622</v>
      </c>
      <c r="B1547" s="13" t="str">
        <f>TRIM(CLEAN(Raw_Data!B1547))</f>
        <v>Operations</v>
      </c>
      <c r="C1547" s="18" t="s">
        <v>30</v>
      </c>
      <c r="D1547" s="14" t="str">
        <f>IF(ISBLANK(Raw_Data!D1547),AVERAGE(Raw_Data!D$2:D$5002),Raw_Data!D1547)</f>
        <v>71831.17</v>
      </c>
      <c r="E1547" s="15" t="str">
        <f>IF(ISBLANK(Raw_Data!E1547),AVERAGE(Raw_Data!E$2:E$5002),Raw_Data!E1547)</f>
        <v>21475.70</v>
      </c>
      <c r="F1547" s="15" t="str">
        <f>IF(ISBLANK(Raw_Data!F1547),AVERAGE(Raw_Data!F$2:F$5002),Raw_Data!F1547)</f>
        <v>12628.22</v>
      </c>
      <c r="G1547" s="14" t="str">
        <f>IF(ISBLANK(Raw_Data!G1547),AVERAGE(Raw_Data!G$2:G$5002),Raw_Data!G1547)</f>
        <v>12420.61</v>
      </c>
      <c r="H1547" s="15" t="str">
        <f t="shared" si="1"/>
        <v>105935.00</v>
      </c>
      <c r="I1547" s="14" t="str">
        <f t="shared" si="2"/>
        <v>93514.00</v>
      </c>
      <c r="J1547" s="16" t="str">
        <f>TEXT(Raw_Data!J1547,"MMM-YYY")</f>
        <v>Nov-2025</v>
      </c>
      <c r="K1547" s="13" t="str">
        <f>Raw_Data!K1547</f>
        <v>20</v>
      </c>
      <c r="L1547" s="17" t="str">
        <f>Raw_Data!L1547</f>
        <v>Bangalore-South</v>
      </c>
      <c r="M1547" s="13" t="str">
        <f t="shared" si="3"/>
        <v>OK</v>
      </c>
      <c r="N1547" s="18" t="str">
        <f t="shared" si="4"/>
        <v>VALID</v>
      </c>
    </row>
    <row r="1548" ht="15.75" customHeight="1">
      <c r="A1548" s="13" t="str">
        <f>Raw_Data!A1548</f>
        <v>EMP1623</v>
      </c>
      <c r="B1548" s="13" t="str">
        <f>TRIM(CLEAN(Raw_Data!B1548))</f>
        <v>Finance</v>
      </c>
      <c r="C1548" s="18" t="s">
        <v>26</v>
      </c>
      <c r="D1548" s="14" t="str">
        <f>IF(ISBLANK(Raw_Data!D1548),AVERAGE(Raw_Data!D$2:D$5002),Raw_Data!D1548)</f>
        <v>65809.17</v>
      </c>
      <c r="E1548" s="15" t="str">
        <f>IF(ISBLANK(Raw_Data!E1548),AVERAGE(Raw_Data!E$2:E$5002),Raw_Data!E1548)</f>
        <v>21480.31</v>
      </c>
      <c r="F1548" s="15" t="str">
        <f>IF(ISBLANK(Raw_Data!F1548),AVERAGE(Raw_Data!F$2:F$5002),Raw_Data!F1548)</f>
        <v>12635.90</v>
      </c>
      <c r="G1548" s="14" t="str">
        <f>IF(ISBLANK(Raw_Data!G1548),AVERAGE(Raw_Data!G$2:G$5002),Raw_Data!G1548)</f>
        <v>12424.00</v>
      </c>
      <c r="H1548" s="15" t="str">
        <f t="shared" si="1"/>
        <v>99925.00</v>
      </c>
      <c r="I1548" s="14" t="str">
        <f t="shared" si="2"/>
        <v>87501.00</v>
      </c>
      <c r="J1548" s="16" t="str">
        <f>TEXT(Raw_Data!J1548,"MMM-YYY")</f>
        <v>Sep-2025</v>
      </c>
      <c r="K1548" s="13" t="str">
        <f>Raw_Data!K1548</f>
        <v>4</v>
      </c>
      <c r="L1548" s="17" t="str">
        <f>Raw_Data!L1548</f>
        <v>Chennai-South</v>
      </c>
      <c r="M1548" s="13" t="str">
        <f t="shared" si="3"/>
        <v>OK</v>
      </c>
      <c r="N1548" s="18" t="str">
        <f t="shared" si="4"/>
        <v>VALID</v>
      </c>
    </row>
    <row r="1549" ht="15.75" customHeight="1">
      <c r="A1549" s="13" t="str">
        <f>Raw_Data!A1549</f>
        <v>EMP1624</v>
      </c>
      <c r="B1549" s="13" t="str">
        <f>TRIM(CLEAN(Raw_Data!B1549))</f>
        <v>Customer Support</v>
      </c>
      <c r="C1549" s="18" t="s">
        <v>33</v>
      </c>
      <c r="D1549" s="14" t="str">
        <f>IF(ISBLANK(Raw_Data!D1549),AVERAGE(Raw_Data!D$2:D$5002),Raw_Data!D1549)</f>
        <v>65820.05</v>
      </c>
      <c r="E1549" s="15" t="str">
        <f>IF(ISBLANK(Raw_Data!E1549),AVERAGE(Raw_Data!E$2:E$5002),Raw_Data!E1549)</f>
        <v>21484.93</v>
      </c>
      <c r="F1549" s="15" t="str">
        <f>IF(ISBLANK(Raw_Data!F1549),AVERAGE(Raw_Data!F$2:F$5002),Raw_Data!F1549)</f>
        <v>12643.58</v>
      </c>
      <c r="G1549" s="14" t="str">
        <f>IF(ISBLANK(Raw_Data!G1549),AVERAGE(Raw_Data!G$2:G$5002),Raw_Data!G1549)</f>
        <v>12427.40</v>
      </c>
      <c r="H1549" s="15" t="str">
        <f t="shared" si="1"/>
        <v>99949.00</v>
      </c>
      <c r="I1549" s="14" t="str">
        <f t="shared" si="2"/>
        <v>87522.00</v>
      </c>
      <c r="J1549" s="16" t="str">
        <f>TEXT(Raw_Data!J1549,"MMM-YYY")</f>
        <v>Dec-2025</v>
      </c>
      <c r="K1549" s="13" t="str">
        <f>Raw_Data!K1549</f>
        <v>6</v>
      </c>
      <c r="L1549" s="17" t="str">
        <f>Raw_Data!L1549</f>
        <v>Kolkata-East</v>
      </c>
      <c r="M1549" s="13" t="str">
        <f t="shared" si="3"/>
        <v>OK</v>
      </c>
      <c r="N1549" s="18" t="str">
        <f t="shared" si="4"/>
        <v>VALID</v>
      </c>
    </row>
    <row r="1550" ht="15.75" customHeight="1">
      <c r="A1550" s="13" t="str">
        <f>Raw_Data!A1550</f>
        <v>EMP1625</v>
      </c>
      <c r="B1550" s="13" t="str">
        <f>TRIM(CLEAN(Raw_Data!B1550))</f>
        <v>Finance</v>
      </c>
      <c r="C1550" s="18" t="s">
        <v>54</v>
      </c>
      <c r="D1550" s="14" t="str">
        <f>IF(ISBLANK(Raw_Data!D1550),AVERAGE(Raw_Data!D$2:D$5002),Raw_Data!D1550)</f>
        <v>65830.94</v>
      </c>
      <c r="E1550" s="15" t="str">
        <f>IF(ISBLANK(Raw_Data!E1550),AVERAGE(Raw_Data!E$2:E$5002),Raw_Data!E1550)</f>
        <v>21489.54</v>
      </c>
      <c r="F1550" s="15" t="str">
        <f>IF(ISBLANK(Raw_Data!F1550),AVERAGE(Raw_Data!F$2:F$5002),Raw_Data!F1550)</f>
        <v>12651.26</v>
      </c>
      <c r="G1550" s="14" t="str">
        <f>IF(ISBLANK(Raw_Data!G1550),AVERAGE(Raw_Data!G$2:G$5002),Raw_Data!G1550)</f>
        <v>12430.80</v>
      </c>
      <c r="H1550" s="15" t="str">
        <f t="shared" si="1"/>
        <v>99972.00</v>
      </c>
      <c r="I1550" s="14" t="str">
        <f t="shared" si="2"/>
        <v>87541.00</v>
      </c>
      <c r="J1550" s="16" t="str">
        <f>TEXT(Raw_Data!J1550,"MMM-YYY")</f>
        <v>Jun-2025</v>
      </c>
      <c r="K1550" s="13" t="str">
        <f>Raw_Data!K1550</f>
        <v>7</v>
      </c>
      <c r="L1550" s="17" t="str">
        <f>Raw_Data!L1550</f>
        <v>Pune-West</v>
      </c>
      <c r="M1550" s="13" t="str">
        <f t="shared" si="3"/>
        <v>OK</v>
      </c>
      <c r="N1550" s="18" t="str">
        <f t="shared" si="4"/>
        <v>VALID</v>
      </c>
    </row>
    <row r="1551" ht="15.75" customHeight="1">
      <c r="A1551" s="13" t="str">
        <f>Raw_Data!A1551</f>
        <v>EMP1626</v>
      </c>
      <c r="B1551" s="13" t="str">
        <f>TRIM(CLEAN(Raw_Data!B1551))</f>
        <v>Finance</v>
      </c>
      <c r="C1551" s="18" t="s">
        <v>18</v>
      </c>
      <c r="D1551" s="14" t="str">
        <f>IF(ISBLANK(Raw_Data!D1551),AVERAGE(Raw_Data!D$2:D$5002),Raw_Data!D1551)</f>
        <v>65841.82</v>
      </c>
      <c r="E1551" s="15" t="str">
        <f>IF(ISBLANK(Raw_Data!E1551),AVERAGE(Raw_Data!E$2:E$5002),Raw_Data!E1551)</f>
        <v>21494.16</v>
      </c>
      <c r="F1551" s="15" t="str">
        <f>IF(ISBLANK(Raw_Data!F1551),AVERAGE(Raw_Data!F$2:F$5002),Raw_Data!F1551)</f>
        <v>12658.94</v>
      </c>
      <c r="G1551" s="14" t="str">
        <f>IF(ISBLANK(Raw_Data!G1551),AVERAGE(Raw_Data!G$2:G$5002),Raw_Data!G1551)</f>
        <v>12434.20</v>
      </c>
      <c r="H1551" s="15" t="str">
        <f t="shared" si="1"/>
        <v>99995.00</v>
      </c>
      <c r="I1551" s="14" t="str">
        <f t="shared" si="2"/>
        <v>87561.00</v>
      </c>
      <c r="J1551" s="16" t="str">
        <f>TEXT(Raw_Data!J1551,"MMM-YYY")</f>
        <v>Jul-2025</v>
      </c>
      <c r="K1551" s="13" t="str">
        <f>Raw_Data!K1551</f>
        <v>22</v>
      </c>
      <c r="L1551" s="17" t="str">
        <f>Raw_Data!L1551</f>
        <v>Hyderabad-South</v>
      </c>
      <c r="M1551" s="13" t="str">
        <f t="shared" si="3"/>
        <v>OK</v>
      </c>
      <c r="N1551" s="18" t="str">
        <f t="shared" si="4"/>
        <v>VALID</v>
      </c>
    </row>
    <row r="1552" ht="15.75" customHeight="1">
      <c r="A1552" s="13" t="str">
        <f>Raw_Data!A1552</f>
        <v>EMP1627</v>
      </c>
      <c r="B1552" s="13" t="str">
        <f>TRIM(CLEAN(Raw_Data!B1552))</f>
        <v>Sales</v>
      </c>
      <c r="C1552" s="18" t="s">
        <v>18</v>
      </c>
      <c r="D1552" s="14" t="str">
        <f>IF(ISBLANK(Raw_Data!D1552),AVERAGE(Raw_Data!D$2:D$5002),Raw_Data!D1552)</f>
        <v>65852.70</v>
      </c>
      <c r="E1552" s="15" t="str">
        <f>IF(ISBLANK(Raw_Data!E1552),AVERAGE(Raw_Data!E$2:E$5002),Raw_Data!E1552)</f>
        <v>21498.77</v>
      </c>
      <c r="F1552" s="15" t="str">
        <f>IF(ISBLANK(Raw_Data!F1552),AVERAGE(Raw_Data!F$2:F$5002),Raw_Data!F1552)</f>
        <v>12666.62</v>
      </c>
      <c r="G1552" s="14" t="str">
        <f>IF(ISBLANK(Raw_Data!G1552),AVERAGE(Raw_Data!G$2:G$5002),Raw_Data!G1552)</f>
        <v>12437.59</v>
      </c>
      <c r="H1552" s="15" t="str">
        <f t="shared" si="1"/>
        <v>100018.00</v>
      </c>
      <c r="I1552" s="14" t="str">
        <f t="shared" si="2"/>
        <v>87580.00</v>
      </c>
      <c r="J1552" s="16" t="str">
        <f>TEXT(Raw_Data!J1552,"MMM-YYY")</f>
        <v>Apr-2025</v>
      </c>
      <c r="K1552" s="13" t="str">
        <f>Raw_Data!K1552</f>
        <v>25</v>
      </c>
      <c r="L1552" s="17" t="str">
        <f>Raw_Data!L1552</f>
        <v>Chandigarh-North</v>
      </c>
      <c r="M1552" s="13" t="str">
        <f t="shared" si="3"/>
        <v>OK</v>
      </c>
      <c r="N1552" s="18" t="str">
        <f t="shared" si="4"/>
        <v>VALID</v>
      </c>
    </row>
    <row r="1553" ht="15.75" customHeight="1">
      <c r="A1553" s="13" t="str">
        <f>Raw_Data!A1553</f>
        <v>EMP1628</v>
      </c>
      <c r="B1553" s="13" t="str">
        <f>TRIM(CLEAN(Raw_Data!B1553))</f>
        <v>Finance</v>
      </c>
      <c r="C1553" s="18" t="s">
        <v>33</v>
      </c>
      <c r="D1553" s="14" t="str">
        <f>IF(ISBLANK(Raw_Data!D1553),AVERAGE(Raw_Data!D$2:D$5002),Raw_Data!D1553)</f>
        <v>65863.58</v>
      </c>
      <c r="E1553" s="15" t="str">
        <f>IF(ISBLANK(Raw_Data!E1553),AVERAGE(Raw_Data!E$2:E$5002),Raw_Data!E1553)</f>
        <v>21503.39</v>
      </c>
      <c r="F1553" s="15" t="str">
        <f>IF(ISBLANK(Raw_Data!F1553),AVERAGE(Raw_Data!F$2:F$5002),Raw_Data!F1553)</f>
        <v>12674.30</v>
      </c>
      <c r="G1553" s="14" t="str">
        <f>IF(ISBLANK(Raw_Data!G1553),AVERAGE(Raw_Data!G$2:G$5002),Raw_Data!G1553)</f>
        <v>12440.99</v>
      </c>
      <c r="H1553" s="15" t="str">
        <f t="shared" si="1"/>
        <v>100041.00</v>
      </c>
      <c r="I1553" s="14" t="str">
        <f t="shared" si="2"/>
        <v>87600.00</v>
      </c>
      <c r="J1553" s="16" t="str">
        <f>TEXT(Raw_Data!J1553,"MMM-YYY")</f>
        <v>Sep-2025</v>
      </c>
      <c r="K1553" s="13" t="str">
        <f>Raw_Data!K1553</f>
        <v>15</v>
      </c>
      <c r="L1553" s="17" t="str">
        <f>Raw_Data!L1553</f>
        <v>Ahmedabad-West</v>
      </c>
      <c r="M1553" s="13" t="str">
        <f t="shared" si="3"/>
        <v>OK</v>
      </c>
      <c r="N1553" s="18" t="str">
        <f t="shared" si="4"/>
        <v>VALID</v>
      </c>
    </row>
    <row r="1554" ht="15.75" customHeight="1">
      <c r="A1554" s="13" t="str">
        <f>Raw_Data!A1554</f>
        <v>EMP1629</v>
      </c>
      <c r="B1554" s="13" t="str">
        <f>TRIM(CLEAN(Raw_Data!B1554))</f>
        <v>IT</v>
      </c>
      <c r="C1554" s="18" t="s">
        <v>26</v>
      </c>
      <c r="D1554" s="14" t="str">
        <f>IF(ISBLANK(Raw_Data!D1554),AVERAGE(Raw_Data!D$2:D$5002),Raw_Data!D1554)</f>
        <v>65874.47</v>
      </c>
      <c r="E1554" s="15" t="str">
        <f>IF(ISBLANK(Raw_Data!E1554),AVERAGE(Raw_Data!E$2:E$5002),Raw_Data!E1554)</f>
        <v>21508.00</v>
      </c>
      <c r="F1554" s="15" t="str">
        <f>IF(ISBLANK(Raw_Data!F1554),AVERAGE(Raw_Data!F$2:F$5002),Raw_Data!F1554)</f>
        <v>12681.98</v>
      </c>
      <c r="G1554" s="14" t="str">
        <f>IF(ISBLANK(Raw_Data!G1554),AVERAGE(Raw_Data!G$2:G$5002),Raw_Data!G1554)</f>
        <v>12444.39</v>
      </c>
      <c r="H1554" s="15" t="str">
        <f t="shared" si="1"/>
        <v>100064.00</v>
      </c>
      <c r="I1554" s="14" t="str">
        <f t="shared" si="2"/>
        <v>87620.00</v>
      </c>
      <c r="J1554" s="16" t="str">
        <f>TEXT(Raw_Data!J1554,"MMM-YYY")</f>
        <v>Apr-2025</v>
      </c>
      <c r="K1554" s="13" t="str">
        <f>Raw_Data!K1554</f>
        <v>18</v>
      </c>
      <c r="L1554" s="17" t="str">
        <f>Raw_Data!L1554</f>
        <v>Jaipur-North</v>
      </c>
      <c r="M1554" s="13" t="str">
        <f t="shared" si="3"/>
        <v>OK</v>
      </c>
      <c r="N1554" s="18" t="str">
        <f t="shared" si="4"/>
        <v>VALID</v>
      </c>
    </row>
    <row r="1555" ht="15.75" customHeight="1">
      <c r="A1555" s="13" t="str">
        <f>Raw_Data!A1555</f>
        <v>EMP1630</v>
      </c>
      <c r="B1555" s="13" t="str">
        <f>TRIM(CLEAN(Raw_Data!B1555))</f>
        <v>Marketing</v>
      </c>
      <c r="C1555" s="18" t="s">
        <v>54</v>
      </c>
      <c r="D1555" s="14" t="str">
        <f>IF(ISBLANK(Raw_Data!D1555),AVERAGE(Raw_Data!D$2:D$5002),Raw_Data!D1555)</f>
        <v>65885.35</v>
      </c>
      <c r="E1555" s="15" t="str">
        <f>IF(ISBLANK(Raw_Data!E1555),AVERAGE(Raw_Data!E$2:E$5002),Raw_Data!E1555)</f>
        <v>21512.62</v>
      </c>
      <c r="F1555" s="15" t="str">
        <f>IF(ISBLANK(Raw_Data!F1555),AVERAGE(Raw_Data!F$2:F$5002),Raw_Data!F1555)</f>
        <v>12689.66</v>
      </c>
      <c r="G1555" s="14" t="str">
        <f>IF(ISBLANK(Raw_Data!G1555),AVERAGE(Raw_Data!G$2:G$5002),Raw_Data!G1555)</f>
        <v>12447.79</v>
      </c>
      <c r="H1555" s="15" t="str">
        <f t="shared" si="1"/>
        <v>100088.00</v>
      </c>
      <c r="I1555" s="14" t="str">
        <f t="shared" si="2"/>
        <v>87640.00</v>
      </c>
      <c r="J1555" s="16" t="str">
        <f>TEXT(Raw_Data!J1555,"MMM-YYY")</f>
        <v>Sep-2025</v>
      </c>
      <c r="K1555" s="13" t="str">
        <f>Raw_Data!K1555</f>
        <v>3</v>
      </c>
      <c r="L1555" s="17" t="str">
        <f>Raw_Data!L1555</f>
        <v>Mumbai-HO</v>
      </c>
      <c r="M1555" s="13" t="str">
        <f t="shared" si="3"/>
        <v>OK</v>
      </c>
      <c r="N1555" s="18" t="str">
        <f t="shared" si="4"/>
        <v>VALID</v>
      </c>
    </row>
    <row r="1556" ht="15.75" customHeight="1">
      <c r="A1556" s="13" t="str">
        <f>Raw_Data!A1556</f>
        <v>EMP1631</v>
      </c>
      <c r="B1556" s="13" t="str">
        <f>TRIM(CLEAN(Raw_Data!B1556))</f>
        <v>IT</v>
      </c>
      <c r="C1556" s="18" t="s">
        <v>18</v>
      </c>
      <c r="D1556" s="14" t="str">
        <f>IF(ISBLANK(Raw_Data!D1556),AVERAGE(Raw_Data!D$2:D$5002),Raw_Data!D1556)</f>
        <v>65896.23</v>
      </c>
      <c r="E1556" s="15" t="str">
        <f>IF(ISBLANK(Raw_Data!E1556),AVERAGE(Raw_Data!E$2:E$5002),Raw_Data!E1556)</f>
        <v>21517.23</v>
      </c>
      <c r="F1556" s="15" t="str">
        <f>IF(ISBLANK(Raw_Data!F1556),AVERAGE(Raw_Data!F$2:F$5002),Raw_Data!F1556)</f>
        <v>12697.34</v>
      </c>
      <c r="G1556" s="14" t="str">
        <f>IF(ISBLANK(Raw_Data!G1556),AVERAGE(Raw_Data!G$2:G$5002),Raw_Data!G1556)</f>
        <v>12451.18</v>
      </c>
      <c r="H1556" s="15" t="str">
        <f t="shared" si="1"/>
        <v>100111.00</v>
      </c>
      <c r="I1556" s="14" t="str">
        <f t="shared" si="2"/>
        <v>87660.00</v>
      </c>
      <c r="J1556" s="16" t="str">
        <f>TEXT(Raw_Data!J1556,"MMM-YYY")</f>
        <v>Oct-2025</v>
      </c>
      <c r="K1556" s="13" t="str">
        <f>Raw_Data!K1556</f>
        <v>12</v>
      </c>
      <c r="L1556" s="17" t="str">
        <f>Raw_Data!L1556</f>
        <v>Delhi-North</v>
      </c>
      <c r="M1556" s="13" t="str">
        <f t="shared" si="3"/>
        <v>OK</v>
      </c>
      <c r="N1556" s="18" t="str">
        <f t="shared" si="4"/>
        <v>VALID</v>
      </c>
    </row>
    <row r="1557" ht="15.75" customHeight="1">
      <c r="A1557" s="13" t="str">
        <f>Raw_Data!A1557</f>
        <v>EMP1632</v>
      </c>
      <c r="B1557" s="13" t="str">
        <f>TRIM(CLEAN(Raw_Data!B1557))</f>
        <v>Sales</v>
      </c>
      <c r="C1557" s="18" t="s">
        <v>26</v>
      </c>
      <c r="D1557" s="14" t="str">
        <f>IF(ISBLANK(Raw_Data!D1557),AVERAGE(Raw_Data!D$2:D$5002),Raw_Data!D1557)</f>
        <v>65907.12</v>
      </c>
      <c r="E1557" s="15" t="str">
        <f>IF(ISBLANK(Raw_Data!E1557),AVERAGE(Raw_Data!E$2:E$5002),Raw_Data!E1557)</f>
        <v>21521.84</v>
      </c>
      <c r="F1557" s="15" t="str">
        <f>IF(ISBLANK(Raw_Data!F1557),AVERAGE(Raw_Data!F$2:F$5002),Raw_Data!F1557)</f>
        <v>12705.02</v>
      </c>
      <c r="G1557" s="14" t="str">
        <f>IF(ISBLANK(Raw_Data!G1557),AVERAGE(Raw_Data!G$2:G$5002),Raw_Data!G1557)</f>
        <v>12454.58</v>
      </c>
      <c r="H1557" s="15" t="str">
        <f t="shared" si="1"/>
        <v>100134.00</v>
      </c>
      <c r="I1557" s="14" t="str">
        <f t="shared" si="2"/>
        <v>87679.00</v>
      </c>
      <c r="J1557" s="16" t="str">
        <f>TEXT(Raw_Data!J1557,"MMM-YYY")</f>
        <v>Nov-2025</v>
      </c>
      <c r="K1557" s="13" t="str">
        <f>Raw_Data!K1557</f>
        <v>10</v>
      </c>
      <c r="L1557" s="17" t="str">
        <f>Raw_Data!L1557</f>
        <v>Bangalore-South</v>
      </c>
      <c r="M1557" s="13" t="str">
        <f t="shared" si="3"/>
        <v>OK</v>
      </c>
      <c r="N1557" s="18" t="str">
        <f t="shared" si="4"/>
        <v>VALID</v>
      </c>
    </row>
    <row r="1558" ht="15.75" customHeight="1">
      <c r="A1558" s="13" t="str">
        <f>Raw_Data!A1558</f>
        <v>EMP1633</v>
      </c>
      <c r="B1558" s="13" t="str">
        <f>TRIM(CLEAN(Raw_Data!B1558))</f>
        <v>HR</v>
      </c>
      <c r="C1558" s="18" t="s">
        <v>26</v>
      </c>
      <c r="D1558" s="14" t="str">
        <f>IF(ISBLANK(Raw_Data!D1558),AVERAGE(Raw_Data!D$2:D$5002),Raw_Data!D1558)</f>
        <v>65918.00</v>
      </c>
      <c r="E1558" s="15" t="str">
        <f>IF(ISBLANK(Raw_Data!E1558),AVERAGE(Raw_Data!E$2:E$5002),Raw_Data!E1558)</f>
        <v>21526.46</v>
      </c>
      <c r="F1558" s="15" t="str">
        <f>IF(ISBLANK(Raw_Data!F1558),AVERAGE(Raw_Data!F$2:F$5002),Raw_Data!F1558)</f>
        <v>12712.70</v>
      </c>
      <c r="G1558" s="14" t="str">
        <f>IF(ISBLANK(Raw_Data!G1558),AVERAGE(Raw_Data!G$2:G$5002),Raw_Data!G1558)</f>
        <v>12457.98</v>
      </c>
      <c r="H1558" s="15" t="str">
        <f t="shared" si="1"/>
        <v>100157.00</v>
      </c>
      <c r="I1558" s="14" t="str">
        <f t="shared" si="2"/>
        <v>87699.00</v>
      </c>
      <c r="J1558" s="16" t="str">
        <f>TEXT(Raw_Data!J1558,"MMM-YYY")</f>
        <v>Jan-2025</v>
      </c>
      <c r="K1558" s="13" t="str">
        <f>Raw_Data!K1558</f>
        <v>1</v>
      </c>
      <c r="L1558" s="17" t="str">
        <f>Raw_Data!L1558</f>
        <v>Chennai-South</v>
      </c>
      <c r="M1558" s="13" t="str">
        <f t="shared" si="3"/>
        <v>OK</v>
      </c>
      <c r="N1558" s="18" t="str">
        <f t="shared" si="4"/>
        <v>VALID</v>
      </c>
    </row>
    <row r="1559" ht="15.75" customHeight="1">
      <c r="A1559" s="13" t="str">
        <f>Raw_Data!A1559</f>
        <v>EMP1634</v>
      </c>
      <c r="B1559" s="13" t="str">
        <f>TRIM(CLEAN(Raw_Data!B1559))</f>
        <v>Operations</v>
      </c>
      <c r="C1559" s="18" t="s">
        <v>30</v>
      </c>
      <c r="D1559" s="14" t="str">
        <f>IF(ISBLANK(Raw_Data!D1559),AVERAGE(Raw_Data!D$2:D$5002),Raw_Data!D1559)</f>
        <v>65928.88</v>
      </c>
      <c r="E1559" s="15" t="str">
        <f>IF(ISBLANK(Raw_Data!E1559),AVERAGE(Raw_Data!E$2:E$5002),Raw_Data!E1559)</f>
        <v>21531.07</v>
      </c>
      <c r="F1559" s="15" t="str">
        <f>IF(ISBLANK(Raw_Data!F1559),AVERAGE(Raw_Data!F$2:F$5002),Raw_Data!F1559)</f>
        <v>12720.38</v>
      </c>
      <c r="G1559" s="14" t="str">
        <f>IF(ISBLANK(Raw_Data!G1559),AVERAGE(Raw_Data!G$2:G$5002),Raw_Data!G1559)</f>
        <v>12461.38</v>
      </c>
      <c r="H1559" s="15" t="str">
        <f t="shared" si="1"/>
        <v>100180.00</v>
      </c>
      <c r="I1559" s="14" t="str">
        <f t="shared" si="2"/>
        <v>87719.00</v>
      </c>
      <c r="J1559" s="16" t="str">
        <f>TEXT(Raw_Data!J1559,"MMM-YYY")</f>
        <v>Aug-2025</v>
      </c>
      <c r="K1559" s="13" t="str">
        <f>Raw_Data!K1559</f>
        <v>20</v>
      </c>
      <c r="L1559" s="17" t="str">
        <f>Raw_Data!L1559</f>
        <v>Kolkata-East</v>
      </c>
      <c r="M1559" s="13" t="str">
        <f t="shared" si="3"/>
        <v>OK</v>
      </c>
      <c r="N1559" s="18" t="str">
        <f t="shared" si="4"/>
        <v>VALID</v>
      </c>
    </row>
    <row r="1560" ht="15.75" customHeight="1">
      <c r="A1560" s="13" t="str">
        <f>Raw_Data!A1560</f>
        <v>EMP1635</v>
      </c>
      <c r="B1560" s="13" t="str">
        <f>TRIM(CLEAN(Raw_Data!B1560))</f>
        <v>Finance</v>
      </c>
      <c r="C1560" s="18" t="s">
        <v>30</v>
      </c>
      <c r="D1560" s="14" t="str">
        <f>IF(ISBLANK(Raw_Data!D1560),AVERAGE(Raw_Data!D$2:D$5002),Raw_Data!D1560)</f>
        <v>65939.77</v>
      </c>
      <c r="E1560" s="15" t="str">
        <f>IF(ISBLANK(Raw_Data!E1560),AVERAGE(Raw_Data!E$2:E$5002),Raw_Data!E1560)</f>
        <v>21535.69</v>
      </c>
      <c r="F1560" s="15" t="str">
        <f>IF(ISBLANK(Raw_Data!F1560),AVERAGE(Raw_Data!F$2:F$5002),Raw_Data!F1560)</f>
        <v>12728.06</v>
      </c>
      <c r="G1560" s="14" t="str">
        <f>IF(ISBLANK(Raw_Data!G1560),AVERAGE(Raw_Data!G$2:G$5002),Raw_Data!G1560)</f>
        <v>12464.77</v>
      </c>
      <c r="H1560" s="15" t="str">
        <f t="shared" si="1"/>
        <v>100204.00</v>
      </c>
      <c r="I1560" s="14" t="str">
        <f t="shared" si="2"/>
        <v>87739.00</v>
      </c>
      <c r="J1560" s="16" t="str">
        <f>TEXT(Raw_Data!J1560,"MMM-YYY")</f>
        <v>Sep-2025</v>
      </c>
      <c r="K1560" s="13" t="str">
        <f>Raw_Data!K1560</f>
        <v>4</v>
      </c>
      <c r="L1560" s="17" t="str">
        <f>Raw_Data!L1560</f>
        <v>Pune-West</v>
      </c>
      <c r="M1560" s="13" t="str">
        <f t="shared" si="3"/>
        <v>OK</v>
      </c>
      <c r="N1560" s="18" t="str">
        <f t="shared" si="4"/>
        <v>VALID</v>
      </c>
    </row>
    <row r="1561" ht="15.75" customHeight="1">
      <c r="A1561" s="13" t="str">
        <f>Raw_Data!A1561</f>
        <v>EMP1636</v>
      </c>
      <c r="B1561" s="13" t="str">
        <f>TRIM(CLEAN(Raw_Data!B1561))</f>
        <v>Finance</v>
      </c>
      <c r="C1561" s="18" t="s">
        <v>18</v>
      </c>
      <c r="D1561" s="14" t="str">
        <f>IF(ISBLANK(Raw_Data!D1561),AVERAGE(Raw_Data!D$2:D$5002),Raw_Data!D1561)</f>
        <v>65950.65</v>
      </c>
      <c r="E1561" s="15" t="str">
        <f>IF(ISBLANK(Raw_Data!E1561),AVERAGE(Raw_Data!E$2:E$5002),Raw_Data!E1561)</f>
        <v>21540.30</v>
      </c>
      <c r="F1561" s="15" t="str">
        <f>IF(ISBLANK(Raw_Data!F1561),AVERAGE(Raw_Data!F$2:F$5002),Raw_Data!F1561)</f>
        <v>12735.74</v>
      </c>
      <c r="G1561" s="14" t="str">
        <f>IF(ISBLANK(Raw_Data!G1561),AVERAGE(Raw_Data!G$2:G$5002),Raw_Data!G1561)</f>
        <v>12468.17</v>
      </c>
      <c r="H1561" s="15" t="str">
        <f t="shared" si="1"/>
        <v>100227.00</v>
      </c>
      <c r="I1561" s="14" t="str">
        <f t="shared" si="2"/>
        <v>87759.00</v>
      </c>
      <c r="J1561" s="16" t="str">
        <f>TEXT(Raw_Data!J1561,"MMM-YYY")</f>
        <v>May-2025</v>
      </c>
      <c r="K1561" s="13" t="str">
        <f>Raw_Data!K1561</f>
        <v>20</v>
      </c>
      <c r="L1561" s="17" t="str">
        <f>Raw_Data!L1561</f>
        <v>Hyderabad-South</v>
      </c>
      <c r="M1561" s="13" t="str">
        <f t="shared" si="3"/>
        <v>OK</v>
      </c>
      <c r="N1561" s="18" t="str">
        <f t="shared" si="4"/>
        <v>VALID</v>
      </c>
    </row>
    <row r="1562" ht="15.75" customHeight="1">
      <c r="A1562" s="13" t="str">
        <f>Raw_Data!A1562</f>
        <v>EMP1637</v>
      </c>
      <c r="B1562" s="13" t="str">
        <f>TRIM(CLEAN(Raw_Data!B1562))</f>
        <v>IT</v>
      </c>
      <c r="C1562" s="18" t="s">
        <v>26</v>
      </c>
      <c r="D1562" s="14" t="str">
        <f>IF(ISBLANK(Raw_Data!D1562),AVERAGE(Raw_Data!D$2:D$5002),Raw_Data!D1562)</f>
        <v>65961.53</v>
      </c>
      <c r="E1562" s="15" t="str">
        <f>IF(ISBLANK(Raw_Data!E1562),AVERAGE(Raw_Data!E$2:E$5002),Raw_Data!E1562)</f>
        <v>21544.92</v>
      </c>
      <c r="F1562" s="15" t="str">
        <f>IF(ISBLANK(Raw_Data!F1562),AVERAGE(Raw_Data!F$2:F$5002),Raw_Data!F1562)</f>
        <v>12743.42</v>
      </c>
      <c r="G1562" s="14" t="str">
        <f>IF(ISBLANK(Raw_Data!G1562),AVERAGE(Raw_Data!G$2:G$5002),Raw_Data!G1562)</f>
        <v>12471.57</v>
      </c>
      <c r="H1562" s="15" t="str">
        <f t="shared" si="1"/>
        <v>100250.00</v>
      </c>
      <c r="I1562" s="14" t="str">
        <f t="shared" si="2"/>
        <v>87778.00</v>
      </c>
      <c r="J1562" s="16" t="str">
        <f>TEXT(Raw_Data!J1562,"MMM-YYY")</f>
        <v>Dec-2025</v>
      </c>
      <c r="K1562" s="13" t="str">
        <f>Raw_Data!K1562</f>
        <v>24</v>
      </c>
      <c r="L1562" s="17" t="str">
        <f>Raw_Data!L1562</f>
        <v>Chandigarh-North</v>
      </c>
      <c r="M1562" s="13" t="str">
        <f t="shared" si="3"/>
        <v>OK</v>
      </c>
      <c r="N1562" s="18" t="str">
        <f t="shared" si="4"/>
        <v>VALID</v>
      </c>
    </row>
    <row r="1563" ht="15.75" customHeight="1">
      <c r="A1563" s="13" t="str">
        <f>Raw_Data!A1563</f>
        <v>EMP1638</v>
      </c>
      <c r="B1563" s="13" t="str">
        <f>TRIM(CLEAN(Raw_Data!B1563))</f>
        <v>IT</v>
      </c>
      <c r="C1563" s="18" t="s">
        <v>33</v>
      </c>
      <c r="D1563" s="14" t="str">
        <f>IF(ISBLANK(Raw_Data!D1563),AVERAGE(Raw_Data!D$2:D$5002),Raw_Data!D1563)</f>
        <v>65972.41</v>
      </c>
      <c r="E1563" s="15" t="str">
        <f>IF(ISBLANK(Raw_Data!E1563),AVERAGE(Raw_Data!E$2:E$5002),Raw_Data!E1563)</f>
        <v>21549.53</v>
      </c>
      <c r="F1563" s="15" t="str">
        <f>IF(ISBLANK(Raw_Data!F1563),AVERAGE(Raw_Data!F$2:F$5002),Raw_Data!F1563)</f>
        <v>12751.10</v>
      </c>
      <c r="G1563" s="14" t="str">
        <f>IF(ISBLANK(Raw_Data!G1563),AVERAGE(Raw_Data!G$2:G$5002),Raw_Data!G1563)</f>
        <v>12474.97</v>
      </c>
      <c r="H1563" s="15" t="str">
        <f t="shared" si="1"/>
        <v>100273.00</v>
      </c>
      <c r="I1563" s="14" t="str">
        <f t="shared" si="2"/>
        <v>87798.00</v>
      </c>
      <c r="J1563" s="16" t="str">
        <f>TEXT(Raw_Data!J1563,"MMM-YYY")</f>
        <v>Jul-2025</v>
      </c>
      <c r="K1563" s="13" t="str">
        <f>Raw_Data!K1563</f>
        <v>2</v>
      </c>
      <c r="L1563" s="17" t="str">
        <f>Raw_Data!L1563</f>
        <v>Ahmedabad-West</v>
      </c>
      <c r="M1563" s="13" t="str">
        <f t="shared" si="3"/>
        <v>OK</v>
      </c>
      <c r="N1563" s="18" t="str">
        <f t="shared" si="4"/>
        <v>VALID</v>
      </c>
    </row>
    <row r="1564" ht="15.75" customHeight="1">
      <c r="A1564" s="13" t="str">
        <f>Raw_Data!A1564</f>
        <v>EMP1639</v>
      </c>
      <c r="B1564" s="13" t="str">
        <f>TRIM(CLEAN(Raw_Data!B1564))</f>
        <v>Marketing</v>
      </c>
      <c r="C1564" s="18" t="s">
        <v>26</v>
      </c>
      <c r="D1564" s="14" t="str">
        <f>IF(ISBLANK(Raw_Data!D1564),AVERAGE(Raw_Data!D$2:D$5002),Raw_Data!D1564)</f>
        <v>65983.30</v>
      </c>
      <c r="E1564" s="15" t="str">
        <f>IF(ISBLANK(Raw_Data!E1564),AVERAGE(Raw_Data!E$2:E$5002),Raw_Data!E1564)</f>
        <v>21554.15</v>
      </c>
      <c r="F1564" s="15" t="str">
        <f>IF(ISBLANK(Raw_Data!F1564),AVERAGE(Raw_Data!F$2:F$5002),Raw_Data!F1564)</f>
        <v>12758.78</v>
      </c>
      <c r="G1564" s="14" t="str">
        <f>IF(ISBLANK(Raw_Data!G1564),AVERAGE(Raw_Data!G$2:G$5002),Raw_Data!G1564)</f>
        <v>12478.36</v>
      </c>
      <c r="H1564" s="15" t="str">
        <f t="shared" si="1"/>
        <v>100296.00</v>
      </c>
      <c r="I1564" s="14" t="str">
        <f t="shared" si="2"/>
        <v>87818.00</v>
      </c>
      <c r="J1564" s="16" t="str">
        <f>TEXT(Raw_Data!J1564,"MMM-YYY")</f>
        <v>Sep-2025</v>
      </c>
      <c r="K1564" s="13" t="str">
        <f>Raw_Data!K1564</f>
        <v>14</v>
      </c>
      <c r="L1564" s="17" t="str">
        <f>Raw_Data!L1564</f>
        <v>Jaipur-North</v>
      </c>
      <c r="M1564" s="13" t="str">
        <f t="shared" si="3"/>
        <v>OK</v>
      </c>
      <c r="N1564" s="18" t="str">
        <f t="shared" si="4"/>
        <v>VALID</v>
      </c>
    </row>
    <row r="1565" ht="15.75" customHeight="1">
      <c r="A1565" s="13" t="str">
        <f>Raw_Data!A1565</f>
        <v>EMP1640</v>
      </c>
      <c r="B1565" s="13" t="str">
        <f>TRIM(CLEAN(Raw_Data!B1565))</f>
        <v>HR</v>
      </c>
      <c r="C1565" s="18" t="s">
        <v>37</v>
      </c>
      <c r="D1565" s="14" t="str">
        <f>IF(ISBLANK(Raw_Data!D1565),AVERAGE(Raw_Data!D$2:D$5002),Raw_Data!D1565)</f>
        <v>65994.18</v>
      </c>
      <c r="E1565" s="15" t="str">
        <f>IF(ISBLANK(Raw_Data!E1565),AVERAGE(Raw_Data!E$2:E$5002),Raw_Data!E1565)</f>
        <v>21558.76</v>
      </c>
      <c r="F1565" s="15" t="str">
        <f>IF(ISBLANK(Raw_Data!F1565),AVERAGE(Raw_Data!F$2:F$5002),Raw_Data!F1565)</f>
        <v>12766.46</v>
      </c>
      <c r="G1565" s="14" t="str">
        <f>IF(ISBLANK(Raw_Data!G1565),AVERAGE(Raw_Data!G$2:G$5002),Raw_Data!G1565)</f>
        <v>12481.76</v>
      </c>
      <c r="H1565" s="15" t="str">
        <f t="shared" si="1"/>
        <v>100319.00</v>
      </c>
      <c r="I1565" s="14" t="str">
        <f t="shared" si="2"/>
        <v>87837.00</v>
      </c>
      <c r="J1565" s="16" t="str">
        <f>TEXT(Raw_Data!J1565,"MMM-YYY")</f>
        <v>Apr-2025</v>
      </c>
      <c r="K1565" s="13" t="str">
        <f>Raw_Data!K1565</f>
        <v>6</v>
      </c>
      <c r="L1565" s="17" t="str">
        <f>Raw_Data!L1565</f>
        <v>Mumbai-HO</v>
      </c>
      <c r="M1565" s="13" t="str">
        <f t="shared" si="3"/>
        <v>OK</v>
      </c>
      <c r="N1565" s="18" t="str">
        <f t="shared" si="4"/>
        <v>VALID</v>
      </c>
    </row>
    <row r="1566" ht="15.75" customHeight="1">
      <c r="A1566" s="13" t="str">
        <f>Raw_Data!A1566</f>
        <v>EMP1641</v>
      </c>
      <c r="B1566" s="13" t="str">
        <f>TRIM(CLEAN(Raw_Data!B1566))</f>
        <v>Operations</v>
      </c>
      <c r="C1566" s="18" t="s">
        <v>37</v>
      </c>
      <c r="D1566" s="14" t="str">
        <f>IF(ISBLANK(Raw_Data!D1566),AVERAGE(Raw_Data!D$2:D$5002),Raw_Data!D1566)</f>
        <v>66005.06</v>
      </c>
      <c r="E1566" s="15" t="str">
        <f>IF(ISBLANK(Raw_Data!E1566),AVERAGE(Raw_Data!E$2:E$5002),Raw_Data!E1566)</f>
        <v>21563.38</v>
      </c>
      <c r="F1566" s="15" t="str">
        <f>IF(ISBLANK(Raw_Data!F1566),AVERAGE(Raw_Data!F$2:F$5002),Raw_Data!F1566)</f>
        <v>12774.14</v>
      </c>
      <c r="G1566" s="14" t="str">
        <f>IF(ISBLANK(Raw_Data!G1566),AVERAGE(Raw_Data!G$2:G$5002),Raw_Data!G1566)</f>
        <v>12485.16</v>
      </c>
      <c r="H1566" s="15" t="str">
        <f t="shared" si="1"/>
        <v>100343.00</v>
      </c>
      <c r="I1566" s="14" t="str">
        <f t="shared" si="2"/>
        <v>87858.00</v>
      </c>
      <c r="J1566" s="16" t="str">
        <f>TEXT(Raw_Data!J1566,"MMM-YYY")</f>
        <v>Nov-2025</v>
      </c>
      <c r="K1566" s="13" t="str">
        <f>Raw_Data!K1566</f>
        <v>19</v>
      </c>
      <c r="L1566" s="17" t="str">
        <f>Raw_Data!L1566</f>
        <v>Delhi-North</v>
      </c>
      <c r="M1566" s="13" t="str">
        <f t="shared" si="3"/>
        <v>OK</v>
      </c>
      <c r="N1566" s="18" t="str">
        <f t="shared" si="4"/>
        <v>VALID</v>
      </c>
    </row>
    <row r="1567" ht="15.75" customHeight="1">
      <c r="A1567" s="13" t="str">
        <f>Raw_Data!A1567</f>
        <v>EMP1642</v>
      </c>
      <c r="B1567" s="13" t="str">
        <f>TRIM(CLEAN(Raw_Data!B1567))</f>
        <v>Marketing</v>
      </c>
      <c r="C1567" s="18" t="s">
        <v>37</v>
      </c>
      <c r="D1567" s="14" t="str">
        <f>IF(ISBLANK(Raw_Data!D1567),AVERAGE(Raw_Data!D$2:D$5002),Raw_Data!D1567)</f>
        <v>66015.95</v>
      </c>
      <c r="E1567" s="15" t="str">
        <f>IF(ISBLANK(Raw_Data!E1567),AVERAGE(Raw_Data!E$2:E$5002),Raw_Data!E1567)</f>
        <v>21567.99</v>
      </c>
      <c r="F1567" s="15" t="str">
        <f>IF(ISBLANK(Raw_Data!F1567),AVERAGE(Raw_Data!F$2:F$5002),Raw_Data!F1567)</f>
        <v>12781.82</v>
      </c>
      <c r="G1567" s="14" t="str">
        <f>IF(ISBLANK(Raw_Data!G1567),AVERAGE(Raw_Data!G$2:G$5002),Raw_Data!G1567)</f>
        <v>12488.56</v>
      </c>
      <c r="H1567" s="15" t="str">
        <f t="shared" si="1"/>
        <v>100366.00</v>
      </c>
      <c r="I1567" s="14" t="str">
        <f t="shared" si="2"/>
        <v>87877.00</v>
      </c>
      <c r="J1567" s="16" t="str">
        <f>TEXT(Raw_Data!J1567,"MMM-YYY")</f>
        <v>Dec-2025</v>
      </c>
      <c r="K1567" s="13" t="str">
        <f>Raw_Data!K1567</f>
        <v>24</v>
      </c>
      <c r="L1567" s="17" t="str">
        <f>Raw_Data!L1567</f>
        <v>Bangalore-South</v>
      </c>
      <c r="M1567" s="13" t="str">
        <f t="shared" si="3"/>
        <v>OK</v>
      </c>
      <c r="N1567" s="18" t="str">
        <f t="shared" si="4"/>
        <v>VALID</v>
      </c>
    </row>
    <row r="1568" ht="15.75" customHeight="1">
      <c r="A1568" s="13" t="str">
        <f>Raw_Data!A1568</f>
        <v>EMP1644</v>
      </c>
      <c r="B1568" s="13" t="str">
        <f>TRIM(CLEAN(Raw_Data!B1568))</f>
        <v>Marketing</v>
      </c>
      <c r="C1568" s="18" t="s">
        <v>54</v>
      </c>
      <c r="D1568" s="14" t="str">
        <f>IF(ISBLANK(Raw_Data!D1568),AVERAGE(Raw_Data!D$2:D$5002),Raw_Data!D1568)</f>
        <v>66037.71</v>
      </c>
      <c r="E1568" s="15" t="str">
        <f>IF(ISBLANK(Raw_Data!E1568),AVERAGE(Raw_Data!E$2:E$5002),Raw_Data!E1568)</f>
        <v>21577.22</v>
      </c>
      <c r="F1568" s="15" t="str">
        <f>IF(ISBLANK(Raw_Data!F1568),AVERAGE(Raw_Data!F$2:F$5002),Raw_Data!F1568)</f>
        <v>12797.18</v>
      </c>
      <c r="G1568" s="14" t="str">
        <f>IF(ISBLANK(Raw_Data!G1568),AVERAGE(Raw_Data!G$2:G$5002),Raw_Data!G1568)</f>
        <v>12495.35</v>
      </c>
      <c r="H1568" s="15" t="str">
        <f t="shared" si="1"/>
        <v>100412.00</v>
      </c>
      <c r="I1568" s="14" t="str">
        <f t="shared" si="2"/>
        <v>87917.00</v>
      </c>
      <c r="J1568" s="16" t="str">
        <f>TEXT(Raw_Data!J1568,"MMM-YYY")</f>
        <v>Jan-2025</v>
      </c>
      <c r="K1568" s="13" t="str">
        <f>Raw_Data!K1568</f>
        <v>24</v>
      </c>
      <c r="L1568" s="17" t="str">
        <f>Raw_Data!L1568</f>
        <v>Kolkata-East</v>
      </c>
      <c r="M1568" s="13" t="str">
        <f t="shared" si="3"/>
        <v>OK</v>
      </c>
      <c r="N1568" s="18" t="str">
        <f t="shared" si="4"/>
        <v>VALID</v>
      </c>
    </row>
    <row r="1569" ht="15.75" customHeight="1">
      <c r="A1569" s="13" t="str">
        <f>Raw_Data!A1569</f>
        <v>EMP1645</v>
      </c>
      <c r="B1569" s="13" t="str">
        <f>TRIM(CLEAN(Raw_Data!B1569))</f>
        <v>Operations</v>
      </c>
      <c r="C1569" s="18" t="s">
        <v>54</v>
      </c>
      <c r="D1569" s="14" t="str">
        <f>IF(ISBLANK(Raw_Data!D1569),AVERAGE(Raw_Data!D$2:D$5002),Raw_Data!D1569)</f>
        <v>66048.59</v>
      </c>
      <c r="E1569" s="15" t="str">
        <f>IF(ISBLANK(Raw_Data!E1569),AVERAGE(Raw_Data!E$2:E$5002),Raw_Data!E1569)</f>
        <v>21581.84</v>
      </c>
      <c r="F1569" s="15" t="str">
        <f>IF(ISBLANK(Raw_Data!F1569),AVERAGE(Raw_Data!F$2:F$5002),Raw_Data!F1569)</f>
        <v>12804.86</v>
      </c>
      <c r="G1569" s="14" t="str">
        <f>IF(ISBLANK(Raw_Data!G1569),AVERAGE(Raw_Data!G$2:G$5002),Raw_Data!G1569)</f>
        <v>12498.75</v>
      </c>
      <c r="H1569" s="15" t="str">
        <f t="shared" si="1"/>
        <v>100435.00</v>
      </c>
      <c r="I1569" s="14" t="str">
        <f t="shared" si="2"/>
        <v>87936.00</v>
      </c>
      <c r="J1569" s="16" t="str">
        <f>TEXT(Raw_Data!J1569,"MMM-YYY")</f>
        <v>Jan-2025</v>
      </c>
      <c r="K1569" s="13" t="str">
        <f>Raw_Data!K1569</f>
        <v>3</v>
      </c>
      <c r="L1569" s="17" t="str">
        <f>Raw_Data!L1569</f>
        <v>Pune-West</v>
      </c>
      <c r="M1569" s="13" t="str">
        <f t="shared" si="3"/>
        <v>OK</v>
      </c>
      <c r="N1569" s="18" t="str">
        <f t="shared" si="4"/>
        <v>VALID</v>
      </c>
    </row>
    <row r="1570" ht="15.75" customHeight="1">
      <c r="A1570" s="13" t="str">
        <f>Raw_Data!A1570</f>
        <v>EMP1646</v>
      </c>
      <c r="B1570" s="13" t="str">
        <f>TRIM(CLEAN(Raw_Data!B1570))</f>
        <v>Operations</v>
      </c>
      <c r="C1570" s="18" t="s">
        <v>14</v>
      </c>
      <c r="D1570" s="14" t="str">
        <f>IF(ISBLANK(Raw_Data!D1570),AVERAGE(Raw_Data!D$2:D$5002),Raw_Data!D1570)</f>
        <v>66059.48</v>
      </c>
      <c r="E1570" s="15" t="str">
        <f>IF(ISBLANK(Raw_Data!E1570),AVERAGE(Raw_Data!E$2:E$5002),Raw_Data!E1570)</f>
        <v>21586.45</v>
      </c>
      <c r="F1570" s="15" t="str">
        <f>IF(ISBLANK(Raw_Data!F1570),AVERAGE(Raw_Data!F$2:F$5002),Raw_Data!F1570)</f>
        <v>12812.54</v>
      </c>
      <c r="G1570" s="14" t="str">
        <f>IF(ISBLANK(Raw_Data!G1570),AVERAGE(Raw_Data!G$2:G$5002),Raw_Data!G1570)</f>
        <v>12502.15</v>
      </c>
      <c r="H1570" s="15" t="str">
        <f t="shared" si="1"/>
        <v>100458.00</v>
      </c>
      <c r="I1570" s="14" t="str">
        <f t="shared" si="2"/>
        <v>87956.00</v>
      </c>
      <c r="J1570" s="16" t="str">
        <f>TEXT(Raw_Data!J1570,"MMM-YYY")</f>
        <v>Dec-2025</v>
      </c>
      <c r="K1570" s="13" t="str">
        <f>Raw_Data!K1570</f>
        <v>15</v>
      </c>
      <c r="L1570" s="17" t="str">
        <f>Raw_Data!L1570</f>
        <v>Hyderabad-South</v>
      </c>
      <c r="M1570" s="13" t="str">
        <f t="shared" si="3"/>
        <v>OK</v>
      </c>
      <c r="N1570" s="18" t="str">
        <f t="shared" si="4"/>
        <v>VALID</v>
      </c>
    </row>
    <row r="1571" ht="15.75" customHeight="1">
      <c r="A1571" s="13" t="str">
        <f>Raw_Data!A1571</f>
        <v>EMP1647</v>
      </c>
      <c r="B1571" s="13" t="str">
        <f>TRIM(CLEAN(Raw_Data!B1571))</f>
        <v>Customer Support</v>
      </c>
      <c r="C1571" s="18" t="s">
        <v>14</v>
      </c>
      <c r="D1571" s="14" t="str">
        <f>IF(ISBLANK(Raw_Data!D1571),AVERAGE(Raw_Data!D$2:D$5002),Raw_Data!D1571)</f>
        <v>66070.36</v>
      </c>
      <c r="E1571" s="15" t="str">
        <f>IF(ISBLANK(Raw_Data!E1571),AVERAGE(Raw_Data!E$2:E$5002),Raw_Data!E1571)</f>
        <v>21591.07</v>
      </c>
      <c r="F1571" s="15" t="str">
        <f>IF(ISBLANK(Raw_Data!F1571),AVERAGE(Raw_Data!F$2:F$5002),Raw_Data!F1571)</f>
        <v>12820.22</v>
      </c>
      <c r="G1571" s="14" t="str">
        <f>IF(ISBLANK(Raw_Data!G1571),AVERAGE(Raw_Data!G$2:G$5002),Raw_Data!G1571)</f>
        <v>12505.54</v>
      </c>
      <c r="H1571" s="15" t="str">
        <f t="shared" si="1"/>
        <v>100482.00</v>
      </c>
      <c r="I1571" s="14" t="str">
        <f t="shared" si="2"/>
        <v>87976.00</v>
      </c>
      <c r="J1571" s="16" t="str">
        <f>TEXT(Raw_Data!J1571,"MMM-YYY")</f>
        <v>Nov-2025</v>
      </c>
      <c r="K1571" s="13" t="str">
        <f>Raw_Data!K1571</f>
        <v>1</v>
      </c>
      <c r="L1571" s="17" t="str">
        <f>Raw_Data!L1571</f>
        <v>Chandigarh-North</v>
      </c>
      <c r="M1571" s="13" t="str">
        <f t="shared" si="3"/>
        <v>OK</v>
      </c>
      <c r="N1571" s="18" t="str">
        <f t="shared" si="4"/>
        <v>VALID</v>
      </c>
    </row>
    <row r="1572" ht="15.75" customHeight="1">
      <c r="A1572" s="13" t="str">
        <f>Raw_Data!A1572</f>
        <v>EMP1648</v>
      </c>
      <c r="B1572" s="13" t="str">
        <f>TRIM(CLEAN(Raw_Data!B1572))</f>
        <v>Finance</v>
      </c>
      <c r="C1572" s="18" t="s">
        <v>14</v>
      </c>
      <c r="D1572" s="14" t="str">
        <f>IF(ISBLANK(Raw_Data!D1572),AVERAGE(Raw_Data!D$2:D$5002),Raw_Data!D1572)</f>
        <v>66081.24</v>
      </c>
      <c r="E1572" s="15" t="str">
        <f>IF(ISBLANK(Raw_Data!E1572),AVERAGE(Raw_Data!E$2:E$5002),Raw_Data!E1572)</f>
        <v>21595.68</v>
      </c>
      <c r="F1572" s="15" t="str">
        <f>IF(ISBLANK(Raw_Data!F1572),AVERAGE(Raw_Data!F$2:F$5002),Raw_Data!F1572)</f>
        <v>12827.90</v>
      </c>
      <c r="G1572" s="14" t="str">
        <f>IF(ISBLANK(Raw_Data!G1572),AVERAGE(Raw_Data!G$2:G$5002),Raw_Data!G1572)</f>
        <v>12508.94</v>
      </c>
      <c r="H1572" s="15" t="str">
        <f t="shared" si="1"/>
        <v>100505.00</v>
      </c>
      <c r="I1572" s="14" t="str">
        <f t="shared" si="2"/>
        <v>87996.00</v>
      </c>
      <c r="J1572" s="16" t="str">
        <f>TEXT(Raw_Data!J1572,"MMM-YYY")</f>
        <v>Sep-2025</v>
      </c>
      <c r="K1572" s="13" t="str">
        <f>Raw_Data!K1572</f>
        <v>7</v>
      </c>
      <c r="L1572" s="17" t="str">
        <f>Raw_Data!L1572</f>
        <v>Ahmedabad-West</v>
      </c>
      <c r="M1572" s="13" t="str">
        <f t="shared" si="3"/>
        <v>OK</v>
      </c>
      <c r="N1572" s="18" t="str">
        <f t="shared" si="4"/>
        <v>VALID</v>
      </c>
    </row>
    <row r="1573" ht="15.75" customHeight="1">
      <c r="A1573" s="13" t="str">
        <f>Raw_Data!A1573</f>
        <v>EMP1650</v>
      </c>
      <c r="B1573" s="13" t="str">
        <f>TRIM(CLEAN(Raw_Data!B1573))</f>
        <v>Operations</v>
      </c>
      <c r="C1573" s="18" t="s">
        <v>54</v>
      </c>
      <c r="D1573" s="14" t="str">
        <f>IF(ISBLANK(Raw_Data!D1573),AVERAGE(Raw_Data!D$2:D$5002),Raw_Data!D1573)</f>
        <v>66103.01</v>
      </c>
      <c r="E1573" s="15" t="str">
        <f>IF(ISBLANK(Raw_Data!E1573),AVERAGE(Raw_Data!E$2:E$5002),Raw_Data!E1573)</f>
        <v>21604.91</v>
      </c>
      <c r="F1573" s="15" t="str">
        <f>IF(ISBLANK(Raw_Data!F1573),AVERAGE(Raw_Data!F$2:F$5002),Raw_Data!F1573)</f>
        <v>12843.26</v>
      </c>
      <c r="G1573" s="14" t="str">
        <f>IF(ISBLANK(Raw_Data!G1573),AVERAGE(Raw_Data!G$2:G$5002),Raw_Data!G1573)</f>
        <v>12515.74</v>
      </c>
      <c r="H1573" s="15" t="str">
        <f t="shared" si="1"/>
        <v>100551.00</v>
      </c>
      <c r="I1573" s="14" t="str">
        <f t="shared" si="2"/>
        <v>88035.00</v>
      </c>
      <c r="J1573" s="16" t="str">
        <f>TEXT(Raw_Data!J1573,"MMM-YYY")</f>
        <v>Mar-2025</v>
      </c>
      <c r="K1573" s="13" t="str">
        <f>Raw_Data!K1573</f>
        <v>3</v>
      </c>
      <c r="L1573" s="17" t="str">
        <f>Raw_Data!L1573</f>
        <v>Mumbai-HO</v>
      </c>
      <c r="M1573" s="13" t="str">
        <f t="shared" si="3"/>
        <v>OK</v>
      </c>
      <c r="N1573" s="18" t="str">
        <f t="shared" si="4"/>
        <v>VALID</v>
      </c>
    </row>
    <row r="1574" ht="15.75" customHeight="1">
      <c r="A1574" s="13" t="str">
        <f>Raw_Data!A1574</f>
        <v>EMP1651</v>
      </c>
      <c r="B1574" s="13" t="str">
        <f>TRIM(CLEAN(Raw_Data!B1574))</f>
        <v>HR</v>
      </c>
      <c r="C1574" s="18" t="s">
        <v>37</v>
      </c>
      <c r="D1574" s="14" t="str">
        <f>IF(ISBLANK(Raw_Data!D1574),AVERAGE(Raw_Data!D$2:D$5002),Raw_Data!D1574)</f>
        <v>66113.89</v>
      </c>
      <c r="E1574" s="15" t="str">
        <f>IF(ISBLANK(Raw_Data!E1574),AVERAGE(Raw_Data!E$2:E$5002),Raw_Data!E1574)</f>
        <v>21609.52</v>
      </c>
      <c r="F1574" s="15" t="str">
        <f>IF(ISBLANK(Raw_Data!F1574),AVERAGE(Raw_Data!F$2:F$5002),Raw_Data!F1574)</f>
        <v>12850.94</v>
      </c>
      <c r="G1574" s="14" t="str">
        <f>IF(ISBLANK(Raw_Data!G1574),AVERAGE(Raw_Data!G$2:G$5002),Raw_Data!G1574)</f>
        <v>12519.14</v>
      </c>
      <c r="H1574" s="15" t="str">
        <f t="shared" si="1"/>
        <v>100574.00</v>
      </c>
      <c r="I1574" s="14" t="str">
        <f t="shared" si="2"/>
        <v>88055.00</v>
      </c>
      <c r="J1574" s="16" t="str">
        <f>TEXT(Raw_Data!J1574,"MMM-YYY")</f>
        <v>May-2025</v>
      </c>
      <c r="K1574" s="13" t="str">
        <f>Raw_Data!K1574</f>
        <v>18</v>
      </c>
      <c r="L1574" s="17" t="str">
        <f>Raw_Data!L1574</f>
        <v>Delhi-North</v>
      </c>
      <c r="M1574" s="13" t="str">
        <f t="shared" si="3"/>
        <v>OK</v>
      </c>
      <c r="N1574" s="18" t="str">
        <f t="shared" si="4"/>
        <v>VALID</v>
      </c>
    </row>
    <row r="1575" ht="15.75" customHeight="1">
      <c r="A1575" s="13" t="str">
        <f>Raw_Data!A1575</f>
        <v>EMP1652</v>
      </c>
      <c r="B1575" s="13" t="str">
        <f>TRIM(CLEAN(Raw_Data!B1575))</f>
        <v>HR</v>
      </c>
      <c r="C1575" s="18" t="s">
        <v>14</v>
      </c>
      <c r="D1575" s="14" t="str">
        <f>IF(ISBLANK(Raw_Data!D1575),AVERAGE(Raw_Data!D$2:D$5002),Raw_Data!D1575)</f>
        <v>66124.78</v>
      </c>
      <c r="E1575" s="15" t="str">
        <f>IF(ISBLANK(Raw_Data!E1575),AVERAGE(Raw_Data!E$2:E$5002),Raw_Data!E1575)</f>
        <v>21614.14</v>
      </c>
      <c r="F1575" s="15" t="str">
        <f>IF(ISBLANK(Raw_Data!F1575),AVERAGE(Raw_Data!F$2:F$5002),Raw_Data!F1575)</f>
        <v>12858.62</v>
      </c>
      <c r="G1575" s="14" t="str">
        <f>IF(ISBLANK(Raw_Data!G1575),AVERAGE(Raw_Data!G$2:G$5002),Raw_Data!G1575)</f>
        <v>12522.53</v>
      </c>
      <c r="H1575" s="15" t="str">
        <f t="shared" si="1"/>
        <v>100598.00</v>
      </c>
      <c r="I1575" s="14" t="str">
        <f t="shared" si="2"/>
        <v>88075.00</v>
      </c>
      <c r="J1575" s="16" t="str">
        <f>TEXT(Raw_Data!J1575,"MMM-YYY")</f>
        <v>Jul-2025</v>
      </c>
      <c r="K1575" s="13" t="str">
        <f>Raw_Data!K1575</f>
        <v>24</v>
      </c>
      <c r="L1575" s="17" t="str">
        <f>Raw_Data!L1575</f>
        <v>Bangalore-South</v>
      </c>
      <c r="M1575" s="13" t="str">
        <f t="shared" si="3"/>
        <v>OK</v>
      </c>
      <c r="N1575" s="18" t="str">
        <f t="shared" si="4"/>
        <v>VALID</v>
      </c>
    </row>
    <row r="1576" ht="15.75" customHeight="1">
      <c r="A1576" s="13" t="str">
        <f>Raw_Data!A1576</f>
        <v>EMP1653</v>
      </c>
      <c r="B1576" s="13" t="str">
        <f>TRIM(CLEAN(Raw_Data!B1576))</f>
        <v>Customer Support</v>
      </c>
      <c r="C1576" s="18" t="s">
        <v>33</v>
      </c>
      <c r="D1576" s="14" t="str">
        <f>IF(ISBLANK(Raw_Data!D1576),AVERAGE(Raw_Data!D$2:D$5002),Raw_Data!D1576)</f>
        <v>66135.66</v>
      </c>
      <c r="E1576" s="15" t="str">
        <f>IF(ISBLANK(Raw_Data!E1576),AVERAGE(Raw_Data!E$2:E$5002),Raw_Data!E1576)</f>
        <v>21618.75</v>
      </c>
      <c r="F1576" s="15" t="str">
        <f>IF(ISBLANK(Raw_Data!F1576),AVERAGE(Raw_Data!F$2:F$5002),Raw_Data!F1576)</f>
        <v>12866.30</v>
      </c>
      <c r="G1576" s="14" t="str">
        <f>IF(ISBLANK(Raw_Data!G1576),AVERAGE(Raw_Data!G$2:G$5002),Raw_Data!G1576)</f>
        <v>12525.93</v>
      </c>
      <c r="H1576" s="15" t="str">
        <f t="shared" si="1"/>
        <v>100621.00</v>
      </c>
      <c r="I1576" s="14" t="str">
        <f t="shared" si="2"/>
        <v>88095.00</v>
      </c>
      <c r="J1576" s="16" t="str">
        <f>TEXT(Raw_Data!J1576,"MMM-YYY")</f>
        <v>Feb-2025</v>
      </c>
      <c r="K1576" s="13" t="str">
        <f>Raw_Data!K1576</f>
        <v>24</v>
      </c>
      <c r="L1576" s="17" t="str">
        <f>Raw_Data!L1576</f>
        <v>Chennai-South</v>
      </c>
      <c r="M1576" s="13" t="str">
        <f t="shared" si="3"/>
        <v>OK</v>
      </c>
      <c r="N1576" s="18" t="str">
        <f t="shared" si="4"/>
        <v>VALID</v>
      </c>
    </row>
    <row r="1577" ht="15.75" customHeight="1">
      <c r="A1577" s="13" t="str">
        <f>Raw_Data!A1577</f>
        <v>EMP1654</v>
      </c>
      <c r="B1577" s="13" t="str">
        <f>TRIM(CLEAN(Raw_Data!B1577))</f>
        <v>Marketing</v>
      </c>
      <c r="C1577" s="18" t="s">
        <v>37</v>
      </c>
      <c r="D1577" s="14" t="str">
        <f>IF(ISBLANK(Raw_Data!D1577),AVERAGE(Raw_Data!D$2:D$5002),Raw_Data!D1577)</f>
        <v>66146.54</v>
      </c>
      <c r="E1577" s="15" t="str">
        <f>IF(ISBLANK(Raw_Data!E1577),AVERAGE(Raw_Data!E$2:E$5002),Raw_Data!E1577)</f>
        <v>21623.37</v>
      </c>
      <c r="F1577" s="15" t="str">
        <f>IF(ISBLANK(Raw_Data!F1577),AVERAGE(Raw_Data!F$2:F$5002),Raw_Data!F1577)</f>
        <v>12873.98</v>
      </c>
      <c r="G1577" s="14" t="str">
        <f>IF(ISBLANK(Raw_Data!G1577),AVERAGE(Raw_Data!G$2:G$5002),Raw_Data!G1577)</f>
        <v>12529.33</v>
      </c>
      <c r="H1577" s="15" t="str">
        <f t="shared" si="1"/>
        <v>100644.00</v>
      </c>
      <c r="I1577" s="14" t="str">
        <f t="shared" si="2"/>
        <v>88115.00</v>
      </c>
      <c r="J1577" s="16" t="str">
        <f>TEXT(Raw_Data!J1577,"MMM-YYY")</f>
        <v>Jul-2025</v>
      </c>
      <c r="K1577" s="13" t="str">
        <f>Raw_Data!K1577</f>
        <v>6</v>
      </c>
      <c r="L1577" s="17" t="str">
        <f>Raw_Data!L1577</f>
        <v>Kolkata-East</v>
      </c>
      <c r="M1577" s="13" t="str">
        <f t="shared" si="3"/>
        <v>OK</v>
      </c>
      <c r="N1577" s="18" t="str">
        <f t="shared" si="4"/>
        <v>VALID</v>
      </c>
    </row>
    <row r="1578" ht="15.75" customHeight="1">
      <c r="A1578" s="13" t="str">
        <f>Raw_Data!A1578</f>
        <v>EMP1655</v>
      </c>
      <c r="B1578" s="13" t="str">
        <f>TRIM(CLEAN(Raw_Data!B1578))</f>
        <v>Sales</v>
      </c>
      <c r="C1578" s="18" t="s">
        <v>26</v>
      </c>
      <c r="D1578" s="14" t="str">
        <f>IF(ISBLANK(Raw_Data!D1578),AVERAGE(Raw_Data!D$2:D$5002),Raw_Data!D1578)</f>
        <v>66157.42</v>
      </c>
      <c r="E1578" s="15" t="str">
        <f>IF(ISBLANK(Raw_Data!E1578),AVERAGE(Raw_Data!E$2:E$5002),Raw_Data!E1578)</f>
        <v>21627.98</v>
      </c>
      <c r="F1578" s="15" t="str">
        <f>IF(ISBLANK(Raw_Data!F1578),AVERAGE(Raw_Data!F$2:F$5002),Raw_Data!F1578)</f>
        <v>12881.66</v>
      </c>
      <c r="G1578" s="14" t="str">
        <f>IF(ISBLANK(Raw_Data!G1578),AVERAGE(Raw_Data!G$2:G$5002),Raw_Data!G1578)</f>
        <v>12532.73</v>
      </c>
      <c r="H1578" s="15" t="str">
        <f t="shared" si="1"/>
        <v>100667.00</v>
      </c>
      <c r="I1578" s="14" t="str">
        <f t="shared" si="2"/>
        <v>88134.00</v>
      </c>
      <c r="J1578" s="16" t="str">
        <f>TEXT(Raw_Data!J1578,"MMM-YYY")</f>
        <v>Aug-2025</v>
      </c>
      <c r="K1578" s="13" t="str">
        <f>Raw_Data!K1578</f>
        <v>11</v>
      </c>
      <c r="L1578" s="17" t="str">
        <f>Raw_Data!L1578</f>
        <v>Pune-West</v>
      </c>
      <c r="M1578" s="13" t="str">
        <f t="shared" si="3"/>
        <v>OK</v>
      </c>
      <c r="N1578" s="18" t="str">
        <f t="shared" si="4"/>
        <v>VALID</v>
      </c>
    </row>
    <row r="1579" ht="15.75" customHeight="1">
      <c r="A1579" s="13" t="str">
        <f>Raw_Data!A1579</f>
        <v>EMP1656</v>
      </c>
      <c r="B1579" s="13" t="str">
        <f>TRIM(CLEAN(Raw_Data!B1579))</f>
        <v>Operations</v>
      </c>
      <c r="C1579" s="18" t="s">
        <v>54</v>
      </c>
      <c r="D1579" s="14" t="str">
        <f>IF(ISBLANK(Raw_Data!D1579),AVERAGE(Raw_Data!D$2:D$5002),Raw_Data!D1579)</f>
        <v>66168.31</v>
      </c>
      <c r="E1579" s="15" t="str">
        <f>IF(ISBLANK(Raw_Data!E1579),AVERAGE(Raw_Data!E$2:E$5002),Raw_Data!E1579)</f>
        <v>21632.60</v>
      </c>
      <c r="F1579" s="15" t="str">
        <f>IF(ISBLANK(Raw_Data!F1579),AVERAGE(Raw_Data!F$2:F$5002),Raw_Data!F1579)</f>
        <v>12889.34</v>
      </c>
      <c r="G1579" s="14" t="str">
        <f>IF(ISBLANK(Raw_Data!G1579),AVERAGE(Raw_Data!G$2:G$5002),Raw_Data!G1579)</f>
        <v>12536.12</v>
      </c>
      <c r="H1579" s="15" t="str">
        <f t="shared" si="1"/>
        <v>100690.00</v>
      </c>
      <c r="I1579" s="14" t="str">
        <f t="shared" si="2"/>
        <v>88154.00</v>
      </c>
      <c r="J1579" s="16" t="str">
        <f>TEXT(Raw_Data!J1579,"MMM-YYY")</f>
        <v>Feb-2025</v>
      </c>
      <c r="K1579" s="13" t="str">
        <f>Raw_Data!K1579</f>
        <v>20</v>
      </c>
      <c r="L1579" s="17" t="str">
        <f>Raw_Data!L1579</f>
        <v>Hyderabad-South</v>
      </c>
      <c r="M1579" s="13" t="str">
        <f t="shared" si="3"/>
        <v>OK</v>
      </c>
      <c r="N1579" s="18" t="str">
        <f t="shared" si="4"/>
        <v>VALID</v>
      </c>
    </row>
    <row r="1580" ht="15.75" customHeight="1">
      <c r="A1580" s="13" t="str">
        <f>Raw_Data!A1580</f>
        <v>EMP1657</v>
      </c>
      <c r="B1580" s="13" t="str">
        <f>TRIM(CLEAN(Raw_Data!B1580))</f>
        <v>Customer Support</v>
      </c>
      <c r="C1580" s="18" t="s">
        <v>54</v>
      </c>
      <c r="D1580" s="14" t="str">
        <f>IF(ISBLANK(Raw_Data!D1580),AVERAGE(Raw_Data!D$2:D$5002),Raw_Data!D1580)</f>
        <v>66179.19</v>
      </c>
      <c r="E1580" s="15" t="str">
        <f>IF(ISBLANK(Raw_Data!E1580),AVERAGE(Raw_Data!E$2:E$5002),Raw_Data!E1580)</f>
        <v>21637.21</v>
      </c>
      <c r="F1580" s="15" t="str">
        <f>IF(ISBLANK(Raw_Data!F1580),AVERAGE(Raw_Data!F$2:F$5002),Raw_Data!F1580)</f>
        <v>12897.02</v>
      </c>
      <c r="G1580" s="14" t="str">
        <f>IF(ISBLANK(Raw_Data!G1580),AVERAGE(Raw_Data!G$2:G$5002),Raw_Data!G1580)</f>
        <v>12539.52</v>
      </c>
      <c r="H1580" s="15" t="str">
        <f t="shared" si="1"/>
        <v>100713.00</v>
      </c>
      <c r="I1580" s="14" t="str">
        <f t="shared" si="2"/>
        <v>88173.00</v>
      </c>
      <c r="J1580" s="16" t="str">
        <f>TEXT(Raw_Data!J1580,"MMM-YYY")</f>
        <v>Oct-2025</v>
      </c>
      <c r="K1580" s="13" t="str">
        <f>Raw_Data!K1580</f>
        <v>9</v>
      </c>
      <c r="L1580" s="17" t="str">
        <f>Raw_Data!L1580</f>
        <v>Chandigarh-North</v>
      </c>
      <c r="M1580" s="13" t="str">
        <f t="shared" si="3"/>
        <v>OK</v>
      </c>
      <c r="N1580" s="18" t="str">
        <f t="shared" si="4"/>
        <v>VALID</v>
      </c>
    </row>
    <row r="1581" ht="15.75" customHeight="1">
      <c r="A1581" s="13" t="str">
        <f>Raw_Data!A1581</f>
        <v>EMP1658</v>
      </c>
      <c r="B1581" s="13" t="str">
        <f>TRIM(CLEAN(Raw_Data!B1581))</f>
        <v>Operations</v>
      </c>
      <c r="C1581" s="18" t="s">
        <v>14</v>
      </c>
      <c r="D1581" s="14" t="str">
        <f>IF(ISBLANK(Raw_Data!D1581),AVERAGE(Raw_Data!D$2:D$5002),Raw_Data!D1581)</f>
        <v>66190.07</v>
      </c>
      <c r="E1581" s="15" t="str">
        <f>IF(ISBLANK(Raw_Data!E1581),AVERAGE(Raw_Data!E$2:E$5002),Raw_Data!E1581)</f>
        <v>21641.83</v>
      </c>
      <c r="F1581" s="15" t="str">
        <f>IF(ISBLANK(Raw_Data!F1581),AVERAGE(Raw_Data!F$2:F$5002),Raw_Data!F1581)</f>
        <v>12904.70</v>
      </c>
      <c r="G1581" s="14" t="str">
        <f>IF(ISBLANK(Raw_Data!G1581),AVERAGE(Raw_Data!G$2:G$5002),Raw_Data!G1581)</f>
        <v>12542.92</v>
      </c>
      <c r="H1581" s="15" t="str">
        <f t="shared" si="1"/>
        <v>100737.00</v>
      </c>
      <c r="I1581" s="14" t="str">
        <f t="shared" si="2"/>
        <v>88194.00</v>
      </c>
      <c r="J1581" s="16" t="str">
        <f>TEXT(Raw_Data!J1581,"MMM-YYY")</f>
        <v>Sep-2025</v>
      </c>
      <c r="K1581" s="13" t="str">
        <f>Raw_Data!K1581</f>
        <v>24</v>
      </c>
      <c r="L1581" s="17" t="str">
        <f>Raw_Data!L1581</f>
        <v>Ahmedabad-West</v>
      </c>
      <c r="M1581" s="13" t="str">
        <f t="shared" si="3"/>
        <v>OK</v>
      </c>
      <c r="N1581" s="18" t="str">
        <f t="shared" si="4"/>
        <v>VALID</v>
      </c>
    </row>
    <row r="1582" ht="15.75" customHeight="1">
      <c r="A1582" s="13" t="str">
        <f>Raw_Data!A1582</f>
        <v>EMP1659</v>
      </c>
      <c r="B1582" s="13" t="str">
        <f>TRIM(CLEAN(Raw_Data!B1582))</f>
        <v>Marketing</v>
      </c>
      <c r="C1582" s="18" t="s">
        <v>33</v>
      </c>
      <c r="D1582" s="14" t="str">
        <f>IF(ISBLANK(Raw_Data!D1582),AVERAGE(Raw_Data!D$2:D$5002),Raw_Data!D1582)</f>
        <v>66200.96</v>
      </c>
      <c r="E1582" s="15" t="str">
        <f>IF(ISBLANK(Raw_Data!E1582),AVERAGE(Raw_Data!E$2:E$5002),Raw_Data!E1582)</f>
        <v>21646.44</v>
      </c>
      <c r="F1582" s="15" t="str">
        <f>IF(ISBLANK(Raw_Data!F1582),AVERAGE(Raw_Data!F$2:F$5002),Raw_Data!F1582)</f>
        <v>12912.38</v>
      </c>
      <c r="G1582" s="14" t="str">
        <f>IF(ISBLANK(Raw_Data!G1582),AVERAGE(Raw_Data!G$2:G$5002),Raw_Data!G1582)</f>
        <v>12546.32</v>
      </c>
      <c r="H1582" s="15" t="str">
        <f t="shared" si="1"/>
        <v>100760.00</v>
      </c>
      <c r="I1582" s="14" t="str">
        <f t="shared" si="2"/>
        <v>88214.00</v>
      </c>
      <c r="J1582" s="16" t="str">
        <f>TEXT(Raw_Data!J1582,"MMM-YYY")</f>
        <v>Apr-2025</v>
      </c>
      <c r="K1582" s="13" t="str">
        <f>Raw_Data!K1582</f>
        <v>14</v>
      </c>
      <c r="L1582" s="17" t="str">
        <f>Raw_Data!L1582</f>
        <v>Jaipur-North</v>
      </c>
      <c r="M1582" s="13" t="str">
        <f t="shared" si="3"/>
        <v>OK</v>
      </c>
      <c r="N1582" s="18" t="str">
        <f t="shared" si="4"/>
        <v>VALID</v>
      </c>
    </row>
    <row r="1583" ht="15.75" customHeight="1">
      <c r="A1583" s="13" t="str">
        <f>Raw_Data!A1583</f>
        <v>EMP1660</v>
      </c>
      <c r="B1583" s="13" t="str">
        <f>TRIM(CLEAN(Raw_Data!B1583))</f>
        <v>Operations</v>
      </c>
      <c r="C1583" s="18" t="s">
        <v>18</v>
      </c>
      <c r="D1583" s="14" t="str">
        <f>IF(ISBLANK(Raw_Data!D1583),AVERAGE(Raw_Data!D$2:D$5002),Raw_Data!D1583)</f>
        <v>66211.84</v>
      </c>
      <c r="E1583" s="15" t="str">
        <f>IF(ISBLANK(Raw_Data!E1583),AVERAGE(Raw_Data!E$2:E$5002),Raw_Data!E1583)</f>
        <v>21651.06</v>
      </c>
      <c r="F1583" s="15" t="str">
        <f>IF(ISBLANK(Raw_Data!F1583),AVERAGE(Raw_Data!F$2:F$5002),Raw_Data!F1583)</f>
        <v>12920.06</v>
      </c>
      <c r="G1583" s="14" t="str">
        <f>IF(ISBLANK(Raw_Data!G1583),AVERAGE(Raw_Data!G$2:G$5002),Raw_Data!G1583)</f>
        <v>12549.71</v>
      </c>
      <c r="H1583" s="15" t="str">
        <f t="shared" si="1"/>
        <v>100783.00</v>
      </c>
      <c r="I1583" s="14" t="str">
        <f t="shared" si="2"/>
        <v>88233.00</v>
      </c>
      <c r="J1583" s="16" t="str">
        <f>TEXT(Raw_Data!J1583,"MMM-YYY")</f>
        <v>Feb-2025</v>
      </c>
      <c r="K1583" s="13" t="str">
        <f>Raw_Data!K1583</f>
        <v>16</v>
      </c>
      <c r="L1583" s="17" t="str">
        <f>Raw_Data!L1583</f>
        <v>Mumbai-HO</v>
      </c>
      <c r="M1583" s="13" t="str">
        <f t="shared" si="3"/>
        <v>OK</v>
      </c>
      <c r="N1583" s="18" t="str">
        <f t="shared" si="4"/>
        <v>VALID</v>
      </c>
    </row>
    <row r="1584" ht="15.75" customHeight="1">
      <c r="A1584" s="13" t="str">
        <f>Raw_Data!A1584</f>
        <v>EMP1661</v>
      </c>
      <c r="B1584" s="13" t="str">
        <f>TRIM(CLEAN(Raw_Data!B1584))</f>
        <v>Operations</v>
      </c>
      <c r="C1584" s="18" t="s">
        <v>30</v>
      </c>
      <c r="D1584" s="14" t="str">
        <f>IF(ISBLANK(Raw_Data!D1584),AVERAGE(Raw_Data!D$2:D$5002),Raw_Data!D1584)</f>
        <v>66222.72</v>
      </c>
      <c r="E1584" s="15" t="str">
        <f>IF(ISBLANK(Raw_Data!E1584),AVERAGE(Raw_Data!E$2:E$5002),Raw_Data!E1584)</f>
        <v>21655.67</v>
      </c>
      <c r="F1584" s="15" t="str">
        <f>IF(ISBLANK(Raw_Data!F1584),AVERAGE(Raw_Data!F$2:F$5002),Raw_Data!F1584)</f>
        <v>12927.74</v>
      </c>
      <c r="G1584" s="14" t="str">
        <f>IF(ISBLANK(Raw_Data!G1584),AVERAGE(Raw_Data!G$2:G$5002),Raw_Data!G1584)</f>
        <v>12553.11</v>
      </c>
      <c r="H1584" s="15" t="str">
        <f t="shared" si="1"/>
        <v>100806.00</v>
      </c>
      <c r="I1584" s="14" t="str">
        <f t="shared" si="2"/>
        <v>88253.00</v>
      </c>
      <c r="J1584" s="16" t="str">
        <f>TEXT(Raw_Data!J1584,"MMM-YYY")</f>
        <v>Nov-2025</v>
      </c>
      <c r="K1584" s="13" t="str">
        <f>Raw_Data!K1584</f>
        <v>4</v>
      </c>
      <c r="L1584" s="17" t="str">
        <f>Raw_Data!L1584</f>
        <v>Delhi-North</v>
      </c>
      <c r="M1584" s="13" t="str">
        <f t="shared" si="3"/>
        <v>OK</v>
      </c>
      <c r="N1584" s="18" t="str">
        <f t="shared" si="4"/>
        <v>VALID</v>
      </c>
    </row>
    <row r="1585" ht="15.75" customHeight="1">
      <c r="A1585" s="13" t="str">
        <f>Raw_Data!A1585</f>
        <v>EMP1662</v>
      </c>
      <c r="B1585" s="13" t="str">
        <f>TRIM(CLEAN(Raw_Data!B1585))</f>
        <v>IT</v>
      </c>
      <c r="C1585" s="18" t="s">
        <v>30</v>
      </c>
      <c r="D1585" s="14" t="str">
        <f>IF(ISBLANK(Raw_Data!D1585),AVERAGE(Raw_Data!D$2:D$5002),Raw_Data!D1585)</f>
        <v>66233.61</v>
      </c>
      <c r="E1585" s="15" t="str">
        <f>IF(ISBLANK(Raw_Data!E1585),AVERAGE(Raw_Data!E$2:E$5002),Raw_Data!E1585)</f>
        <v>21660.29</v>
      </c>
      <c r="F1585" s="15" t="str">
        <f>IF(ISBLANK(Raw_Data!F1585),AVERAGE(Raw_Data!F$2:F$5002),Raw_Data!F1585)</f>
        <v>12935.42</v>
      </c>
      <c r="G1585" s="14" t="str">
        <f>IF(ISBLANK(Raw_Data!G1585),AVERAGE(Raw_Data!G$2:G$5002),Raw_Data!G1585)</f>
        <v>12556.51</v>
      </c>
      <c r="H1585" s="15" t="str">
        <f t="shared" si="1"/>
        <v>100829.00</v>
      </c>
      <c r="I1585" s="14" t="str">
        <f t="shared" si="2"/>
        <v>88272.00</v>
      </c>
      <c r="J1585" s="16" t="str">
        <f>TEXT(Raw_Data!J1585,"MMM-YYY")</f>
        <v>Dec-2025</v>
      </c>
      <c r="K1585" s="13" t="str">
        <f>Raw_Data!K1585</f>
        <v>9</v>
      </c>
      <c r="L1585" s="17" t="str">
        <f>Raw_Data!L1585</f>
        <v>Bangalore-South</v>
      </c>
      <c r="M1585" s="13" t="str">
        <f t="shared" si="3"/>
        <v>OK</v>
      </c>
      <c r="N1585" s="18" t="str">
        <f t="shared" si="4"/>
        <v>VALID</v>
      </c>
    </row>
    <row r="1586" ht="15.75" customHeight="1">
      <c r="A1586" s="13" t="str">
        <f>Raw_Data!A1586</f>
        <v>EMP1663</v>
      </c>
      <c r="B1586" s="13" t="str">
        <f>TRIM(CLEAN(Raw_Data!B1586))</f>
        <v>Operations</v>
      </c>
      <c r="C1586" s="18" t="s">
        <v>33</v>
      </c>
      <c r="D1586" s="14" t="str">
        <f>IF(ISBLANK(Raw_Data!D1586),AVERAGE(Raw_Data!D$2:D$5002),Raw_Data!D1586)</f>
        <v>66244.49</v>
      </c>
      <c r="E1586" s="15" t="str">
        <f>IF(ISBLANK(Raw_Data!E1586),AVERAGE(Raw_Data!E$2:E$5002),Raw_Data!E1586)</f>
        <v>21664.90</v>
      </c>
      <c r="F1586" s="15" t="str">
        <f>IF(ISBLANK(Raw_Data!F1586),AVERAGE(Raw_Data!F$2:F$5002),Raw_Data!F1586)</f>
        <v>12943.10</v>
      </c>
      <c r="G1586" s="14" t="str">
        <f>IF(ISBLANK(Raw_Data!G1586),AVERAGE(Raw_Data!G$2:G$5002),Raw_Data!G1586)</f>
        <v>12559.91</v>
      </c>
      <c r="H1586" s="15" t="str">
        <f t="shared" si="1"/>
        <v>100852.00</v>
      </c>
      <c r="I1586" s="14" t="str">
        <f t="shared" si="2"/>
        <v>88292.00</v>
      </c>
      <c r="J1586" s="16" t="str">
        <f>TEXT(Raw_Data!J1586,"MMM-YYY")</f>
        <v>Jul-2025</v>
      </c>
      <c r="K1586" s="13" t="str">
        <f>Raw_Data!K1586</f>
        <v>17</v>
      </c>
      <c r="L1586" s="17" t="str">
        <f>Raw_Data!L1586</f>
        <v>Chennai-South</v>
      </c>
      <c r="M1586" s="13" t="str">
        <f t="shared" si="3"/>
        <v>OK</v>
      </c>
      <c r="N1586" s="18" t="str">
        <f t="shared" si="4"/>
        <v>VALID</v>
      </c>
    </row>
    <row r="1587" ht="15.75" customHeight="1">
      <c r="A1587" s="13" t="str">
        <f>Raw_Data!A1587</f>
        <v>EMP1664</v>
      </c>
      <c r="B1587" s="13" t="str">
        <f>TRIM(CLEAN(Raw_Data!B1587))</f>
        <v>Sales</v>
      </c>
      <c r="C1587" s="18" t="s">
        <v>14</v>
      </c>
      <c r="D1587" s="14" t="str">
        <f>IF(ISBLANK(Raw_Data!D1587),AVERAGE(Raw_Data!D$2:D$5002),Raw_Data!D1587)</f>
        <v>66255.37</v>
      </c>
      <c r="E1587" s="15" t="str">
        <f>IF(ISBLANK(Raw_Data!E1587),AVERAGE(Raw_Data!E$2:E$5002),Raw_Data!E1587)</f>
        <v>21669.52</v>
      </c>
      <c r="F1587" s="15" t="str">
        <f>IF(ISBLANK(Raw_Data!F1587),AVERAGE(Raw_Data!F$2:F$5002),Raw_Data!F1587)</f>
        <v>12950.78</v>
      </c>
      <c r="G1587" s="14" t="str">
        <f>IF(ISBLANK(Raw_Data!G1587),AVERAGE(Raw_Data!G$2:G$5002),Raw_Data!G1587)</f>
        <v>12563.30</v>
      </c>
      <c r="H1587" s="15" t="str">
        <f t="shared" si="1"/>
        <v>100876.00</v>
      </c>
      <c r="I1587" s="14" t="str">
        <f t="shared" si="2"/>
        <v>88313.00</v>
      </c>
      <c r="J1587" s="16" t="str">
        <f>TEXT(Raw_Data!J1587,"MMM-YYY")</f>
        <v>Oct-2025</v>
      </c>
      <c r="K1587" s="13" t="str">
        <f>Raw_Data!K1587</f>
        <v>12</v>
      </c>
      <c r="L1587" s="17" t="str">
        <f>Raw_Data!L1587</f>
        <v>Kolkata-East</v>
      </c>
      <c r="M1587" s="13" t="str">
        <f t="shared" si="3"/>
        <v>OK</v>
      </c>
      <c r="N1587" s="18" t="str">
        <f t="shared" si="4"/>
        <v>VALID</v>
      </c>
    </row>
    <row r="1588" ht="15.75" customHeight="1">
      <c r="A1588" s="13" t="str">
        <f>Raw_Data!A1588</f>
        <v>EMP1665</v>
      </c>
      <c r="B1588" s="13" t="str">
        <f>TRIM(CLEAN(Raw_Data!B1588))</f>
        <v>Finance</v>
      </c>
      <c r="C1588" s="18" t="s">
        <v>26</v>
      </c>
      <c r="D1588" s="14" t="str">
        <f>IF(ISBLANK(Raw_Data!D1588),AVERAGE(Raw_Data!D$2:D$5002),Raw_Data!D1588)</f>
        <v>66266.25</v>
      </c>
      <c r="E1588" s="15" t="str">
        <f>IF(ISBLANK(Raw_Data!E1588),AVERAGE(Raw_Data!E$2:E$5002),Raw_Data!E1588)</f>
        <v>21674.13</v>
      </c>
      <c r="F1588" s="15" t="str">
        <f>IF(ISBLANK(Raw_Data!F1588),AVERAGE(Raw_Data!F$2:F$5002),Raw_Data!F1588)</f>
        <v>12958.46</v>
      </c>
      <c r="G1588" s="14" t="str">
        <f>IF(ISBLANK(Raw_Data!G1588),AVERAGE(Raw_Data!G$2:G$5002),Raw_Data!G1588)</f>
        <v>12566.70</v>
      </c>
      <c r="H1588" s="15" t="str">
        <f t="shared" si="1"/>
        <v>100899.00</v>
      </c>
      <c r="I1588" s="14" t="str">
        <f t="shared" si="2"/>
        <v>88332.00</v>
      </c>
      <c r="J1588" s="16" t="str">
        <f>TEXT(Raw_Data!J1588,"MMM-YYY")</f>
        <v>Aug-2025</v>
      </c>
      <c r="K1588" s="13" t="str">
        <f>Raw_Data!K1588</f>
        <v>18</v>
      </c>
      <c r="L1588" s="17" t="str">
        <f>Raw_Data!L1588</f>
        <v>Pune-West</v>
      </c>
      <c r="M1588" s="13" t="str">
        <f t="shared" si="3"/>
        <v>OK</v>
      </c>
      <c r="N1588" s="18" t="str">
        <f t="shared" si="4"/>
        <v>VALID</v>
      </c>
    </row>
    <row r="1589" ht="15.75" customHeight="1">
      <c r="A1589" s="13" t="str">
        <f>Raw_Data!A1589</f>
        <v>EMP1666</v>
      </c>
      <c r="B1589" s="13" t="str">
        <f>TRIM(CLEAN(Raw_Data!B1589))</f>
        <v>Marketing</v>
      </c>
      <c r="C1589" s="18" t="s">
        <v>26</v>
      </c>
      <c r="D1589" s="14" t="str">
        <f>IF(ISBLANK(Raw_Data!D1589),AVERAGE(Raw_Data!D$2:D$5002),Raw_Data!D1589)</f>
        <v>66277.14</v>
      </c>
      <c r="E1589" s="15" t="str">
        <f>IF(ISBLANK(Raw_Data!E1589),AVERAGE(Raw_Data!E$2:E$5002),Raw_Data!E1589)</f>
        <v>21678.74</v>
      </c>
      <c r="F1589" s="15" t="str">
        <f>IF(ISBLANK(Raw_Data!F1589),AVERAGE(Raw_Data!F$2:F$5002),Raw_Data!F1589)</f>
        <v>12966.14</v>
      </c>
      <c r="G1589" s="14" t="str">
        <f>IF(ISBLANK(Raw_Data!G1589),AVERAGE(Raw_Data!G$2:G$5002),Raw_Data!G1589)</f>
        <v>12570.10</v>
      </c>
      <c r="H1589" s="15" t="str">
        <f t="shared" si="1"/>
        <v>100922.00</v>
      </c>
      <c r="I1589" s="14" t="str">
        <f t="shared" si="2"/>
        <v>88352.00</v>
      </c>
      <c r="J1589" s="16" t="str">
        <f>TEXT(Raw_Data!J1589,"MMM-YYY")</f>
        <v>Nov-2025</v>
      </c>
      <c r="K1589" s="13" t="str">
        <f>Raw_Data!K1589</f>
        <v>10</v>
      </c>
      <c r="L1589" s="17" t="str">
        <f>Raw_Data!L1589</f>
        <v>Hyderabad-South</v>
      </c>
      <c r="M1589" s="13" t="str">
        <f t="shared" si="3"/>
        <v>OK</v>
      </c>
      <c r="N1589" s="18" t="str">
        <f t="shared" si="4"/>
        <v>VALID</v>
      </c>
    </row>
    <row r="1590" ht="15.75" customHeight="1">
      <c r="A1590" s="13" t="str">
        <f>Raw_Data!A1590</f>
        <v>EMP1667</v>
      </c>
      <c r="B1590" s="13" t="str">
        <f>TRIM(CLEAN(Raw_Data!B1590))</f>
        <v>Marketing</v>
      </c>
      <c r="C1590" s="18" t="s">
        <v>30</v>
      </c>
      <c r="D1590" s="14" t="str">
        <f>IF(ISBLANK(Raw_Data!D1590),AVERAGE(Raw_Data!D$2:D$5002),Raw_Data!D1590)</f>
        <v>66288.02</v>
      </c>
      <c r="E1590" s="15" t="str">
        <f>IF(ISBLANK(Raw_Data!E1590),AVERAGE(Raw_Data!E$2:E$5002),Raw_Data!E1590)</f>
        <v>21683.36</v>
      </c>
      <c r="F1590" s="15" t="str">
        <f>IF(ISBLANK(Raw_Data!F1590),AVERAGE(Raw_Data!F$2:F$5002),Raw_Data!F1590)</f>
        <v>12973.82</v>
      </c>
      <c r="G1590" s="14" t="str">
        <f>IF(ISBLANK(Raw_Data!G1590),AVERAGE(Raw_Data!G$2:G$5002),Raw_Data!G1590)</f>
        <v>12573.50</v>
      </c>
      <c r="H1590" s="15" t="str">
        <f t="shared" si="1"/>
        <v>100945.00</v>
      </c>
      <c r="I1590" s="14" t="str">
        <f t="shared" si="2"/>
        <v>88372.00</v>
      </c>
      <c r="J1590" s="16" t="str">
        <f>TEXT(Raw_Data!J1590,"MMM-YYY")</f>
        <v>Apr-2025</v>
      </c>
      <c r="K1590" s="13" t="str">
        <f>Raw_Data!K1590</f>
        <v>2</v>
      </c>
      <c r="L1590" s="17" t="str">
        <f>Raw_Data!L1590</f>
        <v>Chandigarh-North</v>
      </c>
      <c r="M1590" s="13" t="str">
        <f t="shared" si="3"/>
        <v>OK</v>
      </c>
      <c r="N1590" s="18" t="str">
        <f t="shared" si="4"/>
        <v>VALID</v>
      </c>
    </row>
    <row r="1591" ht="15.75" customHeight="1">
      <c r="A1591" s="13" t="str">
        <f>Raw_Data!A1591</f>
        <v>EMP1668</v>
      </c>
      <c r="B1591" s="13" t="str">
        <f>TRIM(CLEAN(Raw_Data!B1591))</f>
        <v>Operations</v>
      </c>
      <c r="C1591" s="18" t="s">
        <v>18</v>
      </c>
      <c r="D1591" s="14" t="str">
        <f>IF(ISBLANK(Raw_Data!D1591),AVERAGE(Raw_Data!D$2:D$5002),Raw_Data!D1591)</f>
        <v>66298.90</v>
      </c>
      <c r="E1591" s="15" t="str">
        <f>IF(ISBLANK(Raw_Data!E1591),AVERAGE(Raw_Data!E$2:E$5002),Raw_Data!E1591)</f>
        <v>21687.97</v>
      </c>
      <c r="F1591" s="15" t="str">
        <f>IF(ISBLANK(Raw_Data!F1591),AVERAGE(Raw_Data!F$2:F$5002),Raw_Data!F1591)</f>
        <v>12981.50</v>
      </c>
      <c r="G1591" s="14" t="str">
        <f>IF(ISBLANK(Raw_Data!G1591),AVERAGE(Raw_Data!G$2:G$5002),Raw_Data!G1591)</f>
        <v>12576.89</v>
      </c>
      <c r="H1591" s="15" t="str">
        <f t="shared" si="1"/>
        <v>100968.00</v>
      </c>
      <c r="I1591" s="14" t="str">
        <f t="shared" si="2"/>
        <v>88391.00</v>
      </c>
      <c r="J1591" s="16" t="str">
        <f>TEXT(Raw_Data!J1591,"MMM-YYY")</f>
        <v>Nov-2025</v>
      </c>
      <c r="K1591" s="13" t="str">
        <f>Raw_Data!K1591</f>
        <v>4</v>
      </c>
      <c r="L1591" s="17" t="str">
        <f>Raw_Data!L1591</f>
        <v>Ahmedabad-West</v>
      </c>
      <c r="M1591" s="13" t="str">
        <f t="shared" si="3"/>
        <v>OK</v>
      </c>
      <c r="N1591" s="18" t="str">
        <f t="shared" si="4"/>
        <v>VALID</v>
      </c>
    </row>
    <row r="1592" ht="15.75" customHeight="1">
      <c r="A1592" s="13" t="str">
        <f>Raw_Data!A1592</f>
        <v>EMP1669</v>
      </c>
      <c r="B1592" s="13" t="str">
        <f>TRIM(CLEAN(Raw_Data!B1592))</f>
        <v>Sales</v>
      </c>
      <c r="C1592" s="18" t="s">
        <v>14</v>
      </c>
      <c r="D1592" s="14" t="str">
        <f>IF(ISBLANK(Raw_Data!D1592),AVERAGE(Raw_Data!D$2:D$5002),Raw_Data!D1592)</f>
        <v>66309.79</v>
      </c>
      <c r="E1592" s="15" t="str">
        <f>IF(ISBLANK(Raw_Data!E1592),AVERAGE(Raw_Data!E$2:E$5002),Raw_Data!E1592)</f>
        <v>21692.59</v>
      </c>
      <c r="F1592" s="15" t="str">
        <f>IF(ISBLANK(Raw_Data!F1592),AVERAGE(Raw_Data!F$2:F$5002),Raw_Data!F1592)</f>
        <v>12989.18</v>
      </c>
      <c r="G1592" s="14" t="str">
        <f>IF(ISBLANK(Raw_Data!G1592),AVERAGE(Raw_Data!G$2:G$5002),Raw_Data!G1592)</f>
        <v>12580.29</v>
      </c>
      <c r="H1592" s="15" t="str">
        <f t="shared" si="1"/>
        <v>100992.00</v>
      </c>
      <c r="I1592" s="14" t="str">
        <f t="shared" si="2"/>
        <v>88412.00</v>
      </c>
      <c r="J1592" s="16" t="str">
        <f>TEXT(Raw_Data!J1592,"MMM-YYY")</f>
        <v>May-2025</v>
      </c>
      <c r="K1592" s="13" t="str">
        <f>Raw_Data!K1592</f>
        <v>17</v>
      </c>
      <c r="L1592" s="17" t="str">
        <f>Raw_Data!L1592</f>
        <v>Jaipur-North</v>
      </c>
      <c r="M1592" s="13" t="str">
        <f t="shared" si="3"/>
        <v>OK</v>
      </c>
      <c r="N1592" s="18" t="str">
        <f t="shared" si="4"/>
        <v>VALID</v>
      </c>
    </row>
    <row r="1593" ht="15.75" customHeight="1">
      <c r="A1593" s="13" t="str">
        <f>Raw_Data!A1593</f>
        <v>EMP1670</v>
      </c>
      <c r="B1593" s="13" t="str">
        <f>TRIM(CLEAN(Raw_Data!B1593))</f>
        <v>Finance</v>
      </c>
      <c r="C1593" s="18" t="s">
        <v>18</v>
      </c>
      <c r="D1593" s="14" t="str">
        <f>IF(ISBLANK(Raw_Data!D1593),AVERAGE(Raw_Data!D$2:D$5002),Raw_Data!D1593)</f>
        <v>66320.67</v>
      </c>
      <c r="E1593" s="15" t="str">
        <f>IF(ISBLANK(Raw_Data!E1593),AVERAGE(Raw_Data!E$2:E$5002),Raw_Data!E1593)</f>
        <v>21697.20</v>
      </c>
      <c r="F1593" s="15" t="str">
        <f>IF(ISBLANK(Raw_Data!F1593),AVERAGE(Raw_Data!F$2:F$5002),Raw_Data!F1593)</f>
        <v>12996.86</v>
      </c>
      <c r="G1593" s="14" t="str">
        <f>IF(ISBLANK(Raw_Data!G1593),AVERAGE(Raw_Data!G$2:G$5002),Raw_Data!G1593)</f>
        <v>12583.69</v>
      </c>
      <c r="H1593" s="15" t="str">
        <f t="shared" si="1"/>
        <v>101015.00</v>
      </c>
      <c r="I1593" s="14" t="str">
        <f t="shared" si="2"/>
        <v>88431.00</v>
      </c>
      <c r="J1593" s="16" t="str">
        <f>TEXT(Raw_Data!J1593,"MMM-YYY")</f>
        <v>Jul-2025</v>
      </c>
      <c r="K1593" s="13" t="str">
        <f>Raw_Data!K1593</f>
        <v>6</v>
      </c>
      <c r="L1593" s="17" t="str">
        <f>Raw_Data!L1593</f>
        <v>Mumbai-HO</v>
      </c>
      <c r="M1593" s="13" t="str">
        <f t="shared" si="3"/>
        <v>OK</v>
      </c>
      <c r="N1593" s="18" t="str">
        <f t="shared" si="4"/>
        <v>VALID</v>
      </c>
    </row>
    <row r="1594" ht="15.75" customHeight="1">
      <c r="A1594" s="13" t="str">
        <f>Raw_Data!A1594</f>
        <v>EMP1671</v>
      </c>
      <c r="B1594" s="13" t="str">
        <f>TRIM(CLEAN(Raw_Data!B1594))</f>
        <v>Marketing</v>
      </c>
      <c r="C1594" s="18" t="s">
        <v>33</v>
      </c>
      <c r="D1594" s="14" t="str">
        <f>IF(ISBLANK(Raw_Data!D1594),AVERAGE(Raw_Data!D$2:D$5002),Raw_Data!D1594)</f>
        <v>66331.55</v>
      </c>
      <c r="E1594" s="15" t="str">
        <f>IF(ISBLANK(Raw_Data!E1594),AVERAGE(Raw_Data!E$2:E$5002),Raw_Data!E1594)</f>
        <v>21701.82</v>
      </c>
      <c r="F1594" s="15" t="str">
        <f>IF(ISBLANK(Raw_Data!F1594),AVERAGE(Raw_Data!F$2:F$5002),Raw_Data!F1594)</f>
        <v>13004.54</v>
      </c>
      <c r="G1594" s="14" t="str">
        <f>IF(ISBLANK(Raw_Data!G1594),AVERAGE(Raw_Data!G$2:G$5002),Raw_Data!G1594)</f>
        <v>12587.09</v>
      </c>
      <c r="H1594" s="15" t="str">
        <f t="shared" si="1"/>
        <v>101038.00</v>
      </c>
      <c r="I1594" s="14" t="str">
        <f t="shared" si="2"/>
        <v>88451.00</v>
      </c>
      <c r="J1594" s="16" t="str">
        <f>TEXT(Raw_Data!J1594,"MMM-YYY")</f>
        <v>Jun-2025</v>
      </c>
      <c r="K1594" s="13" t="str">
        <f>Raw_Data!K1594</f>
        <v>11</v>
      </c>
      <c r="L1594" s="17" t="str">
        <f>Raw_Data!L1594</f>
        <v>Delhi-North</v>
      </c>
      <c r="M1594" s="13" t="str">
        <f t="shared" si="3"/>
        <v>OK</v>
      </c>
      <c r="N1594" s="18" t="str">
        <f t="shared" si="4"/>
        <v>VALID</v>
      </c>
    </row>
    <row r="1595" ht="15.75" customHeight="1">
      <c r="A1595" s="13" t="str">
        <f>Raw_Data!A1595</f>
        <v>EMP1672</v>
      </c>
      <c r="B1595" s="13" t="str">
        <f>TRIM(CLEAN(Raw_Data!B1595))</f>
        <v>Marketing</v>
      </c>
      <c r="C1595" s="18" t="s">
        <v>37</v>
      </c>
      <c r="D1595" s="14" t="str">
        <f>IF(ISBLANK(Raw_Data!D1595),AVERAGE(Raw_Data!D$2:D$5002),Raw_Data!D1595)</f>
        <v>66342.43</v>
      </c>
      <c r="E1595" s="15" t="str">
        <f>IF(ISBLANK(Raw_Data!E1595),AVERAGE(Raw_Data!E$2:E$5002),Raw_Data!E1595)</f>
        <v>21706.43</v>
      </c>
      <c r="F1595" s="15" t="str">
        <f>IF(ISBLANK(Raw_Data!F1595),AVERAGE(Raw_Data!F$2:F$5002),Raw_Data!F1595)</f>
        <v>13012.22</v>
      </c>
      <c r="G1595" s="14" t="str">
        <f>IF(ISBLANK(Raw_Data!G1595),AVERAGE(Raw_Data!G$2:G$5002),Raw_Data!G1595)</f>
        <v>12590.48</v>
      </c>
      <c r="H1595" s="15" t="str">
        <f t="shared" si="1"/>
        <v>101061.00</v>
      </c>
      <c r="I1595" s="14" t="str">
        <f t="shared" si="2"/>
        <v>88471.00</v>
      </c>
      <c r="J1595" s="16" t="str">
        <f>TEXT(Raw_Data!J1595,"MMM-YYY")</f>
        <v>Jan-2025</v>
      </c>
      <c r="K1595" s="13" t="str">
        <f>Raw_Data!K1595</f>
        <v>1</v>
      </c>
      <c r="L1595" s="17" t="str">
        <f>Raw_Data!L1595</f>
        <v>Bangalore-South</v>
      </c>
      <c r="M1595" s="13" t="str">
        <f t="shared" si="3"/>
        <v>OK</v>
      </c>
      <c r="N1595" s="18" t="str">
        <f t="shared" si="4"/>
        <v>VALID</v>
      </c>
    </row>
    <row r="1596" ht="15.75" customHeight="1">
      <c r="A1596" s="13" t="str">
        <f>Raw_Data!A1596</f>
        <v>EMP1673</v>
      </c>
      <c r="B1596" s="13" t="str">
        <f>TRIM(CLEAN(Raw_Data!B1596))</f>
        <v>Operations</v>
      </c>
      <c r="C1596" s="18" t="s">
        <v>14</v>
      </c>
      <c r="D1596" s="14" t="str">
        <f>IF(ISBLANK(Raw_Data!D1596),AVERAGE(Raw_Data!D$2:D$5002),Raw_Data!D1596)</f>
        <v>66353.32</v>
      </c>
      <c r="E1596" s="15" t="str">
        <f>IF(ISBLANK(Raw_Data!E1596),AVERAGE(Raw_Data!E$2:E$5002),Raw_Data!E1596)</f>
        <v>21711.05</v>
      </c>
      <c r="F1596" s="15" t="str">
        <f>IF(ISBLANK(Raw_Data!F1596),AVERAGE(Raw_Data!F$2:F$5002),Raw_Data!F1596)</f>
        <v>13019.90</v>
      </c>
      <c r="G1596" s="14" t="str">
        <f>IF(ISBLANK(Raw_Data!G1596),AVERAGE(Raw_Data!G$2:G$5002),Raw_Data!G1596)</f>
        <v>12593.88</v>
      </c>
      <c r="H1596" s="15" t="str">
        <f t="shared" si="1"/>
        <v>101084.00</v>
      </c>
      <c r="I1596" s="14" t="str">
        <f t="shared" si="2"/>
        <v>88490.00</v>
      </c>
      <c r="J1596" s="16" t="str">
        <f>TEXT(Raw_Data!J1596,"MMM-YYY")</f>
        <v>Apr-2025</v>
      </c>
      <c r="K1596" s="13" t="str">
        <f>Raw_Data!K1596</f>
        <v>2</v>
      </c>
      <c r="L1596" s="17" t="str">
        <f>Raw_Data!L1596</f>
        <v>Chennai-South</v>
      </c>
      <c r="M1596" s="13" t="str">
        <f t="shared" si="3"/>
        <v>OK</v>
      </c>
      <c r="N1596" s="18" t="str">
        <f t="shared" si="4"/>
        <v>VALID</v>
      </c>
    </row>
    <row r="1597" ht="15.75" customHeight="1">
      <c r="A1597" s="13" t="str">
        <f>Raw_Data!A1597</f>
        <v>EMP1674</v>
      </c>
      <c r="B1597" s="13" t="str">
        <f>TRIM(CLEAN(Raw_Data!B1597))</f>
        <v>IT</v>
      </c>
      <c r="C1597" s="18" t="s">
        <v>54</v>
      </c>
      <c r="D1597" s="14" t="str">
        <f>IF(ISBLANK(Raw_Data!D1597),AVERAGE(Raw_Data!D$2:D$5002),Raw_Data!D1597)</f>
        <v>66364.20</v>
      </c>
      <c r="E1597" s="15" t="str">
        <f>IF(ISBLANK(Raw_Data!E1597),AVERAGE(Raw_Data!E$2:E$5002),Raw_Data!E1597)</f>
        <v>21715.66</v>
      </c>
      <c r="F1597" s="15" t="str">
        <f>IF(ISBLANK(Raw_Data!F1597),AVERAGE(Raw_Data!F$2:F$5002),Raw_Data!F1597)</f>
        <v>13027.58</v>
      </c>
      <c r="G1597" s="14" t="str">
        <f>IF(ISBLANK(Raw_Data!G1597),AVERAGE(Raw_Data!G$2:G$5002),Raw_Data!G1597)</f>
        <v>12597.28</v>
      </c>
      <c r="H1597" s="15" t="str">
        <f t="shared" si="1"/>
        <v>101107.00</v>
      </c>
      <c r="I1597" s="14" t="str">
        <f t="shared" si="2"/>
        <v>88510.00</v>
      </c>
      <c r="J1597" s="16" t="str">
        <f>TEXT(Raw_Data!J1597,"MMM-YYY")</f>
        <v>May-2025</v>
      </c>
      <c r="K1597" s="13" t="str">
        <f>Raw_Data!K1597</f>
        <v>20</v>
      </c>
      <c r="L1597" s="17" t="str">
        <f>Raw_Data!L1597</f>
        <v>Kolkata-East</v>
      </c>
      <c r="M1597" s="13" t="str">
        <f t="shared" si="3"/>
        <v>OK</v>
      </c>
      <c r="N1597" s="18" t="str">
        <f t="shared" si="4"/>
        <v>VALID</v>
      </c>
    </row>
    <row r="1598" ht="15.75" customHeight="1">
      <c r="A1598" s="13" t="str">
        <f>Raw_Data!A1598</f>
        <v>EMP1675</v>
      </c>
      <c r="B1598" s="13" t="str">
        <f>TRIM(CLEAN(Raw_Data!B1598))</f>
        <v>Operations</v>
      </c>
      <c r="C1598" s="18" t="s">
        <v>37</v>
      </c>
      <c r="D1598" s="14" t="str">
        <f>IF(ISBLANK(Raw_Data!D1598),AVERAGE(Raw_Data!D$2:D$5002),Raw_Data!D1598)</f>
        <v>66375.08</v>
      </c>
      <c r="E1598" s="15" t="str">
        <f>IF(ISBLANK(Raw_Data!E1598),AVERAGE(Raw_Data!E$2:E$5002),Raw_Data!E1598)</f>
        <v>21720.28</v>
      </c>
      <c r="F1598" s="15" t="str">
        <f>IF(ISBLANK(Raw_Data!F1598),AVERAGE(Raw_Data!F$2:F$5002),Raw_Data!F1598)</f>
        <v>13035.26</v>
      </c>
      <c r="G1598" s="14" t="str">
        <f>IF(ISBLANK(Raw_Data!G1598),AVERAGE(Raw_Data!G$2:G$5002),Raw_Data!G1598)</f>
        <v>12600.68</v>
      </c>
      <c r="H1598" s="15" t="str">
        <f t="shared" si="1"/>
        <v>101131.00</v>
      </c>
      <c r="I1598" s="14" t="str">
        <f t="shared" si="2"/>
        <v>88530.00</v>
      </c>
      <c r="J1598" s="16" t="str">
        <f>TEXT(Raw_Data!J1598,"MMM-YYY")</f>
        <v>May-2025</v>
      </c>
      <c r="K1598" s="13" t="str">
        <f>Raw_Data!K1598</f>
        <v>5</v>
      </c>
      <c r="L1598" s="17" t="str">
        <f>Raw_Data!L1598</f>
        <v>Pune-West</v>
      </c>
      <c r="M1598" s="13" t="str">
        <f t="shared" si="3"/>
        <v>OK</v>
      </c>
      <c r="N1598" s="18" t="str">
        <f t="shared" si="4"/>
        <v>VALID</v>
      </c>
    </row>
    <row r="1599" ht="15.75" customHeight="1">
      <c r="A1599" s="13" t="str">
        <f>Raw_Data!A1599</f>
        <v>EMP1677</v>
      </c>
      <c r="B1599" s="13" t="str">
        <f>TRIM(CLEAN(Raw_Data!B1599))</f>
        <v>Marketing</v>
      </c>
      <c r="C1599" s="18" t="s">
        <v>26</v>
      </c>
      <c r="D1599" s="14" t="str">
        <f>IF(ISBLANK(Raw_Data!D1599),AVERAGE(Raw_Data!D$2:D$5002),Raw_Data!D1599)</f>
        <v>66396.85</v>
      </c>
      <c r="E1599" s="15" t="str">
        <f>IF(ISBLANK(Raw_Data!E1599),AVERAGE(Raw_Data!E$2:E$5002),Raw_Data!E1599)</f>
        <v>21729.51</v>
      </c>
      <c r="F1599" s="15" t="str">
        <f>IF(ISBLANK(Raw_Data!F1599),AVERAGE(Raw_Data!F$2:F$5002),Raw_Data!F1599)</f>
        <v>13050.62</v>
      </c>
      <c r="G1599" s="14" t="str">
        <f>IF(ISBLANK(Raw_Data!G1599),AVERAGE(Raw_Data!G$2:G$5002),Raw_Data!G1599)</f>
        <v>12607.47</v>
      </c>
      <c r="H1599" s="15" t="str">
        <f t="shared" si="1"/>
        <v>101177.00</v>
      </c>
      <c r="I1599" s="14" t="str">
        <f t="shared" si="2"/>
        <v>88570.00</v>
      </c>
      <c r="J1599" s="16" t="str">
        <f>TEXT(Raw_Data!J1599,"MMM-YYY")</f>
        <v>Jan-2025</v>
      </c>
      <c r="K1599" s="13" t="str">
        <f>Raw_Data!K1599</f>
        <v>5</v>
      </c>
      <c r="L1599" s="17" t="str">
        <f>Raw_Data!L1599</f>
        <v>Chandigarh-North</v>
      </c>
      <c r="M1599" s="13" t="str">
        <f t="shared" si="3"/>
        <v>OK</v>
      </c>
      <c r="N1599" s="18" t="str">
        <f t="shared" si="4"/>
        <v>VALID</v>
      </c>
    </row>
    <row r="1600" ht="15.75" customHeight="1">
      <c r="A1600" s="13" t="str">
        <f>Raw_Data!A1600</f>
        <v>EMP1678</v>
      </c>
      <c r="B1600" s="13" t="str">
        <f>TRIM(CLEAN(Raw_Data!B1600))</f>
        <v>Marketing</v>
      </c>
      <c r="C1600" s="18" t="s">
        <v>37</v>
      </c>
      <c r="D1600" s="14" t="str">
        <f>IF(ISBLANK(Raw_Data!D1600),AVERAGE(Raw_Data!D$2:D$5002),Raw_Data!D1600)</f>
        <v>66407.73</v>
      </c>
      <c r="E1600" s="15" t="str">
        <f>IF(ISBLANK(Raw_Data!E1600),AVERAGE(Raw_Data!E$2:E$5002),Raw_Data!E1600)</f>
        <v>21734.12</v>
      </c>
      <c r="F1600" s="15" t="str">
        <f>IF(ISBLANK(Raw_Data!F1600),AVERAGE(Raw_Data!F$2:F$5002),Raw_Data!F1600)</f>
        <v>13058.30</v>
      </c>
      <c r="G1600" s="14" t="str">
        <f>IF(ISBLANK(Raw_Data!G1600),AVERAGE(Raw_Data!G$2:G$5002),Raw_Data!G1600)</f>
        <v>12610.87</v>
      </c>
      <c r="H1600" s="15" t="str">
        <f t="shared" si="1"/>
        <v>101200.00</v>
      </c>
      <c r="I1600" s="14" t="str">
        <f t="shared" si="2"/>
        <v>88589.00</v>
      </c>
      <c r="J1600" s="16" t="str">
        <f>TEXT(Raw_Data!J1600,"MMM-YYY")</f>
        <v>Aug-2025</v>
      </c>
      <c r="K1600" s="13" t="str">
        <f>Raw_Data!K1600</f>
        <v>19</v>
      </c>
      <c r="L1600" s="17" t="str">
        <f>Raw_Data!L1600</f>
        <v>Ahmedabad-West</v>
      </c>
      <c r="M1600" s="13" t="str">
        <f t="shared" si="3"/>
        <v>OK</v>
      </c>
      <c r="N1600" s="18" t="str">
        <f t="shared" si="4"/>
        <v>VALID</v>
      </c>
    </row>
    <row r="1601" ht="15.75" customHeight="1">
      <c r="A1601" s="13" t="str">
        <f>Raw_Data!A1601</f>
        <v>EMP1679</v>
      </c>
      <c r="B1601" s="13" t="str">
        <f>TRIM(CLEAN(Raw_Data!B1601))</f>
        <v>Marketing</v>
      </c>
      <c r="C1601" s="18" t="s">
        <v>33</v>
      </c>
      <c r="D1601" s="14" t="str">
        <f>IF(ISBLANK(Raw_Data!D1601),AVERAGE(Raw_Data!D$2:D$5002),Raw_Data!D1601)</f>
        <v>66418.62</v>
      </c>
      <c r="E1601" s="15" t="str">
        <f>IF(ISBLANK(Raw_Data!E1601),AVERAGE(Raw_Data!E$2:E$5002),Raw_Data!E1601)</f>
        <v>21738.74</v>
      </c>
      <c r="F1601" s="15" t="str">
        <f>IF(ISBLANK(Raw_Data!F1601),AVERAGE(Raw_Data!F$2:F$5002),Raw_Data!F1601)</f>
        <v>13065.98</v>
      </c>
      <c r="G1601" s="14" t="str">
        <f>IF(ISBLANK(Raw_Data!G1601),AVERAGE(Raw_Data!G$2:G$5002),Raw_Data!G1601)</f>
        <v>12614.27</v>
      </c>
      <c r="H1601" s="15" t="str">
        <f t="shared" si="1"/>
        <v>101223.00</v>
      </c>
      <c r="I1601" s="14" t="str">
        <f t="shared" si="2"/>
        <v>88609.00</v>
      </c>
      <c r="J1601" s="16" t="str">
        <f>TEXT(Raw_Data!J1601,"MMM-YYY")</f>
        <v>Mar-2025</v>
      </c>
      <c r="K1601" s="13" t="str">
        <f>Raw_Data!K1601</f>
        <v>8</v>
      </c>
      <c r="L1601" s="17" t="str">
        <f>Raw_Data!L1601</f>
        <v>Jaipur-North</v>
      </c>
      <c r="M1601" s="13" t="str">
        <f t="shared" si="3"/>
        <v>OK</v>
      </c>
      <c r="N1601" s="18" t="str">
        <f t="shared" si="4"/>
        <v>VALID</v>
      </c>
    </row>
    <row r="1602" ht="15.75" customHeight="1">
      <c r="A1602" s="13" t="str">
        <f>Raw_Data!A1602</f>
        <v>EMP1680</v>
      </c>
      <c r="B1602" s="13" t="str">
        <f>TRIM(CLEAN(Raw_Data!B1602))</f>
        <v>IT</v>
      </c>
      <c r="C1602" s="18" t="s">
        <v>54</v>
      </c>
      <c r="D1602" s="14" t="str">
        <f>IF(ISBLANK(Raw_Data!D1602),AVERAGE(Raw_Data!D$2:D$5002),Raw_Data!D1602)</f>
        <v>66429.50</v>
      </c>
      <c r="E1602" s="15" t="str">
        <f>IF(ISBLANK(Raw_Data!E1602),AVERAGE(Raw_Data!E$2:E$5002),Raw_Data!E1602)</f>
        <v>21743.35</v>
      </c>
      <c r="F1602" s="15" t="str">
        <f>IF(ISBLANK(Raw_Data!F1602),AVERAGE(Raw_Data!F$2:F$5002),Raw_Data!F1602)</f>
        <v>13073.66</v>
      </c>
      <c r="G1602" s="14" t="str">
        <f>IF(ISBLANK(Raw_Data!G1602),AVERAGE(Raw_Data!G$2:G$5002),Raw_Data!G1602)</f>
        <v>12617.66</v>
      </c>
      <c r="H1602" s="15" t="str">
        <f t="shared" si="1"/>
        <v>101247.00</v>
      </c>
      <c r="I1602" s="14" t="str">
        <f t="shared" si="2"/>
        <v>88629.00</v>
      </c>
      <c r="J1602" s="16" t="str">
        <f>TEXT(Raw_Data!J1602,"MMM-YYY")</f>
        <v>Mar-2025</v>
      </c>
      <c r="K1602" s="13" t="str">
        <f>Raw_Data!K1602</f>
        <v>13</v>
      </c>
      <c r="L1602" s="17" t="str">
        <f>Raw_Data!L1602</f>
        <v>Mumbai-HO</v>
      </c>
      <c r="M1602" s="13" t="str">
        <f t="shared" si="3"/>
        <v>OK</v>
      </c>
      <c r="N1602" s="18" t="str">
        <f t="shared" si="4"/>
        <v>VALID</v>
      </c>
    </row>
    <row r="1603" ht="15.75" customHeight="1">
      <c r="A1603" s="13" t="str">
        <f>Raw_Data!A1603</f>
        <v>EMP1681</v>
      </c>
      <c r="B1603" s="13" t="str">
        <f>TRIM(CLEAN(Raw_Data!B1603))</f>
        <v>IT</v>
      </c>
      <c r="C1603" s="18" t="s">
        <v>33</v>
      </c>
      <c r="D1603" s="14" t="str">
        <f>IF(ISBLANK(Raw_Data!D1603),AVERAGE(Raw_Data!D$2:D$5002),Raw_Data!D1603)</f>
        <v>66440.38</v>
      </c>
      <c r="E1603" s="15" t="str">
        <f>IF(ISBLANK(Raw_Data!E1603),AVERAGE(Raw_Data!E$2:E$5002),Raw_Data!E1603)</f>
        <v>21747.97</v>
      </c>
      <c r="F1603" s="15" t="str">
        <f>IF(ISBLANK(Raw_Data!F1603),AVERAGE(Raw_Data!F$2:F$5002),Raw_Data!F1603)</f>
        <v>13081.34</v>
      </c>
      <c r="G1603" s="14" t="str">
        <f>IF(ISBLANK(Raw_Data!G1603),AVERAGE(Raw_Data!G$2:G$5002),Raw_Data!G1603)</f>
        <v>12621.06</v>
      </c>
      <c r="H1603" s="15" t="str">
        <f t="shared" si="1"/>
        <v>101270.00</v>
      </c>
      <c r="I1603" s="14" t="str">
        <f t="shared" si="2"/>
        <v>88649.00</v>
      </c>
      <c r="J1603" s="16" t="str">
        <f>TEXT(Raw_Data!J1603,"MMM-YYY")</f>
        <v>Oct-2025</v>
      </c>
      <c r="K1603" s="13" t="str">
        <f>Raw_Data!K1603</f>
        <v>4</v>
      </c>
      <c r="L1603" s="17" t="str">
        <f>Raw_Data!L1603</f>
        <v>Delhi-North</v>
      </c>
      <c r="M1603" s="13" t="str">
        <f t="shared" si="3"/>
        <v>OK</v>
      </c>
      <c r="N1603" s="18" t="str">
        <f t="shared" si="4"/>
        <v>VALID</v>
      </c>
    </row>
    <row r="1604" ht="15.75" customHeight="1">
      <c r="A1604" s="13" t="str">
        <f>Raw_Data!A1604</f>
        <v>EMP1682</v>
      </c>
      <c r="B1604" s="13" t="str">
        <f>TRIM(CLEAN(Raw_Data!B1604))</f>
        <v>Marketing</v>
      </c>
      <c r="C1604" s="18" t="s">
        <v>33</v>
      </c>
      <c r="D1604" s="14" t="str">
        <f>IF(ISBLANK(Raw_Data!D1604),AVERAGE(Raw_Data!D$2:D$5002),Raw_Data!D1604)</f>
        <v>66451.26</v>
      </c>
      <c r="E1604" s="15" t="str">
        <f>IF(ISBLANK(Raw_Data!E1604),AVERAGE(Raw_Data!E$2:E$5002),Raw_Data!E1604)</f>
        <v>21752.58</v>
      </c>
      <c r="F1604" s="15" t="str">
        <f>IF(ISBLANK(Raw_Data!F1604),AVERAGE(Raw_Data!F$2:F$5002),Raw_Data!F1604)</f>
        <v>13089.02</v>
      </c>
      <c r="G1604" s="14" t="str">
        <f>IF(ISBLANK(Raw_Data!G1604),AVERAGE(Raw_Data!G$2:G$5002),Raw_Data!G1604)</f>
        <v>12624.46</v>
      </c>
      <c r="H1604" s="15" t="str">
        <f t="shared" si="1"/>
        <v>101293.00</v>
      </c>
      <c r="I1604" s="14" t="str">
        <f t="shared" si="2"/>
        <v>88669.00</v>
      </c>
      <c r="J1604" s="16" t="str">
        <f>TEXT(Raw_Data!J1604,"MMM-YYY")</f>
        <v>Jun-2025</v>
      </c>
      <c r="K1604" s="13" t="str">
        <f>Raw_Data!K1604</f>
        <v>8</v>
      </c>
      <c r="L1604" s="17" t="str">
        <f>Raw_Data!L1604</f>
        <v>Bangalore-South</v>
      </c>
      <c r="M1604" s="13" t="str">
        <f t="shared" si="3"/>
        <v>OK</v>
      </c>
      <c r="N1604" s="18" t="str">
        <f t="shared" si="4"/>
        <v>VALID</v>
      </c>
    </row>
    <row r="1605" ht="15.75" customHeight="1">
      <c r="A1605" s="13" t="str">
        <f>Raw_Data!A1605</f>
        <v>EMP1683</v>
      </c>
      <c r="B1605" s="13" t="str">
        <f>TRIM(CLEAN(Raw_Data!B1605))</f>
        <v>Customer Support</v>
      </c>
      <c r="C1605" s="18" t="s">
        <v>30</v>
      </c>
      <c r="D1605" s="14" t="str">
        <f>IF(ISBLANK(Raw_Data!D1605),AVERAGE(Raw_Data!D$2:D$5002),Raw_Data!D1605)</f>
        <v>66462.15</v>
      </c>
      <c r="E1605" s="15" t="str">
        <f>IF(ISBLANK(Raw_Data!E1605),AVERAGE(Raw_Data!E$2:E$5002),Raw_Data!E1605)</f>
        <v>21757.20</v>
      </c>
      <c r="F1605" s="15" t="str">
        <f>IF(ISBLANK(Raw_Data!F1605),AVERAGE(Raw_Data!F$2:F$5002),Raw_Data!F1605)</f>
        <v>13096.70</v>
      </c>
      <c r="G1605" s="14" t="str">
        <f>IF(ISBLANK(Raw_Data!G1605),AVERAGE(Raw_Data!G$2:G$5002),Raw_Data!G1605)</f>
        <v>12627.86</v>
      </c>
      <c r="H1605" s="15" t="str">
        <f t="shared" si="1"/>
        <v>101316.00</v>
      </c>
      <c r="I1605" s="14" t="str">
        <f t="shared" si="2"/>
        <v>88688.00</v>
      </c>
      <c r="J1605" s="16" t="str">
        <f>TEXT(Raw_Data!J1605,"MMM-YYY")</f>
        <v>Sep-2025</v>
      </c>
      <c r="K1605" s="13" t="str">
        <f>Raw_Data!K1605</f>
        <v>12</v>
      </c>
      <c r="L1605" s="17" t="str">
        <f>Raw_Data!L1605</f>
        <v>Chennai-South</v>
      </c>
      <c r="M1605" s="13" t="str">
        <f t="shared" si="3"/>
        <v>OK</v>
      </c>
      <c r="N1605" s="18" t="str">
        <f t="shared" si="4"/>
        <v>VALID</v>
      </c>
    </row>
    <row r="1606" ht="15.75" customHeight="1">
      <c r="A1606" s="13" t="str">
        <f>Raw_Data!A1606</f>
        <v>EMP1684</v>
      </c>
      <c r="B1606" s="13" t="str">
        <f>TRIM(CLEAN(Raw_Data!B1606))</f>
        <v>HR</v>
      </c>
      <c r="C1606" s="18" t="s">
        <v>37</v>
      </c>
      <c r="D1606" s="14" t="str">
        <f>IF(ISBLANK(Raw_Data!D1606),AVERAGE(Raw_Data!D$2:D$5002),Raw_Data!D1606)</f>
        <v>66473.03</v>
      </c>
      <c r="E1606" s="15" t="str">
        <f>IF(ISBLANK(Raw_Data!E1606),AVERAGE(Raw_Data!E$2:E$5002),Raw_Data!E1606)</f>
        <v>21761.81</v>
      </c>
      <c r="F1606" s="15" t="str">
        <f>IF(ISBLANK(Raw_Data!F1606),AVERAGE(Raw_Data!F$2:F$5002),Raw_Data!F1606)</f>
        <v>13104.38</v>
      </c>
      <c r="G1606" s="14" t="str">
        <f>IF(ISBLANK(Raw_Data!G1606),AVERAGE(Raw_Data!G$2:G$5002),Raw_Data!G1606)</f>
        <v>12631.25</v>
      </c>
      <c r="H1606" s="15" t="str">
        <f t="shared" si="1"/>
        <v>101339.00</v>
      </c>
      <c r="I1606" s="14" t="str">
        <f t="shared" si="2"/>
        <v>88708.00</v>
      </c>
      <c r="J1606" s="16" t="str">
        <f>TEXT(Raw_Data!J1606,"MMM-YYY")</f>
        <v>May-2025</v>
      </c>
      <c r="K1606" s="13" t="str">
        <f>Raw_Data!K1606</f>
        <v>21</v>
      </c>
      <c r="L1606" s="17" t="str">
        <f>Raw_Data!L1606</f>
        <v>Kolkata-East</v>
      </c>
      <c r="M1606" s="13" t="str">
        <f t="shared" si="3"/>
        <v>OK</v>
      </c>
      <c r="N1606" s="18" t="str">
        <f t="shared" si="4"/>
        <v>VALID</v>
      </c>
    </row>
    <row r="1607" ht="15.75" customHeight="1">
      <c r="A1607" s="13" t="str">
        <f>Raw_Data!A1607</f>
        <v>EMP1685</v>
      </c>
      <c r="B1607" s="13" t="str">
        <f>TRIM(CLEAN(Raw_Data!B1607))</f>
        <v>HR</v>
      </c>
      <c r="C1607" s="18" t="s">
        <v>18</v>
      </c>
      <c r="D1607" s="14" t="str">
        <f>IF(ISBLANK(Raw_Data!D1607),AVERAGE(Raw_Data!D$2:D$5002),Raw_Data!D1607)</f>
        <v>66483.91</v>
      </c>
      <c r="E1607" s="15" t="str">
        <f>IF(ISBLANK(Raw_Data!E1607),AVERAGE(Raw_Data!E$2:E$5002),Raw_Data!E1607)</f>
        <v>21766.42</v>
      </c>
      <c r="F1607" s="15" t="str">
        <f>IF(ISBLANK(Raw_Data!F1607),AVERAGE(Raw_Data!F$2:F$5002),Raw_Data!F1607)</f>
        <v>13112.06</v>
      </c>
      <c r="G1607" s="14" t="str">
        <f>IF(ISBLANK(Raw_Data!G1607),AVERAGE(Raw_Data!G$2:G$5002),Raw_Data!G1607)</f>
        <v>12634.65</v>
      </c>
      <c r="H1607" s="15" t="str">
        <f t="shared" si="1"/>
        <v>101362.00</v>
      </c>
      <c r="I1607" s="14" t="str">
        <f t="shared" si="2"/>
        <v>88727.00</v>
      </c>
      <c r="J1607" s="16" t="str">
        <f>TEXT(Raw_Data!J1607,"MMM-YYY")</f>
        <v>Nov-2025</v>
      </c>
      <c r="K1607" s="13" t="str">
        <f>Raw_Data!K1607</f>
        <v>25</v>
      </c>
      <c r="L1607" s="17" t="str">
        <f>Raw_Data!L1607</f>
        <v>Pune-West</v>
      </c>
      <c r="M1607" s="13" t="str">
        <f t="shared" si="3"/>
        <v>OK</v>
      </c>
      <c r="N1607" s="18" t="str">
        <f t="shared" si="4"/>
        <v>VALID</v>
      </c>
    </row>
    <row r="1608" ht="15.75" customHeight="1">
      <c r="A1608" s="13" t="str">
        <f>Raw_Data!A1608</f>
        <v>EMP1686</v>
      </c>
      <c r="B1608" s="13" t="str">
        <f>TRIM(CLEAN(Raw_Data!B1608))</f>
        <v>Customer Support</v>
      </c>
      <c r="C1608" s="18" t="s">
        <v>18</v>
      </c>
      <c r="D1608" s="14" t="str">
        <f>IF(ISBLANK(Raw_Data!D1608),AVERAGE(Raw_Data!D$2:D$5002),Raw_Data!D1608)</f>
        <v>66494.80</v>
      </c>
      <c r="E1608" s="15" t="str">
        <f>IF(ISBLANK(Raw_Data!E1608),AVERAGE(Raw_Data!E$2:E$5002),Raw_Data!E1608)</f>
        <v>21771.04</v>
      </c>
      <c r="F1608" s="15" t="str">
        <f>IF(ISBLANK(Raw_Data!F1608),AVERAGE(Raw_Data!F$2:F$5002),Raw_Data!F1608)</f>
        <v>13119.74</v>
      </c>
      <c r="G1608" s="14" t="str">
        <f>IF(ISBLANK(Raw_Data!G1608),AVERAGE(Raw_Data!G$2:G$5002),Raw_Data!G1608)</f>
        <v>12638.05</v>
      </c>
      <c r="H1608" s="15" t="str">
        <f t="shared" si="1"/>
        <v>101386.00</v>
      </c>
      <c r="I1608" s="14" t="str">
        <f t="shared" si="2"/>
        <v>88748.00</v>
      </c>
      <c r="J1608" s="16" t="str">
        <f>TEXT(Raw_Data!J1608,"MMM-YYY")</f>
        <v>Dec-2025</v>
      </c>
      <c r="K1608" s="13" t="str">
        <f>Raw_Data!K1608</f>
        <v>21</v>
      </c>
      <c r="L1608" s="17" t="str">
        <f>Raw_Data!L1608</f>
        <v>Hyderabad-South</v>
      </c>
      <c r="M1608" s="13" t="str">
        <f t="shared" si="3"/>
        <v>OK</v>
      </c>
      <c r="N1608" s="18" t="str">
        <f t="shared" si="4"/>
        <v>VALID</v>
      </c>
    </row>
    <row r="1609" ht="15.75" customHeight="1">
      <c r="A1609" s="13" t="str">
        <f>Raw_Data!A1609</f>
        <v>EMP1687</v>
      </c>
      <c r="B1609" s="13" t="str">
        <f>TRIM(CLEAN(Raw_Data!B1609))</f>
        <v>Marketing</v>
      </c>
      <c r="C1609" s="18" t="s">
        <v>30</v>
      </c>
      <c r="D1609" s="14" t="str">
        <f>IF(ISBLANK(Raw_Data!D1609),AVERAGE(Raw_Data!D$2:D$5002),Raw_Data!D1609)</f>
        <v>66505.68</v>
      </c>
      <c r="E1609" s="15" t="str">
        <f>IF(ISBLANK(Raw_Data!E1609),AVERAGE(Raw_Data!E$2:E$5002),Raw_Data!E1609)</f>
        <v>21775.65</v>
      </c>
      <c r="F1609" s="15" t="str">
        <f>IF(ISBLANK(Raw_Data!F1609),AVERAGE(Raw_Data!F$2:F$5002),Raw_Data!F1609)</f>
        <v>13127.42</v>
      </c>
      <c r="G1609" s="14" t="str">
        <f>IF(ISBLANK(Raw_Data!G1609),AVERAGE(Raw_Data!G$2:G$5002),Raw_Data!G1609)</f>
        <v>12641.45</v>
      </c>
      <c r="H1609" s="15" t="str">
        <f t="shared" si="1"/>
        <v>101409.00</v>
      </c>
      <c r="I1609" s="14" t="str">
        <f t="shared" si="2"/>
        <v>88768.00</v>
      </c>
      <c r="J1609" s="16" t="str">
        <f>TEXT(Raw_Data!J1609,"MMM-YYY")</f>
        <v>Oct-2025</v>
      </c>
      <c r="K1609" s="13" t="str">
        <f>Raw_Data!K1609</f>
        <v>1</v>
      </c>
      <c r="L1609" s="17" t="str">
        <f>Raw_Data!L1609</f>
        <v>Chandigarh-North</v>
      </c>
      <c r="M1609" s="13" t="str">
        <f t="shared" si="3"/>
        <v>OK</v>
      </c>
      <c r="N1609" s="18" t="str">
        <f t="shared" si="4"/>
        <v>VALID</v>
      </c>
    </row>
    <row r="1610" ht="15.75" customHeight="1">
      <c r="A1610" s="13" t="str">
        <f>Raw_Data!A1610</f>
        <v>EMP1688</v>
      </c>
      <c r="B1610" s="13" t="str">
        <f>TRIM(CLEAN(Raw_Data!B1610))</f>
        <v>Marketing</v>
      </c>
      <c r="C1610" s="18" t="s">
        <v>26</v>
      </c>
      <c r="D1610" s="14" t="str">
        <f>IF(ISBLANK(Raw_Data!D1610),AVERAGE(Raw_Data!D$2:D$5002),Raw_Data!D1610)</f>
        <v>66516.56</v>
      </c>
      <c r="E1610" s="15" t="str">
        <f>IF(ISBLANK(Raw_Data!E1610),AVERAGE(Raw_Data!E$2:E$5002),Raw_Data!E1610)</f>
        <v>21780.27</v>
      </c>
      <c r="F1610" s="15" t="str">
        <f>IF(ISBLANK(Raw_Data!F1610),AVERAGE(Raw_Data!F$2:F$5002),Raw_Data!F1610)</f>
        <v>13135.10</v>
      </c>
      <c r="G1610" s="14" t="str">
        <f>IF(ISBLANK(Raw_Data!G1610),AVERAGE(Raw_Data!G$2:G$5002),Raw_Data!G1610)</f>
        <v>12644.84</v>
      </c>
      <c r="H1610" s="15" t="str">
        <f t="shared" si="1"/>
        <v>101432.00</v>
      </c>
      <c r="I1610" s="14" t="str">
        <f t="shared" si="2"/>
        <v>88787.00</v>
      </c>
      <c r="J1610" s="16" t="str">
        <f>TEXT(Raw_Data!J1610,"MMM-YYY")</f>
        <v>Sep-2025</v>
      </c>
      <c r="K1610" s="13" t="str">
        <f>Raw_Data!K1610</f>
        <v>6</v>
      </c>
      <c r="L1610" s="17" t="str">
        <f>Raw_Data!L1610</f>
        <v>Ahmedabad-West</v>
      </c>
      <c r="M1610" s="13" t="str">
        <f t="shared" si="3"/>
        <v>OK</v>
      </c>
      <c r="N1610" s="18" t="str">
        <f t="shared" si="4"/>
        <v>VALID</v>
      </c>
    </row>
    <row r="1611" ht="15.75" customHeight="1">
      <c r="A1611" s="13" t="str">
        <f>Raw_Data!A1611</f>
        <v>EMP1689</v>
      </c>
      <c r="B1611" s="13" t="str">
        <f>TRIM(CLEAN(Raw_Data!B1611))</f>
        <v>Marketing</v>
      </c>
      <c r="C1611" s="18" t="s">
        <v>37</v>
      </c>
      <c r="D1611" s="14" t="str">
        <f>IF(ISBLANK(Raw_Data!D1611),AVERAGE(Raw_Data!D$2:D$5002),Raw_Data!D1611)</f>
        <v>66527.45</v>
      </c>
      <c r="E1611" s="15" t="str">
        <f>IF(ISBLANK(Raw_Data!E1611),AVERAGE(Raw_Data!E$2:E$5002),Raw_Data!E1611)</f>
        <v>21784.88</v>
      </c>
      <c r="F1611" s="15" t="str">
        <f>IF(ISBLANK(Raw_Data!F1611),AVERAGE(Raw_Data!F$2:F$5002),Raw_Data!F1611)</f>
        <v>13142.78</v>
      </c>
      <c r="G1611" s="14" t="str">
        <f>IF(ISBLANK(Raw_Data!G1611),AVERAGE(Raw_Data!G$2:G$5002),Raw_Data!G1611)</f>
        <v>12648.24</v>
      </c>
      <c r="H1611" s="15" t="str">
        <f t="shared" si="1"/>
        <v>101455.00</v>
      </c>
      <c r="I1611" s="14" t="str">
        <f t="shared" si="2"/>
        <v>88807.00</v>
      </c>
      <c r="J1611" s="16" t="str">
        <f>TEXT(Raw_Data!J1611,"MMM-YYY")</f>
        <v>Oct-2025</v>
      </c>
      <c r="K1611" s="13" t="str">
        <f>Raw_Data!K1611</f>
        <v>3</v>
      </c>
      <c r="L1611" s="17" t="str">
        <f>Raw_Data!L1611</f>
        <v>Jaipur-North</v>
      </c>
      <c r="M1611" s="13" t="str">
        <f t="shared" si="3"/>
        <v>OK</v>
      </c>
      <c r="N1611" s="18" t="str">
        <f t="shared" si="4"/>
        <v>VALID</v>
      </c>
    </row>
    <row r="1612" ht="15.75" customHeight="1">
      <c r="A1612" s="13" t="str">
        <f>Raw_Data!A1612</f>
        <v>EMP1690</v>
      </c>
      <c r="B1612" s="13" t="str">
        <f>TRIM(CLEAN(Raw_Data!B1612))</f>
        <v>HR</v>
      </c>
      <c r="C1612" s="18" t="s">
        <v>26</v>
      </c>
      <c r="D1612" s="14" t="str">
        <f>IF(ISBLANK(Raw_Data!D1612),AVERAGE(Raw_Data!D$2:D$5002),Raw_Data!D1612)</f>
        <v>66538.33</v>
      </c>
      <c r="E1612" s="15" t="str">
        <f>IF(ISBLANK(Raw_Data!E1612),AVERAGE(Raw_Data!E$2:E$5002),Raw_Data!E1612)</f>
        <v>21789.50</v>
      </c>
      <c r="F1612" s="15" t="str">
        <f>IF(ISBLANK(Raw_Data!F1612),AVERAGE(Raw_Data!F$2:F$5002),Raw_Data!F1612)</f>
        <v>13150.46</v>
      </c>
      <c r="G1612" s="14" t="str">
        <f>IF(ISBLANK(Raw_Data!G1612),AVERAGE(Raw_Data!G$2:G$5002),Raw_Data!G1612)</f>
        <v>12651.64</v>
      </c>
      <c r="H1612" s="15" t="str">
        <f t="shared" si="1"/>
        <v>101478.00</v>
      </c>
      <c r="I1612" s="14" t="str">
        <f t="shared" si="2"/>
        <v>88826.00</v>
      </c>
      <c r="J1612" s="16" t="str">
        <f>TEXT(Raw_Data!J1612,"MMM-YYY")</f>
        <v>Mar-2025</v>
      </c>
      <c r="K1612" s="13" t="str">
        <f>Raw_Data!K1612</f>
        <v>23</v>
      </c>
      <c r="L1612" s="17" t="str">
        <f>Raw_Data!L1612</f>
        <v>Mumbai-HO</v>
      </c>
      <c r="M1612" s="13" t="str">
        <f t="shared" si="3"/>
        <v>OK</v>
      </c>
      <c r="N1612" s="18" t="str">
        <f t="shared" si="4"/>
        <v>VALID</v>
      </c>
    </row>
    <row r="1613" ht="15.75" customHeight="1">
      <c r="A1613" s="13" t="str">
        <f>Raw_Data!A1613</f>
        <v>EMP1691</v>
      </c>
      <c r="B1613" s="13" t="str">
        <f>TRIM(CLEAN(Raw_Data!B1613))</f>
        <v>Sales</v>
      </c>
      <c r="C1613" s="18" t="s">
        <v>14</v>
      </c>
      <c r="D1613" s="14" t="str">
        <f>IF(ISBLANK(Raw_Data!D1613),AVERAGE(Raw_Data!D$2:D$5002),Raw_Data!D1613)</f>
        <v>66549.21</v>
      </c>
      <c r="E1613" s="15" t="str">
        <f>IF(ISBLANK(Raw_Data!E1613),AVERAGE(Raw_Data!E$2:E$5002),Raw_Data!E1613)</f>
        <v>21794.11</v>
      </c>
      <c r="F1613" s="15" t="str">
        <f>IF(ISBLANK(Raw_Data!F1613),AVERAGE(Raw_Data!F$2:F$5002),Raw_Data!F1613)</f>
        <v>13158.14</v>
      </c>
      <c r="G1613" s="14" t="str">
        <f>IF(ISBLANK(Raw_Data!G1613),AVERAGE(Raw_Data!G$2:G$5002),Raw_Data!G1613)</f>
        <v>14562.73</v>
      </c>
      <c r="H1613" s="15" t="str">
        <f t="shared" si="1"/>
        <v>101501.00</v>
      </c>
      <c r="I1613" s="14" t="str">
        <f t="shared" si="2"/>
        <v>86938.00</v>
      </c>
      <c r="J1613" s="16" t="str">
        <f>TEXT(Raw_Data!J1613,"MMM-YYY")</f>
        <v>Jul-2025</v>
      </c>
      <c r="K1613" s="13" t="str">
        <f>Raw_Data!K1613</f>
        <v>9</v>
      </c>
      <c r="L1613" s="17" t="str">
        <f>Raw_Data!L1613</f>
        <v>Delhi-North</v>
      </c>
      <c r="M1613" s="13" t="str">
        <f t="shared" si="3"/>
        <v>OK</v>
      </c>
      <c r="N1613" s="18" t="str">
        <f t="shared" si="4"/>
        <v>VALID</v>
      </c>
    </row>
    <row r="1614" ht="15.75" customHeight="1">
      <c r="A1614" s="13" t="str">
        <f>Raw_Data!A1614</f>
        <v>EMP1692</v>
      </c>
      <c r="B1614" s="13" t="str">
        <f>TRIM(CLEAN(Raw_Data!B1614))</f>
        <v>Sales</v>
      </c>
      <c r="C1614" s="18" t="s">
        <v>37</v>
      </c>
      <c r="D1614" s="14" t="str">
        <f>IF(ISBLANK(Raw_Data!D1614),AVERAGE(Raw_Data!D$2:D$5002),Raw_Data!D1614)</f>
        <v>66560.09</v>
      </c>
      <c r="E1614" s="15" t="str">
        <f>IF(ISBLANK(Raw_Data!E1614),AVERAGE(Raw_Data!E$2:E$5002),Raw_Data!E1614)</f>
        <v>21798.73</v>
      </c>
      <c r="F1614" s="15" t="str">
        <f>IF(ISBLANK(Raw_Data!F1614),AVERAGE(Raw_Data!F$2:F$5002),Raw_Data!F1614)</f>
        <v>13165.82</v>
      </c>
      <c r="G1614" s="14" t="str">
        <f>IF(ISBLANK(Raw_Data!G1614),AVERAGE(Raw_Data!G$2:G$5002),Raw_Data!G1614)</f>
        <v>12658.43</v>
      </c>
      <c r="H1614" s="15" t="str">
        <f t="shared" si="1"/>
        <v>101525.00</v>
      </c>
      <c r="I1614" s="14" t="str">
        <f t="shared" si="2"/>
        <v>88867.00</v>
      </c>
      <c r="J1614" s="16" t="str">
        <f>TEXT(Raw_Data!J1614,"MMM-YYY")</f>
        <v>May-2025</v>
      </c>
      <c r="K1614" s="13" t="str">
        <f>Raw_Data!K1614</f>
        <v>6</v>
      </c>
      <c r="L1614" s="17" t="str">
        <f>Raw_Data!L1614</f>
        <v>Bangalore-South</v>
      </c>
      <c r="M1614" s="13" t="str">
        <f t="shared" si="3"/>
        <v>OK</v>
      </c>
      <c r="N1614" s="18" t="str">
        <f t="shared" si="4"/>
        <v>VALID</v>
      </c>
    </row>
    <row r="1615" ht="15.75" customHeight="1">
      <c r="A1615" s="13" t="str">
        <f>Raw_Data!A1615</f>
        <v>EMP1694</v>
      </c>
      <c r="B1615" s="13" t="str">
        <f>TRIM(CLEAN(Raw_Data!B1615))</f>
        <v>Finance</v>
      </c>
      <c r="C1615" s="18" t="s">
        <v>37</v>
      </c>
      <c r="D1615" s="14" t="str">
        <f>IF(ISBLANK(Raw_Data!D1615),AVERAGE(Raw_Data!D$2:D$5002),Raw_Data!D1615)</f>
        <v>66581.86</v>
      </c>
      <c r="E1615" s="15" t="str">
        <f>IF(ISBLANK(Raw_Data!E1615),AVERAGE(Raw_Data!E$2:E$5002),Raw_Data!E1615)</f>
        <v>21807.96</v>
      </c>
      <c r="F1615" s="15" t="str">
        <f>IF(ISBLANK(Raw_Data!F1615),AVERAGE(Raw_Data!F$2:F$5002),Raw_Data!F1615)</f>
        <v>13181.18</v>
      </c>
      <c r="G1615" s="14" t="str">
        <f>IF(ISBLANK(Raw_Data!G1615),AVERAGE(Raw_Data!G$2:G$5002),Raw_Data!G1615)</f>
        <v>12665.23</v>
      </c>
      <c r="H1615" s="15" t="str">
        <f t="shared" si="1"/>
        <v>101571.00</v>
      </c>
      <c r="I1615" s="14" t="str">
        <f t="shared" si="2"/>
        <v>88906.00</v>
      </c>
      <c r="J1615" s="16" t="str">
        <f>TEXT(Raw_Data!J1615,"MMM-YYY")</f>
        <v>Sep-2025</v>
      </c>
      <c r="K1615" s="13" t="str">
        <f>Raw_Data!K1615</f>
        <v>19</v>
      </c>
      <c r="L1615" s="17" t="str">
        <f>Raw_Data!L1615</f>
        <v>Kolkata-East</v>
      </c>
      <c r="M1615" s="13" t="str">
        <f t="shared" si="3"/>
        <v>OK</v>
      </c>
      <c r="N1615" s="18" t="str">
        <f t="shared" si="4"/>
        <v>VALID</v>
      </c>
    </row>
    <row r="1616" ht="15.75" customHeight="1">
      <c r="A1616" s="13" t="str">
        <f>Raw_Data!A1616</f>
        <v>EMP1695</v>
      </c>
      <c r="B1616" s="13" t="str">
        <f>TRIM(CLEAN(Raw_Data!B1616))</f>
        <v>Marketing</v>
      </c>
      <c r="C1616" s="18" t="s">
        <v>33</v>
      </c>
      <c r="D1616" s="14" t="str">
        <f>IF(ISBLANK(Raw_Data!D1616),AVERAGE(Raw_Data!D$2:D$5002),Raw_Data!D1616)</f>
        <v>66592.74</v>
      </c>
      <c r="E1616" s="15" t="str">
        <f>IF(ISBLANK(Raw_Data!E1616),AVERAGE(Raw_Data!E$2:E$5002),Raw_Data!E1616)</f>
        <v>21812.57</v>
      </c>
      <c r="F1616" s="15" t="str">
        <f>IF(ISBLANK(Raw_Data!F1616),AVERAGE(Raw_Data!F$2:F$5002),Raw_Data!F1616)</f>
        <v>13188.86</v>
      </c>
      <c r="G1616" s="14" t="str">
        <f>IF(ISBLANK(Raw_Data!G1616),AVERAGE(Raw_Data!G$2:G$5002),Raw_Data!G1616)</f>
        <v>12668.63</v>
      </c>
      <c r="H1616" s="15" t="str">
        <f t="shared" si="1"/>
        <v>101594.00</v>
      </c>
      <c r="I1616" s="14" t="str">
        <f t="shared" si="2"/>
        <v>88925.00</v>
      </c>
      <c r="J1616" s="16" t="str">
        <f>TEXT(Raw_Data!J1616,"MMM-YYY")</f>
        <v>Feb-2025</v>
      </c>
      <c r="K1616" s="13" t="str">
        <f>Raw_Data!K1616</f>
        <v>8</v>
      </c>
      <c r="L1616" s="17" t="str">
        <f>Raw_Data!L1616</f>
        <v>Pune-West</v>
      </c>
      <c r="M1616" s="13" t="str">
        <f t="shared" si="3"/>
        <v>OK</v>
      </c>
      <c r="N1616" s="18" t="str">
        <f t="shared" si="4"/>
        <v>VALID</v>
      </c>
    </row>
    <row r="1617" ht="15.75" customHeight="1">
      <c r="A1617" s="13" t="str">
        <f>Raw_Data!A1617</f>
        <v>EMP1696</v>
      </c>
      <c r="B1617" s="13" t="str">
        <f>TRIM(CLEAN(Raw_Data!B1617))</f>
        <v>Finance</v>
      </c>
      <c r="C1617" s="18" t="s">
        <v>33</v>
      </c>
      <c r="D1617" s="14" t="str">
        <f>IF(ISBLANK(Raw_Data!D1617),AVERAGE(Raw_Data!D$2:D$5002),Raw_Data!D1617)</f>
        <v>66603.63</v>
      </c>
      <c r="E1617" s="15" t="str">
        <f>IF(ISBLANK(Raw_Data!E1617),AVERAGE(Raw_Data!E$2:E$5002),Raw_Data!E1617)</f>
        <v>21817.19</v>
      </c>
      <c r="F1617" s="15" t="str">
        <f>IF(ISBLANK(Raw_Data!F1617),AVERAGE(Raw_Data!F$2:F$5002),Raw_Data!F1617)</f>
        <v>13196.54</v>
      </c>
      <c r="G1617" s="14" t="str">
        <f>IF(ISBLANK(Raw_Data!G1617),AVERAGE(Raw_Data!G$2:G$5002),Raw_Data!G1617)</f>
        <v>12672.02</v>
      </c>
      <c r="H1617" s="15" t="str">
        <f t="shared" si="1"/>
        <v>101617.00</v>
      </c>
      <c r="I1617" s="14" t="str">
        <f t="shared" si="2"/>
        <v>88945.00</v>
      </c>
      <c r="J1617" s="16" t="str">
        <f>TEXT(Raw_Data!J1617,"MMM-YYY")</f>
        <v>Aug-2025</v>
      </c>
      <c r="K1617" s="13" t="str">
        <f>Raw_Data!K1617</f>
        <v>5</v>
      </c>
      <c r="L1617" s="17" t="str">
        <f>Raw_Data!L1617</f>
        <v>Hyderabad-South</v>
      </c>
      <c r="M1617" s="13" t="str">
        <f t="shared" si="3"/>
        <v>OK</v>
      </c>
      <c r="N1617" s="18" t="str">
        <f t="shared" si="4"/>
        <v>VALID</v>
      </c>
    </row>
    <row r="1618" ht="15.75" customHeight="1">
      <c r="A1618" s="13" t="str">
        <f>Raw_Data!A1618</f>
        <v>EMP1699</v>
      </c>
      <c r="B1618" s="13" t="str">
        <f>TRIM(CLEAN(Raw_Data!B1618))</f>
        <v>Sales</v>
      </c>
      <c r="C1618" s="18" t="s">
        <v>54</v>
      </c>
      <c r="D1618" s="14" t="str">
        <f>IF(ISBLANK(Raw_Data!D1618),AVERAGE(Raw_Data!D$2:D$5002),Raw_Data!D1618)</f>
        <v>66636.28</v>
      </c>
      <c r="E1618" s="15" t="str">
        <f>IF(ISBLANK(Raw_Data!E1618),AVERAGE(Raw_Data!E$2:E$5002),Raw_Data!E1618)</f>
        <v>21831.03</v>
      </c>
      <c r="F1618" s="15" t="str">
        <f>IF(ISBLANK(Raw_Data!F1618),AVERAGE(Raw_Data!F$2:F$5002),Raw_Data!F1618)</f>
        <v>13219.58</v>
      </c>
      <c r="G1618" s="14" t="str">
        <f>IF(ISBLANK(Raw_Data!G1618),AVERAGE(Raw_Data!G$2:G$5002),Raw_Data!G1618)</f>
        <v>12682.22</v>
      </c>
      <c r="H1618" s="15" t="str">
        <f t="shared" si="1"/>
        <v>101687.00</v>
      </c>
      <c r="I1618" s="14" t="str">
        <f t="shared" si="2"/>
        <v>89005.00</v>
      </c>
      <c r="J1618" s="16" t="str">
        <f>TEXT(Raw_Data!J1618,"MMM-YYY")</f>
        <v>Dec-2025</v>
      </c>
      <c r="K1618" s="13" t="str">
        <f>Raw_Data!K1618</f>
        <v>24</v>
      </c>
      <c r="L1618" s="17" t="str">
        <f>Raw_Data!L1618</f>
        <v>Jaipur-North</v>
      </c>
      <c r="M1618" s="13" t="str">
        <f t="shared" si="3"/>
        <v>OK</v>
      </c>
      <c r="N1618" s="18" t="str">
        <f t="shared" si="4"/>
        <v>VALID</v>
      </c>
    </row>
    <row r="1619" ht="15.75" customHeight="1">
      <c r="A1619" s="13" t="str">
        <f>Raw_Data!A1619</f>
        <v>EMP1700</v>
      </c>
      <c r="B1619" s="13" t="str">
        <f>TRIM(CLEAN(Raw_Data!B1619))</f>
        <v>HR</v>
      </c>
      <c r="C1619" s="18" t="s">
        <v>26</v>
      </c>
      <c r="D1619" s="14" t="str">
        <f>IF(ISBLANK(Raw_Data!D1619),AVERAGE(Raw_Data!D$2:D$5002),Raw_Data!D1619)</f>
        <v>66647.16</v>
      </c>
      <c r="E1619" s="15" t="str">
        <f>IF(ISBLANK(Raw_Data!E1619),AVERAGE(Raw_Data!E$2:E$5002),Raw_Data!E1619)</f>
        <v>21835.65</v>
      </c>
      <c r="F1619" s="15" t="str">
        <f>IF(ISBLANK(Raw_Data!F1619),AVERAGE(Raw_Data!F$2:F$5002),Raw_Data!F1619)</f>
        <v>13227.26</v>
      </c>
      <c r="G1619" s="14" t="str">
        <f>IF(ISBLANK(Raw_Data!G1619),AVERAGE(Raw_Data!G$2:G$5002),Raw_Data!G1619)</f>
        <v>12685.62</v>
      </c>
      <c r="H1619" s="15" t="str">
        <f t="shared" si="1"/>
        <v>101710.00</v>
      </c>
      <c r="I1619" s="14" t="str">
        <f t="shared" si="2"/>
        <v>89024.00</v>
      </c>
      <c r="J1619" s="16" t="str">
        <f>TEXT(Raw_Data!J1619,"MMM-YYY")</f>
        <v>Aug-2025</v>
      </c>
      <c r="K1619" s="13" t="str">
        <f>Raw_Data!K1619</f>
        <v>5</v>
      </c>
      <c r="L1619" s="17" t="str">
        <f>Raw_Data!L1619</f>
        <v>Mumbai-HO</v>
      </c>
      <c r="M1619" s="13" t="str">
        <f t="shared" si="3"/>
        <v>OK</v>
      </c>
      <c r="N1619" s="18" t="str">
        <f t="shared" si="4"/>
        <v>VALID</v>
      </c>
    </row>
    <row r="1620" ht="15.75" customHeight="1">
      <c r="A1620" s="13" t="str">
        <f>Raw_Data!A1620</f>
        <v>EMP1701</v>
      </c>
      <c r="B1620" s="13" t="str">
        <f>TRIM(CLEAN(Raw_Data!B1620))</f>
        <v>Finance</v>
      </c>
      <c r="C1620" s="18" t="s">
        <v>37</v>
      </c>
      <c r="D1620" s="14" t="str">
        <f>IF(ISBLANK(Raw_Data!D1620),AVERAGE(Raw_Data!D$2:D$5002),Raw_Data!D1620)</f>
        <v>66658.04</v>
      </c>
      <c r="E1620" s="15" t="str">
        <f>IF(ISBLANK(Raw_Data!E1620),AVERAGE(Raw_Data!E$2:E$5002),Raw_Data!E1620)</f>
        <v>21840.26</v>
      </c>
      <c r="F1620" s="15" t="str">
        <f>IF(ISBLANK(Raw_Data!F1620),AVERAGE(Raw_Data!F$2:F$5002),Raw_Data!F1620)</f>
        <v>13234.94</v>
      </c>
      <c r="G1620" s="14" t="str">
        <f>IF(ISBLANK(Raw_Data!G1620),AVERAGE(Raw_Data!G$2:G$5002),Raw_Data!G1620)</f>
        <v>12689.01</v>
      </c>
      <c r="H1620" s="15" t="str">
        <f t="shared" si="1"/>
        <v>101733.00</v>
      </c>
      <c r="I1620" s="14" t="str">
        <f t="shared" si="2"/>
        <v>89044.00</v>
      </c>
      <c r="J1620" s="16" t="str">
        <f>TEXT(Raw_Data!J1620,"MMM-YYY")</f>
        <v>Jul-2025</v>
      </c>
      <c r="K1620" s="13" t="str">
        <f>Raw_Data!K1620</f>
        <v>19</v>
      </c>
      <c r="L1620" s="17" t="str">
        <f>Raw_Data!L1620</f>
        <v>Delhi-North</v>
      </c>
      <c r="M1620" s="13" t="str">
        <f t="shared" si="3"/>
        <v>OK</v>
      </c>
      <c r="N1620" s="18" t="str">
        <f t="shared" si="4"/>
        <v>VALID</v>
      </c>
    </row>
    <row r="1621" ht="15.75" customHeight="1">
      <c r="A1621" s="13" t="str">
        <f>Raw_Data!A1621</f>
        <v>EMP1702</v>
      </c>
      <c r="B1621" s="13" t="str">
        <f>TRIM(CLEAN(Raw_Data!B1621))</f>
        <v>Finance</v>
      </c>
      <c r="C1621" s="18" t="s">
        <v>26</v>
      </c>
      <c r="D1621" s="14" t="str">
        <f>IF(ISBLANK(Raw_Data!D1621),AVERAGE(Raw_Data!D$2:D$5002),Raw_Data!D1621)</f>
        <v>66668.92</v>
      </c>
      <c r="E1621" s="15" t="str">
        <f>IF(ISBLANK(Raw_Data!E1621),AVERAGE(Raw_Data!E$2:E$5002),Raw_Data!E1621)</f>
        <v>21844.87</v>
      </c>
      <c r="F1621" s="15" t="str">
        <f>IF(ISBLANK(Raw_Data!F1621),AVERAGE(Raw_Data!F$2:F$5002),Raw_Data!F1621)</f>
        <v>13242.62</v>
      </c>
      <c r="G1621" s="14" t="str">
        <f>IF(ISBLANK(Raw_Data!G1621),AVERAGE(Raw_Data!G$2:G$5002),Raw_Data!G1621)</f>
        <v>12692.41</v>
      </c>
      <c r="H1621" s="15" t="str">
        <f t="shared" si="1"/>
        <v>101756.00</v>
      </c>
      <c r="I1621" s="14" t="str">
        <f t="shared" si="2"/>
        <v>89064.00</v>
      </c>
      <c r="J1621" s="16" t="str">
        <f>TEXT(Raw_Data!J1621,"MMM-YYY")</f>
        <v>Jul-2025</v>
      </c>
      <c r="K1621" s="13" t="str">
        <f>Raw_Data!K1621</f>
        <v>12</v>
      </c>
      <c r="L1621" s="17" t="str">
        <f>Raw_Data!L1621</f>
        <v>Bangalore-South</v>
      </c>
      <c r="M1621" s="13" t="str">
        <f t="shared" si="3"/>
        <v>OK</v>
      </c>
      <c r="N1621" s="18" t="str">
        <f t="shared" si="4"/>
        <v>VALID</v>
      </c>
    </row>
    <row r="1622" ht="15.75" customHeight="1">
      <c r="A1622" s="13" t="str">
        <f>Raw_Data!A1622</f>
        <v>EMP1703</v>
      </c>
      <c r="B1622" s="13" t="str">
        <f>TRIM(CLEAN(Raw_Data!B1622))</f>
        <v>Marketing</v>
      </c>
      <c r="C1622" s="18" t="s">
        <v>14</v>
      </c>
      <c r="D1622" s="14" t="str">
        <f>IF(ISBLANK(Raw_Data!D1622),AVERAGE(Raw_Data!D$2:D$5002),Raw_Data!D1622)</f>
        <v>66679.81</v>
      </c>
      <c r="E1622" s="15" t="str">
        <f>IF(ISBLANK(Raw_Data!E1622),AVERAGE(Raw_Data!E$2:E$5002),Raw_Data!E1622)</f>
        <v>21849.49</v>
      </c>
      <c r="F1622" s="15" t="str">
        <f>IF(ISBLANK(Raw_Data!F1622),AVERAGE(Raw_Data!F$2:F$5002),Raw_Data!F1622)</f>
        <v>13250.30</v>
      </c>
      <c r="G1622" s="14" t="str">
        <f>IF(ISBLANK(Raw_Data!G1622),AVERAGE(Raw_Data!G$2:G$5002),Raw_Data!G1622)</f>
        <v>12695.81</v>
      </c>
      <c r="H1622" s="15" t="str">
        <f t="shared" si="1"/>
        <v>101780.00</v>
      </c>
      <c r="I1622" s="14" t="str">
        <f t="shared" si="2"/>
        <v>89084.00</v>
      </c>
      <c r="J1622" s="16" t="str">
        <f>TEXT(Raw_Data!J1622,"MMM-YYY")</f>
        <v>Feb-2025</v>
      </c>
      <c r="K1622" s="13" t="str">
        <f>Raw_Data!K1622</f>
        <v>14</v>
      </c>
      <c r="L1622" s="17" t="str">
        <f>Raw_Data!L1622</f>
        <v>Chennai-South</v>
      </c>
      <c r="M1622" s="13" t="str">
        <f t="shared" si="3"/>
        <v>OK</v>
      </c>
      <c r="N1622" s="18" t="str">
        <f t="shared" si="4"/>
        <v>VALID</v>
      </c>
    </row>
    <row r="1623" ht="15.75" customHeight="1">
      <c r="A1623" s="13" t="str">
        <f>Raw_Data!A1623</f>
        <v>EMP1704</v>
      </c>
      <c r="B1623" s="13" t="str">
        <f>TRIM(CLEAN(Raw_Data!B1623))</f>
        <v>Marketing</v>
      </c>
      <c r="C1623" s="18" t="s">
        <v>14</v>
      </c>
      <c r="D1623" s="14" t="str">
        <f>IF(ISBLANK(Raw_Data!D1623),AVERAGE(Raw_Data!D$2:D$5002),Raw_Data!D1623)</f>
        <v>66690.69</v>
      </c>
      <c r="E1623" s="15" t="str">
        <f>IF(ISBLANK(Raw_Data!E1623),AVERAGE(Raw_Data!E$2:E$5002),Raw_Data!E1623)</f>
        <v>21854.10</v>
      </c>
      <c r="F1623" s="15" t="str">
        <f>IF(ISBLANK(Raw_Data!F1623),AVERAGE(Raw_Data!F$2:F$5002),Raw_Data!F1623)</f>
        <v>13257.98</v>
      </c>
      <c r="G1623" s="14" t="str">
        <f>IF(ISBLANK(Raw_Data!G1623),AVERAGE(Raw_Data!G$2:G$5002),Raw_Data!G1623)</f>
        <v>12699.21</v>
      </c>
      <c r="H1623" s="15" t="str">
        <f t="shared" si="1"/>
        <v>101803.00</v>
      </c>
      <c r="I1623" s="14" t="str">
        <f t="shared" si="2"/>
        <v>89104.00</v>
      </c>
      <c r="J1623" s="16" t="str">
        <f>TEXT(Raw_Data!J1623,"MMM-YYY")</f>
        <v>Apr-2025</v>
      </c>
      <c r="K1623" s="13" t="str">
        <f>Raw_Data!K1623</f>
        <v>3</v>
      </c>
      <c r="L1623" s="17" t="str">
        <f>Raw_Data!L1623</f>
        <v>Kolkata-East</v>
      </c>
      <c r="M1623" s="13" t="str">
        <f t="shared" si="3"/>
        <v>OK</v>
      </c>
      <c r="N1623" s="18" t="str">
        <f t="shared" si="4"/>
        <v>VALID</v>
      </c>
    </row>
    <row r="1624" ht="15.75" customHeight="1">
      <c r="A1624" s="13" t="str">
        <f>Raw_Data!A1624</f>
        <v>EMP1705</v>
      </c>
      <c r="B1624" s="13" t="str">
        <f>TRIM(CLEAN(Raw_Data!B1624))</f>
        <v>Operations</v>
      </c>
      <c r="C1624" s="18" t="s">
        <v>14</v>
      </c>
      <c r="D1624" s="14" t="str">
        <f>IF(ISBLANK(Raw_Data!D1624),AVERAGE(Raw_Data!D$2:D$5002),Raw_Data!D1624)</f>
        <v>66701.57</v>
      </c>
      <c r="E1624" s="15" t="str">
        <f>IF(ISBLANK(Raw_Data!E1624),AVERAGE(Raw_Data!E$2:E$5002),Raw_Data!E1624)</f>
        <v>21858.72</v>
      </c>
      <c r="F1624" s="15" t="str">
        <f>IF(ISBLANK(Raw_Data!F1624),AVERAGE(Raw_Data!F$2:F$5002),Raw_Data!F1624)</f>
        <v>13265.66</v>
      </c>
      <c r="G1624" s="14" t="str">
        <f>IF(ISBLANK(Raw_Data!G1624),AVERAGE(Raw_Data!G$2:G$5002),Raw_Data!G1624)</f>
        <v>12702.60</v>
      </c>
      <c r="H1624" s="15" t="str">
        <f t="shared" si="1"/>
        <v>101826.00</v>
      </c>
      <c r="I1624" s="14" t="str">
        <f t="shared" si="2"/>
        <v>89123.00</v>
      </c>
      <c r="J1624" s="16" t="str">
        <f>TEXT(Raw_Data!J1624,"MMM-YYY")</f>
        <v>Nov-2025</v>
      </c>
      <c r="K1624" s="13" t="str">
        <f>Raw_Data!K1624</f>
        <v>2</v>
      </c>
      <c r="L1624" s="17" t="str">
        <f>Raw_Data!L1624</f>
        <v>Pune-West</v>
      </c>
      <c r="M1624" s="13" t="str">
        <f t="shared" si="3"/>
        <v>OK</v>
      </c>
      <c r="N1624" s="18" t="str">
        <f t="shared" si="4"/>
        <v>VALID</v>
      </c>
    </row>
    <row r="1625" ht="15.75" customHeight="1">
      <c r="A1625" s="13" t="str">
        <f>Raw_Data!A1625</f>
        <v>EMP1706</v>
      </c>
      <c r="B1625" s="13" t="str">
        <f>TRIM(CLEAN(Raw_Data!B1625))</f>
        <v>Marketing</v>
      </c>
      <c r="C1625" s="18" t="s">
        <v>14</v>
      </c>
      <c r="D1625" s="14" t="str">
        <f>IF(ISBLANK(Raw_Data!D1625),AVERAGE(Raw_Data!D$2:D$5002),Raw_Data!D1625)</f>
        <v>66712.46</v>
      </c>
      <c r="E1625" s="15" t="str">
        <f>IF(ISBLANK(Raw_Data!E1625),AVERAGE(Raw_Data!E$2:E$5002),Raw_Data!E1625)</f>
        <v>21863.33</v>
      </c>
      <c r="F1625" s="15" t="str">
        <f>IF(ISBLANK(Raw_Data!F1625),AVERAGE(Raw_Data!F$2:F$5002),Raw_Data!F1625)</f>
        <v>13273.34</v>
      </c>
      <c r="G1625" s="14" t="str">
        <f>IF(ISBLANK(Raw_Data!G1625),AVERAGE(Raw_Data!G$2:G$5002),Raw_Data!G1625)</f>
        <v>12706.00</v>
      </c>
      <c r="H1625" s="15" t="str">
        <f t="shared" si="1"/>
        <v>101849.00</v>
      </c>
      <c r="I1625" s="14" t="str">
        <f t="shared" si="2"/>
        <v>89143.00</v>
      </c>
      <c r="J1625" s="16" t="str">
        <f>TEXT(Raw_Data!J1625,"MMM-YYY")</f>
        <v>Jun-2025</v>
      </c>
      <c r="K1625" s="13" t="str">
        <f>Raw_Data!K1625</f>
        <v>17</v>
      </c>
      <c r="L1625" s="17" t="str">
        <f>Raw_Data!L1625</f>
        <v>Hyderabad-South</v>
      </c>
      <c r="M1625" s="13" t="str">
        <f t="shared" si="3"/>
        <v>OK</v>
      </c>
      <c r="N1625" s="18" t="str">
        <f t="shared" si="4"/>
        <v>VALID</v>
      </c>
    </row>
    <row r="1626" ht="15.75" customHeight="1">
      <c r="A1626" s="13" t="str">
        <f>Raw_Data!A1626</f>
        <v>EMP1707</v>
      </c>
      <c r="B1626" s="13" t="str">
        <f>TRIM(CLEAN(Raw_Data!B1626))</f>
        <v>IT</v>
      </c>
      <c r="C1626" s="18" t="s">
        <v>37</v>
      </c>
      <c r="D1626" s="14" t="str">
        <f>IF(ISBLANK(Raw_Data!D1626),AVERAGE(Raw_Data!D$2:D$5002),Raw_Data!D1626)</f>
        <v>66723.34</v>
      </c>
      <c r="E1626" s="15" t="str">
        <f>IF(ISBLANK(Raw_Data!E1626),AVERAGE(Raw_Data!E$2:E$5002),Raw_Data!E1626)</f>
        <v>21867.95</v>
      </c>
      <c r="F1626" s="15" t="str">
        <f>IF(ISBLANK(Raw_Data!F1626),AVERAGE(Raw_Data!F$2:F$5002),Raw_Data!F1626)</f>
        <v>13281.02</v>
      </c>
      <c r="G1626" s="14" t="str">
        <f>IF(ISBLANK(Raw_Data!G1626),AVERAGE(Raw_Data!G$2:G$5002),Raw_Data!G1626)</f>
        <v>12709.40</v>
      </c>
      <c r="H1626" s="15" t="str">
        <f t="shared" si="1"/>
        <v>101872.00</v>
      </c>
      <c r="I1626" s="14" t="str">
        <f t="shared" si="2"/>
        <v>89163.00</v>
      </c>
      <c r="J1626" s="16" t="str">
        <f>TEXT(Raw_Data!J1626,"MMM-YYY")</f>
        <v>May-2025</v>
      </c>
      <c r="K1626" s="13" t="str">
        <f>Raw_Data!K1626</f>
        <v>7</v>
      </c>
      <c r="L1626" s="17" t="str">
        <f>Raw_Data!L1626</f>
        <v>Chandigarh-North</v>
      </c>
      <c r="M1626" s="13" t="str">
        <f t="shared" si="3"/>
        <v>OK</v>
      </c>
      <c r="N1626" s="18" t="str">
        <f t="shared" si="4"/>
        <v>VALID</v>
      </c>
    </row>
    <row r="1627" ht="15.75" customHeight="1">
      <c r="A1627" s="13" t="str">
        <f>Raw_Data!A1627</f>
        <v>EMP1708</v>
      </c>
      <c r="B1627" s="13" t="str">
        <f>TRIM(CLEAN(Raw_Data!B1627))</f>
        <v>Customer Support</v>
      </c>
      <c r="C1627" s="18" t="s">
        <v>54</v>
      </c>
      <c r="D1627" s="14" t="str">
        <f>IF(ISBLANK(Raw_Data!D1627),AVERAGE(Raw_Data!D$2:D$5002),Raw_Data!D1627)</f>
        <v>66734.22</v>
      </c>
      <c r="E1627" s="15" t="str">
        <f>IF(ISBLANK(Raw_Data!E1627),AVERAGE(Raw_Data!E$2:E$5002),Raw_Data!E1627)</f>
        <v>21872.56</v>
      </c>
      <c r="F1627" s="15" t="str">
        <f>IF(ISBLANK(Raw_Data!F1627),AVERAGE(Raw_Data!F$2:F$5002),Raw_Data!F1627)</f>
        <v>13288.70</v>
      </c>
      <c r="G1627" s="14" t="str">
        <f>IF(ISBLANK(Raw_Data!G1627),AVERAGE(Raw_Data!G$2:G$5002),Raw_Data!G1627)</f>
        <v>12712.80</v>
      </c>
      <c r="H1627" s="15" t="str">
        <f t="shared" si="1"/>
        <v>101895.00</v>
      </c>
      <c r="I1627" s="14" t="str">
        <f t="shared" si="2"/>
        <v>89182.00</v>
      </c>
      <c r="J1627" s="16" t="str">
        <f>TEXT(Raw_Data!J1627,"MMM-YYY")</f>
        <v>May-2025</v>
      </c>
      <c r="K1627" s="13" t="str">
        <f>Raw_Data!K1627</f>
        <v>18</v>
      </c>
      <c r="L1627" s="17" t="str">
        <f>Raw_Data!L1627</f>
        <v>Ahmedabad-West</v>
      </c>
      <c r="M1627" s="13" t="str">
        <f t="shared" si="3"/>
        <v>OK</v>
      </c>
      <c r="N1627" s="18" t="str">
        <f t="shared" si="4"/>
        <v>VALID</v>
      </c>
    </row>
    <row r="1628" ht="15.75" customHeight="1">
      <c r="A1628" s="13" t="str">
        <f>Raw_Data!A1628</f>
        <v>EMP1709</v>
      </c>
      <c r="B1628" s="13" t="str">
        <f>TRIM(CLEAN(Raw_Data!B1628))</f>
        <v>Operations</v>
      </c>
      <c r="C1628" s="18" t="s">
        <v>37</v>
      </c>
      <c r="D1628" s="14" t="str">
        <f>IF(ISBLANK(Raw_Data!D1628),AVERAGE(Raw_Data!D$2:D$5002),Raw_Data!D1628)</f>
        <v>66745.10</v>
      </c>
      <c r="E1628" s="15" t="str">
        <f>IF(ISBLANK(Raw_Data!E1628),AVERAGE(Raw_Data!E$2:E$5002),Raw_Data!E1628)</f>
        <v>21877.18</v>
      </c>
      <c r="F1628" s="15" t="str">
        <f>IF(ISBLANK(Raw_Data!F1628),AVERAGE(Raw_Data!F$2:F$5002),Raw_Data!F1628)</f>
        <v>13296.38</v>
      </c>
      <c r="G1628" s="14" t="str">
        <f>IF(ISBLANK(Raw_Data!G1628),AVERAGE(Raw_Data!G$2:G$5002),Raw_Data!G1628)</f>
        <v>12716.19</v>
      </c>
      <c r="H1628" s="15" t="str">
        <f t="shared" si="1"/>
        <v>101919.00</v>
      </c>
      <c r="I1628" s="14" t="str">
        <f t="shared" si="2"/>
        <v>89203.00</v>
      </c>
      <c r="J1628" s="16" t="str">
        <f>TEXT(Raw_Data!J1628,"MMM-YYY")</f>
        <v>Oct-2025</v>
      </c>
      <c r="K1628" s="13" t="str">
        <f>Raw_Data!K1628</f>
        <v>8</v>
      </c>
      <c r="L1628" s="17" t="str">
        <f>Raw_Data!L1628</f>
        <v>Jaipur-North</v>
      </c>
      <c r="M1628" s="13" t="str">
        <f t="shared" si="3"/>
        <v>OK</v>
      </c>
      <c r="N1628" s="18" t="str">
        <f t="shared" si="4"/>
        <v>VALID</v>
      </c>
    </row>
    <row r="1629" ht="15.75" customHeight="1">
      <c r="A1629" s="13" t="str">
        <f>Raw_Data!A1629</f>
        <v>EMP1710</v>
      </c>
      <c r="B1629" s="13" t="str">
        <f>TRIM(CLEAN(Raw_Data!B1629))</f>
        <v>HR</v>
      </c>
      <c r="C1629" s="18" t="s">
        <v>30</v>
      </c>
      <c r="D1629" s="14" t="str">
        <f>IF(ISBLANK(Raw_Data!D1629),AVERAGE(Raw_Data!D$2:D$5002),Raw_Data!D1629)</f>
        <v>66755.99</v>
      </c>
      <c r="E1629" s="15" t="str">
        <f>IF(ISBLANK(Raw_Data!E1629),AVERAGE(Raw_Data!E$2:E$5002),Raw_Data!E1629)</f>
        <v>21881.79</v>
      </c>
      <c r="F1629" s="15" t="str">
        <f>IF(ISBLANK(Raw_Data!F1629),AVERAGE(Raw_Data!F$2:F$5002),Raw_Data!F1629)</f>
        <v>13304.06</v>
      </c>
      <c r="G1629" s="14" t="str">
        <f>IF(ISBLANK(Raw_Data!G1629),AVERAGE(Raw_Data!G$2:G$5002),Raw_Data!G1629)</f>
        <v>12719.59</v>
      </c>
      <c r="H1629" s="15" t="str">
        <f t="shared" si="1"/>
        <v>101942.00</v>
      </c>
      <c r="I1629" s="14" t="str">
        <f t="shared" si="2"/>
        <v>89222.00</v>
      </c>
      <c r="J1629" s="16" t="str">
        <f>TEXT(Raw_Data!J1629,"MMM-YYY")</f>
        <v>Dec-2025</v>
      </c>
      <c r="K1629" s="13" t="str">
        <f>Raw_Data!K1629</f>
        <v>14</v>
      </c>
      <c r="L1629" s="17" t="str">
        <f>Raw_Data!L1629</f>
        <v>Mumbai-HO</v>
      </c>
      <c r="M1629" s="13" t="str">
        <f t="shared" si="3"/>
        <v>OK</v>
      </c>
      <c r="N1629" s="18" t="str">
        <f t="shared" si="4"/>
        <v>VALID</v>
      </c>
    </row>
    <row r="1630" ht="15.75" customHeight="1">
      <c r="A1630" s="13" t="str">
        <f>Raw_Data!A1630</f>
        <v>EMP1711</v>
      </c>
      <c r="B1630" s="13" t="str">
        <f>TRIM(CLEAN(Raw_Data!B1630))</f>
        <v>Finance</v>
      </c>
      <c r="C1630" s="18" t="s">
        <v>37</v>
      </c>
      <c r="D1630" s="14" t="str">
        <f>IF(ISBLANK(Raw_Data!D1630),AVERAGE(Raw_Data!D$2:D$5002),Raw_Data!D1630)</f>
        <v>66766.87</v>
      </c>
      <c r="E1630" s="15" t="str">
        <f>IF(ISBLANK(Raw_Data!E1630),AVERAGE(Raw_Data!E$2:E$5002),Raw_Data!E1630)</f>
        <v>21886.41</v>
      </c>
      <c r="F1630" s="15" t="str">
        <f>IF(ISBLANK(Raw_Data!F1630),AVERAGE(Raw_Data!F$2:F$5002),Raw_Data!F1630)</f>
        <v>13311.74</v>
      </c>
      <c r="G1630" s="14" t="str">
        <f>IF(ISBLANK(Raw_Data!G1630),AVERAGE(Raw_Data!G$2:G$5002),Raw_Data!G1630)</f>
        <v>12722.99</v>
      </c>
      <c r="H1630" s="15" t="str">
        <f t="shared" si="1"/>
        <v>101965.00</v>
      </c>
      <c r="I1630" s="14" t="str">
        <f t="shared" si="2"/>
        <v>89242.00</v>
      </c>
      <c r="J1630" s="16" t="str">
        <f>TEXT(Raw_Data!J1630,"MMM-YYY")</f>
        <v>Jun-2025</v>
      </c>
      <c r="K1630" s="13" t="str">
        <f>Raw_Data!K1630</f>
        <v>13</v>
      </c>
      <c r="L1630" s="17" t="str">
        <f>Raw_Data!L1630</f>
        <v>Delhi-North</v>
      </c>
      <c r="M1630" s="13" t="str">
        <f t="shared" si="3"/>
        <v>OK</v>
      </c>
      <c r="N1630" s="18" t="str">
        <f t="shared" si="4"/>
        <v>VALID</v>
      </c>
    </row>
    <row r="1631" ht="15.75" customHeight="1">
      <c r="A1631" s="13" t="str">
        <f>Raw_Data!A1631</f>
        <v>EMP1712</v>
      </c>
      <c r="B1631" s="13" t="str">
        <f>TRIM(CLEAN(Raw_Data!B1631))</f>
        <v>Sales</v>
      </c>
      <c r="C1631" s="18" t="s">
        <v>30</v>
      </c>
      <c r="D1631" s="14" t="str">
        <f>IF(ISBLANK(Raw_Data!D1631),AVERAGE(Raw_Data!D$2:D$5002),Raw_Data!D1631)</f>
        <v>66777.75</v>
      </c>
      <c r="E1631" s="15" t="str">
        <f>IF(ISBLANK(Raw_Data!E1631),AVERAGE(Raw_Data!E$2:E$5002),Raw_Data!E1631)</f>
        <v>21891.02</v>
      </c>
      <c r="F1631" s="15" t="str">
        <f>IF(ISBLANK(Raw_Data!F1631),AVERAGE(Raw_Data!F$2:F$5002),Raw_Data!F1631)</f>
        <v>13319.42</v>
      </c>
      <c r="G1631" s="14" t="str">
        <f>IF(ISBLANK(Raw_Data!G1631),AVERAGE(Raw_Data!G$2:G$5002),Raw_Data!G1631)</f>
        <v>12726.39</v>
      </c>
      <c r="H1631" s="15" t="str">
        <f t="shared" si="1"/>
        <v>101988.00</v>
      </c>
      <c r="I1631" s="14" t="str">
        <f t="shared" si="2"/>
        <v>89262.00</v>
      </c>
      <c r="J1631" s="16" t="str">
        <f>TEXT(Raw_Data!J1631,"MMM-YYY")</f>
        <v>Aug-2025</v>
      </c>
      <c r="K1631" s="13" t="str">
        <f>Raw_Data!K1631</f>
        <v>7</v>
      </c>
      <c r="L1631" s="17" t="str">
        <f>Raw_Data!L1631</f>
        <v>Bangalore-South</v>
      </c>
      <c r="M1631" s="13" t="str">
        <f t="shared" si="3"/>
        <v>OK</v>
      </c>
      <c r="N1631" s="18" t="str">
        <f t="shared" si="4"/>
        <v>VALID</v>
      </c>
    </row>
    <row r="1632" ht="15.75" customHeight="1">
      <c r="A1632" s="13" t="str">
        <f>Raw_Data!A1632</f>
        <v>EMP1713</v>
      </c>
      <c r="B1632" s="13" t="str">
        <f>TRIM(CLEAN(Raw_Data!B1632))</f>
        <v>Customer Support</v>
      </c>
      <c r="C1632" s="18" t="s">
        <v>54</v>
      </c>
      <c r="D1632" s="14" t="str">
        <f>IF(ISBLANK(Raw_Data!D1632),AVERAGE(Raw_Data!D$2:D$5002),Raw_Data!D1632)</f>
        <v>66788.64</v>
      </c>
      <c r="E1632" s="15" t="str">
        <f>IF(ISBLANK(Raw_Data!E1632),AVERAGE(Raw_Data!E$2:E$5002),Raw_Data!E1632)</f>
        <v>21895.64</v>
      </c>
      <c r="F1632" s="15" t="str">
        <f>IF(ISBLANK(Raw_Data!F1632),AVERAGE(Raw_Data!F$2:F$5002),Raw_Data!F1632)</f>
        <v>13327.10</v>
      </c>
      <c r="G1632" s="14" t="str">
        <f>IF(ISBLANK(Raw_Data!G1632),AVERAGE(Raw_Data!G$2:G$5002),Raw_Data!G1632)</f>
        <v>12729.78</v>
      </c>
      <c r="H1632" s="15" t="str">
        <f t="shared" si="1"/>
        <v>102011.00</v>
      </c>
      <c r="I1632" s="14" t="str">
        <f t="shared" si="2"/>
        <v>89281.00</v>
      </c>
      <c r="J1632" s="16" t="str">
        <f>TEXT(Raw_Data!J1632,"MMM-YYY")</f>
        <v>Aug-2025</v>
      </c>
      <c r="K1632" s="13" t="str">
        <f>Raw_Data!K1632</f>
        <v>22</v>
      </c>
      <c r="L1632" s="17" t="str">
        <f>Raw_Data!L1632</f>
        <v>Chennai-South</v>
      </c>
      <c r="M1632" s="13" t="str">
        <f t="shared" si="3"/>
        <v>OK</v>
      </c>
      <c r="N1632" s="18" t="str">
        <f t="shared" si="4"/>
        <v>VALID</v>
      </c>
    </row>
    <row r="1633" ht="15.75" customHeight="1">
      <c r="A1633" s="13" t="str">
        <f>Raw_Data!A1633</f>
        <v>EMP1714</v>
      </c>
      <c r="B1633" s="13" t="str">
        <f>TRIM(CLEAN(Raw_Data!B1633))</f>
        <v>Finance</v>
      </c>
      <c r="C1633" s="18" t="s">
        <v>30</v>
      </c>
      <c r="D1633" s="14" t="str">
        <f>IF(ISBLANK(Raw_Data!D1633),AVERAGE(Raw_Data!D$2:D$5002),Raw_Data!D1633)</f>
        <v>66799.52</v>
      </c>
      <c r="E1633" s="15" t="str">
        <f>IF(ISBLANK(Raw_Data!E1633),AVERAGE(Raw_Data!E$2:E$5002),Raw_Data!E1633)</f>
        <v>21900.25</v>
      </c>
      <c r="F1633" s="15" t="str">
        <f>IF(ISBLANK(Raw_Data!F1633),AVERAGE(Raw_Data!F$2:F$5002),Raw_Data!F1633)</f>
        <v>13334.78</v>
      </c>
      <c r="G1633" s="14" t="str">
        <f>IF(ISBLANK(Raw_Data!G1633),AVERAGE(Raw_Data!G$2:G$5002),Raw_Data!G1633)</f>
        <v>12733.18</v>
      </c>
      <c r="H1633" s="15" t="str">
        <f t="shared" si="1"/>
        <v>102035.00</v>
      </c>
      <c r="I1633" s="14" t="str">
        <f t="shared" si="2"/>
        <v>89302.00</v>
      </c>
      <c r="J1633" s="16" t="str">
        <f>TEXT(Raw_Data!J1633,"MMM-YYY")</f>
        <v>Mar-2025</v>
      </c>
      <c r="K1633" s="13" t="str">
        <f>Raw_Data!K1633</f>
        <v>7</v>
      </c>
      <c r="L1633" s="17" t="str">
        <f>Raw_Data!L1633</f>
        <v>Kolkata-East</v>
      </c>
      <c r="M1633" s="13" t="str">
        <f t="shared" si="3"/>
        <v>OK</v>
      </c>
      <c r="N1633" s="18" t="str">
        <f t="shared" si="4"/>
        <v>VALID</v>
      </c>
    </row>
    <row r="1634" ht="15.75" customHeight="1">
      <c r="A1634" s="13" t="str">
        <f>Raw_Data!A1634</f>
        <v>EMP1715</v>
      </c>
      <c r="B1634" s="13" t="str">
        <f>TRIM(CLEAN(Raw_Data!B1634))</f>
        <v>Marketing</v>
      </c>
      <c r="C1634" s="18" t="s">
        <v>18</v>
      </c>
      <c r="D1634" s="14" t="str">
        <f>IF(ISBLANK(Raw_Data!D1634),AVERAGE(Raw_Data!D$2:D$5002),Raw_Data!D1634)</f>
        <v>66810.40</v>
      </c>
      <c r="E1634" s="15" t="str">
        <f>IF(ISBLANK(Raw_Data!E1634),AVERAGE(Raw_Data!E$2:E$5002),Raw_Data!E1634)</f>
        <v>21904.87</v>
      </c>
      <c r="F1634" s="15" t="str">
        <f>IF(ISBLANK(Raw_Data!F1634),AVERAGE(Raw_Data!F$2:F$5002),Raw_Data!F1634)</f>
        <v>13342.46</v>
      </c>
      <c r="G1634" s="14" t="str">
        <f>IF(ISBLANK(Raw_Data!G1634),AVERAGE(Raw_Data!G$2:G$5002),Raw_Data!G1634)</f>
        <v>12736.58</v>
      </c>
      <c r="H1634" s="15" t="str">
        <f t="shared" si="1"/>
        <v>102058.00</v>
      </c>
      <c r="I1634" s="14" t="str">
        <f t="shared" si="2"/>
        <v>89321.00</v>
      </c>
      <c r="J1634" s="16" t="str">
        <f>TEXT(Raw_Data!J1634,"MMM-YYY")</f>
        <v>May-2025</v>
      </c>
      <c r="K1634" s="13" t="str">
        <f>Raw_Data!K1634</f>
        <v>10</v>
      </c>
      <c r="L1634" s="17" t="str">
        <f>Raw_Data!L1634</f>
        <v>Pune-West</v>
      </c>
      <c r="M1634" s="13" t="str">
        <f t="shared" si="3"/>
        <v>OK</v>
      </c>
      <c r="N1634" s="18" t="str">
        <f t="shared" si="4"/>
        <v>VALID</v>
      </c>
    </row>
    <row r="1635" ht="15.75" customHeight="1">
      <c r="A1635" s="13" t="str">
        <f>Raw_Data!A1635</f>
        <v>EMP1716</v>
      </c>
      <c r="B1635" s="13" t="str">
        <f>TRIM(CLEAN(Raw_Data!B1635))</f>
        <v>HR</v>
      </c>
      <c r="C1635" s="18" t="s">
        <v>37</v>
      </c>
      <c r="D1635" s="14" t="str">
        <f>IF(ISBLANK(Raw_Data!D1635),AVERAGE(Raw_Data!D$2:D$5002),Raw_Data!D1635)</f>
        <v>66821.29</v>
      </c>
      <c r="E1635" s="15" t="str">
        <f>IF(ISBLANK(Raw_Data!E1635),AVERAGE(Raw_Data!E$2:E$5002),Raw_Data!E1635)</f>
        <v>21909.48</v>
      </c>
      <c r="F1635" s="15" t="str">
        <f>IF(ISBLANK(Raw_Data!F1635),AVERAGE(Raw_Data!F$2:F$5002),Raw_Data!F1635)</f>
        <v>13350.14</v>
      </c>
      <c r="G1635" s="14" t="str">
        <f>IF(ISBLANK(Raw_Data!G1635),AVERAGE(Raw_Data!G$2:G$5002),Raw_Data!G1635)</f>
        <v>12739.98</v>
      </c>
      <c r="H1635" s="15" t="str">
        <f t="shared" si="1"/>
        <v>102081.00</v>
      </c>
      <c r="I1635" s="14" t="str">
        <f t="shared" si="2"/>
        <v>89341.00</v>
      </c>
      <c r="J1635" s="16" t="str">
        <f>TEXT(Raw_Data!J1635,"MMM-YYY")</f>
        <v>Aug-2025</v>
      </c>
      <c r="K1635" s="13" t="str">
        <f>Raw_Data!K1635</f>
        <v>19</v>
      </c>
      <c r="L1635" s="17" t="str">
        <f>Raw_Data!L1635</f>
        <v>Hyderabad-South</v>
      </c>
      <c r="M1635" s="13" t="str">
        <f t="shared" si="3"/>
        <v>OK</v>
      </c>
      <c r="N1635" s="18" t="str">
        <f t="shared" si="4"/>
        <v>VALID</v>
      </c>
    </row>
    <row r="1636" ht="15.75" customHeight="1">
      <c r="A1636" s="13" t="str">
        <f>Raw_Data!A1636</f>
        <v>EMP1717</v>
      </c>
      <c r="B1636" s="13" t="str">
        <f>TRIM(CLEAN(Raw_Data!B1636))</f>
        <v>Finance</v>
      </c>
      <c r="C1636" s="18" t="s">
        <v>37</v>
      </c>
      <c r="D1636" s="14" t="str">
        <f>IF(ISBLANK(Raw_Data!D1636),AVERAGE(Raw_Data!D$2:D$5002),Raw_Data!D1636)</f>
        <v>66832.17</v>
      </c>
      <c r="E1636" s="15" t="str">
        <f>IF(ISBLANK(Raw_Data!E1636),AVERAGE(Raw_Data!E$2:E$5002),Raw_Data!E1636)</f>
        <v>21914.10</v>
      </c>
      <c r="F1636" s="15" t="str">
        <f>IF(ISBLANK(Raw_Data!F1636),AVERAGE(Raw_Data!F$2:F$5002),Raw_Data!F1636)</f>
        <v>13357.82</v>
      </c>
      <c r="G1636" s="14" t="str">
        <f>IF(ISBLANK(Raw_Data!G1636),AVERAGE(Raw_Data!G$2:G$5002),Raw_Data!G1636)</f>
        <v>12743.37</v>
      </c>
      <c r="H1636" s="15" t="str">
        <f t="shared" si="1"/>
        <v>102104.00</v>
      </c>
      <c r="I1636" s="14" t="str">
        <f t="shared" si="2"/>
        <v>89361.00</v>
      </c>
      <c r="J1636" s="16" t="str">
        <f>TEXT(Raw_Data!J1636,"MMM-YYY")</f>
        <v>Jun-2025</v>
      </c>
      <c r="K1636" s="13" t="str">
        <f>Raw_Data!K1636</f>
        <v>18</v>
      </c>
      <c r="L1636" s="17" t="str">
        <f>Raw_Data!L1636</f>
        <v>Chandigarh-North</v>
      </c>
      <c r="M1636" s="13" t="str">
        <f t="shared" si="3"/>
        <v>OK</v>
      </c>
      <c r="N1636" s="18" t="str">
        <f t="shared" si="4"/>
        <v>VALID</v>
      </c>
    </row>
    <row r="1637" ht="15.75" customHeight="1">
      <c r="A1637" s="13" t="str">
        <f>Raw_Data!A1637</f>
        <v>EMP1718</v>
      </c>
      <c r="B1637" s="13" t="str">
        <f>TRIM(CLEAN(Raw_Data!B1637))</f>
        <v>Operations</v>
      </c>
      <c r="C1637" s="18" t="s">
        <v>37</v>
      </c>
      <c r="D1637" s="14" t="str">
        <f>IF(ISBLANK(Raw_Data!D1637),AVERAGE(Raw_Data!D$2:D$5002),Raw_Data!D1637)</f>
        <v>66843.05</v>
      </c>
      <c r="E1637" s="15" t="str">
        <f>IF(ISBLANK(Raw_Data!E1637),AVERAGE(Raw_Data!E$2:E$5002),Raw_Data!E1637)</f>
        <v>21918.71</v>
      </c>
      <c r="F1637" s="15" t="str">
        <f>IF(ISBLANK(Raw_Data!F1637),AVERAGE(Raw_Data!F$2:F$5002),Raw_Data!F1637)</f>
        <v>13365.50</v>
      </c>
      <c r="G1637" s="14" t="str">
        <f>IF(ISBLANK(Raw_Data!G1637),AVERAGE(Raw_Data!G$2:G$5002),Raw_Data!G1637)</f>
        <v>12746.77</v>
      </c>
      <c r="H1637" s="15" t="str">
        <f t="shared" si="1"/>
        <v>102127.00</v>
      </c>
      <c r="I1637" s="14" t="str">
        <f t="shared" si="2"/>
        <v>89380.00</v>
      </c>
      <c r="J1637" s="16" t="str">
        <f>TEXT(Raw_Data!J1637,"MMM-YYY")</f>
        <v>Apr-2025</v>
      </c>
      <c r="K1637" s="13" t="str">
        <f>Raw_Data!K1637</f>
        <v>17</v>
      </c>
      <c r="L1637" s="17" t="str">
        <f>Raw_Data!L1637</f>
        <v>Ahmedabad-West</v>
      </c>
      <c r="M1637" s="13" t="str">
        <f t="shared" si="3"/>
        <v>OK</v>
      </c>
      <c r="N1637" s="18" t="str">
        <f t="shared" si="4"/>
        <v>VALID</v>
      </c>
    </row>
    <row r="1638" ht="15.75" customHeight="1">
      <c r="A1638" s="13" t="str">
        <f>Raw_Data!A1638</f>
        <v>EMP1719</v>
      </c>
      <c r="B1638" s="13" t="str">
        <f>TRIM(CLEAN(Raw_Data!B1638))</f>
        <v>Operations</v>
      </c>
      <c r="C1638" s="18" t="s">
        <v>26</v>
      </c>
      <c r="D1638" s="14" t="str">
        <f>IF(ISBLANK(Raw_Data!D1638),AVERAGE(Raw_Data!D$2:D$5002),Raw_Data!D1638)</f>
        <v>66853.93</v>
      </c>
      <c r="E1638" s="15" t="str">
        <f>IF(ISBLANK(Raw_Data!E1638),AVERAGE(Raw_Data!E$2:E$5002),Raw_Data!E1638)</f>
        <v>21923.32</v>
      </c>
      <c r="F1638" s="15" t="str">
        <f>IF(ISBLANK(Raw_Data!F1638),AVERAGE(Raw_Data!F$2:F$5002),Raw_Data!F1638)</f>
        <v>13373.18</v>
      </c>
      <c r="G1638" s="14" t="str">
        <f>IF(ISBLANK(Raw_Data!G1638),AVERAGE(Raw_Data!G$2:G$5002),Raw_Data!G1638)</f>
        <v>12750.17</v>
      </c>
      <c r="H1638" s="15" t="str">
        <f t="shared" si="1"/>
        <v>102150.00</v>
      </c>
      <c r="I1638" s="14" t="str">
        <f t="shared" si="2"/>
        <v>89400.00</v>
      </c>
      <c r="J1638" s="16" t="str">
        <f>TEXT(Raw_Data!J1638,"MMM-YYY")</f>
        <v>Jan-2025</v>
      </c>
      <c r="K1638" s="13" t="str">
        <f>Raw_Data!K1638</f>
        <v>5</v>
      </c>
      <c r="L1638" s="17" t="str">
        <f>Raw_Data!L1638</f>
        <v>Jaipur-North</v>
      </c>
      <c r="M1638" s="13" t="str">
        <f t="shared" si="3"/>
        <v>OK</v>
      </c>
      <c r="N1638" s="18" t="str">
        <f t="shared" si="4"/>
        <v>VALID</v>
      </c>
    </row>
    <row r="1639" ht="15.75" customHeight="1">
      <c r="A1639" s="13" t="str">
        <f>Raw_Data!A1639</f>
        <v>EMP1720</v>
      </c>
      <c r="B1639" s="13" t="str">
        <f>TRIM(CLEAN(Raw_Data!B1639))</f>
        <v>Marketing</v>
      </c>
      <c r="C1639" s="18" t="s">
        <v>14</v>
      </c>
      <c r="D1639" s="14" t="str">
        <f>IF(ISBLANK(Raw_Data!D1639),AVERAGE(Raw_Data!D$2:D$5002),Raw_Data!D1639)</f>
        <v>66864.82</v>
      </c>
      <c r="E1639" s="15" t="str">
        <f>IF(ISBLANK(Raw_Data!E1639),AVERAGE(Raw_Data!E$2:E$5002),Raw_Data!E1639)</f>
        <v>21927.94</v>
      </c>
      <c r="F1639" s="15" t="str">
        <f>IF(ISBLANK(Raw_Data!F1639),AVERAGE(Raw_Data!F$2:F$5002),Raw_Data!F1639)</f>
        <v>13380.86</v>
      </c>
      <c r="G1639" s="14" t="str">
        <f>IF(ISBLANK(Raw_Data!G1639),AVERAGE(Raw_Data!G$2:G$5002),Raw_Data!G1639)</f>
        <v>12753.57</v>
      </c>
      <c r="H1639" s="15" t="str">
        <f t="shared" si="1"/>
        <v>102174.00</v>
      </c>
      <c r="I1639" s="14" t="str">
        <f t="shared" si="2"/>
        <v>89420.00</v>
      </c>
      <c r="J1639" s="16" t="str">
        <f>TEXT(Raw_Data!J1639,"MMM-YYY")</f>
        <v>Feb-2025</v>
      </c>
      <c r="K1639" s="13" t="str">
        <f>Raw_Data!K1639</f>
        <v>2</v>
      </c>
      <c r="L1639" s="17" t="str">
        <f>Raw_Data!L1639</f>
        <v>Mumbai-HO</v>
      </c>
      <c r="M1639" s="13" t="str">
        <f t="shared" si="3"/>
        <v>OK</v>
      </c>
      <c r="N1639" s="18" t="str">
        <f t="shared" si="4"/>
        <v>VALID</v>
      </c>
    </row>
    <row r="1640" ht="15.75" customHeight="1">
      <c r="A1640" s="13" t="str">
        <f>Raw_Data!A1640</f>
        <v>EMP1721</v>
      </c>
      <c r="B1640" s="13" t="str">
        <f>TRIM(CLEAN(Raw_Data!B1640))</f>
        <v>Marketing</v>
      </c>
      <c r="C1640" s="18" t="s">
        <v>33</v>
      </c>
      <c r="D1640" s="14" t="str">
        <f>IF(ISBLANK(Raw_Data!D1640),AVERAGE(Raw_Data!D$2:D$5002),Raw_Data!D1640)</f>
        <v>71831.17</v>
      </c>
      <c r="E1640" s="15" t="str">
        <f>IF(ISBLANK(Raw_Data!E1640),AVERAGE(Raw_Data!E$2:E$5002),Raw_Data!E1640)</f>
        <v>21932.55</v>
      </c>
      <c r="F1640" s="15" t="str">
        <f>IF(ISBLANK(Raw_Data!F1640),AVERAGE(Raw_Data!F$2:F$5002),Raw_Data!F1640)</f>
        <v>13388.54</v>
      </c>
      <c r="G1640" s="14" t="str">
        <f>IF(ISBLANK(Raw_Data!G1640),AVERAGE(Raw_Data!G$2:G$5002),Raw_Data!G1640)</f>
        <v>12756.96</v>
      </c>
      <c r="H1640" s="15" t="str">
        <f t="shared" si="1"/>
        <v>107152.00</v>
      </c>
      <c r="I1640" s="14" t="str">
        <f t="shared" si="2"/>
        <v>94395.00</v>
      </c>
      <c r="J1640" s="16" t="str">
        <f>TEXT(Raw_Data!J1640,"MMM-YYY")</f>
        <v>Jun-2025</v>
      </c>
      <c r="K1640" s="13" t="str">
        <f>Raw_Data!K1640</f>
        <v>16</v>
      </c>
      <c r="L1640" s="17" t="str">
        <f>Raw_Data!L1640</f>
        <v>Delhi-North</v>
      </c>
      <c r="M1640" s="13" t="str">
        <f t="shared" si="3"/>
        <v>OK</v>
      </c>
      <c r="N1640" s="18" t="str">
        <f t="shared" si="4"/>
        <v>VALID</v>
      </c>
    </row>
    <row r="1641" ht="15.75" customHeight="1">
      <c r="A1641" s="13" t="str">
        <f>Raw_Data!A1641</f>
        <v>EMP1722</v>
      </c>
      <c r="B1641" s="13" t="str">
        <f>TRIM(CLEAN(Raw_Data!B1641))</f>
        <v>Customer Support</v>
      </c>
      <c r="C1641" s="18" t="s">
        <v>26</v>
      </c>
      <c r="D1641" s="14" t="str">
        <f>IF(ISBLANK(Raw_Data!D1641),AVERAGE(Raw_Data!D$2:D$5002),Raw_Data!D1641)</f>
        <v>66886.58</v>
      </c>
      <c r="E1641" s="15" t="str">
        <f>IF(ISBLANK(Raw_Data!E1641),AVERAGE(Raw_Data!E$2:E$5002),Raw_Data!E1641)</f>
        <v>21937.17</v>
      </c>
      <c r="F1641" s="15" t="str">
        <f>IF(ISBLANK(Raw_Data!F1641),AVERAGE(Raw_Data!F$2:F$5002),Raw_Data!F1641)</f>
        <v>13396.22</v>
      </c>
      <c r="G1641" s="14" t="str">
        <f>IF(ISBLANK(Raw_Data!G1641),AVERAGE(Raw_Data!G$2:G$5002),Raw_Data!G1641)</f>
        <v>12760.36</v>
      </c>
      <c r="H1641" s="15" t="str">
        <f t="shared" si="1"/>
        <v>102220.00</v>
      </c>
      <c r="I1641" s="14" t="str">
        <f t="shared" si="2"/>
        <v>89460.00</v>
      </c>
      <c r="J1641" s="16" t="str">
        <f>TEXT(Raw_Data!J1641,"MMM-YYY")</f>
        <v>Apr-2025</v>
      </c>
      <c r="K1641" s="13" t="str">
        <f>Raw_Data!K1641</f>
        <v>9</v>
      </c>
      <c r="L1641" s="17" t="str">
        <f>Raw_Data!L1641</f>
        <v>Bangalore-South</v>
      </c>
      <c r="M1641" s="13" t="str">
        <f t="shared" si="3"/>
        <v>OK</v>
      </c>
      <c r="N1641" s="18" t="str">
        <f t="shared" si="4"/>
        <v>VALID</v>
      </c>
    </row>
    <row r="1642" ht="15.75" customHeight="1">
      <c r="A1642" s="13" t="str">
        <f>Raw_Data!A1642</f>
        <v>EMP1723</v>
      </c>
      <c r="B1642" s="13" t="str">
        <f>TRIM(CLEAN(Raw_Data!B1642))</f>
        <v>Customer Support</v>
      </c>
      <c r="C1642" s="18" t="s">
        <v>18</v>
      </c>
      <c r="D1642" s="14" t="str">
        <f>IF(ISBLANK(Raw_Data!D1642),AVERAGE(Raw_Data!D$2:D$5002),Raw_Data!D1642)</f>
        <v>66897.47</v>
      </c>
      <c r="E1642" s="15" t="str">
        <f>IF(ISBLANK(Raw_Data!E1642),AVERAGE(Raw_Data!E$2:E$5002),Raw_Data!E1642)</f>
        <v>21941.78</v>
      </c>
      <c r="F1642" s="15" t="str">
        <f>IF(ISBLANK(Raw_Data!F1642),AVERAGE(Raw_Data!F$2:F$5002),Raw_Data!F1642)</f>
        <v>13403.90</v>
      </c>
      <c r="G1642" s="14" t="str">
        <f>IF(ISBLANK(Raw_Data!G1642),AVERAGE(Raw_Data!G$2:G$5002),Raw_Data!G1642)</f>
        <v>12763.76</v>
      </c>
      <c r="H1642" s="15" t="str">
        <f t="shared" si="1"/>
        <v>102243.00</v>
      </c>
      <c r="I1642" s="14" t="str">
        <f t="shared" si="2"/>
        <v>89479.00</v>
      </c>
      <c r="J1642" s="16" t="str">
        <f>TEXT(Raw_Data!J1642,"MMM-YYY")</f>
        <v>Oct-2025</v>
      </c>
      <c r="K1642" s="13" t="str">
        <f>Raw_Data!K1642</f>
        <v>8</v>
      </c>
      <c r="L1642" s="17" t="str">
        <f>Raw_Data!L1642</f>
        <v>Chennai-South</v>
      </c>
      <c r="M1642" s="13" t="str">
        <f t="shared" si="3"/>
        <v>OK</v>
      </c>
      <c r="N1642" s="18" t="str">
        <f t="shared" si="4"/>
        <v>VALID</v>
      </c>
    </row>
    <row r="1643" ht="15.75" customHeight="1">
      <c r="A1643" s="13" t="str">
        <f>Raw_Data!A1643</f>
        <v>EMP1724</v>
      </c>
      <c r="B1643" s="13" t="str">
        <f>TRIM(CLEAN(Raw_Data!B1643))</f>
        <v>Customer Support</v>
      </c>
      <c r="C1643" s="18" t="s">
        <v>30</v>
      </c>
      <c r="D1643" s="14" t="str">
        <f>IF(ISBLANK(Raw_Data!D1643),AVERAGE(Raw_Data!D$2:D$5002),Raw_Data!D1643)</f>
        <v>66908.35</v>
      </c>
      <c r="E1643" s="15" t="str">
        <f>IF(ISBLANK(Raw_Data!E1643),AVERAGE(Raw_Data!E$2:E$5002),Raw_Data!E1643)</f>
        <v>21946.40</v>
      </c>
      <c r="F1643" s="15" t="str">
        <f>IF(ISBLANK(Raw_Data!F1643),AVERAGE(Raw_Data!F$2:F$5002),Raw_Data!F1643)</f>
        <v>13411.58</v>
      </c>
      <c r="G1643" s="14" t="str">
        <f>IF(ISBLANK(Raw_Data!G1643),AVERAGE(Raw_Data!G$2:G$5002),Raw_Data!G1643)</f>
        <v>12767.16</v>
      </c>
      <c r="H1643" s="15" t="str">
        <f t="shared" si="1"/>
        <v>102266.00</v>
      </c>
      <c r="I1643" s="14" t="str">
        <f t="shared" si="2"/>
        <v>89499.00</v>
      </c>
      <c r="J1643" s="16" t="str">
        <f>TEXT(Raw_Data!J1643,"MMM-YYY")</f>
        <v>May-2025</v>
      </c>
      <c r="K1643" s="13" t="str">
        <f>Raw_Data!K1643</f>
        <v>14</v>
      </c>
      <c r="L1643" s="17" t="str">
        <f>Raw_Data!L1643</f>
        <v>Kolkata-East</v>
      </c>
      <c r="M1643" s="13" t="str">
        <f t="shared" si="3"/>
        <v>OK</v>
      </c>
      <c r="N1643" s="18" t="str">
        <f t="shared" si="4"/>
        <v>VALID</v>
      </c>
    </row>
    <row r="1644" ht="15.75" customHeight="1">
      <c r="A1644" s="13" t="str">
        <f>Raw_Data!A1644</f>
        <v>EMP1725</v>
      </c>
      <c r="B1644" s="13" t="str">
        <f>TRIM(CLEAN(Raw_Data!B1644))</f>
        <v>Operations</v>
      </c>
      <c r="C1644" s="18" t="s">
        <v>30</v>
      </c>
      <c r="D1644" s="14" t="str">
        <f>IF(ISBLANK(Raw_Data!D1644),AVERAGE(Raw_Data!D$2:D$5002),Raw_Data!D1644)</f>
        <v>66919.23</v>
      </c>
      <c r="E1644" s="15" t="str">
        <f>IF(ISBLANK(Raw_Data!E1644),AVERAGE(Raw_Data!E$2:E$5002),Raw_Data!E1644)</f>
        <v>21951.01</v>
      </c>
      <c r="F1644" s="15" t="str">
        <f>IF(ISBLANK(Raw_Data!F1644),AVERAGE(Raw_Data!F$2:F$5002),Raw_Data!F1644)</f>
        <v>13419.26</v>
      </c>
      <c r="G1644" s="14" t="str">
        <f>IF(ISBLANK(Raw_Data!G1644),AVERAGE(Raw_Data!G$2:G$5002),Raw_Data!G1644)</f>
        <v>12770.55</v>
      </c>
      <c r="H1644" s="15" t="str">
        <f t="shared" si="1"/>
        <v>102290.00</v>
      </c>
      <c r="I1644" s="14" t="str">
        <f t="shared" si="2"/>
        <v>89519.00</v>
      </c>
      <c r="J1644" s="16" t="str">
        <f>TEXT(Raw_Data!J1644,"MMM-YYY")</f>
        <v>Jul-2025</v>
      </c>
      <c r="K1644" s="13" t="str">
        <f>Raw_Data!K1644</f>
        <v>20</v>
      </c>
      <c r="L1644" s="17" t="str">
        <f>Raw_Data!L1644</f>
        <v>Pune-West</v>
      </c>
      <c r="M1644" s="13" t="str">
        <f t="shared" si="3"/>
        <v>OK</v>
      </c>
      <c r="N1644" s="18" t="str">
        <f t="shared" si="4"/>
        <v>VALID</v>
      </c>
    </row>
    <row r="1645" ht="15.75" customHeight="1">
      <c r="A1645" s="13" t="str">
        <f>Raw_Data!A1645</f>
        <v>EMP1726</v>
      </c>
      <c r="B1645" s="13" t="str">
        <f>TRIM(CLEAN(Raw_Data!B1645))</f>
        <v>Customer Support</v>
      </c>
      <c r="C1645" s="18" t="s">
        <v>37</v>
      </c>
      <c r="D1645" s="14" t="str">
        <f>IF(ISBLANK(Raw_Data!D1645),AVERAGE(Raw_Data!D$2:D$5002),Raw_Data!D1645)</f>
        <v>66930.12</v>
      </c>
      <c r="E1645" s="15" t="str">
        <f>IF(ISBLANK(Raw_Data!E1645),AVERAGE(Raw_Data!E$2:E$5002),Raw_Data!E1645)</f>
        <v>21955.63</v>
      </c>
      <c r="F1645" s="15" t="str">
        <f>IF(ISBLANK(Raw_Data!F1645),AVERAGE(Raw_Data!F$2:F$5002),Raw_Data!F1645)</f>
        <v>13426.94</v>
      </c>
      <c r="G1645" s="14" t="str">
        <f>IF(ISBLANK(Raw_Data!G1645),AVERAGE(Raw_Data!G$2:G$5002),Raw_Data!G1645)</f>
        <v>12773.95</v>
      </c>
      <c r="H1645" s="15" t="str">
        <f t="shared" si="1"/>
        <v>102313.00</v>
      </c>
      <c r="I1645" s="14" t="str">
        <f t="shared" si="2"/>
        <v>89539.00</v>
      </c>
      <c r="J1645" s="16" t="str">
        <f>TEXT(Raw_Data!J1645,"MMM-YYY")</f>
        <v>Apr-2025</v>
      </c>
      <c r="K1645" s="13" t="str">
        <f>Raw_Data!K1645</f>
        <v>16</v>
      </c>
      <c r="L1645" s="17" t="str">
        <f>Raw_Data!L1645</f>
        <v>Hyderabad-South</v>
      </c>
      <c r="M1645" s="13" t="str">
        <f t="shared" si="3"/>
        <v>OK</v>
      </c>
      <c r="N1645" s="18" t="str">
        <f t="shared" si="4"/>
        <v>VALID</v>
      </c>
    </row>
    <row r="1646" ht="15.75" customHeight="1">
      <c r="A1646" s="13" t="str">
        <f>Raw_Data!A1646</f>
        <v>EMP1727</v>
      </c>
      <c r="B1646" s="13" t="str">
        <f>TRIM(CLEAN(Raw_Data!B1646))</f>
        <v>HR</v>
      </c>
      <c r="C1646" s="18" t="s">
        <v>33</v>
      </c>
      <c r="D1646" s="14" t="str">
        <f>IF(ISBLANK(Raw_Data!D1646),AVERAGE(Raw_Data!D$2:D$5002),Raw_Data!D1646)</f>
        <v>71831.17</v>
      </c>
      <c r="E1646" s="15" t="str">
        <f>IF(ISBLANK(Raw_Data!E1646),AVERAGE(Raw_Data!E$2:E$5002),Raw_Data!E1646)</f>
        <v>21960.24</v>
      </c>
      <c r="F1646" s="15" t="str">
        <f>IF(ISBLANK(Raw_Data!F1646),AVERAGE(Raw_Data!F$2:F$5002),Raw_Data!F1646)</f>
        <v>13434.62</v>
      </c>
      <c r="G1646" s="14" t="str">
        <f>IF(ISBLANK(Raw_Data!G1646),AVERAGE(Raw_Data!G$2:G$5002),Raw_Data!G1646)</f>
        <v>12777.35</v>
      </c>
      <c r="H1646" s="15" t="str">
        <f t="shared" si="1"/>
        <v>107226.00</v>
      </c>
      <c r="I1646" s="14" t="str">
        <f t="shared" si="2"/>
        <v>94449.00</v>
      </c>
      <c r="J1646" s="16" t="str">
        <f>TEXT(Raw_Data!J1646,"MMM-YYY")</f>
        <v>Jul-2025</v>
      </c>
      <c r="K1646" s="13" t="str">
        <f>Raw_Data!K1646</f>
        <v>8</v>
      </c>
      <c r="L1646" s="17" t="str">
        <f>Raw_Data!L1646</f>
        <v>Chandigarh-North</v>
      </c>
      <c r="M1646" s="13" t="str">
        <f t="shared" si="3"/>
        <v>OK</v>
      </c>
      <c r="N1646" s="18" t="str">
        <f t="shared" si="4"/>
        <v>VALID</v>
      </c>
    </row>
    <row r="1647" ht="15.75" customHeight="1">
      <c r="A1647" s="13" t="str">
        <f>Raw_Data!A1647</f>
        <v>EMP1728</v>
      </c>
      <c r="B1647" s="13" t="str">
        <f>TRIM(CLEAN(Raw_Data!B1647))</f>
        <v>Finance</v>
      </c>
      <c r="C1647" s="18" t="s">
        <v>18</v>
      </c>
      <c r="D1647" s="14" t="str">
        <f>IF(ISBLANK(Raw_Data!D1647),AVERAGE(Raw_Data!D$2:D$5002),Raw_Data!D1647)</f>
        <v>66951.88</v>
      </c>
      <c r="E1647" s="15" t="str">
        <f>IF(ISBLANK(Raw_Data!E1647),AVERAGE(Raw_Data!E$2:E$5002),Raw_Data!E1647)</f>
        <v>21964.86</v>
      </c>
      <c r="F1647" s="15" t="str">
        <f>IF(ISBLANK(Raw_Data!F1647),AVERAGE(Raw_Data!F$2:F$5002),Raw_Data!F1647)</f>
        <v>13442.30</v>
      </c>
      <c r="G1647" s="14" t="str">
        <f>IF(ISBLANK(Raw_Data!G1647),AVERAGE(Raw_Data!G$2:G$5002),Raw_Data!G1647)</f>
        <v>12780.75</v>
      </c>
      <c r="H1647" s="15" t="str">
        <f t="shared" si="1"/>
        <v>102359.00</v>
      </c>
      <c r="I1647" s="14" t="str">
        <f t="shared" si="2"/>
        <v>89578.00</v>
      </c>
      <c r="J1647" s="16" t="str">
        <f>TEXT(Raw_Data!J1647,"MMM-YYY")</f>
        <v>Aug-2025</v>
      </c>
      <c r="K1647" s="13" t="str">
        <f>Raw_Data!K1647</f>
        <v>1</v>
      </c>
      <c r="L1647" s="17" t="str">
        <f>Raw_Data!L1647</f>
        <v>Ahmedabad-West</v>
      </c>
      <c r="M1647" s="13" t="str">
        <f t="shared" si="3"/>
        <v>OK</v>
      </c>
      <c r="N1647" s="18" t="str">
        <f t="shared" si="4"/>
        <v>VALID</v>
      </c>
    </row>
    <row r="1648" ht="15.75" customHeight="1">
      <c r="A1648" s="13" t="str">
        <f>Raw_Data!A1648</f>
        <v>EMP1729</v>
      </c>
      <c r="B1648" s="13" t="str">
        <f>TRIM(CLEAN(Raw_Data!B1648))</f>
        <v>Marketing</v>
      </c>
      <c r="C1648" s="18" t="s">
        <v>30</v>
      </c>
      <c r="D1648" s="14" t="str">
        <f>IF(ISBLANK(Raw_Data!D1648),AVERAGE(Raw_Data!D$2:D$5002),Raw_Data!D1648)</f>
        <v>66962.76</v>
      </c>
      <c r="E1648" s="15" t="str">
        <f>IF(ISBLANK(Raw_Data!E1648),AVERAGE(Raw_Data!E$2:E$5002),Raw_Data!E1648)</f>
        <v>21969.47</v>
      </c>
      <c r="F1648" s="15" t="str">
        <f>IF(ISBLANK(Raw_Data!F1648),AVERAGE(Raw_Data!F$2:F$5002),Raw_Data!F1648)</f>
        <v>13449.98</v>
      </c>
      <c r="G1648" s="14" t="str">
        <f>IF(ISBLANK(Raw_Data!G1648),AVERAGE(Raw_Data!G$2:G$5002),Raw_Data!G1648)</f>
        <v>12784.14</v>
      </c>
      <c r="H1648" s="15" t="str">
        <f t="shared" si="1"/>
        <v>102382.00</v>
      </c>
      <c r="I1648" s="14" t="str">
        <f t="shared" si="2"/>
        <v>89598.00</v>
      </c>
      <c r="J1648" s="16" t="str">
        <f>TEXT(Raw_Data!J1648,"MMM-YYY")</f>
        <v>Dec-2025</v>
      </c>
      <c r="K1648" s="13" t="str">
        <f>Raw_Data!K1648</f>
        <v>8</v>
      </c>
      <c r="L1648" s="17" t="str">
        <f>Raw_Data!L1648</f>
        <v>Jaipur-North</v>
      </c>
      <c r="M1648" s="13" t="str">
        <f t="shared" si="3"/>
        <v>OK</v>
      </c>
      <c r="N1648" s="18" t="str">
        <f t="shared" si="4"/>
        <v>VALID</v>
      </c>
    </row>
    <row r="1649" ht="15.75" customHeight="1">
      <c r="A1649" s="13" t="str">
        <f>Raw_Data!A1649</f>
        <v>EMP1730</v>
      </c>
      <c r="B1649" s="13" t="str">
        <f>TRIM(CLEAN(Raw_Data!B1649))</f>
        <v>HR</v>
      </c>
      <c r="C1649" s="18" t="s">
        <v>18</v>
      </c>
      <c r="D1649" s="14" t="str">
        <f>IF(ISBLANK(Raw_Data!D1649),AVERAGE(Raw_Data!D$2:D$5002),Raw_Data!D1649)</f>
        <v>66973.65</v>
      </c>
      <c r="E1649" s="15" t="str">
        <f>IF(ISBLANK(Raw_Data!E1649),AVERAGE(Raw_Data!E$2:E$5002),Raw_Data!E1649)</f>
        <v>21974.09</v>
      </c>
      <c r="F1649" s="15" t="str">
        <f>IF(ISBLANK(Raw_Data!F1649),AVERAGE(Raw_Data!F$2:F$5002),Raw_Data!F1649)</f>
        <v>13457.66</v>
      </c>
      <c r="G1649" s="14" t="str">
        <f>IF(ISBLANK(Raw_Data!G1649),AVERAGE(Raw_Data!G$2:G$5002),Raw_Data!G1649)</f>
        <v>12787.54</v>
      </c>
      <c r="H1649" s="15" t="str">
        <f t="shared" si="1"/>
        <v>102405.00</v>
      </c>
      <c r="I1649" s="14" t="str">
        <f t="shared" si="2"/>
        <v>89617.00</v>
      </c>
      <c r="J1649" s="16" t="str">
        <f>TEXT(Raw_Data!J1649,"MMM-YYY")</f>
        <v>Jun-2025</v>
      </c>
      <c r="K1649" s="13" t="str">
        <f>Raw_Data!K1649</f>
        <v>21</v>
      </c>
      <c r="L1649" s="17" t="str">
        <f>Raw_Data!L1649</f>
        <v>Mumbai-HO</v>
      </c>
      <c r="M1649" s="13" t="str">
        <f t="shared" si="3"/>
        <v>OK</v>
      </c>
      <c r="N1649" s="18" t="str">
        <f t="shared" si="4"/>
        <v>VALID</v>
      </c>
    </row>
    <row r="1650" ht="15.75" customHeight="1">
      <c r="A1650" s="13" t="str">
        <f>Raw_Data!A1650</f>
        <v>EMP1731</v>
      </c>
      <c r="B1650" s="13" t="str">
        <f>TRIM(CLEAN(Raw_Data!B1650))</f>
        <v>IT</v>
      </c>
      <c r="C1650" s="18" t="s">
        <v>18</v>
      </c>
      <c r="D1650" s="14" t="str">
        <f>IF(ISBLANK(Raw_Data!D1650),AVERAGE(Raw_Data!D$2:D$5002),Raw_Data!D1650)</f>
        <v>66984.53</v>
      </c>
      <c r="E1650" s="15" t="str">
        <f>IF(ISBLANK(Raw_Data!E1650),AVERAGE(Raw_Data!E$2:E$5002),Raw_Data!E1650)</f>
        <v>21978.70</v>
      </c>
      <c r="F1650" s="15" t="str">
        <f>IF(ISBLANK(Raw_Data!F1650),AVERAGE(Raw_Data!F$2:F$5002),Raw_Data!F1650)</f>
        <v>13465.34</v>
      </c>
      <c r="G1650" s="14" t="str">
        <f>IF(ISBLANK(Raw_Data!G1650),AVERAGE(Raw_Data!G$2:G$5002),Raw_Data!G1650)</f>
        <v>12790.94</v>
      </c>
      <c r="H1650" s="15" t="str">
        <f t="shared" si="1"/>
        <v>102429.00</v>
      </c>
      <c r="I1650" s="14" t="str">
        <f t="shared" si="2"/>
        <v>89638.00</v>
      </c>
      <c r="J1650" s="16" t="str">
        <f>TEXT(Raw_Data!J1650,"MMM-YYY")</f>
        <v>Aug-2025</v>
      </c>
      <c r="K1650" s="13" t="str">
        <f>Raw_Data!K1650</f>
        <v>20</v>
      </c>
      <c r="L1650" s="17" t="str">
        <f>Raw_Data!L1650</f>
        <v>Delhi-North</v>
      </c>
      <c r="M1650" s="13" t="str">
        <f t="shared" si="3"/>
        <v>OK</v>
      </c>
      <c r="N1650" s="18" t="str">
        <f t="shared" si="4"/>
        <v>VALID</v>
      </c>
    </row>
    <row r="1651" ht="15.75" customHeight="1">
      <c r="A1651" s="13" t="str">
        <f>Raw_Data!A1651</f>
        <v>EMP1732</v>
      </c>
      <c r="B1651" s="13" t="str">
        <f>TRIM(CLEAN(Raw_Data!B1651))</f>
        <v>Operations</v>
      </c>
      <c r="C1651" s="18" t="s">
        <v>14</v>
      </c>
      <c r="D1651" s="14" t="str">
        <f>IF(ISBLANK(Raw_Data!D1651),AVERAGE(Raw_Data!D$2:D$5002),Raw_Data!D1651)</f>
        <v>66995.41</v>
      </c>
      <c r="E1651" s="15" t="str">
        <f>IF(ISBLANK(Raw_Data!E1651),AVERAGE(Raw_Data!E$2:E$5002),Raw_Data!E1651)</f>
        <v>21983.32</v>
      </c>
      <c r="F1651" s="15" t="str">
        <f>IF(ISBLANK(Raw_Data!F1651),AVERAGE(Raw_Data!F$2:F$5002),Raw_Data!F1651)</f>
        <v>13473.02</v>
      </c>
      <c r="G1651" s="14" t="str">
        <f>IF(ISBLANK(Raw_Data!G1651),AVERAGE(Raw_Data!G$2:G$5002),Raw_Data!G1651)</f>
        <v>12794.34</v>
      </c>
      <c r="H1651" s="15" t="str">
        <f t="shared" si="1"/>
        <v>102452.00</v>
      </c>
      <c r="I1651" s="14" t="str">
        <f t="shared" si="2"/>
        <v>89658.00</v>
      </c>
      <c r="J1651" s="16" t="str">
        <f>TEXT(Raw_Data!J1651,"MMM-YYY")</f>
        <v>Jul-2025</v>
      </c>
      <c r="K1651" s="13" t="str">
        <f>Raw_Data!K1651</f>
        <v>23</v>
      </c>
      <c r="L1651" s="17" t="str">
        <f>Raw_Data!L1651</f>
        <v>Bangalore-South</v>
      </c>
      <c r="M1651" s="13" t="str">
        <f t="shared" si="3"/>
        <v>OK</v>
      </c>
      <c r="N1651" s="18" t="str">
        <f t="shared" si="4"/>
        <v>VALID</v>
      </c>
    </row>
    <row r="1652" ht="15.75" customHeight="1">
      <c r="A1652" s="13" t="str">
        <f>Raw_Data!A1652</f>
        <v>EMP1733</v>
      </c>
      <c r="B1652" s="13" t="str">
        <f>TRIM(CLEAN(Raw_Data!B1652))</f>
        <v>Sales</v>
      </c>
      <c r="C1652" s="18" t="s">
        <v>18</v>
      </c>
      <c r="D1652" s="14" t="str">
        <f>IF(ISBLANK(Raw_Data!D1652),AVERAGE(Raw_Data!D$2:D$5002),Raw_Data!D1652)</f>
        <v>67006.30</v>
      </c>
      <c r="E1652" s="15" t="str">
        <f>IF(ISBLANK(Raw_Data!E1652),AVERAGE(Raw_Data!E$2:E$5002),Raw_Data!E1652)</f>
        <v>21987.93</v>
      </c>
      <c r="F1652" s="15" t="str">
        <f>IF(ISBLANK(Raw_Data!F1652),AVERAGE(Raw_Data!F$2:F$5002),Raw_Data!F1652)</f>
        <v>13480.70</v>
      </c>
      <c r="G1652" s="14" t="str">
        <f>IF(ISBLANK(Raw_Data!G1652),AVERAGE(Raw_Data!G$2:G$5002),Raw_Data!G1652)</f>
        <v>12797.73</v>
      </c>
      <c r="H1652" s="15" t="str">
        <f t="shared" si="1"/>
        <v>102475.00</v>
      </c>
      <c r="I1652" s="14" t="str">
        <f t="shared" si="2"/>
        <v>89677.00</v>
      </c>
      <c r="J1652" s="16" t="str">
        <f>TEXT(Raw_Data!J1652,"MMM-YYY")</f>
        <v>May-2025</v>
      </c>
      <c r="K1652" s="13" t="str">
        <f>Raw_Data!K1652</f>
        <v>10</v>
      </c>
      <c r="L1652" s="17" t="str">
        <f>Raw_Data!L1652</f>
        <v>Chennai-South</v>
      </c>
      <c r="M1652" s="13" t="str">
        <f t="shared" si="3"/>
        <v>OK</v>
      </c>
      <c r="N1652" s="18" t="str">
        <f t="shared" si="4"/>
        <v>VALID</v>
      </c>
    </row>
    <row r="1653" ht="15.75" customHeight="1">
      <c r="A1653" s="13" t="str">
        <f>Raw_Data!A1653</f>
        <v>EMP1734</v>
      </c>
      <c r="B1653" s="13" t="str">
        <f>TRIM(CLEAN(Raw_Data!B1653))</f>
        <v>Finance</v>
      </c>
      <c r="C1653" s="18" t="s">
        <v>54</v>
      </c>
      <c r="D1653" s="14" t="str">
        <f>IF(ISBLANK(Raw_Data!D1653),AVERAGE(Raw_Data!D$2:D$5002),Raw_Data!D1653)</f>
        <v>67017.18</v>
      </c>
      <c r="E1653" s="15" t="str">
        <f>IF(ISBLANK(Raw_Data!E1653),AVERAGE(Raw_Data!E$2:E$5002),Raw_Data!E1653)</f>
        <v>21992.55</v>
      </c>
      <c r="F1653" s="15" t="str">
        <f>IF(ISBLANK(Raw_Data!F1653),AVERAGE(Raw_Data!F$2:F$5002),Raw_Data!F1653)</f>
        <v>13488.38</v>
      </c>
      <c r="G1653" s="14" t="str">
        <f>IF(ISBLANK(Raw_Data!G1653),AVERAGE(Raw_Data!G$2:G$5002),Raw_Data!G1653)</f>
        <v>12801.13</v>
      </c>
      <c r="H1653" s="15" t="str">
        <f t="shared" si="1"/>
        <v>102498.00</v>
      </c>
      <c r="I1653" s="14" t="str">
        <f t="shared" si="2"/>
        <v>89697.00</v>
      </c>
      <c r="J1653" s="16" t="str">
        <f>TEXT(Raw_Data!J1653,"MMM-YYY")</f>
        <v>Jun-2025</v>
      </c>
      <c r="K1653" s="13" t="str">
        <f>Raw_Data!K1653</f>
        <v>25</v>
      </c>
      <c r="L1653" s="17" t="str">
        <f>Raw_Data!L1653</f>
        <v>Kolkata-East</v>
      </c>
      <c r="M1653" s="13" t="str">
        <f t="shared" si="3"/>
        <v>OK</v>
      </c>
      <c r="N1653" s="18" t="str">
        <f t="shared" si="4"/>
        <v>VALID</v>
      </c>
    </row>
    <row r="1654" ht="15.75" customHeight="1">
      <c r="A1654" s="13" t="str">
        <f>Raw_Data!A1654</f>
        <v>EMP1735</v>
      </c>
      <c r="B1654" s="13" t="str">
        <f>TRIM(CLEAN(Raw_Data!B1654))</f>
        <v>IT</v>
      </c>
      <c r="C1654" s="18" t="s">
        <v>37</v>
      </c>
      <c r="D1654" s="14" t="str">
        <f>IF(ISBLANK(Raw_Data!D1654),AVERAGE(Raw_Data!D$2:D$5002),Raw_Data!D1654)</f>
        <v>67028.06</v>
      </c>
      <c r="E1654" s="15" t="str">
        <f>IF(ISBLANK(Raw_Data!E1654),AVERAGE(Raw_Data!E$2:E$5002),Raw_Data!E1654)</f>
        <v>21997.16</v>
      </c>
      <c r="F1654" s="15" t="str">
        <f>IF(ISBLANK(Raw_Data!F1654),AVERAGE(Raw_Data!F$2:F$5002),Raw_Data!F1654)</f>
        <v>13496.06</v>
      </c>
      <c r="G1654" s="14" t="str">
        <f>IF(ISBLANK(Raw_Data!G1654),AVERAGE(Raw_Data!G$2:G$5002),Raw_Data!G1654)</f>
        <v>12804.53</v>
      </c>
      <c r="H1654" s="15" t="str">
        <f t="shared" si="1"/>
        <v>102521.00</v>
      </c>
      <c r="I1654" s="14" t="str">
        <f t="shared" si="2"/>
        <v>89716.00</v>
      </c>
      <c r="J1654" s="16" t="str">
        <f>TEXT(Raw_Data!J1654,"MMM-YYY")</f>
        <v>Aug-2025</v>
      </c>
      <c r="K1654" s="13" t="str">
        <f>Raw_Data!K1654</f>
        <v>10</v>
      </c>
      <c r="L1654" s="17" t="str">
        <f>Raw_Data!L1654</f>
        <v>Pune-West</v>
      </c>
      <c r="M1654" s="13" t="str">
        <f t="shared" si="3"/>
        <v>OK</v>
      </c>
      <c r="N1654" s="18" t="str">
        <f t="shared" si="4"/>
        <v>VALID</v>
      </c>
    </row>
    <row r="1655" ht="15.75" customHeight="1">
      <c r="A1655" s="13" t="str">
        <f>Raw_Data!A1655</f>
        <v>EMP1736</v>
      </c>
      <c r="B1655" s="13" t="str">
        <f>TRIM(CLEAN(Raw_Data!B1655))</f>
        <v>Sales</v>
      </c>
      <c r="C1655" s="18" t="s">
        <v>26</v>
      </c>
      <c r="D1655" s="14" t="str">
        <f>IF(ISBLANK(Raw_Data!D1655),AVERAGE(Raw_Data!D$2:D$5002),Raw_Data!D1655)</f>
        <v>67038.94</v>
      </c>
      <c r="E1655" s="15" t="str">
        <f>IF(ISBLANK(Raw_Data!E1655),AVERAGE(Raw_Data!E$2:E$5002),Raw_Data!E1655)</f>
        <v>22001.78</v>
      </c>
      <c r="F1655" s="15" t="str">
        <f>IF(ISBLANK(Raw_Data!F1655),AVERAGE(Raw_Data!F$2:F$5002),Raw_Data!F1655)</f>
        <v>13503.74</v>
      </c>
      <c r="G1655" s="14" t="str">
        <f>IF(ISBLANK(Raw_Data!G1655),AVERAGE(Raw_Data!G$2:G$5002),Raw_Data!G1655)</f>
        <v>12807.93</v>
      </c>
      <c r="H1655" s="15" t="str">
        <f t="shared" si="1"/>
        <v>102544.00</v>
      </c>
      <c r="I1655" s="14" t="str">
        <f t="shared" si="2"/>
        <v>89736.00</v>
      </c>
      <c r="J1655" s="16" t="str">
        <f>TEXT(Raw_Data!J1655,"MMM-YYY")</f>
        <v>Jul-2025</v>
      </c>
      <c r="K1655" s="13" t="str">
        <f>Raw_Data!K1655</f>
        <v>10</v>
      </c>
      <c r="L1655" s="17" t="str">
        <f>Raw_Data!L1655</f>
        <v>Hyderabad-South</v>
      </c>
      <c r="M1655" s="13" t="str">
        <f t="shared" si="3"/>
        <v>OK</v>
      </c>
      <c r="N1655" s="18" t="str">
        <f t="shared" si="4"/>
        <v>VALID</v>
      </c>
    </row>
    <row r="1656" ht="15.75" customHeight="1">
      <c r="A1656" s="13" t="str">
        <f>Raw_Data!A1656</f>
        <v>EMP1737</v>
      </c>
      <c r="B1656" s="13" t="str">
        <f>TRIM(CLEAN(Raw_Data!B1656))</f>
        <v>HR</v>
      </c>
      <c r="C1656" s="18" t="s">
        <v>14</v>
      </c>
      <c r="D1656" s="14" t="str">
        <f>IF(ISBLANK(Raw_Data!D1656),AVERAGE(Raw_Data!D$2:D$5002),Raw_Data!D1656)</f>
        <v>71831.17</v>
      </c>
      <c r="E1656" s="15" t="str">
        <f>IF(ISBLANK(Raw_Data!E1656),AVERAGE(Raw_Data!E$2:E$5002),Raw_Data!E1656)</f>
        <v>22006.39</v>
      </c>
      <c r="F1656" s="15" t="str">
        <f>IF(ISBLANK(Raw_Data!F1656),AVERAGE(Raw_Data!F$2:F$5002),Raw_Data!F1656)</f>
        <v>13511.42</v>
      </c>
      <c r="G1656" s="14" t="str">
        <f>IF(ISBLANK(Raw_Data!G1656),AVERAGE(Raw_Data!G$2:G$5002),Raw_Data!G1656)</f>
        <v>12811.32</v>
      </c>
      <c r="H1656" s="15" t="str">
        <f t="shared" si="1"/>
        <v>107349.00</v>
      </c>
      <c r="I1656" s="14" t="str">
        <f t="shared" si="2"/>
        <v>94538.00</v>
      </c>
      <c r="J1656" s="16" t="str">
        <f>TEXT(Raw_Data!J1656,"MMM-YYY")</f>
        <v>May-2025</v>
      </c>
      <c r="K1656" s="13" t="str">
        <f>Raw_Data!K1656</f>
        <v>8</v>
      </c>
      <c r="L1656" s="17" t="str">
        <f>Raw_Data!L1656</f>
        <v>Chandigarh-North</v>
      </c>
      <c r="M1656" s="13" t="str">
        <f t="shared" si="3"/>
        <v>OK</v>
      </c>
      <c r="N1656" s="18" t="str">
        <f t="shared" si="4"/>
        <v>VALID</v>
      </c>
    </row>
    <row r="1657" ht="15.75" customHeight="1">
      <c r="A1657" s="13" t="str">
        <f>Raw_Data!A1657</f>
        <v>EMP1738</v>
      </c>
      <c r="B1657" s="13" t="str">
        <f>TRIM(CLEAN(Raw_Data!B1657))</f>
        <v>Finance</v>
      </c>
      <c r="C1657" s="18" t="s">
        <v>18</v>
      </c>
      <c r="D1657" s="14" t="str">
        <f>IF(ISBLANK(Raw_Data!D1657),AVERAGE(Raw_Data!D$2:D$5002),Raw_Data!D1657)</f>
        <v>67060.71</v>
      </c>
      <c r="E1657" s="15" t="str">
        <f>IF(ISBLANK(Raw_Data!E1657),AVERAGE(Raw_Data!E$2:E$5002),Raw_Data!E1657)</f>
        <v>22011.00</v>
      </c>
      <c r="F1657" s="15" t="str">
        <f>IF(ISBLANK(Raw_Data!F1657),AVERAGE(Raw_Data!F$2:F$5002),Raw_Data!F1657)</f>
        <v>13519.10</v>
      </c>
      <c r="G1657" s="14" t="str">
        <f>IF(ISBLANK(Raw_Data!G1657),AVERAGE(Raw_Data!G$2:G$5002),Raw_Data!G1657)</f>
        <v>12814.72</v>
      </c>
      <c r="H1657" s="15" t="str">
        <f t="shared" si="1"/>
        <v>102591.00</v>
      </c>
      <c r="I1657" s="14" t="str">
        <f t="shared" si="2"/>
        <v>89776.00</v>
      </c>
      <c r="J1657" s="16" t="str">
        <f>TEXT(Raw_Data!J1657,"MMM-YYY")</f>
        <v>Nov-2025</v>
      </c>
      <c r="K1657" s="13" t="str">
        <f>Raw_Data!K1657</f>
        <v>21</v>
      </c>
      <c r="L1657" s="17" t="str">
        <f>Raw_Data!L1657</f>
        <v>Ahmedabad-West</v>
      </c>
      <c r="M1657" s="13" t="str">
        <f t="shared" si="3"/>
        <v>OK</v>
      </c>
      <c r="N1657" s="18" t="str">
        <f t="shared" si="4"/>
        <v>VALID</v>
      </c>
    </row>
    <row r="1658" ht="15.75" customHeight="1">
      <c r="A1658" s="13" t="str">
        <f>Raw_Data!A1658</f>
        <v>EMP1739</v>
      </c>
      <c r="B1658" s="13" t="str">
        <f>TRIM(CLEAN(Raw_Data!B1658))</f>
        <v>HR</v>
      </c>
      <c r="C1658" s="18" t="s">
        <v>18</v>
      </c>
      <c r="D1658" s="14" t="str">
        <f>IF(ISBLANK(Raw_Data!D1658),AVERAGE(Raw_Data!D$2:D$5002),Raw_Data!D1658)</f>
        <v>67071.59</v>
      </c>
      <c r="E1658" s="15" t="str">
        <f>IF(ISBLANK(Raw_Data!E1658),AVERAGE(Raw_Data!E$2:E$5002),Raw_Data!E1658)</f>
        <v>22015.62</v>
      </c>
      <c r="F1658" s="15" t="str">
        <f>IF(ISBLANK(Raw_Data!F1658),AVERAGE(Raw_Data!F$2:F$5002),Raw_Data!F1658)</f>
        <v>13526.78</v>
      </c>
      <c r="G1658" s="14" t="str">
        <f>IF(ISBLANK(Raw_Data!G1658),AVERAGE(Raw_Data!G$2:G$5002),Raw_Data!G1658)</f>
        <v>12818.12</v>
      </c>
      <c r="H1658" s="15" t="str">
        <f t="shared" si="1"/>
        <v>102614.00</v>
      </c>
      <c r="I1658" s="14" t="str">
        <f t="shared" si="2"/>
        <v>89796.00</v>
      </c>
      <c r="J1658" s="16" t="str">
        <f>TEXT(Raw_Data!J1658,"MMM-YYY")</f>
        <v>Apr-2025</v>
      </c>
      <c r="K1658" s="13" t="str">
        <f>Raw_Data!K1658</f>
        <v>4</v>
      </c>
      <c r="L1658" s="17" t="str">
        <f>Raw_Data!L1658</f>
        <v>Jaipur-North</v>
      </c>
      <c r="M1658" s="13" t="str">
        <f t="shared" si="3"/>
        <v>OK</v>
      </c>
      <c r="N1658" s="18" t="str">
        <f t="shared" si="4"/>
        <v>VALID</v>
      </c>
    </row>
    <row r="1659" ht="15.75" customHeight="1">
      <c r="A1659" s="13" t="str">
        <f>Raw_Data!A1659</f>
        <v>EMP1740</v>
      </c>
      <c r="B1659" s="13" t="str">
        <f>TRIM(CLEAN(Raw_Data!B1659))</f>
        <v>Finance</v>
      </c>
      <c r="C1659" s="18" t="s">
        <v>14</v>
      </c>
      <c r="D1659" s="14" t="str">
        <f>IF(ISBLANK(Raw_Data!D1659),AVERAGE(Raw_Data!D$2:D$5002),Raw_Data!D1659)</f>
        <v>67082.48</v>
      </c>
      <c r="E1659" s="15" t="str">
        <f>IF(ISBLANK(Raw_Data!E1659),AVERAGE(Raw_Data!E$2:E$5002),Raw_Data!E1659)</f>
        <v>22020.23</v>
      </c>
      <c r="F1659" s="15" t="str">
        <f>IF(ISBLANK(Raw_Data!F1659),AVERAGE(Raw_Data!F$2:F$5002),Raw_Data!F1659)</f>
        <v>13534.46</v>
      </c>
      <c r="G1659" s="14" t="str">
        <f>IF(ISBLANK(Raw_Data!G1659),AVERAGE(Raw_Data!G$2:G$5002),Raw_Data!G1659)</f>
        <v>12821.52</v>
      </c>
      <c r="H1659" s="15" t="str">
        <f t="shared" si="1"/>
        <v>102637.00</v>
      </c>
      <c r="I1659" s="14" t="str">
        <f t="shared" si="2"/>
        <v>89815.00</v>
      </c>
      <c r="J1659" s="16" t="str">
        <f>TEXT(Raw_Data!J1659,"MMM-YYY")</f>
        <v>Feb-2025</v>
      </c>
      <c r="K1659" s="13" t="str">
        <f>Raw_Data!K1659</f>
        <v>23</v>
      </c>
      <c r="L1659" s="17" t="str">
        <f>Raw_Data!L1659</f>
        <v>Mumbai-HO</v>
      </c>
      <c r="M1659" s="13" t="str">
        <f t="shared" si="3"/>
        <v>OK</v>
      </c>
      <c r="N1659" s="18" t="str">
        <f t="shared" si="4"/>
        <v>VALID</v>
      </c>
    </row>
    <row r="1660" ht="15.75" customHeight="1">
      <c r="A1660" s="13" t="str">
        <f>Raw_Data!A1660</f>
        <v>EMP1741</v>
      </c>
      <c r="B1660" s="13" t="str">
        <f>TRIM(CLEAN(Raw_Data!B1660))</f>
        <v>Marketing</v>
      </c>
      <c r="C1660" s="18" t="s">
        <v>18</v>
      </c>
      <c r="D1660" s="14" t="str">
        <f>IF(ISBLANK(Raw_Data!D1660),AVERAGE(Raw_Data!D$2:D$5002),Raw_Data!D1660)</f>
        <v>67093.36</v>
      </c>
      <c r="E1660" s="15" t="str">
        <f>IF(ISBLANK(Raw_Data!E1660),AVERAGE(Raw_Data!E$2:E$5002),Raw_Data!E1660)</f>
        <v>22024.85</v>
      </c>
      <c r="F1660" s="15" t="str">
        <f>IF(ISBLANK(Raw_Data!F1660),AVERAGE(Raw_Data!F$2:F$5002),Raw_Data!F1660)</f>
        <v>13542.14</v>
      </c>
      <c r="G1660" s="14" t="str">
        <f>IF(ISBLANK(Raw_Data!G1660),AVERAGE(Raw_Data!G$2:G$5002),Raw_Data!G1660)</f>
        <v>12824.91</v>
      </c>
      <c r="H1660" s="15" t="str">
        <f t="shared" si="1"/>
        <v>102660.00</v>
      </c>
      <c r="I1660" s="14" t="str">
        <f t="shared" si="2"/>
        <v>89835.00</v>
      </c>
      <c r="J1660" s="16" t="str">
        <f>TEXT(Raw_Data!J1660,"MMM-YYY")</f>
        <v>Dec-2025</v>
      </c>
      <c r="K1660" s="13" t="str">
        <f>Raw_Data!K1660</f>
        <v>14</v>
      </c>
      <c r="L1660" s="17" t="str">
        <f>Raw_Data!L1660</f>
        <v>Delhi-North</v>
      </c>
      <c r="M1660" s="13" t="str">
        <f t="shared" si="3"/>
        <v>OK</v>
      </c>
      <c r="N1660" s="18" t="str">
        <f t="shared" si="4"/>
        <v>VALID</v>
      </c>
    </row>
    <row r="1661" ht="15.75" customHeight="1">
      <c r="A1661" s="13" t="str">
        <f>Raw_Data!A1661</f>
        <v>EMP1742</v>
      </c>
      <c r="B1661" s="13" t="str">
        <f>TRIM(CLEAN(Raw_Data!B1661))</f>
        <v>Finance</v>
      </c>
      <c r="C1661" s="18" t="s">
        <v>37</v>
      </c>
      <c r="D1661" s="14" t="str">
        <f>IF(ISBLANK(Raw_Data!D1661),AVERAGE(Raw_Data!D$2:D$5002),Raw_Data!D1661)</f>
        <v>67104.24</v>
      </c>
      <c r="E1661" s="15" t="str">
        <f>IF(ISBLANK(Raw_Data!E1661),AVERAGE(Raw_Data!E$2:E$5002),Raw_Data!E1661)</f>
        <v>22029.46</v>
      </c>
      <c r="F1661" s="15" t="str">
        <f>IF(ISBLANK(Raw_Data!F1661),AVERAGE(Raw_Data!F$2:F$5002),Raw_Data!F1661)</f>
        <v>13549.82</v>
      </c>
      <c r="G1661" s="14" t="str">
        <f>IF(ISBLANK(Raw_Data!G1661),AVERAGE(Raw_Data!G$2:G$5002),Raw_Data!G1661)</f>
        <v>12828.31</v>
      </c>
      <c r="H1661" s="15" t="str">
        <f t="shared" si="1"/>
        <v>102684.00</v>
      </c>
      <c r="I1661" s="14" t="str">
        <f t="shared" si="2"/>
        <v>89856.00</v>
      </c>
      <c r="J1661" s="16" t="str">
        <f>TEXT(Raw_Data!J1661,"MMM-YYY")</f>
        <v>Aug-2025</v>
      </c>
      <c r="K1661" s="13" t="str">
        <f>Raw_Data!K1661</f>
        <v>22</v>
      </c>
      <c r="L1661" s="17" t="str">
        <f>Raw_Data!L1661</f>
        <v>Bangalore-South</v>
      </c>
      <c r="M1661" s="13" t="str">
        <f t="shared" si="3"/>
        <v>OK</v>
      </c>
      <c r="N1661" s="18" t="str">
        <f t="shared" si="4"/>
        <v>VALID</v>
      </c>
    </row>
    <row r="1662" ht="15.75" customHeight="1">
      <c r="A1662" s="13" t="str">
        <f>Raw_Data!A1662</f>
        <v>EMP1743</v>
      </c>
      <c r="B1662" s="13" t="str">
        <f>TRIM(CLEAN(Raw_Data!B1662))</f>
        <v>IT</v>
      </c>
      <c r="C1662" s="18" t="s">
        <v>26</v>
      </c>
      <c r="D1662" s="14" t="str">
        <f>IF(ISBLANK(Raw_Data!D1662),AVERAGE(Raw_Data!D$2:D$5002),Raw_Data!D1662)</f>
        <v>67115.13</v>
      </c>
      <c r="E1662" s="15" t="str">
        <f>IF(ISBLANK(Raw_Data!E1662),AVERAGE(Raw_Data!E$2:E$5002),Raw_Data!E1662)</f>
        <v>22034.08</v>
      </c>
      <c r="F1662" s="15" t="str">
        <f>IF(ISBLANK(Raw_Data!F1662),AVERAGE(Raw_Data!F$2:F$5002),Raw_Data!F1662)</f>
        <v>13557.50</v>
      </c>
      <c r="G1662" s="14" t="str">
        <f>IF(ISBLANK(Raw_Data!G1662),AVERAGE(Raw_Data!G$2:G$5002),Raw_Data!G1662)</f>
        <v>12831.71</v>
      </c>
      <c r="H1662" s="15" t="str">
        <f t="shared" si="1"/>
        <v>102707.00</v>
      </c>
      <c r="I1662" s="14" t="str">
        <f t="shared" si="2"/>
        <v>89875.00</v>
      </c>
      <c r="J1662" s="16" t="str">
        <f>TEXT(Raw_Data!J1662,"MMM-YYY")</f>
        <v>Jun-2025</v>
      </c>
      <c r="K1662" s="13" t="str">
        <f>Raw_Data!K1662</f>
        <v>15</v>
      </c>
      <c r="L1662" s="17" t="str">
        <f>Raw_Data!L1662</f>
        <v>Chennai-South</v>
      </c>
      <c r="M1662" s="13" t="str">
        <f t="shared" si="3"/>
        <v>OK</v>
      </c>
      <c r="N1662" s="18" t="str">
        <f t="shared" si="4"/>
        <v>VALID</v>
      </c>
    </row>
    <row r="1663" ht="15.75" customHeight="1">
      <c r="A1663" s="13" t="str">
        <f>Raw_Data!A1663</f>
        <v>EMP1744</v>
      </c>
      <c r="B1663" s="13" t="str">
        <f>TRIM(CLEAN(Raw_Data!B1663))</f>
        <v>HR</v>
      </c>
      <c r="C1663" s="18" t="s">
        <v>30</v>
      </c>
      <c r="D1663" s="14" t="str">
        <f>IF(ISBLANK(Raw_Data!D1663),AVERAGE(Raw_Data!D$2:D$5002),Raw_Data!D1663)</f>
        <v>67126.01</v>
      </c>
      <c r="E1663" s="15" t="str">
        <f>IF(ISBLANK(Raw_Data!E1663),AVERAGE(Raw_Data!E$2:E$5002),Raw_Data!E1663)</f>
        <v>22038.69</v>
      </c>
      <c r="F1663" s="15" t="str">
        <f>IF(ISBLANK(Raw_Data!F1663),AVERAGE(Raw_Data!F$2:F$5002),Raw_Data!F1663)</f>
        <v>13565.18</v>
      </c>
      <c r="G1663" s="14" t="str">
        <f>IF(ISBLANK(Raw_Data!G1663),AVERAGE(Raw_Data!G$2:G$5002),Raw_Data!G1663)</f>
        <v>12835.11</v>
      </c>
      <c r="H1663" s="15" t="str">
        <f t="shared" si="1"/>
        <v>102730.00</v>
      </c>
      <c r="I1663" s="14" t="str">
        <f t="shared" si="2"/>
        <v>89895.00</v>
      </c>
      <c r="J1663" s="16" t="str">
        <f>TEXT(Raw_Data!J1663,"MMM-YYY")</f>
        <v>Mar-2025</v>
      </c>
      <c r="K1663" s="13" t="str">
        <f>Raw_Data!K1663</f>
        <v>15</v>
      </c>
      <c r="L1663" s="17" t="str">
        <f>Raw_Data!L1663</f>
        <v>Kolkata-East</v>
      </c>
      <c r="M1663" s="13" t="str">
        <f t="shared" si="3"/>
        <v>OK</v>
      </c>
      <c r="N1663" s="18" t="str">
        <f t="shared" si="4"/>
        <v>VALID</v>
      </c>
    </row>
    <row r="1664" ht="15.75" customHeight="1">
      <c r="A1664" s="13" t="str">
        <f>Raw_Data!A1664</f>
        <v>EMP1745</v>
      </c>
      <c r="B1664" s="13" t="str">
        <f>TRIM(CLEAN(Raw_Data!B1664))</f>
        <v>IT</v>
      </c>
      <c r="C1664" s="18" t="s">
        <v>33</v>
      </c>
      <c r="D1664" s="14" t="str">
        <f>IF(ISBLANK(Raw_Data!D1664),AVERAGE(Raw_Data!D$2:D$5002),Raw_Data!D1664)</f>
        <v>67136.89</v>
      </c>
      <c r="E1664" s="15" t="str">
        <f>IF(ISBLANK(Raw_Data!E1664),AVERAGE(Raw_Data!E$2:E$5002),Raw_Data!E1664)</f>
        <v>22043.31</v>
      </c>
      <c r="F1664" s="15" t="str">
        <f>IF(ISBLANK(Raw_Data!F1664),AVERAGE(Raw_Data!F$2:F$5002),Raw_Data!F1664)</f>
        <v>13572.86</v>
      </c>
      <c r="G1664" s="14" t="str">
        <f>IF(ISBLANK(Raw_Data!G1664),AVERAGE(Raw_Data!G$2:G$5002),Raw_Data!G1664)</f>
        <v>12838.50</v>
      </c>
      <c r="H1664" s="15" t="str">
        <f t="shared" si="1"/>
        <v>102753.00</v>
      </c>
      <c r="I1664" s="14" t="str">
        <f t="shared" si="2"/>
        <v>89914.00</v>
      </c>
      <c r="J1664" s="16" t="str">
        <f>TEXT(Raw_Data!J1664,"MMM-YYY")</f>
        <v>Nov-2025</v>
      </c>
      <c r="K1664" s="13" t="str">
        <f>Raw_Data!K1664</f>
        <v>11</v>
      </c>
      <c r="L1664" s="17" t="str">
        <f>Raw_Data!L1664</f>
        <v>Pune-West</v>
      </c>
      <c r="M1664" s="13" t="str">
        <f t="shared" si="3"/>
        <v>OK</v>
      </c>
      <c r="N1664" s="18" t="str">
        <f t="shared" si="4"/>
        <v>VALID</v>
      </c>
    </row>
    <row r="1665" ht="15.75" customHeight="1">
      <c r="A1665" s="13" t="str">
        <f>Raw_Data!A1665</f>
        <v>EMP1747</v>
      </c>
      <c r="B1665" s="13" t="str">
        <f>TRIM(CLEAN(Raw_Data!B1665))</f>
        <v>Finance</v>
      </c>
      <c r="C1665" s="18" t="s">
        <v>54</v>
      </c>
      <c r="D1665" s="14" t="str">
        <f>IF(ISBLANK(Raw_Data!D1665),AVERAGE(Raw_Data!D$2:D$5002),Raw_Data!D1665)</f>
        <v>67158.66</v>
      </c>
      <c r="E1665" s="15" t="str">
        <f>IF(ISBLANK(Raw_Data!E1665),AVERAGE(Raw_Data!E$2:E$5002),Raw_Data!E1665)</f>
        <v>22052.54</v>
      </c>
      <c r="F1665" s="15" t="str">
        <f>IF(ISBLANK(Raw_Data!F1665),AVERAGE(Raw_Data!F$2:F$5002),Raw_Data!F1665)</f>
        <v>13588.22</v>
      </c>
      <c r="G1665" s="14" t="str">
        <f>IF(ISBLANK(Raw_Data!G1665),AVERAGE(Raw_Data!G$2:G$5002),Raw_Data!G1665)</f>
        <v>12845.30</v>
      </c>
      <c r="H1665" s="15" t="str">
        <f t="shared" si="1"/>
        <v>102799.00</v>
      </c>
      <c r="I1665" s="14" t="str">
        <f t="shared" si="2"/>
        <v>89954.00</v>
      </c>
      <c r="J1665" s="16" t="str">
        <f>TEXT(Raw_Data!J1665,"MMM-YYY")</f>
        <v>Mar-2025</v>
      </c>
      <c r="K1665" s="13" t="str">
        <f>Raw_Data!K1665</f>
        <v>12</v>
      </c>
      <c r="L1665" s="17" t="str">
        <f>Raw_Data!L1665</f>
        <v>Chandigarh-North</v>
      </c>
      <c r="M1665" s="13" t="str">
        <f t="shared" si="3"/>
        <v>OK</v>
      </c>
      <c r="N1665" s="18" t="str">
        <f t="shared" si="4"/>
        <v>VALID</v>
      </c>
    </row>
    <row r="1666" ht="15.75" customHeight="1">
      <c r="A1666" s="13" t="str">
        <f>Raw_Data!A1666</f>
        <v>EMP1748</v>
      </c>
      <c r="B1666" s="13" t="str">
        <f>TRIM(CLEAN(Raw_Data!B1666))</f>
        <v>Operations</v>
      </c>
      <c r="C1666" s="18" t="s">
        <v>18</v>
      </c>
      <c r="D1666" s="14" t="str">
        <f>IF(ISBLANK(Raw_Data!D1666),AVERAGE(Raw_Data!D$2:D$5002),Raw_Data!D1666)</f>
        <v>67169.54</v>
      </c>
      <c r="E1666" s="15" t="str">
        <f>IF(ISBLANK(Raw_Data!E1666),AVERAGE(Raw_Data!E$2:E$5002),Raw_Data!E1666)</f>
        <v>22057.15</v>
      </c>
      <c r="F1666" s="15" t="str">
        <f>IF(ISBLANK(Raw_Data!F1666),AVERAGE(Raw_Data!F$2:F$5002),Raw_Data!F1666)</f>
        <v>13595.90</v>
      </c>
      <c r="G1666" s="14" t="str">
        <f>IF(ISBLANK(Raw_Data!G1666),AVERAGE(Raw_Data!G$2:G$5002),Raw_Data!G1666)</f>
        <v>12848.70</v>
      </c>
      <c r="H1666" s="15" t="str">
        <f t="shared" si="1"/>
        <v>102823.00</v>
      </c>
      <c r="I1666" s="14" t="str">
        <f t="shared" si="2"/>
        <v>89974.00</v>
      </c>
      <c r="J1666" s="16" t="str">
        <f>TEXT(Raw_Data!J1666,"MMM-YYY")</f>
        <v>Jun-2025</v>
      </c>
      <c r="K1666" s="13" t="str">
        <f>Raw_Data!K1666</f>
        <v>3</v>
      </c>
      <c r="L1666" s="17" t="str">
        <f>Raw_Data!L1666</f>
        <v>Ahmedabad-West</v>
      </c>
      <c r="M1666" s="13" t="str">
        <f t="shared" si="3"/>
        <v>OK</v>
      </c>
      <c r="N1666" s="18" t="str">
        <f t="shared" si="4"/>
        <v>VALID</v>
      </c>
    </row>
    <row r="1667" ht="15.75" customHeight="1">
      <c r="A1667" s="13" t="str">
        <f>Raw_Data!A1667</f>
        <v>EMP1749</v>
      </c>
      <c r="B1667" s="13" t="s">
        <v>13</v>
      </c>
      <c r="C1667" s="18" t="s">
        <v>14</v>
      </c>
      <c r="D1667" s="14" t="str">
        <f>IF(ISBLANK(Raw_Data!D1667),AVERAGE(Raw_Data!D$2:D$5002),Raw_Data!D1667)</f>
        <v>67180.42</v>
      </c>
      <c r="E1667" s="15" t="str">
        <f>IF(ISBLANK(Raw_Data!E1667),AVERAGE(Raw_Data!E$2:E$5002),Raw_Data!E1667)</f>
        <v>22061.77</v>
      </c>
      <c r="F1667" s="15" t="str">
        <f>IF(ISBLANK(Raw_Data!F1667),AVERAGE(Raw_Data!F$2:F$5002),Raw_Data!F1667)</f>
        <v>13603.58</v>
      </c>
      <c r="G1667" s="14" t="str">
        <f>IF(ISBLANK(Raw_Data!G1667),AVERAGE(Raw_Data!G$2:G$5002),Raw_Data!G1667)</f>
        <v>12852.10</v>
      </c>
      <c r="H1667" s="15" t="str">
        <f t="shared" si="1"/>
        <v>102846.00</v>
      </c>
      <c r="I1667" s="14" t="str">
        <f t="shared" si="2"/>
        <v>89994.00</v>
      </c>
      <c r="J1667" s="16" t="str">
        <f>TEXT(Raw_Data!J1667,"MMM-YYY")</f>
        <v>Oct-2025</v>
      </c>
      <c r="K1667" s="13" t="str">
        <f>Raw_Data!K1667</f>
        <v>9</v>
      </c>
      <c r="L1667" s="17" t="str">
        <f>Raw_Data!L1667</f>
        <v>Jaipur-North</v>
      </c>
      <c r="M1667" s="13" t="str">
        <f t="shared" si="3"/>
        <v>OK</v>
      </c>
      <c r="N1667" s="18" t="str">
        <f t="shared" si="4"/>
        <v>VALID</v>
      </c>
    </row>
    <row r="1668" ht="15.75" customHeight="1">
      <c r="A1668" s="13" t="str">
        <f>Raw_Data!A1668</f>
        <v>EMP1750</v>
      </c>
      <c r="B1668" s="13" t="str">
        <f>TRIM(CLEAN(Raw_Data!B1668))</f>
        <v>Customer Support</v>
      </c>
      <c r="C1668" s="18" t="s">
        <v>30</v>
      </c>
      <c r="D1668" s="14" t="str">
        <f>IF(ISBLANK(Raw_Data!D1668),AVERAGE(Raw_Data!D$2:D$5002),Raw_Data!D1668)</f>
        <v>67191.31</v>
      </c>
      <c r="E1668" s="15" t="str">
        <f>IF(ISBLANK(Raw_Data!E1668),AVERAGE(Raw_Data!E$2:E$5002),Raw_Data!E1668)</f>
        <v>22066.38</v>
      </c>
      <c r="F1668" s="15" t="str">
        <f>IF(ISBLANK(Raw_Data!F1668),AVERAGE(Raw_Data!F$2:F$5002),Raw_Data!F1668)</f>
        <v>13611.26</v>
      </c>
      <c r="G1668" s="14" t="str">
        <f>IF(ISBLANK(Raw_Data!G1668),AVERAGE(Raw_Data!G$2:G$5002),Raw_Data!G1668)</f>
        <v>12855.49</v>
      </c>
      <c r="H1668" s="15" t="str">
        <f t="shared" si="1"/>
        <v>102869.00</v>
      </c>
      <c r="I1668" s="14" t="str">
        <f t="shared" si="2"/>
        <v>90014.00</v>
      </c>
      <c r="J1668" s="16" t="str">
        <f>TEXT(Raw_Data!J1668,"MMM-YYY")</f>
        <v>Nov-2025</v>
      </c>
      <c r="K1668" s="13" t="str">
        <f>Raw_Data!K1668</f>
        <v>13</v>
      </c>
      <c r="L1668" s="17" t="str">
        <f>Raw_Data!L1668</f>
        <v>Mumbai-HO</v>
      </c>
      <c r="M1668" s="13" t="str">
        <f t="shared" si="3"/>
        <v>OK</v>
      </c>
      <c r="N1668" s="18" t="str">
        <f t="shared" si="4"/>
        <v>VALID</v>
      </c>
    </row>
    <row r="1669" ht="15.75" customHeight="1">
      <c r="A1669" s="13" t="str">
        <f>Raw_Data!A1669</f>
        <v>EMP1751</v>
      </c>
      <c r="B1669" s="13" t="str">
        <f>TRIM(CLEAN(Raw_Data!B1669))</f>
        <v>Operations</v>
      </c>
      <c r="C1669" s="18" t="s">
        <v>18</v>
      </c>
      <c r="D1669" s="14" t="str">
        <f>IF(ISBLANK(Raw_Data!D1669),AVERAGE(Raw_Data!D$2:D$5002),Raw_Data!D1669)</f>
        <v>67202.19</v>
      </c>
      <c r="E1669" s="15" t="str">
        <f>IF(ISBLANK(Raw_Data!E1669),AVERAGE(Raw_Data!E$2:E$5002),Raw_Data!E1669)</f>
        <v>22071.00</v>
      </c>
      <c r="F1669" s="15" t="str">
        <f>IF(ISBLANK(Raw_Data!F1669),AVERAGE(Raw_Data!F$2:F$5002),Raw_Data!F1669)</f>
        <v>13618.94</v>
      </c>
      <c r="G1669" s="14" t="str">
        <f>IF(ISBLANK(Raw_Data!G1669),AVERAGE(Raw_Data!G$2:G$5002),Raw_Data!G1669)</f>
        <v>12858.89</v>
      </c>
      <c r="H1669" s="15" t="str">
        <f t="shared" si="1"/>
        <v>102892.00</v>
      </c>
      <c r="I1669" s="14" t="str">
        <f t="shared" si="2"/>
        <v>90033.00</v>
      </c>
      <c r="J1669" s="16" t="str">
        <f>TEXT(Raw_Data!J1669,"MMM-YYY")</f>
        <v>May-2025</v>
      </c>
      <c r="K1669" s="13" t="str">
        <f>Raw_Data!K1669</f>
        <v>4</v>
      </c>
      <c r="L1669" s="17" t="str">
        <f>Raw_Data!L1669</f>
        <v>Delhi-North</v>
      </c>
      <c r="M1669" s="13" t="str">
        <f t="shared" si="3"/>
        <v>OK</v>
      </c>
      <c r="N1669" s="18" t="str">
        <f t="shared" si="4"/>
        <v>VALID</v>
      </c>
    </row>
    <row r="1670" ht="15.75" customHeight="1">
      <c r="A1670" s="13" t="str">
        <f>Raw_Data!A1670</f>
        <v>EMP1752</v>
      </c>
      <c r="B1670" s="13" t="str">
        <f>TRIM(CLEAN(Raw_Data!B1670))</f>
        <v>IT</v>
      </c>
      <c r="C1670" s="18" t="s">
        <v>30</v>
      </c>
      <c r="D1670" s="14" t="str">
        <f>IF(ISBLANK(Raw_Data!D1670),AVERAGE(Raw_Data!D$2:D$5002),Raw_Data!D1670)</f>
        <v>67213.07</v>
      </c>
      <c r="E1670" s="15" t="str">
        <f>IF(ISBLANK(Raw_Data!E1670),AVERAGE(Raw_Data!E$2:E$5002),Raw_Data!E1670)</f>
        <v>22075.61</v>
      </c>
      <c r="F1670" s="15" t="str">
        <f>IF(ISBLANK(Raw_Data!F1670),AVERAGE(Raw_Data!F$2:F$5002),Raw_Data!F1670)</f>
        <v>13626.62</v>
      </c>
      <c r="G1670" s="14" t="str">
        <f>IF(ISBLANK(Raw_Data!G1670),AVERAGE(Raw_Data!G$2:G$5002),Raw_Data!G1670)</f>
        <v>12862.29</v>
      </c>
      <c r="H1670" s="15" t="str">
        <f t="shared" si="1"/>
        <v>102915.00</v>
      </c>
      <c r="I1670" s="14" t="str">
        <f t="shared" si="2"/>
        <v>90053.00</v>
      </c>
      <c r="J1670" s="16" t="str">
        <f>TEXT(Raw_Data!J1670,"MMM-YYY")</f>
        <v>Jul-2025</v>
      </c>
      <c r="K1670" s="13" t="str">
        <f>Raw_Data!K1670</f>
        <v>16</v>
      </c>
      <c r="L1670" s="17" t="str">
        <f>Raw_Data!L1670</f>
        <v>Bangalore-South</v>
      </c>
      <c r="M1670" s="13" t="str">
        <f t="shared" si="3"/>
        <v>OK</v>
      </c>
      <c r="N1670" s="18" t="str">
        <f t="shared" si="4"/>
        <v>VALID</v>
      </c>
    </row>
    <row r="1671" ht="15.75" customHeight="1">
      <c r="A1671" s="13" t="str">
        <f>Raw_Data!A1671</f>
        <v>EMP1753</v>
      </c>
      <c r="B1671" s="13" t="str">
        <f>TRIM(CLEAN(Raw_Data!B1671))</f>
        <v>Sales</v>
      </c>
      <c r="C1671" s="18" t="s">
        <v>14</v>
      </c>
      <c r="D1671" s="14" t="str">
        <f>IF(ISBLANK(Raw_Data!D1671),AVERAGE(Raw_Data!D$2:D$5002),Raw_Data!D1671)</f>
        <v>67223.96</v>
      </c>
      <c r="E1671" s="15" t="str">
        <f>IF(ISBLANK(Raw_Data!E1671),AVERAGE(Raw_Data!E$2:E$5002),Raw_Data!E1671)</f>
        <v>22080.23</v>
      </c>
      <c r="F1671" s="15" t="str">
        <f>IF(ISBLANK(Raw_Data!F1671),AVERAGE(Raw_Data!F$2:F$5002),Raw_Data!F1671)</f>
        <v>13634.30</v>
      </c>
      <c r="G1671" s="14" t="str">
        <f>IF(ISBLANK(Raw_Data!G1671),AVERAGE(Raw_Data!G$2:G$5002),Raw_Data!G1671)</f>
        <v>12865.69</v>
      </c>
      <c r="H1671" s="15" t="str">
        <f t="shared" si="1"/>
        <v>102938.00</v>
      </c>
      <c r="I1671" s="14" t="str">
        <f t="shared" si="2"/>
        <v>90072.00</v>
      </c>
      <c r="J1671" s="16" t="str">
        <f>TEXT(Raw_Data!J1671,"MMM-YYY")</f>
        <v>Jan-2025</v>
      </c>
      <c r="K1671" s="13" t="str">
        <f>Raw_Data!K1671</f>
        <v>11</v>
      </c>
      <c r="L1671" s="17" t="str">
        <f>Raw_Data!L1671</f>
        <v>Chennai-South</v>
      </c>
      <c r="M1671" s="13" t="str">
        <f t="shared" si="3"/>
        <v>OK</v>
      </c>
      <c r="N1671" s="18" t="str">
        <f t="shared" si="4"/>
        <v>VALID</v>
      </c>
    </row>
    <row r="1672" ht="15.75" customHeight="1">
      <c r="A1672" s="13" t="str">
        <f>Raw_Data!A1672</f>
        <v>EMP1754</v>
      </c>
      <c r="B1672" s="13" t="str">
        <f>TRIM(CLEAN(Raw_Data!B1672))</f>
        <v>HR</v>
      </c>
      <c r="C1672" s="18" t="s">
        <v>30</v>
      </c>
      <c r="D1672" s="14" t="str">
        <f>IF(ISBLANK(Raw_Data!D1672),AVERAGE(Raw_Data!D$2:D$5002),Raw_Data!D1672)</f>
        <v>67234.84</v>
      </c>
      <c r="E1672" s="15" t="str">
        <f>IF(ISBLANK(Raw_Data!E1672),AVERAGE(Raw_Data!E$2:E$5002),Raw_Data!E1672)</f>
        <v>22084.84</v>
      </c>
      <c r="F1672" s="15" t="str">
        <f>IF(ISBLANK(Raw_Data!F1672),AVERAGE(Raw_Data!F$2:F$5002),Raw_Data!F1672)</f>
        <v>13641.98</v>
      </c>
      <c r="G1672" s="14" t="str">
        <f>IF(ISBLANK(Raw_Data!G1672),AVERAGE(Raw_Data!G$2:G$5002),Raw_Data!G1672)</f>
        <v>12869.08</v>
      </c>
      <c r="H1672" s="15" t="str">
        <f t="shared" si="1"/>
        <v>102962.00</v>
      </c>
      <c r="I1672" s="14" t="str">
        <f t="shared" si="2"/>
        <v>90093.00</v>
      </c>
      <c r="J1672" s="16" t="str">
        <f>TEXT(Raw_Data!J1672,"MMM-YYY")</f>
        <v>Jun-2025</v>
      </c>
      <c r="K1672" s="13" t="str">
        <f>Raw_Data!K1672</f>
        <v>3</v>
      </c>
      <c r="L1672" s="17" t="str">
        <f>Raw_Data!L1672</f>
        <v>Kolkata-East</v>
      </c>
      <c r="M1672" s="13" t="str">
        <f t="shared" si="3"/>
        <v>OK</v>
      </c>
      <c r="N1672" s="18" t="str">
        <f t="shared" si="4"/>
        <v>VALID</v>
      </c>
    </row>
    <row r="1673" ht="15.75" customHeight="1">
      <c r="A1673" s="13" t="str">
        <f>Raw_Data!A1673</f>
        <v>EMP1755</v>
      </c>
      <c r="B1673" s="13" t="str">
        <f>TRIM(CLEAN(Raw_Data!B1673))</f>
        <v>IT</v>
      </c>
      <c r="C1673" s="18" t="s">
        <v>33</v>
      </c>
      <c r="D1673" s="14" t="str">
        <f>IF(ISBLANK(Raw_Data!D1673),AVERAGE(Raw_Data!D$2:D$5002),Raw_Data!D1673)</f>
        <v>67245.72</v>
      </c>
      <c r="E1673" s="15" t="str">
        <f>IF(ISBLANK(Raw_Data!E1673),AVERAGE(Raw_Data!E$2:E$5002),Raw_Data!E1673)</f>
        <v>22089.45</v>
      </c>
      <c r="F1673" s="15" t="str">
        <f>IF(ISBLANK(Raw_Data!F1673),AVERAGE(Raw_Data!F$2:F$5002),Raw_Data!F1673)</f>
        <v>13649.66</v>
      </c>
      <c r="G1673" s="14" t="str">
        <f>IF(ISBLANK(Raw_Data!G1673),AVERAGE(Raw_Data!G$2:G$5002),Raw_Data!G1673)</f>
        <v>12872.48</v>
      </c>
      <c r="H1673" s="15" t="str">
        <f t="shared" si="1"/>
        <v>102985.00</v>
      </c>
      <c r="I1673" s="14" t="str">
        <f t="shared" si="2"/>
        <v>90113.00</v>
      </c>
      <c r="J1673" s="16" t="str">
        <f>TEXT(Raw_Data!J1673,"MMM-YYY")</f>
        <v>Feb-2025</v>
      </c>
      <c r="K1673" s="13" t="str">
        <f>Raw_Data!K1673</f>
        <v>9</v>
      </c>
      <c r="L1673" s="17" t="str">
        <f>Raw_Data!L1673</f>
        <v>Pune-West</v>
      </c>
      <c r="M1673" s="13" t="str">
        <f t="shared" si="3"/>
        <v>OK</v>
      </c>
      <c r="N1673" s="18" t="str">
        <f t="shared" si="4"/>
        <v>VALID</v>
      </c>
    </row>
    <row r="1674" ht="15.75" customHeight="1">
      <c r="A1674" s="13" t="str">
        <f>Raw_Data!A1674</f>
        <v>EMP1756</v>
      </c>
      <c r="B1674" s="13" t="str">
        <f>TRIM(CLEAN(Raw_Data!B1674))</f>
        <v>Operations</v>
      </c>
      <c r="C1674" s="18" t="s">
        <v>18</v>
      </c>
      <c r="D1674" s="14" t="str">
        <f>IF(ISBLANK(Raw_Data!D1674),AVERAGE(Raw_Data!D$2:D$5002),Raw_Data!D1674)</f>
        <v>67256.60</v>
      </c>
      <c r="E1674" s="15" t="str">
        <f>IF(ISBLANK(Raw_Data!E1674),AVERAGE(Raw_Data!E$2:E$5002),Raw_Data!E1674)</f>
        <v>22094.07</v>
      </c>
      <c r="F1674" s="15" t="str">
        <f>IF(ISBLANK(Raw_Data!F1674),AVERAGE(Raw_Data!F$2:F$5002),Raw_Data!F1674)</f>
        <v>13657.34</v>
      </c>
      <c r="G1674" s="14" t="str">
        <f>IF(ISBLANK(Raw_Data!G1674),AVERAGE(Raw_Data!G$2:G$5002),Raw_Data!G1674)</f>
        <v>12875.88</v>
      </c>
      <c r="H1674" s="15" t="str">
        <f t="shared" si="1"/>
        <v>103008.00</v>
      </c>
      <c r="I1674" s="14" t="str">
        <f t="shared" si="2"/>
        <v>90132.00</v>
      </c>
      <c r="J1674" s="16" t="str">
        <f>TEXT(Raw_Data!J1674,"MMM-YYY")</f>
        <v>Jan-2025</v>
      </c>
      <c r="K1674" s="13" t="str">
        <f>Raw_Data!K1674</f>
        <v>11</v>
      </c>
      <c r="L1674" s="17" t="str">
        <f>Raw_Data!L1674</f>
        <v>Hyderabad-South</v>
      </c>
      <c r="M1674" s="13" t="str">
        <f t="shared" si="3"/>
        <v>OK</v>
      </c>
      <c r="N1674" s="18" t="str">
        <f t="shared" si="4"/>
        <v>VALID</v>
      </c>
    </row>
    <row r="1675" ht="15.75" customHeight="1">
      <c r="A1675" s="13" t="str">
        <f>Raw_Data!A1675</f>
        <v>EMP1757</v>
      </c>
      <c r="B1675" s="13" t="str">
        <f>TRIM(CLEAN(Raw_Data!B1675))</f>
        <v>HR</v>
      </c>
      <c r="C1675" s="18" t="s">
        <v>37</v>
      </c>
      <c r="D1675" s="14" t="str">
        <f>IF(ISBLANK(Raw_Data!D1675),AVERAGE(Raw_Data!D$2:D$5002),Raw_Data!D1675)</f>
        <v>67267.49</v>
      </c>
      <c r="E1675" s="15" t="str">
        <f>IF(ISBLANK(Raw_Data!E1675),AVERAGE(Raw_Data!E$2:E$5002),Raw_Data!E1675)</f>
        <v>22098.68</v>
      </c>
      <c r="F1675" s="15" t="str">
        <f>IF(ISBLANK(Raw_Data!F1675),AVERAGE(Raw_Data!F$2:F$5002),Raw_Data!F1675)</f>
        <v>13665.02</v>
      </c>
      <c r="G1675" s="14" t="str">
        <f>IF(ISBLANK(Raw_Data!G1675),AVERAGE(Raw_Data!G$2:G$5002),Raw_Data!G1675)</f>
        <v>12879.28</v>
      </c>
      <c r="H1675" s="15" t="str">
        <f t="shared" si="1"/>
        <v>103031.00</v>
      </c>
      <c r="I1675" s="14" t="str">
        <f t="shared" si="2"/>
        <v>90152.00</v>
      </c>
      <c r="J1675" s="16" t="str">
        <f>TEXT(Raw_Data!J1675,"MMM-YYY")</f>
        <v>Jul-2025</v>
      </c>
      <c r="K1675" s="13" t="str">
        <f>Raw_Data!K1675</f>
        <v>20</v>
      </c>
      <c r="L1675" s="17" t="str">
        <f>Raw_Data!L1675</f>
        <v>Chandigarh-North</v>
      </c>
      <c r="M1675" s="13" t="str">
        <f t="shared" si="3"/>
        <v>OK</v>
      </c>
      <c r="N1675" s="18" t="str">
        <f t="shared" si="4"/>
        <v>VALID</v>
      </c>
    </row>
    <row r="1676" ht="15.75" customHeight="1">
      <c r="A1676" s="13" t="str">
        <f>Raw_Data!A1676</f>
        <v>EMP1758</v>
      </c>
      <c r="B1676" s="13" t="str">
        <f>TRIM(CLEAN(Raw_Data!B1676))</f>
        <v>Customer Support</v>
      </c>
      <c r="C1676" s="18" t="s">
        <v>54</v>
      </c>
      <c r="D1676" s="14" t="str">
        <f>IF(ISBLANK(Raw_Data!D1676),AVERAGE(Raw_Data!D$2:D$5002),Raw_Data!D1676)</f>
        <v>67278.37</v>
      </c>
      <c r="E1676" s="15" t="str">
        <f>IF(ISBLANK(Raw_Data!E1676),AVERAGE(Raw_Data!E$2:E$5002),Raw_Data!E1676)</f>
        <v>22103.30</v>
      </c>
      <c r="F1676" s="15" t="str">
        <f>IF(ISBLANK(Raw_Data!F1676),AVERAGE(Raw_Data!F$2:F$5002),Raw_Data!F1676)</f>
        <v>13672.70</v>
      </c>
      <c r="G1676" s="14" t="str">
        <f>IF(ISBLANK(Raw_Data!G1676),AVERAGE(Raw_Data!G$2:G$5002),Raw_Data!G1676)</f>
        <v>12882.67</v>
      </c>
      <c r="H1676" s="15" t="str">
        <f t="shared" si="1"/>
        <v>103054.00</v>
      </c>
      <c r="I1676" s="14" t="str">
        <f t="shared" si="2"/>
        <v>90171.00</v>
      </c>
      <c r="J1676" s="16" t="str">
        <f>TEXT(Raw_Data!J1676,"MMM-YYY")</f>
        <v>Mar-2025</v>
      </c>
      <c r="K1676" s="13" t="str">
        <f>Raw_Data!K1676</f>
        <v>7</v>
      </c>
      <c r="L1676" s="17" t="str">
        <f>Raw_Data!L1676</f>
        <v>Ahmedabad-West</v>
      </c>
      <c r="M1676" s="13" t="str">
        <f t="shared" si="3"/>
        <v>OK</v>
      </c>
      <c r="N1676" s="18" t="str">
        <f t="shared" si="4"/>
        <v>VALID</v>
      </c>
    </row>
    <row r="1677" ht="15.75" customHeight="1">
      <c r="A1677" s="13" t="str">
        <f>Raw_Data!A1677</f>
        <v>EMP1759</v>
      </c>
      <c r="B1677" s="13" t="str">
        <f>TRIM(CLEAN(Raw_Data!B1677))</f>
        <v>Marketing</v>
      </c>
      <c r="C1677" s="18" t="s">
        <v>18</v>
      </c>
      <c r="D1677" s="14" t="str">
        <f>IF(ISBLANK(Raw_Data!D1677),AVERAGE(Raw_Data!D$2:D$5002),Raw_Data!D1677)</f>
        <v>67289.25</v>
      </c>
      <c r="E1677" s="15" t="str">
        <f>IF(ISBLANK(Raw_Data!E1677),AVERAGE(Raw_Data!E$2:E$5002),Raw_Data!E1677)</f>
        <v>22107.91</v>
      </c>
      <c r="F1677" s="15" t="str">
        <f>IF(ISBLANK(Raw_Data!F1677),AVERAGE(Raw_Data!F$2:F$5002),Raw_Data!F1677)</f>
        <v>13680.38</v>
      </c>
      <c r="G1677" s="14" t="str">
        <f>IF(ISBLANK(Raw_Data!G1677),AVERAGE(Raw_Data!G$2:G$5002),Raw_Data!G1677)</f>
        <v>12886.07</v>
      </c>
      <c r="H1677" s="15" t="str">
        <f t="shared" si="1"/>
        <v>103078.00</v>
      </c>
      <c r="I1677" s="14" t="str">
        <f t="shared" si="2"/>
        <v>90192.00</v>
      </c>
      <c r="J1677" s="16" t="str">
        <f>TEXT(Raw_Data!J1677,"MMM-YYY")</f>
        <v>Mar-2025</v>
      </c>
      <c r="K1677" s="13" t="str">
        <f>Raw_Data!K1677</f>
        <v>16</v>
      </c>
      <c r="L1677" s="17" t="str">
        <f>Raw_Data!L1677</f>
        <v>Jaipur-North</v>
      </c>
      <c r="M1677" s="13" t="str">
        <f t="shared" si="3"/>
        <v>OK</v>
      </c>
      <c r="N1677" s="18" t="str">
        <f t="shared" si="4"/>
        <v>VALID</v>
      </c>
    </row>
    <row r="1678" ht="15.75" customHeight="1">
      <c r="A1678" s="13" t="str">
        <f>Raw_Data!A1678</f>
        <v>EMP1760</v>
      </c>
      <c r="B1678" s="13" t="str">
        <f>TRIM(CLEAN(Raw_Data!B1678))</f>
        <v>IT</v>
      </c>
      <c r="C1678" s="18" t="s">
        <v>14</v>
      </c>
      <c r="D1678" s="14" t="str">
        <f>IF(ISBLANK(Raw_Data!D1678),AVERAGE(Raw_Data!D$2:D$5002),Raw_Data!D1678)</f>
        <v>67300.14</v>
      </c>
      <c r="E1678" s="15" t="str">
        <f>IF(ISBLANK(Raw_Data!E1678),AVERAGE(Raw_Data!E$2:E$5002),Raw_Data!E1678)</f>
        <v>22112.53</v>
      </c>
      <c r="F1678" s="15" t="str">
        <f>IF(ISBLANK(Raw_Data!F1678),AVERAGE(Raw_Data!F$2:F$5002),Raw_Data!F1678)</f>
        <v>13688.06</v>
      </c>
      <c r="G1678" s="14" t="str">
        <f>IF(ISBLANK(Raw_Data!G1678),AVERAGE(Raw_Data!G$2:G$5002),Raw_Data!G1678)</f>
        <v>12889.47</v>
      </c>
      <c r="H1678" s="15" t="str">
        <f t="shared" si="1"/>
        <v>103101.00</v>
      </c>
      <c r="I1678" s="14" t="str">
        <f t="shared" si="2"/>
        <v>90212.00</v>
      </c>
      <c r="J1678" s="16" t="str">
        <f>TEXT(Raw_Data!J1678,"MMM-YYY")</f>
        <v>Nov-2025</v>
      </c>
      <c r="K1678" s="13" t="str">
        <f>Raw_Data!K1678</f>
        <v>12</v>
      </c>
      <c r="L1678" s="17" t="str">
        <f>Raw_Data!L1678</f>
        <v>Mumbai-HO</v>
      </c>
      <c r="M1678" s="13" t="str">
        <f t="shared" si="3"/>
        <v>OK</v>
      </c>
      <c r="N1678" s="18" t="str">
        <f t="shared" si="4"/>
        <v>VALID</v>
      </c>
    </row>
    <row r="1679" ht="15.75" customHeight="1">
      <c r="A1679" s="13" t="str">
        <f>Raw_Data!A1679</f>
        <v>EMP1761</v>
      </c>
      <c r="B1679" s="13" t="str">
        <f>TRIM(CLEAN(Raw_Data!B1679))</f>
        <v>Operations</v>
      </c>
      <c r="C1679" s="18" t="s">
        <v>33</v>
      </c>
      <c r="D1679" s="14" t="str">
        <f>IF(ISBLANK(Raw_Data!D1679),AVERAGE(Raw_Data!D$2:D$5002),Raw_Data!D1679)</f>
        <v>67311.02</v>
      </c>
      <c r="E1679" s="15" t="str">
        <f>IF(ISBLANK(Raw_Data!E1679),AVERAGE(Raw_Data!E$2:E$5002),Raw_Data!E1679)</f>
        <v>22117.14</v>
      </c>
      <c r="F1679" s="15" t="str">
        <f>IF(ISBLANK(Raw_Data!F1679),AVERAGE(Raw_Data!F$2:F$5002),Raw_Data!F1679)</f>
        <v>13695.74</v>
      </c>
      <c r="G1679" s="14" t="str">
        <f>IF(ISBLANK(Raw_Data!G1679),AVERAGE(Raw_Data!G$2:G$5002),Raw_Data!G1679)</f>
        <v>12892.87</v>
      </c>
      <c r="H1679" s="15" t="str">
        <f t="shared" si="1"/>
        <v>103124.00</v>
      </c>
      <c r="I1679" s="14" t="str">
        <f t="shared" si="2"/>
        <v>90231.00</v>
      </c>
      <c r="J1679" s="16" t="str">
        <f>TEXT(Raw_Data!J1679,"MMM-YYY")</f>
        <v>Apr-2025</v>
      </c>
      <c r="K1679" s="13" t="str">
        <f>Raw_Data!K1679</f>
        <v>11</v>
      </c>
      <c r="L1679" s="17" t="str">
        <f>Raw_Data!L1679</f>
        <v>Delhi-North</v>
      </c>
      <c r="M1679" s="13" t="str">
        <f t="shared" si="3"/>
        <v>OK</v>
      </c>
      <c r="N1679" s="18" t="str">
        <f t="shared" si="4"/>
        <v>VALID</v>
      </c>
    </row>
    <row r="1680" ht="15.75" customHeight="1">
      <c r="A1680" s="13" t="str">
        <f>Raw_Data!A1680</f>
        <v>EMP1762</v>
      </c>
      <c r="B1680" s="13" t="str">
        <f>TRIM(CLEAN(Raw_Data!B1680))</f>
        <v>Sales</v>
      </c>
      <c r="C1680" s="18" t="s">
        <v>14</v>
      </c>
      <c r="D1680" s="14" t="str">
        <f>IF(ISBLANK(Raw_Data!D1680),AVERAGE(Raw_Data!D$2:D$5002),Raw_Data!D1680)</f>
        <v>67321.90</v>
      </c>
      <c r="E1680" s="15" t="str">
        <f>IF(ISBLANK(Raw_Data!E1680),AVERAGE(Raw_Data!E$2:E$5002),Raw_Data!E1680)</f>
        <v>22121.76</v>
      </c>
      <c r="F1680" s="15" t="str">
        <f>IF(ISBLANK(Raw_Data!F1680),AVERAGE(Raw_Data!F$2:F$5002),Raw_Data!F1680)</f>
        <v>13703.42</v>
      </c>
      <c r="G1680" s="14" t="str">
        <f>IF(ISBLANK(Raw_Data!G1680),AVERAGE(Raw_Data!G$2:G$5002),Raw_Data!G1680)</f>
        <v>12896.26</v>
      </c>
      <c r="H1680" s="15" t="str">
        <f t="shared" si="1"/>
        <v>103147.00</v>
      </c>
      <c r="I1680" s="14" t="str">
        <f t="shared" si="2"/>
        <v>90251.00</v>
      </c>
      <c r="J1680" s="16" t="str">
        <f>TEXT(Raw_Data!J1680,"MMM-YYY")</f>
        <v>Oct-2025</v>
      </c>
      <c r="K1680" s="13" t="str">
        <f>Raw_Data!K1680</f>
        <v>1</v>
      </c>
      <c r="L1680" s="17" t="str">
        <f>Raw_Data!L1680</f>
        <v>Bangalore-South</v>
      </c>
      <c r="M1680" s="13" t="str">
        <f t="shared" si="3"/>
        <v>OK</v>
      </c>
      <c r="N1680" s="18" t="str">
        <f t="shared" si="4"/>
        <v>VALID</v>
      </c>
    </row>
    <row r="1681" ht="15.75" customHeight="1">
      <c r="A1681" s="13" t="str">
        <f>Raw_Data!A1681</f>
        <v>EMP1764</v>
      </c>
      <c r="B1681" s="13" t="str">
        <f>TRIM(CLEAN(Raw_Data!B1681))</f>
        <v>HR</v>
      </c>
      <c r="C1681" s="18" t="s">
        <v>33</v>
      </c>
      <c r="D1681" s="14" t="str">
        <f>IF(ISBLANK(Raw_Data!D1681),AVERAGE(Raw_Data!D$2:D$5002),Raw_Data!D1681)</f>
        <v>67343.67</v>
      </c>
      <c r="E1681" s="15" t="str">
        <f>IF(ISBLANK(Raw_Data!E1681),AVERAGE(Raw_Data!E$2:E$5002),Raw_Data!E1681)</f>
        <v>22130.99</v>
      </c>
      <c r="F1681" s="15" t="str">
        <f>IF(ISBLANK(Raw_Data!F1681),AVERAGE(Raw_Data!F$2:F$5002),Raw_Data!F1681)</f>
        <v>13718.78</v>
      </c>
      <c r="G1681" s="14" t="str">
        <f>IF(ISBLANK(Raw_Data!G1681),AVERAGE(Raw_Data!G$2:G$5002),Raw_Data!G1681)</f>
        <v>12903.06</v>
      </c>
      <c r="H1681" s="15" t="str">
        <f t="shared" si="1"/>
        <v>103193.00</v>
      </c>
      <c r="I1681" s="14" t="str">
        <f t="shared" si="2"/>
        <v>90290.00</v>
      </c>
      <c r="J1681" s="16" t="str">
        <f>TEXT(Raw_Data!J1681,"MMM-YYY")</f>
        <v>Sep-2025</v>
      </c>
      <c r="K1681" s="13" t="str">
        <f>Raw_Data!K1681</f>
        <v>12</v>
      </c>
      <c r="L1681" s="17" t="str">
        <f>Raw_Data!L1681</f>
        <v>Kolkata-East</v>
      </c>
      <c r="M1681" s="13" t="str">
        <f t="shared" si="3"/>
        <v>OK</v>
      </c>
      <c r="N1681" s="18" t="str">
        <f t="shared" si="4"/>
        <v>VALID</v>
      </c>
    </row>
    <row r="1682" ht="15.75" customHeight="1">
      <c r="A1682" s="13" t="str">
        <f>Raw_Data!A1682</f>
        <v>EMP1765</v>
      </c>
      <c r="B1682" s="13" t="str">
        <f>TRIM(CLEAN(Raw_Data!B1682))</f>
        <v>Sales</v>
      </c>
      <c r="C1682" s="18" t="s">
        <v>30</v>
      </c>
      <c r="D1682" s="14" t="str">
        <f>IF(ISBLANK(Raw_Data!D1682),AVERAGE(Raw_Data!D$2:D$5002),Raw_Data!D1682)</f>
        <v>67354.55</v>
      </c>
      <c r="E1682" s="15" t="str">
        <f>IF(ISBLANK(Raw_Data!E1682),AVERAGE(Raw_Data!E$2:E$5002),Raw_Data!E1682)</f>
        <v>22135.60</v>
      </c>
      <c r="F1682" s="15" t="str">
        <f>IF(ISBLANK(Raw_Data!F1682),AVERAGE(Raw_Data!F$2:F$5002),Raw_Data!F1682)</f>
        <v>13726.46</v>
      </c>
      <c r="G1682" s="14" t="str">
        <f>IF(ISBLANK(Raw_Data!G1682),AVERAGE(Raw_Data!G$2:G$5002),Raw_Data!G1682)</f>
        <v>12906.46</v>
      </c>
      <c r="H1682" s="15" t="str">
        <f t="shared" si="1"/>
        <v>103217.00</v>
      </c>
      <c r="I1682" s="14" t="str">
        <f t="shared" si="2"/>
        <v>90311.00</v>
      </c>
      <c r="J1682" s="16" t="str">
        <f>TEXT(Raw_Data!J1682,"MMM-YYY")</f>
        <v>Dec-2025</v>
      </c>
      <c r="K1682" s="13" t="str">
        <f>Raw_Data!K1682</f>
        <v>9</v>
      </c>
      <c r="L1682" s="17" t="str">
        <f>Raw_Data!L1682</f>
        <v>Pune-West</v>
      </c>
      <c r="M1682" s="13" t="str">
        <f t="shared" si="3"/>
        <v>OK</v>
      </c>
      <c r="N1682" s="18" t="str">
        <f t="shared" si="4"/>
        <v>VALID</v>
      </c>
    </row>
    <row r="1683" ht="15.75" customHeight="1">
      <c r="A1683" s="13" t="str">
        <f>Raw_Data!A1683</f>
        <v>EMP1766</v>
      </c>
      <c r="B1683" s="13" t="str">
        <f>TRIM(CLEAN(Raw_Data!B1683))</f>
        <v>Operations</v>
      </c>
      <c r="C1683" s="18" t="s">
        <v>26</v>
      </c>
      <c r="D1683" s="14" t="str">
        <f>IF(ISBLANK(Raw_Data!D1683),AVERAGE(Raw_Data!D$2:D$5002),Raw_Data!D1683)</f>
        <v>67365.43</v>
      </c>
      <c r="E1683" s="15" t="str">
        <f>IF(ISBLANK(Raw_Data!E1683),AVERAGE(Raw_Data!E$2:E$5002),Raw_Data!E1683)</f>
        <v>22140.22</v>
      </c>
      <c r="F1683" s="15" t="str">
        <f>IF(ISBLANK(Raw_Data!F1683),AVERAGE(Raw_Data!F$2:F$5002),Raw_Data!F1683)</f>
        <v>13734.14</v>
      </c>
      <c r="G1683" s="14" t="str">
        <f>IF(ISBLANK(Raw_Data!G1683),AVERAGE(Raw_Data!G$2:G$5002),Raw_Data!G1683)</f>
        <v>12909.85</v>
      </c>
      <c r="H1683" s="15" t="str">
        <f t="shared" si="1"/>
        <v>103240.00</v>
      </c>
      <c r="I1683" s="14" t="str">
        <f t="shared" si="2"/>
        <v>90330.00</v>
      </c>
      <c r="J1683" s="16" t="str">
        <f>TEXT(Raw_Data!J1683,"MMM-YYY")</f>
        <v>Jan-2025</v>
      </c>
      <c r="K1683" s="13" t="str">
        <f>Raw_Data!K1683</f>
        <v>19</v>
      </c>
      <c r="L1683" s="17" t="str">
        <f>Raw_Data!L1683</f>
        <v>Hyderabad-South</v>
      </c>
      <c r="M1683" s="13" t="str">
        <f t="shared" si="3"/>
        <v>OK</v>
      </c>
      <c r="N1683" s="18" t="str">
        <f t="shared" si="4"/>
        <v>VALID</v>
      </c>
    </row>
    <row r="1684" ht="15.75" customHeight="1">
      <c r="A1684" s="13" t="str">
        <f>Raw_Data!A1684</f>
        <v>EMP1767</v>
      </c>
      <c r="B1684" s="13" t="str">
        <f>TRIM(CLEAN(Raw_Data!B1684))</f>
        <v>Customer Support</v>
      </c>
      <c r="C1684" s="18" t="s">
        <v>26</v>
      </c>
      <c r="D1684" s="14" t="str">
        <f>IF(ISBLANK(Raw_Data!D1684),AVERAGE(Raw_Data!D$2:D$5002),Raw_Data!D1684)</f>
        <v>67376.32</v>
      </c>
      <c r="E1684" s="15" t="str">
        <f>IF(ISBLANK(Raw_Data!E1684),AVERAGE(Raw_Data!E$2:E$5002),Raw_Data!E1684)</f>
        <v>22144.83</v>
      </c>
      <c r="F1684" s="15" t="str">
        <f>IF(ISBLANK(Raw_Data!F1684),AVERAGE(Raw_Data!F$2:F$5002),Raw_Data!F1684)</f>
        <v>13741.82</v>
      </c>
      <c r="G1684" s="14" t="str">
        <f>IF(ISBLANK(Raw_Data!G1684),AVERAGE(Raw_Data!G$2:G$5002),Raw_Data!G1684)</f>
        <v>12913.25</v>
      </c>
      <c r="H1684" s="15" t="str">
        <f t="shared" si="1"/>
        <v>103263.00</v>
      </c>
      <c r="I1684" s="14" t="str">
        <f t="shared" si="2"/>
        <v>90350.00</v>
      </c>
      <c r="J1684" s="16" t="str">
        <f>TEXT(Raw_Data!J1684,"MMM-YYY")</f>
        <v>Oct-2025</v>
      </c>
      <c r="K1684" s="13" t="str">
        <f>Raw_Data!K1684</f>
        <v>2</v>
      </c>
      <c r="L1684" s="17" t="str">
        <f>Raw_Data!L1684</f>
        <v>Chandigarh-North</v>
      </c>
      <c r="M1684" s="13" t="str">
        <f t="shared" si="3"/>
        <v>OK</v>
      </c>
      <c r="N1684" s="18" t="str">
        <f t="shared" si="4"/>
        <v>VALID</v>
      </c>
    </row>
    <row r="1685" ht="15.75" customHeight="1">
      <c r="A1685" s="13" t="str">
        <f>Raw_Data!A1685</f>
        <v>EMP1769</v>
      </c>
      <c r="B1685" s="13" t="str">
        <f>TRIM(CLEAN(Raw_Data!B1685))</f>
        <v>Sales</v>
      </c>
      <c r="C1685" s="18" t="s">
        <v>14</v>
      </c>
      <c r="D1685" s="14" t="str">
        <f>IF(ISBLANK(Raw_Data!D1685),AVERAGE(Raw_Data!D$2:D$5002),Raw_Data!D1685)</f>
        <v>67398.08</v>
      </c>
      <c r="E1685" s="15" t="str">
        <f>IF(ISBLANK(Raw_Data!E1685),AVERAGE(Raw_Data!E$2:E$5002),Raw_Data!E1685)</f>
        <v>22154.06</v>
      </c>
      <c r="F1685" s="15" t="str">
        <f>IF(ISBLANK(Raw_Data!F1685),AVERAGE(Raw_Data!F$2:F$5002),Raw_Data!F1685)</f>
        <v>13757.18</v>
      </c>
      <c r="G1685" s="14" t="str">
        <f>IF(ISBLANK(Raw_Data!G1685),AVERAGE(Raw_Data!G$2:G$5002),Raw_Data!G1685)</f>
        <v>12920.05</v>
      </c>
      <c r="H1685" s="15" t="str">
        <f t="shared" si="1"/>
        <v>103309.00</v>
      </c>
      <c r="I1685" s="14" t="str">
        <f t="shared" si="2"/>
        <v>90389.00</v>
      </c>
      <c r="J1685" s="16" t="str">
        <f>TEXT(Raw_Data!J1685,"MMM-YYY")</f>
        <v>Nov-2025</v>
      </c>
      <c r="K1685" s="13" t="str">
        <f>Raw_Data!K1685</f>
        <v>13</v>
      </c>
      <c r="L1685" s="17" t="str">
        <f>Raw_Data!L1685</f>
        <v>Jaipur-North</v>
      </c>
      <c r="M1685" s="13" t="str">
        <f t="shared" si="3"/>
        <v>OK</v>
      </c>
      <c r="N1685" s="18" t="str">
        <f t="shared" si="4"/>
        <v>VALID</v>
      </c>
    </row>
    <row r="1686" ht="15.75" customHeight="1">
      <c r="A1686" s="13" t="str">
        <f>Raw_Data!A1686</f>
        <v>EMP1770</v>
      </c>
      <c r="B1686" s="13" t="str">
        <f>TRIM(CLEAN(Raw_Data!B1686))</f>
        <v>Finance</v>
      </c>
      <c r="C1686" s="18" t="s">
        <v>33</v>
      </c>
      <c r="D1686" s="14" t="str">
        <f>IF(ISBLANK(Raw_Data!D1686),AVERAGE(Raw_Data!D$2:D$5002),Raw_Data!D1686)</f>
        <v>67408.97</v>
      </c>
      <c r="E1686" s="15" t="str">
        <f>IF(ISBLANK(Raw_Data!E1686),AVERAGE(Raw_Data!E$2:E$5002),Raw_Data!E1686)</f>
        <v>22158.68</v>
      </c>
      <c r="F1686" s="15" t="str">
        <f>IF(ISBLANK(Raw_Data!F1686),AVERAGE(Raw_Data!F$2:F$5002),Raw_Data!F1686)</f>
        <v>13764.86</v>
      </c>
      <c r="G1686" s="14" t="str">
        <f>IF(ISBLANK(Raw_Data!G1686),AVERAGE(Raw_Data!G$2:G$5002),Raw_Data!G1686)</f>
        <v>12923.44</v>
      </c>
      <c r="H1686" s="15" t="str">
        <f t="shared" si="1"/>
        <v>103333.00</v>
      </c>
      <c r="I1686" s="14" t="str">
        <f t="shared" si="2"/>
        <v>90410.00</v>
      </c>
      <c r="J1686" s="16" t="str">
        <f>TEXT(Raw_Data!J1686,"MMM-YYY")</f>
        <v>Jan-2025</v>
      </c>
      <c r="K1686" s="13" t="str">
        <f>Raw_Data!K1686</f>
        <v>4</v>
      </c>
      <c r="L1686" s="17" t="str">
        <f>Raw_Data!L1686</f>
        <v>Mumbai-HO</v>
      </c>
      <c r="M1686" s="13" t="str">
        <f t="shared" si="3"/>
        <v>OK</v>
      </c>
      <c r="N1686" s="18" t="str">
        <f t="shared" si="4"/>
        <v>VALID</v>
      </c>
    </row>
    <row r="1687" ht="15.75" customHeight="1">
      <c r="A1687" s="13" t="str">
        <f>Raw_Data!A1687</f>
        <v>EMP1771</v>
      </c>
      <c r="B1687" s="13" t="str">
        <f>TRIM(CLEAN(Raw_Data!B1687))</f>
        <v>Sales</v>
      </c>
      <c r="C1687" s="18" t="s">
        <v>14</v>
      </c>
      <c r="D1687" s="14" t="str">
        <f>IF(ISBLANK(Raw_Data!D1687),AVERAGE(Raw_Data!D$2:D$5002),Raw_Data!D1687)</f>
        <v>67419.85</v>
      </c>
      <c r="E1687" s="15" t="str">
        <f>IF(ISBLANK(Raw_Data!E1687),AVERAGE(Raw_Data!E$2:E$5002),Raw_Data!E1687)</f>
        <v>22163.29</v>
      </c>
      <c r="F1687" s="15" t="str">
        <f>IF(ISBLANK(Raw_Data!F1687),AVERAGE(Raw_Data!F$2:F$5002),Raw_Data!F1687)</f>
        <v>13772.54</v>
      </c>
      <c r="G1687" s="14" t="str">
        <f>IF(ISBLANK(Raw_Data!G1687),AVERAGE(Raw_Data!G$2:G$5002),Raw_Data!G1687)</f>
        <v>12926.84</v>
      </c>
      <c r="H1687" s="15" t="str">
        <f t="shared" si="1"/>
        <v>103356.00</v>
      </c>
      <c r="I1687" s="14" t="str">
        <f t="shared" si="2"/>
        <v>90429.00</v>
      </c>
      <c r="J1687" s="16" t="str">
        <f>TEXT(Raw_Data!J1687,"MMM-YYY")</f>
        <v>Jan-2025</v>
      </c>
      <c r="K1687" s="13" t="str">
        <f>Raw_Data!K1687</f>
        <v>24</v>
      </c>
      <c r="L1687" s="17" t="str">
        <f>Raw_Data!L1687</f>
        <v>Delhi-North</v>
      </c>
      <c r="M1687" s="13" t="str">
        <f t="shared" si="3"/>
        <v>OK</v>
      </c>
      <c r="N1687" s="18" t="str">
        <f t="shared" si="4"/>
        <v>VALID</v>
      </c>
    </row>
    <row r="1688" ht="15.75" customHeight="1">
      <c r="A1688" s="13" t="str">
        <f>Raw_Data!A1688</f>
        <v>EMP1772</v>
      </c>
      <c r="B1688" s="13" t="str">
        <f>TRIM(CLEAN(Raw_Data!B1688))</f>
        <v>Finance</v>
      </c>
      <c r="C1688" s="18" t="s">
        <v>14</v>
      </c>
      <c r="D1688" s="14" t="str">
        <f>IF(ISBLANK(Raw_Data!D1688),AVERAGE(Raw_Data!D$2:D$5002),Raw_Data!D1688)</f>
        <v>67430.73</v>
      </c>
      <c r="E1688" s="15" t="str">
        <f>IF(ISBLANK(Raw_Data!E1688),AVERAGE(Raw_Data!E$2:E$5002),Raw_Data!E1688)</f>
        <v>22167.91</v>
      </c>
      <c r="F1688" s="15" t="str">
        <f>IF(ISBLANK(Raw_Data!F1688),AVERAGE(Raw_Data!F$2:F$5002),Raw_Data!F1688)</f>
        <v>13780.22</v>
      </c>
      <c r="G1688" s="14" t="str">
        <f>IF(ISBLANK(Raw_Data!G1688),AVERAGE(Raw_Data!G$2:G$5002),Raw_Data!G1688)</f>
        <v>12930.24</v>
      </c>
      <c r="H1688" s="15" t="str">
        <f t="shared" si="1"/>
        <v>103379.00</v>
      </c>
      <c r="I1688" s="14" t="str">
        <f t="shared" si="2"/>
        <v>90449.00</v>
      </c>
      <c r="J1688" s="16" t="str">
        <f>TEXT(Raw_Data!J1688,"MMM-YYY")</f>
        <v>Jun-2025</v>
      </c>
      <c r="K1688" s="13" t="str">
        <f>Raw_Data!K1688</f>
        <v>18</v>
      </c>
      <c r="L1688" s="17" t="str">
        <f>Raw_Data!L1688</f>
        <v>Bangalore-South</v>
      </c>
      <c r="M1688" s="13" t="str">
        <f t="shared" si="3"/>
        <v>OK</v>
      </c>
      <c r="N1688" s="18" t="str">
        <f t="shared" si="4"/>
        <v>VALID</v>
      </c>
    </row>
    <row r="1689" ht="15.75" customHeight="1">
      <c r="A1689" s="13" t="str">
        <f>Raw_Data!A1689</f>
        <v>EMP1773</v>
      </c>
      <c r="B1689" s="13" t="str">
        <f>TRIM(CLEAN(Raw_Data!B1689))</f>
        <v>Operations</v>
      </c>
      <c r="C1689" s="18" t="s">
        <v>26</v>
      </c>
      <c r="D1689" s="14" t="str">
        <f>IF(ISBLANK(Raw_Data!D1689),AVERAGE(Raw_Data!D$2:D$5002),Raw_Data!D1689)</f>
        <v>67441.61</v>
      </c>
      <c r="E1689" s="15" t="str">
        <f>IF(ISBLANK(Raw_Data!E1689),AVERAGE(Raw_Data!E$2:E$5002),Raw_Data!E1689)</f>
        <v>22172.52</v>
      </c>
      <c r="F1689" s="15" t="str">
        <f>IF(ISBLANK(Raw_Data!F1689),AVERAGE(Raw_Data!F$2:F$5002),Raw_Data!F1689)</f>
        <v>13787.90</v>
      </c>
      <c r="G1689" s="14" t="str">
        <f>IF(ISBLANK(Raw_Data!G1689),AVERAGE(Raw_Data!G$2:G$5002),Raw_Data!G1689)</f>
        <v>12933.64</v>
      </c>
      <c r="H1689" s="15" t="str">
        <f t="shared" si="1"/>
        <v>103402.00</v>
      </c>
      <c r="I1689" s="14" t="str">
        <f t="shared" si="2"/>
        <v>90468.00</v>
      </c>
      <c r="J1689" s="16" t="str">
        <f>TEXT(Raw_Data!J1689,"MMM-YYY")</f>
        <v>Oct-2025</v>
      </c>
      <c r="K1689" s="13" t="str">
        <f>Raw_Data!K1689</f>
        <v>15</v>
      </c>
      <c r="L1689" s="17" t="str">
        <f>Raw_Data!L1689</f>
        <v>Chennai-South</v>
      </c>
      <c r="M1689" s="13" t="str">
        <f t="shared" si="3"/>
        <v>OK</v>
      </c>
      <c r="N1689" s="18" t="str">
        <f t="shared" si="4"/>
        <v>VALID</v>
      </c>
    </row>
    <row r="1690" ht="15.75" customHeight="1">
      <c r="A1690" s="13" t="str">
        <f>Raw_Data!A1690</f>
        <v>EMP1774</v>
      </c>
      <c r="B1690" s="13" t="str">
        <f>TRIM(CLEAN(Raw_Data!B1690))</f>
        <v>Finance</v>
      </c>
      <c r="C1690" s="18" t="s">
        <v>54</v>
      </c>
      <c r="D1690" s="14" t="str">
        <f>IF(ISBLANK(Raw_Data!D1690),AVERAGE(Raw_Data!D$2:D$5002),Raw_Data!D1690)</f>
        <v>67452.50</v>
      </c>
      <c r="E1690" s="15" t="str">
        <f>IF(ISBLANK(Raw_Data!E1690),AVERAGE(Raw_Data!E$2:E$5002),Raw_Data!E1690)</f>
        <v>22177.13</v>
      </c>
      <c r="F1690" s="15" t="str">
        <f>IF(ISBLANK(Raw_Data!F1690),AVERAGE(Raw_Data!F$2:F$5002),Raw_Data!F1690)</f>
        <v>13795.58</v>
      </c>
      <c r="G1690" s="14" t="str">
        <f>IF(ISBLANK(Raw_Data!G1690),AVERAGE(Raw_Data!G$2:G$5002),Raw_Data!G1690)</f>
        <v>12937.03</v>
      </c>
      <c r="H1690" s="15" t="str">
        <f t="shared" si="1"/>
        <v>103425.00</v>
      </c>
      <c r="I1690" s="14" t="str">
        <f t="shared" si="2"/>
        <v>90488.00</v>
      </c>
      <c r="J1690" s="16" t="str">
        <f>TEXT(Raw_Data!J1690,"MMM-YYY")</f>
        <v>Sep-2025</v>
      </c>
      <c r="K1690" s="13" t="str">
        <f>Raw_Data!K1690</f>
        <v>16</v>
      </c>
      <c r="L1690" s="17" t="str">
        <f>Raw_Data!L1690</f>
        <v>Kolkata-East</v>
      </c>
      <c r="M1690" s="13" t="str">
        <f t="shared" si="3"/>
        <v>OK</v>
      </c>
      <c r="N1690" s="18" t="str">
        <f t="shared" si="4"/>
        <v>VALID</v>
      </c>
    </row>
    <row r="1691" ht="15.75" customHeight="1">
      <c r="A1691" s="13" t="str">
        <f>Raw_Data!A1691</f>
        <v>EMP1775</v>
      </c>
      <c r="B1691" s="13" t="str">
        <f>TRIM(CLEAN(Raw_Data!B1691))</f>
        <v>IT</v>
      </c>
      <c r="C1691" s="18" t="s">
        <v>14</v>
      </c>
      <c r="D1691" s="14" t="str">
        <f>IF(ISBLANK(Raw_Data!D1691),AVERAGE(Raw_Data!D$2:D$5002),Raw_Data!D1691)</f>
        <v>67463.38</v>
      </c>
      <c r="E1691" s="15" t="str">
        <f>IF(ISBLANK(Raw_Data!E1691),AVERAGE(Raw_Data!E$2:E$5002),Raw_Data!E1691)</f>
        <v>22181.75</v>
      </c>
      <c r="F1691" s="15" t="str">
        <f>IF(ISBLANK(Raw_Data!F1691),AVERAGE(Raw_Data!F$2:F$5002),Raw_Data!F1691)</f>
        <v>13803.26</v>
      </c>
      <c r="G1691" s="14" t="str">
        <f>IF(ISBLANK(Raw_Data!G1691),AVERAGE(Raw_Data!G$2:G$5002),Raw_Data!G1691)</f>
        <v>12940.43</v>
      </c>
      <c r="H1691" s="15" t="str">
        <f t="shared" si="1"/>
        <v>103448.00</v>
      </c>
      <c r="I1691" s="14" t="str">
        <f t="shared" si="2"/>
        <v>90508.00</v>
      </c>
      <c r="J1691" s="16" t="str">
        <f>TEXT(Raw_Data!J1691,"MMM-YYY")</f>
        <v>May-2025</v>
      </c>
      <c r="K1691" s="13" t="str">
        <f>Raw_Data!K1691</f>
        <v>22</v>
      </c>
      <c r="L1691" s="17" t="str">
        <f>Raw_Data!L1691</f>
        <v>Pune-West</v>
      </c>
      <c r="M1691" s="13" t="str">
        <f t="shared" si="3"/>
        <v>OK</v>
      </c>
      <c r="N1691" s="18" t="str">
        <f t="shared" si="4"/>
        <v>VALID</v>
      </c>
    </row>
    <row r="1692" ht="15.75" customHeight="1">
      <c r="A1692" s="13" t="str">
        <f>Raw_Data!A1692</f>
        <v>EMP1776</v>
      </c>
      <c r="B1692" s="13" t="str">
        <f>TRIM(CLEAN(Raw_Data!B1692))</f>
        <v>HR</v>
      </c>
      <c r="C1692" s="18" t="s">
        <v>54</v>
      </c>
      <c r="D1692" s="14" t="str">
        <f>IF(ISBLANK(Raw_Data!D1692),AVERAGE(Raw_Data!D$2:D$5002),Raw_Data!D1692)</f>
        <v>67474.26</v>
      </c>
      <c r="E1692" s="15" t="str">
        <f>IF(ISBLANK(Raw_Data!E1692),AVERAGE(Raw_Data!E$2:E$5002),Raw_Data!E1692)</f>
        <v>22186.36</v>
      </c>
      <c r="F1692" s="15" t="str">
        <f>IF(ISBLANK(Raw_Data!F1692),AVERAGE(Raw_Data!F$2:F$5002),Raw_Data!F1692)</f>
        <v>13810.94</v>
      </c>
      <c r="G1692" s="14" t="str">
        <f>IF(ISBLANK(Raw_Data!G1692),AVERAGE(Raw_Data!G$2:G$5002),Raw_Data!G1692)</f>
        <v>12943.83</v>
      </c>
      <c r="H1692" s="15" t="str">
        <f t="shared" si="1"/>
        <v>103472.00</v>
      </c>
      <c r="I1692" s="14" t="str">
        <f t="shared" si="2"/>
        <v>90528.00</v>
      </c>
      <c r="J1692" s="16" t="str">
        <f>TEXT(Raw_Data!J1692,"MMM-YYY")</f>
        <v>Oct-2025</v>
      </c>
      <c r="K1692" s="13" t="str">
        <f>Raw_Data!K1692</f>
        <v>7</v>
      </c>
      <c r="L1692" s="17" t="str">
        <f>Raw_Data!L1692</f>
        <v>Hyderabad-South</v>
      </c>
      <c r="M1692" s="13" t="str">
        <f t="shared" si="3"/>
        <v>OK</v>
      </c>
      <c r="N1692" s="18" t="str">
        <f t="shared" si="4"/>
        <v>VALID</v>
      </c>
    </row>
    <row r="1693" ht="15.75" customHeight="1">
      <c r="A1693" s="13" t="str">
        <f>Raw_Data!A1693</f>
        <v>EMP1777</v>
      </c>
      <c r="B1693" s="13" t="s">
        <v>17</v>
      </c>
      <c r="C1693" s="18" t="s">
        <v>14</v>
      </c>
      <c r="D1693" s="14" t="str">
        <f>IF(ISBLANK(Raw_Data!D1693),AVERAGE(Raw_Data!D$2:D$5002),Raw_Data!D1693)</f>
        <v>67485.15</v>
      </c>
      <c r="E1693" s="15" t="str">
        <f>IF(ISBLANK(Raw_Data!E1693),AVERAGE(Raw_Data!E$2:E$5002),Raw_Data!E1693)</f>
        <v>22190.98</v>
      </c>
      <c r="F1693" s="15" t="str">
        <f>IF(ISBLANK(Raw_Data!F1693),AVERAGE(Raw_Data!F$2:F$5002),Raw_Data!F1693)</f>
        <v>13818.62</v>
      </c>
      <c r="G1693" s="14" t="str">
        <f>IF(ISBLANK(Raw_Data!G1693),AVERAGE(Raw_Data!G$2:G$5002),Raw_Data!G1693)</f>
        <v>12947.23</v>
      </c>
      <c r="H1693" s="15" t="str">
        <f t="shared" si="1"/>
        <v>103495.00</v>
      </c>
      <c r="I1693" s="14" t="str">
        <f t="shared" si="2"/>
        <v>90548.00</v>
      </c>
      <c r="J1693" s="16" t="str">
        <f>TEXT(Raw_Data!J1693,"MMM-YYY")</f>
        <v>Aug-2025</v>
      </c>
      <c r="K1693" s="13" t="str">
        <f>Raw_Data!K1693</f>
        <v>14</v>
      </c>
      <c r="L1693" s="17" t="str">
        <f>Raw_Data!L1693</f>
        <v>Chandigarh-North</v>
      </c>
      <c r="M1693" s="13" t="str">
        <f t="shared" si="3"/>
        <v>OK</v>
      </c>
      <c r="N1693" s="18" t="str">
        <f t="shared" si="4"/>
        <v>VALID</v>
      </c>
    </row>
    <row r="1694" ht="15.75" customHeight="1">
      <c r="A1694" s="13" t="str">
        <f>Raw_Data!A1694</f>
        <v>EMP1778</v>
      </c>
      <c r="B1694" s="13" t="str">
        <f>TRIM(CLEAN(Raw_Data!B1694))</f>
        <v>Customer Support</v>
      </c>
      <c r="C1694" s="18" t="s">
        <v>33</v>
      </c>
      <c r="D1694" s="14" t="str">
        <f>IF(ISBLANK(Raw_Data!D1694),AVERAGE(Raw_Data!D$2:D$5002),Raw_Data!D1694)</f>
        <v>67496.03</v>
      </c>
      <c r="E1694" s="15" t="str">
        <f>IF(ISBLANK(Raw_Data!E1694),AVERAGE(Raw_Data!E$2:E$5002),Raw_Data!E1694)</f>
        <v>22195.59</v>
      </c>
      <c r="F1694" s="15" t="str">
        <f>IF(ISBLANK(Raw_Data!F1694),AVERAGE(Raw_Data!F$2:F$5002),Raw_Data!F1694)</f>
        <v>13826.30</v>
      </c>
      <c r="G1694" s="14" t="str">
        <f>IF(ISBLANK(Raw_Data!G1694),AVERAGE(Raw_Data!G$2:G$5002),Raw_Data!G1694)</f>
        <v>12950.62</v>
      </c>
      <c r="H1694" s="15" t="str">
        <f t="shared" si="1"/>
        <v>103518.00</v>
      </c>
      <c r="I1694" s="14" t="str">
        <f t="shared" si="2"/>
        <v>90567.00</v>
      </c>
      <c r="J1694" s="16" t="str">
        <f>TEXT(Raw_Data!J1694,"MMM-YYY")</f>
        <v>Apr-2025</v>
      </c>
      <c r="K1694" s="13" t="str">
        <f>Raw_Data!K1694</f>
        <v>23</v>
      </c>
      <c r="L1694" s="17" t="str">
        <f>Raw_Data!L1694</f>
        <v>Ahmedabad-West</v>
      </c>
      <c r="M1694" s="13" t="str">
        <f t="shared" si="3"/>
        <v>OK</v>
      </c>
      <c r="N1694" s="18" t="str">
        <f t="shared" si="4"/>
        <v>VALID</v>
      </c>
    </row>
    <row r="1695" ht="15.75" customHeight="1">
      <c r="A1695" s="13" t="str">
        <f>Raw_Data!A1695</f>
        <v>EMP1779</v>
      </c>
      <c r="B1695" s="13" t="str">
        <f>TRIM(CLEAN(Raw_Data!B1695))</f>
        <v>Customer Support</v>
      </c>
      <c r="C1695" s="18" t="s">
        <v>26</v>
      </c>
      <c r="D1695" s="14" t="str">
        <f>IF(ISBLANK(Raw_Data!D1695),AVERAGE(Raw_Data!D$2:D$5002),Raw_Data!D1695)</f>
        <v>67506.91</v>
      </c>
      <c r="E1695" s="15" t="str">
        <f>IF(ISBLANK(Raw_Data!E1695),AVERAGE(Raw_Data!E$2:E$5002),Raw_Data!E1695)</f>
        <v>22200.21</v>
      </c>
      <c r="F1695" s="15" t="str">
        <f>IF(ISBLANK(Raw_Data!F1695),AVERAGE(Raw_Data!F$2:F$5002),Raw_Data!F1695)</f>
        <v>13833.98</v>
      </c>
      <c r="G1695" s="14" t="str">
        <f>IF(ISBLANK(Raw_Data!G1695),AVERAGE(Raw_Data!G$2:G$5002),Raw_Data!G1695)</f>
        <v>12954.02</v>
      </c>
      <c r="H1695" s="15" t="str">
        <f t="shared" si="1"/>
        <v>103541.00</v>
      </c>
      <c r="I1695" s="14" t="str">
        <f t="shared" si="2"/>
        <v>90587.00</v>
      </c>
      <c r="J1695" s="16" t="str">
        <f>TEXT(Raw_Data!J1695,"MMM-YYY")</f>
        <v>Nov-2025</v>
      </c>
      <c r="K1695" s="13" t="str">
        <f>Raw_Data!K1695</f>
        <v>13</v>
      </c>
      <c r="L1695" s="17" t="str">
        <f>Raw_Data!L1695</f>
        <v>Jaipur-North</v>
      </c>
      <c r="M1695" s="13" t="str">
        <f t="shared" si="3"/>
        <v>OK</v>
      </c>
      <c r="N1695" s="18" t="str">
        <f t="shared" si="4"/>
        <v>VALID</v>
      </c>
    </row>
    <row r="1696" ht="15.75" customHeight="1">
      <c r="A1696" s="13" t="str">
        <f>Raw_Data!A1696</f>
        <v>EMP1780</v>
      </c>
      <c r="B1696" s="13" t="str">
        <f>TRIM(CLEAN(Raw_Data!B1696))</f>
        <v>Finance</v>
      </c>
      <c r="C1696" s="18" t="s">
        <v>14</v>
      </c>
      <c r="D1696" s="14" t="str">
        <f>IF(ISBLANK(Raw_Data!D1696),AVERAGE(Raw_Data!D$2:D$5002),Raw_Data!D1696)</f>
        <v>67517.80</v>
      </c>
      <c r="E1696" s="15" t="str">
        <f>IF(ISBLANK(Raw_Data!E1696),AVERAGE(Raw_Data!E$2:E$5002),Raw_Data!E1696)</f>
        <v>22204.82</v>
      </c>
      <c r="F1696" s="15" t="str">
        <f>IF(ISBLANK(Raw_Data!F1696),AVERAGE(Raw_Data!F$2:F$5002),Raw_Data!F1696)</f>
        <v>13841.66</v>
      </c>
      <c r="G1696" s="14" t="str">
        <f>IF(ISBLANK(Raw_Data!G1696),AVERAGE(Raw_Data!G$2:G$5002),Raw_Data!G1696)</f>
        <v>12957.42</v>
      </c>
      <c r="H1696" s="15" t="str">
        <f t="shared" si="1"/>
        <v>103564.00</v>
      </c>
      <c r="I1696" s="14" t="str">
        <f t="shared" si="2"/>
        <v>90607.00</v>
      </c>
      <c r="J1696" s="16" t="str">
        <f>TEXT(Raw_Data!J1696,"MMM-YYY")</f>
        <v>Nov-2025</v>
      </c>
      <c r="K1696" s="13" t="str">
        <f>Raw_Data!K1696</f>
        <v>21</v>
      </c>
      <c r="L1696" s="17" t="str">
        <f>Raw_Data!L1696</f>
        <v>Mumbai-HO</v>
      </c>
      <c r="M1696" s="13" t="str">
        <f t="shared" si="3"/>
        <v>OK</v>
      </c>
      <c r="N1696" s="18" t="str">
        <f t="shared" si="4"/>
        <v>VALID</v>
      </c>
    </row>
    <row r="1697" ht="15.75" customHeight="1">
      <c r="A1697" s="13" t="str">
        <f>Raw_Data!A1697</f>
        <v>EMP1781</v>
      </c>
      <c r="B1697" s="13" t="str">
        <f>TRIM(CLEAN(Raw_Data!B1697))</f>
        <v>Customer Support</v>
      </c>
      <c r="C1697" s="18" t="s">
        <v>18</v>
      </c>
      <c r="D1697" s="14" t="str">
        <f>IF(ISBLANK(Raw_Data!D1697),AVERAGE(Raw_Data!D$2:D$5002),Raw_Data!D1697)</f>
        <v>67528.68</v>
      </c>
      <c r="E1697" s="15" t="str">
        <f>IF(ISBLANK(Raw_Data!E1697),AVERAGE(Raw_Data!E$2:E$5002),Raw_Data!E1697)</f>
        <v>22209.44</v>
      </c>
      <c r="F1697" s="15" t="str">
        <f>IF(ISBLANK(Raw_Data!F1697),AVERAGE(Raw_Data!F$2:F$5002),Raw_Data!F1697)</f>
        <v>13849.34</v>
      </c>
      <c r="G1697" s="14" t="str">
        <f>IF(ISBLANK(Raw_Data!G1697),AVERAGE(Raw_Data!G$2:G$5002),Raw_Data!G1697)</f>
        <v>12960.82</v>
      </c>
      <c r="H1697" s="15" t="str">
        <f t="shared" si="1"/>
        <v>103587.00</v>
      </c>
      <c r="I1697" s="14" t="str">
        <f t="shared" si="2"/>
        <v>90626.00</v>
      </c>
      <c r="J1697" s="16" t="str">
        <f>TEXT(Raw_Data!J1697,"MMM-YYY")</f>
        <v>Apr-2025</v>
      </c>
      <c r="K1697" s="13" t="str">
        <f>Raw_Data!K1697</f>
        <v>22</v>
      </c>
      <c r="L1697" s="17" t="str">
        <f>Raw_Data!L1697</f>
        <v>Delhi-North</v>
      </c>
      <c r="M1697" s="13" t="str">
        <f t="shared" si="3"/>
        <v>OK</v>
      </c>
      <c r="N1697" s="18" t="str">
        <f t="shared" si="4"/>
        <v>VALID</v>
      </c>
    </row>
    <row r="1698" ht="15.75" customHeight="1">
      <c r="A1698" s="13" t="str">
        <f>Raw_Data!A1698</f>
        <v>EMP1782</v>
      </c>
      <c r="B1698" s="13" t="str">
        <f>TRIM(CLEAN(Raw_Data!B1698))</f>
        <v>Marketing</v>
      </c>
      <c r="C1698" s="18" t="s">
        <v>26</v>
      </c>
      <c r="D1698" s="14" t="str">
        <f>IF(ISBLANK(Raw_Data!D1698),AVERAGE(Raw_Data!D$2:D$5002),Raw_Data!D1698)</f>
        <v>67539.56</v>
      </c>
      <c r="E1698" s="15" t="str">
        <f>IF(ISBLANK(Raw_Data!E1698),AVERAGE(Raw_Data!E$2:E$5002),Raw_Data!E1698)</f>
        <v>22214.05</v>
      </c>
      <c r="F1698" s="15" t="str">
        <f>IF(ISBLANK(Raw_Data!F1698),AVERAGE(Raw_Data!F$2:F$5002),Raw_Data!F1698)</f>
        <v>13857.02</v>
      </c>
      <c r="G1698" s="14" t="str">
        <f>IF(ISBLANK(Raw_Data!G1698),AVERAGE(Raw_Data!G$2:G$5002),Raw_Data!G1698)</f>
        <v>12964.21</v>
      </c>
      <c r="H1698" s="15" t="str">
        <f t="shared" si="1"/>
        <v>103611.00</v>
      </c>
      <c r="I1698" s="14" t="str">
        <f t="shared" si="2"/>
        <v>90647.00</v>
      </c>
      <c r="J1698" s="16" t="str">
        <f>TEXT(Raw_Data!J1698,"MMM-YYY")</f>
        <v>May-2025</v>
      </c>
      <c r="K1698" s="13" t="str">
        <f>Raw_Data!K1698</f>
        <v>4</v>
      </c>
      <c r="L1698" s="17" t="str">
        <f>Raw_Data!L1698</f>
        <v>Bangalore-South</v>
      </c>
      <c r="M1698" s="13" t="str">
        <f t="shared" si="3"/>
        <v>OK</v>
      </c>
      <c r="N1698" s="18" t="str">
        <f t="shared" si="4"/>
        <v>VALID</v>
      </c>
    </row>
    <row r="1699" ht="15.75" customHeight="1">
      <c r="A1699" s="13" t="str">
        <f>Raw_Data!A1699</f>
        <v>EMP1784</v>
      </c>
      <c r="B1699" s="13" t="str">
        <f>TRIM(CLEAN(Raw_Data!B1699))</f>
        <v>HR</v>
      </c>
      <c r="C1699" s="18" t="s">
        <v>14</v>
      </c>
      <c r="D1699" s="14" t="str">
        <f>IF(ISBLANK(Raw_Data!D1699),AVERAGE(Raw_Data!D$2:D$5002),Raw_Data!D1699)</f>
        <v>67561.33</v>
      </c>
      <c r="E1699" s="15" t="str">
        <f>IF(ISBLANK(Raw_Data!E1699),AVERAGE(Raw_Data!E$2:E$5002),Raw_Data!E1699)</f>
        <v>22223.28</v>
      </c>
      <c r="F1699" s="15" t="str">
        <f>IF(ISBLANK(Raw_Data!F1699),AVERAGE(Raw_Data!F$2:F$5002),Raw_Data!F1699)</f>
        <v>13872.38</v>
      </c>
      <c r="G1699" s="14" t="str">
        <f>IF(ISBLANK(Raw_Data!G1699),AVERAGE(Raw_Data!G$2:G$5002),Raw_Data!G1699)</f>
        <v>12971.01</v>
      </c>
      <c r="H1699" s="15" t="str">
        <f t="shared" si="1"/>
        <v>103657.00</v>
      </c>
      <c r="I1699" s="14" t="str">
        <f t="shared" si="2"/>
        <v>90686.00</v>
      </c>
      <c r="J1699" s="16" t="str">
        <f>TEXT(Raw_Data!J1699,"MMM-YYY")</f>
        <v>Mar-2025</v>
      </c>
      <c r="K1699" s="13" t="str">
        <f>Raw_Data!K1699</f>
        <v>13</v>
      </c>
      <c r="L1699" s="17" t="str">
        <f>Raw_Data!L1699</f>
        <v>Kolkata-East</v>
      </c>
      <c r="M1699" s="13" t="str">
        <f t="shared" si="3"/>
        <v>OK</v>
      </c>
      <c r="N1699" s="18" t="str">
        <f t="shared" si="4"/>
        <v>VALID</v>
      </c>
    </row>
    <row r="1700" ht="15.75" customHeight="1">
      <c r="A1700" s="13" t="str">
        <f>Raw_Data!A1700</f>
        <v>EMP1785</v>
      </c>
      <c r="B1700" s="13" t="str">
        <f>TRIM(CLEAN(Raw_Data!B1700))</f>
        <v>IT</v>
      </c>
      <c r="C1700" s="18" t="s">
        <v>54</v>
      </c>
      <c r="D1700" s="14" t="str">
        <f>IF(ISBLANK(Raw_Data!D1700),AVERAGE(Raw_Data!D$2:D$5002),Raw_Data!D1700)</f>
        <v>67572.21</v>
      </c>
      <c r="E1700" s="15" t="str">
        <f>IF(ISBLANK(Raw_Data!E1700),AVERAGE(Raw_Data!E$2:E$5002),Raw_Data!E1700)</f>
        <v>22227.90</v>
      </c>
      <c r="F1700" s="15" t="str">
        <f>IF(ISBLANK(Raw_Data!F1700),AVERAGE(Raw_Data!F$2:F$5002),Raw_Data!F1700)</f>
        <v>13880.06</v>
      </c>
      <c r="G1700" s="14" t="str">
        <f>IF(ISBLANK(Raw_Data!G1700),AVERAGE(Raw_Data!G$2:G$5002),Raw_Data!G1700)</f>
        <v>12974.41</v>
      </c>
      <c r="H1700" s="15" t="str">
        <f t="shared" si="1"/>
        <v>103680.00</v>
      </c>
      <c r="I1700" s="14" t="str">
        <f t="shared" si="2"/>
        <v>90706.00</v>
      </c>
      <c r="J1700" s="16" t="str">
        <f>TEXT(Raw_Data!J1700,"MMM-YYY")</f>
        <v>Nov-2025</v>
      </c>
      <c r="K1700" s="13" t="str">
        <f>Raw_Data!K1700</f>
        <v>19</v>
      </c>
      <c r="L1700" s="17" t="str">
        <f>Raw_Data!L1700</f>
        <v>Pune-West</v>
      </c>
      <c r="M1700" s="13" t="str">
        <f t="shared" si="3"/>
        <v>OK</v>
      </c>
      <c r="N1700" s="18" t="str">
        <f t="shared" si="4"/>
        <v>VALID</v>
      </c>
    </row>
    <row r="1701" ht="15.75" customHeight="1">
      <c r="A1701" s="13" t="str">
        <f>Raw_Data!A1701</f>
        <v>EMP1786</v>
      </c>
      <c r="B1701" s="13" t="str">
        <f>TRIM(CLEAN(Raw_Data!B1701))</f>
        <v>Sales</v>
      </c>
      <c r="C1701" s="18" t="s">
        <v>26</v>
      </c>
      <c r="D1701" s="14" t="str">
        <f>IF(ISBLANK(Raw_Data!D1701),AVERAGE(Raw_Data!D$2:D$5002),Raw_Data!D1701)</f>
        <v>67583.09</v>
      </c>
      <c r="E1701" s="15" t="str">
        <f>IF(ISBLANK(Raw_Data!E1701),AVERAGE(Raw_Data!E$2:E$5002),Raw_Data!E1701)</f>
        <v>22232.51</v>
      </c>
      <c r="F1701" s="15" t="str">
        <f>IF(ISBLANK(Raw_Data!F1701),AVERAGE(Raw_Data!F$2:F$5002),Raw_Data!F1701)</f>
        <v>13887.74</v>
      </c>
      <c r="G1701" s="14" t="str">
        <f>IF(ISBLANK(Raw_Data!G1701),AVERAGE(Raw_Data!G$2:G$5002),Raw_Data!G1701)</f>
        <v>12977.80</v>
      </c>
      <c r="H1701" s="15" t="str">
        <f t="shared" si="1"/>
        <v>103703.00</v>
      </c>
      <c r="I1701" s="14" t="str">
        <f t="shared" si="2"/>
        <v>90725.00</v>
      </c>
      <c r="J1701" s="16" t="str">
        <f>TEXT(Raw_Data!J1701,"MMM-YYY")</f>
        <v>Jul-2025</v>
      </c>
      <c r="K1701" s="13" t="str">
        <f>Raw_Data!K1701</f>
        <v>16</v>
      </c>
      <c r="L1701" s="17" t="str">
        <f>Raw_Data!L1701</f>
        <v>Hyderabad-South</v>
      </c>
      <c r="M1701" s="13" t="str">
        <f t="shared" si="3"/>
        <v>OK</v>
      </c>
      <c r="N1701" s="18" t="str">
        <f t="shared" si="4"/>
        <v>VALID</v>
      </c>
    </row>
    <row r="1702" ht="15.75" customHeight="1">
      <c r="A1702" s="13" t="str">
        <f>Raw_Data!A1702</f>
        <v>EMP1788</v>
      </c>
      <c r="B1702" s="13" t="str">
        <f>TRIM(CLEAN(Raw_Data!B1702))</f>
        <v>Sales</v>
      </c>
      <c r="C1702" s="18" t="s">
        <v>26</v>
      </c>
      <c r="D1702" s="14" t="str">
        <f>IF(ISBLANK(Raw_Data!D1702),AVERAGE(Raw_Data!D$2:D$5002),Raw_Data!D1702)</f>
        <v>67604.86</v>
      </c>
      <c r="E1702" s="15" t="str">
        <f>IF(ISBLANK(Raw_Data!E1702),AVERAGE(Raw_Data!E$2:E$5002),Raw_Data!E1702)</f>
        <v>22241.74</v>
      </c>
      <c r="F1702" s="15" t="str">
        <f>IF(ISBLANK(Raw_Data!F1702),AVERAGE(Raw_Data!F$2:F$5002),Raw_Data!F1702)</f>
        <v>13903.10</v>
      </c>
      <c r="G1702" s="14" t="str">
        <f>IF(ISBLANK(Raw_Data!G1702),AVERAGE(Raw_Data!G$2:G$5002),Raw_Data!G1702)</f>
        <v>12984.60</v>
      </c>
      <c r="H1702" s="15" t="str">
        <f t="shared" si="1"/>
        <v>103750.00</v>
      </c>
      <c r="I1702" s="14" t="str">
        <f t="shared" si="2"/>
        <v>90765.00</v>
      </c>
      <c r="J1702" s="16" t="str">
        <f>TEXT(Raw_Data!J1702,"MMM-YYY")</f>
        <v>Mar-2025</v>
      </c>
      <c r="K1702" s="13" t="str">
        <f>Raw_Data!K1702</f>
        <v>7</v>
      </c>
      <c r="L1702" s="17" t="str">
        <f>Raw_Data!L1702</f>
        <v>Ahmedabad-West</v>
      </c>
      <c r="M1702" s="13" t="str">
        <f t="shared" si="3"/>
        <v>OK</v>
      </c>
      <c r="N1702" s="18" t="str">
        <f t="shared" si="4"/>
        <v>VALID</v>
      </c>
    </row>
    <row r="1703" ht="15.75" customHeight="1">
      <c r="A1703" s="13" t="str">
        <f>Raw_Data!A1703</f>
        <v>EMP1789</v>
      </c>
      <c r="B1703" s="13" t="str">
        <f>TRIM(CLEAN(Raw_Data!B1703))</f>
        <v>Finance</v>
      </c>
      <c r="C1703" s="18" t="s">
        <v>30</v>
      </c>
      <c r="D1703" s="14" t="str">
        <f>IF(ISBLANK(Raw_Data!D1703),AVERAGE(Raw_Data!D$2:D$5002),Raw_Data!D1703)</f>
        <v>67615.74</v>
      </c>
      <c r="E1703" s="15" t="str">
        <f>IF(ISBLANK(Raw_Data!E1703),AVERAGE(Raw_Data!E$2:E$5002),Raw_Data!E1703)</f>
        <v>22246.36</v>
      </c>
      <c r="F1703" s="15" t="str">
        <f>IF(ISBLANK(Raw_Data!F1703),AVERAGE(Raw_Data!F$2:F$5002),Raw_Data!F1703)</f>
        <v>13910.78</v>
      </c>
      <c r="G1703" s="14" t="str">
        <f>IF(ISBLANK(Raw_Data!G1703),AVERAGE(Raw_Data!G$2:G$5002),Raw_Data!G1703)</f>
        <v>12988.00</v>
      </c>
      <c r="H1703" s="15" t="str">
        <f t="shared" si="1"/>
        <v>103773.00</v>
      </c>
      <c r="I1703" s="14" t="str">
        <f t="shared" si="2"/>
        <v>90785.00</v>
      </c>
      <c r="J1703" s="16" t="str">
        <f>TEXT(Raw_Data!J1703,"MMM-YYY")</f>
        <v>Apr-2025</v>
      </c>
      <c r="K1703" s="13" t="str">
        <f>Raw_Data!K1703</f>
        <v>9</v>
      </c>
      <c r="L1703" s="17" t="str">
        <f>Raw_Data!L1703</f>
        <v>Jaipur-North</v>
      </c>
      <c r="M1703" s="13" t="str">
        <f t="shared" si="3"/>
        <v>OK</v>
      </c>
      <c r="N1703" s="18" t="str">
        <f t="shared" si="4"/>
        <v>VALID</v>
      </c>
    </row>
    <row r="1704" ht="15.75" customHeight="1">
      <c r="A1704" s="13" t="str">
        <f>Raw_Data!A1704</f>
        <v>EMP1790</v>
      </c>
      <c r="B1704" s="13" t="s">
        <v>53</v>
      </c>
      <c r="C1704" s="18" t="s">
        <v>54</v>
      </c>
      <c r="D1704" s="14" t="str">
        <f>IF(ISBLANK(Raw_Data!D1704),AVERAGE(Raw_Data!D$2:D$5002),Raw_Data!D1704)</f>
        <v>67626.63</v>
      </c>
      <c r="E1704" s="15" t="str">
        <f>IF(ISBLANK(Raw_Data!E1704),AVERAGE(Raw_Data!E$2:E$5002),Raw_Data!E1704)</f>
        <v>22250.97</v>
      </c>
      <c r="F1704" s="15" t="str">
        <f>IF(ISBLANK(Raw_Data!F1704),AVERAGE(Raw_Data!F$2:F$5002),Raw_Data!F1704)</f>
        <v>13918.46</v>
      </c>
      <c r="G1704" s="14" t="str">
        <f>IF(ISBLANK(Raw_Data!G1704),AVERAGE(Raw_Data!G$2:G$5002),Raw_Data!G1704)</f>
        <v>12991.39</v>
      </c>
      <c r="H1704" s="15" t="str">
        <f t="shared" si="1"/>
        <v>103796.00</v>
      </c>
      <c r="I1704" s="14" t="str">
        <f t="shared" si="2"/>
        <v>90805.00</v>
      </c>
      <c r="J1704" s="16" t="str">
        <f>TEXT(Raw_Data!J1704,"MMM-YYY")</f>
        <v>Nov-2025</v>
      </c>
      <c r="K1704" s="13" t="str">
        <f>Raw_Data!K1704</f>
        <v>22</v>
      </c>
      <c r="L1704" s="17" t="str">
        <f>Raw_Data!L1704</f>
        <v>Mumbai-HO</v>
      </c>
      <c r="M1704" s="13" t="str">
        <f t="shared" si="3"/>
        <v>OK</v>
      </c>
      <c r="N1704" s="18" t="str">
        <f t="shared" si="4"/>
        <v>VALID</v>
      </c>
    </row>
    <row r="1705" ht="15.75" customHeight="1">
      <c r="A1705" s="13" t="str">
        <f>Raw_Data!A1705</f>
        <v>EMP1791</v>
      </c>
      <c r="B1705" s="13" t="str">
        <f>TRIM(CLEAN(Raw_Data!B1705))</f>
        <v>Marketing</v>
      </c>
      <c r="C1705" s="18" t="s">
        <v>33</v>
      </c>
      <c r="D1705" s="14" t="str">
        <f>IF(ISBLANK(Raw_Data!D1705),AVERAGE(Raw_Data!D$2:D$5002),Raw_Data!D1705)</f>
        <v>67637.51</v>
      </c>
      <c r="E1705" s="15" t="str">
        <f>IF(ISBLANK(Raw_Data!E1705),AVERAGE(Raw_Data!E$2:E$5002),Raw_Data!E1705)</f>
        <v>22255.58</v>
      </c>
      <c r="F1705" s="15" t="str">
        <f>IF(ISBLANK(Raw_Data!F1705),AVERAGE(Raw_Data!F$2:F$5002),Raw_Data!F1705)</f>
        <v>13926.14</v>
      </c>
      <c r="G1705" s="14" t="str">
        <f>IF(ISBLANK(Raw_Data!G1705),AVERAGE(Raw_Data!G$2:G$5002),Raw_Data!G1705)</f>
        <v>12994.79</v>
      </c>
      <c r="H1705" s="15" t="str">
        <f t="shared" si="1"/>
        <v>103819.00</v>
      </c>
      <c r="I1705" s="14" t="str">
        <f t="shared" si="2"/>
        <v>90824.00</v>
      </c>
      <c r="J1705" s="16" t="str">
        <f>TEXT(Raw_Data!J1705,"MMM-YYY")</f>
        <v>Jun-2025</v>
      </c>
      <c r="K1705" s="13" t="str">
        <f>Raw_Data!K1705</f>
        <v>24</v>
      </c>
      <c r="L1705" s="17" t="str">
        <f>Raw_Data!L1705</f>
        <v>Delhi-North</v>
      </c>
      <c r="M1705" s="13" t="str">
        <f t="shared" si="3"/>
        <v>OK</v>
      </c>
      <c r="N1705" s="18" t="str">
        <f t="shared" si="4"/>
        <v>VALID</v>
      </c>
    </row>
    <row r="1706" ht="15.75" customHeight="1">
      <c r="A1706" s="13" t="str">
        <f>Raw_Data!A1706</f>
        <v>EMP1792</v>
      </c>
      <c r="B1706" s="13" t="str">
        <f>TRIM(CLEAN(Raw_Data!B1706))</f>
        <v>IT</v>
      </c>
      <c r="C1706" s="18" t="s">
        <v>26</v>
      </c>
      <c r="D1706" s="14" t="str">
        <f>IF(ISBLANK(Raw_Data!D1706),AVERAGE(Raw_Data!D$2:D$5002),Raw_Data!D1706)</f>
        <v>67648.39</v>
      </c>
      <c r="E1706" s="15" t="str">
        <f>IF(ISBLANK(Raw_Data!E1706),AVERAGE(Raw_Data!E$2:E$5002),Raw_Data!E1706)</f>
        <v>22260.20</v>
      </c>
      <c r="F1706" s="15" t="str">
        <f>IF(ISBLANK(Raw_Data!F1706),AVERAGE(Raw_Data!F$2:F$5002),Raw_Data!F1706)</f>
        <v>13933.82</v>
      </c>
      <c r="G1706" s="14" t="str">
        <f>IF(ISBLANK(Raw_Data!G1706),AVERAGE(Raw_Data!G$2:G$5002),Raw_Data!G1706)</f>
        <v>12998.19</v>
      </c>
      <c r="H1706" s="15" t="str">
        <f t="shared" si="1"/>
        <v>103842.00</v>
      </c>
      <c r="I1706" s="14" t="str">
        <f t="shared" si="2"/>
        <v>90844.00</v>
      </c>
      <c r="J1706" s="16" t="str">
        <f>TEXT(Raw_Data!J1706,"MMM-YYY")</f>
        <v>Jan-2025</v>
      </c>
      <c r="K1706" s="13" t="str">
        <f>Raw_Data!K1706</f>
        <v>5</v>
      </c>
      <c r="L1706" s="17" t="str">
        <f>Raw_Data!L1706</f>
        <v>Bangalore-South</v>
      </c>
      <c r="M1706" s="13" t="str">
        <f t="shared" si="3"/>
        <v>OK</v>
      </c>
      <c r="N1706" s="18" t="str">
        <f t="shared" si="4"/>
        <v>VALID</v>
      </c>
    </row>
    <row r="1707" ht="15.75" customHeight="1">
      <c r="A1707" s="13" t="str">
        <f>Raw_Data!A1707</f>
        <v>EMP1793</v>
      </c>
      <c r="B1707" s="13" t="str">
        <f>TRIM(CLEAN(Raw_Data!B1707))</f>
        <v>Finance</v>
      </c>
      <c r="C1707" s="18" t="s">
        <v>14</v>
      </c>
      <c r="D1707" s="14" t="str">
        <f>IF(ISBLANK(Raw_Data!D1707),AVERAGE(Raw_Data!D$2:D$5002),Raw_Data!D1707)</f>
        <v>67659.27</v>
      </c>
      <c r="E1707" s="15" t="str">
        <f>IF(ISBLANK(Raw_Data!E1707),AVERAGE(Raw_Data!E$2:E$5002),Raw_Data!E1707)</f>
        <v>22264.81</v>
      </c>
      <c r="F1707" s="15" t="str">
        <f>IF(ISBLANK(Raw_Data!F1707),AVERAGE(Raw_Data!F$2:F$5002),Raw_Data!F1707)</f>
        <v>13941.50</v>
      </c>
      <c r="G1707" s="14" t="str">
        <f>IF(ISBLANK(Raw_Data!G1707),AVERAGE(Raw_Data!G$2:G$5002),Raw_Data!G1707)</f>
        <v>13001.59</v>
      </c>
      <c r="H1707" s="15" t="str">
        <f t="shared" si="1"/>
        <v>103866.00</v>
      </c>
      <c r="I1707" s="14" t="str">
        <f t="shared" si="2"/>
        <v>90864.00</v>
      </c>
      <c r="J1707" s="16" t="str">
        <f>TEXT(Raw_Data!J1707,"MMM-YYY")</f>
        <v>Jul-2025</v>
      </c>
      <c r="K1707" s="13" t="str">
        <f>Raw_Data!K1707</f>
        <v>16</v>
      </c>
      <c r="L1707" s="17" t="str">
        <f>Raw_Data!L1707</f>
        <v>Chennai-South</v>
      </c>
      <c r="M1707" s="13" t="str">
        <f t="shared" si="3"/>
        <v>OK</v>
      </c>
      <c r="N1707" s="18" t="str">
        <f t="shared" si="4"/>
        <v>VALID</v>
      </c>
    </row>
    <row r="1708" ht="15.75" customHeight="1">
      <c r="A1708" s="13" t="str">
        <f>Raw_Data!A1708</f>
        <v>EMP1794</v>
      </c>
      <c r="B1708" s="13" t="str">
        <f>TRIM(CLEAN(Raw_Data!B1708))</f>
        <v>Sales</v>
      </c>
      <c r="C1708" s="18" t="s">
        <v>33</v>
      </c>
      <c r="D1708" s="14" t="str">
        <f>IF(ISBLANK(Raw_Data!D1708),AVERAGE(Raw_Data!D$2:D$5002),Raw_Data!D1708)</f>
        <v>67670.16</v>
      </c>
      <c r="E1708" s="15" t="str">
        <f>IF(ISBLANK(Raw_Data!E1708),AVERAGE(Raw_Data!E$2:E$5002),Raw_Data!E1708)</f>
        <v>22269.43</v>
      </c>
      <c r="F1708" s="15" t="str">
        <f>IF(ISBLANK(Raw_Data!F1708),AVERAGE(Raw_Data!F$2:F$5002),Raw_Data!F1708)</f>
        <v>13949.18</v>
      </c>
      <c r="G1708" s="14" t="str">
        <f>IF(ISBLANK(Raw_Data!G1708),AVERAGE(Raw_Data!G$2:G$5002),Raw_Data!G1708)</f>
        <v>13004.98</v>
      </c>
      <c r="H1708" s="15" t="str">
        <f t="shared" si="1"/>
        <v>103889.00</v>
      </c>
      <c r="I1708" s="14" t="str">
        <f t="shared" si="2"/>
        <v>90884.00</v>
      </c>
      <c r="J1708" s="16" t="str">
        <f>TEXT(Raw_Data!J1708,"MMM-YYY")</f>
        <v>Feb-2025</v>
      </c>
      <c r="K1708" s="13" t="str">
        <f>Raw_Data!K1708</f>
        <v>5</v>
      </c>
      <c r="L1708" s="17" t="str">
        <f>Raw_Data!L1708</f>
        <v>Kolkata-East</v>
      </c>
      <c r="M1708" s="13" t="str">
        <f t="shared" si="3"/>
        <v>OK</v>
      </c>
      <c r="N1708" s="18" t="str">
        <f t="shared" si="4"/>
        <v>VALID</v>
      </c>
    </row>
    <row r="1709" ht="15.75" customHeight="1">
      <c r="A1709" s="13" t="str">
        <f>Raw_Data!A1709</f>
        <v>EMP1795</v>
      </c>
      <c r="B1709" s="13" t="str">
        <f>TRIM(CLEAN(Raw_Data!B1709))</f>
        <v>Customer Support</v>
      </c>
      <c r="C1709" s="18" t="s">
        <v>54</v>
      </c>
      <c r="D1709" s="14" t="str">
        <f>IF(ISBLANK(Raw_Data!D1709),AVERAGE(Raw_Data!D$2:D$5002),Raw_Data!D1709)</f>
        <v>67681.04</v>
      </c>
      <c r="E1709" s="15" t="str">
        <f>IF(ISBLANK(Raw_Data!E1709),AVERAGE(Raw_Data!E$2:E$5002),Raw_Data!E1709)</f>
        <v>22274.04</v>
      </c>
      <c r="F1709" s="15" t="str">
        <f>IF(ISBLANK(Raw_Data!F1709),AVERAGE(Raw_Data!F$2:F$5002),Raw_Data!F1709)</f>
        <v>13956.86</v>
      </c>
      <c r="G1709" s="14" t="str">
        <f>IF(ISBLANK(Raw_Data!G1709),AVERAGE(Raw_Data!G$2:G$5002),Raw_Data!G1709)</f>
        <v>13008.38</v>
      </c>
      <c r="H1709" s="15" t="str">
        <f t="shared" si="1"/>
        <v>103912.00</v>
      </c>
      <c r="I1709" s="14" t="str">
        <f t="shared" si="2"/>
        <v>90904.00</v>
      </c>
      <c r="J1709" s="16" t="str">
        <f>TEXT(Raw_Data!J1709,"MMM-YYY")</f>
        <v>Apr-2025</v>
      </c>
      <c r="K1709" s="13" t="str">
        <f>Raw_Data!K1709</f>
        <v>23</v>
      </c>
      <c r="L1709" s="17" t="str">
        <f>Raw_Data!L1709</f>
        <v>Pune-West</v>
      </c>
      <c r="M1709" s="13" t="str">
        <f t="shared" si="3"/>
        <v>OK</v>
      </c>
      <c r="N1709" s="18" t="str">
        <f t="shared" si="4"/>
        <v>VALID</v>
      </c>
    </row>
    <row r="1710" ht="15.75" customHeight="1">
      <c r="A1710" s="13" t="str">
        <f>Raw_Data!A1710</f>
        <v>EMP1796</v>
      </c>
      <c r="B1710" s="13" t="str">
        <f>TRIM(CLEAN(Raw_Data!B1710))</f>
        <v>Customer Support</v>
      </c>
      <c r="C1710" s="18" t="s">
        <v>26</v>
      </c>
      <c r="D1710" s="14" t="str">
        <f>IF(ISBLANK(Raw_Data!D1710),AVERAGE(Raw_Data!D$2:D$5002),Raw_Data!D1710)</f>
        <v>67691.92</v>
      </c>
      <c r="E1710" s="15" t="str">
        <f>IF(ISBLANK(Raw_Data!E1710),AVERAGE(Raw_Data!E$2:E$5002),Raw_Data!E1710)</f>
        <v>22278.66</v>
      </c>
      <c r="F1710" s="15" t="str">
        <f>IF(ISBLANK(Raw_Data!F1710),AVERAGE(Raw_Data!F$2:F$5002),Raw_Data!F1710)</f>
        <v>13964.54</v>
      </c>
      <c r="G1710" s="14" t="str">
        <f>IF(ISBLANK(Raw_Data!G1710),AVERAGE(Raw_Data!G$2:G$5002),Raw_Data!G1710)</f>
        <v>13011.78</v>
      </c>
      <c r="H1710" s="15" t="str">
        <f t="shared" si="1"/>
        <v>103935.00</v>
      </c>
      <c r="I1710" s="14" t="str">
        <f t="shared" si="2"/>
        <v>90923.00</v>
      </c>
      <c r="J1710" s="16" t="str">
        <f>TEXT(Raw_Data!J1710,"MMM-YYY")</f>
        <v>Nov-2025</v>
      </c>
      <c r="K1710" s="13" t="str">
        <f>Raw_Data!K1710</f>
        <v>11</v>
      </c>
      <c r="L1710" s="17" t="str">
        <f>Raw_Data!L1710</f>
        <v>Hyderabad-South</v>
      </c>
      <c r="M1710" s="13" t="str">
        <f t="shared" si="3"/>
        <v>OK</v>
      </c>
      <c r="N1710" s="18" t="str">
        <f t="shared" si="4"/>
        <v>VALID</v>
      </c>
    </row>
    <row r="1711" ht="15.75" customHeight="1">
      <c r="A1711" s="13" t="str">
        <f>Raw_Data!A1711</f>
        <v>EMP1797</v>
      </c>
      <c r="B1711" s="13" t="str">
        <f>TRIM(CLEAN(Raw_Data!B1711))</f>
        <v>Finance</v>
      </c>
      <c r="C1711" s="18" t="s">
        <v>30</v>
      </c>
      <c r="D1711" s="14" t="str">
        <f>IF(ISBLANK(Raw_Data!D1711),AVERAGE(Raw_Data!D$2:D$5002),Raw_Data!D1711)</f>
        <v>67702.81</v>
      </c>
      <c r="E1711" s="15" t="str">
        <f>IF(ISBLANK(Raw_Data!E1711),AVERAGE(Raw_Data!E$2:E$5002),Raw_Data!E1711)</f>
        <v>22283.27</v>
      </c>
      <c r="F1711" s="15" t="str">
        <f>IF(ISBLANK(Raw_Data!F1711),AVERAGE(Raw_Data!F$2:F$5002),Raw_Data!F1711)</f>
        <v>13972.22</v>
      </c>
      <c r="G1711" s="14" t="str">
        <f>IF(ISBLANK(Raw_Data!G1711),AVERAGE(Raw_Data!G$2:G$5002),Raw_Data!G1711)</f>
        <v>13015.18</v>
      </c>
      <c r="H1711" s="15" t="str">
        <f t="shared" si="1"/>
        <v>103958.00</v>
      </c>
      <c r="I1711" s="14" t="str">
        <f t="shared" si="2"/>
        <v>90943.00</v>
      </c>
      <c r="J1711" s="16" t="str">
        <f>TEXT(Raw_Data!J1711,"MMM-YYY")</f>
        <v>Feb-2025</v>
      </c>
      <c r="K1711" s="13" t="str">
        <f>Raw_Data!K1711</f>
        <v>10</v>
      </c>
      <c r="L1711" s="17" t="str">
        <f>Raw_Data!L1711</f>
        <v>Chandigarh-North</v>
      </c>
      <c r="M1711" s="13" t="str">
        <f t="shared" si="3"/>
        <v>OK</v>
      </c>
      <c r="N1711" s="18" t="str">
        <f t="shared" si="4"/>
        <v>VALID</v>
      </c>
    </row>
    <row r="1712" ht="15.75" customHeight="1">
      <c r="A1712" s="13" t="str">
        <f>Raw_Data!A1712</f>
        <v>EMP1798</v>
      </c>
      <c r="B1712" s="13" t="str">
        <f>TRIM(CLEAN(Raw_Data!B1712))</f>
        <v>HR</v>
      </c>
      <c r="C1712" s="18" t="s">
        <v>37</v>
      </c>
      <c r="D1712" s="14" t="str">
        <f>IF(ISBLANK(Raw_Data!D1712),AVERAGE(Raw_Data!D$2:D$5002),Raw_Data!D1712)</f>
        <v>67713.69</v>
      </c>
      <c r="E1712" s="15" t="str">
        <f>IF(ISBLANK(Raw_Data!E1712),AVERAGE(Raw_Data!E$2:E$5002),Raw_Data!E1712)</f>
        <v>22287.89</v>
      </c>
      <c r="F1712" s="15" t="str">
        <f>IF(ISBLANK(Raw_Data!F1712),AVERAGE(Raw_Data!F$2:F$5002),Raw_Data!F1712)</f>
        <v>13979.90</v>
      </c>
      <c r="G1712" s="14" t="str">
        <f>IF(ISBLANK(Raw_Data!G1712),AVERAGE(Raw_Data!G$2:G$5002),Raw_Data!G1712)</f>
        <v>13018.58</v>
      </c>
      <c r="H1712" s="15" t="str">
        <f t="shared" si="1"/>
        <v>103981.00</v>
      </c>
      <c r="I1712" s="14" t="str">
        <f t="shared" si="2"/>
        <v>90962.00</v>
      </c>
      <c r="J1712" s="16" t="str">
        <f>TEXT(Raw_Data!J1712,"MMM-YYY")</f>
        <v>Jun-2025</v>
      </c>
      <c r="K1712" s="13" t="str">
        <f>Raw_Data!K1712</f>
        <v>10</v>
      </c>
      <c r="L1712" s="17" t="str">
        <f>Raw_Data!L1712</f>
        <v>Ahmedabad-West</v>
      </c>
      <c r="M1712" s="13" t="str">
        <f t="shared" si="3"/>
        <v>OK</v>
      </c>
      <c r="N1712" s="18" t="str">
        <f t="shared" si="4"/>
        <v>VALID</v>
      </c>
    </row>
    <row r="1713" ht="15.75" customHeight="1">
      <c r="A1713" s="13" t="str">
        <f>Raw_Data!A1713</f>
        <v>EMP1799</v>
      </c>
      <c r="B1713" s="13" t="str">
        <f>TRIM(CLEAN(Raw_Data!B1713))</f>
        <v>Finance</v>
      </c>
      <c r="C1713" s="18" t="s">
        <v>18</v>
      </c>
      <c r="D1713" s="14" t="str">
        <f>IF(ISBLANK(Raw_Data!D1713),AVERAGE(Raw_Data!D$2:D$5002),Raw_Data!D1713)</f>
        <v>67724.57</v>
      </c>
      <c r="E1713" s="15" t="str">
        <f>IF(ISBLANK(Raw_Data!E1713),AVERAGE(Raw_Data!E$2:E$5002),Raw_Data!E1713)</f>
        <v>22292.50</v>
      </c>
      <c r="F1713" s="15" t="str">
        <f>IF(ISBLANK(Raw_Data!F1713),AVERAGE(Raw_Data!F$2:F$5002),Raw_Data!F1713)</f>
        <v>13987.58</v>
      </c>
      <c r="G1713" s="14" t="str">
        <f>IF(ISBLANK(Raw_Data!G1713),AVERAGE(Raw_Data!G$2:G$5002),Raw_Data!G1713)</f>
        <v>13021.97</v>
      </c>
      <c r="H1713" s="15" t="str">
        <f t="shared" si="1"/>
        <v>104005.00</v>
      </c>
      <c r="I1713" s="14" t="str">
        <f t="shared" si="2"/>
        <v>90983.00</v>
      </c>
      <c r="J1713" s="16" t="str">
        <f>TEXT(Raw_Data!J1713,"MMM-YYY")</f>
        <v>Jul-2025</v>
      </c>
      <c r="K1713" s="13" t="str">
        <f>Raw_Data!K1713</f>
        <v>14</v>
      </c>
      <c r="L1713" s="17" t="str">
        <f>Raw_Data!L1713</f>
        <v>Jaipur-North</v>
      </c>
      <c r="M1713" s="13" t="str">
        <f t="shared" si="3"/>
        <v>OK</v>
      </c>
      <c r="N1713" s="18" t="str">
        <f t="shared" si="4"/>
        <v>VALID</v>
      </c>
    </row>
    <row r="1714" ht="15.75" customHeight="1">
      <c r="A1714" s="13" t="str">
        <f>Raw_Data!A1714</f>
        <v>EMP1800</v>
      </c>
      <c r="B1714" s="13" t="str">
        <f>TRIM(CLEAN(Raw_Data!B1714))</f>
        <v>HR</v>
      </c>
      <c r="C1714" s="18" t="s">
        <v>14</v>
      </c>
      <c r="D1714" s="14" t="str">
        <f>IF(ISBLANK(Raw_Data!D1714),AVERAGE(Raw_Data!D$2:D$5002),Raw_Data!D1714)</f>
        <v>67735.46</v>
      </c>
      <c r="E1714" s="15" t="str">
        <f>IF(ISBLANK(Raw_Data!E1714),AVERAGE(Raw_Data!E$2:E$5002),Raw_Data!E1714)</f>
        <v>22297.12</v>
      </c>
      <c r="F1714" s="15" t="str">
        <f>IF(ISBLANK(Raw_Data!F1714),AVERAGE(Raw_Data!F$2:F$5002),Raw_Data!F1714)</f>
        <v>13995.26</v>
      </c>
      <c r="G1714" s="14" t="str">
        <f>IF(ISBLANK(Raw_Data!G1714),AVERAGE(Raw_Data!G$2:G$5002),Raw_Data!G1714)</f>
        <v>13025.37</v>
      </c>
      <c r="H1714" s="15" t="str">
        <f t="shared" si="1"/>
        <v>104028.00</v>
      </c>
      <c r="I1714" s="14" t="str">
        <f t="shared" si="2"/>
        <v>91003.00</v>
      </c>
      <c r="J1714" s="16" t="str">
        <f>TEXT(Raw_Data!J1714,"MMM-YYY")</f>
        <v>Mar-2025</v>
      </c>
      <c r="K1714" s="13" t="str">
        <f>Raw_Data!K1714</f>
        <v>6</v>
      </c>
      <c r="L1714" s="17" t="str">
        <f>Raw_Data!L1714</f>
        <v>Mumbai-HO</v>
      </c>
      <c r="M1714" s="13" t="str">
        <f t="shared" si="3"/>
        <v>OK</v>
      </c>
      <c r="N1714" s="18" t="str">
        <f t="shared" si="4"/>
        <v>VALID</v>
      </c>
    </row>
    <row r="1715" ht="15.75" customHeight="1">
      <c r="A1715" s="13" t="str">
        <f>Raw_Data!A1715</f>
        <v>EMP1801</v>
      </c>
      <c r="B1715" s="13" t="str">
        <f>TRIM(CLEAN(Raw_Data!B1715))</f>
        <v>Customer Support</v>
      </c>
      <c r="C1715" s="18" t="s">
        <v>18</v>
      </c>
      <c r="D1715" s="14" t="str">
        <f>IF(ISBLANK(Raw_Data!D1715),AVERAGE(Raw_Data!D$2:D$5002),Raw_Data!D1715)</f>
        <v>67746.34</v>
      </c>
      <c r="E1715" s="15" t="str">
        <f>IF(ISBLANK(Raw_Data!E1715),AVERAGE(Raw_Data!E$2:E$5002),Raw_Data!E1715)</f>
        <v>22301.73</v>
      </c>
      <c r="F1715" s="15" t="str">
        <f>IF(ISBLANK(Raw_Data!F1715),AVERAGE(Raw_Data!F$2:F$5002),Raw_Data!F1715)</f>
        <v>14002.94</v>
      </c>
      <c r="G1715" s="14" t="str">
        <f>IF(ISBLANK(Raw_Data!G1715),AVERAGE(Raw_Data!G$2:G$5002),Raw_Data!G1715)</f>
        <v>14562.73</v>
      </c>
      <c r="H1715" s="15" t="str">
        <f t="shared" si="1"/>
        <v>104051.00</v>
      </c>
      <c r="I1715" s="14" t="str">
        <f t="shared" si="2"/>
        <v>89488.00</v>
      </c>
      <c r="J1715" s="16" t="str">
        <f>TEXT(Raw_Data!J1715,"MMM-YYY")</f>
        <v>Mar-2025</v>
      </c>
      <c r="K1715" s="13" t="str">
        <f>Raw_Data!K1715</f>
        <v>1</v>
      </c>
      <c r="L1715" s="17" t="str">
        <f>Raw_Data!L1715</f>
        <v>Delhi-North</v>
      </c>
      <c r="M1715" s="13" t="str">
        <f t="shared" si="3"/>
        <v>OK</v>
      </c>
      <c r="N1715" s="18" t="str">
        <f t="shared" si="4"/>
        <v>VALID</v>
      </c>
    </row>
    <row r="1716" ht="15.75" customHeight="1">
      <c r="A1716" s="13" t="str">
        <f>Raw_Data!A1716</f>
        <v>EMP1802</v>
      </c>
      <c r="B1716" s="13" t="str">
        <f>TRIM(CLEAN(Raw_Data!B1716))</f>
        <v>IT</v>
      </c>
      <c r="C1716" s="18" t="s">
        <v>30</v>
      </c>
      <c r="D1716" s="14" t="str">
        <f>IF(ISBLANK(Raw_Data!D1716),AVERAGE(Raw_Data!D$2:D$5002),Raw_Data!D1716)</f>
        <v>67757.22</v>
      </c>
      <c r="E1716" s="15" t="str">
        <f>IF(ISBLANK(Raw_Data!E1716),AVERAGE(Raw_Data!E$2:E$5002),Raw_Data!E1716)</f>
        <v>22306.35</v>
      </c>
      <c r="F1716" s="15" t="str">
        <f>IF(ISBLANK(Raw_Data!F1716),AVERAGE(Raw_Data!F$2:F$5002),Raw_Data!F1716)</f>
        <v>14010.62</v>
      </c>
      <c r="G1716" s="14" t="str">
        <f>IF(ISBLANK(Raw_Data!G1716),AVERAGE(Raw_Data!G$2:G$5002),Raw_Data!G1716)</f>
        <v>13032.17</v>
      </c>
      <c r="H1716" s="15" t="str">
        <f t="shared" si="1"/>
        <v>104074.00</v>
      </c>
      <c r="I1716" s="14" t="str">
        <f t="shared" si="2"/>
        <v>91042.00</v>
      </c>
      <c r="J1716" s="16" t="str">
        <f>TEXT(Raw_Data!J1716,"MMM-YYY")</f>
        <v>Jul-2025</v>
      </c>
      <c r="K1716" s="13" t="str">
        <f>Raw_Data!K1716</f>
        <v>9</v>
      </c>
      <c r="L1716" s="17" t="str">
        <f>Raw_Data!L1716</f>
        <v>Bangalore-South</v>
      </c>
      <c r="M1716" s="13" t="str">
        <f t="shared" si="3"/>
        <v>OK</v>
      </c>
      <c r="N1716" s="18" t="str">
        <f t="shared" si="4"/>
        <v>VALID</v>
      </c>
    </row>
    <row r="1717" ht="15.75" customHeight="1">
      <c r="A1717" s="13" t="str">
        <f>Raw_Data!A1717</f>
        <v>EMP1803</v>
      </c>
      <c r="B1717" s="13" t="str">
        <f>TRIM(CLEAN(Raw_Data!B1717))</f>
        <v>HR</v>
      </c>
      <c r="C1717" s="18" t="s">
        <v>37</v>
      </c>
      <c r="D1717" s="14" t="str">
        <f>IF(ISBLANK(Raw_Data!D1717),AVERAGE(Raw_Data!D$2:D$5002),Raw_Data!D1717)</f>
        <v>67768.10</v>
      </c>
      <c r="E1717" s="15" t="str">
        <f>IF(ISBLANK(Raw_Data!E1717),AVERAGE(Raw_Data!E$2:E$5002),Raw_Data!E1717)</f>
        <v>22310.96</v>
      </c>
      <c r="F1717" s="15" t="str">
        <f>IF(ISBLANK(Raw_Data!F1717),AVERAGE(Raw_Data!F$2:F$5002),Raw_Data!F1717)</f>
        <v>14018.30</v>
      </c>
      <c r="G1717" s="14" t="str">
        <f>IF(ISBLANK(Raw_Data!G1717),AVERAGE(Raw_Data!G$2:G$5002),Raw_Data!G1717)</f>
        <v>13035.56</v>
      </c>
      <c r="H1717" s="15" t="str">
        <f t="shared" si="1"/>
        <v>104097.00</v>
      </c>
      <c r="I1717" s="14" t="str">
        <f t="shared" si="2"/>
        <v>91061.00</v>
      </c>
      <c r="J1717" s="16" t="str">
        <f>TEXT(Raw_Data!J1717,"MMM-YYY")</f>
        <v>Apr-2025</v>
      </c>
      <c r="K1717" s="13" t="str">
        <f>Raw_Data!K1717</f>
        <v>19</v>
      </c>
      <c r="L1717" s="17" t="str">
        <f>Raw_Data!L1717</f>
        <v>Chennai-South</v>
      </c>
      <c r="M1717" s="13" t="str">
        <f t="shared" si="3"/>
        <v>OK</v>
      </c>
      <c r="N1717" s="18" t="str">
        <f t="shared" si="4"/>
        <v>VALID</v>
      </c>
    </row>
    <row r="1718" ht="15.75" customHeight="1">
      <c r="A1718" s="13" t="str">
        <f>Raw_Data!A1718</f>
        <v>EMP1804</v>
      </c>
      <c r="B1718" s="13" t="str">
        <f>TRIM(CLEAN(Raw_Data!B1718))</f>
        <v>Operations</v>
      </c>
      <c r="C1718" s="18" t="s">
        <v>54</v>
      </c>
      <c r="D1718" s="14" t="str">
        <f>IF(ISBLANK(Raw_Data!D1718),AVERAGE(Raw_Data!D$2:D$5002),Raw_Data!D1718)</f>
        <v>67778.99</v>
      </c>
      <c r="E1718" s="15" t="str">
        <f>IF(ISBLANK(Raw_Data!E1718),AVERAGE(Raw_Data!E$2:E$5002),Raw_Data!E1718)</f>
        <v>22315.58</v>
      </c>
      <c r="F1718" s="15" t="str">
        <f>IF(ISBLANK(Raw_Data!F1718),AVERAGE(Raw_Data!F$2:F$5002),Raw_Data!F1718)</f>
        <v>14025.98</v>
      </c>
      <c r="G1718" s="14" t="str">
        <f>IF(ISBLANK(Raw_Data!G1718),AVERAGE(Raw_Data!G$2:G$5002),Raw_Data!G1718)</f>
        <v>13038.96</v>
      </c>
      <c r="H1718" s="15" t="str">
        <f t="shared" si="1"/>
        <v>104121.00</v>
      </c>
      <c r="I1718" s="14" t="str">
        <f t="shared" si="2"/>
        <v>91082.00</v>
      </c>
      <c r="J1718" s="16" t="str">
        <f>TEXT(Raw_Data!J1718,"MMM-YYY")</f>
        <v>Jan-2025</v>
      </c>
      <c r="K1718" s="13" t="str">
        <f>Raw_Data!K1718</f>
        <v>20</v>
      </c>
      <c r="L1718" s="17" t="str">
        <f>Raw_Data!L1718</f>
        <v>Kolkata-East</v>
      </c>
      <c r="M1718" s="13" t="str">
        <f t="shared" si="3"/>
        <v>OK</v>
      </c>
      <c r="N1718" s="18" t="str">
        <f t="shared" si="4"/>
        <v>VALID</v>
      </c>
    </row>
    <row r="1719" ht="15.75" customHeight="1">
      <c r="A1719" s="13" t="str">
        <f>Raw_Data!A1719</f>
        <v>EMP1805</v>
      </c>
      <c r="B1719" s="13" t="str">
        <f>TRIM(CLEAN(Raw_Data!B1719))</f>
        <v>Sales</v>
      </c>
      <c r="C1719" s="18" t="s">
        <v>26</v>
      </c>
      <c r="D1719" s="14" t="str">
        <f>IF(ISBLANK(Raw_Data!D1719),AVERAGE(Raw_Data!D$2:D$5002),Raw_Data!D1719)</f>
        <v>67789.87</v>
      </c>
      <c r="E1719" s="15" t="str">
        <f>IF(ISBLANK(Raw_Data!E1719),AVERAGE(Raw_Data!E$2:E$5002),Raw_Data!E1719)</f>
        <v>22320.19</v>
      </c>
      <c r="F1719" s="15" t="str">
        <f>IF(ISBLANK(Raw_Data!F1719),AVERAGE(Raw_Data!F$2:F$5002),Raw_Data!F1719)</f>
        <v>14033.66</v>
      </c>
      <c r="G1719" s="14" t="str">
        <f>IF(ISBLANK(Raw_Data!G1719),AVERAGE(Raw_Data!G$2:G$5002),Raw_Data!G1719)</f>
        <v>13042.36</v>
      </c>
      <c r="H1719" s="15" t="str">
        <f t="shared" si="1"/>
        <v>104144.00</v>
      </c>
      <c r="I1719" s="14" t="str">
        <f t="shared" si="2"/>
        <v>91102.00</v>
      </c>
      <c r="J1719" s="16" t="str">
        <f>TEXT(Raw_Data!J1719,"MMM-YYY")</f>
        <v>Jun-2025</v>
      </c>
      <c r="K1719" s="13" t="str">
        <f>Raw_Data!K1719</f>
        <v>18</v>
      </c>
      <c r="L1719" s="17" t="str">
        <f>Raw_Data!L1719</f>
        <v>Pune-West</v>
      </c>
      <c r="M1719" s="13" t="str">
        <f t="shared" si="3"/>
        <v>OK</v>
      </c>
      <c r="N1719" s="18" t="str">
        <f t="shared" si="4"/>
        <v>VALID</v>
      </c>
    </row>
    <row r="1720" ht="15.75" customHeight="1">
      <c r="A1720" s="13" t="str">
        <f>Raw_Data!A1720</f>
        <v>EMP1806</v>
      </c>
      <c r="B1720" s="13" t="str">
        <f>TRIM(CLEAN(Raw_Data!B1720))</f>
        <v>Marketing</v>
      </c>
      <c r="C1720" s="18" t="s">
        <v>26</v>
      </c>
      <c r="D1720" s="14" t="str">
        <f>IF(ISBLANK(Raw_Data!D1720),AVERAGE(Raw_Data!D$2:D$5002),Raw_Data!D1720)</f>
        <v>67800.75</v>
      </c>
      <c r="E1720" s="15" t="str">
        <f>IF(ISBLANK(Raw_Data!E1720),AVERAGE(Raw_Data!E$2:E$5002),Raw_Data!E1720)</f>
        <v>22324.81</v>
      </c>
      <c r="F1720" s="15" t="str">
        <f>IF(ISBLANK(Raw_Data!F1720),AVERAGE(Raw_Data!F$2:F$5002),Raw_Data!F1720)</f>
        <v>14041.34</v>
      </c>
      <c r="G1720" s="14" t="str">
        <f>IF(ISBLANK(Raw_Data!G1720),AVERAGE(Raw_Data!G$2:G$5002),Raw_Data!G1720)</f>
        <v>13045.76</v>
      </c>
      <c r="H1720" s="15" t="str">
        <f t="shared" si="1"/>
        <v>104167.00</v>
      </c>
      <c r="I1720" s="14" t="str">
        <f t="shared" si="2"/>
        <v>91121.00</v>
      </c>
      <c r="J1720" s="16" t="str">
        <f>TEXT(Raw_Data!J1720,"MMM-YYY")</f>
        <v>Oct-2025</v>
      </c>
      <c r="K1720" s="13" t="str">
        <f>Raw_Data!K1720</f>
        <v>2</v>
      </c>
      <c r="L1720" s="17" t="str">
        <f>Raw_Data!L1720</f>
        <v>Hyderabad-South</v>
      </c>
      <c r="M1720" s="13" t="str">
        <f t="shared" si="3"/>
        <v>OK</v>
      </c>
      <c r="N1720" s="18" t="str">
        <f t="shared" si="4"/>
        <v>VALID</v>
      </c>
    </row>
    <row r="1721" ht="15.75" customHeight="1">
      <c r="A1721" s="13" t="str">
        <f>Raw_Data!A1721</f>
        <v>EMP1807</v>
      </c>
      <c r="B1721" s="13" t="str">
        <f>TRIM(CLEAN(Raw_Data!B1721))</f>
        <v>Operations</v>
      </c>
      <c r="C1721" s="18" t="s">
        <v>37</v>
      </c>
      <c r="D1721" s="14" t="str">
        <f>IF(ISBLANK(Raw_Data!D1721),AVERAGE(Raw_Data!D$2:D$5002),Raw_Data!D1721)</f>
        <v>67811.64</v>
      </c>
      <c r="E1721" s="15" t="str">
        <f>IF(ISBLANK(Raw_Data!E1721),AVERAGE(Raw_Data!E$2:E$5002),Raw_Data!E1721)</f>
        <v>22329.42</v>
      </c>
      <c r="F1721" s="15" t="str">
        <f>IF(ISBLANK(Raw_Data!F1721),AVERAGE(Raw_Data!F$2:F$5002),Raw_Data!F1721)</f>
        <v>14049.02</v>
      </c>
      <c r="G1721" s="14" t="str">
        <f>IF(ISBLANK(Raw_Data!G1721),AVERAGE(Raw_Data!G$2:G$5002),Raw_Data!G1721)</f>
        <v>13049.15</v>
      </c>
      <c r="H1721" s="15" t="str">
        <f t="shared" si="1"/>
        <v>104190.00</v>
      </c>
      <c r="I1721" s="14" t="str">
        <f t="shared" si="2"/>
        <v>91141.00</v>
      </c>
      <c r="J1721" s="16" t="str">
        <f>TEXT(Raw_Data!J1721,"MMM-YYY")</f>
        <v>Aug-2025</v>
      </c>
      <c r="K1721" s="13" t="str">
        <f>Raw_Data!K1721</f>
        <v>25</v>
      </c>
      <c r="L1721" s="17" t="str">
        <f>Raw_Data!L1721</f>
        <v>Chandigarh-North</v>
      </c>
      <c r="M1721" s="13" t="str">
        <f t="shared" si="3"/>
        <v>OK</v>
      </c>
      <c r="N1721" s="18" t="str">
        <f t="shared" si="4"/>
        <v>VALID</v>
      </c>
    </row>
    <row r="1722" ht="15.75" customHeight="1">
      <c r="A1722" s="13" t="str">
        <f>Raw_Data!A1722</f>
        <v>EMP1808</v>
      </c>
      <c r="B1722" s="13" t="str">
        <f>TRIM(CLEAN(Raw_Data!B1722))</f>
        <v>Finance</v>
      </c>
      <c r="C1722" s="18" t="s">
        <v>14</v>
      </c>
      <c r="D1722" s="14" t="str">
        <f>IF(ISBLANK(Raw_Data!D1722),AVERAGE(Raw_Data!D$2:D$5002),Raw_Data!D1722)</f>
        <v>67822.52</v>
      </c>
      <c r="E1722" s="15" t="str">
        <f>IF(ISBLANK(Raw_Data!E1722),AVERAGE(Raw_Data!E$2:E$5002),Raw_Data!E1722)</f>
        <v>22334.03</v>
      </c>
      <c r="F1722" s="15" t="str">
        <f>IF(ISBLANK(Raw_Data!F1722),AVERAGE(Raw_Data!F$2:F$5002),Raw_Data!F1722)</f>
        <v>14056.70</v>
      </c>
      <c r="G1722" s="14" t="str">
        <f>IF(ISBLANK(Raw_Data!G1722),AVERAGE(Raw_Data!G$2:G$5002),Raw_Data!G1722)</f>
        <v>13052.55</v>
      </c>
      <c r="H1722" s="15" t="str">
        <f t="shared" si="1"/>
        <v>104213.00</v>
      </c>
      <c r="I1722" s="14" t="str">
        <f t="shared" si="2"/>
        <v>91160.00</v>
      </c>
      <c r="J1722" s="16" t="str">
        <f>TEXT(Raw_Data!J1722,"MMM-YYY")</f>
        <v>Feb-2025</v>
      </c>
      <c r="K1722" s="13" t="str">
        <f>Raw_Data!K1722</f>
        <v>7</v>
      </c>
      <c r="L1722" s="17" t="str">
        <f>Raw_Data!L1722</f>
        <v>Ahmedabad-West</v>
      </c>
      <c r="M1722" s="13" t="str">
        <f t="shared" si="3"/>
        <v>OK</v>
      </c>
      <c r="N1722" s="18" t="str">
        <f t="shared" si="4"/>
        <v>VALID</v>
      </c>
    </row>
    <row r="1723" ht="15.75" customHeight="1">
      <c r="A1723" s="13" t="str">
        <f>Raw_Data!A1723</f>
        <v>EMP1809</v>
      </c>
      <c r="B1723" s="13" t="str">
        <f>TRIM(CLEAN(Raw_Data!B1723))</f>
        <v>Operations</v>
      </c>
      <c r="C1723" s="18" t="s">
        <v>33</v>
      </c>
      <c r="D1723" s="14" t="str">
        <f>IF(ISBLANK(Raw_Data!D1723),AVERAGE(Raw_Data!D$2:D$5002),Raw_Data!D1723)</f>
        <v>67833.40</v>
      </c>
      <c r="E1723" s="15" t="str">
        <f>IF(ISBLANK(Raw_Data!E1723),AVERAGE(Raw_Data!E$2:E$5002),Raw_Data!E1723)</f>
        <v>22338.65</v>
      </c>
      <c r="F1723" s="15" t="str">
        <f>IF(ISBLANK(Raw_Data!F1723),AVERAGE(Raw_Data!F$2:F$5002),Raw_Data!F1723)</f>
        <v>14064.38</v>
      </c>
      <c r="G1723" s="14" t="str">
        <f>IF(ISBLANK(Raw_Data!G1723),AVERAGE(Raw_Data!G$2:G$5002),Raw_Data!G1723)</f>
        <v>13055.95</v>
      </c>
      <c r="H1723" s="15" t="str">
        <f t="shared" si="1"/>
        <v>104236.00</v>
      </c>
      <c r="I1723" s="14" t="str">
        <f t="shared" si="2"/>
        <v>91180.00</v>
      </c>
      <c r="J1723" s="16" t="str">
        <f>TEXT(Raw_Data!J1723,"MMM-YYY")</f>
        <v>Dec-2025</v>
      </c>
      <c r="K1723" s="13" t="str">
        <f>Raw_Data!K1723</f>
        <v>15</v>
      </c>
      <c r="L1723" s="17" t="str">
        <f>Raw_Data!L1723</f>
        <v>Jaipur-North</v>
      </c>
      <c r="M1723" s="13" t="str">
        <f t="shared" si="3"/>
        <v>OK</v>
      </c>
      <c r="N1723" s="18" t="str">
        <f t="shared" si="4"/>
        <v>VALID</v>
      </c>
    </row>
    <row r="1724" ht="15.75" customHeight="1">
      <c r="A1724" s="13" t="str">
        <f>Raw_Data!A1724</f>
        <v>EMP1810</v>
      </c>
      <c r="B1724" s="13" t="str">
        <f>TRIM(CLEAN(Raw_Data!B1724))</f>
        <v>Finance</v>
      </c>
      <c r="C1724" s="18" t="s">
        <v>18</v>
      </c>
      <c r="D1724" s="14" t="str">
        <f>IF(ISBLANK(Raw_Data!D1724),AVERAGE(Raw_Data!D$2:D$5002),Raw_Data!D1724)</f>
        <v>67844.28</v>
      </c>
      <c r="E1724" s="15" t="str">
        <f>IF(ISBLANK(Raw_Data!E1724),AVERAGE(Raw_Data!E$2:E$5002),Raw_Data!E1724)</f>
        <v>22343.26</v>
      </c>
      <c r="F1724" s="15" t="str">
        <f>IF(ISBLANK(Raw_Data!F1724),AVERAGE(Raw_Data!F$2:F$5002),Raw_Data!F1724)</f>
        <v>14072.06</v>
      </c>
      <c r="G1724" s="14" t="str">
        <f>IF(ISBLANK(Raw_Data!G1724),AVERAGE(Raw_Data!G$2:G$5002),Raw_Data!G1724)</f>
        <v>13059.35</v>
      </c>
      <c r="H1724" s="15" t="str">
        <f t="shared" si="1"/>
        <v>104260.00</v>
      </c>
      <c r="I1724" s="14" t="str">
        <f t="shared" si="2"/>
        <v>91201.00</v>
      </c>
      <c r="J1724" s="16" t="str">
        <f>TEXT(Raw_Data!J1724,"MMM-YYY")</f>
        <v>Jul-2025</v>
      </c>
      <c r="K1724" s="13" t="str">
        <f>Raw_Data!K1724</f>
        <v>8</v>
      </c>
      <c r="L1724" s="17" t="str">
        <f>Raw_Data!L1724</f>
        <v>Mumbai-HO</v>
      </c>
      <c r="M1724" s="13" t="str">
        <f t="shared" si="3"/>
        <v>OK</v>
      </c>
      <c r="N1724" s="18" t="str">
        <f t="shared" si="4"/>
        <v>VALID</v>
      </c>
    </row>
    <row r="1725" ht="15.75" customHeight="1">
      <c r="A1725" s="13" t="str">
        <f>Raw_Data!A1725</f>
        <v>EMP1811</v>
      </c>
      <c r="B1725" s="13" t="str">
        <f>TRIM(CLEAN(Raw_Data!B1725))</f>
        <v>HR</v>
      </c>
      <c r="C1725" s="18" t="s">
        <v>26</v>
      </c>
      <c r="D1725" s="14" t="str">
        <f>IF(ISBLANK(Raw_Data!D1725),AVERAGE(Raw_Data!D$2:D$5002),Raw_Data!D1725)</f>
        <v>67855.17</v>
      </c>
      <c r="E1725" s="15" t="str">
        <f>IF(ISBLANK(Raw_Data!E1725),AVERAGE(Raw_Data!E$2:E$5002),Raw_Data!E1725)</f>
        <v>22347.88</v>
      </c>
      <c r="F1725" s="15" t="str">
        <f>IF(ISBLANK(Raw_Data!F1725),AVERAGE(Raw_Data!F$2:F$5002),Raw_Data!F1725)</f>
        <v>14079.74</v>
      </c>
      <c r="G1725" s="14" t="str">
        <f>IF(ISBLANK(Raw_Data!G1725),AVERAGE(Raw_Data!G$2:G$5002),Raw_Data!G1725)</f>
        <v>13062.74</v>
      </c>
      <c r="H1725" s="15" t="str">
        <f t="shared" si="1"/>
        <v>104283.00</v>
      </c>
      <c r="I1725" s="14" t="str">
        <f t="shared" si="2"/>
        <v>91220.00</v>
      </c>
      <c r="J1725" s="16" t="str">
        <f>TEXT(Raw_Data!J1725,"MMM-YYY")</f>
        <v>Jun-2025</v>
      </c>
      <c r="K1725" s="13" t="str">
        <f>Raw_Data!K1725</f>
        <v>25</v>
      </c>
      <c r="L1725" s="17" t="str">
        <f>Raw_Data!L1725</f>
        <v>Delhi-North</v>
      </c>
      <c r="M1725" s="13" t="str">
        <f t="shared" si="3"/>
        <v>OK</v>
      </c>
      <c r="N1725" s="18" t="str">
        <f t="shared" si="4"/>
        <v>VALID</v>
      </c>
    </row>
    <row r="1726" ht="15.75" customHeight="1">
      <c r="A1726" s="13" t="str">
        <f>Raw_Data!A1726</f>
        <v>EMP1813</v>
      </c>
      <c r="B1726" s="13" t="str">
        <f>TRIM(CLEAN(Raw_Data!B1726))</f>
        <v>Customer Support</v>
      </c>
      <c r="C1726" s="18" t="s">
        <v>18</v>
      </c>
      <c r="D1726" s="14" t="str">
        <f>IF(ISBLANK(Raw_Data!D1726),AVERAGE(Raw_Data!D$2:D$5002),Raw_Data!D1726)</f>
        <v>67876.93</v>
      </c>
      <c r="E1726" s="15" t="str">
        <f>IF(ISBLANK(Raw_Data!E1726),AVERAGE(Raw_Data!E$2:E$5002),Raw_Data!E1726)</f>
        <v>22357.11</v>
      </c>
      <c r="F1726" s="15" t="str">
        <f>IF(ISBLANK(Raw_Data!F1726),AVERAGE(Raw_Data!F$2:F$5002),Raw_Data!F1726)</f>
        <v>14095.10</v>
      </c>
      <c r="G1726" s="14" t="str">
        <f>IF(ISBLANK(Raw_Data!G1726),AVERAGE(Raw_Data!G$2:G$5002),Raw_Data!G1726)</f>
        <v>13069.54</v>
      </c>
      <c r="H1726" s="15" t="str">
        <f t="shared" si="1"/>
        <v>104329.00</v>
      </c>
      <c r="I1726" s="14" t="str">
        <f t="shared" si="2"/>
        <v>91259.00</v>
      </c>
      <c r="J1726" s="16" t="str">
        <f>TEXT(Raw_Data!J1726,"MMM-YYY")</f>
        <v>Aug-2025</v>
      </c>
      <c r="K1726" s="13" t="str">
        <f>Raw_Data!K1726</f>
        <v>8</v>
      </c>
      <c r="L1726" s="17" t="str">
        <f>Raw_Data!L1726</f>
        <v>Chennai-South</v>
      </c>
      <c r="M1726" s="13" t="str">
        <f t="shared" si="3"/>
        <v>OK</v>
      </c>
      <c r="N1726" s="18" t="str">
        <f t="shared" si="4"/>
        <v>VALID</v>
      </c>
    </row>
    <row r="1727" ht="15.75" customHeight="1">
      <c r="A1727" s="13" t="str">
        <f>Raw_Data!A1727</f>
        <v>EMP1814</v>
      </c>
      <c r="B1727" s="13" t="str">
        <f>TRIM(CLEAN(Raw_Data!B1727))</f>
        <v>IT</v>
      </c>
      <c r="C1727" s="18" t="s">
        <v>37</v>
      </c>
      <c r="D1727" s="14" t="str">
        <f>IF(ISBLANK(Raw_Data!D1727),AVERAGE(Raw_Data!D$2:D$5002),Raw_Data!D1727)</f>
        <v>67887.82</v>
      </c>
      <c r="E1727" s="15" t="str">
        <f>IF(ISBLANK(Raw_Data!E1727),AVERAGE(Raw_Data!E$2:E$5002),Raw_Data!E1727)</f>
        <v>22361.72</v>
      </c>
      <c r="F1727" s="15" t="str">
        <f>IF(ISBLANK(Raw_Data!F1727),AVERAGE(Raw_Data!F$2:F$5002),Raw_Data!F1727)</f>
        <v>14102.78</v>
      </c>
      <c r="G1727" s="14" t="str">
        <f>IF(ISBLANK(Raw_Data!G1727),AVERAGE(Raw_Data!G$2:G$5002),Raw_Data!G1727)</f>
        <v>13072.94</v>
      </c>
      <c r="H1727" s="15" t="str">
        <f t="shared" si="1"/>
        <v>104352.00</v>
      </c>
      <c r="I1727" s="14" t="str">
        <f t="shared" si="2"/>
        <v>91279.00</v>
      </c>
      <c r="J1727" s="16" t="str">
        <f>TEXT(Raw_Data!J1727,"MMM-YYY")</f>
        <v>Oct-2025</v>
      </c>
      <c r="K1727" s="13" t="str">
        <f>Raw_Data!K1727</f>
        <v>20</v>
      </c>
      <c r="L1727" s="17" t="str">
        <f>Raw_Data!L1727</f>
        <v>Kolkata-East</v>
      </c>
      <c r="M1727" s="13" t="str">
        <f t="shared" si="3"/>
        <v>OK</v>
      </c>
      <c r="N1727" s="18" t="str">
        <f t="shared" si="4"/>
        <v>VALID</v>
      </c>
    </row>
    <row r="1728" ht="15.75" customHeight="1">
      <c r="A1728" s="13" t="str">
        <f>Raw_Data!A1728</f>
        <v>EMP1815</v>
      </c>
      <c r="B1728" s="13" t="str">
        <f>TRIM(CLEAN(Raw_Data!B1728))</f>
        <v>Operations</v>
      </c>
      <c r="C1728" s="18" t="s">
        <v>33</v>
      </c>
      <c r="D1728" s="14" t="str">
        <f>IF(ISBLANK(Raw_Data!D1728),AVERAGE(Raw_Data!D$2:D$5002),Raw_Data!D1728)</f>
        <v>67898.70</v>
      </c>
      <c r="E1728" s="15" t="str">
        <f>IF(ISBLANK(Raw_Data!E1728),AVERAGE(Raw_Data!E$2:E$5002),Raw_Data!E1728)</f>
        <v>22366.34</v>
      </c>
      <c r="F1728" s="15" t="str">
        <f>IF(ISBLANK(Raw_Data!F1728),AVERAGE(Raw_Data!F$2:F$5002),Raw_Data!F1728)</f>
        <v>14110.46</v>
      </c>
      <c r="G1728" s="14" t="str">
        <f>IF(ISBLANK(Raw_Data!G1728),AVERAGE(Raw_Data!G$2:G$5002),Raw_Data!G1728)</f>
        <v>13076.33</v>
      </c>
      <c r="H1728" s="15" t="str">
        <f t="shared" si="1"/>
        <v>104376.00</v>
      </c>
      <c r="I1728" s="14" t="str">
        <f t="shared" si="2"/>
        <v>91300.00</v>
      </c>
      <c r="J1728" s="16" t="str">
        <f>TEXT(Raw_Data!J1728,"MMM-YYY")</f>
        <v>Apr-2025</v>
      </c>
      <c r="K1728" s="13" t="str">
        <f>Raw_Data!K1728</f>
        <v>19</v>
      </c>
      <c r="L1728" s="17" t="str">
        <f>Raw_Data!L1728</f>
        <v>Pune-West</v>
      </c>
      <c r="M1728" s="13" t="str">
        <f t="shared" si="3"/>
        <v>OK</v>
      </c>
      <c r="N1728" s="18" t="str">
        <f t="shared" si="4"/>
        <v>VALID</v>
      </c>
    </row>
    <row r="1729" ht="15.75" customHeight="1">
      <c r="A1729" s="13" t="str">
        <f>Raw_Data!A1729</f>
        <v>EMP1816</v>
      </c>
      <c r="B1729" s="13" t="str">
        <f>TRIM(CLEAN(Raw_Data!B1729))</f>
        <v>Finance</v>
      </c>
      <c r="C1729" s="18" t="s">
        <v>14</v>
      </c>
      <c r="D1729" s="14" t="str">
        <f>IF(ISBLANK(Raw_Data!D1729),AVERAGE(Raw_Data!D$2:D$5002),Raw_Data!D1729)</f>
        <v>67909.58</v>
      </c>
      <c r="E1729" s="15" t="str">
        <f>IF(ISBLANK(Raw_Data!E1729),AVERAGE(Raw_Data!E$2:E$5002),Raw_Data!E1729)</f>
        <v>22370.95</v>
      </c>
      <c r="F1729" s="15" t="str">
        <f>IF(ISBLANK(Raw_Data!F1729),AVERAGE(Raw_Data!F$2:F$5002),Raw_Data!F1729)</f>
        <v>14118.14</v>
      </c>
      <c r="G1729" s="14" t="str">
        <f>IF(ISBLANK(Raw_Data!G1729),AVERAGE(Raw_Data!G$2:G$5002),Raw_Data!G1729)</f>
        <v>13079.73</v>
      </c>
      <c r="H1729" s="15" t="str">
        <f t="shared" si="1"/>
        <v>104399.00</v>
      </c>
      <c r="I1729" s="14" t="str">
        <f t="shared" si="2"/>
        <v>91319.00</v>
      </c>
      <c r="J1729" s="16" t="str">
        <f>TEXT(Raw_Data!J1729,"MMM-YYY")</f>
        <v>Jun-2025</v>
      </c>
      <c r="K1729" s="13" t="str">
        <f>Raw_Data!K1729</f>
        <v>13</v>
      </c>
      <c r="L1729" s="17" t="str">
        <f>Raw_Data!L1729</f>
        <v>Hyderabad-South</v>
      </c>
      <c r="M1729" s="13" t="str">
        <f t="shared" si="3"/>
        <v>OK</v>
      </c>
      <c r="N1729" s="18" t="str">
        <f t="shared" si="4"/>
        <v>VALID</v>
      </c>
    </row>
    <row r="1730" ht="15.75" customHeight="1">
      <c r="A1730" s="13" t="str">
        <f>Raw_Data!A1730</f>
        <v>EMP1817</v>
      </c>
      <c r="B1730" s="13" t="str">
        <f>TRIM(CLEAN(Raw_Data!B1730))</f>
        <v>Customer Support</v>
      </c>
      <c r="C1730" s="18" t="s">
        <v>30</v>
      </c>
      <c r="D1730" s="14" t="str">
        <f>IF(ISBLANK(Raw_Data!D1730),AVERAGE(Raw_Data!D$2:D$5002),Raw_Data!D1730)</f>
        <v>67920.47</v>
      </c>
      <c r="E1730" s="15" t="str">
        <f>IF(ISBLANK(Raw_Data!E1730),AVERAGE(Raw_Data!E$2:E$5002),Raw_Data!E1730)</f>
        <v>22375.57</v>
      </c>
      <c r="F1730" s="15" t="str">
        <f>IF(ISBLANK(Raw_Data!F1730),AVERAGE(Raw_Data!F$2:F$5002),Raw_Data!F1730)</f>
        <v>14125.82</v>
      </c>
      <c r="G1730" s="14" t="str">
        <f>IF(ISBLANK(Raw_Data!G1730),AVERAGE(Raw_Data!G$2:G$5002),Raw_Data!G1730)</f>
        <v>13083.13</v>
      </c>
      <c r="H1730" s="15" t="str">
        <f t="shared" si="1"/>
        <v>104422.00</v>
      </c>
      <c r="I1730" s="14" t="str">
        <f t="shared" si="2"/>
        <v>91339.00</v>
      </c>
      <c r="J1730" s="16" t="str">
        <f>TEXT(Raw_Data!J1730,"MMM-YYY")</f>
        <v>Feb-2025</v>
      </c>
      <c r="K1730" s="13" t="str">
        <f>Raw_Data!K1730</f>
        <v>18</v>
      </c>
      <c r="L1730" s="17" t="str">
        <f>Raw_Data!L1730</f>
        <v>Chandigarh-North</v>
      </c>
      <c r="M1730" s="13" t="str">
        <f t="shared" si="3"/>
        <v>OK</v>
      </c>
      <c r="N1730" s="18" t="str">
        <f t="shared" si="4"/>
        <v>VALID</v>
      </c>
    </row>
    <row r="1731" ht="15.75" customHeight="1">
      <c r="A1731" s="13" t="str">
        <f>Raw_Data!A1731</f>
        <v>EMP1818</v>
      </c>
      <c r="B1731" s="13" t="str">
        <f>TRIM(CLEAN(Raw_Data!B1731))</f>
        <v>HR</v>
      </c>
      <c r="C1731" s="18" t="s">
        <v>14</v>
      </c>
      <c r="D1731" s="14" t="str">
        <f>IF(ISBLANK(Raw_Data!D1731),AVERAGE(Raw_Data!D$2:D$5002),Raw_Data!D1731)</f>
        <v>67931.35</v>
      </c>
      <c r="E1731" s="15" t="str">
        <f>IF(ISBLANK(Raw_Data!E1731),AVERAGE(Raw_Data!E$2:E$5002),Raw_Data!E1731)</f>
        <v>22380.18</v>
      </c>
      <c r="F1731" s="15" t="str">
        <f>IF(ISBLANK(Raw_Data!F1731),AVERAGE(Raw_Data!F$2:F$5002),Raw_Data!F1731)</f>
        <v>14133.50</v>
      </c>
      <c r="G1731" s="14" t="str">
        <f>IF(ISBLANK(Raw_Data!G1731),AVERAGE(Raw_Data!G$2:G$5002),Raw_Data!G1731)</f>
        <v>13086.53</v>
      </c>
      <c r="H1731" s="15" t="str">
        <f t="shared" si="1"/>
        <v>104445.00</v>
      </c>
      <c r="I1731" s="14" t="str">
        <f t="shared" si="2"/>
        <v>91358.00</v>
      </c>
      <c r="J1731" s="16" t="str">
        <f>TEXT(Raw_Data!J1731,"MMM-YYY")</f>
        <v>Nov-2025</v>
      </c>
      <c r="K1731" s="13" t="str">
        <f>Raw_Data!K1731</f>
        <v>3</v>
      </c>
      <c r="L1731" s="17" t="str">
        <f>Raw_Data!L1731</f>
        <v>Ahmedabad-West</v>
      </c>
      <c r="M1731" s="13" t="str">
        <f t="shared" si="3"/>
        <v>OK</v>
      </c>
      <c r="N1731" s="18" t="str">
        <f t="shared" si="4"/>
        <v>VALID</v>
      </c>
    </row>
    <row r="1732" ht="15.75" customHeight="1">
      <c r="A1732" s="13" t="str">
        <f>Raw_Data!A1732</f>
        <v>EMP1819</v>
      </c>
      <c r="B1732" s="13" t="str">
        <f>TRIM(CLEAN(Raw_Data!B1732))</f>
        <v>Customer Support</v>
      </c>
      <c r="C1732" s="18" t="s">
        <v>37</v>
      </c>
      <c r="D1732" s="14" t="str">
        <f>IF(ISBLANK(Raw_Data!D1732),AVERAGE(Raw_Data!D$2:D$5002),Raw_Data!D1732)</f>
        <v>67942.23</v>
      </c>
      <c r="E1732" s="15" t="str">
        <f>IF(ISBLANK(Raw_Data!E1732),AVERAGE(Raw_Data!E$2:E$5002),Raw_Data!E1732)</f>
        <v>22384.80</v>
      </c>
      <c r="F1732" s="15" t="str">
        <f>IF(ISBLANK(Raw_Data!F1732),AVERAGE(Raw_Data!F$2:F$5002),Raw_Data!F1732)</f>
        <v>14141.18</v>
      </c>
      <c r="G1732" s="14" t="str">
        <f>IF(ISBLANK(Raw_Data!G1732),AVERAGE(Raw_Data!G$2:G$5002),Raw_Data!G1732)</f>
        <v>13089.92</v>
      </c>
      <c r="H1732" s="15" t="str">
        <f t="shared" si="1"/>
        <v>104468.00</v>
      </c>
      <c r="I1732" s="14" t="str">
        <f t="shared" si="2"/>
        <v>91378.00</v>
      </c>
      <c r="J1732" s="16" t="str">
        <f>TEXT(Raw_Data!J1732,"MMM-YYY")</f>
        <v>Mar-2025</v>
      </c>
      <c r="K1732" s="13" t="str">
        <f>Raw_Data!K1732</f>
        <v>19</v>
      </c>
      <c r="L1732" s="17" t="str">
        <f>Raw_Data!L1732</f>
        <v>Jaipur-North</v>
      </c>
      <c r="M1732" s="13" t="str">
        <f t="shared" si="3"/>
        <v>OK</v>
      </c>
      <c r="N1732" s="18" t="str">
        <f t="shared" si="4"/>
        <v>VALID</v>
      </c>
    </row>
    <row r="1733" ht="15.75" customHeight="1">
      <c r="A1733" s="13" t="str">
        <f>Raw_Data!A1733</f>
        <v>EMP1820</v>
      </c>
      <c r="B1733" s="13" t="str">
        <f>TRIM(CLEAN(Raw_Data!B1733))</f>
        <v>Marketing</v>
      </c>
      <c r="C1733" s="18" t="s">
        <v>37</v>
      </c>
      <c r="D1733" s="14" t="str">
        <f>IF(ISBLANK(Raw_Data!D1733),AVERAGE(Raw_Data!D$2:D$5002),Raw_Data!D1733)</f>
        <v>67953.11</v>
      </c>
      <c r="E1733" s="15" t="str">
        <f>IF(ISBLANK(Raw_Data!E1733),AVERAGE(Raw_Data!E$2:E$5002),Raw_Data!E1733)</f>
        <v>22389.41</v>
      </c>
      <c r="F1733" s="15" t="str">
        <f>IF(ISBLANK(Raw_Data!F1733),AVERAGE(Raw_Data!F$2:F$5002),Raw_Data!F1733)</f>
        <v>14148.86</v>
      </c>
      <c r="G1733" s="14" t="str">
        <f>IF(ISBLANK(Raw_Data!G1733),AVERAGE(Raw_Data!G$2:G$5002),Raw_Data!G1733)</f>
        <v>13093.32</v>
      </c>
      <c r="H1733" s="15" t="str">
        <f t="shared" si="1"/>
        <v>104491.00</v>
      </c>
      <c r="I1733" s="14" t="str">
        <f t="shared" si="2"/>
        <v>91398.00</v>
      </c>
      <c r="J1733" s="16" t="str">
        <f>TEXT(Raw_Data!J1733,"MMM-YYY")</f>
        <v>Mar-2025</v>
      </c>
      <c r="K1733" s="13" t="str">
        <f>Raw_Data!K1733</f>
        <v>4</v>
      </c>
      <c r="L1733" s="17" t="str">
        <f>Raw_Data!L1733</f>
        <v>Mumbai-HO</v>
      </c>
      <c r="M1733" s="13" t="str">
        <f t="shared" si="3"/>
        <v>OK</v>
      </c>
      <c r="N1733" s="18" t="str">
        <f t="shared" si="4"/>
        <v>VALID</v>
      </c>
    </row>
    <row r="1734" ht="15.75" customHeight="1">
      <c r="A1734" s="13" t="str">
        <f>Raw_Data!A1734</f>
        <v>EMP1821</v>
      </c>
      <c r="B1734" s="13" t="str">
        <f>TRIM(CLEAN(Raw_Data!B1734))</f>
        <v>Sales</v>
      </c>
      <c r="C1734" s="18" t="s">
        <v>54</v>
      </c>
      <c r="D1734" s="14" t="str">
        <f>IF(ISBLANK(Raw_Data!D1734),AVERAGE(Raw_Data!D$2:D$5002),Raw_Data!D1734)</f>
        <v>67964.00</v>
      </c>
      <c r="E1734" s="15" t="str">
        <f>IF(ISBLANK(Raw_Data!E1734),AVERAGE(Raw_Data!E$2:E$5002),Raw_Data!E1734)</f>
        <v>22394.03</v>
      </c>
      <c r="F1734" s="15" t="str">
        <f>IF(ISBLANK(Raw_Data!F1734),AVERAGE(Raw_Data!F$2:F$5002),Raw_Data!F1734)</f>
        <v>14156.54</v>
      </c>
      <c r="G1734" s="14" t="str">
        <f>IF(ISBLANK(Raw_Data!G1734),AVERAGE(Raw_Data!G$2:G$5002),Raw_Data!G1734)</f>
        <v>13096.72</v>
      </c>
      <c r="H1734" s="15" t="str">
        <f t="shared" si="1"/>
        <v>104515.00</v>
      </c>
      <c r="I1734" s="14" t="str">
        <f t="shared" si="2"/>
        <v>91418.00</v>
      </c>
      <c r="J1734" s="16" t="str">
        <f>TEXT(Raw_Data!J1734,"MMM-YYY")</f>
        <v>Apr-2025</v>
      </c>
      <c r="K1734" s="13" t="str">
        <f>Raw_Data!K1734</f>
        <v>24</v>
      </c>
      <c r="L1734" s="17" t="str">
        <f>Raw_Data!L1734</f>
        <v>Delhi-North</v>
      </c>
      <c r="M1734" s="13" t="str">
        <f t="shared" si="3"/>
        <v>OK</v>
      </c>
      <c r="N1734" s="18" t="str">
        <f t="shared" si="4"/>
        <v>VALID</v>
      </c>
    </row>
    <row r="1735" ht="15.75" customHeight="1">
      <c r="A1735" s="13" t="str">
        <f>Raw_Data!A1735</f>
        <v>EMP1822</v>
      </c>
      <c r="B1735" s="13" t="str">
        <f>TRIM(CLEAN(Raw_Data!B1735))</f>
        <v>Sales</v>
      </c>
      <c r="C1735" s="18" t="s">
        <v>37</v>
      </c>
      <c r="D1735" s="14" t="str">
        <f>IF(ISBLANK(Raw_Data!D1735),AVERAGE(Raw_Data!D$2:D$5002),Raw_Data!D1735)</f>
        <v>67974.88</v>
      </c>
      <c r="E1735" s="15" t="str">
        <f>IF(ISBLANK(Raw_Data!E1735),AVERAGE(Raw_Data!E$2:E$5002),Raw_Data!E1735)</f>
        <v>22398.64</v>
      </c>
      <c r="F1735" s="15" t="str">
        <f>IF(ISBLANK(Raw_Data!F1735),AVERAGE(Raw_Data!F$2:F$5002),Raw_Data!F1735)</f>
        <v>14164.22</v>
      </c>
      <c r="G1735" s="14" t="str">
        <f>IF(ISBLANK(Raw_Data!G1735),AVERAGE(Raw_Data!G$2:G$5002),Raw_Data!G1735)</f>
        <v>13100.12</v>
      </c>
      <c r="H1735" s="15" t="str">
        <f t="shared" si="1"/>
        <v>104538.00</v>
      </c>
      <c r="I1735" s="14" t="str">
        <f t="shared" si="2"/>
        <v>91438.00</v>
      </c>
      <c r="J1735" s="16" t="str">
        <f>TEXT(Raw_Data!J1735,"MMM-YYY")</f>
        <v>May-2025</v>
      </c>
      <c r="K1735" s="13" t="str">
        <f>Raw_Data!K1735</f>
        <v>16</v>
      </c>
      <c r="L1735" s="17" t="str">
        <f>Raw_Data!L1735</f>
        <v>Bangalore-South</v>
      </c>
      <c r="M1735" s="13" t="str">
        <f t="shared" si="3"/>
        <v>OK</v>
      </c>
      <c r="N1735" s="18" t="str">
        <f t="shared" si="4"/>
        <v>VALID</v>
      </c>
    </row>
    <row r="1736" ht="15.75" customHeight="1">
      <c r="A1736" s="13" t="str">
        <f>Raw_Data!A1736</f>
        <v>EMP1823</v>
      </c>
      <c r="B1736" s="13" t="str">
        <f>TRIM(CLEAN(Raw_Data!B1736))</f>
        <v>Sales</v>
      </c>
      <c r="C1736" s="18" t="s">
        <v>37</v>
      </c>
      <c r="D1736" s="14" t="str">
        <f>IF(ISBLANK(Raw_Data!D1736),AVERAGE(Raw_Data!D$2:D$5002),Raw_Data!D1736)</f>
        <v>67985.76</v>
      </c>
      <c r="E1736" s="15" t="str">
        <f>IF(ISBLANK(Raw_Data!E1736),AVERAGE(Raw_Data!E$2:E$5002),Raw_Data!E1736)</f>
        <v>22403.26</v>
      </c>
      <c r="F1736" s="15" t="str">
        <f>IF(ISBLANK(Raw_Data!F1736),AVERAGE(Raw_Data!F$2:F$5002),Raw_Data!F1736)</f>
        <v>14171.90</v>
      </c>
      <c r="G1736" s="14" t="str">
        <f>IF(ISBLANK(Raw_Data!G1736),AVERAGE(Raw_Data!G$2:G$5002),Raw_Data!G1736)</f>
        <v>13103.51</v>
      </c>
      <c r="H1736" s="15" t="str">
        <f t="shared" si="1"/>
        <v>104561.00</v>
      </c>
      <c r="I1736" s="14" t="str">
        <f t="shared" si="2"/>
        <v>91457.00</v>
      </c>
      <c r="J1736" s="16" t="str">
        <f>TEXT(Raw_Data!J1736,"MMM-YYY")</f>
        <v>Jul-2025</v>
      </c>
      <c r="K1736" s="13" t="str">
        <f>Raw_Data!K1736</f>
        <v>19</v>
      </c>
      <c r="L1736" s="17" t="str">
        <f>Raw_Data!L1736</f>
        <v>Chennai-South</v>
      </c>
      <c r="M1736" s="13" t="str">
        <f t="shared" si="3"/>
        <v>OK</v>
      </c>
      <c r="N1736" s="18" t="str">
        <f t="shared" si="4"/>
        <v>VALID</v>
      </c>
    </row>
    <row r="1737" ht="15.75" customHeight="1">
      <c r="A1737" s="13" t="str">
        <f>Raw_Data!A1737</f>
        <v>EMP1824</v>
      </c>
      <c r="B1737" s="13" t="str">
        <f>TRIM(CLEAN(Raw_Data!B1737))</f>
        <v>Finance</v>
      </c>
      <c r="C1737" s="18" t="s">
        <v>30</v>
      </c>
      <c r="D1737" s="14" t="str">
        <f>IF(ISBLANK(Raw_Data!D1737),AVERAGE(Raw_Data!D$2:D$5002),Raw_Data!D1737)</f>
        <v>67996.65</v>
      </c>
      <c r="E1737" s="15" t="str">
        <f>IF(ISBLANK(Raw_Data!E1737),AVERAGE(Raw_Data!E$2:E$5002),Raw_Data!E1737)</f>
        <v>22407.87</v>
      </c>
      <c r="F1737" s="15" t="str">
        <f>IF(ISBLANK(Raw_Data!F1737),AVERAGE(Raw_Data!F$2:F$5002),Raw_Data!F1737)</f>
        <v>14179.58</v>
      </c>
      <c r="G1737" s="14" t="str">
        <f>IF(ISBLANK(Raw_Data!G1737),AVERAGE(Raw_Data!G$2:G$5002),Raw_Data!G1737)</f>
        <v>13106.91</v>
      </c>
      <c r="H1737" s="15" t="str">
        <f t="shared" si="1"/>
        <v>104584.00</v>
      </c>
      <c r="I1737" s="14" t="str">
        <f t="shared" si="2"/>
        <v>91477.00</v>
      </c>
      <c r="J1737" s="16" t="str">
        <f>TEXT(Raw_Data!J1737,"MMM-YYY")</f>
        <v>Oct-2025</v>
      </c>
      <c r="K1737" s="13" t="str">
        <f>Raw_Data!K1737</f>
        <v>14</v>
      </c>
      <c r="L1737" s="17" t="str">
        <f>Raw_Data!L1737</f>
        <v>Kolkata-East</v>
      </c>
      <c r="M1737" s="13" t="str">
        <f t="shared" si="3"/>
        <v>OK</v>
      </c>
      <c r="N1737" s="18" t="str">
        <f t="shared" si="4"/>
        <v>VALID</v>
      </c>
    </row>
    <row r="1738" ht="15.75" customHeight="1">
      <c r="A1738" s="13" t="str">
        <f>Raw_Data!A1738</f>
        <v>EMP1825</v>
      </c>
      <c r="B1738" s="13" t="str">
        <f>TRIM(CLEAN(Raw_Data!B1738))</f>
        <v>Customer Support</v>
      </c>
      <c r="C1738" s="18" t="s">
        <v>26</v>
      </c>
      <c r="D1738" s="14" t="str">
        <f>IF(ISBLANK(Raw_Data!D1738),AVERAGE(Raw_Data!D$2:D$5002),Raw_Data!D1738)</f>
        <v>68007.53</v>
      </c>
      <c r="E1738" s="15" t="str">
        <f>IF(ISBLANK(Raw_Data!E1738),AVERAGE(Raw_Data!E$2:E$5002),Raw_Data!E1738)</f>
        <v>22412.49</v>
      </c>
      <c r="F1738" s="15" t="str">
        <f>IF(ISBLANK(Raw_Data!F1738),AVERAGE(Raw_Data!F$2:F$5002),Raw_Data!F1738)</f>
        <v>14187.26</v>
      </c>
      <c r="G1738" s="14" t="str">
        <f>IF(ISBLANK(Raw_Data!G1738),AVERAGE(Raw_Data!G$2:G$5002),Raw_Data!G1738)</f>
        <v>13110.31</v>
      </c>
      <c r="H1738" s="15" t="str">
        <f t="shared" si="1"/>
        <v>104607.00</v>
      </c>
      <c r="I1738" s="14" t="str">
        <f t="shared" si="2"/>
        <v>91497.00</v>
      </c>
      <c r="J1738" s="16" t="str">
        <f>TEXT(Raw_Data!J1738,"MMM-YYY")</f>
        <v>Dec-2025</v>
      </c>
      <c r="K1738" s="13" t="str">
        <f>Raw_Data!K1738</f>
        <v>3</v>
      </c>
      <c r="L1738" s="17" t="str">
        <f>Raw_Data!L1738</f>
        <v>Pune-West</v>
      </c>
      <c r="M1738" s="13" t="str">
        <f t="shared" si="3"/>
        <v>OK</v>
      </c>
      <c r="N1738" s="18" t="str">
        <f t="shared" si="4"/>
        <v>VALID</v>
      </c>
    </row>
    <row r="1739" ht="15.75" customHeight="1">
      <c r="A1739" s="13" t="str">
        <f>Raw_Data!A1739</f>
        <v>EMP1826</v>
      </c>
      <c r="B1739" s="13" t="str">
        <f>TRIM(CLEAN(Raw_Data!B1739))</f>
        <v>Finance</v>
      </c>
      <c r="C1739" s="18" t="s">
        <v>18</v>
      </c>
      <c r="D1739" s="14" t="str">
        <f>IF(ISBLANK(Raw_Data!D1739),AVERAGE(Raw_Data!D$2:D$5002),Raw_Data!D1739)</f>
        <v>68018.41</v>
      </c>
      <c r="E1739" s="15" t="str">
        <f>IF(ISBLANK(Raw_Data!E1739),AVERAGE(Raw_Data!E$2:E$5002),Raw_Data!E1739)</f>
        <v>22417.10</v>
      </c>
      <c r="F1739" s="15" t="str">
        <f>IF(ISBLANK(Raw_Data!F1739),AVERAGE(Raw_Data!F$2:F$5002),Raw_Data!F1739)</f>
        <v>14194.94</v>
      </c>
      <c r="G1739" s="14" t="str">
        <f>IF(ISBLANK(Raw_Data!G1739),AVERAGE(Raw_Data!G$2:G$5002),Raw_Data!G1739)</f>
        <v>13113.71</v>
      </c>
      <c r="H1739" s="15" t="str">
        <f t="shared" si="1"/>
        <v>104630.00</v>
      </c>
      <c r="I1739" s="14" t="str">
        <f t="shared" si="2"/>
        <v>91516.00</v>
      </c>
      <c r="J1739" s="16" t="str">
        <f>TEXT(Raw_Data!J1739,"MMM-YYY")</f>
        <v>Feb-2025</v>
      </c>
      <c r="K1739" s="13" t="str">
        <f>Raw_Data!K1739</f>
        <v>25</v>
      </c>
      <c r="L1739" s="17" t="str">
        <f>Raw_Data!L1739</f>
        <v>Hyderabad-South</v>
      </c>
      <c r="M1739" s="13" t="str">
        <f t="shared" si="3"/>
        <v>OK</v>
      </c>
      <c r="N1739" s="18" t="str">
        <f t="shared" si="4"/>
        <v>VALID</v>
      </c>
    </row>
    <row r="1740" ht="15.75" customHeight="1">
      <c r="A1740" s="13" t="str">
        <f>Raw_Data!A1740</f>
        <v>EMP1827</v>
      </c>
      <c r="B1740" s="13" t="str">
        <f>TRIM(CLEAN(Raw_Data!B1740))</f>
        <v>HR</v>
      </c>
      <c r="C1740" s="18" t="s">
        <v>30</v>
      </c>
      <c r="D1740" s="14" t="str">
        <f>IF(ISBLANK(Raw_Data!D1740),AVERAGE(Raw_Data!D$2:D$5002),Raw_Data!D1740)</f>
        <v>68029.30</v>
      </c>
      <c r="E1740" s="15" t="str">
        <f>IF(ISBLANK(Raw_Data!E1740),AVERAGE(Raw_Data!E$2:E$5002),Raw_Data!E1740)</f>
        <v>22421.71</v>
      </c>
      <c r="F1740" s="15" t="str">
        <f>IF(ISBLANK(Raw_Data!F1740),AVERAGE(Raw_Data!F$2:F$5002),Raw_Data!F1740)</f>
        <v>14202.62</v>
      </c>
      <c r="G1740" s="14" t="str">
        <f>IF(ISBLANK(Raw_Data!G1740),AVERAGE(Raw_Data!G$2:G$5002),Raw_Data!G1740)</f>
        <v>13117.10</v>
      </c>
      <c r="H1740" s="15" t="str">
        <f t="shared" si="1"/>
        <v>104654.00</v>
      </c>
      <c r="I1740" s="14" t="str">
        <f t="shared" si="2"/>
        <v>91537.00</v>
      </c>
      <c r="J1740" s="16" t="str">
        <f>TEXT(Raw_Data!J1740,"MMM-YYY")</f>
        <v>Jan-2025</v>
      </c>
      <c r="K1740" s="13" t="str">
        <f>Raw_Data!K1740</f>
        <v>22</v>
      </c>
      <c r="L1740" s="17" t="str">
        <f>Raw_Data!L1740</f>
        <v>Chandigarh-North</v>
      </c>
      <c r="M1740" s="13" t="str">
        <f t="shared" si="3"/>
        <v>OK</v>
      </c>
      <c r="N1740" s="18" t="str">
        <f t="shared" si="4"/>
        <v>VALID</v>
      </c>
    </row>
    <row r="1741" ht="15.75" customHeight="1">
      <c r="A1741" s="13" t="str">
        <f>Raw_Data!A1741</f>
        <v>EMP1828</v>
      </c>
      <c r="B1741" s="13" t="str">
        <f>TRIM(CLEAN(Raw_Data!B1741))</f>
        <v>Customer Support</v>
      </c>
      <c r="C1741" s="18" t="s">
        <v>18</v>
      </c>
      <c r="D1741" s="14" t="str">
        <f>IF(ISBLANK(Raw_Data!D1741),AVERAGE(Raw_Data!D$2:D$5002),Raw_Data!D1741)</f>
        <v>68040.18</v>
      </c>
      <c r="E1741" s="15" t="str">
        <f>IF(ISBLANK(Raw_Data!E1741),AVERAGE(Raw_Data!E$2:E$5002),Raw_Data!E1741)</f>
        <v>22426.33</v>
      </c>
      <c r="F1741" s="15" t="str">
        <f>IF(ISBLANK(Raw_Data!F1741),AVERAGE(Raw_Data!F$2:F$5002),Raw_Data!F1741)</f>
        <v>14210.30</v>
      </c>
      <c r="G1741" s="14" t="str">
        <f>IF(ISBLANK(Raw_Data!G1741),AVERAGE(Raw_Data!G$2:G$5002),Raw_Data!G1741)</f>
        <v>13120.50</v>
      </c>
      <c r="H1741" s="15" t="str">
        <f t="shared" si="1"/>
        <v>104677.00</v>
      </c>
      <c r="I1741" s="14" t="str">
        <f t="shared" si="2"/>
        <v>91556.00</v>
      </c>
      <c r="J1741" s="16" t="str">
        <f>TEXT(Raw_Data!J1741,"MMM-YYY")</f>
        <v>Feb-2025</v>
      </c>
      <c r="K1741" s="13" t="str">
        <f>Raw_Data!K1741</f>
        <v>17</v>
      </c>
      <c r="L1741" s="17" t="str">
        <f>Raw_Data!L1741</f>
        <v>Ahmedabad-West</v>
      </c>
      <c r="M1741" s="13" t="str">
        <f t="shared" si="3"/>
        <v>OK</v>
      </c>
      <c r="N1741" s="18" t="str">
        <f t="shared" si="4"/>
        <v>VALID</v>
      </c>
    </row>
    <row r="1742" ht="15.75" customHeight="1">
      <c r="A1742" s="13" t="str">
        <f>Raw_Data!A1742</f>
        <v>EMP1829</v>
      </c>
      <c r="B1742" s="13" t="str">
        <f>TRIM(CLEAN(Raw_Data!B1742))</f>
        <v>IT</v>
      </c>
      <c r="C1742" s="18" t="s">
        <v>30</v>
      </c>
      <c r="D1742" s="14" t="str">
        <f>IF(ISBLANK(Raw_Data!D1742),AVERAGE(Raw_Data!D$2:D$5002),Raw_Data!D1742)</f>
        <v>68051.06</v>
      </c>
      <c r="E1742" s="15" t="str">
        <f>IF(ISBLANK(Raw_Data!E1742),AVERAGE(Raw_Data!E$2:E$5002),Raw_Data!E1742)</f>
        <v>22430.94</v>
      </c>
      <c r="F1742" s="15" t="str">
        <f>IF(ISBLANK(Raw_Data!F1742),AVERAGE(Raw_Data!F$2:F$5002),Raw_Data!F1742)</f>
        <v>14217.98</v>
      </c>
      <c r="G1742" s="14" t="str">
        <f>IF(ISBLANK(Raw_Data!G1742),AVERAGE(Raw_Data!G$2:G$5002),Raw_Data!G1742)</f>
        <v>13123.90</v>
      </c>
      <c r="H1742" s="15" t="str">
        <f t="shared" si="1"/>
        <v>104700.00</v>
      </c>
      <c r="I1742" s="14" t="str">
        <f t="shared" si="2"/>
        <v>91576.00</v>
      </c>
      <c r="J1742" s="16" t="str">
        <f>TEXT(Raw_Data!J1742,"MMM-YYY")</f>
        <v>Mar-2025</v>
      </c>
      <c r="K1742" s="13" t="str">
        <f>Raw_Data!K1742</f>
        <v>11</v>
      </c>
      <c r="L1742" s="17" t="str">
        <f>Raw_Data!L1742</f>
        <v>Jaipur-North</v>
      </c>
      <c r="M1742" s="13" t="str">
        <f t="shared" si="3"/>
        <v>OK</v>
      </c>
      <c r="N1742" s="18" t="str">
        <f t="shared" si="4"/>
        <v>VALID</v>
      </c>
    </row>
    <row r="1743" ht="15.75" customHeight="1">
      <c r="A1743" s="13" t="str">
        <f>Raw_Data!A1743</f>
        <v>EMP1830</v>
      </c>
      <c r="B1743" s="13" t="str">
        <f>TRIM(CLEAN(Raw_Data!B1743))</f>
        <v>Sales</v>
      </c>
      <c r="C1743" s="18" t="s">
        <v>14</v>
      </c>
      <c r="D1743" s="14" t="str">
        <f>IF(ISBLANK(Raw_Data!D1743),AVERAGE(Raw_Data!D$2:D$5002),Raw_Data!D1743)</f>
        <v>68061.94</v>
      </c>
      <c r="E1743" s="15" t="str">
        <f>IF(ISBLANK(Raw_Data!E1743),AVERAGE(Raw_Data!E$2:E$5002),Raw_Data!E1743)</f>
        <v>22435.56</v>
      </c>
      <c r="F1743" s="15" t="str">
        <f>IF(ISBLANK(Raw_Data!F1743),AVERAGE(Raw_Data!F$2:F$5002),Raw_Data!F1743)</f>
        <v>14225.66</v>
      </c>
      <c r="G1743" s="14" t="str">
        <f>IF(ISBLANK(Raw_Data!G1743),AVERAGE(Raw_Data!G$2:G$5002),Raw_Data!G1743)</f>
        <v>13127.30</v>
      </c>
      <c r="H1743" s="15" t="str">
        <f t="shared" si="1"/>
        <v>104723.00</v>
      </c>
      <c r="I1743" s="14" t="str">
        <f t="shared" si="2"/>
        <v>91596.00</v>
      </c>
      <c r="J1743" s="16" t="str">
        <f>TEXT(Raw_Data!J1743,"MMM-YYY")</f>
        <v>Aug-2025</v>
      </c>
      <c r="K1743" s="13" t="str">
        <f>Raw_Data!K1743</f>
        <v>13</v>
      </c>
      <c r="L1743" s="17" t="str">
        <f>Raw_Data!L1743</f>
        <v>Mumbai-HO</v>
      </c>
      <c r="M1743" s="13" t="str">
        <f t="shared" si="3"/>
        <v>OK</v>
      </c>
      <c r="N1743" s="18" t="str">
        <f t="shared" si="4"/>
        <v>VALID</v>
      </c>
    </row>
    <row r="1744" ht="15.75" customHeight="1">
      <c r="A1744" s="13" t="str">
        <f>Raw_Data!A1744</f>
        <v>EMP1831</v>
      </c>
      <c r="B1744" s="13" t="str">
        <f>TRIM(CLEAN(Raw_Data!B1744))</f>
        <v>Marketing</v>
      </c>
      <c r="C1744" s="18" t="s">
        <v>54</v>
      </c>
      <c r="D1744" s="14" t="str">
        <f>IF(ISBLANK(Raw_Data!D1744),AVERAGE(Raw_Data!D$2:D$5002),Raw_Data!D1744)</f>
        <v>68072.83</v>
      </c>
      <c r="E1744" s="15" t="str">
        <f>IF(ISBLANK(Raw_Data!E1744),AVERAGE(Raw_Data!E$2:E$5002),Raw_Data!E1744)</f>
        <v>22440.17</v>
      </c>
      <c r="F1744" s="15" t="str">
        <f>IF(ISBLANK(Raw_Data!F1744),AVERAGE(Raw_Data!F$2:F$5002),Raw_Data!F1744)</f>
        <v>14233.34</v>
      </c>
      <c r="G1744" s="14" t="str">
        <f>IF(ISBLANK(Raw_Data!G1744),AVERAGE(Raw_Data!G$2:G$5002),Raw_Data!G1744)</f>
        <v>13130.69</v>
      </c>
      <c r="H1744" s="15" t="str">
        <f t="shared" si="1"/>
        <v>104746.00</v>
      </c>
      <c r="I1744" s="14" t="str">
        <f t="shared" si="2"/>
        <v>91615.00</v>
      </c>
      <c r="J1744" s="16" t="str">
        <f>TEXT(Raw_Data!J1744,"MMM-YYY")</f>
        <v>Aug-2025</v>
      </c>
      <c r="K1744" s="13" t="str">
        <f>Raw_Data!K1744</f>
        <v>5</v>
      </c>
      <c r="L1744" s="17" t="str">
        <f>Raw_Data!L1744</f>
        <v>Delhi-North</v>
      </c>
      <c r="M1744" s="13" t="str">
        <f t="shared" si="3"/>
        <v>OK</v>
      </c>
      <c r="N1744" s="18" t="str">
        <f t="shared" si="4"/>
        <v>VALID</v>
      </c>
    </row>
    <row r="1745" ht="15.75" customHeight="1">
      <c r="A1745" s="13" t="str">
        <f>Raw_Data!A1745</f>
        <v>EMP1832</v>
      </c>
      <c r="B1745" s="13" t="str">
        <f>TRIM(CLEAN(Raw_Data!B1745))</f>
        <v>Customer Support</v>
      </c>
      <c r="C1745" s="18" t="s">
        <v>26</v>
      </c>
      <c r="D1745" s="14" t="str">
        <f>IF(ISBLANK(Raw_Data!D1745),AVERAGE(Raw_Data!D$2:D$5002),Raw_Data!D1745)</f>
        <v>68083.71</v>
      </c>
      <c r="E1745" s="15" t="str">
        <f>IF(ISBLANK(Raw_Data!E1745),AVERAGE(Raw_Data!E$2:E$5002),Raw_Data!E1745)</f>
        <v>22444.79</v>
      </c>
      <c r="F1745" s="15" t="str">
        <f>IF(ISBLANK(Raw_Data!F1745),AVERAGE(Raw_Data!F$2:F$5002),Raw_Data!F1745)</f>
        <v>14241.02</v>
      </c>
      <c r="G1745" s="14" t="str">
        <f>IF(ISBLANK(Raw_Data!G1745),AVERAGE(Raw_Data!G$2:G$5002),Raw_Data!G1745)</f>
        <v>13134.09</v>
      </c>
      <c r="H1745" s="15" t="str">
        <f t="shared" si="1"/>
        <v>104770.00</v>
      </c>
      <c r="I1745" s="14" t="str">
        <f t="shared" si="2"/>
        <v>91636.00</v>
      </c>
      <c r="J1745" s="16" t="str">
        <f>TEXT(Raw_Data!J1745,"MMM-YYY")</f>
        <v>Feb-2025</v>
      </c>
      <c r="K1745" s="13" t="str">
        <f>Raw_Data!K1745</f>
        <v>11</v>
      </c>
      <c r="L1745" s="17" t="str">
        <f>Raw_Data!L1745</f>
        <v>Bangalore-South</v>
      </c>
      <c r="M1745" s="13" t="str">
        <f t="shared" si="3"/>
        <v>OK</v>
      </c>
      <c r="N1745" s="18" t="str">
        <f t="shared" si="4"/>
        <v>VALID</v>
      </c>
    </row>
    <row r="1746" ht="15.75" customHeight="1">
      <c r="A1746" s="13" t="str">
        <f>Raw_Data!A1746</f>
        <v>EMP1833</v>
      </c>
      <c r="B1746" s="13" t="str">
        <f>TRIM(CLEAN(Raw_Data!B1746))</f>
        <v>HR</v>
      </c>
      <c r="C1746" s="18" t="s">
        <v>26</v>
      </c>
      <c r="D1746" s="14" t="str">
        <f>IF(ISBLANK(Raw_Data!D1746),AVERAGE(Raw_Data!D$2:D$5002),Raw_Data!D1746)</f>
        <v>68094.59</v>
      </c>
      <c r="E1746" s="15" t="str">
        <f>IF(ISBLANK(Raw_Data!E1746),AVERAGE(Raw_Data!E$2:E$5002),Raw_Data!E1746)</f>
        <v>22449.40</v>
      </c>
      <c r="F1746" s="15" t="str">
        <f>IF(ISBLANK(Raw_Data!F1746),AVERAGE(Raw_Data!F$2:F$5002),Raw_Data!F1746)</f>
        <v>14248.70</v>
      </c>
      <c r="G1746" s="14" t="str">
        <f>IF(ISBLANK(Raw_Data!G1746),AVERAGE(Raw_Data!G$2:G$5002),Raw_Data!G1746)</f>
        <v>13137.49</v>
      </c>
      <c r="H1746" s="15" t="str">
        <f t="shared" si="1"/>
        <v>104793.00</v>
      </c>
      <c r="I1746" s="14" t="str">
        <f t="shared" si="2"/>
        <v>91656.00</v>
      </c>
      <c r="J1746" s="16" t="str">
        <f>TEXT(Raw_Data!J1746,"MMM-YYY")</f>
        <v>Sep-2025</v>
      </c>
      <c r="K1746" s="13" t="str">
        <f>Raw_Data!K1746</f>
        <v>4</v>
      </c>
      <c r="L1746" s="17" t="str">
        <f>Raw_Data!L1746</f>
        <v>Chennai-South</v>
      </c>
      <c r="M1746" s="13" t="str">
        <f t="shared" si="3"/>
        <v>OK</v>
      </c>
      <c r="N1746" s="18" t="str">
        <f t="shared" si="4"/>
        <v>VALID</v>
      </c>
    </row>
    <row r="1747" ht="15.75" customHeight="1">
      <c r="A1747" s="13" t="str">
        <f>Raw_Data!A1747</f>
        <v>EMP1834</v>
      </c>
      <c r="B1747" s="13" t="str">
        <f>TRIM(CLEAN(Raw_Data!B1747))</f>
        <v>HR</v>
      </c>
      <c r="C1747" s="18" t="s">
        <v>33</v>
      </c>
      <c r="D1747" s="14" t="str">
        <f>IF(ISBLANK(Raw_Data!D1747),AVERAGE(Raw_Data!D$2:D$5002),Raw_Data!D1747)</f>
        <v>68105.48</v>
      </c>
      <c r="E1747" s="15" t="str">
        <f>IF(ISBLANK(Raw_Data!E1747),AVERAGE(Raw_Data!E$2:E$5002),Raw_Data!E1747)</f>
        <v>22454.02</v>
      </c>
      <c r="F1747" s="15" t="str">
        <f>IF(ISBLANK(Raw_Data!F1747),AVERAGE(Raw_Data!F$2:F$5002),Raw_Data!F1747)</f>
        <v>14256.38</v>
      </c>
      <c r="G1747" s="14" t="str">
        <f>IF(ISBLANK(Raw_Data!G1747),AVERAGE(Raw_Data!G$2:G$5002),Raw_Data!G1747)</f>
        <v>13140.89</v>
      </c>
      <c r="H1747" s="15" t="str">
        <f t="shared" si="1"/>
        <v>104816.00</v>
      </c>
      <c r="I1747" s="14" t="str">
        <f t="shared" si="2"/>
        <v>91675.00</v>
      </c>
      <c r="J1747" s="16" t="str">
        <f>TEXT(Raw_Data!J1747,"MMM-YYY")</f>
        <v>Jan-2025</v>
      </c>
      <c r="K1747" s="13" t="str">
        <f>Raw_Data!K1747</f>
        <v>14</v>
      </c>
      <c r="L1747" s="17" t="str">
        <f>Raw_Data!L1747</f>
        <v>Kolkata-East</v>
      </c>
      <c r="M1747" s="13" t="str">
        <f t="shared" si="3"/>
        <v>OK</v>
      </c>
      <c r="N1747" s="18" t="str">
        <f t="shared" si="4"/>
        <v>VALID</v>
      </c>
    </row>
    <row r="1748" ht="15.75" customHeight="1">
      <c r="A1748" s="13" t="str">
        <f>Raw_Data!A1748</f>
        <v>EMP1835</v>
      </c>
      <c r="B1748" s="13" t="str">
        <f>TRIM(CLEAN(Raw_Data!B1748))</f>
        <v>HR</v>
      </c>
      <c r="C1748" s="18" t="s">
        <v>33</v>
      </c>
      <c r="D1748" s="14" t="str">
        <f>IF(ISBLANK(Raw_Data!D1748),AVERAGE(Raw_Data!D$2:D$5002),Raw_Data!D1748)</f>
        <v>68116.36</v>
      </c>
      <c r="E1748" s="15" t="str">
        <f>IF(ISBLANK(Raw_Data!E1748),AVERAGE(Raw_Data!E$2:E$5002),Raw_Data!E1748)</f>
        <v>22458.63</v>
      </c>
      <c r="F1748" s="15" t="str">
        <f>IF(ISBLANK(Raw_Data!F1748),AVERAGE(Raw_Data!F$2:F$5002),Raw_Data!F1748)</f>
        <v>14264.06</v>
      </c>
      <c r="G1748" s="14" t="str">
        <f>IF(ISBLANK(Raw_Data!G1748),AVERAGE(Raw_Data!G$2:G$5002),Raw_Data!G1748)</f>
        <v>13144.28</v>
      </c>
      <c r="H1748" s="15" t="str">
        <f t="shared" si="1"/>
        <v>104839.00</v>
      </c>
      <c r="I1748" s="14" t="str">
        <f t="shared" si="2"/>
        <v>91695.00</v>
      </c>
      <c r="J1748" s="16" t="str">
        <f>TEXT(Raw_Data!J1748,"MMM-YYY")</f>
        <v>Feb-2025</v>
      </c>
      <c r="K1748" s="13" t="str">
        <f>Raw_Data!K1748</f>
        <v>14</v>
      </c>
      <c r="L1748" s="17" t="str">
        <f>Raw_Data!L1748</f>
        <v>Pune-West</v>
      </c>
      <c r="M1748" s="13" t="str">
        <f t="shared" si="3"/>
        <v>OK</v>
      </c>
      <c r="N1748" s="18" t="str">
        <f t="shared" si="4"/>
        <v>VALID</v>
      </c>
    </row>
    <row r="1749" ht="15.75" customHeight="1">
      <c r="A1749" s="13" t="str">
        <f>Raw_Data!A1749</f>
        <v>EMP1836</v>
      </c>
      <c r="B1749" s="13" t="str">
        <f>TRIM(CLEAN(Raw_Data!B1749))</f>
        <v>Marketing</v>
      </c>
      <c r="C1749" s="18" t="s">
        <v>18</v>
      </c>
      <c r="D1749" s="14" t="str">
        <f>IF(ISBLANK(Raw_Data!D1749),AVERAGE(Raw_Data!D$2:D$5002),Raw_Data!D1749)</f>
        <v>68127.24</v>
      </c>
      <c r="E1749" s="15" t="str">
        <f>IF(ISBLANK(Raw_Data!E1749),AVERAGE(Raw_Data!E$2:E$5002),Raw_Data!E1749)</f>
        <v>22463.25</v>
      </c>
      <c r="F1749" s="15" t="str">
        <f>IF(ISBLANK(Raw_Data!F1749),AVERAGE(Raw_Data!F$2:F$5002),Raw_Data!F1749)</f>
        <v>14271.74</v>
      </c>
      <c r="G1749" s="14" t="str">
        <f>IF(ISBLANK(Raw_Data!G1749),AVERAGE(Raw_Data!G$2:G$5002),Raw_Data!G1749)</f>
        <v>13147.68</v>
      </c>
      <c r="H1749" s="15" t="str">
        <f t="shared" si="1"/>
        <v>104862.00</v>
      </c>
      <c r="I1749" s="14" t="str">
        <f t="shared" si="2"/>
        <v>91714.00</v>
      </c>
      <c r="J1749" s="16" t="str">
        <f>TEXT(Raw_Data!J1749,"MMM-YYY")</f>
        <v>Dec-2025</v>
      </c>
      <c r="K1749" s="13" t="str">
        <f>Raw_Data!K1749</f>
        <v>9</v>
      </c>
      <c r="L1749" s="17" t="str">
        <f>Raw_Data!L1749</f>
        <v>Hyderabad-South</v>
      </c>
      <c r="M1749" s="13" t="str">
        <f t="shared" si="3"/>
        <v>OK</v>
      </c>
      <c r="N1749" s="18" t="str">
        <f t="shared" si="4"/>
        <v>VALID</v>
      </c>
    </row>
    <row r="1750" ht="15.75" customHeight="1">
      <c r="A1750" s="13" t="str">
        <f>Raw_Data!A1750</f>
        <v>EMP1837</v>
      </c>
      <c r="B1750" s="13" t="str">
        <f>TRIM(CLEAN(Raw_Data!B1750))</f>
        <v>IT</v>
      </c>
      <c r="C1750" s="18" t="s">
        <v>30</v>
      </c>
      <c r="D1750" s="14" t="str">
        <f>IF(ISBLANK(Raw_Data!D1750),AVERAGE(Raw_Data!D$2:D$5002),Raw_Data!D1750)</f>
        <v>68138.12</v>
      </c>
      <c r="E1750" s="15" t="str">
        <f>IF(ISBLANK(Raw_Data!E1750),AVERAGE(Raw_Data!E$2:E$5002),Raw_Data!E1750)</f>
        <v>22467.86</v>
      </c>
      <c r="F1750" s="15" t="str">
        <f>IF(ISBLANK(Raw_Data!F1750),AVERAGE(Raw_Data!F$2:F$5002),Raw_Data!F1750)</f>
        <v>14279.42</v>
      </c>
      <c r="G1750" s="14" t="str">
        <f>IF(ISBLANK(Raw_Data!G1750),AVERAGE(Raw_Data!G$2:G$5002),Raw_Data!G1750)</f>
        <v>13151.08</v>
      </c>
      <c r="H1750" s="15" t="str">
        <f t="shared" si="1"/>
        <v>104885.00</v>
      </c>
      <c r="I1750" s="14" t="str">
        <f t="shared" si="2"/>
        <v>91734.00</v>
      </c>
      <c r="J1750" s="16" t="str">
        <f>TEXT(Raw_Data!J1750,"MMM-YYY")</f>
        <v>Jul-2025</v>
      </c>
      <c r="K1750" s="13" t="str">
        <f>Raw_Data!K1750</f>
        <v>11</v>
      </c>
      <c r="L1750" s="17" t="str">
        <f>Raw_Data!L1750</f>
        <v>Chandigarh-North</v>
      </c>
      <c r="M1750" s="13" t="str">
        <f t="shared" si="3"/>
        <v>OK</v>
      </c>
      <c r="N1750" s="18" t="str">
        <f t="shared" si="4"/>
        <v>VALID</v>
      </c>
    </row>
    <row r="1751" ht="15.75" customHeight="1">
      <c r="A1751" s="13" t="str">
        <f>Raw_Data!A1751</f>
        <v>EMP1838</v>
      </c>
      <c r="B1751" s="13" t="str">
        <f>TRIM(CLEAN(Raw_Data!B1751))</f>
        <v>Operations</v>
      </c>
      <c r="C1751" s="18" t="s">
        <v>33</v>
      </c>
      <c r="D1751" s="14" t="str">
        <f>IF(ISBLANK(Raw_Data!D1751),AVERAGE(Raw_Data!D$2:D$5002),Raw_Data!D1751)</f>
        <v>68149.01</v>
      </c>
      <c r="E1751" s="15" t="str">
        <f>IF(ISBLANK(Raw_Data!E1751),AVERAGE(Raw_Data!E$2:E$5002),Raw_Data!E1751)</f>
        <v>22472.48</v>
      </c>
      <c r="F1751" s="15" t="str">
        <f>IF(ISBLANK(Raw_Data!F1751),AVERAGE(Raw_Data!F$2:F$5002),Raw_Data!F1751)</f>
        <v>14287.10</v>
      </c>
      <c r="G1751" s="14" t="str">
        <f>IF(ISBLANK(Raw_Data!G1751),AVERAGE(Raw_Data!G$2:G$5002),Raw_Data!G1751)</f>
        <v>13154.48</v>
      </c>
      <c r="H1751" s="15" t="str">
        <f t="shared" si="1"/>
        <v>104909.00</v>
      </c>
      <c r="I1751" s="14" t="str">
        <f t="shared" si="2"/>
        <v>91755.00</v>
      </c>
      <c r="J1751" s="16" t="str">
        <f>TEXT(Raw_Data!J1751,"MMM-YYY")</f>
        <v>Jul-2025</v>
      </c>
      <c r="K1751" s="13" t="str">
        <f>Raw_Data!K1751</f>
        <v>21</v>
      </c>
      <c r="L1751" s="17" t="str">
        <f>Raw_Data!L1751</f>
        <v>Ahmedabad-West</v>
      </c>
      <c r="M1751" s="13" t="str">
        <f t="shared" si="3"/>
        <v>OK</v>
      </c>
      <c r="N1751" s="18" t="str">
        <f t="shared" si="4"/>
        <v>VALID</v>
      </c>
    </row>
    <row r="1752" ht="15.75" customHeight="1">
      <c r="A1752" s="13" t="str">
        <f>Raw_Data!A1752</f>
        <v>EMP1839</v>
      </c>
      <c r="B1752" s="13" t="str">
        <f>TRIM(CLEAN(Raw_Data!B1752))</f>
        <v>Operations</v>
      </c>
      <c r="C1752" s="18" t="s">
        <v>37</v>
      </c>
      <c r="D1752" s="14" t="str">
        <f>IF(ISBLANK(Raw_Data!D1752),AVERAGE(Raw_Data!D$2:D$5002),Raw_Data!D1752)</f>
        <v>68159.89</v>
      </c>
      <c r="E1752" s="15" t="str">
        <f>IF(ISBLANK(Raw_Data!E1752),AVERAGE(Raw_Data!E$2:E$5002),Raw_Data!E1752)</f>
        <v>22477.09</v>
      </c>
      <c r="F1752" s="15" t="str">
        <f>IF(ISBLANK(Raw_Data!F1752),AVERAGE(Raw_Data!F$2:F$5002),Raw_Data!F1752)</f>
        <v>14294.78</v>
      </c>
      <c r="G1752" s="14" t="str">
        <f>IF(ISBLANK(Raw_Data!G1752),AVERAGE(Raw_Data!G$2:G$5002),Raw_Data!G1752)</f>
        <v>13157.87</v>
      </c>
      <c r="H1752" s="15" t="str">
        <f t="shared" si="1"/>
        <v>104932.00</v>
      </c>
      <c r="I1752" s="14" t="str">
        <f t="shared" si="2"/>
        <v>91774.00</v>
      </c>
      <c r="J1752" s="16" t="str">
        <f>TEXT(Raw_Data!J1752,"MMM-YYY")</f>
        <v>Feb-2025</v>
      </c>
      <c r="K1752" s="13" t="str">
        <f>Raw_Data!K1752</f>
        <v>22</v>
      </c>
      <c r="L1752" s="17" t="str">
        <f>Raw_Data!L1752</f>
        <v>Jaipur-North</v>
      </c>
      <c r="M1752" s="13" t="str">
        <f t="shared" si="3"/>
        <v>OK</v>
      </c>
      <c r="N1752" s="18" t="str">
        <f t="shared" si="4"/>
        <v>VALID</v>
      </c>
    </row>
    <row r="1753" ht="15.75" customHeight="1">
      <c r="A1753" s="13" t="str">
        <f>Raw_Data!A1753</f>
        <v>EMP1840</v>
      </c>
      <c r="B1753" s="13" t="str">
        <f>TRIM(CLEAN(Raw_Data!B1753))</f>
        <v>HR</v>
      </c>
      <c r="C1753" s="18" t="s">
        <v>33</v>
      </c>
      <c r="D1753" s="14" t="str">
        <f>IF(ISBLANK(Raw_Data!D1753),AVERAGE(Raw_Data!D$2:D$5002),Raw_Data!D1753)</f>
        <v>68170.77</v>
      </c>
      <c r="E1753" s="15" t="str">
        <f>IF(ISBLANK(Raw_Data!E1753),AVERAGE(Raw_Data!E$2:E$5002),Raw_Data!E1753)</f>
        <v>22481.71</v>
      </c>
      <c r="F1753" s="15" t="str">
        <f>IF(ISBLANK(Raw_Data!F1753),AVERAGE(Raw_Data!F$2:F$5002),Raw_Data!F1753)</f>
        <v>14302.46</v>
      </c>
      <c r="G1753" s="14" t="str">
        <f>IF(ISBLANK(Raw_Data!G1753),AVERAGE(Raw_Data!G$2:G$5002),Raw_Data!G1753)</f>
        <v>13161.27</v>
      </c>
      <c r="H1753" s="15" t="str">
        <f t="shared" si="1"/>
        <v>104955.00</v>
      </c>
      <c r="I1753" s="14" t="str">
        <f t="shared" si="2"/>
        <v>91794.00</v>
      </c>
      <c r="J1753" s="16" t="str">
        <f>TEXT(Raw_Data!J1753,"MMM-YYY")</f>
        <v>Feb-2025</v>
      </c>
      <c r="K1753" s="13" t="str">
        <f>Raw_Data!K1753</f>
        <v>6</v>
      </c>
      <c r="L1753" s="17" t="str">
        <f>Raw_Data!L1753</f>
        <v>Mumbai-HO</v>
      </c>
      <c r="M1753" s="13" t="str">
        <f t="shared" si="3"/>
        <v>OK</v>
      </c>
      <c r="N1753" s="18" t="str">
        <f t="shared" si="4"/>
        <v>VALID</v>
      </c>
    </row>
    <row r="1754" ht="15.75" customHeight="1">
      <c r="A1754" s="13" t="str">
        <f>Raw_Data!A1754</f>
        <v>EMP1841</v>
      </c>
      <c r="B1754" s="13" t="str">
        <f>TRIM(CLEAN(Raw_Data!B1754))</f>
        <v>HR</v>
      </c>
      <c r="C1754" s="18" t="s">
        <v>30</v>
      </c>
      <c r="D1754" s="14" t="str">
        <f>IF(ISBLANK(Raw_Data!D1754),AVERAGE(Raw_Data!D$2:D$5002),Raw_Data!D1754)</f>
        <v>68181.66</v>
      </c>
      <c r="E1754" s="15" t="str">
        <f>IF(ISBLANK(Raw_Data!E1754),AVERAGE(Raw_Data!E$2:E$5002),Raw_Data!E1754)</f>
        <v>22486.32</v>
      </c>
      <c r="F1754" s="15" t="str">
        <f>IF(ISBLANK(Raw_Data!F1754),AVERAGE(Raw_Data!F$2:F$5002),Raw_Data!F1754)</f>
        <v>14310.14</v>
      </c>
      <c r="G1754" s="14" t="str">
        <f>IF(ISBLANK(Raw_Data!G1754),AVERAGE(Raw_Data!G$2:G$5002),Raw_Data!G1754)</f>
        <v>13164.67</v>
      </c>
      <c r="H1754" s="15" t="str">
        <f t="shared" si="1"/>
        <v>104978.00</v>
      </c>
      <c r="I1754" s="14" t="str">
        <f t="shared" si="2"/>
        <v>91813.00</v>
      </c>
      <c r="J1754" s="16" t="str">
        <f>TEXT(Raw_Data!J1754,"MMM-YYY")</f>
        <v>Feb-2025</v>
      </c>
      <c r="K1754" s="13" t="str">
        <f>Raw_Data!K1754</f>
        <v>20</v>
      </c>
      <c r="L1754" s="17" t="str">
        <f>Raw_Data!L1754</f>
        <v>Delhi-North</v>
      </c>
      <c r="M1754" s="13" t="str">
        <f t="shared" si="3"/>
        <v>OK</v>
      </c>
      <c r="N1754" s="18" t="str">
        <f t="shared" si="4"/>
        <v>VALID</v>
      </c>
    </row>
    <row r="1755" ht="15.75" customHeight="1">
      <c r="A1755" s="13" t="str">
        <f>Raw_Data!A1755</f>
        <v>EMP1842</v>
      </c>
      <c r="B1755" s="13" t="str">
        <f>TRIM(CLEAN(Raw_Data!B1755))</f>
        <v>IT</v>
      </c>
      <c r="C1755" s="18" t="s">
        <v>26</v>
      </c>
      <c r="D1755" s="14" t="str">
        <f>IF(ISBLANK(Raw_Data!D1755),AVERAGE(Raw_Data!D$2:D$5002),Raw_Data!D1755)</f>
        <v>68192.54</v>
      </c>
      <c r="E1755" s="15" t="str">
        <f>IF(ISBLANK(Raw_Data!E1755),AVERAGE(Raw_Data!E$2:E$5002),Raw_Data!E1755)</f>
        <v>22490.94</v>
      </c>
      <c r="F1755" s="15" t="str">
        <f>IF(ISBLANK(Raw_Data!F1755),AVERAGE(Raw_Data!F$2:F$5002),Raw_Data!F1755)</f>
        <v>14317.82</v>
      </c>
      <c r="G1755" s="14" t="str">
        <f>IF(ISBLANK(Raw_Data!G1755),AVERAGE(Raw_Data!G$2:G$5002),Raw_Data!G1755)</f>
        <v>13168.07</v>
      </c>
      <c r="H1755" s="15" t="str">
        <f t="shared" si="1"/>
        <v>105001.00</v>
      </c>
      <c r="I1755" s="14" t="str">
        <f t="shared" si="2"/>
        <v>91833.00</v>
      </c>
      <c r="J1755" s="16" t="str">
        <f>TEXT(Raw_Data!J1755,"MMM-YYY")</f>
        <v>Mar-2025</v>
      </c>
      <c r="K1755" s="13" t="str">
        <f>Raw_Data!K1755</f>
        <v>17</v>
      </c>
      <c r="L1755" s="17" t="str">
        <f>Raw_Data!L1755</f>
        <v>Bangalore-South</v>
      </c>
      <c r="M1755" s="13" t="str">
        <f t="shared" si="3"/>
        <v>OK</v>
      </c>
      <c r="N1755" s="18" t="str">
        <f t="shared" si="4"/>
        <v>VALID</v>
      </c>
    </row>
    <row r="1756" ht="15.75" customHeight="1">
      <c r="A1756" s="13" t="str">
        <f>Raw_Data!A1756</f>
        <v>EMP1843</v>
      </c>
      <c r="B1756" s="13" t="str">
        <f>TRIM(CLEAN(Raw_Data!B1756))</f>
        <v>Sales</v>
      </c>
      <c r="C1756" s="18" t="s">
        <v>37</v>
      </c>
      <c r="D1756" s="14" t="str">
        <f>IF(ISBLANK(Raw_Data!D1756),AVERAGE(Raw_Data!D$2:D$5002),Raw_Data!D1756)</f>
        <v>68203.42</v>
      </c>
      <c r="E1756" s="15" t="str">
        <f>IF(ISBLANK(Raw_Data!E1756),AVERAGE(Raw_Data!E$2:E$5002),Raw_Data!E1756)</f>
        <v>22495.55</v>
      </c>
      <c r="F1756" s="15" t="str">
        <f>IF(ISBLANK(Raw_Data!F1756),AVERAGE(Raw_Data!F$2:F$5002),Raw_Data!F1756)</f>
        <v>14325.50</v>
      </c>
      <c r="G1756" s="14" t="str">
        <f>IF(ISBLANK(Raw_Data!G1756),AVERAGE(Raw_Data!G$2:G$5002),Raw_Data!G1756)</f>
        <v>13171.46</v>
      </c>
      <c r="H1756" s="15" t="str">
        <f t="shared" si="1"/>
        <v>105024.00</v>
      </c>
      <c r="I1756" s="14" t="str">
        <f t="shared" si="2"/>
        <v>91853.00</v>
      </c>
      <c r="J1756" s="16" t="str">
        <f>TEXT(Raw_Data!J1756,"MMM-YYY")</f>
        <v>May-2025</v>
      </c>
      <c r="K1756" s="13" t="str">
        <f>Raw_Data!K1756</f>
        <v>11</v>
      </c>
      <c r="L1756" s="17" t="str">
        <f>Raw_Data!L1756</f>
        <v>Chennai-South</v>
      </c>
      <c r="M1756" s="13" t="str">
        <f t="shared" si="3"/>
        <v>OK</v>
      </c>
      <c r="N1756" s="18" t="str">
        <f t="shared" si="4"/>
        <v>VALID</v>
      </c>
    </row>
    <row r="1757" ht="15.75" customHeight="1">
      <c r="A1757" s="13" t="str">
        <f>Raw_Data!A1757</f>
        <v>EMP1844</v>
      </c>
      <c r="B1757" s="13" t="str">
        <f>TRIM(CLEAN(Raw_Data!B1757))</f>
        <v>Marketing</v>
      </c>
      <c r="C1757" s="18" t="s">
        <v>14</v>
      </c>
      <c r="D1757" s="14" t="str">
        <f>IF(ISBLANK(Raw_Data!D1757),AVERAGE(Raw_Data!D$2:D$5002),Raw_Data!D1757)</f>
        <v>68214.31</v>
      </c>
      <c r="E1757" s="15" t="str">
        <f>IF(ISBLANK(Raw_Data!E1757),AVERAGE(Raw_Data!E$2:E$5002),Raw_Data!E1757)</f>
        <v>22500.16</v>
      </c>
      <c r="F1757" s="15" t="str">
        <f>IF(ISBLANK(Raw_Data!F1757),AVERAGE(Raw_Data!F$2:F$5002),Raw_Data!F1757)</f>
        <v>14333.18</v>
      </c>
      <c r="G1757" s="14" t="str">
        <f>IF(ISBLANK(Raw_Data!G1757),AVERAGE(Raw_Data!G$2:G$5002),Raw_Data!G1757)</f>
        <v>13174.86</v>
      </c>
      <c r="H1757" s="15" t="str">
        <f t="shared" si="1"/>
        <v>105048.00</v>
      </c>
      <c r="I1757" s="14" t="str">
        <f t="shared" si="2"/>
        <v>91873.00</v>
      </c>
      <c r="J1757" s="16" t="str">
        <f>TEXT(Raw_Data!J1757,"MMM-YYY")</f>
        <v>Nov-2025</v>
      </c>
      <c r="K1757" s="13" t="str">
        <f>Raw_Data!K1757</f>
        <v>4</v>
      </c>
      <c r="L1757" s="17" t="str">
        <f>Raw_Data!L1757</f>
        <v>Kolkata-East</v>
      </c>
      <c r="M1757" s="13" t="str">
        <f t="shared" si="3"/>
        <v>OK</v>
      </c>
      <c r="N1757" s="18" t="str">
        <f t="shared" si="4"/>
        <v>VALID</v>
      </c>
    </row>
    <row r="1758" ht="15.75" customHeight="1">
      <c r="A1758" s="13" t="str">
        <f>Raw_Data!A1758</f>
        <v>EMP1845</v>
      </c>
      <c r="B1758" s="13" t="str">
        <f>TRIM(CLEAN(Raw_Data!B1758))</f>
        <v>Operations</v>
      </c>
      <c r="C1758" s="18" t="s">
        <v>14</v>
      </c>
      <c r="D1758" s="14" t="str">
        <f>IF(ISBLANK(Raw_Data!D1758),AVERAGE(Raw_Data!D$2:D$5002),Raw_Data!D1758)</f>
        <v>68225.19</v>
      </c>
      <c r="E1758" s="15" t="str">
        <f>IF(ISBLANK(Raw_Data!E1758),AVERAGE(Raw_Data!E$2:E$5002),Raw_Data!E1758)</f>
        <v>22504.78</v>
      </c>
      <c r="F1758" s="15" t="str">
        <f>IF(ISBLANK(Raw_Data!F1758),AVERAGE(Raw_Data!F$2:F$5002),Raw_Data!F1758)</f>
        <v>14340.86</v>
      </c>
      <c r="G1758" s="14" t="str">
        <f>IF(ISBLANK(Raw_Data!G1758),AVERAGE(Raw_Data!G$2:G$5002),Raw_Data!G1758)</f>
        <v>13178.26</v>
      </c>
      <c r="H1758" s="15" t="str">
        <f t="shared" si="1"/>
        <v>105071.00</v>
      </c>
      <c r="I1758" s="14" t="str">
        <f t="shared" si="2"/>
        <v>91893.00</v>
      </c>
      <c r="J1758" s="16" t="str">
        <f>TEXT(Raw_Data!J1758,"MMM-YYY")</f>
        <v>Sep-2025</v>
      </c>
      <c r="K1758" s="13" t="str">
        <f>Raw_Data!K1758</f>
        <v>6</v>
      </c>
      <c r="L1758" s="17" t="str">
        <f>Raw_Data!L1758</f>
        <v>Pune-West</v>
      </c>
      <c r="M1758" s="13" t="str">
        <f t="shared" si="3"/>
        <v>OK</v>
      </c>
      <c r="N1758" s="18" t="str">
        <f t="shared" si="4"/>
        <v>VALID</v>
      </c>
    </row>
    <row r="1759" ht="15.75" customHeight="1">
      <c r="A1759" s="13" t="str">
        <f>Raw_Data!A1759</f>
        <v>EMP1846</v>
      </c>
      <c r="B1759" s="13" t="str">
        <f>TRIM(CLEAN(Raw_Data!B1759))</f>
        <v>IT</v>
      </c>
      <c r="C1759" s="18" t="s">
        <v>26</v>
      </c>
      <c r="D1759" s="14" t="str">
        <f>IF(ISBLANK(Raw_Data!D1759),AVERAGE(Raw_Data!D$2:D$5002),Raw_Data!D1759)</f>
        <v>68236.07</v>
      </c>
      <c r="E1759" s="15" t="str">
        <f>IF(ISBLANK(Raw_Data!E1759),AVERAGE(Raw_Data!E$2:E$5002),Raw_Data!E1759)</f>
        <v>22509.39</v>
      </c>
      <c r="F1759" s="15" t="str">
        <f>IF(ISBLANK(Raw_Data!F1759),AVERAGE(Raw_Data!F$2:F$5002),Raw_Data!F1759)</f>
        <v>14348.54</v>
      </c>
      <c r="G1759" s="14" t="str">
        <f>IF(ISBLANK(Raw_Data!G1759),AVERAGE(Raw_Data!G$2:G$5002),Raw_Data!G1759)</f>
        <v>13181.66</v>
      </c>
      <c r="H1759" s="15" t="str">
        <f t="shared" si="1"/>
        <v>105094.00</v>
      </c>
      <c r="I1759" s="14" t="str">
        <f t="shared" si="2"/>
        <v>91912.00</v>
      </c>
      <c r="J1759" s="16" t="str">
        <f>TEXT(Raw_Data!J1759,"MMM-YYY")</f>
        <v>Nov-2025</v>
      </c>
      <c r="K1759" s="13" t="str">
        <f>Raw_Data!K1759</f>
        <v>5</v>
      </c>
      <c r="L1759" s="17" t="str">
        <f>Raw_Data!L1759</f>
        <v>Hyderabad-South</v>
      </c>
      <c r="M1759" s="13" t="str">
        <f t="shared" si="3"/>
        <v>OK</v>
      </c>
      <c r="N1759" s="18" t="str">
        <f t="shared" si="4"/>
        <v>VALID</v>
      </c>
    </row>
    <row r="1760" ht="15.75" customHeight="1">
      <c r="A1760" s="13" t="str">
        <f>Raw_Data!A1760</f>
        <v>EMP1847</v>
      </c>
      <c r="B1760" s="13" t="str">
        <f>TRIM(CLEAN(Raw_Data!B1760))</f>
        <v>HR</v>
      </c>
      <c r="C1760" s="18" t="s">
        <v>26</v>
      </c>
      <c r="D1760" s="14" t="str">
        <f>IF(ISBLANK(Raw_Data!D1760),AVERAGE(Raw_Data!D$2:D$5002),Raw_Data!D1760)</f>
        <v>68246.95</v>
      </c>
      <c r="E1760" s="15" t="str">
        <f>IF(ISBLANK(Raw_Data!E1760),AVERAGE(Raw_Data!E$2:E$5002),Raw_Data!E1760)</f>
        <v>22514.01</v>
      </c>
      <c r="F1760" s="15" t="str">
        <f>IF(ISBLANK(Raw_Data!F1760),AVERAGE(Raw_Data!F$2:F$5002),Raw_Data!F1760)</f>
        <v>14356.22</v>
      </c>
      <c r="G1760" s="14" t="str">
        <f>IF(ISBLANK(Raw_Data!G1760),AVERAGE(Raw_Data!G$2:G$5002),Raw_Data!G1760)</f>
        <v>13185.06</v>
      </c>
      <c r="H1760" s="15" t="str">
        <f t="shared" si="1"/>
        <v>105117.00</v>
      </c>
      <c r="I1760" s="14" t="str">
        <f t="shared" si="2"/>
        <v>91932.00</v>
      </c>
      <c r="J1760" s="16" t="str">
        <f>TEXT(Raw_Data!J1760,"MMM-YYY")</f>
        <v>Jul-2025</v>
      </c>
      <c r="K1760" s="13" t="str">
        <f>Raw_Data!K1760</f>
        <v>5</v>
      </c>
      <c r="L1760" s="17" t="str">
        <f>Raw_Data!L1760</f>
        <v>Chandigarh-North</v>
      </c>
      <c r="M1760" s="13" t="str">
        <f t="shared" si="3"/>
        <v>OK</v>
      </c>
      <c r="N1760" s="18" t="str">
        <f t="shared" si="4"/>
        <v>VALID</v>
      </c>
    </row>
    <row r="1761" ht="15.75" customHeight="1">
      <c r="A1761" s="13" t="str">
        <f>Raw_Data!A1761</f>
        <v>EMP1848</v>
      </c>
      <c r="B1761" s="13" t="str">
        <f>TRIM(CLEAN(Raw_Data!B1761))</f>
        <v>Customer Support</v>
      </c>
      <c r="C1761" s="18" t="s">
        <v>54</v>
      </c>
      <c r="D1761" s="14" t="str">
        <f>IF(ISBLANK(Raw_Data!D1761),AVERAGE(Raw_Data!D$2:D$5002),Raw_Data!D1761)</f>
        <v>68257.84</v>
      </c>
      <c r="E1761" s="15" t="str">
        <f>IF(ISBLANK(Raw_Data!E1761),AVERAGE(Raw_Data!E$2:E$5002),Raw_Data!E1761)</f>
        <v>22518.62</v>
      </c>
      <c r="F1761" s="15" t="str">
        <f>IF(ISBLANK(Raw_Data!F1761),AVERAGE(Raw_Data!F$2:F$5002),Raw_Data!F1761)</f>
        <v>14363.90</v>
      </c>
      <c r="G1761" s="14" t="str">
        <f>IF(ISBLANK(Raw_Data!G1761),AVERAGE(Raw_Data!G$2:G$5002),Raw_Data!G1761)</f>
        <v>13188.45</v>
      </c>
      <c r="H1761" s="15" t="str">
        <f t="shared" si="1"/>
        <v>105140.00</v>
      </c>
      <c r="I1761" s="14" t="str">
        <f t="shared" si="2"/>
        <v>91952.00</v>
      </c>
      <c r="J1761" s="16" t="str">
        <f>TEXT(Raw_Data!J1761,"MMM-YYY")</f>
        <v>Oct-2025</v>
      </c>
      <c r="K1761" s="13" t="str">
        <f>Raw_Data!K1761</f>
        <v>18</v>
      </c>
      <c r="L1761" s="17" t="str">
        <f>Raw_Data!L1761</f>
        <v>Ahmedabad-West</v>
      </c>
      <c r="M1761" s="13" t="str">
        <f t="shared" si="3"/>
        <v>OK</v>
      </c>
      <c r="N1761" s="18" t="str">
        <f t="shared" si="4"/>
        <v>VALID</v>
      </c>
    </row>
    <row r="1762" ht="15.75" customHeight="1">
      <c r="A1762" s="13" t="str">
        <f>Raw_Data!A1762</f>
        <v>EMP1849</v>
      </c>
      <c r="B1762" s="13" t="str">
        <f>TRIM(CLEAN(Raw_Data!B1762))</f>
        <v>Customer Support</v>
      </c>
      <c r="C1762" s="18" t="s">
        <v>18</v>
      </c>
      <c r="D1762" s="14" t="str">
        <f>IF(ISBLANK(Raw_Data!D1762),AVERAGE(Raw_Data!D$2:D$5002),Raw_Data!D1762)</f>
        <v>68268.72</v>
      </c>
      <c r="E1762" s="15" t="str">
        <f>IF(ISBLANK(Raw_Data!E1762),AVERAGE(Raw_Data!E$2:E$5002),Raw_Data!E1762)</f>
        <v>22523.24</v>
      </c>
      <c r="F1762" s="15" t="str">
        <f>IF(ISBLANK(Raw_Data!F1762),AVERAGE(Raw_Data!F$2:F$5002),Raw_Data!F1762)</f>
        <v>14371.58</v>
      </c>
      <c r="G1762" s="14" t="str">
        <f>IF(ISBLANK(Raw_Data!G1762),AVERAGE(Raw_Data!G$2:G$5002),Raw_Data!G1762)</f>
        <v>13191.85</v>
      </c>
      <c r="H1762" s="15" t="str">
        <f t="shared" si="1"/>
        <v>105164.00</v>
      </c>
      <c r="I1762" s="14" t="str">
        <f t="shared" si="2"/>
        <v>91972.00</v>
      </c>
      <c r="J1762" s="16" t="str">
        <f>TEXT(Raw_Data!J1762,"MMM-YYY")</f>
        <v>Mar-2025</v>
      </c>
      <c r="K1762" s="13" t="str">
        <f>Raw_Data!K1762</f>
        <v>4</v>
      </c>
      <c r="L1762" s="17" t="str">
        <f>Raw_Data!L1762</f>
        <v>Jaipur-North</v>
      </c>
      <c r="M1762" s="13" t="str">
        <f t="shared" si="3"/>
        <v>OK</v>
      </c>
      <c r="N1762" s="18" t="str">
        <f t="shared" si="4"/>
        <v>VALID</v>
      </c>
    </row>
    <row r="1763" ht="15.75" customHeight="1">
      <c r="A1763" s="13" t="str">
        <f>Raw_Data!A1763</f>
        <v>EMP1850</v>
      </c>
      <c r="B1763" s="13" t="str">
        <f>TRIM(CLEAN(Raw_Data!B1763))</f>
        <v>Sales</v>
      </c>
      <c r="C1763" s="18" t="s">
        <v>37</v>
      </c>
      <c r="D1763" s="14" t="str">
        <f>IF(ISBLANK(Raw_Data!D1763),AVERAGE(Raw_Data!D$2:D$5002),Raw_Data!D1763)</f>
        <v>68279.60</v>
      </c>
      <c r="E1763" s="15" t="str">
        <f>IF(ISBLANK(Raw_Data!E1763),AVERAGE(Raw_Data!E$2:E$5002),Raw_Data!E1763)</f>
        <v>22527.85</v>
      </c>
      <c r="F1763" s="15" t="str">
        <f>IF(ISBLANK(Raw_Data!F1763),AVERAGE(Raw_Data!F$2:F$5002),Raw_Data!F1763)</f>
        <v>14379.26</v>
      </c>
      <c r="G1763" s="14" t="str">
        <f>IF(ISBLANK(Raw_Data!G1763),AVERAGE(Raw_Data!G$2:G$5002),Raw_Data!G1763)</f>
        <v>13195.25</v>
      </c>
      <c r="H1763" s="15" t="str">
        <f t="shared" si="1"/>
        <v>105187.00</v>
      </c>
      <c r="I1763" s="14" t="str">
        <f t="shared" si="2"/>
        <v>91992.00</v>
      </c>
      <c r="J1763" s="16" t="str">
        <f>TEXT(Raw_Data!J1763,"MMM-YYY")</f>
        <v>Nov-2025</v>
      </c>
      <c r="K1763" s="13" t="str">
        <f>Raw_Data!K1763</f>
        <v>7</v>
      </c>
      <c r="L1763" s="17" t="str">
        <f>Raw_Data!L1763</f>
        <v>Mumbai-HO</v>
      </c>
      <c r="M1763" s="13" t="str">
        <f t="shared" si="3"/>
        <v>OK</v>
      </c>
      <c r="N1763" s="18" t="str">
        <f t="shared" si="4"/>
        <v>VALID</v>
      </c>
    </row>
    <row r="1764" ht="15.75" customHeight="1">
      <c r="A1764" s="13" t="str">
        <f>Raw_Data!A1764</f>
        <v>EMP1851</v>
      </c>
      <c r="B1764" s="13" t="str">
        <f>TRIM(CLEAN(Raw_Data!B1764))</f>
        <v>Finance</v>
      </c>
      <c r="C1764" s="18" t="s">
        <v>26</v>
      </c>
      <c r="D1764" s="14" t="str">
        <f>IF(ISBLANK(Raw_Data!D1764),AVERAGE(Raw_Data!D$2:D$5002),Raw_Data!D1764)</f>
        <v>68290.49</v>
      </c>
      <c r="E1764" s="15" t="str">
        <f>IF(ISBLANK(Raw_Data!E1764),AVERAGE(Raw_Data!E$2:E$5002),Raw_Data!E1764)</f>
        <v>22532.47</v>
      </c>
      <c r="F1764" s="15" t="str">
        <f>IF(ISBLANK(Raw_Data!F1764),AVERAGE(Raw_Data!F$2:F$5002),Raw_Data!F1764)</f>
        <v>14386.94</v>
      </c>
      <c r="G1764" s="14" t="str">
        <f>IF(ISBLANK(Raw_Data!G1764),AVERAGE(Raw_Data!G$2:G$5002),Raw_Data!G1764)</f>
        <v>13198.65</v>
      </c>
      <c r="H1764" s="15" t="str">
        <f t="shared" si="1"/>
        <v>105210.00</v>
      </c>
      <c r="I1764" s="14" t="str">
        <f t="shared" si="2"/>
        <v>92011.00</v>
      </c>
      <c r="J1764" s="16" t="str">
        <f>TEXT(Raw_Data!J1764,"MMM-YYY")</f>
        <v>May-2025</v>
      </c>
      <c r="K1764" s="13" t="str">
        <f>Raw_Data!K1764</f>
        <v>25</v>
      </c>
      <c r="L1764" s="17" t="str">
        <f>Raw_Data!L1764</f>
        <v>Delhi-North</v>
      </c>
      <c r="M1764" s="13" t="str">
        <f t="shared" si="3"/>
        <v>OK</v>
      </c>
      <c r="N1764" s="18" t="str">
        <f t="shared" si="4"/>
        <v>VALID</v>
      </c>
    </row>
    <row r="1765" ht="15.75" customHeight="1">
      <c r="A1765" s="13" t="str">
        <f>Raw_Data!A1765</f>
        <v>EMP1852</v>
      </c>
      <c r="B1765" s="13" t="str">
        <f>TRIM(CLEAN(Raw_Data!B1765))</f>
        <v>Marketing</v>
      </c>
      <c r="C1765" s="18" t="s">
        <v>30</v>
      </c>
      <c r="D1765" s="14" t="str">
        <f>IF(ISBLANK(Raw_Data!D1765),AVERAGE(Raw_Data!D$2:D$5002),Raw_Data!D1765)</f>
        <v>68301.37</v>
      </c>
      <c r="E1765" s="15" t="str">
        <f>IF(ISBLANK(Raw_Data!E1765),AVERAGE(Raw_Data!E$2:E$5002),Raw_Data!E1765)</f>
        <v>22537.08</v>
      </c>
      <c r="F1765" s="15" t="str">
        <f>IF(ISBLANK(Raw_Data!F1765),AVERAGE(Raw_Data!F$2:F$5002),Raw_Data!F1765)</f>
        <v>14394.62</v>
      </c>
      <c r="G1765" s="14" t="str">
        <f>IF(ISBLANK(Raw_Data!G1765),AVERAGE(Raw_Data!G$2:G$5002),Raw_Data!G1765)</f>
        <v>13202.04</v>
      </c>
      <c r="H1765" s="15" t="str">
        <f t="shared" si="1"/>
        <v>105233.00</v>
      </c>
      <c r="I1765" s="14" t="str">
        <f t="shared" si="2"/>
        <v>92031.00</v>
      </c>
      <c r="J1765" s="16" t="str">
        <f>TEXT(Raw_Data!J1765,"MMM-YYY")</f>
        <v>Jul-2025</v>
      </c>
      <c r="K1765" s="13" t="str">
        <f>Raw_Data!K1765</f>
        <v>3</v>
      </c>
      <c r="L1765" s="17" t="str">
        <f>Raw_Data!L1765</f>
        <v>Bangalore-South</v>
      </c>
      <c r="M1765" s="13" t="str">
        <f t="shared" si="3"/>
        <v>OK</v>
      </c>
      <c r="N1765" s="18" t="str">
        <f t="shared" si="4"/>
        <v>VALID</v>
      </c>
    </row>
    <row r="1766" ht="15.75" customHeight="1">
      <c r="A1766" s="13" t="str">
        <f>Raw_Data!A1766</f>
        <v>EMP1853</v>
      </c>
      <c r="B1766" s="13" t="str">
        <f>TRIM(CLEAN(Raw_Data!B1766))</f>
        <v>IT</v>
      </c>
      <c r="C1766" s="18" t="s">
        <v>18</v>
      </c>
      <c r="D1766" s="14" t="str">
        <f>IF(ISBLANK(Raw_Data!D1766),AVERAGE(Raw_Data!D$2:D$5002),Raw_Data!D1766)</f>
        <v>68312.25</v>
      </c>
      <c r="E1766" s="15" t="str">
        <f>IF(ISBLANK(Raw_Data!E1766),AVERAGE(Raw_Data!E$2:E$5002),Raw_Data!E1766)</f>
        <v>22541.70</v>
      </c>
      <c r="F1766" s="15" t="str">
        <f>IF(ISBLANK(Raw_Data!F1766),AVERAGE(Raw_Data!F$2:F$5002),Raw_Data!F1766)</f>
        <v>14402.30</v>
      </c>
      <c r="G1766" s="14" t="str">
        <f>IF(ISBLANK(Raw_Data!G1766),AVERAGE(Raw_Data!G$2:G$5002),Raw_Data!G1766)</f>
        <v>13205.44</v>
      </c>
      <c r="H1766" s="15" t="str">
        <f t="shared" si="1"/>
        <v>105256.00</v>
      </c>
      <c r="I1766" s="14" t="str">
        <f t="shared" si="2"/>
        <v>92051.00</v>
      </c>
      <c r="J1766" s="16" t="str">
        <f>TEXT(Raw_Data!J1766,"MMM-YYY")</f>
        <v>Jan-2025</v>
      </c>
      <c r="K1766" s="13" t="str">
        <f>Raw_Data!K1766</f>
        <v>19</v>
      </c>
      <c r="L1766" s="17" t="str">
        <f>Raw_Data!L1766</f>
        <v>Chennai-South</v>
      </c>
      <c r="M1766" s="13" t="str">
        <f t="shared" si="3"/>
        <v>OK</v>
      </c>
      <c r="N1766" s="18" t="str">
        <f t="shared" si="4"/>
        <v>VALID</v>
      </c>
    </row>
    <row r="1767" ht="15.75" customHeight="1">
      <c r="A1767" s="13" t="str">
        <f>Raw_Data!A1767</f>
        <v>EMP1854</v>
      </c>
      <c r="B1767" s="13" t="str">
        <f>TRIM(CLEAN(Raw_Data!B1767))</f>
        <v>Operations</v>
      </c>
      <c r="C1767" s="18" t="s">
        <v>33</v>
      </c>
      <c r="D1767" s="14" t="str">
        <f>IF(ISBLANK(Raw_Data!D1767),AVERAGE(Raw_Data!D$2:D$5002),Raw_Data!D1767)</f>
        <v>68323.14</v>
      </c>
      <c r="E1767" s="15" t="str">
        <f>IF(ISBLANK(Raw_Data!E1767),AVERAGE(Raw_Data!E$2:E$5002),Raw_Data!E1767)</f>
        <v>22546.31</v>
      </c>
      <c r="F1767" s="15" t="str">
        <f>IF(ISBLANK(Raw_Data!F1767),AVERAGE(Raw_Data!F$2:F$5002),Raw_Data!F1767)</f>
        <v>14409.98</v>
      </c>
      <c r="G1767" s="14" t="str">
        <f>IF(ISBLANK(Raw_Data!G1767),AVERAGE(Raw_Data!G$2:G$5002),Raw_Data!G1767)</f>
        <v>13208.84</v>
      </c>
      <c r="H1767" s="15" t="str">
        <f t="shared" si="1"/>
        <v>105279.00</v>
      </c>
      <c r="I1767" s="14" t="str">
        <f t="shared" si="2"/>
        <v>92070.00</v>
      </c>
      <c r="J1767" s="16" t="str">
        <f>TEXT(Raw_Data!J1767,"MMM-YYY")</f>
        <v>Jul-2025</v>
      </c>
      <c r="K1767" s="13" t="str">
        <f>Raw_Data!K1767</f>
        <v>8</v>
      </c>
      <c r="L1767" s="17" t="str">
        <f>Raw_Data!L1767</f>
        <v>Kolkata-East</v>
      </c>
      <c r="M1767" s="13" t="str">
        <f t="shared" si="3"/>
        <v>OK</v>
      </c>
      <c r="N1767" s="18" t="str">
        <f t="shared" si="4"/>
        <v>VALID</v>
      </c>
    </row>
    <row r="1768" ht="15.75" customHeight="1">
      <c r="A1768" s="13" t="str">
        <f>Raw_Data!A1768</f>
        <v>EMP1855</v>
      </c>
      <c r="B1768" s="13" t="str">
        <f>TRIM(CLEAN(Raw_Data!B1768))</f>
        <v>Customer Support</v>
      </c>
      <c r="C1768" s="18" t="s">
        <v>18</v>
      </c>
      <c r="D1768" s="14" t="str">
        <f>IF(ISBLANK(Raw_Data!D1768),AVERAGE(Raw_Data!D$2:D$5002),Raw_Data!D1768)</f>
        <v>68334.02</v>
      </c>
      <c r="E1768" s="15" t="str">
        <f>IF(ISBLANK(Raw_Data!E1768),AVERAGE(Raw_Data!E$2:E$5002),Raw_Data!E1768)</f>
        <v>22550.93</v>
      </c>
      <c r="F1768" s="15" t="str">
        <f>IF(ISBLANK(Raw_Data!F1768),AVERAGE(Raw_Data!F$2:F$5002),Raw_Data!F1768)</f>
        <v>14417.66</v>
      </c>
      <c r="G1768" s="14" t="str">
        <f>IF(ISBLANK(Raw_Data!G1768),AVERAGE(Raw_Data!G$2:G$5002),Raw_Data!G1768)</f>
        <v>13212.24</v>
      </c>
      <c r="H1768" s="15" t="str">
        <f t="shared" si="1"/>
        <v>105303.00</v>
      </c>
      <c r="I1768" s="14" t="str">
        <f t="shared" si="2"/>
        <v>92091.00</v>
      </c>
      <c r="J1768" s="16" t="str">
        <f>TEXT(Raw_Data!J1768,"MMM-YYY")</f>
        <v>Feb-2025</v>
      </c>
      <c r="K1768" s="13" t="str">
        <f>Raw_Data!K1768</f>
        <v>14</v>
      </c>
      <c r="L1768" s="17" t="str">
        <f>Raw_Data!L1768</f>
        <v>Pune-West</v>
      </c>
      <c r="M1768" s="13" t="str">
        <f t="shared" si="3"/>
        <v>OK</v>
      </c>
      <c r="N1768" s="18" t="str">
        <f t="shared" si="4"/>
        <v>VALID</v>
      </c>
    </row>
    <row r="1769" ht="15.75" customHeight="1">
      <c r="A1769" s="13" t="str">
        <f>Raw_Data!A1769</f>
        <v>EMP1856</v>
      </c>
      <c r="B1769" s="13" t="str">
        <f>TRIM(CLEAN(Raw_Data!B1769))</f>
        <v>Finance</v>
      </c>
      <c r="C1769" s="18" t="s">
        <v>30</v>
      </c>
      <c r="D1769" s="14" t="str">
        <f>IF(ISBLANK(Raw_Data!D1769),AVERAGE(Raw_Data!D$2:D$5002),Raw_Data!D1769)</f>
        <v>68344.90</v>
      </c>
      <c r="E1769" s="15" t="str">
        <f>IF(ISBLANK(Raw_Data!E1769),AVERAGE(Raw_Data!E$2:E$5002),Raw_Data!E1769)</f>
        <v>22555.54</v>
      </c>
      <c r="F1769" s="15" t="str">
        <f>IF(ISBLANK(Raw_Data!F1769),AVERAGE(Raw_Data!F$2:F$5002),Raw_Data!F1769)</f>
        <v>14425.34</v>
      </c>
      <c r="G1769" s="14" t="str">
        <f>IF(ISBLANK(Raw_Data!G1769),AVERAGE(Raw_Data!G$2:G$5002),Raw_Data!G1769)</f>
        <v>13215.63</v>
      </c>
      <c r="H1769" s="15" t="str">
        <f t="shared" si="1"/>
        <v>105326.00</v>
      </c>
      <c r="I1769" s="14" t="str">
        <f t="shared" si="2"/>
        <v>92110.00</v>
      </c>
      <c r="J1769" s="16" t="str">
        <f>TEXT(Raw_Data!J1769,"MMM-YYY")</f>
        <v>Jun-2025</v>
      </c>
      <c r="K1769" s="13" t="str">
        <f>Raw_Data!K1769</f>
        <v>5</v>
      </c>
      <c r="L1769" s="17" t="str">
        <f>Raw_Data!L1769</f>
        <v>Hyderabad-South</v>
      </c>
      <c r="M1769" s="13" t="str">
        <f t="shared" si="3"/>
        <v>OK</v>
      </c>
      <c r="N1769" s="18" t="str">
        <f t="shared" si="4"/>
        <v>VALID</v>
      </c>
    </row>
    <row r="1770" ht="15.75" customHeight="1">
      <c r="A1770" s="13" t="str">
        <f>Raw_Data!A1770</f>
        <v>EMP1857</v>
      </c>
      <c r="B1770" s="13" t="str">
        <f>TRIM(CLEAN(Raw_Data!B1770))</f>
        <v>HR</v>
      </c>
      <c r="C1770" s="18" t="s">
        <v>37</v>
      </c>
      <c r="D1770" s="14" t="str">
        <f>IF(ISBLANK(Raw_Data!D1770),AVERAGE(Raw_Data!D$2:D$5002),Raw_Data!D1770)</f>
        <v>68355.78</v>
      </c>
      <c r="E1770" s="15" t="str">
        <f>IF(ISBLANK(Raw_Data!E1770),AVERAGE(Raw_Data!E$2:E$5002),Raw_Data!E1770)</f>
        <v>22560.16</v>
      </c>
      <c r="F1770" s="15" t="str">
        <f>IF(ISBLANK(Raw_Data!F1770),AVERAGE(Raw_Data!F$2:F$5002),Raw_Data!F1770)</f>
        <v>14433.02</v>
      </c>
      <c r="G1770" s="14" t="str">
        <f>IF(ISBLANK(Raw_Data!G1770),AVERAGE(Raw_Data!G$2:G$5002),Raw_Data!G1770)</f>
        <v>13219.03</v>
      </c>
      <c r="H1770" s="15" t="str">
        <f t="shared" si="1"/>
        <v>105349.00</v>
      </c>
      <c r="I1770" s="14" t="str">
        <f t="shared" si="2"/>
        <v>92130.00</v>
      </c>
      <c r="J1770" s="16" t="str">
        <f>TEXT(Raw_Data!J1770,"MMM-YYY")</f>
        <v>Jan-2025</v>
      </c>
      <c r="K1770" s="13" t="str">
        <f>Raw_Data!K1770</f>
        <v>1</v>
      </c>
      <c r="L1770" s="17" t="str">
        <f>Raw_Data!L1770</f>
        <v>Chandigarh-North</v>
      </c>
      <c r="M1770" s="13" t="str">
        <f t="shared" si="3"/>
        <v>OK</v>
      </c>
      <c r="N1770" s="18" t="str">
        <f t="shared" si="4"/>
        <v>VALID</v>
      </c>
    </row>
    <row r="1771" ht="15.75" customHeight="1">
      <c r="A1771" s="13" t="str">
        <f>Raw_Data!A1771</f>
        <v>EMP1858</v>
      </c>
      <c r="B1771" s="13" t="str">
        <f>TRIM(CLEAN(Raw_Data!B1771))</f>
        <v>Marketing</v>
      </c>
      <c r="C1771" s="18" t="s">
        <v>33</v>
      </c>
      <c r="D1771" s="14" t="str">
        <f>IF(ISBLANK(Raw_Data!D1771),AVERAGE(Raw_Data!D$2:D$5002),Raw_Data!D1771)</f>
        <v>68366.67</v>
      </c>
      <c r="E1771" s="15" t="str">
        <f>IF(ISBLANK(Raw_Data!E1771),AVERAGE(Raw_Data!E$2:E$5002),Raw_Data!E1771)</f>
        <v>22564.77</v>
      </c>
      <c r="F1771" s="15" t="str">
        <f>IF(ISBLANK(Raw_Data!F1771),AVERAGE(Raw_Data!F$2:F$5002),Raw_Data!F1771)</f>
        <v>14440.70</v>
      </c>
      <c r="G1771" s="14" t="str">
        <f>IF(ISBLANK(Raw_Data!G1771),AVERAGE(Raw_Data!G$2:G$5002),Raw_Data!G1771)</f>
        <v>13222.43</v>
      </c>
      <c r="H1771" s="15" t="str">
        <f t="shared" si="1"/>
        <v>105372.00</v>
      </c>
      <c r="I1771" s="14" t="str">
        <f t="shared" si="2"/>
        <v>92150.00</v>
      </c>
      <c r="J1771" s="16" t="str">
        <f>TEXT(Raw_Data!J1771,"MMM-YYY")</f>
        <v>Jul-2025</v>
      </c>
      <c r="K1771" s="13" t="str">
        <f>Raw_Data!K1771</f>
        <v>13</v>
      </c>
      <c r="L1771" s="17" t="str">
        <f>Raw_Data!L1771</f>
        <v>Ahmedabad-West</v>
      </c>
      <c r="M1771" s="13" t="str">
        <f t="shared" si="3"/>
        <v>OK</v>
      </c>
      <c r="N1771" s="18" t="str">
        <f t="shared" si="4"/>
        <v>VALID</v>
      </c>
    </row>
    <row r="1772" ht="15.75" customHeight="1">
      <c r="A1772" s="13" t="str">
        <f>Raw_Data!A1772</f>
        <v>EMP1859</v>
      </c>
      <c r="B1772" s="13" t="str">
        <f>TRIM(CLEAN(Raw_Data!B1772))</f>
        <v>Finance</v>
      </c>
      <c r="C1772" s="18" t="s">
        <v>33</v>
      </c>
      <c r="D1772" s="14" t="str">
        <f>IF(ISBLANK(Raw_Data!D1772),AVERAGE(Raw_Data!D$2:D$5002),Raw_Data!D1772)</f>
        <v>68377.55</v>
      </c>
      <c r="E1772" s="15" t="str">
        <f>IF(ISBLANK(Raw_Data!E1772),AVERAGE(Raw_Data!E$2:E$5002),Raw_Data!E1772)</f>
        <v>22569.39</v>
      </c>
      <c r="F1772" s="15" t="str">
        <f>IF(ISBLANK(Raw_Data!F1772),AVERAGE(Raw_Data!F$2:F$5002),Raw_Data!F1772)</f>
        <v>14448.38</v>
      </c>
      <c r="G1772" s="14" t="str">
        <f>IF(ISBLANK(Raw_Data!G1772),AVERAGE(Raw_Data!G$2:G$5002),Raw_Data!G1772)</f>
        <v>13225.83</v>
      </c>
      <c r="H1772" s="15" t="str">
        <f t="shared" si="1"/>
        <v>105395.00</v>
      </c>
      <c r="I1772" s="14" t="str">
        <f t="shared" si="2"/>
        <v>92169.00</v>
      </c>
      <c r="J1772" s="16" t="str">
        <f>TEXT(Raw_Data!J1772,"MMM-YYY")</f>
        <v>Dec-2025</v>
      </c>
      <c r="K1772" s="13" t="str">
        <f>Raw_Data!K1772</f>
        <v>9</v>
      </c>
      <c r="L1772" s="17" t="str">
        <f>Raw_Data!L1772</f>
        <v>Jaipur-North</v>
      </c>
      <c r="M1772" s="13" t="str">
        <f t="shared" si="3"/>
        <v>OK</v>
      </c>
      <c r="N1772" s="18" t="str">
        <f t="shared" si="4"/>
        <v>VALID</v>
      </c>
    </row>
    <row r="1773" ht="15.75" customHeight="1">
      <c r="A1773" s="13" t="str">
        <f>Raw_Data!A1773</f>
        <v>EMP1860</v>
      </c>
      <c r="B1773" s="13" t="str">
        <f>TRIM(CLEAN(Raw_Data!B1773))</f>
        <v>HR</v>
      </c>
      <c r="C1773" s="18" t="s">
        <v>54</v>
      </c>
      <c r="D1773" s="14" t="str">
        <f>IF(ISBLANK(Raw_Data!D1773),AVERAGE(Raw_Data!D$2:D$5002),Raw_Data!D1773)</f>
        <v>68388.43</v>
      </c>
      <c r="E1773" s="15" t="str">
        <f>IF(ISBLANK(Raw_Data!E1773),AVERAGE(Raw_Data!E$2:E$5002),Raw_Data!E1773)</f>
        <v>22574.00</v>
      </c>
      <c r="F1773" s="15" t="str">
        <f>IF(ISBLANK(Raw_Data!F1773),AVERAGE(Raw_Data!F$2:F$5002),Raw_Data!F1773)</f>
        <v>14456.06</v>
      </c>
      <c r="G1773" s="14" t="str">
        <f>IF(ISBLANK(Raw_Data!G1773),AVERAGE(Raw_Data!G$2:G$5002),Raw_Data!G1773)</f>
        <v>13229.22</v>
      </c>
      <c r="H1773" s="15" t="str">
        <f t="shared" si="1"/>
        <v>105418.00</v>
      </c>
      <c r="I1773" s="14" t="str">
        <f t="shared" si="2"/>
        <v>92189.00</v>
      </c>
      <c r="J1773" s="16" t="str">
        <f>TEXT(Raw_Data!J1773,"MMM-YYY")</f>
        <v>May-2025</v>
      </c>
      <c r="K1773" s="13" t="str">
        <f>Raw_Data!K1773</f>
        <v>1</v>
      </c>
      <c r="L1773" s="17" t="str">
        <f>Raw_Data!L1773</f>
        <v>Mumbai-HO</v>
      </c>
      <c r="M1773" s="13" t="str">
        <f t="shared" si="3"/>
        <v>OK</v>
      </c>
      <c r="N1773" s="18" t="str">
        <f t="shared" si="4"/>
        <v>VALID</v>
      </c>
    </row>
    <row r="1774" ht="15.75" customHeight="1">
      <c r="A1774" s="13" t="str">
        <f>Raw_Data!A1774</f>
        <v>EMP1861</v>
      </c>
      <c r="B1774" s="13" t="str">
        <f>TRIM(CLEAN(Raw_Data!B1774))</f>
        <v>Marketing</v>
      </c>
      <c r="C1774" s="18" t="s">
        <v>33</v>
      </c>
      <c r="D1774" s="14" t="str">
        <f>IF(ISBLANK(Raw_Data!D1774),AVERAGE(Raw_Data!D$2:D$5002),Raw_Data!D1774)</f>
        <v>68399.32</v>
      </c>
      <c r="E1774" s="15" t="str">
        <f>IF(ISBLANK(Raw_Data!E1774),AVERAGE(Raw_Data!E$2:E$5002),Raw_Data!E1774)</f>
        <v>22578.61</v>
      </c>
      <c r="F1774" s="15" t="str">
        <f>IF(ISBLANK(Raw_Data!F1774),AVERAGE(Raw_Data!F$2:F$5002),Raw_Data!F1774)</f>
        <v>14463.74</v>
      </c>
      <c r="G1774" s="14" t="str">
        <f>IF(ISBLANK(Raw_Data!G1774),AVERAGE(Raw_Data!G$2:G$5002),Raw_Data!G1774)</f>
        <v>13232.62</v>
      </c>
      <c r="H1774" s="15" t="str">
        <f t="shared" si="1"/>
        <v>105442.00</v>
      </c>
      <c r="I1774" s="14" t="str">
        <f t="shared" si="2"/>
        <v>92209.00</v>
      </c>
      <c r="J1774" s="16" t="str">
        <f>TEXT(Raw_Data!J1774,"MMM-YYY")</f>
        <v>Apr-2025</v>
      </c>
      <c r="K1774" s="13" t="str">
        <f>Raw_Data!K1774</f>
        <v>13</v>
      </c>
      <c r="L1774" s="17" t="str">
        <f>Raw_Data!L1774</f>
        <v>Delhi-North</v>
      </c>
      <c r="M1774" s="13" t="str">
        <f t="shared" si="3"/>
        <v>OK</v>
      </c>
      <c r="N1774" s="18" t="str">
        <f t="shared" si="4"/>
        <v>VALID</v>
      </c>
    </row>
    <row r="1775" ht="15.75" customHeight="1">
      <c r="A1775" s="13" t="str">
        <f>Raw_Data!A1775</f>
        <v>EMP1862</v>
      </c>
      <c r="B1775" s="13" t="str">
        <f>TRIM(CLEAN(Raw_Data!B1775))</f>
        <v>IT</v>
      </c>
      <c r="C1775" s="18" t="s">
        <v>33</v>
      </c>
      <c r="D1775" s="14" t="str">
        <f>IF(ISBLANK(Raw_Data!D1775),AVERAGE(Raw_Data!D$2:D$5002),Raw_Data!D1775)</f>
        <v>68410.20</v>
      </c>
      <c r="E1775" s="15" t="str">
        <f>IF(ISBLANK(Raw_Data!E1775),AVERAGE(Raw_Data!E$2:E$5002),Raw_Data!E1775)</f>
        <v>22583.23</v>
      </c>
      <c r="F1775" s="15" t="str">
        <f>IF(ISBLANK(Raw_Data!F1775),AVERAGE(Raw_Data!F$2:F$5002),Raw_Data!F1775)</f>
        <v>14471.42</v>
      </c>
      <c r="G1775" s="14" t="str">
        <f>IF(ISBLANK(Raw_Data!G1775),AVERAGE(Raw_Data!G$2:G$5002),Raw_Data!G1775)</f>
        <v>13236.02</v>
      </c>
      <c r="H1775" s="15" t="str">
        <f t="shared" si="1"/>
        <v>105465.00</v>
      </c>
      <c r="I1775" s="14" t="str">
        <f t="shared" si="2"/>
        <v>92229.00</v>
      </c>
      <c r="J1775" s="16" t="str">
        <f>TEXT(Raw_Data!J1775,"MMM-YYY")</f>
        <v>May-2025</v>
      </c>
      <c r="K1775" s="13" t="str">
        <f>Raw_Data!K1775</f>
        <v>5</v>
      </c>
      <c r="L1775" s="17" t="str">
        <f>Raw_Data!L1775</f>
        <v>Bangalore-South</v>
      </c>
      <c r="M1775" s="13" t="str">
        <f t="shared" si="3"/>
        <v>OK</v>
      </c>
      <c r="N1775" s="18" t="str">
        <f t="shared" si="4"/>
        <v>VALID</v>
      </c>
    </row>
    <row r="1776" ht="15.75" customHeight="1">
      <c r="A1776" s="13" t="str">
        <f>Raw_Data!A1776</f>
        <v>EMP1863</v>
      </c>
      <c r="B1776" s="13" t="str">
        <f>TRIM(CLEAN(Raw_Data!B1776))</f>
        <v>Finance</v>
      </c>
      <c r="C1776" s="18" t="s">
        <v>33</v>
      </c>
      <c r="D1776" s="14" t="str">
        <f>IF(ISBLANK(Raw_Data!D1776),AVERAGE(Raw_Data!D$2:D$5002),Raw_Data!D1776)</f>
        <v>68421.08</v>
      </c>
      <c r="E1776" s="15" t="str">
        <f>IF(ISBLANK(Raw_Data!E1776),AVERAGE(Raw_Data!E$2:E$5002),Raw_Data!E1776)</f>
        <v>22587.84</v>
      </c>
      <c r="F1776" s="15" t="str">
        <f>IF(ISBLANK(Raw_Data!F1776),AVERAGE(Raw_Data!F$2:F$5002),Raw_Data!F1776)</f>
        <v>14479.10</v>
      </c>
      <c r="G1776" s="14" t="str">
        <f>IF(ISBLANK(Raw_Data!G1776),AVERAGE(Raw_Data!G$2:G$5002),Raw_Data!G1776)</f>
        <v>13239.42</v>
      </c>
      <c r="H1776" s="15" t="str">
        <f t="shared" si="1"/>
        <v>105488.00</v>
      </c>
      <c r="I1776" s="14" t="str">
        <f t="shared" si="2"/>
        <v>92249.00</v>
      </c>
      <c r="J1776" s="16" t="str">
        <f>TEXT(Raw_Data!J1776,"MMM-YYY")</f>
        <v>Jul-2025</v>
      </c>
      <c r="K1776" s="13" t="str">
        <f>Raw_Data!K1776</f>
        <v>16</v>
      </c>
      <c r="L1776" s="17" t="str">
        <f>Raw_Data!L1776</f>
        <v>Chennai-South</v>
      </c>
      <c r="M1776" s="13" t="str">
        <f t="shared" si="3"/>
        <v>OK</v>
      </c>
      <c r="N1776" s="18" t="str">
        <f t="shared" si="4"/>
        <v>VALID</v>
      </c>
    </row>
    <row r="1777" ht="15.75" customHeight="1">
      <c r="A1777" s="13" t="str">
        <f>Raw_Data!A1777</f>
        <v>EMP1864</v>
      </c>
      <c r="B1777" s="13" t="str">
        <f>TRIM(CLEAN(Raw_Data!B1777))</f>
        <v>Sales</v>
      </c>
      <c r="C1777" s="18" t="s">
        <v>54</v>
      </c>
      <c r="D1777" s="14" t="str">
        <f>IF(ISBLANK(Raw_Data!D1777),AVERAGE(Raw_Data!D$2:D$5002),Raw_Data!D1777)</f>
        <v>68431.97</v>
      </c>
      <c r="E1777" s="15" t="str">
        <f>IF(ISBLANK(Raw_Data!E1777),AVERAGE(Raw_Data!E$2:E$5002),Raw_Data!E1777)</f>
        <v>22592.46</v>
      </c>
      <c r="F1777" s="15" t="str">
        <f>IF(ISBLANK(Raw_Data!F1777),AVERAGE(Raw_Data!F$2:F$5002),Raw_Data!F1777)</f>
        <v>14486.78</v>
      </c>
      <c r="G1777" s="14" t="str">
        <f>IF(ISBLANK(Raw_Data!G1777),AVERAGE(Raw_Data!G$2:G$5002),Raw_Data!G1777)</f>
        <v>13242.81</v>
      </c>
      <c r="H1777" s="15" t="str">
        <f t="shared" si="1"/>
        <v>105511.00</v>
      </c>
      <c r="I1777" s="14" t="str">
        <f t="shared" si="2"/>
        <v>92268.00</v>
      </c>
      <c r="J1777" s="16" t="str">
        <f>TEXT(Raw_Data!J1777,"MMM-YYY")</f>
        <v>Sep-2025</v>
      </c>
      <c r="K1777" s="13" t="str">
        <f>Raw_Data!K1777</f>
        <v>6</v>
      </c>
      <c r="L1777" s="17" t="str">
        <f>Raw_Data!L1777</f>
        <v>Kolkata-East</v>
      </c>
      <c r="M1777" s="13" t="str">
        <f t="shared" si="3"/>
        <v>OK</v>
      </c>
      <c r="N1777" s="18" t="str">
        <f t="shared" si="4"/>
        <v>VALID</v>
      </c>
    </row>
    <row r="1778" ht="15.75" customHeight="1">
      <c r="A1778" s="13" t="str">
        <f>Raw_Data!A1778</f>
        <v>EMP1865</v>
      </c>
      <c r="B1778" s="13" t="str">
        <f>TRIM(CLEAN(Raw_Data!B1778))</f>
        <v>Sales</v>
      </c>
      <c r="C1778" s="18" t="s">
        <v>54</v>
      </c>
      <c r="D1778" s="14" t="str">
        <f>IF(ISBLANK(Raw_Data!D1778),AVERAGE(Raw_Data!D$2:D$5002),Raw_Data!D1778)</f>
        <v>68442.85</v>
      </c>
      <c r="E1778" s="15" t="str">
        <f>IF(ISBLANK(Raw_Data!E1778),AVERAGE(Raw_Data!E$2:E$5002),Raw_Data!E1778)</f>
        <v>22597.07</v>
      </c>
      <c r="F1778" s="15" t="str">
        <f>IF(ISBLANK(Raw_Data!F1778),AVERAGE(Raw_Data!F$2:F$5002),Raw_Data!F1778)</f>
        <v>14494.46</v>
      </c>
      <c r="G1778" s="14" t="str">
        <f>IF(ISBLANK(Raw_Data!G1778),AVERAGE(Raw_Data!G$2:G$5002),Raw_Data!G1778)</f>
        <v>13246.21</v>
      </c>
      <c r="H1778" s="15" t="str">
        <f t="shared" si="1"/>
        <v>105534.00</v>
      </c>
      <c r="I1778" s="14" t="str">
        <f t="shared" si="2"/>
        <v>92288.00</v>
      </c>
      <c r="J1778" s="16" t="str">
        <f>TEXT(Raw_Data!J1778,"MMM-YYY")</f>
        <v>Sep-2025</v>
      </c>
      <c r="K1778" s="13" t="str">
        <f>Raw_Data!K1778</f>
        <v>24</v>
      </c>
      <c r="L1778" s="17" t="str">
        <f>Raw_Data!L1778</f>
        <v>Pune-West</v>
      </c>
      <c r="M1778" s="13" t="str">
        <f t="shared" si="3"/>
        <v>OK</v>
      </c>
      <c r="N1778" s="18" t="str">
        <f t="shared" si="4"/>
        <v>VALID</v>
      </c>
    </row>
    <row r="1779" ht="15.75" customHeight="1">
      <c r="A1779" s="13" t="str">
        <f>Raw_Data!A1779</f>
        <v>EMP1866</v>
      </c>
      <c r="B1779" s="13" t="str">
        <f>TRIM(CLEAN(Raw_Data!B1779))</f>
        <v>Customer Support</v>
      </c>
      <c r="C1779" s="18" t="s">
        <v>30</v>
      </c>
      <c r="D1779" s="14" t="str">
        <f>IF(ISBLANK(Raw_Data!D1779),AVERAGE(Raw_Data!D$2:D$5002),Raw_Data!D1779)</f>
        <v>68453.73</v>
      </c>
      <c r="E1779" s="15" t="str">
        <f>IF(ISBLANK(Raw_Data!E1779),AVERAGE(Raw_Data!E$2:E$5002),Raw_Data!E1779)</f>
        <v>22601.69</v>
      </c>
      <c r="F1779" s="15" t="str">
        <f>IF(ISBLANK(Raw_Data!F1779),AVERAGE(Raw_Data!F$2:F$5002),Raw_Data!F1779)</f>
        <v>14502.14</v>
      </c>
      <c r="G1779" s="14" t="str">
        <f>IF(ISBLANK(Raw_Data!G1779),AVERAGE(Raw_Data!G$2:G$5002),Raw_Data!G1779)</f>
        <v>13249.61</v>
      </c>
      <c r="H1779" s="15" t="str">
        <f t="shared" si="1"/>
        <v>105558.00</v>
      </c>
      <c r="I1779" s="14" t="str">
        <f t="shared" si="2"/>
        <v>92308.00</v>
      </c>
      <c r="J1779" s="16" t="str">
        <f>TEXT(Raw_Data!J1779,"MMM-YYY")</f>
        <v>Jan-2025</v>
      </c>
      <c r="K1779" s="13" t="str">
        <f>Raw_Data!K1779</f>
        <v>1</v>
      </c>
      <c r="L1779" s="17" t="str">
        <f>Raw_Data!L1779</f>
        <v>Hyderabad-South</v>
      </c>
      <c r="M1779" s="13" t="str">
        <f t="shared" si="3"/>
        <v>OK</v>
      </c>
      <c r="N1779" s="18" t="str">
        <f t="shared" si="4"/>
        <v>VALID</v>
      </c>
    </row>
    <row r="1780" ht="15.75" customHeight="1">
      <c r="A1780" s="13" t="str">
        <f>Raw_Data!A1780</f>
        <v>EMP1867</v>
      </c>
      <c r="B1780" s="13" t="str">
        <f>TRIM(CLEAN(Raw_Data!B1780))</f>
        <v>Operations</v>
      </c>
      <c r="C1780" s="18" t="s">
        <v>14</v>
      </c>
      <c r="D1780" s="14" t="str">
        <f>IF(ISBLANK(Raw_Data!D1780),AVERAGE(Raw_Data!D$2:D$5002),Raw_Data!D1780)</f>
        <v>68464.61</v>
      </c>
      <c r="E1780" s="15" t="str">
        <f>IF(ISBLANK(Raw_Data!E1780),AVERAGE(Raw_Data!E$2:E$5002),Raw_Data!E1780)</f>
        <v>22606.30</v>
      </c>
      <c r="F1780" s="15" t="str">
        <f>IF(ISBLANK(Raw_Data!F1780),AVERAGE(Raw_Data!F$2:F$5002),Raw_Data!F1780)</f>
        <v>14509.82</v>
      </c>
      <c r="G1780" s="14" t="str">
        <f>IF(ISBLANK(Raw_Data!G1780),AVERAGE(Raw_Data!G$2:G$5002),Raw_Data!G1780)</f>
        <v>13253.01</v>
      </c>
      <c r="H1780" s="15" t="str">
        <f t="shared" si="1"/>
        <v>105581.00</v>
      </c>
      <c r="I1780" s="14" t="str">
        <f t="shared" si="2"/>
        <v>92328.00</v>
      </c>
      <c r="J1780" s="16" t="str">
        <f>TEXT(Raw_Data!J1780,"MMM-YYY")</f>
        <v>May-2025</v>
      </c>
      <c r="K1780" s="13" t="str">
        <f>Raw_Data!K1780</f>
        <v>18</v>
      </c>
      <c r="L1780" s="17" t="str">
        <f>Raw_Data!L1780</f>
        <v>Chandigarh-North</v>
      </c>
      <c r="M1780" s="13" t="str">
        <f t="shared" si="3"/>
        <v>OK</v>
      </c>
      <c r="N1780" s="18" t="str">
        <f t="shared" si="4"/>
        <v>VALID</v>
      </c>
    </row>
    <row r="1781" ht="15.75" customHeight="1">
      <c r="A1781" s="13" t="str">
        <f>Raw_Data!A1781</f>
        <v>EMP1868</v>
      </c>
      <c r="B1781" s="13" t="str">
        <f>TRIM(CLEAN(Raw_Data!B1781))</f>
        <v>Finance</v>
      </c>
      <c r="C1781" s="18" t="s">
        <v>14</v>
      </c>
      <c r="D1781" s="14" t="str">
        <f>IF(ISBLANK(Raw_Data!D1781),AVERAGE(Raw_Data!D$2:D$5002),Raw_Data!D1781)</f>
        <v>68475.50</v>
      </c>
      <c r="E1781" s="15" t="str">
        <f>IF(ISBLANK(Raw_Data!E1781),AVERAGE(Raw_Data!E$2:E$5002),Raw_Data!E1781)</f>
        <v>22610.92</v>
      </c>
      <c r="F1781" s="15" t="str">
        <f>IF(ISBLANK(Raw_Data!F1781),AVERAGE(Raw_Data!F$2:F$5002),Raw_Data!F1781)</f>
        <v>14517.50</v>
      </c>
      <c r="G1781" s="14" t="str">
        <f>IF(ISBLANK(Raw_Data!G1781),AVERAGE(Raw_Data!G$2:G$5002),Raw_Data!G1781)</f>
        <v>13256.40</v>
      </c>
      <c r="H1781" s="15" t="str">
        <f t="shared" si="1"/>
        <v>105604.00</v>
      </c>
      <c r="I1781" s="14" t="str">
        <f t="shared" si="2"/>
        <v>92348.00</v>
      </c>
      <c r="J1781" s="16" t="str">
        <f>TEXT(Raw_Data!J1781,"MMM-YYY")</f>
        <v>Nov-2025</v>
      </c>
      <c r="K1781" s="13" t="str">
        <f>Raw_Data!K1781</f>
        <v>21</v>
      </c>
      <c r="L1781" s="17" t="str">
        <f>Raw_Data!L1781</f>
        <v>Ahmedabad-West</v>
      </c>
      <c r="M1781" s="13" t="str">
        <f t="shared" si="3"/>
        <v>OK</v>
      </c>
      <c r="N1781" s="18" t="str">
        <f t="shared" si="4"/>
        <v>VALID</v>
      </c>
    </row>
    <row r="1782" ht="15.75" customHeight="1">
      <c r="A1782" s="13" t="str">
        <f>Raw_Data!A1782</f>
        <v>EMP1869</v>
      </c>
      <c r="B1782" s="13" t="str">
        <f>TRIM(CLEAN(Raw_Data!B1782))</f>
        <v>IT</v>
      </c>
      <c r="C1782" s="18" t="s">
        <v>26</v>
      </c>
      <c r="D1782" s="14" t="str">
        <f>IF(ISBLANK(Raw_Data!D1782),AVERAGE(Raw_Data!D$2:D$5002),Raw_Data!D1782)</f>
        <v>68486.38</v>
      </c>
      <c r="E1782" s="15" t="str">
        <f>IF(ISBLANK(Raw_Data!E1782),AVERAGE(Raw_Data!E$2:E$5002),Raw_Data!E1782)</f>
        <v>22615.53</v>
      </c>
      <c r="F1782" s="15" t="str">
        <f>IF(ISBLANK(Raw_Data!F1782),AVERAGE(Raw_Data!F$2:F$5002),Raw_Data!F1782)</f>
        <v>14525.18</v>
      </c>
      <c r="G1782" s="14" t="str">
        <f>IF(ISBLANK(Raw_Data!G1782),AVERAGE(Raw_Data!G$2:G$5002),Raw_Data!G1782)</f>
        <v>13259.80</v>
      </c>
      <c r="H1782" s="15" t="str">
        <f t="shared" si="1"/>
        <v>105627.00</v>
      </c>
      <c r="I1782" s="14" t="str">
        <f t="shared" si="2"/>
        <v>92367.00</v>
      </c>
      <c r="J1782" s="16" t="str">
        <f>TEXT(Raw_Data!J1782,"MMM-YYY")</f>
        <v>Aug-2025</v>
      </c>
      <c r="K1782" s="13" t="str">
        <f>Raw_Data!K1782</f>
        <v>4</v>
      </c>
      <c r="L1782" s="17" t="str">
        <f>Raw_Data!L1782</f>
        <v>Jaipur-North</v>
      </c>
      <c r="M1782" s="13" t="str">
        <f t="shared" si="3"/>
        <v>OK</v>
      </c>
      <c r="N1782" s="18" t="str">
        <f t="shared" si="4"/>
        <v>VALID</v>
      </c>
    </row>
    <row r="1783" ht="15.75" customHeight="1">
      <c r="A1783" s="13" t="str">
        <f>Raw_Data!A1783</f>
        <v>EMP1870</v>
      </c>
      <c r="B1783" s="13" t="str">
        <f>TRIM(CLEAN(Raw_Data!B1783))</f>
        <v>HR</v>
      </c>
      <c r="C1783" s="18" t="s">
        <v>30</v>
      </c>
      <c r="D1783" s="14" t="str">
        <f>IF(ISBLANK(Raw_Data!D1783),AVERAGE(Raw_Data!D$2:D$5002),Raw_Data!D1783)</f>
        <v>68497.26</v>
      </c>
      <c r="E1783" s="15" t="str">
        <f>IF(ISBLANK(Raw_Data!E1783),AVERAGE(Raw_Data!E$2:E$5002),Raw_Data!E1783)</f>
        <v>22620.15</v>
      </c>
      <c r="F1783" s="15" t="str">
        <f>IF(ISBLANK(Raw_Data!F1783),AVERAGE(Raw_Data!F$2:F$5002),Raw_Data!F1783)</f>
        <v>14532.86</v>
      </c>
      <c r="G1783" s="14" t="str">
        <f>IF(ISBLANK(Raw_Data!G1783),AVERAGE(Raw_Data!G$2:G$5002),Raw_Data!G1783)</f>
        <v>13263.20</v>
      </c>
      <c r="H1783" s="15" t="str">
        <f t="shared" si="1"/>
        <v>105650.00</v>
      </c>
      <c r="I1783" s="14" t="str">
        <f t="shared" si="2"/>
        <v>92387.00</v>
      </c>
      <c r="J1783" s="16" t="str">
        <f>TEXT(Raw_Data!J1783,"MMM-YYY")</f>
        <v>Dec-2025</v>
      </c>
      <c r="K1783" s="13" t="str">
        <f>Raw_Data!K1783</f>
        <v>14</v>
      </c>
      <c r="L1783" s="17" t="str">
        <f>Raw_Data!L1783</f>
        <v>Mumbai-HO</v>
      </c>
      <c r="M1783" s="13" t="str">
        <f t="shared" si="3"/>
        <v>OK</v>
      </c>
      <c r="N1783" s="18" t="str">
        <f t="shared" si="4"/>
        <v>VALID</v>
      </c>
    </row>
    <row r="1784" ht="15.75" customHeight="1">
      <c r="A1784" s="13" t="str">
        <f>Raw_Data!A1784</f>
        <v>EMP1871</v>
      </c>
      <c r="B1784" s="13" t="str">
        <f>TRIM(CLEAN(Raw_Data!B1784))</f>
        <v>Operations</v>
      </c>
      <c r="C1784" s="18" t="s">
        <v>37</v>
      </c>
      <c r="D1784" s="14" t="str">
        <f>IF(ISBLANK(Raw_Data!D1784),AVERAGE(Raw_Data!D$2:D$5002),Raw_Data!D1784)</f>
        <v>68508.15</v>
      </c>
      <c r="E1784" s="15" t="str">
        <f>IF(ISBLANK(Raw_Data!E1784),AVERAGE(Raw_Data!E$2:E$5002),Raw_Data!E1784)</f>
        <v>22624.76</v>
      </c>
      <c r="F1784" s="15" t="str">
        <f>IF(ISBLANK(Raw_Data!F1784),AVERAGE(Raw_Data!F$2:F$5002),Raw_Data!F1784)</f>
        <v>14540.54</v>
      </c>
      <c r="G1784" s="14" t="str">
        <f>IF(ISBLANK(Raw_Data!G1784),AVERAGE(Raw_Data!G$2:G$5002),Raw_Data!G1784)</f>
        <v>13266.60</v>
      </c>
      <c r="H1784" s="15" t="str">
        <f t="shared" si="1"/>
        <v>105673.00</v>
      </c>
      <c r="I1784" s="14" t="str">
        <f t="shared" si="2"/>
        <v>92406.00</v>
      </c>
      <c r="J1784" s="16" t="str">
        <f>TEXT(Raw_Data!J1784,"MMM-YYY")</f>
        <v>Oct-2025</v>
      </c>
      <c r="K1784" s="13" t="str">
        <f>Raw_Data!K1784</f>
        <v>4</v>
      </c>
      <c r="L1784" s="17" t="str">
        <f>Raw_Data!L1784</f>
        <v>Delhi-North</v>
      </c>
      <c r="M1784" s="13" t="str">
        <f t="shared" si="3"/>
        <v>OK</v>
      </c>
      <c r="N1784" s="18" t="str">
        <f t="shared" si="4"/>
        <v>VALID</v>
      </c>
    </row>
    <row r="1785" ht="15.75" customHeight="1">
      <c r="A1785" s="13" t="str">
        <f>Raw_Data!A1785</f>
        <v>EMP1872</v>
      </c>
      <c r="B1785" s="13" t="str">
        <f>TRIM(CLEAN(Raw_Data!B1785))</f>
        <v>Customer Support</v>
      </c>
      <c r="C1785" s="18" t="s">
        <v>18</v>
      </c>
      <c r="D1785" s="14" t="str">
        <f>IF(ISBLANK(Raw_Data!D1785),AVERAGE(Raw_Data!D$2:D$5002),Raw_Data!D1785)</f>
        <v>68519.03</v>
      </c>
      <c r="E1785" s="15" t="str">
        <f>IF(ISBLANK(Raw_Data!E1785),AVERAGE(Raw_Data!E$2:E$5002),Raw_Data!E1785)</f>
        <v>22629.38</v>
      </c>
      <c r="F1785" s="15" t="str">
        <f>IF(ISBLANK(Raw_Data!F1785),AVERAGE(Raw_Data!F$2:F$5002),Raw_Data!F1785)</f>
        <v>14548.22</v>
      </c>
      <c r="G1785" s="14" t="str">
        <f>IF(ISBLANK(Raw_Data!G1785),AVERAGE(Raw_Data!G$2:G$5002),Raw_Data!G1785)</f>
        <v>13269.99</v>
      </c>
      <c r="H1785" s="15" t="str">
        <f t="shared" si="1"/>
        <v>105697.00</v>
      </c>
      <c r="I1785" s="14" t="str">
        <f t="shared" si="2"/>
        <v>92427.00</v>
      </c>
      <c r="J1785" s="16" t="str">
        <f>TEXT(Raw_Data!J1785,"MMM-YYY")</f>
        <v>May-2025</v>
      </c>
      <c r="K1785" s="13" t="str">
        <f>Raw_Data!K1785</f>
        <v>5</v>
      </c>
      <c r="L1785" s="17" t="str">
        <f>Raw_Data!L1785</f>
        <v>Bangalore-South</v>
      </c>
      <c r="M1785" s="13" t="str">
        <f t="shared" si="3"/>
        <v>OK</v>
      </c>
      <c r="N1785" s="18" t="str">
        <f t="shared" si="4"/>
        <v>VALID</v>
      </c>
    </row>
    <row r="1786" ht="15.75" customHeight="1">
      <c r="A1786" s="13" t="str">
        <f>Raw_Data!A1786</f>
        <v>EMP1873</v>
      </c>
      <c r="B1786" s="13" t="str">
        <f>TRIM(CLEAN(Raw_Data!B1786))</f>
        <v>Customer Support</v>
      </c>
      <c r="C1786" s="18" t="s">
        <v>30</v>
      </c>
      <c r="D1786" s="14" t="str">
        <f>IF(ISBLANK(Raw_Data!D1786),AVERAGE(Raw_Data!D$2:D$5002),Raw_Data!D1786)</f>
        <v>68529.91</v>
      </c>
      <c r="E1786" s="15" t="str">
        <f>IF(ISBLANK(Raw_Data!E1786),AVERAGE(Raw_Data!E$2:E$5002),Raw_Data!E1786)</f>
        <v>22633.99</v>
      </c>
      <c r="F1786" s="15" t="str">
        <f>IF(ISBLANK(Raw_Data!F1786),AVERAGE(Raw_Data!F$2:F$5002),Raw_Data!F1786)</f>
        <v>14555.90</v>
      </c>
      <c r="G1786" s="14" t="str">
        <f>IF(ISBLANK(Raw_Data!G1786),AVERAGE(Raw_Data!G$2:G$5002),Raw_Data!G1786)</f>
        <v>13273.39</v>
      </c>
      <c r="H1786" s="15" t="str">
        <f t="shared" si="1"/>
        <v>105720.00</v>
      </c>
      <c r="I1786" s="14" t="str">
        <f t="shared" si="2"/>
        <v>92447.00</v>
      </c>
      <c r="J1786" s="16" t="str">
        <f>TEXT(Raw_Data!J1786,"MMM-YYY")</f>
        <v>Nov-2025</v>
      </c>
      <c r="K1786" s="13" t="str">
        <f>Raw_Data!K1786</f>
        <v>9</v>
      </c>
      <c r="L1786" s="17" t="str">
        <f>Raw_Data!L1786</f>
        <v>Chennai-South</v>
      </c>
      <c r="M1786" s="13" t="str">
        <f t="shared" si="3"/>
        <v>OK</v>
      </c>
      <c r="N1786" s="18" t="str">
        <f t="shared" si="4"/>
        <v>VALID</v>
      </c>
    </row>
    <row r="1787" ht="15.75" customHeight="1">
      <c r="A1787" s="13" t="str">
        <f>Raw_Data!A1787</f>
        <v>EMP1874</v>
      </c>
      <c r="B1787" s="13" t="str">
        <f>TRIM(CLEAN(Raw_Data!B1787))</f>
        <v>Sales</v>
      </c>
      <c r="C1787" s="18" t="s">
        <v>54</v>
      </c>
      <c r="D1787" s="14" t="str">
        <f>IF(ISBLANK(Raw_Data!D1787),AVERAGE(Raw_Data!D$2:D$5002),Raw_Data!D1787)</f>
        <v>68540.79</v>
      </c>
      <c r="E1787" s="15" t="str">
        <f>IF(ISBLANK(Raw_Data!E1787),AVERAGE(Raw_Data!E$2:E$5002),Raw_Data!E1787)</f>
        <v>22638.61</v>
      </c>
      <c r="F1787" s="15" t="str">
        <f>IF(ISBLANK(Raw_Data!F1787),AVERAGE(Raw_Data!F$2:F$5002),Raw_Data!F1787)</f>
        <v>14563.58</v>
      </c>
      <c r="G1787" s="14" t="str">
        <f>IF(ISBLANK(Raw_Data!G1787),AVERAGE(Raw_Data!G$2:G$5002),Raw_Data!G1787)</f>
        <v>13276.79</v>
      </c>
      <c r="H1787" s="15" t="str">
        <f t="shared" si="1"/>
        <v>105743.00</v>
      </c>
      <c r="I1787" s="14" t="str">
        <f t="shared" si="2"/>
        <v>92466.00</v>
      </c>
      <c r="J1787" s="16" t="str">
        <f>TEXT(Raw_Data!J1787,"MMM-YYY")</f>
        <v>Jan-2025</v>
      </c>
      <c r="K1787" s="13" t="str">
        <f>Raw_Data!K1787</f>
        <v>21</v>
      </c>
      <c r="L1787" s="17" t="str">
        <f>Raw_Data!L1787</f>
        <v>Kolkata-East</v>
      </c>
      <c r="M1787" s="13" t="str">
        <f t="shared" si="3"/>
        <v>OK</v>
      </c>
      <c r="N1787" s="18" t="str">
        <f t="shared" si="4"/>
        <v>VALID</v>
      </c>
    </row>
    <row r="1788" ht="15.75" customHeight="1">
      <c r="A1788" s="13" t="str">
        <f>Raw_Data!A1788</f>
        <v>EMP1876</v>
      </c>
      <c r="B1788" s="13" t="str">
        <f>TRIM(CLEAN(Raw_Data!B1788))</f>
        <v>Finance</v>
      </c>
      <c r="C1788" s="18" t="s">
        <v>33</v>
      </c>
      <c r="D1788" s="14" t="str">
        <f>IF(ISBLANK(Raw_Data!D1788),AVERAGE(Raw_Data!D$2:D$5002),Raw_Data!D1788)</f>
        <v>68562.56</v>
      </c>
      <c r="E1788" s="15" t="str">
        <f>IF(ISBLANK(Raw_Data!E1788),AVERAGE(Raw_Data!E$2:E$5002),Raw_Data!E1788)</f>
        <v>22647.84</v>
      </c>
      <c r="F1788" s="15" t="str">
        <f>IF(ISBLANK(Raw_Data!F1788),AVERAGE(Raw_Data!F$2:F$5002),Raw_Data!F1788)</f>
        <v>14578.94</v>
      </c>
      <c r="G1788" s="14" t="str">
        <f>IF(ISBLANK(Raw_Data!G1788),AVERAGE(Raw_Data!G$2:G$5002),Raw_Data!G1788)</f>
        <v>13283.58</v>
      </c>
      <c r="H1788" s="15" t="str">
        <f t="shared" si="1"/>
        <v>105789.00</v>
      </c>
      <c r="I1788" s="14" t="str">
        <f t="shared" si="2"/>
        <v>92505.00</v>
      </c>
      <c r="J1788" s="16" t="str">
        <f>TEXT(Raw_Data!J1788,"MMM-YYY")</f>
        <v>May-2025</v>
      </c>
      <c r="K1788" s="13" t="str">
        <f>Raw_Data!K1788</f>
        <v>9</v>
      </c>
      <c r="L1788" s="17" t="str">
        <f>Raw_Data!L1788</f>
        <v>Hyderabad-South</v>
      </c>
      <c r="M1788" s="13" t="str">
        <f t="shared" si="3"/>
        <v>OK</v>
      </c>
      <c r="N1788" s="18" t="str">
        <f t="shared" si="4"/>
        <v>VALID</v>
      </c>
    </row>
    <row r="1789" ht="15.75" customHeight="1">
      <c r="A1789" s="13" t="str">
        <f>Raw_Data!A1789</f>
        <v>EMP1877</v>
      </c>
      <c r="B1789" s="13" t="str">
        <f>TRIM(CLEAN(Raw_Data!B1789))</f>
        <v>Sales</v>
      </c>
      <c r="C1789" s="18" t="s">
        <v>33</v>
      </c>
      <c r="D1789" s="14" t="str">
        <f>IF(ISBLANK(Raw_Data!D1789),AVERAGE(Raw_Data!D$2:D$5002),Raw_Data!D1789)</f>
        <v>68573.44</v>
      </c>
      <c r="E1789" s="15" t="str">
        <f>IF(ISBLANK(Raw_Data!E1789),AVERAGE(Raw_Data!E$2:E$5002),Raw_Data!E1789)</f>
        <v>22652.45</v>
      </c>
      <c r="F1789" s="15" t="str">
        <f>IF(ISBLANK(Raw_Data!F1789),AVERAGE(Raw_Data!F$2:F$5002),Raw_Data!F1789)</f>
        <v>14586.62</v>
      </c>
      <c r="G1789" s="14" t="str">
        <f>IF(ISBLANK(Raw_Data!G1789),AVERAGE(Raw_Data!G$2:G$5002),Raw_Data!G1789)</f>
        <v>13286.98</v>
      </c>
      <c r="H1789" s="15" t="str">
        <f t="shared" si="1"/>
        <v>105813.00</v>
      </c>
      <c r="I1789" s="14" t="str">
        <f t="shared" si="2"/>
        <v>92526.00</v>
      </c>
      <c r="J1789" s="16" t="str">
        <f>TEXT(Raw_Data!J1789,"MMM-YYY")</f>
        <v>Oct-2025</v>
      </c>
      <c r="K1789" s="13" t="str">
        <f>Raw_Data!K1789</f>
        <v>20</v>
      </c>
      <c r="L1789" s="17" t="str">
        <f>Raw_Data!L1789</f>
        <v>Chandigarh-North</v>
      </c>
      <c r="M1789" s="13" t="str">
        <f t="shared" si="3"/>
        <v>OK</v>
      </c>
      <c r="N1789" s="18" t="str">
        <f t="shared" si="4"/>
        <v>VALID</v>
      </c>
    </row>
    <row r="1790" ht="15.75" customHeight="1">
      <c r="A1790" s="13" t="str">
        <f>Raw_Data!A1790</f>
        <v>EMP1878</v>
      </c>
      <c r="B1790" s="13" t="str">
        <f>TRIM(CLEAN(Raw_Data!B1790))</f>
        <v>Finance</v>
      </c>
      <c r="C1790" s="18" t="s">
        <v>54</v>
      </c>
      <c r="D1790" s="14" t="str">
        <f>IF(ISBLANK(Raw_Data!D1790),AVERAGE(Raw_Data!D$2:D$5002),Raw_Data!D1790)</f>
        <v>68584.33</v>
      </c>
      <c r="E1790" s="15" t="str">
        <f>IF(ISBLANK(Raw_Data!E1790),AVERAGE(Raw_Data!E$2:E$5002),Raw_Data!E1790)</f>
        <v>22657.07</v>
      </c>
      <c r="F1790" s="15" t="str">
        <f>IF(ISBLANK(Raw_Data!F1790),AVERAGE(Raw_Data!F$2:F$5002),Raw_Data!F1790)</f>
        <v>14594.30</v>
      </c>
      <c r="G1790" s="14" t="str">
        <f>IF(ISBLANK(Raw_Data!G1790),AVERAGE(Raw_Data!G$2:G$5002),Raw_Data!G1790)</f>
        <v>13290.38</v>
      </c>
      <c r="H1790" s="15" t="str">
        <f t="shared" si="1"/>
        <v>105836.00</v>
      </c>
      <c r="I1790" s="14" t="str">
        <f t="shared" si="2"/>
        <v>92546.00</v>
      </c>
      <c r="J1790" s="16" t="str">
        <f>TEXT(Raw_Data!J1790,"MMM-YYY")</f>
        <v>Jun-2025</v>
      </c>
      <c r="K1790" s="13" t="str">
        <f>Raw_Data!K1790</f>
        <v>11</v>
      </c>
      <c r="L1790" s="17" t="str">
        <f>Raw_Data!L1790</f>
        <v>Ahmedabad-West</v>
      </c>
      <c r="M1790" s="13" t="str">
        <f t="shared" si="3"/>
        <v>OK</v>
      </c>
      <c r="N1790" s="18" t="str">
        <f t="shared" si="4"/>
        <v>VALID</v>
      </c>
    </row>
    <row r="1791" ht="15.75" customHeight="1">
      <c r="A1791" s="13" t="str">
        <f>Raw_Data!A1791</f>
        <v>EMP1879</v>
      </c>
      <c r="B1791" s="13" t="str">
        <f>TRIM(CLEAN(Raw_Data!B1791))</f>
        <v>HR</v>
      </c>
      <c r="C1791" s="18" t="s">
        <v>14</v>
      </c>
      <c r="D1791" s="14" t="str">
        <f>IF(ISBLANK(Raw_Data!D1791),AVERAGE(Raw_Data!D$2:D$5002),Raw_Data!D1791)</f>
        <v>68595.21</v>
      </c>
      <c r="E1791" s="15" t="str">
        <f>IF(ISBLANK(Raw_Data!E1791),AVERAGE(Raw_Data!E$2:E$5002),Raw_Data!E1791)</f>
        <v>22661.68</v>
      </c>
      <c r="F1791" s="15" t="str">
        <f>IF(ISBLANK(Raw_Data!F1791),AVERAGE(Raw_Data!F$2:F$5002),Raw_Data!F1791)</f>
        <v>14601.98</v>
      </c>
      <c r="G1791" s="14" t="str">
        <f>IF(ISBLANK(Raw_Data!G1791),AVERAGE(Raw_Data!G$2:G$5002),Raw_Data!G1791)</f>
        <v>13293.78</v>
      </c>
      <c r="H1791" s="15" t="str">
        <f t="shared" si="1"/>
        <v>105859.00</v>
      </c>
      <c r="I1791" s="14" t="str">
        <f t="shared" si="2"/>
        <v>92565.00</v>
      </c>
      <c r="J1791" s="16" t="str">
        <f>TEXT(Raw_Data!J1791,"MMM-YYY")</f>
        <v>Aug-2025</v>
      </c>
      <c r="K1791" s="13" t="str">
        <f>Raw_Data!K1791</f>
        <v>20</v>
      </c>
      <c r="L1791" s="17" t="str">
        <f>Raw_Data!L1791</f>
        <v>Jaipur-North</v>
      </c>
      <c r="M1791" s="13" t="str">
        <f t="shared" si="3"/>
        <v>OK</v>
      </c>
      <c r="N1791" s="18" t="str">
        <f t="shared" si="4"/>
        <v>VALID</v>
      </c>
    </row>
    <row r="1792" ht="15.75" customHeight="1">
      <c r="A1792" s="13" t="str">
        <f>Raw_Data!A1792</f>
        <v>EMP1881</v>
      </c>
      <c r="B1792" s="13" t="str">
        <f>TRIM(CLEAN(Raw_Data!B1792))</f>
        <v>HR</v>
      </c>
      <c r="C1792" s="18" t="s">
        <v>33</v>
      </c>
      <c r="D1792" s="14" t="str">
        <f>IF(ISBLANK(Raw_Data!D1792),AVERAGE(Raw_Data!D$2:D$5002),Raw_Data!D1792)</f>
        <v>68616.98</v>
      </c>
      <c r="E1792" s="15" t="str">
        <f>IF(ISBLANK(Raw_Data!E1792),AVERAGE(Raw_Data!E$2:E$5002),Raw_Data!E1792)</f>
        <v>22670.91</v>
      </c>
      <c r="F1792" s="15" t="str">
        <f>IF(ISBLANK(Raw_Data!F1792),AVERAGE(Raw_Data!F$2:F$5002),Raw_Data!F1792)</f>
        <v>14617.34</v>
      </c>
      <c r="G1792" s="14" t="str">
        <f>IF(ISBLANK(Raw_Data!G1792),AVERAGE(Raw_Data!G$2:G$5002),Raw_Data!G1792)</f>
        <v>13300.57</v>
      </c>
      <c r="H1792" s="15" t="str">
        <f t="shared" si="1"/>
        <v>105905.00</v>
      </c>
      <c r="I1792" s="14" t="str">
        <f t="shared" si="2"/>
        <v>92604.00</v>
      </c>
      <c r="J1792" s="16" t="str">
        <f>TEXT(Raw_Data!J1792,"MMM-YYY")</f>
        <v>Sep-2025</v>
      </c>
      <c r="K1792" s="13" t="str">
        <f>Raw_Data!K1792</f>
        <v>3</v>
      </c>
      <c r="L1792" s="17" t="str">
        <f>Raw_Data!L1792</f>
        <v>Delhi-North</v>
      </c>
      <c r="M1792" s="13" t="str">
        <f t="shared" si="3"/>
        <v>OK</v>
      </c>
      <c r="N1792" s="18" t="str">
        <f t="shared" si="4"/>
        <v>VALID</v>
      </c>
    </row>
    <row r="1793" ht="15.75" customHeight="1">
      <c r="A1793" s="13" t="str">
        <f>Raw_Data!A1793</f>
        <v>EMP1882</v>
      </c>
      <c r="B1793" s="13" t="str">
        <f>TRIM(CLEAN(Raw_Data!B1793))</f>
        <v>Sales</v>
      </c>
      <c r="C1793" s="18" t="s">
        <v>18</v>
      </c>
      <c r="D1793" s="14" t="str">
        <f>IF(ISBLANK(Raw_Data!D1793),AVERAGE(Raw_Data!D$2:D$5002),Raw_Data!D1793)</f>
        <v>68627.86</v>
      </c>
      <c r="E1793" s="15" t="str">
        <f>IF(ISBLANK(Raw_Data!E1793),AVERAGE(Raw_Data!E$2:E$5002),Raw_Data!E1793)</f>
        <v>22675.52</v>
      </c>
      <c r="F1793" s="15" t="str">
        <f>IF(ISBLANK(Raw_Data!F1793),AVERAGE(Raw_Data!F$2:F$5002),Raw_Data!F1793)</f>
        <v>14625.02</v>
      </c>
      <c r="G1793" s="14" t="str">
        <f>IF(ISBLANK(Raw_Data!G1793),AVERAGE(Raw_Data!G$2:G$5002),Raw_Data!G1793)</f>
        <v>13303.97</v>
      </c>
      <c r="H1793" s="15" t="str">
        <f t="shared" si="1"/>
        <v>105928.00</v>
      </c>
      <c r="I1793" s="14" t="str">
        <f t="shared" si="2"/>
        <v>92624.00</v>
      </c>
      <c r="J1793" s="16" t="str">
        <f>TEXT(Raw_Data!J1793,"MMM-YYY")</f>
        <v>Oct-2025</v>
      </c>
      <c r="K1793" s="13" t="str">
        <f>Raw_Data!K1793</f>
        <v>4</v>
      </c>
      <c r="L1793" s="17" t="str">
        <f>Raw_Data!L1793</f>
        <v>Bangalore-South</v>
      </c>
      <c r="M1793" s="13" t="str">
        <f t="shared" si="3"/>
        <v>OK</v>
      </c>
      <c r="N1793" s="18" t="str">
        <f t="shared" si="4"/>
        <v>VALID</v>
      </c>
    </row>
    <row r="1794" ht="15.75" customHeight="1">
      <c r="A1794" s="13" t="str">
        <f>Raw_Data!A1794</f>
        <v>EMP1883</v>
      </c>
      <c r="B1794" s="13" t="str">
        <f>TRIM(CLEAN(Raw_Data!B1794))</f>
        <v>Customer Support</v>
      </c>
      <c r="C1794" s="18" t="s">
        <v>30</v>
      </c>
      <c r="D1794" s="14" t="str">
        <f>IF(ISBLANK(Raw_Data!D1794),AVERAGE(Raw_Data!D$2:D$5002),Raw_Data!D1794)</f>
        <v>68638.74</v>
      </c>
      <c r="E1794" s="15" t="str">
        <f>IF(ISBLANK(Raw_Data!E1794),AVERAGE(Raw_Data!E$2:E$5002),Raw_Data!E1794)</f>
        <v>22680.14</v>
      </c>
      <c r="F1794" s="15" t="str">
        <f>IF(ISBLANK(Raw_Data!F1794),AVERAGE(Raw_Data!F$2:F$5002),Raw_Data!F1794)</f>
        <v>14632.70</v>
      </c>
      <c r="G1794" s="14" t="str">
        <f>IF(ISBLANK(Raw_Data!G1794),AVERAGE(Raw_Data!G$2:G$5002),Raw_Data!G1794)</f>
        <v>13307.37</v>
      </c>
      <c r="H1794" s="15" t="str">
        <f t="shared" si="1"/>
        <v>105952.00</v>
      </c>
      <c r="I1794" s="14" t="str">
        <f t="shared" si="2"/>
        <v>92645.00</v>
      </c>
      <c r="J1794" s="16" t="str">
        <f>TEXT(Raw_Data!J1794,"MMM-YYY")</f>
        <v>Aug-2025</v>
      </c>
      <c r="K1794" s="13" t="str">
        <f>Raw_Data!K1794</f>
        <v>23</v>
      </c>
      <c r="L1794" s="17" t="str">
        <f>Raw_Data!L1794</f>
        <v>Chennai-South</v>
      </c>
      <c r="M1794" s="13" t="str">
        <f t="shared" si="3"/>
        <v>OK</v>
      </c>
      <c r="N1794" s="18" t="str">
        <f t="shared" si="4"/>
        <v>VALID</v>
      </c>
    </row>
    <row r="1795" ht="15.75" customHeight="1">
      <c r="A1795" s="13" t="str">
        <f>Raw_Data!A1795</f>
        <v>EMP1884</v>
      </c>
      <c r="B1795" s="13" t="str">
        <f>TRIM(CLEAN(Raw_Data!B1795))</f>
        <v>Marketing</v>
      </c>
      <c r="C1795" s="18" t="s">
        <v>18</v>
      </c>
      <c r="D1795" s="14" t="str">
        <f>IF(ISBLANK(Raw_Data!D1795),AVERAGE(Raw_Data!D$2:D$5002),Raw_Data!D1795)</f>
        <v>68649.62</v>
      </c>
      <c r="E1795" s="15" t="str">
        <f>IF(ISBLANK(Raw_Data!E1795),AVERAGE(Raw_Data!E$2:E$5002),Raw_Data!E1795)</f>
        <v>22684.75</v>
      </c>
      <c r="F1795" s="15" t="str">
        <f>IF(ISBLANK(Raw_Data!F1795),AVERAGE(Raw_Data!F$2:F$5002),Raw_Data!F1795)</f>
        <v>14640.38</v>
      </c>
      <c r="G1795" s="14" t="str">
        <f>IF(ISBLANK(Raw_Data!G1795),AVERAGE(Raw_Data!G$2:G$5002),Raw_Data!G1795)</f>
        <v>13310.76</v>
      </c>
      <c r="H1795" s="15" t="str">
        <f t="shared" si="1"/>
        <v>105975.00</v>
      </c>
      <c r="I1795" s="14" t="str">
        <f t="shared" si="2"/>
        <v>92664.00</v>
      </c>
      <c r="J1795" s="16" t="str">
        <f>TEXT(Raw_Data!J1795,"MMM-YYY")</f>
        <v>Oct-2025</v>
      </c>
      <c r="K1795" s="13" t="str">
        <f>Raw_Data!K1795</f>
        <v>25</v>
      </c>
      <c r="L1795" s="17" t="str">
        <f>Raw_Data!L1795</f>
        <v>Kolkata-East</v>
      </c>
      <c r="M1795" s="13" t="str">
        <f t="shared" si="3"/>
        <v>OK</v>
      </c>
      <c r="N1795" s="18" t="str">
        <f t="shared" si="4"/>
        <v>VALID</v>
      </c>
    </row>
    <row r="1796" ht="15.75" customHeight="1">
      <c r="A1796" s="13" t="str">
        <f>Raw_Data!A1796</f>
        <v>EMP1885</v>
      </c>
      <c r="B1796" s="13" t="str">
        <f>TRIM(CLEAN(Raw_Data!B1796))</f>
        <v>IT</v>
      </c>
      <c r="C1796" s="18" t="s">
        <v>33</v>
      </c>
      <c r="D1796" s="14" t="str">
        <f>IF(ISBLANK(Raw_Data!D1796),AVERAGE(Raw_Data!D$2:D$5002),Raw_Data!D1796)</f>
        <v>68660.51</v>
      </c>
      <c r="E1796" s="15" t="str">
        <f>IF(ISBLANK(Raw_Data!E1796),AVERAGE(Raw_Data!E$2:E$5002),Raw_Data!E1796)</f>
        <v>22689.37</v>
      </c>
      <c r="F1796" s="15" t="str">
        <f>IF(ISBLANK(Raw_Data!F1796),AVERAGE(Raw_Data!F$2:F$5002),Raw_Data!F1796)</f>
        <v>14648.06</v>
      </c>
      <c r="G1796" s="14" t="str">
        <f>IF(ISBLANK(Raw_Data!G1796),AVERAGE(Raw_Data!G$2:G$5002),Raw_Data!G1796)</f>
        <v>13314.16</v>
      </c>
      <c r="H1796" s="15" t="str">
        <f t="shared" si="1"/>
        <v>105998.00</v>
      </c>
      <c r="I1796" s="14" t="str">
        <f t="shared" si="2"/>
        <v>92684.00</v>
      </c>
      <c r="J1796" s="16" t="str">
        <f>TEXT(Raw_Data!J1796,"MMM-YYY")</f>
        <v>Nov-2025</v>
      </c>
      <c r="K1796" s="13" t="str">
        <f>Raw_Data!K1796</f>
        <v>6</v>
      </c>
      <c r="L1796" s="17" t="str">
        <f>Raw_Data!L1796</f>
        <v>Pune-West</v>
      </c>
      <c r="M1796" s="13" t="str">
        <f t="shared" si="3"/>
        <v>OK</v>
      </c>
      <c r="N1796" s="18" t="str">
        <f t="shared" si="4"/>
        <v>VALID</v>
      </c>
    </row>
    <row r="1797" ht="15.75" customHeight="1">
      <c r="A1797" s="13" t="str">
        <f>Raw_Data!A1797</f>
        <v>EMP1886</v>
      </c>
      <c r="B1797" s="13" t="str">
        <f>TRIM(CLEAN(Raw_Data!B1797))</f>
        <v>Sales</v>
      </c>
      <c r="C1797" s="18" t="s">
        <v>37</v>
      </c>
      <c r="D1797" s="14" t="str">
        <f>IF(ISBLANK(Raw_Data!D1797),AVERAGE(Raw_Data!D$2:D$5002),Raw_Data!D1797)</f>
        <v>68671.39</v>
      </c>
      <c r="E1797" s="15" t="str">
        <f>IF(ISBLANK(Raw_Data!E1797),AVERAGE(Raw_Data!E$2:E$5002),Raw_Data!E1797)</f>
        <v>22693.98</v>
      </c>
      <c r="F1797" s="15" t="str">
        <f>IF(ISBLANK(Raw_Data!F1797),AVERAGE(Raw_Data!F$2:F$5002),Raw_Data!F1797)</f>
        <v>14655.74</v>
      </c>
      <c r="G1797" s="14" t="str">
        <f>IF(ISBLANK(Raw_Data!G1797),AVERAGE(Raw_Data!G$2:G$5002),Raw_Data!G1797)</f>
        <v>13317.56</v>
      </c>
      <c r="H1797" s="15" t="str">
        <f t="shared" si="1"/>
        <v>106021.00</v>
      </c>
      <c r="I1797" s="14" t="str">
        <f t="shared" si="2"/>
        <v>92703.00</v>
      </c>
      <c r="J1797" s="16" t="str">
        <f>TEXT(Raw_Data!J1797,"MMM-YYY")</f>
        <v>Sep-2025</v>
      </c>
      <c r="K1797" s="13" t="str">
        <f>Raw_Data!K1797</f>
        <v>18</v>
      </c>
      <c r="L1797" s="17" t="str">
        <f>Raw_Data!L1797</f>
        <v>Hyderabad-South</v>
      </c>
      <c r="M1797" s="13" t="str">
        <f t="shared" si="3"/>
        <v>OK</v>
      </c>
      <c r="N1797" s="18" t="str">
        <f t="shared" si="4"/>
        <v>VALID</v>
      </c>
    </row>
    <row r="1798" ht="15.75" customHeight="1">
      <c r="A1798" s="13" t="str">
        <f>Raw_Data!A1798</f>
        <v>EMP1887</v>
      </c>
      <c r="B1798" s="13" t="str">
        <f>TRIM(CLEAN(Raw_Data!B1798))</f>
        <v>Operations</v>
      </c>
      <c r="C1798" s="18" t="s">
        <v>18</v>
      </c>
      <c r="D1798" s="14" t="str">
        <f>IF(ISBLANK(Raw_Data!D1798),AVERAGE(Raw_Data!D$2:D$5002),Raw_Data!D1798)</f>
        <v>68682.27</v>
      </c>
      <c r="E1798" s="15" t="str">
        <f>IF(ISBLANK(Raw_Data!E1798),AVERAGE(Raw_Data!E$2:E$5002),Raw_Data!E1798)</f>
        <v>22698.60</v>
      </c>
      <c r="F1798" s="15" t="str">
        <f>IF(ISBLANK(Raw_Data!F1798),AVERAGE(Raw_Data!F$2:F$5002),Raw_Data!F1798)</f>
        <v>14663.42</v>
      </c>
      <c r="G1798" s="14" t="str">
        <f>IF(ISBLANK(Raw_Data!G1798),AVERAGE(Raw_Data!G$2:G$5002),Raw_Data!G1798)</f>
        <v>13320.96</v>
      </c>
      <c r="H1798" s="15" t="str">
        <f t="shared" si="1"/>
        <v>106044.00</v>
      </c>
      <c r="I1798" s="14" t="str">
        <f t="shared" si="2"/>
        <v>92723.00</v>
      </c>
      <c r="J1798" s="16" t="str">
        <f>TEXT(Raw_Data!J1798,"MMM-YYY")</f>
        <v>May-2025</v>
      </c>
      <c r="K1798" s="13" t="str">
        <f>Raw_Data!K1798</f>
        <v>10</v>
      </c>
      <c r="L1798" s="17" t="str">
        <f>Raw_Data!L1798</f>
        <v>Chandigarh-North</v>
      </c>
      <c r="M1798" s="13" t="str">
        <f t="shared" si="3"/>
        <v>OK</v>
      </c>
      <c r="N1798" s="18" t="str">
        <f t="shared" si="4"/>
        <v>VALID</v>
      </c>
    </row>
    <row r="1799" ht="15.75" customHeight="1">
      <c r="A1799" s="13" t="str">
        <f>Raw_Data!A1799</f>
        <v>EMP1888</v>
      </c>
      <c r="B1799" s="13" t="str">
        <f>TRIM(CLEAN(Raw_Data!B1799))</f>
        <v>IT</v>
      </c>
      <c r="C1799" s="18" t="s">
        <v>26</v>
      </c>
      <c r="D1799" s="14" t="str">
        <f>IF(ISBLANK(Raw_Data!D1799),AVERAGE(Raw_Data!D$2:D$5002),Raw_Data!D1799)</f>
        <v>68693.16</v>
      </c>
      <c r="E1799" s="15" t="str">
        <f>IF(ISBLANK(Raw_Data!E1799),AVERAGE(Raw_Data!E$2:E$5002),Raw_Data!E1799)</f>
        <v>22703.21</v>
      </c>
      <c r="F1799" s="15" t="str">
        <f>IF(ISBLANK(Raw_Data!F1799),AVERAGE(Raw_Data!F$2:F$5002),Raw_Data!F1799)</f>
        <v>14671.10</v>
      </c>
      <c r="G1799" s="14" t="str">
        <f>IF(ISBLANK(Raw_Data!G1799),AVERAGE(Raw_Data!G$2:G$5002),Raw_Data!G1799)</f>
        <v>13324.35</v>
      </c>
      <c r="H1799" s="15" t="str">
        <f t="shared" si="1"/>
        <v>106067.00</v>
      </c>
      <c r="I1799" s="14" t="str">
        <f t="shared" si="2"/>
        <v>92743.00</v>
      </c>
      <c r="J1799" s="16" t="str">
        <f>TEXT(Raw_Data!J1799,"MMM-YYY")</f>
        <v>Mar-2025</v>
      </c>
      <c r="K1799" s="13" t="str">
        <f>Raw_Data!K1799</f>
        <v>24</v>
      </c>
      <c r="L1799" s="17" t="str">
        <f>Raw_Data!L1799</f>
        <v>Ahmedabad-West</v>
      </c>
      <c r="M1799" s="13" t="str">
        <f t="shared" si="3"/>
        <v>OK</v>
      </c>
      <c r="N1799" s="18" t="str">
        <f t="shared" si="4"/>
        <v>VALID</v>
      </c>
    </row>
    <row r="1800" ht="15.75" customHeight="1">
      <c r="A1800" s="13" t="str">
        <f>Raw_Data!A1800</f>
        <v>EMP1889</v>
      </c>
      <c r="B1800" s="13" t="str">
        <f>TRIM(CLEAN(Raw_Data!B1800))</f>
        <v>HR</v>
      </c>
      <c r="C1800" s="18" t="s">
        <v>54</v>
      </c>
      <c r="D1800" s="14" t="str">
        <f>IF(ISBLANK(Raw_Data!D1800),AVERAGE(Raw_Data!D$2:D$5002),Raw_Data!D1800)</f>
        <v>68704.04</v>
      </c>
      <c r="E1800" s="15" t="str">
        <f>IF(ISBLANK(Raw_Data!E1800),AVERAGE(Raw_Data!E$2:E$5002),Raw_Data!E1800)</f>
        <v>22707.83</v>
      </c>
      <c r="F1800" s="15" t="str">
        <f>IF(ISBLANK(Raw_Data!F1800),AVERAGE(Raw_Data!F$2:F$5002),Raw_Data!F1800)</f>
        <v>14678.78</v>
      </c>
      <c r="G1800" s="14" t="str">
        <f>IF(ISBLANK(Raw_Data!G1800),AVERAGE(Raw_Data!G$2:G$5002),Raw_Data!G1800)</f>
        <v>13327.75</v>
      </c>
      <c r="H1800" s="15" t="str">
        <f t="shared" si="1"/>
        <v>106091.00</v>
      </c>
      <c r="I1800" s="14" t="str">
        <f t="shared" si="2"/>
        <v>92763.00</v>
      </c>
      <c r="J1800" s="16" t="str">
        <f>TEXT(Raw_Data!J1800,"MMM-YYY")</f>
        <v>May-2025</v>
      </c>
      <c r="K1800" s="13" t="str">
        <f>Raw_Data!K1800</f>
        <v>22</v>
      </c>
      <c r="L1800" s="17" t="str">
        <f>Raw_Data!L1800</f>
        <v>Jaipur-North</v>
      </c>
      <c r="M1800" s="13" t="str">
        <f t="shared" si="3"/>
        <v>OK</v>
      </c>
      <c r="N1800" s="18" t="str">
        <f t="shared" si="4"/>
        <v>VALID</v>
      </c>
    </row>
    <row r="1801" ht="15.75" customHeight="1">
      <c r="A1801" s="13" t="str">
        <f>Raw_Data!A1801</f>
        <v>EMP1890</v>
      </c>
      <c r="B1801" s="13" t="str">
        <f>TRIM(CLEAN(Raw_Data!B1801))</f>
        <v>Sales</v>
      </c>
      <c r="C1801" s="18" t="s">
        <v>33</v>
      </c>
      <c r="D1801" s="14" t="str">
        <f>IF(ISBLANK(Raw_Data!D1801),AVERAGE(Raw_Data!D$2:D$5002),Raw_Data!D1801)</f>
        <v>68714.92</v>
      </c>
      <c r="E1801" s="15" t="str">
        <f>IF(ISBLANK(Raw_Data!E1801),AVERAGE(Raw_Data!E$2:E$5002),Raw_Data!E1801)</f>
        <v>22712.44</v>
      </c>
      <c r="F1801" s="15" t="str">
        <f>IF(ISBLANK(Raw_Data!F1801),AVERAGE(Raw_Data!F$2:F$5002),Raw_Data!F1801)</f>
        <v>14686.46</v>
      </c>
      <c r="G1801" s="14" t="str">
        <f>IF(ISBLANK(Raw_Data!G1801),AVERAGE(Raw_Data!G$2:G$5002),Raw_Data!G1801)</f>
        <v>13331.15</v>
      </c>
      <c r="H1801" s="15" t="str">
        <f t="shared" si="1"/>
        <v>106114.00</v>
      </c>
      <c r="I1801" s="14" t="str">
        <f t="shared" si="2"/>
        <v>92783.00</v>
      </c>
      <c r="J1801" s="16" t="str">
        <f>TEXT(Raw_Data!J1801,"MMM-YYY")</f>
        <v>Aug-2025</v>
      </c>
      <c r="K1801" s="13" t="str">
        <f>Raw_Data!K1801</f>
        <v>21</v>
      </c>
      <c r="L1801" s="17" t="str">
        <f>Raw_Data!L1801</f>
        <v>Mumbai-HO</v>
      </c>
      <c r="M1801" s="13" t="str">
        <f t="shared" si="3"/>
        <v>OK</v>
      </c>
      <c r="N1801" s="18" t="str">
        <f t="shared" si="4"/>
        <v>VALID</v>
      </c>
    </row>
    <row r="1802" ht="15.75" customHeight="1">
      <c r="A1802" s="13" t="str">
        <f>Raw_Data!A1802</f>
        <v>EMP1891</v>
      </c>
      <c r="B1802" s="13" t="str">
        <f>TRIM(CLEAN(Raw_Data!B1802))</f>
        <v>Marketing</v>
      </c>
      <c r="C1802" s="18" t="s">
        <v>26</v>
      </c>
      <c r="D1802" s="14" t="str">
        <f>IF(ISBLANK(Raw_Data!D1802),AVERAGE(Raw_Data!D$2:D$5002),Raw_Data!D1802)</f>
        <v>68725.81</v>
      </c>
      <c r="E1802" s="15" t="str">
        <f>IF(ISBLANK(Raw_Data!E1802),AVERAGE(Raw_Data!E$2:E$5002),Raw_Data!E1802)</f>
        <v>22717.06</v>
      </c>
      <c r="F1802" s="15" t="str">
        <f>IF(ISBLANK(Raw_Data!F1802),AVERAGE(Raw_Data!F$2:F$5002),Raw_Data!F1802)</f>
        <v>14694.14</v>
      </c>
      <c r="G1802" s="14" t="str">
        <f>IF(ISBLANK(Raw_Data!G1802),AVERAGE(Raw_Data!G$2:G$5002),Raw_Data!G1802)</f>
        <v>13334.55</v>
      </c>
      <c r="H1802" s="15" t="str">
        <f t="shared" si="1"/>
        <v>106137.00</v>
      </c>
      <c r="I1802" s="14" t="str">
        <f t="shared" si="2"/>
        <v>92802.00</v>
      </c>
      <c r="J1802" s="16" t="str">
        <f>TEXT(Raw_Data!J1802,"MMM-YYY")</f>
        <v>Oct-2025</v>
      </c>
      <c r="K1802" s="13" t="str">
        <f>Raw_Data!K1802</f>
        <v>3</v>
      </c>
      <c r="L1802" s="17" t="str">
        <f>Raw_Data!L1802</f>
        <v>Delhi-North</v>
      </c>
      <c r="M1802" s="13" t="str">
        <f t="shared" si="3"/>
        <v>OK</v>
      </c>
      <c r="N1802" s="18" t="str">
        <f t="shared" si="4"/>
        <v>VALID</v>
      </c>
    </row>
    <row r="1803" ht="15.75" customHeight="1">
      <c r="A1803" s="13" t="str">
        <f>Raw_Data!A1803</f>
        <v>EMP1892</v>
      </c>
      <c r="B1803" s="13" t="str">
        <f>TRIM(CLEAN(Raw_Data!B1803))</f>
        <v>Customer Support</v>
      </c>
      <c r="C1803" s="18" t="s">
        <v>14</v>
      </c>
      <c r="D1803" s="14" t="str">
        <f>IF(ISBLANK(Raw_Data!D1803),AVERAGE(Raw_Data!D$2:D$5002),Raw_Data!D1803)</f>
        <v>68736.69</v>
      </c>
      <c r="E1803" s="15" t="str">
        <f>IF(ISBLANK(Raw_Data!E1803),AVERAGE(Raw_Data!E$2:E$5002),Raw_Data!E1803)</f>
        <v>22721.67</v>
      </c>
      <c r="F1803" s="15" t="str">
        <f>IF(ISBLANK(Raw_Data!F1803),AVERAGE(Raw_Data!F$2:F$5002),Raw_Data!F1803)</f>
        <v>14701.82</v>
      </c>
      <c r="G1803" s="14" t="str">
        <f>IF(ISBLANK(Raw_Data!G1803),AVERAGE(Raw_Data!G$2:G$5002),Raw_Data!G1803)</f>
        <v>13337.94</v>
      </c>
      <c r="H1803" s="15" t="str">
        <f t="shared" si="1"/>
        <v>106160.00</v>
      </c>
      <c r="I1803" s="14" t="str">
        <f t="shared" si="2"/>
        <v>92822.00</v>
      </c>
      <c r="J1803" s="16" t="str">
        <f>TEXT(Raw_Data!J1803,"MMM-YYY")</f>
        <v>Jul-2025</v>
      </c>
      <c r="K1803" s="13" t="str">
        <f>Raw_Data!K1803</f>
        <v>20</v>
      </c>
      <c r="L1803" s="17" t="str">
        <f>Raw_Data!L1803</f>
        <v>Bangalore-South</v>
      </c>
      <c r="M1803" s="13" t="str">
        <f t="shared" si="3"/>
        <v>OK</v>
      </c>
      <c r="N1803" s="18" t="str">
        <f t="shared" si="4"/>
        <v>VALID</v>
      </c>
    </row>
    <row r="1804" ht="15.75" customHeight="1">
      <c r="A1804" s="13" t="str">
        <f>Raw_Data!A1804</f>
        <v>EMP1893</v>
      </c>
      <c r="B1804" s="13" t="str">
        <f>TRIM(CLEAN(Raw_Data!B1804))</f>
        <v>HR</v>
      </c>
      <c r="C1804" s="18" t="s">
        <v>54</v>
      </c>
      <c r="D1804" s="14" t="str">
        <f>IF(ISBLANK(Raw_Data!D1804),AVERAGE(Raw_Data!D$2:D$5002),Raw_Data!D1804)</f>
        <v>68747.57</v>
      </c>
      <c r="E1804" s="15" t="str">
        <f>IF(ISBLANK(Raw_Data!E1804),AVERAGE(Raw_Data!E$2:E$5002),Raw_Data!E1804)</f>
        <v>22726.29</v>
      </c>
      <c r="F1804" s="15" t="str">
        <f>IF(ISBLANK(Raw_Data!F1804),AVERAGE(Raw_Data!F$2:F$5002),Raw_Data!F1804)</f>
        <v>14709.50</v>
      </c>
      <c r="G1804" s="14" t="str">
        <f>IF(ISBLANK(Raw_Data!G1804),AVERAGE(Raw_Data!G$2:G$5002),Raw_Data!G1804)</f>
        <v>13341.34</v>
      </c>
      <c r="H1804" s="15" t="str">
        <f t="shared" si="1"/>
        <v>106183.00</v>
      </c>
      <c r="I1804" s="14" t="str">
        <f t="shared" si="2"/>
        <v>92842.00</v>
      </c>
      <c r="J1804" s="16" t="str">
        <f>TEXT(Raw_Data!J1804,"MMM-YYY")</f>
        <v>Apr-2025</v>
      </c>
      <c r="K1804" s="13" t="str">
        <f>Raw_Data!K1804</f>
        <v>11</v>
      </c>
      <c r="L1804" s="17" t="str">
        <f>Raw_Data!L1804</f>
        <v>Chennai-South</v>
      </c>
      <c r="M1804" s="13" t="str">
        <f t="shared" si="3"/>
        <v>OK</v>
      </c>
      <c r="N1804" s="18" t="str">
        <f t="shared" si="4"/>
        <v>VALID</v>
      </c>
    </row>
    <row r="1805" ht="15.75" customHeight="1">
      <c r="A1805" s="13" t="str">
        <f>Raw_Data!A1805</f>
        <v>EMP1894</v>
      </c>
      <c r="B1805" s="13" t="str">
        <f>TRIM(CLEAN(Raw_Data!B1805))</f>
        <v>Operations</v>
      </c>
      <c r="C1805" s="18" t="s">
        <v>33</v>
      </c>
      <c r="D1805" s="14" t="str">
        <f>IF(ISBLANK(Raw_Data!D1805),AVERAGE(Raw_Data!D$2:D$5002),Raw_Data!D1805)</f>
        <v>71831.17</v>
      </c>
      <c r="E1805" s="15" t="str">
        <f>IF(ISBLANK(Raw_Data!E1805),AVERAGE(Raw_Data!E$2:E$5002),Raw_Data!E1805)</f>
        <v>22730.90</v>
      </c>
      <c r="F1805" s="15" t="str">
        <f>IF(ISBLANK(Raw_Data!F1805),AVERAGE(Raw_Data!F$2:F$5002),Raw_Data!F1805)</f>
        <v>14717.18</v>
      </c>
      <c r="G1805" s="14" t="str">
        <f>IF(ISBLANK(Raw_Data!G1805),AVERAGE(Raw_Data!G$2:G$5002),Raw_Data!G1805)</f>
        <v>13344.74</v>
      </c>
      <c r="H1805" s="15" t="str">
        <f t="shared" si="1"/>
        <v>109279.00</v>
      </c>
      <c r="I1805" s="14" t="str">
        <f t="shared" si="2"/>
        <v>95934.00</v>
      </c>
      <c r="J1805" s="16" t="str">
        <f>TEXT(Raw_Data!J1805,"MMM-YYY")</f>
        <v>Mar-2025</v>
      </c>
      <c r="K1805" s="13" t="str">
        <f>Raw_Data!K1805</f>
        <v>13</v>
      </c>
      <c r="L1805" s="17" t="str">
        <f>Raw_Data!L1805</f>
        <v>Kolkata-East</v>
      </c>
      <c r="M1805" s="13" t="str">
        <f t="shared" si="3"/>
        <v>OK</v>
      </c>
      <c r="N1805" s="18" t="str">
        <f t="shared" si="4"/>
        <v>VALID</v>
      </c>
    </row>
    <row r="1806" ht="15.75" customHeight="1">
      <c r="A1806" s="13" t="str">
        <f>Raw_Data!A1806</f>
        <v>EMP1895</v>
      </c>
      <c r="B1806" s="13" t="str">
        <f>TRIM(CLEAN(Raw_Data!B1806))</f>
        <v>IT</v>
      </c>
      <c r="C1806" s="18" t="s">
        <v>54</v>
      </c>
      <c r="D1806" s="14" t="str">
        <f>IF(ISBLANK(Raw_Data!D1806),AVERAGE(Raw_Data!D$2:D$5002),Raw_Data!D1806)</f>
        <v>68769.34</v>
      </c>
      <c r="E1806" s="15" t="str">
        <f>IF(ISBLANK(Raw_Data!E1806),AVERAGE(Raw_Data!E$2:E$5002),Raw_Data!E1806)</f>
        <v>22735.52</v>
      </c>
      <c r="F1806" s="15" t="str">
        <f>IF(ISBLANK(Raw_Data!F1806),AVERAGE(Raw_Data!F$2:F$5002),Raw_Data!F1806)</f>
        <v>14724.86</v>
      </c>
      <c r="G1806" s="14" t="str">
        <f>IF(ISBLANK(Raw_Data!G1806),AVERAGE(Raw_Data!G$2:G$5002),Raw_Data!G1806)</f>
        <v>13348.14</v>
      </c>
      <c r="H1806" s="15" t="str">
        <f t="shared" si="1"/>
        <v>106230.00</v>
      </c>
      <c r="I1806" s="14" t="str">
        <f t="shared" si="2"/>
        <v>92882.00</v>
      </c>
      <c r="J1806" s="16" t="str">
        <f>TEXT(Raw_Data!J1806,"MMM-YYY")</f>
        <v>Nov-2025</v>
      </c>
      <c r="K1806" s="13" t="str">
        <f>Raw_Data!K1806</f>
        <v>22</v>
      </c>
      <c r="L1806" s="17" t="str">
        <f>Raw_Data!L1806</f>
        <v>Pune-West</v>
      </c>
      <c r="M1806" s="13" t="str">
        <f t="shared" si="3"/>
        <v>OK</v>
      </c>
      <c r="N1806" s="18" t="str">
        <f t="shared" si="4"/>
        <v>VALID</v>
      </c>
    </row>
    <row r="1807" ht="15.75" customHeight="1">
      <c r="A1807" s="13" t="str">
        <f>Raw_Data!A1807</f>
        <v>EMP1896</v>
      </c>
      <c r="B1807" s="13" t="str">
        <f>TRIM(CLEAN(Raw_Data!B1807))</f>
        <v>IT</v>
      </c>
      <c r="C1807" s="18" t="s">
        <v>26</v>
      </c>
      <c r="D1807" s="14" t="str">
        <f>IF(ISBLANK(Raw_Data!D1807),AVERAGE(Raw_Data!D$2:D$5002),Raw_Data!D1807)</f>
        <v>68780.22</v>
      </c>
      <c r="E1807" s="15" t="str">
        <f>IF(ISBLANK(Raw_Data!E1807),AVERAGE(Raw_Data!E$2:E$5002),Raw_Data!E1807)</f>
        <v>22740.13</v>
      </c>
      <c r="F1807" s="15" t="str">
        <f>IF(ISBLANK(Raw_Data!F1807),AVERAGE(Raw_Data!F$2:F$5002),Raw_Data!F1807)</f>
        <v>14732.54</v>
      </c>
      <c r="G1807" s="14" t="str">
        <f>IF(ISBLANK(Raw_Data!G1807),AVERAGE(Raw_Data!G$2:G$5002),Raw_Data!G1807)</f>
        <v>13351.53</v>
      </c>
      <c r="H1807" s="15" t="str">
        <f t="shared" si="1"/>
        <v>106253.00</v>
      </c>
      <c r="I1807" s="14" t="str">
        <f t="shared" si="2"/>
        <v>92901.00</v>
      </c>
      <c r="J1807" s="16" t="str">
        <f>TEXT(Raw_Data!J1807,"MMM-YYY")</f>
        <v>Mar-2025</v>
      </c>
      <c r="K1807" s="13" t="str">
        <f>Raw_Data!K1807</f>
        <v>2</v>
      </c>
      <c r="L1807" s="17" t="str">
        <f>Raw_Data!L1807</f>
        <v>Hyderabad-South</v>
      </c>
      <c r="M1807" s="13" t="str">
        <f t="shared" si="3"/>
        <v>OK</v>
      </c>
      <c r="N1807" s="18" t="str">
        <f t="shared" si="4"/>
        <v>VALID</v>
      </c>
    </row>
    <row r="1808" ht="15.75" customHeight="1">
      <c r="A1808" s="13" t="str">
        <f>Raw_Data!A1808</f>
        <v>EMP1897</v>
      </c>
      <c r="B1808" s="13" t="str">
        <f>TRIM(CLEAN(Raw_Data!B1808))</f>
        <v>Finance</v>
      </c>
      <c r="C1808" s="18" t="s">
        <v>33</v>
      </c>
      <c r="D1808" s="14" t="str">
        <f>IF(ISBLANK(Raw_Data!D1808),AVERAGE(Raw_Data!D$2:D$5002),Raw_Data!D1808)</f>
        <v>68791.10</v>
      </c>
      <c r="E1808" s="15" t="str">
        <f>IF(ISBLANK(Raw_Data!E1808),AVERAGE(Raw_Data!E$2:E$5002),Raw_Data!E1808)</f>
        <v>22744.74</v>
      </c>
      <c r="F1808" s="15" t="str">
        <f>IF(ISBLANK(Raw_Data!F1808),AVERAGE(Raw_Data!F$2:F$5002),Raw_Data!F1808)</f>
        <v>14740.22</v>
      </c>
      <c r="G1808" s="14" t="str">
        <f>IF(ISBLANK(Raw_Data!G1808),AVERAGE(Raw_Data!G$2:G$5002),Raw_Data!G1808)</f>
        <v>13354.93</v>
      </c>
      <c r="H1808" s="15" t="str">
        <f t="shared" si="1"/>
        <v>106276.00</v>
      </c>
      <c r="I1808" s="14" t="str">
        <f t="shared" si="2"/>
        <v>92921.00</v>
      </c>
      <c r="J1808" s="16" t="str">
        <f>TEXT(Raw_Data!J1808,"MMM-YYY")</f>
        <v>Mar-2025</v>
      </c>
      <c r="K1808" s="13" t="str">
        <f>Raw_Data!K1808</f>
        <v>1</v>
      </c>
      <c r="L1808" s="17" t="str">
        <f>Raw_Data!L1808</f>
        <v>Chandigarh-North</v>
      </c>
      <c r="M1808" s="13" t="str">
        <f t="shared" si="3"/>
        <v>OK</v>
      </c>
      <c r="N1808" s="18" t="str">
        <f t="shared" si="4"/>
        <v>VALID</v>
      </c>
    </row>
    <row r="1809" ht="15.75" customHeight="1">
      <c r="A1809" s="13" t="str">
        <f>Raw_Data!A1809</f>
        <v>EMP1898</v>
      </c>
      <c r="B1809" s="13" t="str">
        <f>TRIM(CLEAN(Raw_Data!B1809))</f>
        <v>Operations</v>
      </c>
      <c r="C1809" s="18" t="s">
        <v>26</v>
      </c>
      <c r="D1809" s="14" t="str">
        <f>IF(ISBLANK(Raw_Data!D1809),AVERAGE(Raw_Data!D$2:D$5002),Raw_Data!D1809)</f>
        <v>68801.99</v>
      </c>
      <c r="E1809" s="15" t="str">
        <f>IF(ISBLANK(Raw_Data!E1809),AVERAGE(Raw_Data!E$2:E$5002),Raw_Data!E1809)</f>
        <v>22749.36</v>
      </c>
      <c r="F1809" s="15" t="str">
        <f>IF(ISBLANK(Raw_Data!F1809),AVERAGE(Raw_Data!F$2:F$5002),Raw_Data!F1809)</f>
        <v>14747.90</v>
      </c>
      <c r="G1809" s="14" t="str">
        <f>IF(ISBLANK(Raw_Data!G1809),AVERAGE(Raw_Data!G$2:G$5002),Raw_Data!G1809)</f>
        <v>13358.33</v>
      </c>
      <c r="H1809" s="15" t="str">
        <f t="shared" si="1"/>
        <v>106299.00</v>
      </c>
      <c r="I1809" s="14" t="str">
        <f t="shared" si="2"/>
        <v>92941.00</v>
      </c>
      <c r="J1809" s="16" t="str">
        <f>TEXT(Raw_Data!J1809,"MMM-YYY")</f>
        <v>Jul-2025</v>
      </c>
      <c r="K1809" s="13" t="str">
        <f>Raw_Data!K1809</f>
        <v>3</v>
      </c>
      <c r="L1809" s="17" t="str">
        <f>Raw_Data!L1809</f>
        <v>Ahmedabad-West</v>
      </c>
      <c r="M1809" s="13" t="str">
        <f t="shared" si="3"/>
        <v>OK</v>
      </c>
      <c r="N1809" s="18" t="str">
        <f t="shared" si="4"/>
        <v>VALID</v>
      </c>
    </row>
    <row r="1810" ht="15.75" customHeight="1">
      <c r="A1810" s="13" t="str">
        <f>Raw_Data!A1810</f>
        <v>EMP1899</v>
      </c>
      <c r="B1810" s="13" t="str">
        <f>TRIM(CLEAN(Raw_Data!B1810))</f>
        <v>Operations</v>
      </c>
      <c r="C1810" s="18" t="s">
        <v>54</v>
      </c>
      <c r="D1810" s="14" t="str">
        <f>IF(ISBLANK(Raw_Data!D1810),AVERAGE(Raw_Data!D$2:D$5002),Raw_Data!D1810)</f>
        <v>68812.87</v>
      </c>
      <c r="E1810" s="15" t="str">
        <f>IF(ISBLANK(Raw_Data!E1810),AVERAGE(Raw_Data!E$2:E$5002),Raw_Data!E1810)</f>
        <v>22753.97</v>
      </c>
      <c r="F1810" s="15" t="str">
        <f>IF(ISBLANK(Raw_Data!F1810),AVERAGE(Raw_Data!F$2:F$5002),Raw_Data!F1810)</f>
        <v>14755.58</v>
      </c>
      <c r="G1810" s="14" t="str">
        <f>IF(ISBLANK(Raw_Data!G1810),AVERAGE(Raw_Data!G$2:G$5002),Raw_Data!G1810)</f>
        <v>13361.73</v>
      </c>
      <c r="H1810" s="15" t="str">
        <f t="shared" si="1"/>
        <v>106322.00</v>
      </c>
      <c r="I1810" s="14" t="str">
        <f t="shared" si="2"/>
        <v>92960.00</v>
      </c>
      <c r="J1810" s="16" t="str">
        <f>TEXT(Raw_Data!J1810,"MMM-YYY")</f>
        <v>Jun-2025</v>
      </c>
      <c r="K1810" s="13" t="str">
        <f>Raw_Data!K1810</f>
        <v>16</v>
      </c>
      <c r="L1810" s="17" t="str">
        <f>Raw_Data!L1810</f>
        <v>Jaipur-North</v>
      </c>
      <c r="M1810" s="13" t="str">
        <f t="shared" si="3"/>
        <v>OK</v>
      </c>
      <c r="N1810" s="18" t="str">
        <f t="shared" si="4"/>
        <v>VALID</v>
      </c>
    </row>
    <row r="1811" ht="15.75" customHeight="1">
      <c r="A1811" s="13" t="str">
        <f>Raw_Data!A1811</f>
        <v>EMP1900</v>
      </c>
      <c r="B1811" s="13" t="str">
        <f>TRIM(CLEAN(Raw_Data!B1811))</f>
        <v>HR</v>
      </c>
      <c r="C1811" s="18" t="s">
        <v>14</v>
      </c>
      <c r="D1811" s="14" t="str">
        <f>IF(ISBLANK(Raw_Data!D1811),AVERAGE(Raw_Data!D$2:D$5002),Raw_Data!D1811)</f>
        <v>68823.75</v>
      </c>
      <c r="E1811" s="15" t="str">
        <f>IF(ISBLANK(Raw_Data!E1811),AVERAGE(Raw_Data!E$2:E$5002),Raw_Data!E1811)</f>
        <v>22758.59</v>
      </c>
      <c r="F1811" s="15" t="str">
        <f>IF(ISBLANK(Raw_Data!F1811),AVERAGE(Raw_Data!F$2:F$5002),Raw_Data!F1811)</f>
        <v>14763.26</v>
      </c>
      <c r="G1811" s="14" t="str">
        <f>IF(ISBLANK(Raw_Data!G1811),AVERAGE(Raw_Data!G$2:G$5002),Raw_Data!G1811)</f>
        <v>13365.13</v>
      </c>
      <c r="H1811" s="15" t="str">
        <f t="shared" si="1"/>
        <v>106346.00</v>
      </c>
      <c r="I1811" s="14" t="str">
        <f t="shared" si="2"/>
        <v>92981.00</v>
      </c>
      <c r="J1811" s="16" t="str">
        <f>TEXT(Raw_Data!J1811,"MMM-YYY")</f>
        <v>Dec-2025</v>
      </c>
      <c r="K1811" s="13" t="str">
        <f>Raw_Data!K1811</f>
        <v>12</v>
      </c>
      <c r="L1811" s="17" t="str">
        <f>Raw_Data!L1811</f>
        <v>Mumbai-HO</v>
      </c>
      <c r="M1811" s="13" t="str">
        <f t="shared" si="3"/>
        <v>OK</v>
      </c>
      <c r="N1811" s="18" t="str">
        <f t="shared" si="4"/>
        <v>VALID</v>
      </c>
    </row>
    <row r="1812" ht="15.75" customHeight="1">
      <c r="A1812" s="13" t="str">
        <f>Raw_Data!A1812</f>
        <v>EMP1901</v>
      </c>
      <c r="B1812" s="13" t="str">
        <f>TRIM(CLEAN(Raw_Data!B1812))</f>
        <v>Customer Support</v>
      </c>
      <c r="C1812" s="18" t="s">
        <v>26</v>
      </c>
      <c r="D1812" s="14" t="str">
        <f>IF(ISBLANK(Raw_Data!D1812),AVERAGE(Raw_Data!D$2:D$5002),Raw_Data!D1812)</f>
        <v>68834.64</v>
      </c>
      <c r="E1812" s="15" t="str">
        <f>IF(ISBLANK(Raw_Data!E1812),AVERAGE(Raw_Data!E$2:E$5002),Raw_Data!E1812)</f>
        <v>22763.20</v>
      </c>
      <c r="F1812" s="15" t="str">
        <f>IF(ISBLANK(Raw_Data!F1812),AVERAGE(Raw_Data!F$2:F$5002),Raw_Data!F1812)</f>
        <v>14770.94</v>
      </c>
      <c r="G1812" s="14" t="str">
        <f>IF(ISBLANK(Raw_Data!G1812),AVERAGE(Raw_Data!G$2:G$5002),Raw_Data!G1812)</f>
        <v>13368.52</v>
      </c>
      <c r="H1812" s="15" t="str">
        <f t="shared" si="1"/>
        <v>106369.00</v>
      </c>
      <c r="I1812" s="14" t="str">
        <f t="shared" si="2"/>
        <v>93000.00</v>
      </c>
      <c r="J1812" s="16" t="str">
        <f>TEXT(Raw_Data!J1812,"MMM-YYY")</f>
        <v>Jul-2025</v>
      </c>
      <c r="K1812" s="13" t="str">
        <f>Raw_Data!K1812</f>
        <v>7</v>
      </c>
      <c r="L1812" s="17" t="str">
        <f>Raw_Data!L1812</f>
        <v>Delhi-North</v>
      </c>
      <c r="M1812" s="13" t="str">
        <f t="shared" si="3"/>
        <v>OK</v>
      </c>
      <c r="N1812" s="18" t="str">
        <f t="shared" si="4"/>
        <v>VALID</v>
      </c>
    </row>
    <row r="1813" ht="15.75" customHeight="1">
      <c r="A1813" s="13" t="str">
        <f>Raw_Data!A1813</f>
        <v>EMP1902</v>
      </c>
      <c r="B1813" s="13" t="str">
        <f>TRIM(CLEAN(Raw_Data!B1813))</f>
        <v>Finance</v>
      </c>
      <c r="C1813" s="18" t="s">
        <v>30</v>
      </c>
      <c r="D1813" s="14" t="str">
        <f>IF(ISBLANK(Raw_Data!D1813),AVERAGE(Raw_Data!D$2:D$5002),Raw_Data!D1813)</f>
        <v>68845.52</v>
      </c>
      <c r="E1813" s="15" t="str">
        <f>IF(ISBLANK(Raw_Data!E1813),AVERAGE(Raw_Data!E$2:E$5002),Raw_Data!E1813)</f>
        <v>22767.82</v>
      </c>
      <c r="F1813" s="15" t="str">
        <f>IF(ISBLANK(Raw_Data!F1813),AVERAGE(Raw_Data!F$2:F$5002),Raw_Data!F1813)</f>
        <v>14778.62</v>
      </c>
      <c r="G1813" s="14" t="str">
        <f>IF(ISBLANK(Raw_Data!G1813),AVERAGE(Raw_Data!G$2:G$5002),Raw_Data!G1813)</f>
        <v>13371.92</v>
      </c>
      <c r="H1813" s="15" t="str">
        <f t="shared" si="1"/>
        <v>106392.00</v>
      </c>
      <c r="I1813" s="14" t="str">
        <f t="shared" si="2"/>
        <v>93020.00</v>
      </c>
      <c r="J1813" s="16" t="str">
        <f>TEXT(Raw_Data!J1813,"MMM-YYY")</f>
        <v>May-2025</v>
      </c>
      <c r="K1813" s="13" t="str">
        <f>Raw_Data!K1813</f>
        <v>18</v>
      </c>
      <c r="L1813" s="17" t="str">
        <f>Raw_Data!L1813</f>
        <v>Bangalore-South</v>
      </c>
      <c r="M1813" s="13" t="str">
        <f t="shared" si="3"/>
        <v>OK</v>
      </c>
      <c r="N1813" s="18" t="str">
        <f t="shared" si="4"/>
        <v>VALID</v>
      </c>
    </row>
    <row r="1814" ht="15.75" customHeight="1">
      <c r="A1814" s="13" t="str">
        <f>Raw_Data!A1814</f>
        <v>EMP1903</v>
      </c>
      <c r="B1814" s="13" t="str">
        <f>TRIM(CLEAN(Raw_Data!B1814))</f>
        <v>Operations</v>
      </c>
      <c r="C1814" s="18" t="s">
        <v>37</v>
      </c>
      <c r="D1814" s="14" t="str">
        <f>IF(ISBLANK(Raw_Data!D1814),AVERAGE(Raw_Data!D$2:D$5002),Raw_Data!D1814)</f>
        <v>68856.40</v>
      </c>
      <c r="E1814" s="15" t="str">
        <f>IF(ISBLANK(Raw_Data!E1814),AVERAGE(Raw_Data!E$2:E$5002),Raw_Data!E1814)</f>
        <v>22772.43</v>
      </c>
      <c r="F1814" s="15" t="str">
        <f>IF(ISBLANK(Raw_Data!F1814),AVERAGE(Raw_Data!F$2:F$5002),Raw_Data!F1814)</f>
        <v>14786.30</v>
      </c>
      <c r="G1814" s="14" t="str">
        <f>IF(ISBLANK(Raw_Data!G1814),AVERAGE(Raw_Data!G$2:G$5002),Raw_Data!G1814)</f>
        <v>13375.32</v>
      </c>
      <c r="H1814" s="15" t="str">
        <f t="shared" si="1"/>
        <v>106415.00</v>
      </c>
      <c r="I1814" s="14" t="str">
        <f t="shared" si="2"/>
        <v>93040.00</v>
      </c>
      <c r="J1814" s="16" t="str">
        <f>TEXT(Raw_Data!J1814,"MMM-YYY")</f>
        <v>Nov-2025</v>
      </c>
      <c r="K1814" s="13" t="str">
        <f>Raw_Data!K1814</f>
        <v>23</v>
      </c>
      <c r="L1814" s="17" t="str">
        <f>Raw_Data!L1814</f>
        <v>Chennai-South</v>
      </c>
      <c r="M1814" s="13" t="str">
        <f t="shared" si="3"/>
        <v>OK</v>
      </c>
      <c r="N1814" s="18" t="str">
        <f t="shared" si="4"/>
        <v>VALID</v>
      </c>
    </row>
    <row r="1815" ht="15.75" customHeight="1">
      <c r="A1815" s="13" t="str">
        <f>Raw_Data!A1815</f>
        <v>EMP1904</v>
      </c>
      <c r="B1815" s="13" t="str">
        <f>TRIM(CLEAN(Raw_Data!B1815))</f>
        <v>Marketing</v>
      </c>
      <c r="C1815" s="18" t="s">
        <v>18</v>
      </c>
      <c r="D1815" s="14" t="str">
        <f>IF(ISBLANK(Raw_Data!D1815),AVERAGE(Raw_Data!D$2:D$5002),Raw_Data!D1815)</f>
        <v>68867.28</v>
      </c>
      <c r="E1815" s="15" t="str">
        <f>IF(ISBLANK(Raw_Data!E1815),AVERAGE(Raw_Data!E$2:E$5002),Raw_Data!E1815)</f>
        <v>22777.05</v>
      </c>
      <c r="F1815" s="15" t="str">
        <f>IF(ISBLANK(Raw_Data!F1815),AVERAGE(Raw_Data!F$2:F$5002),Raw_Data!F1815)</f>
        <v>14793.98</v>
      </c>
      <c r="G1815" s="14" t="str">
        <f>IF(ISBLANK(Raw_Data!G1815),AVERAGE(Raw_Data!G$2:G$5002),Raw_Data!G1815)</f>
        <v>13378.72</v>
      </c>
      <c r="H1815" s="15" t="str">
        <f t="shared" si="1"/>
        <v>106438.00</v>
      </c>
      <c r="I1815" s="14" t="str">
        <f t="shared" si="2"/>
        <v>93059.00</v>
      </c>
      <c r="J1815" s="16" t="str">
        <f>TEXT(Raw_Data!J1815,"MMM-YYY")</f>
        <v>Mar-2025</v>
      </c>
      <c r="K1815" s="13" t="str">
        <f>Raw_Data!K1815</f>
        <v>23</v>
      </c>
      <c r="L1815" s="17" t="str">
        <f>Raw_Data!L1815</f>
        <v>Kolkata-East</v>
      </c>
      <c r="M1815" s="13" t="str">
        <f t="shared" si="3"/>
        <v>OK</v>
      </c>
      <c r="N1815" s="18" t="str">
        <f t="shared" si="4"/>
        <v>VALID</v>
      </c>
    </row>
    <row r="1816" ht="15.75" customHeight="1">
      <c r="A1816" s="13" t="str">
        <f>Raw_Data!A1816</f>
        <v>EMP1905</v>
      </c>
      <c r="B1816" s="13" t="s">
        <v>25</v>
      </c>
      <c r="C1816" s="18" t="s">
        <v>33</v>
      </c>
      <c r="D1816" s="14" t="str">
        <f>IF(ISBLANK(Raw_Data!D1816),AVERAGE(Raw_Data!D$2:D$5002),Raw_Data!D1816)</f>
        <v>68878.17</v>
      </c>
      <c r="E1816" s="15" t="str">
        <f>IF(ISBLANK(Raw_Data!E1816),AVERAGE(Raw_Data!E$2:E$5002),Raw_Data!E1816)</f>
        <v>22781.66</v>
      </c>
      <c r="F1816" s="15" t="str">
        <f>IF(ISBLANK(Raw_Data!F1816),AVERAGE(Raw_Data!F$2:F$5002),Raw_Data!F1816)</f>
        <v>14801.66</v>
      </c>
      <c r="G1816" s="14" t="str">
        <f>IF(ISBLANK(Raw_Data!G1816),AVERAGE(Raw_Data!G$2:G$5002),Raw_Data!G1816)</f>
        <v>13382.11</v>
      </c>
      <c r="H1816" s="15" t="str">
        <f t="shared" si="1"/>
        <v>106461.00</v>
      </c>
      <c r="I1816" s="14" t="str">
        <f t="shared" si="2"/>
        <v>93079.00</v>
      </c>
      <c r="J1816" s="16" t="str">
        <f>TEXT(Raw_Data!J1816,"MMM-YYY")</f>
        <v>Apr-2025</v>
      </c>
      <c r="K1816" s="13" t="str">
        <f>Raw_Data!K1816</f>
        <v>1</v>
      </c>
      <c r="L1816" s="17" t="str">
        <f>Raw_Data!L1816</f>
        <v>Pune-West</v>
      </c>
      <c r="M1816" s="13" t="str">
        <f t="shared" si="3"/>
        <v>OK</v>
      </c>
      <c r="N1816" s="18" t="str">
        <f t="shared" si="4"/>
        <v>VALID</v>
      </c>
    </row>
    <row r="1817" ht="15.75" customHeight="1">
      <c r="A1817" s="13" t="str">
        <f>Raw_Data!A1817</f>
        <v>EMP1906</v>
      </c>
      <c r="B1817" s="13" t="str">
        <f>TRIM(CLEAN(Raw_Data!B1817))</f>
        <v>Customer Support</v>
      </c>
      <c r="C1817" s="18" t="s">
        <v>54</v>
      </c>
      <c r="D1817" s="14" t="str">
        <f>IF(ISBLANK(Raw_Data!D1817),AVERAGE(Raw_Data!D$2:D$5002),Raw_Data!D1817)</f>
        <v>68889.05</v>
      </c>
      <c r="E1817" s="15" t="str">
        <f>IF(ISBLANK(Raw_Data!E1817),AVERAGE(Raw_Data!E$2:E$5002),Raw_Data!E1817)</f>
        <v>22786.28</v>
      </c>
      <c r="F1817" s="15" t="str">
        <f>IF(ISBLANK(Raw_Data!F1817),AVERAGE(Raw_Data!F$2:F$5002),Raw_Data!F1817)</f>
        <v>14809.34</v>
      </c>
      <c r="G1817" s="14" t="str">
        <f>IF(ISBLANK(Raw_Data!G1817),AVERAGE(Raw_Data!G$2:G$5002),Raw_Data!G1817)</f>
        <v>13385.51</v>
      </c>
      <c r="H1817" s="15" t="str">
        <f t="shared" si="1"/>
        <v>106485.00</v>
      </c>
      <c r="I1817" s="14" t="str">
        <f t="shared" si="2"/>
        <v>93099.00</v>
      </c>
      <c r="J1817" s="16" t="str">
        <f>TEXT(Raw_Data!J1817,"MMM-YYY")</f>
        <v>Nov-2025</v>
      </c>
      <c r="K1817" s="13" t="str">
        <f>Raw_Data!K1817</f>
        <v>19</v>
      </c>
      <c r="L1817" s="17" t="str">
        <f>Raw_Data!L1817</f>
        <v>Hyderabad-South</v>
      </c>
      <c r="M1817" s="13" t="str">
        <f t="shared" si="3"/>
        <v>OK</v>
      </c>
      <c r="N1817" s="18" t="str">
        <f t="shared" si="4"/>
        <v>VALID</v>
      </c>
    </row>
    <row r="1818" ht="15.75" customHeight="1">
      <c r="A1818" s="13" t="str">
        <f>Raw_Data!A1818</f>
        <v>EMP1907</v>
      </c>
      <c r="B1818" s="13" t="str">
        <f>TRIM(CLEAN(Raw_Data!B1818))</f>
        <v>Sales</v>
      </c>
      <c r="C1818" s="18" t="s">
        <v>14</v>
      </c>
      <c r="D1818" s="14" t="str">
        <f>IF(ISBLANK(Raw_Data!D1818),AVERAGE(Raw_Data!D$2:D$5002),Raw_Data!D1818)</f>
        <v>68899.93</v>
      </c>
      <c r="E1818" s="15" t="str">
        <f>IF(ISBLANK(Raw_Data!E1818),AVERAGE(Raw_Data!E$2:E$5002),Raw_Data!E1818)</f>
        <v>22790.89</v>
      </c>
      <c r="F1818" s="15" t="str">
        <f>IF(ISBLANK(Raw_Data!F1818),AVERAGE(Raw_Data!F$2:F$5002),Raw_Data!F1818)</f>
        <v>14817.02</v>
      </c>
      <c r="G1818" s="14" t="str">
        <f>IF(ISBLANK(Raw_Data!G1818),AVERAGE(Raw_Data!G$2:G$5002),Raw_Data!G1818)</f>
        <v>13388.91</v>
      </c>
      <c r="H1818" s="15" t="str">
        <f t="shared" si="1"/>
        <v>106508.00</v>
      </c>
      <c r="I1818" s="14" t="str">
        <f t="shared" si="2"/>
        <v>93119.00</v>
      </c>
      <c r="J1818" s="16" t="str">
        <f>TEXT(Raw_Data!J1818,"MMM-YYY")</f>
        <v>Oct-2025</v>
      </c>
      <c r="K1818" s="13" t="str">
        <f>Raw_Data!K1818</f>
        <v>15</v>
      </c>
      <c r="L1818" s="17" t="str">
        <f>Raw_Data!L1818</f>
        <v>Chandigarh-North</v>
      </c>
      <c r="M1818" s="13" t="str">
        <f t="shared" si="3"/>
        <v>OK</v>
      </c>
      <c r="N1818" s="18" t="str">
        <f t="shared" si="4"/>
        <v>VALID</v>
      </c>
    </row>
    <row r="1819" ht="15.75" customHeight="1">
      <c r="A1819" s="13" t="str">
        <f>Raw_Data!A1819</f>
        <v>EMP1908</v>
      </c>
      <c r="B1819" s="13" t="str">
        <f>TRIM(CLEAN(Raw_Data!B1819))</f>
        <v>Customer Support</v>
      </c>
      <c r="C1819" s="18" t="s">
        <v>14</v>
      </c>
      <c r="D1819" s="14" t="str">
        <f>IF(ISBLANK(Raw_Data!D1819),AVERAGE(Raw_Data!D$2:D$5002),Raw_Data!D1819)</f>
        <v>68910.82</v>
      </c>
      <c r="E1819" s="15" t="str">
        <f>IF(ISBLANK(Raw_Data!E1819),AVERAGE(Raw_Data!E$2:E$5002),Raw_Data!E1819)</f>
        <v>22795.51</v>
      </c>
      <c r="F1819" s="15" t="str">
        <f>IF(ISBLANK(Raw_Data!F1819),AVERAGE(Raw_Data!F$2:F$5002),Raw_Data!F1819)</f>
        <v>14824.70</v>
      </c>
      <c r="G1819" s="14" t="str">
        <f>IF(ISBLANK(Raw_Data!G1819),AVERAGE(Raw_Data!G$2:G$5002),Raw_Data!G1819)</f>
        <v>13392.31</v>
      </c>
      <c r="H1819" s="15" t="str">
        <f t="shared" si="1"/>
        <v>106531.00</v>
      </c>
      <c r="I1819" s="14" t="str">
        <f t="shared" si="2"/>
        <v>93139.00</v>
      </c>
      <c r="J1819" s="16" t="str">
        <f>TEXT(Raw_Data!J1819,"MMM-YYY")</f>
        <v>Jan-2025</v>
      </c>
      <c r="K1819" s="13" t="str">
        <f>Raw_Data!K1819</f>
        <v>15</v>
      </c>
      <c r="L1819" s="17" t="str">
        <f>Raw_Data!L1819</f>
        <v>Ahmedabad-West</v>
      </c>
      <c r="M1819" s="13" t="str">
        <f t="shared" si="3"/>
        <v>OK</v>
      </c>
      <c r="N1819" s="18" t="str">
        <f t="shared" si="4"/>
        <v>VALID</v>
      </c>
    </row>
    <row r="1820" ht="15.75" customHeight="1">
      <c r="A1820" s="13" t="str">
        <f>Raw_Data!A1820</f>
        <v>EMP1909</v>
      </c>
      <c r="B1820" s="13" t="str">
        <f>TRIM(CLEAN(Raw_Data!B1820))</f>
        <v>HR</v>
      </c>
      <c r="C1820" s="18" t="s">
        <v>37</v>
      </c>
      <c r="D1820" s="14" t="str">
        <f>IF(ISBLANK(Raw_Data!D1820),AVERAGE(Raw_Data!D$2:D$5002),Raw_Data!D1820)</f>
        <v>68921.70</v>
      </c>
      <c r="E1820" s="15" t="str">
        <f>IF(ISBLANK(Raw_Data!E1820),AVERAGE(Raw_Data!E$2:E$5002),Raw_Data!E1820)</f>
        <v>22800.12</v>
      </c>
      <c r="F1820" s="15" t="str">
        <f>IF(ISBLANK(Raw_Data!F1820),AVERAGE(Raw_Data!F$2:F$5002),Raw_Data!F1820)</f>
        <v>14832.38</v>
      </c>
      <c r="G1820" s="14" t="str">
        <f>IF(ISBLANK(Raw_Data!G1820),AVERAGE(Raw_Data!G$2:G$5002),Raw_Data!G1820)</f>
        <v>13395.70</v>
      </c>
      <c r="H1820" s="15" t="str">
        <f t="shared" si="1"/>
        <v>106554.00</v>
      </c>
      <c r="I1820" s="14" t="str">
        <f t="shared" si="2"/>
        <v>93158.00</v>
      </c>
      <c r="J1820" s="16" t="str">
        <f>TEXT(Raw_Data!J1820,"MMM-YYY")</f>
        <v>May-2025</v>
      </c>
      <c r="K1820" s="13" t="str">
        <f>Raw_Data!K1820</f>
        <v>9</v>
      </c>
      <c r="L1820" s="17" t="str">
        <f>Raw_Data!L1820</f>
        <v>Jaipur-North</v>
      </c>
      <c r="M1820" s="13" t="str">
        <f t="shared" si="3"/>
        <v>OK</v>
      </c>
      <c r="N1820" s="18" t="str">
        <f t="shared" si="4"/>
        <v>VALID</v>
      </c>
    </row>
    <row r="1821" ht="15.75" customHeight="1">
      <c r="A1821" s="13" t="str">
        <f>Raw_Data!A1821</f>
        <v>EMP1910</v>
      </c>
      <c r="B1821" s="13" t="str">
        <f>TRIM(CLEAN(Raw_Data!B1821))</f>
        <v>HR</v>
      </c>
      <c r="C1821" s="18" t="s">
        <v>18</v>
      </c>
      <c r="D1821" s="14" t="str">
        <f>IF(ISBLANK(Raw_Data!D1821),AVERAGE(Raw_Data!D$2:D$5002),Raw_Data!D1821)</f>
        <v>68932.58</v>
      </c>
      <c r="E1821" s="15" t="str">
        <f>IF(ISBLANK(Raw_Data!E1821),AVERAGE(Raw_Data!E$2:E$5002),Raw_Data!E1821)</f>
        <v>22804.74</v>
      </c>
      <c r="F1821" s="15" t="str">
        <f>IF(ISBLANK(Raw_Data!F1821),AVERAGE(Raw_Data!F$2:F$5002),Raw_Data!F1821)</f>
        <v>14840.06</v>
      </c>
      <c r="G1821" s="14" t="str">
        <f>IF(ISBLANK(Raw_Data!G1821),AVERAGE(Raw_Data!G$2:G$5002),Raw_Data!G1821)</f>
        <v>13399.10</v>
      </c>
      <c r="H1821" s="15" t="str">
        <f t="shared" si="1"/>
        <v>106577.00</v>
      </c>
      <c r="I1821" s="14" t="str">
        <f t="shared" si="2"/>
        <v>93178.00</v>
      </c>
      <c r="J1821" s="16" t="str">
        <f>TEXT(Raw_Data!J1821,"MMM-YYY")</f>
        <v>May-2025</v>
      </c>
      <c r="K1821" s="13" t="str">
        <f>Raw_Data!K1821</f>
        <v>15</v>
      </c>
      <c r="L1821" s="17" t="str">
        <f>Raw_Data!L1821</f>
        <v>Mumbai-HO</v>
      </c>
      <c r="M1821" s="13" t="str">
        <f t="shared" si="3"/>
        <v>OK</v>
      </c>
      <c r="N1821" s="18" t="str">
        <f t="shared" si="4"/>
        <v>VALID</v>
      </c>
    </row>
    <row r="1822" ht="15.75" customHeight="1">
      <c r="A1822" s="13" t="str">
        <f>Raw_Data!A1822</f>
        <v>EMP1911</v>
      </c>
      <c r="B1822" s="13" t="str">
        <f>TRIM(CLEAN(Raw_Data!B1822))</f>
        <v>Marketing</v>
      </c>
      <c r="C1822" s="18" t="s">
        <v>18</v>
      </c>
      <c r="D1822" s="14" t="str">
        <f>IF(ISBLANK(Raw_Data!D1822),AVERAGE(Raw_Data!D$2:D$5002),Raw_Data!D1822)</f>
        <v>68943.46</v>
      </c>
      <c r="E1822" s="15" t="str">
        <f>IF(ISBLANK(Raw_Data!E1822),AVERAGE(Raw_Data!E$2:E$5002),Raw_Data!E1822)</f>
        <v>22809.35</v>
      </c>
      <c r="F1822" s="15" t="str">
        <f>IF(ISBLANK(Raw_Data!F1822),AVERAGE(Raw_Data!F$2:F$5002),Raw_Data!F1822)</f>
        <v>14847.74</v>
      </c>
      <c r="G1822" s="14" t="str">
        <f>IF(ISBLANK(Raw_Data!G1822),AVERAGE(Raw_Data!G$2:G$5002),Raw_Data!G1822)</f>
        <v>13402.50</v>
      </c>
      <c r="H1822" s="15" t="str">
        <f t="shared" si="1"/>
        <v>106601.00</v>
      </c>
      <c r="I1822" s="14" t="str">
        <f t="shared" si="2"/>
        <v>93199.00</v>
      </c>
      <c r="J1822" s="16" t="str">
        <f>TEXT(Raw_Data!J1822,"MMM-YYY")</f>
        <v>Dec-2025</v>
      </c>
      <c r="K1822" s="13" t="str">
        <f>Raw_Data!K1822</f>
        <v>2</v>
      </c>
      <c r="L1822" s="17" t="str">
        <f>Raw_Data!L1822</f>
        <v>Delhi-North</v>
      </c>
      <c r="M1822" s="13" t="str">
        <f t="shared" si="3"/>
        <v>OK</v>
      </c>
      <c r="N1822" s="18" t="str">
        <f t="shared" si="4"/>
        <v>VALID</v>
      </c>
    </row>
    <row r="1823" ht="15.75" customHeight="1">
      <c r="A1823" s="13" t="str">
        <f>Raw_Data!A1823</f>
        <v>EMP1912</v>
      </c>
      <c r="B1823" s="13" t="str">
        <f>TRIM(CLEAN(Raw_Data!B1823))</f>
        <v>Marketing</v>
      </c>
      <c r="C1823" s="18" t="s">
        <v>18</v>
      </c>
      <c r="D1823" s="14" t="str">
        <f>IF(ISBLANK(Raw_Data!D1823),AVERAGE(Raw_Data!D$2:D$5002),Raw_Data!D1823)</f>
        <v>68954.35</v>
      </c>
      <c r="E1823" s="15" t="str">
        <f>IF(ISBLANK(Raw_Data!E1823),AVERAGE(Raw_Data!E$2:E$5002),Raw_Data!E1823)</f>
        <v>22813.97</v>
      </c>
      <c r="F1823" s="15" t="str">
        <f>IF(ISBLANK(Raw_Data!F1823),AVERAGE(Raw_Data!F$2:F$5002),Raw_Data!F1823)</f>
        <v>14855.42</v>
      </c>
      <c r="G1823" s="14" t="str">
        <f>IF(ISBLANK(Raw_Data!G1823),AVERAGE(Raw_Data!G$2:G$5002),Raw_Data!G1823)</f>
        <v>13405.90</v>
      </c>
      <c r="H1823" s="15" t="str">
        <f t="shared" si="1"/>
        <v>106624.00</v>
      </c>
      <c r="I1823" s="14" t="str">
        <f t="shared" si="2"/>
        <v>93218.00</v>
      </c>
      <c r="J1823" s="16" t="str">
        <f>TEXT(Raw_Data!J1823,"MMM-YYY")</f>
        <v>Feb-2025</v>
      </c>
      <c r="K1823" s="13" t="str">
        <f>Raw_Data!K1823</f>
        <v>25</v>
      </c>
      <c r="L1823" s="17" t="str">
        <f>Raw_Data!L1823</f>
        <v>Bangalore-South</v>
      </c>
      <c r="M1823" s="13" t="str">
        <f t="shared" si="3"/>
        <v>OK</v>
      </c>
      <c r="N1823" s="18" t="str">
        <f t="shared" si="4"/>
        <v>VALID</v>
      </c>
    </row>
    <row r="1824" ht="15.75" customHeight="1">
      <c r="A1824" s="13" t="str">
        <f>Raw_Data!A1824</f>
        <v>EMP1913</v>
      </c>
      <c r="B1824" s="13" t="str">
        <f>TRIM(CLEAN(Raw_Data!B1824))</f>
        <v>Finance</v>
      </c>
      <c r="C1824" s="18" t="s">
        <v>54</v>
      </c>
      <c r="D1824" s="14" t="str">
        <f>IF(ISBLANK(Raw_Data!D1824),AVERAGE(Raw_Data!D$2:D$5002),Raw_Data!D1824)</f>
        <v>68965.23</v>
      </c>
      <c r="E1824" s="15" t="str">
        <f>IF(ISBLANK(Raw_Data!E1824),AVERAGE(Raw_Data!E$2:E$5002),Raw_Data!E1824)</f>
        <v>22818.58</v>
      </c>
      <c r="F1824" s="15" t="str">
        <f>IF(ISBLANK(Raw_Data!F1824),AVERAGE(Raw_Data!F$2:F$5002),Raw_Data!F1824)</f>
        <v>14863.10</v>
      </c>
      <c r="G1824" s="14" t="str">
        <f>IF(ISBLANK(Raw_Data!G1824),AVERAGE(Raw_Data!G$2:G$5002),Raw_Data!G1824)</f>
        <v>13409.29</v>
      </c>
      <c r="H1824" s="15" t="str">
        <f t="shared" si="1"/>
        <v>106647.00</v>
      </c>
      <c r="I1824" s="14" t="str">
        <f t="shared" si="2"/>
        <v>93238.00</v>
      </c>
      <c r="J1824" s="16" t="str">
        <f>TEXT(Raw_Data!J1824,"MMM-YYY")</f>
        <v>May-2025</v>
      </c>
      <c r="K1824" s="13" t="str">
        <f>Raw_Data!K1824</f>
        <v>10</v>
      </c>
      <c r="L1824" s="17" t="str">
        <f>Raw_Data!L1824</f>
        <v>Chennai-South</v>
      </c>
      <c r="M1824" s="13" t="str">
        <f t="shared" si="3"/>
        <v>OK</v>
      </c>
      <c r="N1824" s="18" t="str">
        <f t="shared" si="4"/>
        <v>VALID</v>
      </c>
    </row>
    <row r="1825" ht="15.75" customHeight="1">
      <c r="A1825" s="13" t="str">
        <f>Raw_Data!A1825</f>
        <v>EMP1914</v>
      </c>
      <c r="B1825" s="13" t="str">
        <f>TRIM(CLEAN(Raw_Data!B1825))</f>
        <v>IT</v>
      </c>
      <c r="C1825" s="18" t="s">
        <v>14</v>
      </c>
      <c r="D1825" s="14" t="str">
        <f>IF(ISBLANK(Raw_Data!D1825),AVERAGE(Raw_Data!D$2:D$5002),Raw_Data!D1825)</f>
        <v>68976.11</v>
      </c>
      <c r="E1825" s="15" t="str">
        <f>IF(ISBLANK(Raw_Data!E1825),AVERAGE(Raw_Data!E$2:E$5002),Raw_Data!E1825)</f>
        <v>22823.20</v>
      </c>
      <c r="F1825" s="15" t="str">
        <f>IF(ISBLANK(Raw_Data!F1825),AVERAGE(Raw_Data!F$2:F$5002),Raw_Data!F1825)</f>
        <v>14870.78</v>
      </c>
      <c r="G1825" s="14" t="str">
        <f>IF(ISBLANK(Raw_Data!G1825),AVERAGE(Raw_Data!G$2:G$5002),Raw_Data!G1825)</f>
        <v>13412.69</v>
      </c>
      <c r="H1825" s="15" t="str">
        <f t="shared" si="1"/>
        <v>106670.00</v>
      </c>
      <c r="I1825" s="14" t="str">
        <f t="shared" si="2"/>
        <v>93257.00</v>
      </c>
      <c r="J1825" s="16" t="str">
        <f>TEXT(Raw_Data!J1825,"MMM-YYY")</f>
        <v>Mar-2025</v>
      </c>
      <c r="K1825" s="13" t="str">
        <f>Raw_Data!K1825</f>
        <v>7</v>
      </c>
      <c r="L1825" s="17" t="str">
        <f>Raw_Data!L1825</f>
        <v>Kolkata-East</v>
      </c>
      <c r="M1825" s="13" t="str">
        <f t="shared" si="3"/>
        <v>OK</v>
      </c>
      <c r="N1825" s="18" t="str">
        <f t="shared" si="4"/>
        <v>VALID</v>
      </c>
    </row>
    <row r="1826" ht="15.75" customHeight="1">
      <c r="A1826" s="13" t="str">
        <f>Raw_Data!A1826</f>
        <v>EMP1915</v>
      </c>
      <c r="B1826" s="13" t="str">
        <f>TRIM(CLEAN(Raw_Data!B1826))</f>
        <v>Customer Support</v>
      </c>
      <c r="C1826" s="18" t="s">
        <v>37</v>
      </c>
      <c r="D1826" s="14" t="str">
        <f>IF(ISBLANK(Raw_Data!D1826),AVERAGE(Raw_Data!D$2:D$5002),Raw_Data!D1826)</f>
        <v>68987.00</v>
      </c>
      <c r="E1826" s="15" t="str">
        <f>IF(ISBLANK(Raw_Data!E1826),AVERAGE(Raw_Data!E$2:E$5002),Raw_Data!E1826)</f>
        <v>22827.81</v>
      </c>
      <c r="F1826" s="15" t="str">
        <f>IF(ISBLANK(Raw_Data!F1826),AVERAGE(Raw_Data!F$2:F$5002),Raw_Data!F1826)</f>
        <v>14878.46</v>
      </c>
      <c r="G1826" s="14" t="str">
        <f>IF(ISBLANK(Raw_Data!G1826),AVERAGE(Raw_Data!G$2:G$5002),Raw_Data!G1826)</f>
        <v>13416.09</v>
      </c>
      <c r="H1826" s="15" t="str">
        <f t="shared" si="1"/>
        <v>106693.00</v>
      </c>
      <c r="I1826" s="14" t="str">
        <f t="shared" si="2"/>
        <v>93277.00</v>
      </c>
      <c r="J1826" s="16" t="str">
        <f>TEXT(Raw_Data!J1826,"MMM-YYY")</f>
        <v>Jun-2025</v>
      </c>
      <c r="K1826" s="13" t="str">
        <f>Raw_Data!K1826</f>
        <v>11</v>
      </c>
      <c r="L1826" s="17" t="str">
        <f>Raw_Data!L1826</f>
        <v>Pune-West</v>
      </c>
      <c r="M1826" s="13" t="str">
        <f t="shared" si="3"/>
        <v>OK</v>
      </c>
      <c r="N1826" s="18" t="str">
        <f t="shared" si="4"/>
        <v>VALID</v>
      </c>
    </row>
    <row r="1827" ht="15.75" customHeight="1">
      <c r="A1827" s="13" t="str">
        <f>Raw_Data!A1827</f>
        <v>EMP1916</v>
      </c>
      <c r="B1827" s="13" t="str">
        <f>TRIM(CLEAN(Raw_Data!B1827))</f>
        <v>HR</v>
      </c>
      <c r="C1827" s="18" t="s">
        <v>37</v>
      </c>
      <c r="D1827" s="14" t="str">
        <f>IF(ISBLANK(Raw_Data!D1827),AVERAGE(Raw_Data!D$2:D$5002),Raw_Data!D1827)</f>
        <v>68997.88</v>
      </c>
      <c r="E1827" s="15" t="str">
        <f>IF(ISBLANK(Raw_Data!E1827),AVERAGE(Raw_Data!E$2:E$5002),Raw_Data!E1827)</f>
        <v>22832.42</v>
      </c>
      <c r="F1827" s="15" t="str">
        <f>IF(ISBLANK(Raw_Data!F1827),AVERAGE(Raw_Data!F$2:F$5002),Raw_Data!F1827)</f>
        <v>14886.14</v>
      </c>
      <c r="G1827" s="14" t="str">
        <f>IF(ISBLANK(Raw_Data!G1827),AVERAGE(Raw_Data!G$2:G$5002),Raw_Data!G1827)</f>
        <v>13419.49</v>
      </c>
      <c r="H1827" s="15" t="str">
        <f t="shared" si="1"/>
        <v>106716.00</v>
      </c>
      <c r="I1827" s="14" t="str">
        <f t="shared" si="2"/>
        <v>93297.00</v>
      </c>
      <c r="J1827" s="16" t="str">
        <f>TEXT(Raw_Data!J1827,"MMM-YYY")</f>
        <v>Oct-2025</v>
      </c>
      <c r="K1827" s="13" t="str">
        <f>Raw_Data!K1827</f>
        <v>6</v>
      </c>
      <c r="L1827" s="17" t="str">
        <f>Raw_Data!L1827</f>
        <v>Hyderabad-South</v>
      </c>
      <c r="M1827" s="13" t="str">
        <f t="shared" si="3"/>
        <v>OK</v>
      </c>
      <c r="N1827" s="18" t="str">
        <f t="shared" si="4"/>
        <v>VALID</v>
      </c>
    </row>
    <row r="1828" ht="15.75" customHeight="1">
      <c r="A1828" s="13" t="str">
        <f>Raw_Data!A1828</f>
        <v>EMP1917</v>
      </c>
      <c r="B1828" s="13" t="str">
        <f>TRIM(CLEAN(Raw_Data!B1828))</f>
        <v>Finance</v>
      </c>
      <c r="C1828" s="18" t="s">
        <v>14</v>
      </c>
      <c r="D1828" s="14" t="str">
        <f>IF(ISBLANK(Raw_Data!D1828),AVERAGE(Raw_Data!D$2:D$5002),Raw_Data!D1828)</f>
        <v>69008.76</v>
      </c>
      <c r="E1828" s="15" t="str">
        <f>IF(ISBLANK(Raw_Data!E1828),AVERAGE(Raw_Data!E$2:E$5002),Raw_Data!E1828)</f>
        <v>22837.04</v>
      </c>
      <c r="F1828" s="15" t="str">
        <f>IF(ISBLANK(Raw_Data!F1828),AVERAGE(Raw_Data!F$2:F$5002),Raw_Data!F1828)</f>
        <v>14893.82</v>
      </c>
      <c r="G1828" s="14" t="str">
        <f>IF(ISBLANK(Raw_Data!G1828),AVERAGE(Raw_Data!G$2:G$5002),Raw_Data!G1828)</f>
        <v>13422.88</v>
      </c>
      <c r="H1828" s="15" t="str">
        <f t="shared" si="1"/>
        <v>106740.00</v>
      </c>
      <c r="I1828" s="14" t="str">
        <f t="shared" si="2"/>
        <v>93317.00</v>
      </c>
      <c r="J1828" s="16" t="str">
        <f>TEXT(Raw_Data!J1828,"MMM-YYY")</f>
        <v>Dec-2025</v>
      </c>
      <c r="K1828" s="13" t="str">
        <f>Raw_Data!K1828</f>
        <v>13</v>
      </c>
      <c r="L1828" s="17" t="str">
        <f>Raw_Data!L1828</f>
        <v>Chandigarh-North</v>
      </c>
      <c r="M1828" s="13" t="str">
        <f t="shared" si="3"/>
        <v>OK</v>
      </c>
      <c r="N1828" s="18" t="str">
        <f t="shared" si="4"/>
        <v>VALID</v>
      </c>
    </row>
    <row r="1829" ht="15.75" customHeight="1">
      <c r="A1829" s="13" t="str">
        <f>Raw_Data!A1829</f>
        <v>EMP1918</v>
      </c>
      <c r="B1829" s="13" t="str">
        <f>TRIM(CLEAN(Raw_Data!B1829))</f>
        <v>Sales</v>
      </c>
      <c r="C1829" s="18" t="s">
        <v>54</v>
      </c>
      <c r="D1829" s="14" t="str">
        <f>IF(ISBLANK(Raw_Data!D1829),AVERAGE(Raw_Data!D$2:D$5002),Raw_Data!D1829)</f>
        <v>69019.65</v>
      </c>
      <c r="E1829" s="15" t="str">
        <f>IF(ISBLANK(Raw_Data!E1829),AVERAGE(Raw_Data!E$2:E$5002),Raw_Data!E1829)</f>
        <v>22841.65</v>
      </c>
      <c r="F1829" s="15" t="str">
        <f>IF(ISBLANK(Raw_Data!F1829),AVERAGE(Raw_Data!F$2:F$5002),Raw_Data!F1829)</f>
        <v>14901.50</v>
      </c>
      <c r="G1829" s="14" t="str">
        <f>IF(ISBLANK(Raw_Data!G1829),AVERAGE(Raw_Data!G$2:G$5002),Raw_Data!G1829)</f>
        <v>13426.28</v>
      </c>
      <c r="H1829" s="15" t="str">
        <f t="shared" si="1"/>
        <v>106763.00</v>
      </c>
      <c r="I1829" s="14" t="str">
        <f t="shared" si="2"/>
        <v>93337.00</v>
      </c>
      <c r="J1829" s="16" t="str">
        <f>TEXT(Raw_Data!J1829,"MMM-YYY")</f>
        <v>May-2025</v>
      </c>
      <c r="K1829" s="13" t="str">
        <f>Raw_Data!K1829</f>
        <v>18</v>
      </c>
      <c r="L1829" s="17" t="str">
        <f>Raw_Data!L1829</f>
        <v>Ahmedabad-West</v>
      </c>
      <c r="M1829" s="13" t="str">
        <f t="shared" si="3"/>
        <v>OK</v>
      </c>
      <c r="N1829" s="18" t="str">
        <f t="shared" si="4"/>
        <v>VALID</v>
      </c>
    </row>
    <row r="1830" ht="15.75" customHeight="1">
      <c r="A1830" s="13" t="str">
        <f>Raw_Data!A1830</f>
        <v>EMP1919</v>
      </c>
      <c r="B1830" s="13" t="str">
        <f>TRIM(CLEAN(Raw_Data!B1830))</f>
        <v>Sales</v>
      </c>
      <c r="C1830" s="18" t="s">
        <v>14</v>
      </c>
      <c r="D1830" s="14" t="str">
        <f>IF(ISBLANK(Raw_Data!D1830),AVERAGE(Raw_Data!D$2:D$5002),Raw_Data!D1830)</f>
        <v>69030.53</v>
      </c>
      <c r="E1830" s="15" t="str">
        <f>IF(ISBLANK(Raw_Data!E1830),AVERAGE(Raw_Data!E$2:E$5002),Raw_Data!E1830)</f>
        <v>22846.27</v>
      </c>
      <c r="F1830" s="15" t="str">
        <f>IF(ISBLANK(Raw_Data!F1830),AVERAGE(Raw_Data!F$2:F$5002),Raw_Data!F1830)</f>
        <v>14909.18</v>
      </c>
      <c r="G1830" s="14" t="str">
        <f>IF(ISBLANK(Raw_Data!G1830),AVERAGE(Raw_Data!G$2:G$5002),Raw_Data!G1830)</f>
        <v>13429.68</v>
      </c>
      <c r="H1830" s="15" t="str">
        <f t="shared" si="1"/>
        <v>106786.00</v>
      </c>
      <c r="I1830" s="14" t="str">
        <f t="shared" si="2"/>
        <v>93356.00</v>
      </c>
      <c r="J1830" s="16" t="str">
        <f>TEXT(Raw_Data!J1830,"MMM-YYY")</f>
        <v>May-2025</v>
      </c>
      <c r="K1830" s="13" t="str">
        <f>Raw_Data!K1830</f>
        <v>15</v>
      </c>
      <c r="L1830" s="17" t="str">
        <f>Raw_Data!L1830</f>
        <v>Jaipur-North</v>
      </c>
      <c r="M1830" s="13" t="str">
        <f t="shared" si="3"/>
        <v>OK</v>
      </c>
      <c r="N1830" s="18" t="str">
        <f t="shared" si="4"/>
        <v>VALID</v>
      </c>
    </row>
    <row r="1831" ht="15.75" customHeight="1">
      <c r="A1831" s="13" t="str">
        <f>Raw_Data!A1831</f>
        <v>EMP1921</v>
      </c>
      <c r="B1831" s="13" t="str">
        <f>TRIM(CLEAN(Raw_Data!B1831))</f>
        <v>IT</v>
      </c>
      <c r="C1831" s="18" t="s">
        <v>26</v>
      </c>
      <c r="D1831" s="14" t="str">
        <f>IF(ISBLANK(Raw_Data!D1831),AVERAGE(Raw_Data!D$2:D$5002),Raw_Data!D1831)</f>
        <v>69052.29</v>
      </c>
      <c r="E1831" s="15" t="str">
        <f>IF(ISBLANK(Raw_Data!E1831),AVERAGE(Raw_Data!E$2:E$5002),Raw_Data!E1831)</f>
        <v>22855.50</v>
      </c>
      <c r="F1831" s="15" t="str">
        <f>IF(ISBLANK(Raw_Data!F1831),AVERAGE(Raw_Data!F$2:F$5002),Raw_Data!F1831)</f>
        <v>14924.54</v>
      </c>
      <c r="G1831" s="14" t="str">
        <f>IF(ISBLANK(Raw_Data!G1831),AVERAGE(Raw_Data!G$2:G$5002),Raw_Data!G1831)</f>
        <v>13436.47</v>
      </c>
      <c r="H1831" s="15" t="str">
        <f t="shared" si="1"/>
        <v>106832.00</v>
      </c>
      <c r="I1831" s="14" t="str">
        <f t="shared" si="2"/>
        <v>93396.00</v>
      </c>
      <c r="J1831" s="16" t="str">
        <f>TEXT(Raw_Data!J1831,"MMM-YYY")</f>
        <v>Aug-2025</v>
      </c>
      <c r="K1831" s="13" t="str">
        <f>Raw_Data!K1831</f>
        <v>25</v>
      </c>
      <c r="L1831" s="17" t="str">
        <f>Raw_Data!L1831</f>
        <v>Delhi-North</v>
      </c>
      <c r="M1831" s="13" t="str">
        <f t="shared" si="3"/>
        <v>OK</v>
      </c>
      <c r="N1831" s="18" t="str">
        <f t="shared" si="4"/>
        <v>VALID</v>
      </c>
    </row>
    <row r="1832" ht="15.75" customHeight="1">
      <c r="A1832" s="13" t="str">
        <f>Raw_Data!A1832</f>
        <v>EMP1922</v>
      </c>
      <c r="B1832" s="13" t="str">
        <f>TRIM(CLEAN(Raw_Data!B1832))</f>
        <v>HR</v>
      </c>
      <c r="C1832" s="18" t="s">
        <v>26</v>
      </c>
      <c r="D1832" s="14" t="str">
        <f>IF(ISBLANK(Raw_Data!D1832),AVERAGE(Raw_Data!D$2:D$5002),Raw_Data!D1832)</f>
        <v>69063.18</v>
      </c>
      <c r="E1832" s="15" t="str">
        <f>IF(ISBLANK(Raw_Data!E1832),AVERAGE(Raw_Data!E$2:E$5002),Raw_Data!E1832)</f>
        <v>22860.11</v>
      </c>
      <c r="F1832" s="15" t="str">
        <f>IF(ISBLANK(Raw_Data!F1832),AVERAGE(Raw_Data!F$2:F$5002),Raw_Data!F1832)</f>
        <v>14932.22</v>
      </c>
      <c r="G1832" s="14" t="str">
        <f>IF(ISBLANK(Raw_Data!G1832),AVERAGE(Raw_Data!G$2:G$5002),Raw_Data!G1832)</f>
        <v>13439.87</v>
      </c>
      <c r="H1832" s="15" t="str">
        <f t="shared" si="1"/>
        <v>106856.00</v>
      </c>
      <c r="I1832" s="14" t="str">
        <f t="shared" si="2"/>
        <v>93416.00</v>
      </c>
      <c r="J1832" s="16" t="str">
        <f>TEXT(Raw_Data!J1832,"MMM-YYY")</f>
        <v>Mar-2025</v>
      </c>
      <c r="K1832" s="13" t="str">
        <f>Raw_Data!K1832</f>
        <v>14</v>
      </c>
      <c r="L1832" s="17" t="str">
        <f>Raw_Data!L1832</f>
        <v>Bangalore-South</v>
      </c>
      <c r="M1832" s="13" t="str">
        <f t="shared" si="3"/>
        <v>OK</v>
      </c>
      <c r="N1832" s="18" t="str">
        <f t="shared" si="4"/>
        <v>VALID</v>
      </c>
    </row>
    <row r="1833" ht="15.75" customHeight="1">
      <c r="A1833" s="13" t="str">
        <f>Raw_Data!A1833</f>
        <v>EMP1923</v>
      </c>
      <c r="B1833" s="13" t="str">
        <f>TRIM(CLEAN(Raw_Data!B1833))</f>
        <v>Operations</v>
      </c>
      <c r="C1833" s="18" t="s">
        <v>33</v>
      </c>
      <c r="D1833" s="14" t="str">
        <f>IF(ISBLANK(Raw_Data!D1833),AVERAGE(Raw_Data!D$2:D$5002),Raw_Data!D1833)</f>
        <v>69074.06</v>
      </c>
      <c r="E1833" s="15" t="str">
        <f>IF(ISBLANK(Raw_Data!E1833),AVERAGE(Raw_Data!E$2:E$5002),Raw_Data!E1833)</f>
        <v>22864.73</v>
      </c>
      <c r="F1833" s="15" t="str">
        <f>IF(ISBLANK(Raw_Data!F1833),AVERAGE(Raw_Data!F$2:F$5002),Raw_Data!F1833)</f>
        <v>14939.90</v>
      </c>
      <c r="G1833" s="14" t="str">
        <f>IF(ISBLANK(Raw_Data!G1833),AVERAGE(Raw_Data!G$2:G$5002),Raw_Data!G1833)</f>
        <v>13443.27</v>
      </c>
      <c r="H1833" s="15" t="str">
        <f t="shared" si="1"/>
        <v>106879.00</v>
      </c>
      <c r="I1833" s="14" t="str">
        <f t="shared" si="2"/>
        <v>93436.00</v>
      </c>
      <c r="J1833" s="16" t="str">
        <f>TEXT(Raw_Data!J1833,"MMM-YYY")</f>
        <v>Dec-2025</v>
      </c>
      <c r="K1833" s="13" t="str">
        <f>Raw_Data!K1833</f>
        <v>20</v>
      </c>
      <c r="L1833" s="17" t="str">
        <f>Raw_Data!L1833</f>
        <v>Chennai-South</v>
      </c>
      <c r="M1833" s="13" t="str">
        <f t="shared" si="3"/>
        <v>OK</v>
      </c>
      <c r="N1833" s="18" t="str">
        <f t="shared" si="4"/>
        <v>VALID</v>
      </c>
    </row>
    <row r="1834" ht="15.75" customHeight="1">
      <c r="A1834" s="13" t="str">
        <f>Raw_Data!A1834</f>
        <v>EMP1924</v>
      </c>
      <c r="B1834" s="13" t="str">
        <f>TRIM(CLEAN(Raw_Data!B1834))</f>
        <v>HR</v>
      </c>
      <c r="C1834" s="18" t="s">
        <v>54</v>
      </c>
      <c r="D1834" s="14" t="str">
        <f>IF(ISBLANK(Raw_Data!D1834),AVERAGE(Raw_Data!D$2:D$5002),Raw_Data!D1834)</f>
        <v>69084.94</v>
      </c>
      <c r="E1834" s="15" t="str">
        <f>IF(ISBLANK(Raw_Data!E1834),AVERAGE(Raw_Data!E$2:E$5002),Raw_Data!E1834)</f>
        <v>22869.34</v>
      </c>
      <c r="F1834" s="15" t="str">
        <f>IF(ISBLANK(Raw_Data!F1834),AVERAGE(Raw_Data!F$2:F$5002),Raw_Data!F1834)</f>
        <v>14947.58</v>
      </c>
      <c r="G1834" s="14" t="str">
        <f>IF(ISBLANK(Raw_Data!G1834),AVERAGE(Raw_Data!G$2:G$5002),Raw_Data!G1834)</f>
        <v>13446.67</v>
      </c>
      <c r="H1834" s="15" t="str">
        <f t="shared" si="1"/>
        <v>106902.00</v>
      </c>
      <c r="I1834" s="14" t="str">
        <f t="shared" si="2"/>
        <v>93455.00</v>
      </c>
      <c r="J1834" s="16" t="str">
        <f>TEXT(Raw_Data!J1834,"MMM-YYY")</f>
        <v>Feb-2025</v>
      </c>
      <c r="K1834" s="13" t="str">
        <f>Raw_Data!K1834</f>
        <v>25</v>
      </c>
      <c r="L1834" s="17" t="str">
        <f>Raw_Data!L1834</f>
        <v>Kolkata-East</v>
      </c>
      <c r="M1834" s="13" t="str">
        <f t="shared" si="3"/>
        <v>OK</v>
      </c>
      <c r="N1834" s="18" t="str">
        <f t="shared" si="4"/>
        <v>VALID</v>
      </c>
    </row>
    <row r="1835" ht="15.75" customHeight="1">
      <c r="A1835" s="13" t="str">
        <f>Raw_Data!A1835</f>
        <v>EMP1925</v>
      </c>
      <c r="B1835" s="13" t="str">
        <f>TRIM(CLEAN(Raw_Data!B1835))</f>
        <v>Customer Support</v>
      </c>
      <c r="C1835" s="18" t="s">
        <v>54</v>
      </c>
      <c r="D1835" s="14" t="str">
        <f>IF(ISBLANK(Raw_Data!D1835),AVERAGE(Raw_Data!D$2:D$5002),Raw_Data!D1835)</f>
        <v>69095.83</v>
      </c>
      <c r="E1835" s="15" t="str">
        <f>IF(ISBLANK(Raw_Data!E1835),AVERAGE(Raw_Data!E$2:E$5002),Raw_Data!E1835)</f>
        <v>22873.96</v>
      </c>
      <c r="F1835" s="15" t="str">
        <f>IF(ISBLANK(Raw_Data!F1835),AVERAGE(Raw_Data!F$2:F$5002),Raw_Data!F1835)</f>
        <v>14955.26</v>
      </c>
      <c r="G1835" s="14" t="str">
        <f>IF(ISBLANK(Raw_Data!G1835),AVERAGE(Raw_Data!G$2:G$5002),Raw_Data!G1835)</f>
        <v>13450.06</v>
      </c>
      <c r="H1835" s="15" t="str">
        <f t="shared" si="1"/>
        <v>106925.00</v>
      </c>
      <c r="I1835" s="14" t="str">
        <f t="shared" si="2"/>
        <v>93475.00</v>
      </c>
      <c r="J1835" s="16" t="str">
        <f>TEXT(Raw_Data!J1835,"MMM-YYY")</f>
        <v>Feb-2025</v>
      </c>
      <c r="K1835" s="13" t="str">
        <f>Raw_Data!K1835</f>
        <v>5</v>
      </c>
      <c r="L1835" s="17" t="str">
        <f>Raw_Data!L1835</f>
        <v>Pune-West</v>
      </c>
      <c r="M1835" s="13" t="str">
        <f t="shared" si="3"/>
        <v>OK</v>
      </c>
      <c r="N1835" s="18" t="str">
        <f t="shared" si="4"/>
        <v>VALID</v>
      </c>
    </row>
    <row r="1836" ht="15.75" customHeight="1">
      <c r="A1836" s="13" t="str">
        <f>Raw_Data!A1836</f>
        <v>EMP1926</v>
      </c>
      <c r="B1836" s="13" t="str">
        <f>TRIM(CLEAN(Raw_Data!B1836))</f>
        <v>Finance</v>
      </c>
      <c r="C1836" s="18" t="s">
        <v>18</v>
      </c>
      <c r="D1836" s="14" t="str">
        <f>IF(ISBLANK(Raw_Data!D1836),AVERAGE(Raw_Data!D$2:D$5002),Raw_Data!D1836)</f>
        <v>69106.71</v>
      </c>
      <c r="E1836" s="15" t="str">
        <f>IF(ISBLANK(Raw_Data!E1836),AVERAGE(Raw_Data!E$2:E$5002),Raw_Data!E1836)</f>
        <v>22878.57</v>
      </c>
      <c r="F1836" s="15" t="str">
        <f>IF(ISBLANK(Raw_Data!F1836),AVERAGE(Raw_Data!F$2:F$5002),Raw_Data!F1836)</f>
        <v>14962.94</v>
      </c>
      <c r="G1836" s="14" t="str">
        <f>IF(ISBLANK(Raw_Data!G1836),AVERAGE(Raw_Data!G$2:G$5002),Raw_Data!G1836)</f>
        <v>13453.46</v>
      </c>
      <c r="H1836" s="15" t="str">
        <f t="shared" si="1"/>
        <v>106948.00</v>
      </c>
      <c r="I1836" s="14" t="str">
        <f t="shared" si="2"/>
        <v>93495.00</v>
      </c>
      <c r="J1836" s="16" t="str">
        <f>TEXT(Raw_Data!J1836,"MMM-YYY")</f>
        <v>Oct-2025</v>
      </c>
      <c r="K1836" s="13" t="str">
        <f>Raw_Data!K1836</f>
        <v>20</v>
      </c>
      <c r="L1836" s="17" t="str">
        <f>Raw_Data!L1836</f>
        <v>Hyderabad-South</v>
      </c>
      <c r="M1836" s="13" t="str">
        <f t="shared" si="3"/>
        <v>OK</v>
      </c>
      <c r="N1836" s="18" t="str">
        <f t="shared" si="4"/>
        <v>VALID</v>
      </c>
    </row>
    <row r="1837" ht="15.75" customHeight="1">
      <c r="A1837" s="13" t="str">
        <f>Raw_Data!A1837</f>
        <v>EMP1927</v>
      </c>
      <c r="B1837" s="13" t="str">
        <f>TRIM(CLEAN(Raw_Data!B1837))</f>
        <v>Marketing</v>
      </c>
      <c r="C1837" s="18" t="s">
        <v>37</v>
      </c>
      <c r="D1837" s="14" t="str">
        <f>IF(ISBLANK(Raw_Data!D1837),AVERAGE(Raw_Data!D$2:D$5002),Raw_Data!D1837)</f>
        <v>69117.59</v>
      </c>
      <c r="E1837" s="15" t="str">
        <f>IF(ISBLANK(Raw_Data!E1837),AVERAGE(Raw_Data!E$2:E$5002),Raw_Data!E1837)</f>
        <v>22883.19</v>
      </c>
      <c r="F1837" s="15" t="str">
        <f>IF(ISBLANK(Raw_Data!F1837),AVERAGE(Raw_Data!F$2:F$5002),Raw_Data!F1837)</f>
        <v>14970.62</v>
      </c>
      <c r="G1837" s="14" t="str">
        <f>IF(ISBLANK(Raw_Data!G1837),AVERAGE(Raw_Data!G$2:G$5002),Raw_Data!G1837)</f>
        <v>13456.86</v>
      </c>
      <c r="H1837" s="15" t="str">
        <f t="shared" si="1"/>
        <v>106971.00</v>
      </c>
      <c r="I1837" s="14" t="str">
        <f t="shared" si="2"/>
        <v>93514.00</v>
      </c>
      <c r="J1837" s="16" t="str">
        <f>TEXT(Raw_Data!J1837,"MMM-YYY")</f>
        <v>Dec-2025</v>
      </c>
      <c r="K1837" s="13" t="str">
        <f>Raw_Data!K1837</f>
        <v>11</v>
      </c>
      <c r="L1837" s="17" t="str">
        <f>Raw_Data!L1837</f>
        <v>Chandigarh-North</v>
      </c>
      <c r="M1837" s="13" t="str">
        <f t="shared" si="3"/>
        <v>OK</v>
      </c>
      <c r="N1837" s="18" t="str">
        <f t="shared" si="4"/>
        <v>VALID</v>
      </c>
    </row>
    <row r="1838" ht="15.75" customHeight="1">
      <c r="A1838" s="13" t="str">
        <f>Raw_Data!A1838</f>
        <v>EMP1928</v>
      </c>
      <c r="B1838" s="13" t="str">
        <f>TRIM(CLEAN(Raw_Data!B1838))</f>
        <v>Marketing</v>
      </c>
      <c r="C1838" s="18" t="s">
        <v>26</v>
      </c>
      <c r="D1838" s="14" t="str">
        <f>IF(ISBLANK(Raw_Data!D1838),AVERAGE(Raw_Data!D$2:D$5002),Raw_Data!D1838)</f>
        <v>71831.17</v>
      </c>
      <c r="E1838" s="15" t="str">
        <f>IF(ISBLANK(Raw_Data!E1838),AVERAGE(Raw_Data!E$2:E$5002),Raw_Data!E1838)</f>
        <v>22887.80</v>
      </c>
      <c r="F1838" s="15" t="str">
        <f>IF(ISBLANK(Raw_Data!F1838),AVERAGE(Raw_Data!F$2:F$5002),Raw_Data!F1838)</f>
        <v>14978.30</v>
      </c>
      <c r="G1838" s="14" t="str">
        <f>IF(ISBLANK(Raw_Data!G1838),AVERAGE(Raw_Data!G$2:G$5002),Raw_Data!G1838)</f>
        <v>13460.26</v>
      </c>
      <c r="H1838" s="15" t="str">
        <f t="shared" si="1"/>
        <v>109697.00</v>
      </c>
      <c r="I1838" s="14" t="str">
        <f t="shared" si="2"/>
        <v>96237.00</v>
      </c>
      <c r="J1838" s="16" t="str">
        <f>TEXT(Raw_Data!J1838,"MMM-YYY")</f>
        <v>Jan-2025</v>
      </c>
      <c r="K1838" s="13" t="str">
        <f>Raw_Data!K1838</f>
        <v>6</v>
      </c>
      <c r="L1838" s="17" t="str">
        <f>Raw_Data!L1838</f>
        <v>Ahmedabad-West</v>
      </c>
      <c r="M1838" s="13" t="str">
        <f t="shared" si="3"/>
        <v>OK</v>
      </c>
      <c r="N1838" s="18" t="str">
        <f t="shared" si="4"/>
        <v>VALID</v>
      </c>
    </row>
    <row r="1839" ht="15.75" customHeight="1">
      <c r="A1839" s="13" t="str">
        <f>Raw_Data!A1839</f>
        <v>EMP1929</v>
      </c>
      <c r="B1839" s="13" t="str">
        <f>TRIM(CLEAN(Raw_Data!B1839))</f>
        <v>Finance</v>
      </c>
      <c r="C1839" s="18" t="s">
        <v>54</v>
      </c>
      <c r="D1839" s="14" t="str">
        <f>IF(ISBLANK(Raw_Data!D1839),AVERAGE(Raw_Data!D$2:D$5002),Raw_Data!D1839)</f>
        <v>69139.36</v>
      </c>
      <c r="E1839" s="15" t="str">
        <f>IF(ISBLANK(Raw_Data!E1839),AVERAGE(Raw_Data!E$2:E$5002),Raw_Data!E1839)</f>
        <v>22892.42</v>
      </c>
      <c r="F1839" s="15" t="str">
        <f>IF(ISBLANK(Raw_Data!F1839),AVERAGE(Raw_Data!F$2:F$5002),Raw_Data!F1839)</f>
        <v>14985.98</v>
      </c>
      <c r="G1839" s="14" t="str">
        <f>IF(ISBLANK(Raw_Data!G1839),AVERAGE(Raw_Data!G$2:G$5002),Raw_Data!G1839)</f>
        <v>14562.73</v>
      </c>
      <c r="H1839" s="15" t="str">
        <f t="shared" si="1"/>
        <v>107018.00</v>
      </c>
      <c r="I1839" s="14" t="str">
        <f t="shared" si="2"/>
        <v>92455.00</v>
      </c>
      <c r="J1839" s="16" t="str">
        <f>TEXT(Raw_Data!J1839,"MMM-YYY")</f>
        <v>Sep-2025</v>
      </c>
      <c r="K1839" s="13" t="str">
        <f>Raw_Data!K1839</f>
        <v>2</v>
      </c>
      <c r="L1839" s="17" t="str">
        <f>Raw_Data!L1839</f>
        <v>Jaipur-North</v>
      </c>
      <c r="M1839" s="13" t="str">
        <f t="shared" si="3"/>
        <v>OK</v>
      </c>
      <c r="N1839" s="18" t="str">
        <f t="shared" si="4"/>
        <v>VALID</v>
      </c>
    </row>
    <row r="1840" ht="15.75" customHeight="1">
      <c r="A1840" s="13" t="str">
        <f>Raw_Data!A1840</f>
        <v>EMP1930</v>
      </c>
      <c r="B1840" s="13" t="str">
        <f>TRIM(CLEAN(Raw_Data!B1840))</f>
        <v>HR</v>
      </c>
      <c r="C1840" s="18" t="s">
        <v>33</v>
      </c>
      <c r="D1840" s="14" t="str">
        <f>IF(ISBLANK(Raw_Data!D1840),AVERAGE(Raw_Data!D$2:D$5002),Raw_Data!D1840)</f>
        <v>69150.24</v>
      </c>
      <c r="E1840" s="15" t="str">
        <f>IF(ISBLANK(Raw_Data!E1840),AVERAGE(Raw_Data!E$2:E$5002),Raw_Data!E1840)</f>
        <v>22897.03</v>
      </c>
      <c r="F1840" s="15" t="str">
        <f>IF(ISBLANK(Raw_Data!F1840),AVERAGE(Raw_Data!F$2:F$5002),Raw_Data!F1840)</f>
        <v>14993.66</v>
      </c>
      <c r="G1840" s="14" t="str">
        <f>IF(ISBLANK(Raw_Data!G1840),AVERAGE(Raw_Data!G$2:G$5002),Raw_Data!G1840)</f>
        <v>13467.05</v>
      </c>
      <c r="H1840" s="15" t="str">
        <f t="shared" si="1"/>
        <v>107041.00</v>
      </c>
      <c r="I1840" s="14" t="str">
        <f t="shared" si="2"/>
        <v>93574.00</v>
      </c>
      <c r="J1840" s="16" t="str">
        <f>TEXT(Raw_Data!J1840,"MMM-YYY")</f>
        <v>Nov-2025</v>
      </c>
      <c r="K1840" s="13" t="str">
        <f>Raw_Data!K1840</f>
        <v>15</v>
      </c>
      <c r="L1840" s="17" t="str">
        <f>Raw_Data!L1840</f>
        <v>Mumbai-HO</v>
      </c>
      <c r="M1840" s="13" t="str">
        <f t="shared" si="3"/>
        <v>OK</v>
      </c>
      <c r="N1840" s="18" t="str">
        <f t="shared" si="4"/>
        <v>VALID</v>
      </c>
    </row>
    <row r="1841" ht="15.75" customHeight="1">
      <c r="A1841" s="13" t="str">
        <f>Raw_Data!A1841</f>
        <v>EMP1931</v>
      </c>
      <c r="B1841" s="13" t="str">
        <f>TRIM(CLEAN(Raw_Data!B1841))</f>
        <v>Customer Support</v>
      </c>
      <c r="C1841" s="18" t="s">
        <v>18</v>
      </c>
      <c r="D1841" s="14" t="str">
        <f>IF(ISBLANK(Raw_Data!D1841),AVERAGE(Raw_Data!D$2:D$5002),Raw_Data!D1841)</f>
        <v>69161.12</v>
      </c>
      <c r="E1841" s="15" t="str">
        <f>IF(ISBLANK(Raw_Data!E1841),AVERAGE(Raw_Data!E$2:E$5002),Raw_Data!E1841)</f>
        <v>22901.65</v>
      </c>
      <c r="F1841" s="15" t="str">
        <f>IF(ISBLANK(Raw_Data!F1841),AVERAGE(Raw_Data!F$2:F$5002),Raw_Data!F1841)</f>
        <v>15001.34</v>
      </c>
      <c r="G1841" s="14" t="str">
        <f>IF(ISBLANK(Raw_Data!G1841),AVERAGE(Raw_Data!G$2:G$5002),Raw_Data!G1841)</f>
        <v>13470.45</v>
      </c>
      <c r="H1841" s="15" t="str">
        <f t="shared" si="1"/>
        <v>107064.00</v>
      </c>
      <c r="I1841" s="14" t="str">
        <f t="shared" si="2"/>
        <v>93594.00</v>
      </c>
      <c r="J1841" s="16" t="str">
        <f>TEXT(Raw_Data!J1841,"MMM-YYY")</f>
        <v>Jul-2025</v>
      </c>
      <c r="K1841" s="13" t="str">
        <f>Raw_Data!K1841</f>
        <v>9</v>
      </c>
      <c r="L1841" s="17" t="str">
        <f>Raw_Data!L1841</f>
        <v>Delhi-North</v>
      </c>
      <c r="M1841" s="13" t="str">
        <f t="shared" si="3"/>
        <v>OK</v>
      </c>
      <c r="N1841" s="18" t="str">
        <f t="shared" si="4"/>
        <v>VALID</v>
      </c>
    </row>
    <row r="1842" ht="15.75" customHeight="1">
      <c r="A1842" s="13" t="str">
        <f>Raw_Data!A1842</f>
        <v>EMP1932</v>
      </c>
      <c r="B1842" s="13" t="str">
        <f>TRIM(CLEAN(Raw_Data!B1842))</f>
        <v>Customer Support</v>
      </c>
      <c r="C1842" s="18" t="s">
        <v>33</v>
      </c>
      <c r="D1842" s="14" t="str">
        <f>IF(ISBLANK(Raw_Data!D1842),AVERAGE(Raw_Data!D$2:D$5002),Raw_Data!D1842)</f>
        <v>69172.01</v>
      </c>
      <c r="E1842" s="15" t="str">
        <f>IF(ISBLANK(Raw_Data!E1842),AVERAGE(Raw_Data!E$2:E$5002),Raw_Data!E1842)</f>
        <v>22906.26</v>
      </c>
      <c r="F1842" s="15" t="str">
        <f>IF(ISBLANK(Raw_Data!F1842),AVERAGE(Raw_Data!F$2:F$5002),Raw_Data!F1842)</f>
        <v>15009.02</v>
      </c>
      <c r="G1842" s="14" t="str">
        <f>IF(ISBLANK(Raw_Data!G1842),AVERAGE(Raw_Data!G$2:G$5002),Raw_Data!G1842)</f>
        <v>13473.85</v>
      </c>
      <c r="H1842" s="15" t="str">
        <f t="shared" si="1"/>
        <v>107087.00</v>
      </c>
      <c r="I1842" s="14" t="str">
        <f t="shared" si="2"/>
        <v>93613.00</v>
      </c>
      <c r="J1842" s="16" t="str">
        <f>TEXT(Raw_Data!J1842,"MMM-YYY")</f>
        <v>Jul-2025</v>
      </c>
      <c r="K1842" s="13" t="str">
        <f>Raw_Data!K1842</f>
        <v>9</v>
      </c>
      <c r="L1842" s="17" t="str">
        <f>Raw_Data!L1842</f>
        <v>Bangalore-South</v>
      </c>
      <c r="M1842" s="13" t="str">
        <f t="shared" si="3"/>
        <v>OK</v>
      </c>
      <c r="N1842" s="18" t="str">
        <f t="shared" si="4"/>
        <v>VALID</v>
      </c>
    </row>
    <row r="1843" ht="15.75" customHeight="1">
      <c r="A1843" s="13" t="str">
        <f>Raw_Data!A1843</f>
        <v>EMP1933</v>
      </c>
      <c r="B1843" s="13" t="str">
        <f>TRIM(CLEAN(Raw_Data!B1843))</f>
        <v>Sales</v>
      </c>
      <c r="C1843" s="18" t="s">
        <v>18</v>
      </c>
      <c r="D1843" s="14" t="str">
        <f>IF(ISBLANK(Raw_Data!D1843),AVERAGE(Raw_Data!D$2:D$5002),Raw_Data!D1843)</f>
        <v>69182.89</v>
      </c>
      <c r="E1843" s="15" t="str">
        <f>IF(ISBLANK(Raw_Data!E1843),AVERAGE(Raw_Data!E$2:E$5002),Raw_Data!E1843)</f>
        <v>22910.87</v>
      </c>
      <c r="F1843" s="15" t="str">
        <f>IF(ISBLANK(Raw_Data!F1843),AVERAGE(Raw_Data!F$2:F$5002),Raw_Data!F1843)</f>
        <v>15016.70</v>
      </c>
      <c r="G1843" s="14" t="str">
        <f>IF(ISBLANK(Raw_Data!G1843),AVERAGE(Raw_Data!G$2:G$5002),Raw_Data!G1843)</f>
        <v>13477.24</v>
      </c>
      <c r="H1843" s="15" t="str">
        <f t="shared" si="1"/>
        <v>107110.00</v>
      </c>
      <c r="I1843" s="14" t="str">
        <f t="shared" si="2"/>
        <v>93633.00</v>
      </c>
      <c r="J1843" s="16" t="str">
        <f>TEXT(Raw_Data!J1843,"MMM-YYY")</f>
        <v>Jan-2025</v>
      </c>
      <c r="K1843" s="13" t="str">
        <f>Raw_Data!K1843</f>
        <v>9</v>
      </c>
      <c r="L1843" s="17" t="str">
        <f>Raw_Data!L1843</f>
        <v>Chennai-South</v>
      </c>
      <c r="M1843" s="13" t="str">
        <f t="shared" si="3"/>
        <v>OK</v>
      </c>
      <c r="N1843" s="18" t="str">
        <f t="shared" si="4"/>
        <v>VALID</v>
      </c>
    </row>
    <row r="1844" ht="15.75" customHeight="1">
      <c r="A1844" s="13" t="str">
        <f>Raw_Data!A1844</f>
        <v>EMP1934</v>
      </c>
      <c r="B1844" s="13" t="str">
        <f>TRIM(CLEAN(Raw_Data!B1844))</f>
        <v>Finance</v>
      </c>
      <c r="C1844" s="18" t="s">
        <v>26</v>
      </c>
      <c r="D1844" s="14" t="str">
        <f>IF(ISBLANK(Raw_Data!D1844),AVERAGE(Raw_Data!D$2:D$5002),Raw_Data!D1844)</f>
        <v>69193.77</v>
      </c>
      <c r="E1844" s="15" t="str">
        <f>IF(ISBLANK(Raw_Data!E1844),AVERAGE(Raw_Data!E$2:E$5002),Raw_Data!E1844)</f>
        <v>22915.49</v>
      </c>
      <c r="F1844" s="15" t="str">
        <f>IF(ISBLANK(Raw_Data!F1844),AVERAGE(Raw_Data!F$2:F$5002),Raw_Data!F1844)</f>
        <v>15024.38</v>
      </c>
      <c r="G1844" s="14" t="str">
        <f>IF(ISBLANK(Raw_Data!G1844),AVERAGE(Raw_Data!G$2:G$5002),Raw_Data!G1844)</f>
        <v>13480.64</v>
      </c>
      <c r="H1844" s="15" t="str">
        <f t="shared" si="1"/>
        <v>107134.00</v>
      </c>
      <c r="I1844" s="14" t="str">
        <f t="shared" si="2"/>
        <v>93653.00</v>
      </c>
      <c r="J1844" s="16" t="str">
        <f>TEXT(Raw_Data!J1844,"MMM-YYY")</f>
        <v>Mar-2025</v>
      </c>
      <c r="K1844" s="13" t="str">
        <f>Raw_Data!K1844</f>
        <v>15</v>
      </c>
      <c r="L1844" s="17" t="str">
        <f>Raw_Data!L1844</f>
        <v>Kolkata-East</v>
      </c>
      <c r="M1844" s="13" t="str">
        <f t="shared" si="3"/>
        <v>OK</v>
      </c>
      <c r="N1844" s="18" t="str">
        <f t="shared" si="4"/>
        <v>VALID</v>
      </c>
    </row>
    <row r="1845" ht="15.75" customHeight="1">
      <c r="A1845" s="13" t="str">
        <f>Raw_Data!A1845</f>
        <v>EMP1935</v>
      </c>
      <c r="B1845" s="13" t="str">
        <f>TRIM(CLEAN(Raw_Data!B1845))</f>
        <v>Sales</v>
      </c>
      <c r="C1845" s="18" t="s">
        <v>30</v>
      </c>
      <c r="D1845" s="14" t="str">
        <f>IF(ISBLANK(Raw_Data!D1845),AVERAGE(Raw_Data!D$2:D$5002),Raw_Data!D1845)</f>
        <v>69204.66</v>
      </c>
      <c r="E1845" s="15" t="str">
        <f>IF(ISBLANK(Raw_Data!E1845),AVERAGE(Raw_Data!E$2:E$5002),Raw_Data!E1845)</f>
        <v>22920.10</v>
      </c>
      <c r="F1845" s="15" t="str">
        <f>IF(ISBLANK(Raw_Data!F1845),AVERAGE(Raw_Data!F$2:F$5002),Raw_Data!F1845)</f>
        <v>15032.06</v>
      </c>
      <c r="G1845" s="14" t="str">
        <f>IF(ISBLANK(Raw_Data!G1845),AVERAGE(Raw_Data!G$2:G$5002),Raw_Data!G1845)</f>
        <v>13484.04</v>
      </c>
      <c r="H1845" s="15" t="str">
        <f t="shared" si="1"/>
        <v>107157.00</v>
      </c>
      <c r="I1845" s="14" t="str">
        <f t="shared" si="2"/>
        <v>93673.00</v>
      </c>
      <c r="J1845" s="16" t="str">
        <f>TEXT(Raw_Data!J1845,"MMM-YYY")</f>
        <v>Jan-2025</v>
      </c>
      <c r="K1845" s="13" t="str">
        <f>Raw_Data!K1845</f>
        <v>14</v>
      </c>
      <c r="L1845" s="17" t="str">
        <f>Raw_Data!L1845</f>
        <v>Pune-West</v>
      </c>
      <c r="M1845" s="13" t="str">
        <f t="shared" si="3"/>
        <v>OK</v>
      </c>
      <c r="N1845" s="18" t="str">
        <f t="shared" si="4"/>
        <v>VALID</v>
      </c>
    </row>
    <row r="1846" ht="15.75" customHeight="1">
      <c r="A1846" s="13" t="str">
        <f>Raw_Data!A1846</f>
        <v>EMP1936</v>
      </c>
      <c r="B1846" s="13" t="str">
        <f>TRIM(CLEAN(Raw_Data!B1846))</f>
        <v>HR</v>
      </c>
      <c r="C1846" s="18" t="s">
        <v>26</v>
      </c>
      <c r="D1846" s="14" t="str">
        <f>IF(ISBLANK(Raw_Data!D1846),AVERAGE(Raw_Data!D$2:D$5002),Raw_Data!D1846)</f>
        <v>69215.54</v>
      </c>
      <c r="E1846" s="15" t="str">
        <f>IF(ISBLANK(Raw_Data!E1846),AVERAGE(Raw_Data!E$2:E$5002),Raw_Data!E1846)</f>
        <v>22924.72</v>
      </c>
      <c r="F1846" s="15" t="str">
        <f>IF(ISBLANK(Raw_Data!F1846),AVERAGE(Raw_Data!F$2:F$5002),Raw_Data!F1846)</f>
        <v>15039.74</v>
      </c>
      <c r="G1846" s="14" t="str">
        <f>IF(ISBLANK(Raw_Data!G1846),AVERAGE(Raw_Data!G$2:G$5002),Raw_Data!G1846)</f>
        <v>13487.44</v>
      </c>
      <c r="H1846" s="15" t="str">
        <f t="shared" si="1"/>
        <v>107180.00</v>
      </c>
      <c r="I1846" s="14" t="str">
        <f t="shared" si="2"/>
        <v>93693.00</v>
      </c>
      <c r="J1846" s="16" t="str">
        <f>TEXT(Raw_Data!J1846,"MMM-YYY")</f>
        <v>Feb-2025</v>
      </c>
      <c r="K1846" s="13" t="str">
        <f>Raw_Data!K1846</f>
        <v>20</v>
      </c>
      <c r="L1846" s="17" t="str">
        <f>Raw_Data!L1846</f>
        <v>Hyderabad-South</v>
      </c>
      <c r="M1846" s="13" t="str">
        <f t="shared" si="3"/>
        <v>OK</v>
      </c>
      <c r="N1846" s="18" t="str">
        <f t="shared" si="4"/>
        <v>VALID</v>
      </c>
    </row>
    <row r="1847" ht="15.75" customHeight="1">
      <c r="A1847" s="13" t="str">
        <f>Raw_Data!A1847</f>
        <v>EMP1937</v>
      </c>
      <c r="B1847" s="13" t="str">
        <f>TRIM(CLEAN(Raw_Data!B1847))</f>
        <v>Operations</v>
      </c>
      <c r="C1847" s="18" t="s">
        <v>30</v>
      </c>
      <c r="D1847" s="14" t="str">
        <f>IF(ISBLANK(Raw_Data!D1847),AVERAGE(Raw_Data!D$2:D$5002),Raw_Data!D1847)</f>
        <v>69226.42</v>
      </c>
      <c r="E1847" s="15" t="str">
        <f>IF(ISBLANK(Raw_Data!E1847),AVERAGE(Raw_Data!E$2:E$5002),Raw_Data!E1847)</f>
        <v>22929.33</v>
      </c>
      <c r="F1847" s="15" t="str">
        <f>IF(ISBLANK(Raw_Data!F1847),AVERAGE(Raw_Data!F$2:F$5002),Raw_Data!F1847)</f>
        <v>15047.42</v>
      </c>
      <c r="G1847" s="14" t="str">
        <f>IF(ISBLANK(Raw_Data!G1847),AVERAGE(Raw_Data!G$2:G$5002),Raw_Data!G1847)</f>
        <v>13490.83</v>
      </c>
      <c r="H1847" s="15" t="str">
        <f t="shared" si="1"/>
        <v>107203.00</v>
      </c>
      <c r="I1847" s="14" t="str">
        <f t="shared" si="2"/>
        <v>93712.00</v>
      </c>
      <c r="J1847" s="16" t="str">
        <f>TEXT(Raw_Data!J1847,"MMM-YYY")</f>
        <v>Aug-2025</v>
      </c>
      <c r="K1847" s="13" t="str">
        <f>Raw_Data!K1847</f>
        <v>2</v>
      </c>
      <c r="L1847" s="17" t="str">
        <f>Raw_Data!L1847</f>
        <v>Chandigarh-North</v>
      </c>
      <c r="M1847" s="13" t="str">
        <f t="shared" si="3"/>
        <v>OK</v>
      </c>
      <c r="N1847" s="18" t="str">
        <f t="shared" si="4"/>
        <v>VALID</v>
      </c>
    </row>
    <row r="1848" ht="15.75" customHeight="1">
      <c r="A1848" s="13" t="str">
        <f>Raw_Data!A1848</f>
        <v>EMP1938</v>
      </c>
      <c r="B1848" s="13" t="str">
        <f>TRIM(CLEAN(Raw_Data!B1848))</f>
        <v>Marketing</v>
      </c>
      <c r="C1848" s="18" t="s">
        <v>54</v>
      </c>
      <c r="D1848" s="14" t="str">
        <f>IF(ISBLANK(Raw_Data!D1848),AVERAGE(Raw_Data!D$2:D$5002),Raw_Data!D1848)</f>
        <v>69237.30</v>
      </c>
      <c r="E1848" s="15" t="str">
        <f>IF(ISBLANK(Raw_Data!E1848),AVERAGE(Raw_Data!E$2:E$5002),Raw_Data!E1848)</f>
        <v>22933.95</v>
      </c>
      <c r="F1848" s="15" t="str">
        <f>IF(ISBLANK(Raw_Data!F1848),AVERAGE(Raw_Data!F$2:F$5002),Raw_Data!F1848)</f>
        <v>15055.10</v>
      </c>
      <c r="G1848" s="14" t="str">
        <f>IF(ISBLANK(Raw_Data!G1848),AVERAGE(Raw_Data!G$2:G$5002),Raw_Data!G1848)</f>
        <v>13494.23</v>
      </c>
      <c r="H1848" s="15" t="str">
        <f t="shared" si="1"/>
        <v>107226.00</v>
      </c>
      <c r="I1848" s="14" t="str">
        <f t="shared" si="2"/>
        <v>93732.00</v>
      </c>
      <c r="J1848" s="16" t="str">
        <f>TEXT(Raw_Data!J1848,"MMM-YYY")</f>
        <v>Jul-2025</v>
      </c>
      <c r="K1848" s="13" t="str">
        <f>Raw_Data!K1848</f>
        <v>25</v>
      </c>
      <c r="L1848" s="17" t="str">
        <f>Raw_Data!L1848</f>
        <v>Ahmedabad-West</v>
      </c>
      <c r="M1848" s="13" t="str">
        <f t="shared" si="3"/>
        <v>OK</v>
      </c>
      <c r="N1848" s="18" t="str">
        <f t="shared" si="4"/>
        <v>VALID</v>
      </c>
    </row>
    <row r="1849" ht="15.75" customHeight="1">
      <c r="A1849" s="13" t="str">
        <f>Raw_Data!A1849</f>
        <v>EMP1939</v>
      </c>
      <c r="B1849" s="13" t="str">
        <f>TRIM(CLEAN(Raw_Data!B1849))</f>
        <v>IT</v>
      </c>
      <c r="C1849" s="18" t="s">
        <v>14</v>
      </c>
      <c r="D1849" s="14" t="str">
        <f>IF(ISBLANK(Raw_Data!D1849),AVERAGE(Raw_Data!D$2:D$5002),Raw_Data!D1849)</f>
        <v>69248.19</v>
      </c>
      <c r="E1849" s="15" t="str">
        <f>IF(ISBLANK(Raw_Data!E1849),AVERAGE(Raw_Data!E$2:E$5002),Raw_Data!E1849)</f>
        <v>22938.56</v>
      </c>
      <c r="F1849" s="15" t="str">
        <f>IF(ISBLANK(Raw_Data!F1849),AVERAGE(Raw_Data!F$2:F$5002),Raw_Data!F1849)</f>
        <v>15062.78</v>
      </c>
      <c r="G1849" s="14" t="str">
        <f>IF(ISBLANK(Raw_Data!G1849),AVERAGE(Raw_Data!G$2:G$5002),Raw_Data!G1849)</f>
        <v>13497.63</v>
      </c>
      <c r="H1849" s="15" t="str">
        <f t="shared" si="1"/>
        <v>107250.00</v>
      </c>
      <c r="I1849" s="14" t="str">
        <f t="shared" si="2"/>
        <v>93752.00</v>
      </c>
      <c r="J1849" s="16" t="str">
        <f>TEXT(Raw_Data!J1849,"MMM-YYY")</f>
        <v>Oct-2025</v>
      </c>
      <c r="K1849" s="13" t="str">
        <f>Raw_Data!K1849</f>
        <v>22</v>
      </c>
      <c r="L1849" s="17" t="str">
        <f>Raw_Data!L1849</f>
        <v>Jaipur-North</v>
      </c>
      <c r="M1849" s="13" t="str">
        <f t="shared" si="3"/>
        <v>OK</v>
      </c>
      <c r="N1849" s="18" t="str">
        <f t="shared" si="4"/>
        <v>VALID</v>
      </c>
    </row>
    <row r="1850" ht="15.75" customHeight="1">
      <c r="A1850" s="13" t="str">
        <f>Raw_Data!A1850</f>
        <v>EMP1940</v>
      </c>
      <c r="B1850" s="13" t="str">
        <f>TRIM(CLEAN(Raw_Data!B1850))</f>
        <v>Marketing</v>
      </c>
      <c r="C1850" s="18" t="s">
        <v>14</v>
      </c>
      <c r="D1850" s="14" t="str">
        <f>IF(ISBLANK(Raw_Data!D1850),AVERAGE(Raw_Data!D$2:D$5002),Raw_Data!D1850)</f>
        <v>69259.07</v>
      </c>
      <c r="E1850" s="15" t="str">
        <f>IF(ISBLANK(Raw_Data!E1850),AVERAGE(Raw_Data!E$2:E$5002),Raw_Data!E1850)</f>
        <v>22943.18</v>
      </c>
      <c r="F1850" s="15" t="str">
        <f>IF(ISBLANK(Raw_Data!F1850),AVERAGE(Raw_Data!F$2:F$5002),Raw_Data!F1850)</f>
        <v>15070.46</v>
      </c>
      <c r="G1850" s="14" t="str">
        <f>IF(ISBLANK(Raw_Data!G1850),AVERAGE(Raw_Data!G$2:G$5002),Raw_Data!G1850)</f>
        <v>13501.03</v>
      </c>
      <c r="H1850" s="15" t="str">
        <f t="shared" si="1"/>
        <v>107273.00</v>
      </c>
      <c r="I1850" s="14" t="str">
        <f t="shared" si="2"/>
        <v>93772.00</v>
      </c>
      <c r="J1850" s="16" t="str">
        <f>TEXT(Raw_Data!J1850,"MMM-YYY")</f>
        <v>Nov-2025</v>
      </c>
      <c r="K1850" s="13" t="str">
        <f>Raw_Data!K1850</f>
        <v>22</v>
      </c>
      <c r="L1850" s="17" t="str">
        <f>Raw_Data!L1850</f>
        <v>Mumbai-HO</v>
      </c>
      <c r="M1850" s="13" t="str">
        <f t="shared" si="3"/>
        <v>OK</v>
      </c>
      <c r="N1850" s="18" t="str">
        <f t="shared" si="4"/>
        <v>VALID</v>
      </c>
    </row>
    <row r="1851" ht="15.75" customHeight="1">
      <c r="A1851" s="13" t="str">
        <f>Raw_Data!A1851</f>
        <v>EMP1941</v>
      </c>
      <c r="B1851" s="13" t="str">
        <f>TRIM(CLEAN(Raw_Data!B1851))</f>
        <v>Operations</v>
      </c>
      <c r="C1851" s="18" t="s">
        <v>18</v>
      </c>
      <c r="D1851" s="14" t="str">
        <f>IF(ISBLANK(Raw_Data!D1851),AVERAGE(Raw_Data!D$2:D$5002),Raw_Data!D1851)</f>
        <v>69269.95</v>
      </c>
      <c r="E1851" s="15" t="str">
        <f>IF(ISBLANK(Raw_Data!E1851),AVERAGE(Raw_Data!E$2:E$5002),Raw_Data!E1851)</f>
        <v>22947.79</v>
      </c>
      <c r="F1851" s="15" t="str">
        <f>IF(ISBLANK(Raw_Data!F1851),AVERAGE(Raw_Data!F$2:F$5002),Raw_Data!F1851)</f>
        <v>15078.14</v>
      </c>
      <c r="G1851" s="14" t="str">
        <f>IF(ISBLANK(Raw_Data!G1851),AVERAGE(Raw_Data!G$2:G$5002),Raw_Data!G1851)</f>
        <v>13504.42</v>
      </c>
      <c r="H1851" s="15" t="str">
        <f t="shared" si="1"/>
        <v>107296.00</v>
      </c>
      <c r="I1851" s="14" t="str">
        <f t="shared" si="2"/>
        <v>93792.00</v>
      </c>
      <c r="J1851" s="16" t="str">
        <f>TEXT(Raw_Data!J1851,"MMM-YYY")</f>
        <v>Aug-2025</v>
      </c>
      <c r="K1851" s="13" t="str">
        <f>Raw_Data!K1851</f>
        <v>8</v>
      </c>
      <c r="L1851" s="17" t="str">
        <f>Raw_Data!L1851</f>
        <v>Delhi-North</v>
      </c>
      <c r="M1851" s="13" t="str">
        <f t="shared" si="3"/>
        <v>OK</v>
      </c>
      <c r="N1851" s="18" t="str">
        <f t="shared" si="4"/>
        <v>VALID</v>
      </c>
    </row>
    <row r="1852" ht="15.75" customHeight="1">
      <c r="A1852" s="13" t="str">
        <f>Raw_Data!A1852</f>
        <v>EMP1942</v>
      </c>
      <c r="B1852" s="13" t="str">
        <f>TRIM(CLEAN(Raw_Data!B1852))</f>
        <v>Marketing</v>
      </c>
      <c r="C1852" s="18" t="s">
        <v>33</v>
      </c>
      <c r="D1852" s="14" t="str">
        <f>IF(ISBLANK(Raw_Data!D1852),AVERAGE(Raw_Data!D$2:D$5002),Raw_Data!D1852)</f>
        <v>69280.84</v>
      </c>
      <c r="E1852" s="15" t="str">
        <f>IF(ISBLANK(Raw_Data!E1852),AVERAGE(Raw_Data!E$2:E$5002),Raw_Data!E1852)</f>
        <v>22952.41</v>
      </c>
      <c r="F1852" s="15" t="str">
        <f>IF(ISBLANK(Raw_Data!F1852),AVERAGE(Raw_Data!F$2:F$5002),Raw_Data!F1852)</f>
        <v>15085.82</v>
      </c>
      <c r="G1852" s="14" t="str">
        <f>IF(ISBLANK(Raw_Data!G1852),AVERAGE(Raw_Data!G$2:G$5002),Raw_Data!G1852)</f>
        <v>13507.82</v>
      </c>
      <c r="H1852" s="15" t="str">
        <f t="shared" si="1"/>
        <v>107319.00</v>
      </c>
      <c r="I1852" s="14" t="str">
        <f t="shared" si="2"/>
        <v>93811.00</v>
      </c>
      <c r="J1852" s="16" t="str">
        <f>TEXT(Raw_Data!J1852,"MMM-YYY")</f>
        <v>Jun-2025</v>
      </c>
      <c r="K1852" s="13" t="str">
        <f>Raw_Data!K1852</f>
        <v>1</v>
      </c>
      <c r="L1852" s="17" t="str">
        <f>Raw_Data!L1852</f>
        <v>Bangalore-South</v>
      </c>
      <c r="M1852" s="13" t="str">
        <f t="shared" si="3"/>
        <v>OK</v>
      </c>
      <c r="N1852" s="18" t="str">
        <f t="shared" si="4"/>
        <v>VALID</v>
      </c>
    </row>
    <row r="1853" ht="15.75" customHeight="1">
      <c r="A1853" s="13" t="str">
        <f>Raw_Data!A1853</f>
        <v>EMP1943</v>
      </c>
      <c r="B1853" s="13" t="str">
        <f>TRIM(CLEAN(Raw_Data!B1853))</f>
        <v>IT</v>
      </c>
      <c r="C1853" s="18" t="s">
        <v>37</v>
      </c>
      <c r="D1853" s="14" t="str">
        <f>IF(ISBLANK(Raw_Data!D1853),AVERAGE(Raw_Data!D$2:D$5002),Raw_Data!D1853)</f>
        <v>69291.72</v>
      </c>
      <c r="E1853" s="15" t="str">
        <f>IF(ISBLANK(Raw_Data!E1853),AVERAGE(Raw_Data!E$2:E$5002),Raw_Data!E1853)</f>
        <v>22957.02</v>
      </c>
      <c r="F1853" s="15" t="str">
        <f>IF(ISBLANK(Raw_Data!F1853),AVERAGE(Raw_Data!F$2:F$5002),Raw_Data!F1853)</f>
        <v>15093.50</v>
      </c>
      <c r="G1853" s="14" t="str">
        <f>IF(ISBLANK(Raw_Data!G1853),AVERAGE(Raw_Data!G$2:G$5002),Raw_Data!G1853)</f>
        <v>13511.22</v>
      </c>
      <c r="H1853" s="15" t="str">
        <f t="shared" si="1"/>
        <v>107342.00</v>
      </c>
      <c r="I1853" s="14" t="str">
        <f t="shared" si="2"/>
        <v>93831.00</v>
      </c>
      <c r="J1853" s="16" t="str">
        <f>TEXT(Raw_Data!J1853,"MMM-YYY")</f>
        <v>Jun-2025</v>
      </c>
      <c r="K1853" s="13" t="str">
        <f>Raw_Data!K1853</f>
        <v>12</v>
      </c>
      <c r="L1853" s="17" t="str">
        <f>Raw_Data!L1853</f>
        <v>Chennai-South</v>
      </c>
      <c r="M1853" s="13" t="str">
        <f t="shared" si="3"/>
        <v>OK</v>
      </c>
      <c r="N1853" s="18" t="str">
        <f t="shared" si="4"/>
        <v>VALID</v>
      </c>
    </row>
    <row r="1854" ht="15.75" customHeight="1">
      <c r="A1854" s="13" t="str">
        <f>Raw_Data!A1854</f>
        <v>EMP1944</v>
      </c>
      <c r="B1854" s="13" t="str">
        <f>TRIM(CLEAN(Raw_Data!B1854))</f>
        <v>Sales</v>
      </c>
      <c r="C1854" s="18" t="s">
        <v>54</v>
      </c>
      <c r="D1854" s="14" t="str">
        <f>IF(ISBLANK(Raw_Data!D1854),AVERAGE(Raw_Data!D$2:D$5002),Raw_Data!D1854)</f>
        <v>69302.60</v>
      </c>
      <c r="E1854" s="15" t="str">
        <f>IF(ISBLANK(Raw_Data!E1854),AVERAGE(Raw_Data!E$2:E$5002),Raw_Data!E1854)</f>
        <v>22961.64</v>
      </c>
      <c r="F1854" s="15" t="str">
        <f>IF(ISBLANK(Raw_Data!F1854),AVERAGE(Raw_Data!F$2:F$5002),Raw_Data!F1854)</f>
        <v>15101.18</v>
      </c>
      <c r="G1854" s="14" t="str">
        <f>IF(ISBLANK(Raw_Data!G1854),AVERAGE(Raw_Data!G$2:G$5002),Raw_Data!G1854)</f>
        <v>13514.62</v>
      </c>
      <c r="H1854" s="15" t="str">
        <f t="shared" si="1"/>
        <v>107365.00</v>
      </c>
      <c r="I1854" s="14" t="str">
        <f t="shared" si="2"/>
        <v>93850.00</v>
      </c>
      <c r="J1854" s="16" t="str">
        <f>TEXT(Raw_Data!J1854,"MMM-YYY")</f>
        <v>Jun-2025</v>
      </c>
      <c r="K1854" s="13" t="str">
        <f>Raw_Data!K1854</f>
        <v>6</v>
      </c>
      <c r="L1854" s="17" t="str">
        <f>Raw_Data!L1854</f>
        <v>Kolkata-East</v>
      </c>
      <c r="M1854" s="13" t="str">
        <f t="shared" si="3"/>
        <v>OK</v>
      </c>
      <c r="N1854" s="18" t="str">
        <f t="shared" si="4"/>
        <v>VALID</v>
      </c>
    </row>
    <row r="1855" ht="15.75" customHeight="1">
      <c r="A1855" s="13" t="str">
        <f>Raw_Data!A1855</f>
        <v>EMP1945</v>
      </c>
      <c r="B1855" s="13" t="str">
        <f>TRIM(CLEAN(Raw_Data!B1855))</f>
        <v>IT</v>
      </c>
      <c r="C1855" s="18" t="s">
        <v>26</v>
      </c>
      <c r="D1855" s="14" t="str">
        <f>IF(ISBLANK(Raw_Data!D1855),AVERAGE(Raw_Data!D$2:D$5002),Raw_Data!D1855)</f>
        <v>69313.49</v>
      </c>
      <c r="E1855" s="15" t="str">
        <f>IF(ISBLANK(Raw_Data!E1855),AVERAGE(Raw_Data!E$2:E$5002),Raw_Data!E1855)</f>
        <v>22966.25</v>
      </c>
      <c r="F1855" s="15" t="str">
        <f>IF(ISBLANK(Raw_Data!F1855),AVERAGE(Raw_Data!F$2:F$5002),Raw_Data!F1855)</f>
        <v>15108.86</v>
      </c>
      <c r="G1855" s="14" t="str">
        <f>IF(ISBLANK(Raw_Data!G1855),AVERAGE(Raw_Data!G$2:G$5002),Raw_Data!G1855)</f>
        <v>13518.01</v>
      </c>
      <c r="H1855" s="15" t="str">
        <f t="shared" si="1"/>
        <v>107389.00</v>
      </c>
      <c r="I1855" s="14" t="str">
        <f t="shared" si="2"/>
        <v>93871.00</v>
      </c>
      <c r="J1855" s="16" t="str">
        <f>TEXT(Raw_Data!J1855,"MMM-YYY")</f>
        <v>Dec-2025</v>
      </c>
      <c r="K1855" s="13" t="str">
        <f>Raw_Data!K1855</f>
        <v>8</v>
      </c>
      <c r="L1855" s="17" t="str">
        <f>Raw_Data!L1855</f>
        <v>Pune-West</v>
      </c>
      <c r="M1855" s="13" t="str">
        <f t="shared" si="3"/>
        <v>OK</v>
      </c>
      <c r="N1855" s="18" t="str">
        <f t="shared" si="4"/>
        <v>VALID</v>
      </c>
    </row>
    <row r="1856" ht="15.75" customHeight="1">
      <c r="A1856" s="13" t="str">
        <f>Raw_Data!A1856</f>
        <v>EMP1946</v>
      </c>
      <c r="B1856" s="13" t="str">
        <f>TRIM(CLEAN(Raw_Data!B1856))</f>
        <v>Sales</v>
      </c>
      <c r="C1856" s="18" t="s">
        <v>14</v>
      </c>
      <c r="D1856" s="14" t="str">
        <f>IF(ISBLANK(Raw_Data!D1856),AVERAGE(Raw_Data!D$2:D$5002),Raw_Data!D1856)</f>
        <v>69324.37</v>
      </c>
      <c r="E1856" s="15" t="str">
        <f>IF(ISBLANK(Raw_Data!E1856),AVERAGE(Raw_Data!E$2:E$5002),Raw_Data!E1856)</f>
        <v>22970.87</v>
      </c>
      <c r="F1856" s="15" t="str">
        <f>IF(ISBLANK(Raw_Data!F1856),AVERAGE(Raw_Data!F$2:F$5002),Raw_Data!F1856)</f>
        <v>15116.54</v>
      </c>
      <c r="G1856" s="14" t="str">
        <f>IF(ISBLANK(Raw_Data!G1856),AVERAGE(Raw_Data!G$2:G$5002),Raw_Data!G1856)</f>
        <v>14562.73</v>
      </c>
      <c r="H1856" s="15" t="str">
        <f t="shared" si="1"/>
        <v>107412.00</v>
      </c>
      <c r="I1856" s="14" t="str">
        <f t="shared" si="2"/>
        <v>92849.00</v>
      </c>
      <c r="J1856" s="16" t="str">
        <f>TEXT(Raw_Data!J1856,"MMM-YYY")</f>
        <v>Feb-2025</v>
      </c>
      <c r="K1856" s="13" t="str">
        <f>Raw_Data!K1856</f>
        <v>25</v>
      </c>
      <c r="L1856" s="17" t="str">
        <f>Raw_Data!L1856</f>
        <v>Hyderabad-South</v>
      </c>
      <c r="M1856" s="13" t="str">
        <f t="shared" si="3"/>
        <v>OK</v>
      </c>
      <c r="N1856" s="18" t="str">
        <f t="shared" si="4"/>
        <v>VALID</v>
      </c>
    </row>
    <row r="1857" ht="15.75" customHeight="1">
      <c r="A1857" s="13" t="str">
        <f>Raw_Data!A1857</f>
        <v>EMP1947</v>
      </c>
      <c r="B1857" s="13" t="str">
        <f>TRIM(CLEAN(Raw_Data!B1857))</f>
        <v>Sales</v>
      </c>
      <c r="C1857" s="18" t="s">
        <v>18</v>
      </c>
      <c r="D1857" s="14" t="str">
        <f>IF(ISBLANK(Raw_Data!D1857),AVERAGE(Raw_Data!D$2:D$5002),Raw_Data!D1857)</f>
        <v>69335.25</v>
      </c>
      <c r="E1857" s="15" t="str">
        <f>IF(ISBLANK(Raw_Data!E1857),AVERAGE(Raw_Data!E$2:E$5002),Raw_Data!E1857)</f>
        <v>22975.48</v>
      </c>
      <c r="F1857" s="15" t="str">
        <f>IF(ISBLANK(Raw_Data!F1857),AVERAGE(Raw_Data!F$2:F$5002),Raw_Data!F1857)</f>
        <v>15124.22</v>
      </c>
      <c r="G1857" s="14" t="str">
        <f>IF(ISBLANK(Raw_Data!G1857),AVERAGE(Raw_Data!G$2:G$5002),Raw_Data!G1857)</f>
        <v>13524.81</v>
      </c>
      <c r="H1857" s="15" t="str">
        <f t="shared" si="1"/>
        <v>107435.00</v>
      </c>
      <c r="I1857" s="14" t="str">
        <f t="shared" si="2"/>
        <v>93910.00</v>
      </c>
      <c r="J1857" s="16" t="str">
        <f>TEXT(Raw_Data!J1857,"MMM-YYY")</f>
        <v>Jun-2025</v>
      </c>
      <c r="K1857" s="13" t="str">
        <f>Raw_Data!K1857</f>
        <v>23</v>
      </c>
      <c r="L1857" s="17" t="str">
        <f>Raw_Data!L1857</f>
        <v>Chandigarh-North</v>
      </c>
      <c r="M1857" s="13" t="str">
        <f t="shared" si="3"/>
        <v>OK</v>
      </c>
      <c r="N1857" s="18" t="str">
        <f t="shared" si="4"/>
        <v>VALID</v>
      </c>
    </row>
    <row r="1858" ht="15.75" customHeight="1">
      <c r="A1858" s="13" t="str">
        <f>Raw_Data!A1858</f>
        <v>EMP1948</v>
      </c>
      <c r="B1858" s="13" t="str">
        <f>TRIM(CLEAN(Raw_Data!B1858))</f>
        <v>Customer Support</v>
      </c>
      <c r="C1858" s="18" t="s">
        <v>54</v>
      </c>
      <c r="D1858" s="14" t="str">
        <f>IF(ISBLANK(Raw_Data!D1858),AVERAGE(Raw_Data!D$2:D$5002),Raw_Data!D1858)</f>
        <v>69346.13</v>
      </c>
      <c r="E1858" s="15" t="str">
        <f>IF(ISBLANK(Raw_Data!E1858),AVERAGE(Raw_Data!E$2:E$5002),Raw_Data!E1858)</f>
        <v>22980.10</v>
      </c>
      <c r="F1858" s="15" t="str">
        <f>IF(ISBLANK(Raw_Data!F1858),AVERAGE(Raw_Data!F$2:F$5002),Raw_Data!F1858)</f>
        <v>15131.90</v>
      </c>
      <c r="G1858" s="14" t="str">
        <f>IF(ISBLANK(Raw_Data!G1858),AVERAGE(Raw_Data!G$2:G$5002),Raw_Data!G1858)</f>
        <v>13528.21</v>
      </c>
      <c r="H1858" s="15" t="str">
        <f t="shared" si="1"/>
        <v>107458.00</v>
      </c>
      <c r="I1858" s="14" t="str">
        <f t="shared" si="2"/>
        <v>93930.00</v>
      </c>
      <c r="J1858" s="16" t="str">
        <f>TEXT(Raw_Data!J1858,"MMM-YYY")</f>
        <v>Oct-2025</v>
      </c>
      <c r="K1858" s="13" t="str">
        <f>Raw_Data!K1858</f>
        <v>24</v>
      </c>
      <c r="L1858" s="17" t="str">
        <f>Raw_Data!L1858</f>
        <v>Ahmedabad-West</v>
      </c>
      <c r="M1858" s="13" t="str">
        <f t="shared" si="3"/>
        <v>OK</v>
      </c>
      <c r="N1858" s="18" t="str">
        <f t="shared" si="4"/>
        <v>VALID</v>
      </c>
    </row>
    <row r="1859" ht="15.75" customHeight="1">
      <c r="A1859" s="13" t="str">
        <f>Raw_Data!A1859</f>
        <v>EMP1949</v>
      </c>
      <c r="B1859" s="13" t="str">
        <f>TRIM(CLEAN(Raw_Data!B1859))</f>
        <v>HR</v>
      </c>
      <c r="C1859" s="18" t="s">
        <v>26</v>
      </c>
      <c r="D1859" s="14" t="str">
        <f>IF(ISBLANK(Raw_Data!D1859),AVERAGE(Raw_Data!D$2:D$5002),Raw_Data!D1859)</f>
        <v>69357.02</v>
      </c>
      <c r="E1859" s="15" t="str">
        <f>IF(ISBLANK(Raw_Data!E1859),AVERAGE(Raw_Data!E$2:E$5002),Raw_Data!E1859)</f>
        <v>22984.71</v>
      </c>
      <c r="F1859" s="15" t="str">
        <f>IF(ISBLANK(Raw_Data!F1859),AVERAGE(Raw_Data!F$2:F$5002),Raw_Data!F1859)</f>
        <v>15139.58</v>
      </c>
      <c r="G1859" s="14" t="str">
        <f>IF(ISBLANK(Raw_Data!G1859),AVERAGE(Raw_Data!G$2:G$5002),Raw_Data!G1859)</f>
        <v>13531.61</v>
      </c>
      <c r="H1859" s="15" t="str">
        <f t="shared" si="1"/>
        <v>107481.00</v>
      </c>
      <c r="I1859" s="14" t="str">
        <f t="shared" si="2"/>
        <v>93949.00</v>
      </c>
      <c r="J1859" s="16" t="str">
        <f>TEXT(Raw_Data!J1859,"MMM-YYY")</f>
        <v>Sep-2025</v>
      </c>
      <c r="K1859" s="13" t="str">
        <f>Raw_Data!K1859</f>
        <v>11</v>
      </c>
      <c r="L1859" s="17" t="str">
        <f>Raw_Data!L1859</f>
        <v>Jaipur-North</v>
      </c>
      <c r="M1859" s="13" t="str">
        <f t="shared" si="3"/>
        <v>OK</v>
      </c>
      <c r="N1859" s="18" t="str">
        <f t="shared" si="4"/>
        <v>VALID</v>
      </c>
    </row>
    <row r="1860" ht="15.75" customHeight="1">
      <c r="A1860" s="13" t="str">
        <f>Raw_Data!A1860</f>
        <v>EMP1950</v>
      </c>
      <c r="B1860" s="13" t="str">
        <f>TRIM(CLEAN(Raw_Data!B1860))</f>
        <v>HR</v>
      </c>
      <c r="C1860" s="18" t="s">
        <v>26</v>
      </c>
      <c r="D1860" s="14" t="str">
        <f>IF(ISBLANK(Raw_Data!D1860),AVERAGE(Raw_Data!D$2:D$5002),Raw_Data!D1860)</f>
        <v>69367.90</v>
      </c>
      <c r="E1860" s="15" t="str">
        <f>IF(ISBLANK(Raw_Data!E1860),AVERAGE(Raw_Data!E$2:E$5002),Raw_Data!E1860)</f>
        <v>22989.32</v>
      </c>
      <c r="F1860" s="15" t="str">
        <f>IF(ISBLANK(Raw_Data!F1860),AVERAGE(Raw_Data!F$2:F$5002),Raw_Data!F1860)</f>
        <v>15147.26</v>
      </c>
      <c r="G1860" s="14" t="str">
        <f>IF(ISBLANK(Raw_Data!G1860),AVERAGE(Raw_Data!G$2:G$5002),Raw_Data!G1860)</f>
        <v>13535.00</v>
      </c>
      <c r="H1860" s="15" t="str">
        <f t="shared" si="1"/>
        <v>107504.00</v>
      </c>
      <c r="I1860" s="14" t="str">
        <f t="shared" si="2"/>
        <v>93969.00</v>
      </c>
      <c r="J1860" s="16" t="str">
        <f>TEXT(Raw_Data!J1860,"MMM-YYY")</f>
        <v>Jul-2025</v>
      </c>
      <c r="K1860" s="13" t="str">
        <f>Raw_Data!K1860</f>
        <v>7</v>
      </c>
      <c r="L1860" s="17" t="str">
        <f>Raw_Data!L1860</f>
        <v>Mumbai-HO</v>
      </c>
      <c r="M1860" s="13" t="str">
        <f t="shared" si="3"/>
        <v>OK</v>
      </c>
      <c r="N1860" s="18" t="str">
        <f t="shared" si="4"/>
        <v>VALID</v>
      </c>
    </row>
    <row r="1861" ht="15.75" customHeight="1">
      <c r="A1861" s="13" t="str">
        <f>Raw_Data!A1861</f>
        <v>EMP1951</v>
      </c>
      <c r="B1861" s="13" t="str">
        <f>TRIM(CLEAN(Raw_Data!B1861))</f>
        <v>Finance</v>
      </c>
      <c r="C1861" s="18" t="s">
        <v>54</v>
      </c>
      <c r="D1861" s="14" t="str">
        <f>IF(ISBLANK(Raw_Data!D1861),AVERAGE(Raw_Data!D$2:D$5002),Raw_Data!D1861)</f>
        <v>69378.78</v>
      </c>
      <c r="E1861" s="15" t="str">
        <f>IF(ISBLANK(Raw_Data!E1861),AVERAGE(Raw_Data!E$2:E$5002),Raw_Data!E1861)</f>
        <v>22993.94</v>
      </c>
      <c r="F1861" s="15" t="str">
        <f>IF(ISBLANK(Raw_Data!F1861),AVERAGE(Raw_Data!F$2:F$5002),Raw_Data!F1861)</f>
        <v>15154.94</v>
      </c>
      <c r="G1861" s="14" t="str">
        <f>IF(ISBLANK(Raw_Data!G1861),AVERAGE(Raw_Data!G$2:G$5002),Raw_Data!G1861)</f>
        <v>13538.40</v>
      </c>
      <c r="H1861" s="15" t="str">
        <f t="shared" si="1"/>
        <v>107528.00</v>
      </c>
      <c r="I1861" s="14" t="str">
        <f t="shared" si="2"/>
        <v>93990.00</v>
      </c>
      <c r="J1861" s="16" t="str">
        <f>TEXT(Raw_Data!J1861,"MMM-YYY")</f>
        <v>Mar-2025</v>
      </c>
      <c r="K1861" s="13" t="str">
        <f>Raw_Data!K1861</f>
        <v>19</v>
      </c>
      <c r="L1861" s="17" t="str">
        <f>Raw_Data!L1861</f>
        <v>Delhi-North</v>
      </c>
      <c r="M1861" s="13" t="str">
        <f t="shared" si="3"/>
        <v>OK</v>
      </c>
      <c r="N1861" s="18" t="str">
        <f t="shared" si="4"/>
        <v>VALID</v>
      </c>
    </row>
    <row r="1862" ht="15.75" customHeight="1">
      <c r="A1862" s="13" t="str">
        <f>Raw_Data!A1862</f>
        <v>EMP1952</v>
      </c>
      <c r="B1862" s="13" t="str">
        <f>TRIM(CLEAN(Raw_Data!B1862))</f>
        <v>Customer Support</v>
      </c>
      <c r="C1862" s="18" t="s">
        <v>37</v>
      </c>
      <c r="D1862" s="14" t="str">
        <f>IF(ISBLANK(Raw_Data!D1862),AVERAGE(Raw_Data!D$2:D$5002),Raw_Data!D1862)</f>
        <v>69389.67</v>
      </c>
      <c r="E1862" s="15" t="str">
        <f>IF(ISBLANK(Raw_Data!E1862),AVERAGE(Raw_Data!E$2:E$5002),Raw_Data!E1862)</f>
        <v>22998.55</v>
      </c>
      <c r="F1862" s="15" t="str">
        <f>IF(ISBLANK(Raw_Data!F1862),AVERAGE(Raw_Data!F$2:F$5002),Raw_Data!F1862)</f>
        <v>15162.62</v>
      </c>
      <c r="G1862" s="14" t="str">
        <f>IF(ISBLANK(Raw_Data!G1862),AVERAGE(Raw_Data!G$2:G$5002),Raw_Data!G1862)</f>
        <v>13541.80</v>
      </c>
      <c r="H1862" s="15" t="str">
        <f t="shared" si="1"/>
        <v>107551.00</v>
      </c>
      <c r="I1862" s="14" t="str">
        <f t="shared" si="2"/>
        <v>94009.00</v>
      </c>
      <c r="J1862" s="16" t="str">
        <f>TEXT(Raw_Data!J1862,"MMM-YYY")</f>
        <v>Nov-2025</v>
      </c>
      <c r="K1862" s="13" t="str">
        <f>Raw_Data!K1862</f>
        <v>19</v>
      </c>
      <c r="L1862" s="17" t="str">
        <f>Raw_Data!L1862</f>
        <v>Bangalore-South</v>
      </c>
      <c r="M1862" s="13" t="str">
        <f t="shared" si="3"/>
        <v>OK</v>
      </c>
      <c r="N1862" s="18" t="str">
        <f t="shared" si="4"/>
        <v>VALID</v>
      </c>
    </row>
    <row r="1863" ht="15.75" customHeight="1">
      <c r="A1863" s="13" t="str">
        <f>Raw_Data!A1863</f>
        <v>EMP1953</v>
      </c>
      <c r="B1863" s="13" t="str">
        <f>TRIM(CLEAN(Raw_Data!B1863))</f>
        <v>Sales</v>
      </c>
      <c r="C1863" s="18" t="s">
        <v>37</v>
      </c>
      <c r="D1863" s="14" t="str">
        <f>IF(ISBLANK(Raw_Data!D1863),AVERAGE(Raw_Data!D$2:D$5002),Raw_Data!D1863)</f>
        <v>69400.55</v>
      </c>
      <c r="E1863" s="15" t="str">
        <f>IF(ISBLANK(Raw_Data!E1863),AVERAGE(Raw_Data!E$2:E$5002),Raw_Data!E1863)</f>
        <v>23003.17</v>
      </c>
      <c r="F1863" s="15" t="str">
        <f>IF(ISBLANK(Raw_Data!F1863),AVERAGE(Raw_Data!F$2:F$5002),Raw_Data!F1863)</f>
        <v>15170.30</v>
      </c>
      <c r="G1863" s="14" t="str">
        <f>IF(ISBLANK(Raw_Data!G1863),AVERAGE(Raw_Data!G$2:G$5002),Raw_Data!G1863)</f>
        <v>13545.20</v>
      </c>
      <c r="H1863" s="15" t="str">
        <f t="shared" si="1"/>
        <v>107574.00</v>
      </c>
      <c r="I1863" s="14" t="str">
        <f t="shared" si="2"/>
        <v>94029.00</v>
      </c>
      <c r="J1863" s="16" t="str">
        <f>TEXT(Raw_Data!J1863,"MMM-YYY")</f>
        <v>Oct-2025</v>
      </c>
      <c r="K1863" s="13" t="str">
        <f>Raw_Data!K1863</f>
        <v>13</v>
      </c>
      <c r="L1863" s="17" t="str">
        <f>Raw_Data!L1863</f>
        <v>Chennai-South</v>
      </c>
      <c r="M1863" s="13" t="str">
        <f t="shared" si="3"/>
        <v>OK</v>
      </c>
      <c r="N1863" s="18" t="str">
        <f t="shared" si="4"/>
        <v>VALID</v>
      </c>
    </row>
    <row r="1864" ht="15.75" customHeight="1">
      <c r="A1864" s="13" t="str">
        <f>Raw_Data!A1864</f>
        <v>EMP1954</v>
      </c>
      <c r="B1864" s="13" t="str">
        <f>TRIM(CLEAN(Raw_Data!B1864))</f>
        <v>Operations</v>
      </c>
      <c r="C1864" s="18" t="s">
        <v>37</v>
      </c>
      <c r="D1864" s="14" t="str">
        <f>IF(ISBLANK(Raw_Data!D1864),AVERAGE(Raw_Data!D$2:D$5002),Raw_Data!D1864)</f>
        <v>69411.43</v>
      </c>
      <c r="E1864" s="15" t="str">
        <f>IF(ISBLANK(Raw_Data!E1864),AVERAGE(Raw_Data!E$2:E$5002),Raw_Data!E1864)</f>
        <v>23007.78</v>
      </c>
      <c r="F1864" s="15" t="str">
        <f>IF(ISBLANK(Raw_Data!F1864),AVERAGE(Raw_Data!F$2:F$5002),Raw_Data!F1864)</f>
        <v>15177.98</v>
      </c>
      <c r="G1864" s="14" t="str">
        <f>IF(ISBLANK(Raw_Data!G1864),AVERAGE(Raw_Data!G$2:G$5002),Raw_Data!G1864)</f>
        <v>13548.59</v>
      </c>
      <c r="H1864" s="15" t="str">
        <f t="shared" si="1"/>
        <v>107597.00</v>
      </c>
      <c r="I1864" s="14" t="str">
        <f t="shared" si="2"/>
        <v>94048.00</v>
      </c>
      <c r="J1864" s="16" t="str">
        <f>TEXT(Raw_Data!J1864,"MMM-YYY")</f>
        <v>May-2025</v>
      </c>
      <c r="K1864" s="13" t="str">
        <f>Raw_Data!K1864</f>
        <v>23</v>
      </c>
      <c r="L1864" s="17" t="str">
        <f>Raw_Data!L1864</f>
        <v>Kolkata-East</v>
      </c>
      <c r="M1864" s="13" t="str">
        <f t="shared" si="3"/>
        <v>OK</v>
      </c>
      <c r="N1864" s="18" t="str">
        <f t="shared" si="4"/>
        <v>VALID</v>
      </c>
    </row>
    <row r="1865" ht="15.75" customHeight="1">
      <c r="A1865" s="13" t="str">
        <f>Raw_Data!A1865</f>
        <v>EMP1955</v>
      </c>
      <c r="B1865" s="13" t="str">
        <f>TRIM(CLEAN(Raw_Data!B1865))</f>
        <v>Sales</v>
      </c>
      <c r="C1865" s="18" t="s">
        <v>26</v>
      </c>
      <c r="D1865" s="14" t="str">
        <f>IF(ISBLANK(Raw_Data!D1865),AVERAGE(Raw_Data!D$2:D$5002),Raw_Data!D1865)</f>
        <v>69422.32</v>
      </c>
      <c r="E1865" s="15" t="str">
        <f>IF(ISBLANK(Raw_Data!E1865),AVERAGE(Raw_Data!E$2:E$5002),Raw_Data!E1865)</f>
        <v>23012.40</v>
      </c>
      <c r="F1865" s="15" t="str">
        <f>IF(ISBLANK(Raw_Data!F1865),AVERAGE(Raw_Data!F$2:F$5002),Raw_Data!F1865)</f>
        <v>15185.66</v>
      </c>
      <c r="G1865" s="14" t="str">
        <f>IF(ISBLANK(Raw_Data!G1865),AVERAGE(Raw_Data!G$2:G$5002),Raw_Data!G1865)</f>
        <v>13551.99</v>
      </c>
      <c r="H1865" s="15" t="str">
        <f t="shared" si="1"/>
        <v>107620.00</v>
      </c>
      <c r="I1865" s="14" t="str">
        <f t="shared" si="2"/>
        <v>94068.00</v>
      </c>
      <c r="J1865" s="16" t="str">
        <f>TEXT(Raw_Data!J1865,"MMM-YYY")</f>
        <v>Dec-2025</v>
      </c>
      <c r="K1865" s="13" t="str">
        <f>Raw_Data!K1865</f>
        <v>1</v>
      </c>
      <c r="L1865" s="17" t="str">
        <f>Raw_Data!L1865</f>
        <v>Pune-West</v>
      </c>
      <c r="M1865" s="13" t="str">
        <f t="shared" si="3"/>
        <v>OK</v>
      </c>
      <c r="N1865" s="18" t="str">
        <f t="shared" si="4"/>
        <v>VALID</v>
      </c>
    </row>
    <row r="1866" ht="15.75" customHeight="1">
      <c r="A1866" s="13" t="str">
        <f>Raw_Data!A1866</f>
        <v>EMP1956</v>
      </c>
      <c r="B1866" s="13" t="str">
        <f>TRIM(CLEAN(Raw_Data!B1866))</f>
        <v>Marketing</v>
      </c>
      <c r="C1866" s="18" t="s">
        <v>26</v>
      </c>
      <c r="D1866" s="14" t="str">
        <f>IF(ISBLANK(Raw_Data!D1866),AVERAGE(Raw_Data!D$2:D$5002),Raw_Data!D1866)</f>
        <v>69433.20</v>
      </c>
      <c r="E1866" s="15" t="str">
        <f>IF(ISBLANK(Raw_Data!E1866),AVERAGE(Raw_Data!E$2:E$5002),Raw_Data!E1866)</f>
        <v>23017.01</v>
      </c>
      <c r="F1866" s="15" t="str">
        <f>IF(ISBLANK(Raw_Data!F1866),AVERAGE(Raw_Data!F$2:F$5002),Raw_Data!F1866)</f>
        <v>15193.34</v>
      </c>
      <c r="G1866" s="14" t="str">
        <f>IF(ISBLANK(Raw_Data!G1866),AVERAGE(Raw_Data!G$2:G$5002),Raw_Data!G1866)</f>
        <v>13555.39</v>
      </c>
      <c r="H1866" s="15" t="str">
        <f t="shared" si="1"/>
        <v>107644.00</v>
      </c>
      <c r="I1866" s="14" t="str">
        <f t="shared" si="2"/>
        <v>94089.00</v>
      </c>
      <c r="J1866" s="16" t="str">
        <f>TEXT(Raw_Data!J1866,"MMM-YYY")</f>
        <v>Dec-2025</v>
      </c>
      <c r="K1866" s="13" t="str">
        <f>Raw_Data!K1866</f>
        <v>6</v>
      </c>
      <c r="L1866" s="17" t="str">
        <f>Raw_Data!L1866</f>
        <v>Hyderabad-South</v>
      </c>
      <c r="M1866" s="13" t="str">
        <f t="shared" si="3"/>
        <v>OK</v>
      </c>
      <c r="N1866" s="18" t="str">
        <f t="shared" si="4"/>
        <v>VALID</v>
      </c>
    </row>
    <row r="1867" ht="15.75" customHeight="1">
      <c r="A1867" s="13" t="str">
        <f>Raw_Data!A1867</f>
        <v>EMP1957</v>
      </c>
      <c r="B1867" s="13" t="str">
        <f>TRIM(CLEAN(Raw_Data!B1867))</f>
        <v>Operations</v>
      </c>
      <c r="C1867" s="18" t="s">
        <v>33</v>
      </c>
      <c r="D1867" s="14" t="str">
        <f>IF(ISBLANK(Raw_Data!D1867),AVERAGE(Raw_Data!D$2:D$5002),Raw_Data!D1867)</f>
        <v>69444.08</v>
      </c>
      <c r="E1867" s="15" t="str">
        <f>IF(ISBLANK(Raw_Data!E1867),AVERAGE(Raw_Data!E$2:E$5002),Raw_Data!E1867)</f>
        <v>23021.63</v>
      </c>
      <c r="F1867" s="15" t="str">
        <f>IF(ISBLANK(Raw_Data!F1867),AVERAGE(Raw_Data!F$2:F$5002),Raw_Data!F1867)</f>
        <v>15201.02</v>
      </c>
      <c r="G1867" s="14" t="str">
        <f>IF(ISBLANK(Raw_Data!G1867),AVERAGE(Raw_Data!G$2:G$5002),Raw_Data!G1867)</f>
        <v>13558.79</v>
      </c>
      <c r="H1867" s="15" t="str">
        <f t="shared" si="1"/>
        <v>107667.00</v>
      </c>
      <c r="I1867" s="14" t="str">
        <f t="shared" si="2"/>
        <v>94108.00</v>
      </c>
      <c r="J1867" s="16" t="str">
        <f>TEXT(Raw_Data!J1867,"MMM-YYY")</f>
        <v>Nov-2025</v>
      </c>
      <c r="K1867" s="13" t="str">
        <f>Raw_Data!K1867</f>
        <v>8</v>
      </c>
      <c r="L1867" s="17" t="str">
        <f>Raw_Data!L1867</f>
        <v>Chandigarh-North</v>
      </c>
      <c r="M1867" s="13" t="str">
        <f t="shared" si="3"/>
        <v>OK</v>
      </c>
      <c r="N1867" s="18" t="str">
        <f t="shared" si="4"/>
        <v>VALID</v>
      </c>
    </row>
    <row r="1868" ht="15.75" customHeight="1">
      <c r="A1868" s="13" t="str">
        <f>Raw_Data!A1868</f>
        <v>EMP1958</v>
      </c>
      <c r="B1868" s="13" t="str">
        <f>TRIM(CLEAN(Raw_Data!B1868))</f>
        <v>Operations</v>
      </c>
      <c r="C1868" s="18" t="s">
        <v>18</v>
      </c>
      <c r="D1868" s="14" t="str">
        <f>IF(ISBLANK(Raw_Data!D1868),AVERAGE(Raw_Data!D$2:D$5002),Raw_Data!D1868)</f>
        <v>69454.96</v>
      </c>
      <c r="E1868" s="15" t="str">
        <f>IF(ISBLANK(Raw_Data!E1868),AVERAGE(Raw_Data!E$2:E$5002),Raw_Data!E1868)</f>
        <v>23026.24</v>
      </c>
      <c r="F1868" s="15" t="str">
        <f>IF(ISBLANK(Raw_Data!F1868),AVERAGE(Raw_Data!F$2:F$5002),Raw_Data!F1868)</f>
        <v>15208.70</v>
      </c>
      <c r="G1868" s="14" t="str">
        <f>IF(ISBLANK(Raw_Data!G1868),AVERAGE(Raw_Data!G$2:G$5002),Raw_Data!G1868)</f>
        <v>13562.18</v>
      </c>
      <c r="H1868" s="15" t="str">
        <f t="shared" si="1"/>
        <v>107690.00</v>
      </c>
      <c r="I1868" s="14" t="str">
        <f t="shared" si="2"/>
        <v>94128.00</v>
      </c>
      <c r="J1868" s="16" t="str">
        <f>TEXT(Raw_Data!J1868,"MMM-YYY")</f>
        <v>Mar-2025</v>
      </c>
      <c r="K1868" s="13" t="str">
        <f>Raw_Data!K1868</f>
        <v>13</v>
      </c>
      <c r="L1868" s="17" t="str">
        <f>Raw_Data!L1868</f>
        <v>Ahmedabad-West</v>
      </c>
      <c r="M1868" s="13" t="str">
        <f t="shared" si="3"/>
        <v>OK</v>
      </c>
      <c r="N1868" s="18" t="str">
        <f t="shared" si="4"/>
        <v>VALID</v>
      </c>
    </row>
    <row r="1869" ht="15.75" customHeight="1">
      <c r="A1869" s="13" t="str">
        <f>Raw_Data!A1869</f>
        <v>EMP1959</v>
      </c>
      <c r="B1869" s="13" t="str">
        <f>TRIM(CLEAN(Raw_Data!B1869))</f>
        <v>IT</v>
      </c>
      <c r="C1869" s="18" t="s">
        <v>18</v>
      </c>
      <c r="D1869" s="14" t="str">
        <f>IF(ISBLANK(Raw_Data!D1869),AVERAGE(Raw_Data!D$2:D$5002),Raw_Data!D1869)</f>
        <v>69465.85</v>
      </c>
      <c r="E1869" s="15" t="str">
        <f>IF(ISBLANK(Raw_Data!E1869),AVERAGE(Raw_Data!E$2:E$5002),Raw_Data!E1869)</f>
        <v>23030.86</v>
      </c>
      <c r="F1869" s="15" t="str">
        <f>IF(ISBLANK(Raw_Data!F1869),AVERAGE(Raw_Data!F$2:F$5002),Raw_Data!F1869)</f>
        <v>15216.38</v>
      </c>
      <c r="G1869" s="14" t="str">
        <f>IF(ISBLANK(Raw_Data!G1869),AVERAGE(Raw_Data!G$2:G$5002),Raw_Data!G1869)</f>
        <v>13565.58</v>
      </c>
      <c r="H1869" s="15" t="str">
        <f t="shared" si="1"/>
        <v>107713.00</v>
      </c>
      <c r="I1869" s="14" t="str">
        <f t="shared" si="2"/>
        <v>94147.00</v>
      </c>
      <c r="J1869" s="16" t="str">
        <f>TEXT(Raw_Data!J1869,"MMM-YYY")</f>
        <v>Jun-2025</v>
      </c>
      <c r="K1869" s="13" t="str">
        <f>Raw_Data!K1869</f>
        <v>8</v>
      </c>
      <c r="L1869" s="17" t="str">
        <f>Raw_Data!L1869</f>
        <v>Jaipur-North</v>
      </c>
      <c r="M1869" s="13" t="str">
        <f t="shared" si="3"/>
        <v>OK</v>
      </c>
      <c r="N1869" s="18" t="str">
        <f t="shared" si="4"/>
        <v>VALID</v>
      </c>
    </row>
    <row r="1870" ht="15.75" customHeight="1">
      <c r="A1870" s="13" t="str">
        <f>Raw_Data!A1870</f>
        <v>EMP1960</v>
      </c>
      <c r="B1870" s="13" t="str">
        <f>TRIM(CLEAN(Raw_Data!B1870))</f>
        <v>Operations</v>
      </c>
      <c r="C1870" s="18" t="s">
        <v>37</v>
      </c>
      <c r="D1870" s="14" t="str">
        <f>IF(ISBLANK(Raw_Data!D1870),AVERAGE(Raw_Data!D$2:D$5002),Raw_Data!D1870)</f>
        <v>69476.73</v>
      </c>
      <c r="E1870" s="15" t="str">
        <f>IF(ISBLANK(Raw_Data!E1870),AVERAGE(Raw_Data!E$2:E$5002),Raw_Data!E1870)</f>
        <v>23035.47</v>
      </c>
      <c r="F1870" s="15" t="str">
        <f>IF(ISBLANK(Raw_Data!F1870),AVERAGE(Raw_Data!F$2:F$5002),Raw_Data!F1870)</f>
        <v>15224.06</v>
      </c>
      <c r="G1870" s="14" t="str">
        <f>IF(ISBLANK(Raw_Data!G1870),AVERAGE(Raw_Data!G$2:G$5002),Raw_Data!G1870)</f>
        <v>13568.98</v>
      </c>
      <c r="H1870" s="15" t="str">
        <f t="shared" si="1"/>
        <v>107736.00</v>
      </c>
      <c r="I1870" s="14" t="str">
        <f t="shared" si="2"/>
        <v>94167.00</v>
      </c>
      <c r="J1870" s="16" t="str">
        <f>TEXT(Raw_Data!J1870,"MMM-YYY")</f>
        <v>Nov-2025</v>
      </c>
      <c r="K1870" s="13" t="str">
        <f>Raw_Data!K1870</f>
        <v>1</v>
      </c>
      <c r="L1870" s="17" t="str">
        <f>Raw_Data!L1870</f>
        <v>Mumbai-HO</v>
      </c>
      <c r="M1870" s="13" t="str">
        <f t="shared" si="3"/>
        <v>OK</v>
      </c>
      <c r="N1870" s="18" t="str">
        <f t="shared" si="4"/>
        <v>VALID</v>
      </c>
    </row>
    <row r="1871" ht="15.75" customHeight="1">
      <c r="A1871" s="13" t="str">
        <f>Raw_Data!A1871</f>
        <v>EMP1961</v>
      </c>
      <c r="B1871" s="13" t="str">
        <f>TRIM(CLEAN(Raw_Data!B1871))</f>
        <v>Operations</v>
      </c>
      <c r="C1871" s="18" t="s">
        <v>54</v>
      </c>
      <c r="D1871" s="14" t="str">
        <f>IF(ISBLANK(Raw_Data!D1871),AVERAGE(Raw_Data!D$2:D$5002),Raw_Data!D1871)</f>
        <v>69487.61</v>
      </c>
      <c r="E1871" s="15" t="str">
        <f>IF(ISBLANK(Raw_Data!E1871),AVERAGE(Raw_Data!E$2:E$5002),Raw_Data!E1871)</f>
        <v>23040.09</v>
      </c>
      <c r="F1871" s="15" t="str">
        <f>IF(ISBLANK(Raw_Data!F1871),AVERAGE(Raw_Data!F$2:F$5002),Raw_Data!F1871)</f>
        <v>15231.74</v>
      </c>
      <c r="G1871" s="14" t="str">
        <f>IF(ISBLANK(Raw_Data!G1871),AVERAGE(Raw_Data!G$2:G$5002),Raw_Data!G1871)</f>
        <v>13572.38</v>
      </c>
      <c r="H1871" s="15" t="str">
        <f t="shared" si="1"/>
        <v>107759.00</v>
      </c>
      <c r="I1871" s="14" t="str">
        <f t="shared" si="2"/>
        <v>94187.00</v>
      </c>
      <c r="J1871" s="16" t="str">
        <f>TEXT(Raw_Data!J1871,"MMM-YYY")</f>
        <v>Jan-2025</v>
      </c>
      <c r="K1871" s="13" t="str">
        <f>Raw_Data!K1871</f>
        <v>23</v>
      </c>
      <c r="L1871" s="17" t="str">
        <f>Raw_Data!L1871</f>
        <v>Delhi-North</v>
      </c>
      <c r="M1871" s="13" t="str">
        <f t="shared" si="3"/>
        <v>OK</v>
      </c>
      <c r="N1871" s="18" t="str">
        <f t="shared" si="4"/>
        <v>VALID</v>
      </c>
    </row>
    <row r="1872" ht="15.75" customHeight="1">
      <c r="A1872" s="13" t="str">
        <f>Raw_Data!A1872</f>
        <v>EMP1962</v>
      </c>
      <c r="B1872" s="13" t="str">
        <f>TRIM(CLEAN(Raw_Data!B1872))</f>
        <v>Sales</v>
      </c>
      <c r="C1872" s="18" t="s">
        <v>26</v>
      </c>
      <c r="D1872" s="14" t="str">
        <f>IF(ISBLANK(Raw_Data!D1872),AVERAGE(Raw_Data!D$2:D$5002),Raw_Data!D1872)</f>
        <v>69498.50</v>
      </c>
      <c r="E1872" s="15" t="str">
        <f>IF(ISBLANK(Raw_Data!E1872),AVERAGE(Raw_Data!E$2:E$5002),Raw_Data!E1872)</f>
        <v>23044.70</v>
      </c>
      <c r="F1872" s="15" t="str">
        <f>IF(ISBLANK(Raw_Data!F1872),AVERAGE(Raw_Data!F$2:F$5002),Raw_Data!F1872)</f>
        <v>15239.42</v>
      </c>
      <c r="G1872" s="14" t="str">
        <f>IF(ISBLANK(Raw_Data!G1872),AVERAGE(Raw_Data!G$2:G$5002),Raw_Data!G1872)</f>
        <v>13575.77</v>
      </c>
      <c r="H1872" s="15" t="str">
        <f t="shared" si="1"/>
        <v>107783.00</v>
      </c>
      <c r="I1872" s="14" t="str">
        <f t="shared" si="2"/>
        <v>94207.00</v>
      </c>
      <c r="J1872" s="16" t="str">
        <f>TEXT(Raw_Data!J1872,"MMM-YYY")</f>
        <v>Apr-2025</v>
      </c>
      <c r="K1872" s="13" t="str">
        <f>Raw_Data!K1872</f>
        <v>4</v>
      </c>
      <c r="L1872" s="17" t="str">
        <f>Raw_Data!L1872</f>
        <v>Bangalore-South</v>
      </c>
      <c r="M1872" s="13" t="str">
        <f t="shared" si="3"/>
        <v>OK</v>
      </c>
      <c r="N1872" s="18" t="str">
        <f t="shared" si="4"/>
        <v>VALID</v>
      </c>
    </row>
    <row r="1873" ht="15.75" customHeight="1">
      <c r="A1873" s="13" t="str">
        <f>Raw_Data!A1873</f>
        <v>EMP1963</v>
      </c>
      <c r="B1873" s="13" t="str">
        <f>TRIM(CLEAN(Raw_Data!B1873))</f>
        <v>Operations</v>
      </c>
      <c r="C1873" s="18" t="s">
        <v>14</v>
      </c>
      <c r="D1873" s="14" t="str">
        <f>IF(ISBLANK(Raw_Data!D1873),AVERAGE(Raw_Data!D$2:D$5002),Raw_Data!D1873)</f>
        <v>69509.38</v>
      </c>
      <c r="E1873" s="15" t="str">
        <f>IF(ISBLANK(Raw_Data!E1873),AVERAGE(Raw_Data!E$2:E$5002),Raw_Data!E1873)</f>
        <v>23049.32</v>
      </c>
      <c r="F1873" s="15" t="str">
        <f>IF(ISBLANK(Raw_Data!F1873),AVERAGE(Raw_Data!F$2:F$5002),Raw_Data!F1873)</f>
        <v>15247.10</v>
      </c>
      <c r="G1873" s="14" t="str">
        <f>IF(ISBLANK(Raw_Data!G1873),AVERAGE(Raw_Data!G$2:G$5002),Raw_Data!G1873)</f>
        <v>13579.17</v>
      </c>
      <c r="H1873" s="15" t="str">
        <f t="shared" si="1"/>
        <v>107806.00</v>
      </c>
      <c r="I1873" s="14" t="str">
        <f t="shared" si="2"/>
        <v>94227.00</v>
      </c>
      <c r="J1873" s="16" t="str">
        <f>TEXT(Raw_Data!J1873,"MMM-YYY")</f>
        <v>Mar-2025</v>
      </c>
      <c r="K1873" s="13" t="str">
        <f>Raw_Data!K1873</f>
        <v>24</v>
      </c>
      <c r="L1873" s="17" t="str">
        <f>Raw_Data!L1873</f>
        <v>Chennai-South</v>
      </c>
      <c r="M1873" s="13" t="str">
        <f t="shared" si="3"/>
        <v>OK</v>
      </c>
      <c r="N1873" s="18" t="str">
        <f t="shared" si="4"/>
        <v>VALID</v>
      </c>
    </row>
    <row r="1874" ht="15.75" customHeight="1">
      <c r="A1874" s="13" t="str">
        <f>Raw_Data!A1874</f>
        <v>EMP1964</v>
      </c>
      <c r="B1874" s="13" t="str">
        <f>TRIM(CLEAN(Raw_Data!B1874))</f>
        <v>IT</v>
      </c>
      <c r="C1874" s="18" t="s">
        <v>26</v>
      </c>
      <c r="D1874" s="14" t="str">
        <f>IF(ISBLANK(Raw_Data!D1874),AVERAGE(Raw_Data!D$2:D$5002),Raw_Data!D1874)</f>
        <v>69520.26</v>
      </c>
      <c r="E1874" s="15" t="str">
        <f>IF(ISBLANK(Raw_Data!E1874),AVERAGE(Raw_Data!E$2:E$5002),Raw_Data!E1874)</f>
        <v>23053.93</v>
      </c>
      <c r="F1874" s="15" t="str">
        <f>IF(ISBLANK(Raw_Data!F1874),AVERAGE(Raw_Data!F$2:F$5002),Raw_Data!F1874)</f>
        <v>15254.78</v>
      </c>
      <c r="G1874" s="14" t="str">
        <f>IF(ISBLANK(Raw_Data!G1874),AVERAGE(Raw_Data!G$2:G$5002),Raw_Data!G1874)</f>
        <v>13582.57</v>
      </c>
      <c r="H1874" s="15" t="str">
        <f t="shared" si="1"/>
        <v>107829.00</v>
      </c>
      <c r="I1874" s="14" t="str">
        <f t="shared" si="2"/>
        <v>94246.00</v>
      </c>
      <c r="J1874" s="16" t="str">
        <f>TEXT(Raw_Data!J1874,"MMM-YYY")</f>
        <v>Jan-2025</v>
      </c>
      <c r="K1874" s="13" t="str">
        <f>Raw_Data!K1874</f>
        <v>20</v>
      </c>
      <c r="L1874" s="17" t="str">
        <f>Raw_Data!L1874</f>
        <v>Kolkata-East</v>
      </c>
      <c r="M1874" s="13" t="str">
        <f t="shared" si="3"/>
        <v>OK</v>
      </c>
      <c r="N1874" s="18" t="str">
        <f t="shared" si="4"/>
        <v>VALID</v>
      </c>
    </row>
    <row r="1875" ht="15.75" customHeight="1">
      <c r="A1875" s="13" t="str">
        <f>Raw_Data!A1875</f>
        <v>EMP1965</v>
      </c>
      <c r="B1875" s="13" t="str">
        <f>TRIM(CLEAN(Raw_Data!B1875))</f>
        <v>Customer Support</v>
      </c>
      <c r="C1875" s="18" t="s">
        <v>14</v>
      </c>
      <c r="D1875" s="14" t="str">
        <f>IF(ISBLANK(Raw_Data!D1875),AVERAGE(Raw_Data!D$2:D$5002),Raw_Data!D1875)</f>
        <v>69531.15</v>
      </c>
      <c r="E1875" s="15" t="str">
        <f>IF(ISBLANK(Raw_Data!E1875),AVERAGE(Raw_Data!E$2:E$5002),Raw_Data!E1875)</f>
        <v>23058.55</v>
      </c>
      <c r="F1875" s="15" t="str">
        <f>IF(ISBLANK(Raw_Data!F1875),AVERAGE(Raw_Data!F$2:F$5002),Raw_Data!F1875)</f>
        <v>15262.46</v>
      </c>
      <c r="G1875" s="14" t="str">
        <f>IF(ISBLANK(Raw_Data!G1875),AVERAGE(Raw_Data!G$2:G$5002),Raw_Data!G1875)</f>
        <v>13585.97</v>
      </c>
      <c r="H1875" s="15" t="str">
        <f t="shared" si="1"/>
        <v>107852.00</v>
      </c>
      <c r="I1875" s="14" t="str">
        <f t="shared" si="2"/>
        <v>94266.00</v>
      </c>
      <c r="J1875" s="16" t="str">
        <f>TEXT(Raw_Data!J1875,"MMM-YYY")</f>
        <v>Sep-2025</v>
      </c>
      <c r="K1875" s="13" t="str">
        <f>Raw_Data!K1875</f>
        <v>14</v>
      </c>
      <c r="L1875" s="17" t="str">
        <f>Raw_Data!L1875</f>
        <v>Pune-West</v>
      </c>
      <c r="M1875" s="13" t="str">
        <f t="shared" si="3"/>
        <v>OK</v>
      </c>
      <c r="N1875" s="18" t="str">
        <f t="shared" si="4"/>
        <v>VALID</v>
      </c>
    </row>
    <row r="1876" ht="15.75" customHeight="1">
      <c r="A1876" s="13" t="str">
        <f>Raw_Data!A1876</f>
        <v>EMP1966</v>
      </c>
      <c r="B1876" s="13" t="str">
        <f>TRIM(CLEAN(Raw_Data!B1876))</f>
        <v>IT</v>
      </c>
      <c r="C1876" s="18" t="s">
        <v>26</v>
      </c>
      <c r="D1876" s="14" t="str">
        <f>IF(ISBLANK(Raw_Data!D1876),AVERAGE(Raw_Data!D$2:D$5002),Raw_Data!D1876)</f>
        <v>69542.03</v>
      </c>
      <c r="E1876" s="15" t="str">
        <f>IF(ISBLANK(Raw_Data!E1876),AVERAGE(Raw_Data!E$2:E$5002),Raw_Data!E1876)</f>
        <v>23063.16</v>
      </c>
      <c r="F1876" s="15" t="str">
        <f>IF(ISBLANK(Raw_Data!F1876),AVERAGE(Raw_Data!F$2:F$5002),Raw_Data!F1876)</f>
        <v>15270.14</v>
      </c>
      <c r="G1876" s="14" t="str">
        <f>IF(ISBLANK(Raw_Data!G1876),AVERAGE(Raw_Data!G$2:G$5002),Raw_Data!G1876)</f>
        <v>13589.36</v>
      </c>
      <c r="H1876" s="15" t="str">
        <f t="shared" si="1"/>
        <v>107875.00</v>
      </c>
      <c r="I1876" s="14" t="str">
        <f t="shared" si="2"/>
        <v>94286.00</v>
      </c>
      <c r="J1876" s="16" t="str">
        <f>TEXT(Raw_Data!J1876,"MMM-YYY")</f>
        <v>Dec-2025</v>
      </c>
      <c r="K1876" s="13" t="str">
        <f>Raw_Data!K1876</f>
        <v>14</v>
      </c>
      <c r="L1876" s="17" t="str">
        <f>Raw_Data!L1876</f>
        <v>Hyderabad-South</v>
      </c>
      <c r="M1876" s="13" t="str">
        <f t="shared" si="3"/>
        <v>OK</v>
      </c>
      <c r="N1876" s="18" t="str">
        <f t="shared" si="4"/>
        <v>VALID</v>
      </c>
    </row>
    <row r="1877" ht="15.75" customHeight="1">
      <c r="A1877" s="13" t="str">
        <f>Raw_Data!A1877</f>
        <v>EMP1967</v>
      </c>
      <c r="B1877" s="13" t="str">
        <f>TRIM(CLEAN(Raw_Data!B1877))</f>
        <v>Customer Support</v>
      </c>
      <c r="C1877" s="18" t="s">
        <v>30</v>
      </c>
      <c r="D1877" s="14" t="str">
        <f>IF(ISBLANK(Raw_Data!D1877),AVERAGE(Raw_Data!D$2:D$5002),Raw_Data!D1877)</f>
        <v>69552.91</v>
      </c>
      <c r="E1877" s="15" t="str">
        <f>IF(ISBLANK(Raw_Data!E1877),AVERAGE(Raw_Data!E$2:E$5002),Raw_Data!E1877)</f>
        <v>23067.78</v>
      </c>
      <c r="F1877" s="15" t="str">
        <f>IF(ISBLANK(Raw_Data!F1877),AVERAGE(Raw_Data!F$2:F$5002),Raw_Data!F1877)</f>
        <v>15277.82</v>
      </c>
      <c r="G1877" s="14" t="str">
        <f>IF(ISBLANK(Raw_Data!G1877),AVERAGE(Raw_Data!G$2:G$5002),Raw_Data!G1877)</f>
        <v>13592.76</v>
      </c>
      <c r="H1877" s="15" t="str">
        <f t="shared" si="1"/>
        <v>107899.00</v>
      </c>
      <c r="I1877" s="14" t="str">
        <f t="shared" si="2"/>
        <v>94306.00</v>
      </c>
      <c r="J1877" s="16" t="str">
        <f>TEXT(Raw_Data!J1877,"MMM-YYY")</f>
        <v>Nov-2025</v>
      </c>
      <c r="K1877" s="13" t="str">
        <f>Raw_Data!K1877</f>
        <v>19</v>
      </c>
      <c r="L1877" s="17" t="str">
        <f>Raw_Data!L1877</f>
        <v>Chandigarh-North</v>
      </c>
      <c r="M1877" s="13" t="str">
        <f t="shared" si="3"/>
        <v>OK</v>
      </c>
      <c r="N1877" s="18" t="str">
        <f t="shared" si="4"/>
        <v>VALID</v>
      </c>
    </row>
    <row r="1878" ht="15.75" customHeight="1">
      <c r="A1878" s="13" t="str">
        <f>Raw_Data!A1878</f>
        <v>EMP1968</v>
      </c>
      <c r="B1878" s="13" t="str">
        <f>TRIM(CLEAN(Raw_Data!B1878))</f>
        <v>IT</v>
      </c>
      <c r="C1878" s="18" t="s">
        <v>18</v>
      </c>
      <c r="D1878" s="14" t="str">
        <f>IF(ISBLANK(Raw_Data!D1878),AVERAGE(Raw_Data!D$2:D$5002),Raw_Data!D1878)</f>
        <v>69563.79</v>
      </c>
      <c r="E1878" s="15" t="str">
        <f>IF(ISBLANK(Raw_Data!E1878),AVERAGE(Raw_Data!E$2:E$5002),Raw_Data!E1878)</f>
        <v>23072.39</v>
      </c>
      <c r="F1878" s="15" t="str">
        <f>IF(ISBLANK(Raw_Data!F1878),AVERAGE(Raw_Data!F$2:F$5002),Raw_Data!F1878)</f>
        <v>15285.50</v>
      </c>
      <c r="G1878" s="14" t="str">
        <f>IF(ISBLANK(Raw_Data!G1878),AVERAGE(Raw_Data!G$2:G$5002),Raw_Data!G1878)</f>
        <v>13596.16</v>
      </c>
      <c r="H1878" s="15" t="str">
        <f t="shared" si="1"/>
        <v>107922.00</v>
      </c>
      <c r="I1878" s="14" t="str">
        <f t="shared" si="2"/>
        <v>94326.00</v>
      </c>
      <c r="J1878" s="16" t="str">
        <f>TEXT(Raw_Data!J1878,"MMM-YYY")</f>
        <v>Aug-2025</v>
      </c>
      <c r="K1878" s="13" t="str">
        <f>Raw_Data!K1878</f>
        <v>18</v>
      </c>
      <c r="L1878" s="17" t="str">
        <f>Raw_Data!L1878</f>
        <v>Ahmedabad-West</v>
      </c>
      <c r="M1878" s="13" t="str">
        <f t="shared" si="3"/>
        <v>OK</v>
      </c>
      <c r="N1878" s="18" t="str">
        <f t="shared" si="4"/>
        <v>VALID</v>
      </c>
    </row>
    <row r="1879" ht="15.75" customHeight="1">
      <c r="A1879" s="13" t="str">
        <f>Raw_Data!A1879</f>
        <v>EMP1969</v>
      </c>
      <c r="B1879" s="13" t="str">
        <f>TRIM(CLEAN(Raw_Data!B1879))</f>
        <v>IT</v>
      </c>
      <c r="C1879" s="18" t="s">
        <v>37</v>
      </c>
      <c r="D1879" s="14" t="str">
        <f>IF(ISBLANK(Raw_Data!D1879),AVERAGE(Raw_Data!D$2:D$5002),Raw_Data!D1879)</f>
        <v>69574.68</v>
      </c>
      <c r="E1879" s="15" t="str">
        <f>IF(ISBLANK(Raw_Data!E1879),AVERAGE(Raw_Data!E$2:E$5002),Raw_Data!E1879)</f>
        <v>23077.00</v>
      </c>
      <c r="F1879" s="15" t="str">
        <f>IF(ISBLANK(Raw_Data!F1879),AVERAGE(Raw_Data!F$2:F$5002),Raw_Data!F1879)</f>
        <v>15293.18</v>
      </c>
      <c r="G1879" s="14" t="str">
        <f>IF(ISBLANK(Raw_Data!G1879),AVERAGE(Raw_Data!G$2:G$5002),Raw_Data!G1879)</f>
        <v>13599.56</v>
      </c>
      <c r="H1879" s="15" t="str">
        <f t="shared" si="1"/>
        <v>107945.00</v>
      </c>
      <c r="I1879" s="14" t="str">
        <f t="shared" si="2"/>
        <v>94345.00</v>
      </c>
      <c r="J1879" s="16" t="str">
        <f>TEXT(Raw_Data!J1879,"MMM-YYY")</f>
        <v>Oct-2025</v>
      </c>
      <c r="K1879" s="13" t="str">
        <f>Raw_Data!K1879</f>
        <v>22</v>
      </c>
      <c r="L1879" s="17" t="str">
        <f>Raw_Data!L1879</f>
        <v>Jaipur-North</v>
      </c>
      <c r="M1879" s="13" t="str">
        <f t="shared" si="3"/>
        <v>OK</v>
      </c>
      <c r="N1879" s="18" t="str">
        <f t="shared" si="4"/>
        <v>VALID</v>
      </c>
    </row>
    <row r="1880" ht="15.75" customHeight="1">
      <c r="A1880" s="13" t="str">
        <f>Raw_Data!A1880</f>
        <v>EMP1970</v>
      </c>
      <c r="B1880" s="13" t="str">
        <f>TRIM(CLEAN(Raw_Data!B1880))</f>
        <v>Customer Support</v>
      </c>
      <c r="C1880" s="18" t="s">
        <v>30</v>
      </c>
      <c r="D1880" s="14" t="str">
        <f>IF(ISBLANK(Raw_Data!D1880),AVERAGE(Raw_Data!D$2:D$5002),Raw_Data!D1880)</f>
        <v>69585.56</v>
      </c>
      <c r="E1880" s="15" t="str">
        <f>IF(ISBLANK(Raw_Data!E1880),AVERAGE(Raw_Data!E$2:E$5002),Raw_Data!E1880)</f>
        <v>23081.62</v>
      </c>
      <c r="F1880" s="15" t="str">
        <f>IF(ISBLANK(Raw_Data!F1880),AVERAGE(Raw_Data!F$2:F$5002),Raw_Data!F1880)</f>
        <v>15300.86</v>
      </c>
      <c r="G1880" s="14" t="str">
        <f>IF(ISBLANK(Raw_Data!G1880),AVERAGE(Raw_Data!G$2:G$5002),Raw_Data!G1880)</f>
        <v>13602.95</v>
      </c>
      <c r="H1880" s="15" t="str">
        <f t="shared" si="1"/>
        <v>107968.00</v>
      </c>
      <c r="I1880" s="14" t="str">
        <f t="shared" si="2"/>
        <v>94365.00</v>
      </c>
      <c r="J1880" s="16" t="str">
        <f>TEXT(Raw_Data!J1880,"MMM-YYY")</f>
        <v>May-2025</v>
      </c>
      <c r="K1880" s="13" t="str">
        <f>Raw_Data!K1880</f>
        <v>4</v>
      </c>
      <c r="L1880" s="17" t="str">
        <f>Raw_Data!L1880</f>
        <v>Mumbai-HO</v>
      </c>
      <c r="M1880" s="13" t="str">
        <f t="shared" si="3"/>
        <v>OK</v>
      </c>
      <c r="N1880" s="18" t="str">
        <f t="shared" si="4"/>
        <v>VALID</v>
      </c>
    </row>
    <row r="1881" ht="15.75" customHeight="1">
      <c r="A1881" s="13" t="str">
        <f>Raw_Data!A1881</f>
        <v>EMP1971</v>
      </c>
      <c r="B1881" s="13" t="str">
        <f>TRIM(CLEAN(Raw_Data!B1881))</f>
        <v>Operations</v>
      </c>
      <c r="C1881" s="18" t="s">
        <v>18</v>
      </c>
      <c r="D1881" s="14" t="str">
        <f>IF(ISBLANK(Raw_Data!D1881),AVERAGE(Raw_Data!D$2:D$5002),Raw_Data!D1881)</f>
        <v>69596.44</v>
      </c>
      <c r="E1881" s="15" t="str">
        <f>IF(ISBLANK(Raw_Data!E1881),AVERAGE(Raw_Data!E$2:E$5002),Raw_Data!E1881)</f>
        <v>23086.23</v>
      </c>
      <c r="F1881" s="15" t="str">
        <f>IF(ISBLANK(Raw_Data!F1881),AVERAGE(Raw_Data!F$2:F$5002),Raw_Data!F1881)</f>
        <v>15308.54</v>
      </c>
      <c r="G1881" s="14" t="str">
        <f>IF(ISBLANK(Raw_Data!G1881),AVERAGE(Raw_Data!G$2:G$5002),Raw_Data!G1881)</f>
        <v>13606.35</v>
      </c>
      <c r="H1881" s="15" t="str">
        <f t="shared" si="1"/>
        <v>107991.00</v>
      </c>
      <c r="I1881" s="14" t="str">
        <f t="shared" si="2"/>
        <v>94385.00</v>
      </c>
      <c r="J1881" s="16" t="str">
        <f>TEXT(Raw_Data!J1881,"MMM-YYY")</f>
        <v>Dec-2025</v>
      </c>
      <c r="K1881" s="13" t="str">
        <f>Raw_Data!K1881</f>
        <v>11</v>
      </c>
      <c r="L1881" s="17" t="str">
        <f>Raw_Data!L1881</f>
        <v>Delhi-North</v>
      </c>
      <c r="M1881" s="13" t="str">
        <f t="shared" si="3"/>
        <v>OK</v>
      </c>
      <c r="N1881" s="18" t="str">
        <f t="shared" si="4"/>
        <v>VALID</v>
      </c>
    </row>
    <row r="1882" ht="15.75" customHeight="1">
      <c r="A1882" s="13" t="str">
        <f>Raw_Data!A1882</f>
        <v>EMP1972</v>
      </c>
      <c r="B1882" s="13" t="str">
        <f>TRIM(CLEAN(Raw_Data!B1882))</f>
        <v>Marketing</v>
      </c>
      <c r="C1882" s="18" t="s">
        <v>30</v>
      </c>
      <c r="D1882" s="14" t="str">
        <f>IF(ISBLANK(Raw_Data!D1882),AVERAGE(Raw_Data!D$2:D$5002),Raw_Data!D1882)</f>
        <v>69607.33</v>
      </c>
      <c r="E1882" s="15" t="str">
        <f>IF(ISBLANK(Raw_Data!E1882),AVERAGE(Raw_Data!E$2:E$5002),Raw_Data!E1882)</f>
        <v>23090.85</v>
      </c>
      <c r="F1882" s="15" t="str">
        <f>IF(ISBLANK(Raw_Data!F1882),AVERAGE(Raw_Data!F$2:F$5002),Raw_Data!F1882)</f>
        <v>15316.22</v>
      </c>
      <c r="G1882" s="14" t="str">
        <f>IF(ISBLANK(Raw_Data!G1882),AVERAGE(Raw_Data!G$2:G$5002),Raw_Data!G1882)</f>
        <v>13609.75</v>
      </c>
      <c r="H1882" s="15" t="str">
        <f t="shared" si="1"/>
        <v>108014.00</v>
      </c>
      <c r="I1882" s="14" t="str">
        <f t="shared" si="2"/>
        <v>94404.00</v>
      </c>
      <c r="J1882" s="16" t="str">
        <f>TEXT(Raw_Data!J1882,"MMM-YYY")</f>
        <v>Mar-2025</v>
      </c>
      <c r="K1882" s="13" t="str">
        <f>Raw_Data!K1882</f>
        <v>21</v>
      </c>
      <c r="L1882" s="17" t="str">
        <f>Raw_Data!L1882</f>
        <v>Bangalore-South</v>
      </c>
      <c r="M1882" s="13" t="str">
        <f t="shared" si="3"/>
        <v>OK</v>
      </c>
      <c r="N1882" s="18" t="str">
        <f t="shared" si="4"/>
        <v>VALID</v>
      </c>
    </row>
    <row r="1883" ht="15.75" customHeight="1">
      <c r="A1883" s="13" t="str">
        <f>Raw_Data!A1883</f>
        <v>EMP1973</v>
      </c>
      <c r="B1883" s="13" t="str">
        <f>TRIM(CLEAN(Raw_Data!B1883))</f>
        <v>Operations</v>
      </c>
      <c r="C1883" s="18" t="s">
        <v>14</v>
      </c>
      <c r="D1883" s="14" t="str">
        <f>IF(ISBLANK(Raw_Data!D1883),AVERAGE(Raw_Data!D$2:D$5002),Raw_Data!D1883)</f>
        <v>69618.21</v>
      </c>
      <c r="E1883" s="15" t="str">
        <f>IF(ISBLANK(Raw_Data!E1883),AVERAGE(Raw_Data!E$2:E$5002),Raw_Data!E1883)</f>
        <v>23095.46</v>
      </c>
      <c r="F1883" s="15" t="str">
        <f>IF(ISBLANK(Raw_Data!F1883),AVERAGE(Raw_Data!F$2:F$5002),Raw_Data!F1883)</f>
        <v>15323.90</v>
      </c>
      <c r="G1883" s="14" t="str">
        <f>IF(ISBLANK(Raw_Data!G1883),AVERAGE(Raw_Data!G$2:G$5002),Raw_Data!G1883)</f>
        <v>13613.15</v>
      </c>
      <c r="H1883" s="15" t="str">
        <f t="shared" si="1"/>
        <v>108038.00</v>
      </c>
      <c r="I1883" s="14" t="str">
        <f t="shared" si="2"/>
        <v>94425.00</v>
      </c>
      <c r="J1883" s="16" t="str">
        <f>TEXT(Raw_Data!J1883,"MMM-YYY")</f>
        <v>Mar-2025</v>
      </c>
      <c r="K1883" s="13" t="str">
        <f>Raw_Data!K1883</f>
        <v>6</v>
      </c>
      <c r="L1883" s="17" t="str">
        <f>Raw_Data!L1883</f>
        <v>Chennai-South</v>
      </c>
      <c r="M1883" s="13" t="str">
        <f t="shared" si="3"/>
        <v>OK</v>
      </c>
      <c r="N1883" s="18" t="str">
        <f t="shared" si="4"/>
        <v>VALID</v>
      </c>
    </row>
    <row r="1884" ht="15.75" customHeight="1">
      <c r="A1884" s="13" t="str">
        <f>Raw_Data!A1884</f>
        <v>EMP1974</v>
      </c>
      <c r="B1884" s="13" t="str">
        <f>TRIM(CLEAN(Raw_Data!B1884))</f>
        <v>Finance</v>
      </c>
      <c r="C1884" s="18" t="s">
        <v>37</v>
      </c>
      <c r="D1884" s="14" t="str">
        <f>IF(ISBLANK(Raw_Data!D1884),AVERAGE(Raw_Data!D$2:D$5002),Raw_Data!D1884)</f>
        <v>69629.09</v>
      </c>
      <c r="E1884" s="15" t="str">
        <f>IF(ISBLANK(Raw_Data!E1884),AVERAGE(Raw_Data!E$2:E$5002),Raw_Data!E1884)</f>
        <v>23100.08</v>
      </c>
      <c r="F1884" s="15" t="str">
        <f>IF(ISBLANK(Raw_Data!F1884),AVERAGE(Raw_Data!F$2:F$5002),Raw_Data!F1884)</f>
        <v>15331.58</v>
      </c>
      <c r="G1884" s="14" t="str">
        <f>IF(ISBLANK(Raw_Data!G1884),AVERAGE(Raw_Data!G$2:G$5002),Raw_Data!G1884)</f>
        <v>13616.54</v>
      </c>
      <c r="H1884" s="15" t="str">
        <f t="shared" si="1"/>
        <v>108061.00</v>
      </c>
      <c r="I1884" s="14" t="str">
        <f t="shared" si="2"/>
        <v>94444.00</v>
      </c>
      <c r="J1884" s="16" t="str">
        <f>TEXT(Raw_Data!J1884,"MMM-YYY")</f>
        <v>Nov-2025</v>
      </c>
      <c r="K1884" s="13" t="str">
        <f>Raw_Data!K1884</f>
        <v>14</v>
      </c>
      <c r="L1884" s="17" t="str">
        <f>Raw_Data!L1884</f>
        <v>Kolkata-East</v>
      </c>
      <c r="M1884" s="13" t="str">
        <f t="shared" si="3"/>
        <v>OK</v>
      </c>
      <c r="N1884" s="18" t="str">
        <f t="shared" si="4"/>
        <v>VALID</v>
      </c>
    </row>
    <row r="1885" ht="15.75" customHeight="1">
      <c r="A1885" s="13" t="str">
        <f>Raw_Data!A1885</f>
        <v>EMP1975</v>
      </c>
      <c r="B1885" s="13" t="str">
        <f>TRIM(CLEAN(Raw_Data!B1885))</f>
        <v>HR</v>
      </c>
      <c r="C1885" s="18" t="s">
        <v>30</v>
      </c>
      <c r="D1885" s="14" t="str">
        <f>IF(ISBLANK(Raw_Data!D1885),AVERAGE(Raw_Data!D$2:D$5002),Raw_Data!D1885)</f>
        <v>69639.97</v>
      </c>
      <c r="E1885" s="15" t="str">
        <f>IF(ISBLANK(Raw_Data!E1885),AVERAGE(Raw_Data!E$2:E$5002),Raw_Data!E1885)</f>
        <v>23104.69</v>
      </c>
      <c r="F1885" s="15" t="str">
        <f>IF(ISBLANK(Raw_Data!F1885),AVERAGE(Raw_Data!F$2:F$5002),Raw_Data!F1885)</f>
        <v>15339.26</v>
      </c>
      <c r="G1885" s="14" t="str">
        <f>IF(ISBLANK(Raw_Data!G1885),AVERAGE(Raw_Data!G$2:G$5002),Raw_Data!G1885)</f>
        <v>13619.94</v>
      </c>
      <c r="H1885" s="15" t="str">
        <f t="shared" si="1"/>
        <v>108084.00</v>
      </c>
      <c r="I1885" s="14" t="str">
        <f t="shared" si="2"/>
        <v>94464.00</v>
      </c>
      <c r="J1885" s="16" t="str">
        <f>TEXT(Raw_Data!J1885,"MMM-YYY")</f>
        <v>Jun-2025</v>
      </c>
      <c r="K1885" s="13" t="str">
        <f>Raw_Data!K1885</f>
        <v>14</v>
      </c>
      <c r="L1885" s="17" t="str">
        <f>Raw_Data!L1885</f>
        <v>Pune-West</v>
      </c>
      <c r="M1885" s="13" t="str">
        <f t="shared" si="3"/>
        <v>OK</v>
      </c>
      <c r="N1885" s="18" t="str">
        <f t="shared" si="4"/>
        <v>VALID</v>
      </c>
    </row>
    <row r="1886" ht="15.75" customHeight="1">
      <c r="A1886" s="13" t="str">
        <f>Raw_Data!A1886</f>
        <v>EMP1977</v>
      </c>
      <c r="B1886" s="13" t="s">
        <v>13</v>
      </c>
      <c r="C1886" s="18" t="s">
        <v>26</v>
      </c>
      <c r="D1886" s="14" t="str">
        <f>IF(ISBLANK(Raw_Data!D1886),AVERAGE(Raw_Data!D$2:D$5002),Raw_Data!D1886)</f>
        <v>69661.74</v>
      </c>
      <c r="E1886" s="15" t="str">
        <f>IF(ISBLANK(Raw_Data!E1886),AVERAGE(Raw_Data!E$2:E$5002),Raw_Data!E1886)</f>
        <v>23113.92</v>
      </c>
      <c r="F1886" s="15" t="str">
        <f>IF(ISBLANK(Raw_Data!F1886),AVERAGE(Raw_Data!F$2:F$5002),Raw_Data!F1886)</f>
        <v>15354.62</v>
      </c>
      <c r="G1886" s="14" t="str">
        <f>IF(ISBLANK(Raw_Data!G1886),AVERAGE(Raw_Data!G$2:G$5002),Raw_Data!G1886)</f>
        <v>13626.74</v>
      </c>
      <c r="H1886" s="15" t="str">
        <f t="shared" si="1"/>
        <v>108130.00</v>
      </c>
      <c r="I1886" s="14" t="str">
        <f t="shared" si="2"/>
        <v>94503.00</v>
      </c>
      <c r="J1886" s="16" t="str">
        <f>TEXT(Raw_Data!J1886,"MMM-YYY")</f>
        <v>Feb-2025</v>
      </c>
      <c r="K1886" s="13" t="str">
        <f>Raw_Data!K1886</f>
        <v>23</v>
      </c>
      <c r="L1886" s="17" t="str">
        <f>Raw_Data!L1886</f>
        <v>Chandigarh-North</v>
      </c>
      <c r="M1886" s="13" t="str">
        <f t="shared" si="3"/>
        <v>OK</v>
      </c>
      <c r="N1886" s="18" t="str">
        <f t="shared" si="4"/>
        <v>VALID</v>
      </c>
    </row>
    <row r="1887" ht="15.75" customHeight="1">
      <c r="A1887" s="13" t="str">
        <f>Raw_Data!A1887</f>
        <v>EMP1978</v>
      </c>
      <c r="B1887" s="13" t="str">
        <f>TRIM(CLEAN(Raw_Data!B1887))</f>
        <v>HR</v>
      </c>
      <c r="C1887" s="18" t="s">
        <v>26</v>
      </c>
      <c r="D1887" s="14" t="str">
        <f>IF(ISBLANK(Raw_Data!D1887),AVERAGE(Raw_Data!D$2:D$5002),Raw_Data!D1887)</f>
        <v>69672.62</v>
      </c>
      <c r="E1887" s="15" t="str">
        <f>IF(ISBLANK(Raw_Data!E1887),AVERAGE(Raw_Data!E$2:E$5002),Raw_Data!E1887)</f>
        <v>23118.54</v>
      </c>
      <c r="F1887" s="15" t="str">
        <f>IF(ISBLANK(Raw_Data!F1887),AVERAGE(Raw_Data!F$2:F$5002),Raw_Data!F1887)</f>
        <v>15362.30</v>
      </c>
      <c r="G1887" s="14" t="str">
        <f>IF(ISBLANK(Raw_Data!G1887),AVERAGE(Raw_Data!G$2:G$5002),Raw_Data!G1887)</f>
        <v>13630.13</v>
      </c>
      <c r="H1887" s="15" t="str">
        <f t="shared" si="1"/>
        <v>108153.00</v>
      </c>
      <c r="I1887" s="14" t="str">
        <f t="shared" si="2"/>
        <v>94523.00</v>
      </c>
      <c r="J1887" s="16" t="str">
        <f>TEXT(Raw_Data!J1887,"MMM-YYY")</f>
        <v>May-2025</v>
      </c>
      <c r="K1887" s="13" t="str">
        <f>Raw_Data!K1887</f>
        <v>5</v>
      </c>
      <c r="L1887" s="17" t="str">
        <f>Raw_Data!L1887</f>
        <v>Ahmedabad-West</v>
      </c>
      <c r="M1887" s="13" t="str">
        <f t="shared" si="3"/>
        <v>OK</v>
      </c>
      <c r="N1887" s="18" t="str">
        <f t="shared" si="4"/>
        <v>VALID</v>
      </c>
    </row>
    <row r="1888" ht="15.75" customHeight="1">
      <c r="A1888" s="13" t="str">
        <f>Raw_Data!A1888</f>
        <v>EMP1979</v>
      </c>
      <c r="B1888" s="13" t="str">
        <f>TRIM(CLEAN(Raw_Data!B1888))</f>
        <v>IT</v>
      </c>
      <c r="C1888" s="18" t="s">
        <v>30</v>
      </c>
      <c r="D1888" s="14" t="str">
        <f>IF(ISBLANK(Raw_Data!D1888),AVERAGE(Raw_Data!D$2:D$5002),Raw_Data!D1888)</f>
        <v>69683.51</v>
      </c>
      <c r="E1888" s="15" t="str">
        <f>IF(ISBLANK(Raw_Data!E1888),AVERAGE(Raw_Data!E$2:E$5002),Raw_Data!E1888)</f>
        <v>23123.15</v>
      </c>
      <c r="F1888" s="15" t="str">
        <f>IF(ISBLANK(Raw_Data!F1888),AVERAGE(Raw_Data!F$2:F$5002),Raw_Data!F1888)</f>
        <v>15369.98</v>
      </c>
      <c r="G1888" s="14" t="str">
        <f>IF(ISBLANK(Raw_Data!G1888),AVERAGE(Raw_Data!G$2:G$5002),Raw_Data!G1888)</f>
        <v>13633.53</v>
      </c>
      <c r="H1888" s="15" t="str">
        <f t="shared" si="1"/>
        <v>108177.00</v>
      </c>
      <c r="I1888" s="14" t="str">
        <f t="shared" si="2"/>
        <v>94543.00</v>
      </c>
      <c r="J1888" s="16" t="str">
        <f>TEXT(Raw_Data!J1888,"MMM-YYY")</f>
        <v>Nov-2025</v>
      </c>
      <c r="K1888" s="13" t="str">
        <f>Raw_Data!K1888</f>
        <v>5</v>
      </c>
      <c r="L1888" s="17" t="str">
        <f>Raw_Data!L1888</f>
        <v>Jaipur-North</v>
      </c>
      <c r="M1888" s="13" t="str">
        <f t="shared" si="3"/>
        <v>OK</v>
      </c>
      <c r="N1888" s="18" t="str">
        <f t="shared" si="4"/>
        <v>VALID</v>
      </c>
    </row>
    <row r="1889" ht="15.75" customHeight="1">
      <c r="A1889" s="13" t="str">
        <f>Raw_Data!A1889</f>
        <v>EMP1980</v>
      </c>
      <c r="B1889" s="13" t="str">
        <f>TRIM(CLEAN(Raw_Data!B1889))</f>
        <v>Finance</v>
      </c>
      <c r="C1889" s="18" t="s">
        <v>26</v>
      </c>
      <c r="D1889" s="14" t="str">
        <f>IF(ISBLANK(Raw_Data!D1889),AVERAGE(Raw_Data!D$2:D$5002),Raw_Data!D1889)</f>
        <v>69694.39</v>
      </c>
      <c r="E1889" s="15" t="str">
        <f>IF(ISBLANK(Raw_Data!E1889),AVERAGE(Raw_Data!E$2:E$5002),Raw_Data!E1889)</f>
        <v>23127.77</v>
      </c>
      <c r="F1889" s="15" t="str">
        <f>IF(ISBLANK(Raw_Data!F1889),AVERAGE(Raw_Data!F$2:F$5002),Raw_Data!F1889)</f>
        <v>15377.66</v>
      </c>
      <c r="G1889" s="14" t="str">
        <f>IF(ISBLANK(Raw_Data!G1889),AVERAGE(Raw_Data!G$2:G$5002),Raw_Data!G1889)</f>
        <v>13636.93</v>
      </c>
      <c r="H1889" s="15" t="str">
        <f t="shared" si="1"/>
        <v>108200.00</v>
      </c>
      <c r="I1889" s="14" t="str">
        <f t="shared" si="2"/>
        <v>94563.00</v>
      </c>
      <c r="J1889" s="16" t="str">
        <f>TEXT(Raw_Data!J1889,"MMM-YYY")</f>
        <v>Oct-2025</v>
      </c>
      <c r="K1889" s="13" t="str">
        <f>Raw_Data!K1889</f>
        <v>12</v>
      </c>
      <c r="L1889" s="17" t="str">
        <f>Raw_Data!L1889</f>
        <v>Mumbai-HO</v>
      </c>
      <c r="M1889" s="13" t="str">
        <f t="shared" si="3"/>
        <v>OK</v>
      </c>
      <c r="N1889" s="18" t="str">
        <f t="shared" si="4"/>
        <v>VALID</v>
      </c>
    </row>
    <row r="1890" ht="15.75" customHeight="1">
      <c r="A1890" s="13" t="str">
        <f>Raw_Data!A1890</f>
        <v>EMP1981</v>
      </c>
      <c r="B1890" s="13" t="str">
        <f>TRIM(CLEAN(Raw_Data!B1890))</f>
        <v>HR</v>
      </c>
      <c r="C1890" s="18" t="s">
        <v>14</v>
      </c>
      <c r="D1890" s="14" t="str">
        <f>IF(ISBLANK(Raw_Data!D1890),AVERAGE(Raw_Data!D$2:D$5002),Raw_Data!D1890)</f>
        <v>69705.27</v>
      </c>
      <c r="E1890" s="15" t="str">
        <f>IF(ISBLANK(Raw_Data!E1890),AVERAGE(Raw_Data!E$2:E$5002),Raw_Data!E1890)</f>
        <v>23132.38</v>
      </c>
      <c r="F1890" s="15" t="str">
        <f>IF(ISBLANK(Raw_Data!F1890),AVERAGE(Raw_Data!F$2:F$5002),Raw_Data!F1890)</f>
        <v>15385.34</v>
      </c>
      <c r="G1890" s="14" t="str">
        <f>IF(ISBLANK(Raw_Data!G1890),AVERAGE(Raw_Data!G$2:G$5002),Raw_Data!G1890)</f>
        <v>13640.33</v>
      </c>
      <c r="H1890" s="15" t="str">
        <f t="shared" si="1"/>
        <v>108223.00</v>
      </c>
      <c r="I1890" s="14" t="str">
        <f t="shared" si="2"/>
        <v>94583.00</v>
      </c>
      <c r="J1890" s="16" t="str">
        <f>TEXT(Raw_Data!J1890,"MMM-YYY")</f>
        <v>Feb-2025</v>
      </c>
      <c r="K1890" s="13" t="str">
        <f>Raw_Data!K1890</f>
        <v>12</v>
      </c>
      <c r="L1890" s="17" t="str">
        <f>Raw_Data!L1890</f>
        <v>Delhi-North</v>
      </c>
      <c r="M1890" s="13" t="str">
        <f t="shared" si="3"/>
        <v>OK</v>
      </c>
      <c r="N1890" s="18" t="str">
        <f t="shared" si="4"/>
        <v>VALID</v>
      </c>
    </row>
    <row r="1891" ht="15.75" customHeight="1">
      <c r="A1891" s="13" t="str">
        <f>Raw_Data!A1891</f>
        <v>EMP1982</v>
      </c>
      <c r="B1891" s="13" t="str">
        <f>TRIM(CLEAN(Raw_Data!B1891))</f>
        <v>Operations</v>
      </c>
      <c r="C1891" s="18" t="s">
        <v>30</v>
      </c>
      <c r="D1891" s="14" t="str">
        <f>IF(ISBLANK(Raw_Data!D1891),AVERAGE(Raw_Data!D$2:D$5002),Raw_Data!D1891)</f>
        <v>69716.16</v>
      </c>
      <c r="E1891" s="15" t="str">
        <f>IF(ISBLANK(Raw_Data!E1891),AVERAGE(Raw_Data!E$2:E$5002),Raw_Data!E1891)</f>
        <v>23137.00</v>
      </c>
      <c r="F1891" s="15" t="str">
        <f>IF(ISBLANK(Raw_Data!F1891),AVERAGE(Raw_Data!F$2:F$5002),Raw_Data!F1891)</f>
        <v>15393.02</v>
      </c>
      <c r="G1891" s="14" t="str">
        <f>IF(ISBLANK(Raw_Data!G1891),AVERAGE(Raw_Data!G$2:G$5002),Raw_Data!G1891)</f>
        <v>13643.72</v>
      </c>
      <c r="H1891" s="15" t="str">
        <f t="shared" si="1"/>
        <v>108246.00</v>
      </c>
      <c r="I1891" s="14" t="str">
        <f t="shared" si="2"/>
        <v>94602.00</v>
      </c>
      <c r="J1891" s="16" t="str">
        <f>TEXT(Raw_Data!J1891,"MMM-YYY")</f>
        <v>Jun-2025</v>
      </c>
      <c r="K1891" s="13" t="str">
        <f>Raw_Data!K1891</f>
        <v>1</v>
      </c>
      <c r="L1891" s="17" t="str">
        <f>Raw_Data!L1891</f>
        <v>Bangalore-South</v>
      </c>
      <c r="M1891" s="13" t="str">
        <f t="shared" si="3"/>
        <v>OK</v>
      </c>
      <c r="N1891" s="18" t="str">
        <f t="shared" si="4"/>
        <v>VALID</v>
      </c>
    </row>
    <row r="1892" ht="15.75" customHeight="1">
      <c r="A1892" s="13" t="str">
        <f>Raw_Data!A1892</f>
        <v>EMP1983</v>
      </c>
      <c r="B1892" s="13" t="str">
        <f>TRIM(CLEAN(Raw_Data!B1892))</f>
        <v>Marketing</v>
      </c>
      <c r="C1892" s="18" t="s">
        <v>33</v>
      </c>
      <c r="D1892" s="14" t="str">
        <f>IF(ISBLANK(Raw_Data!D1892),AVERAGE(Raw_Data!D$2:D$5002),Raw_Data!D1892)</f>
        <v>69727.04</v>
      </c>
      <c r="E1892" s="15" t="str">
        <f>IF(ISBLANK(Raw_Data!E1892),AVERAGE(Raw_Data!E$2:E$5002),Raw_Data!E1892)</f>
        <v>23141.61</v>
      </c>
      <c r="F1892" s="15" t="str">
        <f>IF(ISBLANK(Raw_Data!F1892),AVERAGE(Raw_Data!F$2:F$5002),Raw_Data!F1892)</f>
        <v>15400.70</v>
      </c>
      <c r="G1892" s="14" t="str">
        <f>IF(ISBLANK(Raw_Data!G1892),AVERAGE(Raw_Data!G$2:G$5002),Raw_Data!G1892)</f>
        <v>13647.12</v>
      </c>
      <c r="H1892" s="15" t="str">
        <f t="shared" si="1"/>
        <v>108269.00</v>
      </c>
      <c r="I1892" s="14" t="str">
        <f t="shared" si="2"/>
        <v>94622.00</v>
      </c>
      <c r="J1892" s="16" t="str">
        <f>TEXT(Raw_Data!J1892,"MMM-YYY")</f>
        <v>Nov-2025</v>
      </c>
      <c r="K1892" s="13" t="str">
        <f>Raw_Data!K1892</f>
        <v>2</v>
      </c>
      <c r="L1892" s="17" t="str">
        <f>Raw_Data!L1892</f>
        <v>Chennai-South</v>
      </c>
      <c r="M1892" s="13" t="str">
        <f t="shared" si="3"/>
        <v>OK</v>
      </c>
      <c r="N1892" s="18" t="str">
        <f t="shared" si="4"/>
        <v>VALID</v>
      </c>
    </row>
    <row r="1893" ht="15.75" customHeight="1">
      <c r="A1893" s="13" t="str">
        <f>Raw_Data!A1893</f>
        <v>EMP1984</v>
      </c>
      <c r="B1893" s="13" t="str">
        <f>TRIM(CLEAN(Raw_Data!B1893))</f>
        <v>Operations</v>
      </c>
      <c r="C1893" s="18" t="s">
        <v>26</v>
      </c>
      <c r="D1893" s="14" t="str">
        <f>IF(ISBLANK(Raw_Data!D1893),AVERAGE(Raw_Data!D$2:D$5002),Raw_Data!D1893)</f>
        <v>69737.92</v>
      </c>
      <c r="E1893" s="15" t="str">
        <f>IF(ISBLANK(Raw_Data!E1893),AVERAGE(Raw_Data!E$2:E$5002),Raw_Data!E1893)</f>
        <v>23146.23</v>
      </c>
      <c r="F1893" s="15" t="str">
        <f>IF(ISBLANK(Raw_Data!F1893),AVERAGE(Raw_Data!F$2:F$5002),Raw_Data!F1893)</f>
        <v>15408.38</v>
      </c>
      <c r="G1893" s="14" t="str">
        <f>IF(ISBLANK(Raw_Data!G1893),AVERAGE(Raw_Data!G$2:G$5002),Raw_Data!G1893)</f>
        <v>13650.52</v>
      </c>
      <c r="H1893" s="15" t="str">
        <f t="shared" si="1"/>
        <v>108293.00</v>
      </c>
      <c r="I1893" s="14" t="str">
        <f t="shared" si="2"/>
        <v>94642.00</v>
      </c>
      <c r="J1893" s="16" t="str">
        <f>TEXT(Raw_Data!J1893,"MMM-YYY")</f>
        <v>Sep-2025</v>
      </c>
      <c r="K1893" s="13" t="str">
        <f>Raw_Data!K1893</f>
        <v>12</v>
      </c>
      <c r="L1893" s="17" t="str">
        <f>Raw_Data!L1893</f>
        <v>Kolkata-East</v>
      </c>
      <c r="M1893" s="13" t="str">
        <f t="shared" si="3"/>
        <v>OK</v>
      </c>
      <c r="N1893" s="18" t="str">
        <f t="shared" si="4"/>
        <v>VALID</v>
      </c>
    </row>
    <row r="1894" ht="15.75" customHeight="1">
      <c r="A1894" s="13" t="str">
        <f>Raw_Data!A1894</f>
        <v>EMP1985</v>
      </c>
      <c r="B1894" s="13" t="str">
        <f>TRIM(CLEAN(Raw_Data!B1894))</f>
        <v>Finance</v>
      </c>
      <c r="C1894" s="18" t="s">
        <v>33</v>
      </c>
      <c r="D1894" s="14" t="str">
        <f>IF(ISBLANK(Raw_Data!D1894),AVERAGE(Raw_Data!D$2:D$5002),Raw_Data!D1894)</f>
        <v>69748.80</v>
      </c>
      <c r="E1894" s="15" t="str">
        <f>IF(ISBLANK(Raw_Data!E1894),AVERAGE(Raw_Data!E$2:E$5002),Raw_Data!E1894)</f>
        <v>23150.84</v>
      </c>
      <c r="F1894" s="15" t="str">
        <f>IF(ISBLANK(Raw_Data!F1894),AVERAGE(Raw_Data!F$2:F$5002),Raw_Data!F1894)</f>
        <v>15416.06</v>
      </c>
      <c r="G1894" s="14" t="str">
        <f>IF(ISBLANK(Raw_Data!G1894),AVERAGE(Raw_Data!G$2:G$5002),Raw_Data!G1894)</f>
        <v>13653.92</v>
      </c>
      <c r="H1894" s="15" t="str">
        <f t="shared" si="1"/>
        <v>108316.00</v>
      </c>
      <c r="I1894" s="14" t="str">
        <f t="shared" si="2"/>
        <v>94662.00</v>
      </c>
      <c r="J1894" s="16" t="str">
        <f>TEXT(Raw_Data!J1894,"MMM-YYY")</f>
        <v>Apr-2025</v>
      </c>
      <c r="K1894" s="13" t="str">
        <f>Raw_Data!K1894</f>
        <v>17</v>
      </c>
      <c r="L1894" s="17" t="str">
        <f>Raw_Data!L1894</f>
        <v>Pune-West</v>
      </c>
      <c r="M1894" s="13" t="str">
        <f t="shared" si="3"/>
        <v>OK</v>
      </c>
      <c r="N1894" s="18" t="str">
        <f t="shared" si="4"/>
        <v>VALID</v>
      </c>
    </row>
    <row r="1895" ht="15.75" customHeight="1">
      <c r="A1895" s="13" t="str">
        <f>Raw_Data!A1895</f>
        <v>EMP1986</v>
      </c>
      <c r="B1895" s="13" t="str">
        <f>TRIM(CLEAN(Raw_Data!B1895))</f>
        <v>Operations</v>
      </c>
      <c r="C1895" s="18" t="s">
        <v>14</v>
      </c>
      <c r="D1895" s="14" t="str">
        <f>IF(ISBLANK(Raw_Data!D1895),AVERAGE(Raw_Data!D$2:D$5002),Raw_Data!D1895)</f>
        <v>69759.69</v>
      </c>
      <c r="E1895" s="15" t="str">
        <f>IF(ISBLANK(Raw_Data!E1895),AVERAGE(Raw_Data!E$2:E$5002),Raw_Data!E1895)</f>
        <v>23155.45</v>
      </c>
      <c r="F1895" s="15" t="str">
        <f>IF(ISBLANK(Raw_Data!F1895),AVERAGE(Raw_Data!F$2:F$5002),Raw_Data!F1895)</f>
        <v>15423.74</v>
      </c>
      <c r="G1895" s="14" t="str">
        <f>IF(ISBLANK(Raw_Data!G1895),AVERAGE(Raw_Data!G$2:G$5002),Raw_Data!G1895)</f>
        <v>13657.31</v>
      </c>
      <c r="H1895" s="15" t="str">
        <f t="shared" si="1"/>
        <v>108339.00</v>
      </c>
      <c r="I1895" s="14" t="str">
        <f t="shared" si="2"/>
        <v>94682.00</v>
      </c>
      <c r="J1895" s="16" t="str">
        <f>TEXT(Raw_Data!J1895,"MMM-YYY")</f>
        <v>Dec-2025</v>
      </c>
      <c r="K1895" s="13" t="str">
        <f>Raw_Data!K1895</f>
        <v>21</v>
      </c>
      <c r="L1895" s="17" t="str">
        <f>Raw_Data!L1895</f>
        <v>Hyderabad-South</v>
      </c>
      <c r="M1895" s="13" t="str">
        <f t="shared" si="3"/>
        <v>OK</v>
      </c>
      <c r="N1895" s="18" t="str">
        <f t="shared" si="4"/>
        <v>VALID</v>
      </c>
    </row>
    <row r="1896" ht="15.75" customHeight="1">
      <c r="A1896" s="13" t="str">
        <f>Raw_Data!A1896</f>
        <v>EMP1987</v>
      </c>
      <c r="B1896" s="13" t="str">
        <f>TRIM(CLEAN(Raw_Data!B1896))</f>
        <v>Customer Support</v>
      </c>
      <c r="C1896" s="18" t="s">
        <v>18</v>
      </c>
      <c r="D1896" s="14" t="str">
        <f>IF(ISBLANK(Raw_Data!D1896),AVERAGE(Raw_Data!D$2:D$5002),Raw_Data!D1896)</f>
        <v>69770.57</v>
      </c>
      <c r="E1896" s="15" t="str">
        <f>IF(ISBLANK(Raw_Data!E1896),AVERAGE(Raw_Data!E$2:E$5002),Raw_Data!E1896)</f>
        <v>23160.07</v>
      </c>
      <c r="F1896" s="15" t="str">
        <f>IF(ISBLANK(Raw_Data!F1896),AVERAGE(Raw_Data!F$2:F$5002),Raw_Data!F1896)</f>
        <v>15431.42</v>
      </c>
      <c r="G1896" s="14" t="str">
        <f>IF(ISBLANK(Raw_Data!G1896),AVERAGE(Raw_Data!G$2:G$5002),Raw_Data!G1896)</f>
        <v>13660.71</v>
      </c>
      <c r="H1896" s="15" t="str">
        <f t="shared" si="1"/>
        <v>108362.00</v>
      </c>
      <c r="I1896" s="14" t="str">
        <f t="shared" si="2"/>
        <v>94701.00</v>
      </c>
      <c r="J1896" s="16" t="str">
        <f>TEXT(Raw_Data!J1896,"MMM-YYY")</f>
        <v>Nov-2025</v>
      </c>
      <c r="K1896" s="13" t="str">
        <f>Raw_Data!K1896</f>
        <v>20</v>
      </c>
      <c r="L1896" s="17" t="str">
        <f>Raw_Data!L1896</f>
        <v>Chandigarh-North</v>
      </c>
      <c r="M1896" s="13" t="str">
        <f t="shared" si="3"/>
        <v>OK</v>
      </c>
      <c r="N1896" s="18" t="str">
        <f t="shared" si="4"/>
        <v>VALID</v>
      </c>
    </row>
    <row r="1897" ht="15.75" customHeight="1">
      <c r="A1897" s="13" t="str">
        <f>Raw_Data!A1897</f>
        <v>EMP1988</v>
      </c>
      <c r="B1897" s="13" t="str">
        <f>TRIM(CLEAN(Raw_Data!B1897))</f>
        <v>Sales</v>
      </c>
      <c r="C1897" s="18" t="s">
        <v>26</v>
      </c>
      <c r="D1897" s="14" t="str">
        <f>IF(ISBLANK(Raw_Data!D1897),AVERAGE(Raw_Data!D$2:D$5002),Raw_Data!D1897)</f>
        <v>69781.45</v>
      </c>
      <c r="E1897" s="15" t="str">
        <f>IF(ISBLANK(Raw_Data!E1897),AVERAGE(Raw_Data!E$2:E$5002),Raw_Data!E1897)</f>
        <v>23164.68</v>
      </c>
      <c r="F1897" s="15" t="str">
        <f>IF(ISBLANK(Raw_Data!F1897),AVERAGE(Raw_Data!F$2:F$5002),Raw_Data!F1897)</f>
        <v>15439.10</v>
      </c>
      <c r="G1897" s="14" t="str">
        <f>IF(ISBLANK(Raw_Data!G1897),AVERAGE(Raw_Data!G$2:G$5002),Raw_Data!G1897)</f>
        <v>13664.11</v>
      </c>
      <c r="H1897" s="15" t="str">
        <f t="shared" si="1"/>
        <v>108385.00</v>
      </c>
      <c r="I1897" s="14" t="str">
        <f t="shared" si="2"/>
        <v>94721.00</v>
      </c>
      <c r="J1897" s="16" t="str">
        <f>TEXT(Raw_Data!J1897,"MMM-YYY")</f>
        <v>Jan-2025</v>
      </c>
      <c r="K1897" s="13" t="str">
        <f>Raw_Data!K1897</f>
        <v>13</v>
      </c>
      <c r="L1897" s="17" t="str">
        <f>Raw_Data!L1897</f>
        <v>Ahmedabad-West</v>
      </c>
      <c r="M1897" s="13" t="str">
        <f t="shared" si="3"/>
        <v>OK</v>
      </c>
      <c r="N1897" s="18" t="str">
        <f t="shared" si="4"/>
        <v>VALID</v>
      </c>
    </row>
    <row r="1898" ht="15.75" customHeight="1">
      <c r="A1898" s="13" t="str">
        <f>Raw_Data!A1898</f>
        <v>EMP1989</v>
      </c>
      <c r="B1898" s="13" t="str">
        <f>TRIM(CLEAN(Raw_Data!B1898))</f>
        <v>Finance</v>
      </c>
      <c r="C1898" s="18" t="s">
        <v>14</v>
      </c>
      <c r="D1898" s="14" t="str">
        <f>IF(ISBLANK(Raw_Data!D1898),AVERAGE(Raw_Data!D$2:D$5002),Raw_Data!D1898)</f>
        <v>69792.34</v>
      </c>
      <c r="E1898" s="15" t="str">
        <f>IF(ISBLANK(Raw_Data!E1898),AVERAGE(Raw_Data!E$2:E$5002),Raw_Data!E1898)</f>
        <v>23169.30</v>
      </c>
      <c r="F1898" s="15" t="str">
        <f>IF(ISBLANK(Raw_Data!F1898),AVERAGE(Raw_Data!F$2:F$5002),Raw_Data!F1898)</f>
        <v>15446.78</v>
      </c>
      <c r="G1898" s="14" t="str">
        <f>IF(ISBLANK(Raw_Data!G1898),AVERAGE(Raw_Data!G$2:G$5002),Raw_Data!G1898)</f>
        <v>13667.51</v>
      </c>
      <c r="H1898" s="15" t="str">
        <f t="shared" si="1"/>
        <v>108408.00</v>
      </c>
      <c r="I1898" s="14" t="str">
        <f t="shared" si="2"/>
        <v>94740.00</v>
      </c>
      <c r="J1898" s="16" t="str">
        <f>TEXT(Raw_Data!J1898,"MMM-YYY")</f>
        <v>May-2025</v>
      </c>
      <c r="K1898" s="13" t="str">
        <f>Raw_Data!K1898</f>
        <v>10</v>
      </c>
      <c r="L1898" s="17" t="str">
        <f>Raw_Data!L1898</f>
        <v>Jaipur-North</v>
      </c>
      <c r="M1898" s="13" t="str">
        <f t="shared" si="3"/>
        <v>OK</v>
      </c>
      <c r="N1898" s="18" t="str">
        <f t="shared" si="4"/>
        <v>VALID</v>
      </c>
    </row>
    <row r="1899" ht="15.75" customHeight="1">
      <c r="A1899" s="13" t="str">
        <f>Raw_Data!A1899</f>
        <v>EMP1990</v>
      </c>
      <c r="B1899" s="13" t="str">
        <f>TRIM(CLEAN(Raw_Data!B1899))</f>
        <v>Finance</v>
      </c>
      <c r="C1899" s="18" t="s">
        <v>26</v>
      </c>
      <c r="D1899" s="14" t="str">
        <f>IF(ISBLANK(Raw_Data!D1899),AVERAGE(Raw_Data!D$2:D$5002),Raw_Data!D1899)</f>
        <v>69803.22</v>
      </c>
      <c r="E1899" s="15" t="str">
        <f>IF(ISBLANK(Raw_Data!E1899),AVERAGE(Raw_Data!E$2:E$5002),Raw_Data!E1899)</f>
        <v>23173.91</v>
      </c>
      <c r="F1899" s="15" t="str">
        <f>IF(ISBLANK(Raw_Data!F1899),AVERAGE(Raw_Data!F$2:F$5002),Raw_Data!F1899)</f>
        <v>15454.46</v>
      </c>
      <c r="G1899" s="14" t="str">
        <f>IF(ISBLANK(Raw_Data!G1899),AVERAGE(Raw_Data!G$2:G$5002),Raw_Data!G1899)</f>
        <v>13670.90</v>
      </c>
      <c r="H1899" s="15" t="str">
        <f t="shared" si="1"/>
        <v>108432.00</v>
      </c>
      <c r="I1899" s="14" t="str">
        <f t="shared" si="2"/>
        <v>94761.00</v>
      </c>
      <c r="J1899" s="16" t="str">
        <f>TEXT(Raw_Data!J1899,"MMM-YYY")</f>
        <v>Jul-2025</v>
      </c>
      <c r="K1899" s="13" t="str">
        <f>Raw_Data!K1899</f>
        <v>5</v>
      </c>
      <c r="L1899" s="17" t="str">
        <f>Raw_Data!L1899</f>
        <v>Mumbai-HO</v>
      </c>
      <c r="M1899" s="13" t="str">
        <f t="shared" si="3"/>
        <v>OK</v>
      </c>
      <c r="N1899" s="18" t="str">
        <f t="shared" si="4"/>
        <v>VALID</v>
      </c>
    </row>
    <row r="1900" ht="15.75" customHeight="1">
      <c r="A1900" s="13" t="str">
        <f>Raw_Data!A1900</f>
        <v>EMP1991</v>
      </c>
      <c r="B1900" s="13" t="str">
        <f>TRIM(CLEAN(Raw_Data!B1900))</f>
        <v>Marketing</v>
      </c>
      <c r="C1900" s="18" t="s">
        <v>54</v>
      </c>
      <c r="D1900" s="14" t="str">
        <f>IF(ISBLANK(Raw_Data!D1900),AVERAGE(Raw_Data!D$2:D$5002),Raw_Data!D1900)</f>
        <v>69814.10</v>
      </c>
      <c r="E1900" s="15" t="str">
        <f>IF(ISBLANK(Raw_Data!E1900),AVERAGE(Raw_Data!E$2:E$5002),Raw_Data!E1900)</f>
        <v>23178.53</v>
      </c>
      <c r="F1900" s="15" t="str">
        <f>IF(ISBLANK(Raw_Data!F1900),AVERAGE(Raw_Data!F$2:F$5002),Raw_Data!F1900)</f>
        <v>15462.14</v>
      </c>
      <c r="G1900" s="14" t="str">
        <f>IF(ISBLANK(Raw_Data!G1900),AVERAGE(Raw_Data!G$2:G$5002),Raw_Data!G1900)</f>
        <v>13674.30</v>
      </c>
      <c r="H1900" s="15" t="str">
        <f t="shared" si="1"/>
        <v>108455.00</v>
      </c>
      <c r="I1900" s="14" t="str">
        <f t="shared" si="2"/>
        <v>94781.00</v>
      </c>
      <c r="J1900" s="16" t="str">
        <f>TEXT(Raw_Data!J1900,"MMM-YYY")</f>
        <v>Dec-2025</v>
      </c>
      <c r="K1900" s="13" t="str">
        <f>Raw_Data!K1900</f>
        <v>4</v>
      </c>
      <c r="L1900" s="17" t="str">
        <f>Raw_Data!L1900</f>
        <v>Delhi-North</v>
      </c>
      <c r="M1900" s="13" t="str">
        <f t="shared" si="3"/>
        <v>OK</v>
      </c>
      <c r="N1900" s="18" t="str">
        <f t="shared" si="4"/>
        <v>VALID</v>
      </c>
    </row>
    <row r="1901" ht="15.75" customHeight="1">
      <c r="A1901" s="13" t="str">
        <f>Raw_Data!A1901</f>
        <v>EMP1992</v>
      </c>
      <c r="B1901" s="13" t="str">
        <f>TRIM(CLEAN(Raw_Data!B1901))</f>
        <v>Sales</v>
      </c>
      <c r="C1901" s="18" t="s">
        <v>14</v>
      </c>
      <c r="D1901" s="14" t="str">
        <f>IF(ISBLANK(Raw_Data!D1901),AVERAGE(Raw_Data!D$2:D$5002),Raw_Data!D1901)</f>
        <v>69824.99</v>
      </c>
      <c r="E1901" s="15" t="str">
        <f>IF(ISBLANK(Raw_Data!E1901),AVERAGE(Raw_Data!E$2:E$5002),Raw_Data!E1901)</f>
        <v>23183.14</v>
      </c>
      <c r="F1901" s="15" t="str">
        <f>IF(ISBLANK(Raw_Data!F1901),AVERAGE(Raw_Data!F$2:F$5002),Raw_Data!F1901)</f>
        <v>15469.82</v>
      </c>
      <c r="G1901" s="14" t="str">
        <f>IF(ISBLANK(Raw_Data!G1901),AVERAGE(Raw_Data!G$2:G$5002),Raw_Data!G1901)</f>
        <v>13677.70</v>
      </c>
      <c r="H1901" s="15" t="str">
        <f t="shared" si="1"/>
        <v>108478.00</v>
      </c>
      <c r="I1901" s="14" t="str">
        <f t="shared" si="2"/>
        <v>94800.00</v>
      </c>
      <c r="J1901" s="16" t="str">
        <f>TEXT(Raw_Data!J1901,"MMM-YYY")</f>
        <v>Feb-2025</v>
      </c>
      <c r="K1901" s="13" t="str">
        <f>Raw_Data!K1901</f>
        <v>21</v>
      </c>
      <c r="L1901" s="17" t="str">
        <f>Raw_Data!L1901</f>
        <v>Bangalore-South</v>
      </c>
      <c r="M1901" s="13" t="str">
        <f t="shared" si="3"/>
        <v>OK</v>
      </c>
      <c r="N1901" s="18" t="str">
        <f t="shared" si="4"/>
        <v>VALID</v>
      </c>
    </row>
    <row r="1902" ht="15.75" customHeight="1">
      <c r="A1902" s="13" t="str">
        <f>Raw_Data!A1902</f>
        <v>EMP1993</v>
      </c>
      <c r="B1902" s="13" t="str">
        <f>TRIM(CLEAN(Raw_Data!B1902))</f>
        <v>Operations</v>
      </c>
      <c r="C1902" s="18" t="s">
        <v>14</v>
      </c>
      <c r="D1902" s="14" t="str">
        <f>IF(ISBLANK(Raw_Data!D1902),AVERAGE(Raw_Data!D$2:D$5002),Raw_Data!D1902)</f>
        <v>69835.87</v>
      </c>
      <c r="E1902" s="15" t="str">
        <f>IF(ISBLANK(Raw_Data!E1902),AVERAGE(Raw_Data!E$2:E$5002),Raw_Data!E1902)</f>
        <v>23187.76</v>
      </c>
      <c r="F1902" s="15" t="str">
        <f>IF(ISBLANK(Raw_Data!F1902),AVERAGE(Raw_Data!F$2:F$5002),Raw_Data!F1902)</f>
        <v>15477.50</v>
      </c>
      <c r="G1902" s="14" t="str">
        <f>IF(ISBLANK(Raw_Data!G1902),AVERAGE(Raw_Data!G$2:G$5002),Raw_Data!G1902)</f>
        <v>13681.10</v>
      </c>
      <c r="H1902" s="15" t="str">
        <f t="shared" si="1"/>
        <v>108501.00</v>
      </c>
      <c r="I1902" s="14" t="str">
        <f t="shared" si="2"/>
        <v>94820.00</v>
      </c>
      <c r="J1902" s="16" t="str">
        <f>TEXT(Raw_Data!J1902,"MMM-YYY")</f>
        <v>Aug-2025</v>
      </c>
      <c r="K1902" s="13" t="str">
        <f>Raw_Data!K1902</f>
        <v>14</v>
      </c>
      <c r="L1902" s="17" t="str">
        <f>Raw_Data!L1902</f>
        <v>Chennai-South</v>
      </c>
      <c r="M1902" s="13" t="str">
        <f t="shared" si="3"/>
        <v>OK</v>
      </c>
      <c r="N1902" s="18" t="str">
        <f t="shared" si="4"/>
        <v>VALID</v>
      </c>
    </row>
    <row r="1903" ht="15.75" customHeight="1">
      <c r="A1903" s="13" t="str">
        <f>Raw_Data!A1903</f>
        <v>EMP1994</v>
      </c>
      <c r="B1903" s="13" t="str">
        <f>TRIM(CLEAN(Raw_Data!B1903))</f>
        <v>IT</v>
      </c>
      <c r="C1903" s="18" t="s">
        <v>26</v>
      </c>
      <c r="D1903" s="14" t="str">
        <f>IF(ISBLANK(Raw_Data!D1903),AVERAGE(Raw_Data!D$2:D$5002),Raw_Data!D1903)</f>
        <v>69846.75</v>
      </c>
      <c r="E1903" s="15" t="str">
        <f>IF(ISBLANK(Raw_Data!E1903),AVERAGE(Raw_Data!E$2:E$5002),Raw_Data!E1903)</f>
        <v>23192.37</v>
      </c>
      <c r="F1903" s="15" t="str">
        <f>IF(ISBLANK(Raw_Data!F1903),AVERAGE(Raw_Data!F$2:F$5002),Raw_Data!F1903)</f>
        <v>15485.18</v>
      </c>
      <c r="G1903" s="14" t="str">
        <f>IF(ISBLANK(Raw_Data!G1903),AVERAGE(Raw_Data!G$2:G$5002),Raw_Data!G1903)</f>
        <v>13684.49</v>
      </c>
      <c r="H1903" s="15" t="str">
        <f t="shared" si="1"/>
        <v>108524.00</v>
      </c>
      <c r="I1903" s="14" t="str">
        <f t="shared" si="2"/>
        <v>94840.00</v>
      </c>
      <c r="J1903" s="16" t="str">
        <f>TEXT(Raw_Data!J1903,"MMM-YYY")</f>
        <v>Apr-2025</v>
      </c>
      <c r="K1903" s="13" t="str">
        <f>Raw_Data!K1903</f>
        <v>1</v>
      </c>
      <c r="L1903" s="17" t="str">
        <f>Raw_Data!L1903</f>
        <v>Kolkata-East</v>
      </c>
      <c r="M1903" s="13" t="str">
        <f t="shared" si="3"/>
        <v>OK</v>
      </c>
      <c r="N1903" s="18" t="str">
        <f t="shared" si="4"/>
        <v>VALID</v>
      </c>
    </row>
    <row r="1904" ht="15.75" customHeight="1">
      <c r="A1904" s="13" t="str">
        <f>Raw_Data!A1904</f>
        <v>EMP1996</v>
      </c>
      <c r="B1904" s="13" t="str">
        <f>TRIM(CLEAN(Raw_Data!B1904))</f>
        <v>Finance</v>
      </c>
      <c r="C1904" s="18" t="s">
        <v>18</v>
      </c>
      <c r="D1904" s="14" t="str">
        <f>IF(ISBLANK(Raw_Data!D1904),AVERAGE(Raw_Data!D$2:D$5002),Raw_Data!D1904)</f>
        <v>69868.52</v>
      </c>
      <c r="E1904" s="15" t="str">
        <f>IF(ISBLANK(Raw_Data!E1904),AVERAGE(Raw_Data!E$2:E$5002),Raw_Data!E1904)</f>
        <v>23201.60</v>
      </c>
      <c r="F1904" s="15" t="str">
        <f>IF(ISBLANK(Raw_Data!F1904),AVERAGE(Raw_Data!F$2:F$5002),Raw_Data!F1904)</f>
        <v>15500.54</v>
      </c>
      <c r="G1904" s="14" t="str">
        <f>IF(ISBLANK(Raw_Data!G1904),AVERAGE(Raw_Data!G$2:G$5002),Raw_Data!G1904)</f>
        <v>13691.29</v>
      </c>
      <c r="H1904" s="15" t="str">
        <f t="shared" si="1"/>
        <v>108571.00</v>
      </c>
      <c r="I1904" s="14" t="str">
        <f t="shared" si="2"/>
        <v>94880.00</v>
      </c>
      <c r="J1904" s="16" t="str">
        <f>TEXT(Raw_Data!J1904,"MMM-YYY")</f>
        <v>Dec-2025</v>
      </c>
      <c r="K1904" s="13" t="str">
        <f>Raw_Data!K1904</f>
        <v>18</v>
      </c>
      <c r="L1904" s="17" t="str">
        <f>Raw_Data!L1904</f>
        <v>Hyderabad-South</v>
      </c>
      <c r="M1904" s="13" t="str">
        <f t="shared" si="3"/>
        <v>OK</v>
      </c>
      <c r="N1904" s="18" t="str">
        <f t="shared" si="4"/>
        <v>VALID</v>
      </c>
    </row>
    <row r="1905" ht="15.75" customHeight="1">
      <c r="A1905" s="13" t="str">
        <f>Raw_Data!A1905</f>
        <v>EMP1998</v>
      </c>
      <c r="B1905" s="13" t="str">
        <f>TRIM(CLEAN(Raw_Data!B1905))</f>
        <v>Sales</v>
      </c>
      <c r="C1905" s="18" t="s">
        <v>33</v>
      </c>
      <c r="D1905" s="14" t="str">
        <f>IF(ISBLANK(Raw_Data!D1905),AVERAGE(Raw_Data!D$2:D$5002),Raw_Data!D1905)</f>
        <v>69890.28</v>
      </c>
      <c r="E1905" s="15" t="str">
        <f>IF(ISBLANK(Raw_Data!E1905),AVERAGE(Raw_Data!E$2:E$5002),Raw_Data!E1905)</f>
        <v>23210.83</v>
      </c>
      <c r="F1905" s="15" t="str">
        <f>IF(ISBLANK(Raw_Data!F1905),AVERAGE(Raw_Data!F$2:F$5002),Raw_Data!F1905)</f>
        <v>15515.90</v>
      </c>
      <c r="G1905" s="14" t="str">
        <f>IF(ISBLANK(Raw_Data!G1905),AVERAGE(Raw_Data!G$2:G$5002),Raw_Data!G1905)</f>
        <v>13698.09</v>
      </c>
      <c r="H1905" s="15" t="str">
        <f t="shared" si="1"/>
        <v>108617.00</v>
      </c>
      <c r="I1905" s="14" t="str">
        <f t="shared" si="2"/>
        <v>94919.00</v>
      </c>
      <c r="J1905" s="16" t="str">
        <f>TEXT(Raw_Data!J1905,"MMM-YYY")</f>
        <v>Feb-2025</v>
      </c>
      <c r="K1905" s="13" t="str">
        <f>Raw_Data!K1905</f>
        <v>15</v>
      </c>
      <c r="L1905" s="17" t="str">
        <f>Raw_Data!L1905</f>
        <v>Ahmedabad-West</v>
      </c>
      <c r="M1905" s="13" t="str">
        <f t="shared" si="3"/>
        <v>OK</v>
      </c>
      <c r="N1905" s="18" t="str">
        <f t="shared" si="4"/>
        <v>VALID</v>
      </c>
    </row>
    <row r="1906" ht="15.75" customHeight="1">
      <c r="A1906" s="13" t="str">
        <f>Raw_Data!A1906</f>
        <v>EMP1999</v>
      </c>
      <c r="B1906" s="13" t="str">
        <f>TRIM(CLEAN(Raw_Data!B1906))</f>
        <v>HR</v>
      </c>
      <c r="C1906" s="18" t="s">
        <v>14</v>
      </c>
      <c r="D1906" s="14" t="str">
        <f>IF(ISBLANK(Raw_Data!D1906),AVERAGE(Raw_Data!D$2:D$5002),Raw_Data!D1906)</f>
        <v>69901.17</v>
      </c>
      <c r="E1906" s="15" t="str">
        <f>IF(ISBLANK(Raw_Data!E1906),AVERAGE(Raw_Data!E$2:E$5002),Raw_Data!E1906)</f>
        <v>23215.45</v>
      </c>
      <c r="F1906" s="15" t="str">
        <f>IF(ISBLANK(Raw_Data!F1906),AVERAGE(Raw_Data!F$2:F$5002),Raw_Data!F1906)</f>
        <v>15523.58</v>
      </c>
      <c r="G1906" s="14" t="str">
        <f>IF(ISBLANK(Raw_Data!G1906),AVERAGE(Raw_Data!G$2:G$5002),Raw_Data!G1906)</f>
        <v>13701.48</v>
      </c>
      <c r="H1906" s="15" t="str">
        <f t="shared" si="1"/>
        <v>108640.00</v>
      </c>
      <c r="I1906" s="14" t="str">
        <f t="shared" si="2"/>
        <v>94939.00</v>
      </c>
      <c r="J1906" s="16" t="str">
        <f>TEXT(Raw_Data!J1906,"MMM-YYY")</f>
        <v>Jul-2025</v>
      </c>
      <c r="K1906" s="13" t="str">
        <f>Raw_Data!K1906</f>
        <v>1</v>
      </c>
      <c r="L1906" s="17" t="str">
        <f>Raw_Data!L1906</f>
        <v>Jaipur-North</v>
      </c>
      <c r="M1906" s="13" t="str">
        <f t="shared" si="3"/>
        <v>OK</v>
      </c>
      <c r="N1906" s="18" t="str">
        <f t="shared" si="4"/>
        <v>VALID</v>
      </c>
    </row>
    <row r="1907" ht="15.75" customHeight="1">
      <c r="A1907" s="13" t="str">
        <f>Raw_Data!A1907</f>
        <v>EMP2000</v>
      </c>
      <c r="B1907" s="13" t="str">
        <f>TRIM(CLEAN(Raw_Data!B1907))</f>
        <v>IT</v>
      </c>
      <c r="C1907" s="18" t="s">
        <v>30</v>
      </c>
      <c r="D1907" s="14" t="str">
        <f>IF(ISBLANK(Raw_Data!D1907),AVERAGE(Raw_Data!D$2:D$5002),Raw_Data!D1907)</f>
        <v>69912.05</v>
      </c>
      <c r="E1907" s="15" t="str">
        <f>IF(ISBLANK(Raw_Data!E1907),AVERAGE(Raw_Data!E$2:E$5002),Raw_Data!E1907)</f>
        <v>23220.06</v>
      </c>
      <c r="F1907" s="15" t="str">
        <f>IF(ISBLANK(Raw_Data!F1907),AVERAGE(Raw_Data!F$2:F$5002),Raw_Data!F1907)</f>
        <v>15531.26</v>
      </c>
      <c r="G1907" s="14" t="str">
        <f>IF(ISBLANK(Raw_Data!G1907),AVERAGE(Raw_Data!G$2:G$5002),Raw_Data!G1907)</f>
        <v>14562.73</v>
      </c>
      <c r="H1907" s="15" t="str">
        <f t="shared" si="1"/>
        <v>108663.00</v>
      </c>
      <c r="I1907" s="14" t="str">
        <f t="shared" si="2"/>
        <v>94100.00</v>
      </c>
      <c r="J1907" s="16" t="str">
        <f>TEXT(Raw_Data!J1907,"MMM-YYY")</f>
        <v>May-2025</v>
      </c>
      <c r="K1907" s="13" t="str">
        <f>Raw_Data!K1907</f>
        <v>18</v>
      </c>
      <c r="L1907" s="17" t="str">
        <f>Raw_Data!L1907</f>
        <v>Mumbai-HO</v>
      </c>
      <c r="M1907" s="13" t="str">
        <f t="shared" si="3"/>
        <v>OK</v>
      </c>
      <c r="N1907" s="18" t="str">
        <f t="shared" si="4"/>
        <v>VALID</v>
      </c>
    </row>
    <row r="1908" ht="15.75" customHeight="1">
      <c r="A1908" s="13" t="str">
        <f>Raw_Data!A1908</f>
        <v>EMP2001</v>
      </c>
      <c r="B1908" s="13" t="str">
        <f>TRIM(CLEAN(Raw_Data!B1908))</f>
        <v>Sales</v>
      </c>
      <c r="C1908" s="18" t="s">
        <v>26</v>
      </c>
      <c r="D1908" s="14" t="str">
        <f>IF(ISBLANK(Raw_Data!D1908),AVERAGE(Raw_Data!D$2:D$5002),Raw_Data!D1908)</f>
        <v>69922.93</v>
      </c>
      <c r="E1908" s="15" t="str">
        <f>IF(ISBLANK(Raw_Data!E1908),AVERAGE(Raw_Data!E$2:E$5002),Raw_Data!E1908)</f>
        <v>23224.68</v>
      </c>
      <c r="F1908" s="15" t="str">
        <f>IF(ISBLANK(Raw_Data!F1908),AVERAGE(Raw_Data!F$2:F$5002),Raw_Data!F1908)</f>
        <v>15538.94</v>
      </c>
      <c r="G1908" s="14" t="str">
        <f>IF(ISBLANK(Raw_Data!G1908),AVERAGE(Raw_Data!G$2:G$5002),Raw_Data!G1908)</f>
        <v>13708.28</v>
      </c>
      <c r="H1908" s="15" t="str">
        <f t="shared" si="1"/>
        <v>108687.00</v>
      </c>
      <c r="I1908" s="14" t="str">
        <f t="shared" si="2"/>
        <v>94979.00</v>
      </c>
      <c r="J1908" s="16" t="str">
        <f>TEXT(Raw_Data!J1908,"MMM-YYY")</f>
        <v>Sep-2025</v>
      </c>
      <c r="K1908" s="13" t="str">
        <f>Raw_Data!K1908</f>
        <v>18</v>
      </c>
      <c r="L1908" s="17" t="str">
        <f>Raw_Data!L1908</f>
        <v>Delhi-North</v>
      </c>
      <c r="M1908" s="13" t="str">
        <f t="shared" si="3"/>
        <v>OK</v>
      </c>
      <c r="N1908" s="18" t="str">
        <f t="shared" si="4"/>
        <v>VALID</v>
      </c>
    </row>
    <row r="1909" ht="15.75" customHeight="1">
      <c r="A1909" s="13" t="str">
        <f>Raw_Data!A1909</f>
        <v>EMP2002</v>
      </c>
      <c r="B1909" s="13" t="str">
        <f>TRIM(CLEAN(Raw_Data!B1909))</f>
        <v>Finance</v>
      </c>
      <c r="C1909" s="18" t="s">
        <v>14</v>
      </c>
      <c r="D1909" s="14" t="str">
        <f>IF(ISBLANK(Raw_Data!D1909),AVERAGE(Raw_Data!D$2:D$5002),Raw_Data!D1909)</f>
        <v>69933.81</v>
      </c>
      <c r="E1909" s="15" t="str">
        <f>IF(ISBLANK(Raw_Data!E1909),AVERAGE(Raw_Data!E$2:E$5002),Raw_Data!E1909)</f>
        <v>23229.29</v>
      </c>
      <c r="F1909" s="15" t="str">
        <f>IF(ISBLANK(Raw_Data!F1909),AVERAGE(Raw_Data!F$2:F$5002),Raw_Data!F1909)</f>
        <v>15546.62</v>
      </c>
      <c r="G1909" s="14" t="str">
        <f>IF(ISBLANK(Raw_Data!G1909),AVERAGE(Raw_Data!G$2:G$5002),Raw_Data!G1909)</f>
        <v>13711.68</v>
      </c>
      <c r="H1909" s="15" t="str">
        <f t="shared" si="1"/>
        <v>108710.00</v>
      </c>
      <c r="I1909" s="14" t="str">
        <f t="shared" si="2"/>
        <v>94998.00</v>
      </c>
      <c r="J1909" s="16" t="str">
        <f>TEXT(Raw_Data!J1909,"MMM-YYY")</f>
        <v>Feb-2025</v>
      </c>
      <c r="K1909" s="13" t="str">
        <f>Raw_Data!K1909</f>
        <v>23</v>
      </c>
      <c r="L1909" s="17" t="str">
        <f>Raw_Data!L1909</f>
        <v>Bangalore-South</v>
      </c>
      <c r="M1909" s="13" t="str">
        <f t="shared" si="3"/>
        <v>OK</v>
      </c>
      <c r="N1909" s="18" t="str">
        <f t="shared" si="4"/>
        <v>VALID</v>
      </c>
    </row>
    <row r="1910" ht="15.75" customHeight="1">
      <c r="A1910" s="13" t="str">
        <f>Raw_Data!A1910</f>
        <v>EMP2003</v>
      </c>
      <c r="B1910" s="13" t="str">
        <f>TRIM(CLEAN(Raw_Data!B1910))</f>
        <v>Marketing</v>
      </c>
      <c r="C1910" s="18" t="s">
        <v>18</v>
      </c>
      <c r="D1910" s="14" t="str">
        <f>IF(ISBLANK(Raw_Data!D1910),AVERAGE(Raw_Data!D$2:D$5002),Raw_Data!D1910)</f>
        <v>69944.70</v>
      </c>
      <c r="E1910" s="15" t="str">
        <f>IF(ISBLANK(Raw_Data!E1910),AVERAGE(Raw_Data!E$2:E$5002),Raw_Data!E1910)</f>
        <v>23233.90</v>
      </c>
      <c r="F1910" s="15" t="str">
        <f>IF(ISBLANK(Raw_Data!F1910),AVERAGE(Raw_Data!F$2:F$5002),Raw_Data!F1910)</f>
        <v>15554.30</v>
      </c>
      <c r="G1910" s="14" t="str">
        <f>IF(ISBLANK(Raw_Data!G1910),AVERAGE(Raw_Data!G$2:G$5002),Raw_Data!G1910)</f>
        <v>13715.07</v>
      </c>
      <c r="H1910" s="15" t="str">
        <f t="shared" si="1"/>
        <v>108733.00</v>
      </c>
      <c r="I1910" s="14" t="str">
        <f t="shared" si="2"/>
        <v>95018.00</v>
      </c>
      <c r="J1910" s="16" t="str">
        <f>TEXT(Raw_Data!J1910,"MMM-YYY")</f>
        <v>Nov-2025</v>
      </c>
      <c r="K1910" s="13" t="str">
        <f>Raw_Data!K1910</f>
        <v>16</v>
      </c>
      <c r="L1910" s="17" t="str">
        <f>Raw_Data!L1910</f>
        <v>Chennai-South</v>
      </c>
      <c r="M1910" s="13" t="str">
        <f t="shared" si="3"/>
        <v>OK</v>
      </c>
      <c r="N1910" s="18" t="str">
        <f t="shared" si="4"/>
        <v>VALID</v>
      </c>
    </row>
    <row r="1911" ht="15.75" customHeight="1">
      <c r="A1911" s="13" t="str">
        <f>Raw_Data!A1911</f>
        <v>EMP2004</v>
      </c>
      <c r="B1911" s="13" t="str">
        <f>TRIM(CLEAN(Raw_Data!B1911))</f>
        <v>Finance</v>
      </c>
      <c r="C1911" s="18" t="s">
        <v>18</v>
      </c>
      <c r="D1911" s="14" t="str">
        <f>IF(ISBLANK(Raw_Data!D1911),AVERAGE(Raw_Data!D$2:D$5002),Raw_Data!D1911)</f>
        <v>69955.58</v>
      </c>
      <c r="E1911" s="15" t="str">
        <f>IF(ISBLANK(Raw_Data!E1911),AVERAGE(Raw_Data!E$2:E$5002),Raw_Data!E1911)</f>
        <v>23238.52</v>
      </c>
      <c r="F1911" s="15" t="str">
        <f>IF(ISBLANK(Raw_Data!F1911),AVERAGE(Raw_Data!F$2:F$5002),Raw_Data!F1911)</f>
        <v>15561.98</v>
      </c>
      <c r="G1911" s="14" t="str">
        <f>IF(ISBLANK(Raw_Data!G1911),AVERAGE(Raw_Data!G$2:G$5002),Raw_Data!G1911)</f>
        <v>13718.47</v>
      </c>
      <c r="H1911" s="15" t="str">
        <f t="shared" si="1"/>
        <v>108756.00</v>
      </c>
      <c r="I1911" s="14" t="str">
        <f t="shared" si="2"/>
        <v>95038.00</v>
      </c>
      <c r="J1911" s="16" t="str">
        <f>TEXT(Raw_Data!J1911,"MMM-YYY")</f>
        <v>Jun-2025</v>
      </c>
      <c r="K1911" s="13" t="str">
        <f>Raw_Data!K1911</f>
        <v>23</v>
      </c>
      <c r="L1911" s="17" t="str">
        <f>Raw_Data!L1911</f>
        <v>Kolkata-East</v>
      </c>
      <c r="M1911" s="13" t="str">
        <f t="shared" si="3"/>
        <v>OK</v>
      </c>
      <c r="N1911" s="18" t="str">
        <f t="shared" si="4"/>
        <v>VALID</v>
      </c>
    </row>
    <row r="1912" ht="15.75" customHeight="1">
      <c r="A1912" s="13" t="str">
        <f>Raw_Data!A1912</f>
        <v>EMP2005</v>
      </c>
      <c r="B1912" s="13" t="str">
        <f>TRIM(CLEAN(Raw_Data!B1912))</f>
        <v>Sales</v>
      </c>
      <c r="C1912" s="18" t="s">
        <v>30</v>
      </c>
      <c r="D1912" s="14" t="str">
        <f>IF(ISBLANK(Raw_Data!D1912),AVERAGE(Raw_Data!D$2:D$5002),Raw_Data!D1912)</f>
        <v>69966.46</v>
      </c>
      <c r="E1912" s="15" t="str">
        <f>IF(ISBLANK(Raw_Data!E1912),AVERAGE(Raw_Data!E$2:E$5002),Raw_Data!E1912)</f>
        <v>23243.13</v>
      </c>
      <c r="F1912" s="15" t="str">
        <f>IF(ISBLANK(Raw_Data!F1912),AVERAGE(Raw_Data!F$2:F$5002),Raw_Data!F1912)</f>
        <v>15569.66</v>
      </c>
      <c r="G1912" s="14" t="str">
        <f>IF(ISBLANK(Raw_Data!G1912),AVERAGE(Raw_Data!G$2:G$5002),Raw_Data!G1912)</f>
        <v>13721.87</v>
      </c>
      <c r="H1912" s="15" t="str">
        <f t="shared" si="1"/>
        <v>108779.00</v>
      </c>
      <c r="I1912" s="14" t="str">
        <f t="shared" si="2"/>
        <v>95057.00</v>
      </c>
      <c r="J1912" s="16" t="str">
        <f>TEXT(Raw_Data!J1912,"MMM-YYY")</f>
        <v>Mar-2025</v>
      </c>
      <c r="K1912" s="13" t="str">
        <f>Raw_Data!K1912</f>
        <v>21</v>
      </c>
      <c r="L1912" s="17" t="str">
        <f>Raw_Data!L1912</f>
        <v>Pune-West</v>
      </c>
      <c r="M1912" s="13" t="str">
        <f t="shared" si="3"/>
        <v>OK</v>
      </c>
      <c r="N1912" s="18" t="str">
        <f t="shared" si="4"/>
        <v>VALID</v>
      </c>
    </row>
    <row r="1913" ht="15.75" customHeight="1">
      <c r="A1913" s="13" t="str">
        <f>Raw_Data!A1913</f>
        <v>EMP2006</v>
      </c>
      <c r="B1913" s="13" t="str">
        <f>TRIM(CLEAN(Raw_Data!B1913))</f>
        <v>Marketing</v>
      </c>
      <c r="C1913" s="18" t="s">
        <v>54</v>
      </c>
      <c r="D1913" s="14" t="str">
        <f>IF(ISBLANK(Raw_Data!D1913),AVERAGE(Raw_Data!D$2:D$5002),Raw_Data!D1913)</f>
        <v>69977.35</v>
      </c>
      <c r="E1913" s="15" t="str">
        <f>IF(ISBLANK(Raw_Data!E1913),AVERAGE(Raw_Data!E$2:E$5002),Raw_Data!E1913)</f>
        <v>23247.75</v>
      </c>
      <c r="F1913" s="15" t="str">
        <f>IF(ISBLANK(Raw_Data!F1913),AVERAGE(Raw_Data!F$2:F$5002),Raw_Data!F1913)</f>
        <v>15577.34</v>
      </c>
      <c r="G1913" s="14" t="str">
        <f>IF(ISBLANK(Raw_Data!G1913),AVERAGE(Raw_Data!G$2:G$5002),Raw_Data!G1913)</f>
        <v>13725.27</v>
      </c>
      <c r="H1913" s="15" t="str">
        <f t="shared" si="1"/>
        <v>108802.00</v>
      </c>
      <c r="I1913" s="14" t="str">
        <f t="shared" si="2"/>
        <v>95077.00</v>
      </c>
      <c r="J1913" s="16" t="str">
        <f>TEXT(Raw_Data!J1913,"MMM-YYY")</f>
        <v>Jan-2025</v>
      </c>
      <c r="K1913" s="13" t="str">
        <f>Raw_Data!K1913</f>
        <v>5</v>
      </c>
      <c r="L1913" s="17" t="str">
        <f>Raw_Data!L1913</f>
        <v>Hyderabad-South</v>
      </c>
      <c r="M1913" s="13" t="str">
        <f t="shared" si="3"/>
        <v>OK</v>
      </c>
      <c r="N1913" s="18" t="str">
        <f t="shared" si="4"/>
        <v>VALID</v>
      </c>
    </row>
    <row r="1914" ht="15.75" customHeight="1">
      <c r="A1914" s="13" t="str">
        <f>Raw_Data!A1914</f>
        <v>EMP2007</v>
      </c>
      <c r="B1914" s="13" t="str">
        <f>TRIM(CLEAN(Raw_Data!B1914))</f>
        <v>Operations</v>
      </c>
      <c r="C1914" s="18" t="s">
        <v>37</v>
      </c>
      <c r="D1914" s="14" t="str">
        <f>IF(ISBLANK(Raw_Data!D1914),AVERAGE(Raw_Data!D$2:D$5002),Raw_Data!D1914)</f>
        <v>69988.23</v>
      </c>
      <c r="E1914" s="15" t="str">
        <f>IF(ISBLANK(Raw_Data!E1914),AVERAGE(Raw_Data!E$2:E$5002),Raw_Data!E1914)</f>
        <v>23252.36</v>
      </c>
      <c r="F1914" s="15" t="str">
        <f>IF(ISBLANK(Raw_Data!F1914),AVERAGE(Raw_Data!F$2:F$5002),Raw_Data!F1914)</f>
        <v>15585.02</v>
      </c>
      <c r="G1914" s="14" t="str">
        <f>IF(ISBLANK(Raw_Data!G1914),AVERAGE(Raw_Data!G$2:G$5002),Raw_Data!G1914)</f>
        <v>13728.66</v>
      </c>
      <c r="H1914" s="15" t="str">
        <f t="shared" si="1"/>
        <v>108826.00</v>
      </c>
      <c r="I1914" s="14" t="str">
        <f t="shared" si="2"/>
        <v>95097.00</v>
      </c>
      <c r="J1914" s="16" t="str">
        <f>TEXT(Raw_Data!J1914,"MMM-YYY")</f>
        <v>May-2025</v>
      </c>
      <c r="K1914" s="13" t="str">
        <f>Raw_Data!K1914</f>
        <v>11</v>
      </c>
      <c r="L1914" s="17" t="str">
        <f>Raw_Data!L1914</f>
        <v>Chandigarh-North</v>
      </c>
      <c r="M1914" s="13" t="str">
        <f t="shared" si="3"/>
        <v>OK</v>
      </c>
      <c r="N1914" s="18" t="str">
        <f t="shared" si="4"/>
        <v>VALID</v>
      </c>
    </row>
    <row r="1915" ht="15.75" customHeight="1">
      <c r="A1915" s="13" t="str">
        <f>Raw_Data!A1915</f>
        <v>EMP2009</v>
      </c>
      <c r="B1915" s="13" t="str">
        <f>TRIM(CLEAN(Raw_Data!B1915))</f>
        <v>Customer Support</v>
      </c>
      <c r="C1915" s="18" t="s">
        <v>33</v>
      </c>
      <c r="D1915" s="14" t="str">
        <f>IF(ISBLANK(Raw_Data!D1915),AVERAGE(Raw_Data!D$2:D$5002),Raw_Data!D1915)</f>
        <v>70010.00</v>
      </c>
      <c r="E1915" s="15" t="str">
        <f>IF(ISBLANK(Raw_Data!E1915),AVERAGE(Raw_Data!E$2:E$5002),Raw_Data!E1915)</f>
        <v>23261.59</v>
      </c>
      <c r="F1915" s="15" t="str">
        <f>IF(ISBLANK(Raw_Data!F1915),AVERAGE(Raw_Data!F$2:F$5002),Raw_Data!F1915)</f>
        <v>15600.38</v>
      </c>
      <c r="G1915" s="14" t="str">
        <f>IF(ISBLANK(Raw_Data!G1915),AVERAGE(Raw_Data!G$2:G$5002),Raw_Data!G1915)</f>
        <v>13735.46</v>
      </c>
      <c r="H1915" s="15" t="str">
        <f t="shared" si="1"/>
        <v>108872.00</v>
      </c>
      <c r="I1915" s="14" t="str">
        <f t="shared" si="2"/>
        <v>95137.00</v>
      </c>
      <c r="J1915" s="16" t="str">
        <f>TEXT(Raw_Data!J1915,"MMM-YYY")</f>
        <v>Nov-2025</v>
      </c>
      <c r="K1915" s="13" t="str">
        <f>Raw_Data!K1915</f>
        <v>5</v>
      </c>
      <c r="L1915" s="17" t="str">
        <f>Raw_Data!L1915</f>
        <v>Jaipur-North</v>
      </c>
      <c r="M1915" s="13" t="str">
        <f t="shared" si="3"/>
        <v>OK</v>
      </c>
      <c r="N1915" s="18" t="str">
        <f t="shared" si="4"/>
        <v>VALID</v>
      </c>
    </row>
    <row r="1916" ht="15.75" customHeight="1">
      <c r="A1916" s="13" t="str">
        <f>Raw_Data!A1916</f>
        <v>EMP2010</v>
      </c>
      <c r="B1916" s="13" t="str">
        <f>TRIM(CLEAN(Raw_Data!B1916))</f>
        <v>Marketing</v>
      </c>
      <c r="C1916" s="18" t="s">
        <v>33</v>
      </c>
      <c r="D1916" s="14" t="str">
        <f>IF(ISBLANK(Raw_Data!D1916),AVERAGE(Raw_Data!D$2:D$5002),Raw_Data!D1916)</f>
        <v>70020.88</v>
      </c>
      <c r="E1916" s="15" t="str">
        <f>IF(ISBLANK(Raw_Data!E1916),AVERAGE(Raw_Data!E$2:E$5002),Raw_Data!E1916)</f>
        <v>23266.21</v>
      </c>
      <c r="F1916" s="15" t="str">
        <f>IF(ISBLANK(Raw_Data!F1916),AVERAGE(Raw_Data!F$2:F$5002),Raw_Data!F1916)</f>
        <v>15608.06</v>
      </c>
      <c r="G1916" s="14" t="str">
        <f>IF(ISBLANK(Raw_Data!G1916),AVERAGE(Raw_Data!G$2:G$5002),Raw_Data!G1916)</f>
        <v>13738.86</v>
      </c>
      <c r="H1916" s="15" t="str">
        <f t="shared" si="1"/>
        <v>108895.00</v>
      </c>
      <c r="I1916" s="14" t="str">
        <f t="shared" si="2"/>
        <v>95156.00</v>
      </c>
      <c r="J1916" s="16" t="str">
        <f>TEXT(Raw_Data!J1916,"MMM-YYY")</f>
        <v>Sep-2025</v>
      </c>
      <c r="K1916" s="13" t="str">
        <f>Raw_Data!K1916</f>
        <v>3</v>
      </c>
      <c r="L1916" s="17" t="str">
        <f>Raw_Data!L1916</f>
        <v>Mumbai-HO</v>
      </c>
      <c r="M1916" s="13" t="str">
        <f t="shared" si="3"/>
        <v>OK</v>
      </c>
      <c r="N1916" s="18" t="str">
        <f t="shared" si="4"/>
        <v>VALID</v>
      </c>
    </row>
    <row r="1917" ht="15.75" customHeight="1">
      <c r="A1917" s="13" t="str">
        <f>Raw_Data!A1917</f>
        <v>EMP2011</v>
      </c>
      <c r="B1917" s="13" t="str">
        <f>TRIM(CLEAN(Raw_Data!B1917))</f>
        <v>Operations</v>
      </c>
      <c r="C1917" s="18" t="s">
        <v>14</v>
      </c>
      <c r="D1917" s="14" t="str">
        <f>IF(ISBLANK(Raw_Data!D1917),AVERAGE(Raw_Data!D$2:D$5002),Raw_Data!D1917)</f>
        <v>70031.76</v>
      </c>
      <c r="E1917" s="15" t="str">
        <f>IF(ISBLANK(Raw_Data!E1917),AVERAGE(Raw_Data!E$2:E$5002),Raw_Data!E1917)</f>
        <v>23270.82</v>
      </c>
      <c r="F1917" s="15" t="str">
        <f>IF(ISBLANK(Raw_Data!F1917),AVERAGE(Raw_Data!F$2:F$5002),Raw_Data!F1917)</f>
        <v>15615.74</v>
      </c>
      <c r="G1917" s="14" t="str">
        <f>IF(ISBLANK(Raw_Data!G1917),AVERAGE(Raw_Data!G$2:G$5002),Raw_Data!G1917)</f>
        <v>13742.25</v>
      </c>
      <c r="H1917" s="15" t="str">
        <f t="shared" si="1"/>
        <v>108918.00</v>
      </c>
      <c r="I1917" s="14" t="str">
        <f t="shared" si="2"/>
        <v>95176.00</v>
      </c>
      <c r="J1917" s="16" t="str">
        <f>TEXT(Raw_Data!J1917,"MMM-YYY")</f>
        <v>Jan-2025</v>
      </c>
      <c r="K1917" s="13" t="str">
        <f>Raw_Data!K1917</f>
        <v>3</v>
      </c>
      <c r="L1917" s="17" t="str">
        <f>Raw_Data!L1917</f>
        <v>Delhi-North</v>
      </c>
      <c r="M1917" s="13" t="str">
        <f t="shared" si="3"/>
        <v>OK</v>
      </c>
      <c r="N1917" s="18" t="str">
        <f t="shared" si="4"/>
        <v>VALID</v>
      </c>
    </row>
    <row r="1918" ht="15.75" customHeight="1">
      <c r="A1918" s="13" t="str">
        <f>Raw_Data!A1918</f>
        <v>EMP2012</v>
      </c>
      <c r="B1918" s="13" t="str">
        <f>TRIM(CLEAN(Raw_Data!B1918))</f>
        <v>Finance</v>
      </c>
      <c r="C1918" s="18" t="s">
        <v>33</v>
      </c>
      <c r="D1918" s="14" t="str">
        <f>IF(ISBLANK(Raw_Data!D1918),AVERAGE(Raw_Data!D$2:D$5002),Raw_Data!D1918)</f>
        <v>70042.64</v>
      </c>
      <c r="E1918" s="15" t="str">
        <f>IF(ISBLANK(Raw_Data!E1918),AVERAGE(Raw_Data!E$2:E$5002),Raw_Data!E1918)</f>
        <v>23275.44</v>
      </c>
      <c r="F1918" s="15" t="str">
        <f>IF(ISBLANK(Raw_Data!F1918),AVERAGE(Raw_Data!F$2:F$5002),Raw_Data!F1918)</f>
        <v>15623.42</v>
      </c>
      <c r="G1918" s="14" t="str">
        <f>IF(ISBLANK(Raw_Data!G1918),AVERAGE(Raw_Data!G$2:G$5002),Raw_Data!G1918)</f>
        <v>13745.65</v>
      </c>
      <c r="H1918" s="15" t="str">
        <f t="shared" si="1"/>
        <v>108942.00</v>
      </c>
      <c r="I1918" s="14" t="str">
        <f t="shared" si="2"/>
        <v>95196.00</v>
      </c>
      <c r="J1918" s="16" t="str">
        <f>TEXT(Raw_Data!J1918,"MMM-YYY")</f>
        <v>Oct-2025</v>
      </c>
      <c r="K1918" s="13" t="str">
        <f>Raw_Data!K1918</f>
        <v>21</v>
      </c>
      <c r="L1918" s="17" t="str">
        <f>Raw_Data!L1918</f>
        <v>Bangalore-South</v>
      </c>
      <c r="M1918" s="13" t="str">
        <f t="shared" si="3"/>
        <v>OK</v>
      </c>
      <c r="N1918" s="18" t="str">
        <f t="shared" si="4"/>
        <v>VALID</v>
      </c>
    </row>
    <row r="1919" ht="15.75" customHeight="1">
      <c r="A1919" s="13" t="str">
        <f>Raw_Data!A1919</f>
        <v>EMP2013</v>
      </c>
      <c r="B1919" s="13" t="s">
        <v>13</v>
      </c>
      <c r="C1919" s="18" t="s">
        <v>37</v>
      </c>
      <c r="D1919" s="14" t="str">
        <f>IF(ISBLANK(Raw_Data!D1919),AVERAGE(Raw_Data!D$2:D$5002),Raw_Data!D1919)</f>
        <v>70053.53</v>
      </c>
      <c r="E1919" s="15" t="str">
        <f>IF(ISBLANK(Raw_Data!E1919),AVERAGE(Raw_Data!E$2:E$5002),Raw_Data!E1919)</f>
        <v>23280.05</v>
      </c>
      <c r="F1919" s="15" t="str">
        <f>IF(ISBLANK(Raw_Data!F1919),AVERAGE(Raw_Data!F$2:F$5002),Raw_Data!F1919)</f>
        <v>15631.10</v>
      </c>
      <c r="G1919" s="14" t="str">
        <f>IF(ISBLANK(Raw_Data!G1919),AVERAGE(Raw_Data!G$2:G$5002),Raw_Data!G1919)</f>
        <v>13749.05</v>
      </c>
      <c r="H1919" s="15" t="str">
        <f t="shared" si="1"/>
        <v>108965.00</v>
      </c>
      <c r="I1919" s="14" t="str">
        <f t="shared" si="2"/>
        <v>95216.00</v>
      </c>
      <c r="J1919" s="16" t="str">
        <f>TEXT(Raw_Data!J1919,"MMM-YYY")</f>
        <v>Aug-2025</v>
      </c>
      <c r="K1919" s="13" t="str">
        <f>Raw_Data!K1919</f>
        <v>10</v>
      </c>
      <c r="L1919" s="17" t="str">
        <f>Raw_Data!L1919</f>
        <v>Chennai-South</v>
      </c>
      <c r="M1919" s="13" t="str">
        <f t="shared" si="3"/>
        <v>OK</v>
      </c>
      <c r="N1919" s="18" t="str">
        <f t="shared" si="4"/>
        <v>VALID</v>
      </c>
    </row>
    <row r="1920" ht="15.75" customHeight="1">
      <c r="A1920" s="13" t="str">
        <f>Raw_Data!A1920</f>
        <v>EMP2014</v>
      </c>
      <c r="B1920" s="13" t="str">
        <f>TRIM(CLEAN(Raw_Data!B1920))</f>
        <v>Finance</v>
      </c>
      <c r="C1920" s="18" t="s">
        <v>14</v>
      </c>
      <c r="D1920" s="14" t="str">
        <f>IF(ISBLANK(Raw_Data!D1920),AVERAGE(Raw_Data!D$2:D$5002),Raw_Data!D1920)</f>
        <v>70064.41</v>
      </c>
      <c r="E1920" s="15" t="str">
        <f>IF(ISBLANK(Raw_Data!E1920),AVERAGE(Raw_Data!E$2:E$5002),Raw_Data!E1920)</f>
        <v>23284.67</v>
      </c>
      <c r="F1920" s="15" t="str">
        <f>IF(ISBLANK(Raw_Data!F1920),AVERAGE(Raw_Data!F$2:F$5002),Raw_Data!F1920)</f>
        <v>15638.78</v>
      </c>
      <c r="G1920" s="14" t="str">
        <f>IF(ISBLANK(Raw_Data!G1920),AVERAGE(Raw_Data!G$2:G$5002),Raw_Data!G1920)</f>
        <v>13752.45</v>
      </c>
      <c r="H1920" s="15" t="str">
        <f t="shared" si="1"/>
        <v>108988.00</v>
      </c>
      <c r="I1920" s="14" t="str">
        <f t="shared" si="2"/>
        <v>95236.00</v>
      </c>
      <c r="J1920" s="16" t="str">
        <f>TEXT(Raw_Data!J1920,"MMM-YYY")</f>
        <v>Oct-2025</v>
      </c>
      <c r="K1920" s="13" t="str">
        <f>Raw_Data!K1920</f>
        <v>22</v>
      </c>
      <c r="L1920" s="17" t="str">
        <f>Raw_Data!L1920</f>
        <v>Kolkata-East</v>
      </c>
      <c r="M1920" s="13" t="str">
        <f t="shared" si="3"/>
        <v>OK</v>
      </c>
      <c r="N1920" s="18" t="str">
        <f t="shared" si="4"/>
        <v>VALID</v>
      </c>
    </row>
    <row r="1921" ht="15.75" customHeight="1">
      <c r="A1921" s="13" t="str">
        <f>Raw_Data!A1921</f>
        <v>EMP2015</v>
      </c>
      <c r="B1921" s="13" t="str">
        <f>TRIM(CLEAN(Raw_Data!B1921))</f>
        <v>Sales</v>
      </c>
      <c r="C1921" s="18" t="s">
        <v>26</v>
      </c>
      <c r="D1921" s="14" t="str">
        <f>IF(ISBLANK(Raw_Data!D1921),AVERAGE(Raw_Data!D$2:D$5002),Raw_Data!D1921)</f>
        <v>70075.29</v>
      </c>
      <c r="E1921" s="15" t="str">
        <f>IF(ISBLANK(Raw_Data!E1921),AVERAGE(Raw_Data!E$2:E$5002),Raw_Data!E1921)</f>
        <v>23289.28</v>
      </c>
      <c r="F1921" s="15" t="str">
        <f>IF(ISBLANK(Raw_Data!F1921),AVERAGE(Raw_Data!F$2:F$5002),Raw_Data!F1921)</f>
        <v>15646.46</v>
      </c>
      <c r="G1921" s="14" t="str">
        <f>IF(ISBLANK(Raw_Data!G1921),AVERAGE(Raw_Data!G$2:G$5002),Raw_Data!G1921)</f>
        <v>13755.84</v>
      </c>
      <c r="H1921" s="15" t="str">
        <f t="shared" si="1"/>
        <v>109011.00</v>
      </c>
      <c r="I1921" s="14" t="str">
        <f t="shared" si="2"/>
        <v>95255.00</v>
      </c>
      <c r="J1921" s="16" t="str">
        <f>TEXT(Raw_Data!J1921,"MMM-YYY")</f>
        <v>Jul-2025</v>
      </c>
      <c r="K1921" s="13" t="str">
        <f>Raw_Data!K1921</f>
        <v>21</v>
      </c>
      <c r="L1921" s="17" t="str">
        <f>Raw_Data!L1921</f>
        <v>Pune-West</v>
      </c>
      <c r="M1921" s="13" t="str">
        <f t="shared" si="3"/>
        <v>OK</v>
      </c>
      <c r="N1921" s="18" t="str">
        <f t="shared" si="4"/>
        <v>VALID</v>
      </c>
    </row>
    <row r="1922" ht="15.75" customHeight="1">
      <c r="A1922" s="13" t="str">
        <f>Raw_Data!A1922</f>
        <v>EMP2016</v>
      </c>
      <c r="B1922" s="13" t="str">
        <f>TRIM(CLEAN(Raw_Data!B1922))</f>
        <v>Sales</v>
      </c>
      <c r="C1922" s="18" t="s">
        <v>26</v>
      </c>
      <c r="D1922" s="14" t="str">
        <f>IF(ISBLANK(Raw_Data!D1922),AVERAGE(Raw_Data!D$2:D$5002),Raw_Data!D1922)</f>
        <v>70086.18</v>
      </c>
      <c r="E1922" s="15" t="str">
        <f>IF(ISBLANK(Raw_Data!E1922),AVERAGE(Raw_Data!E$2:E$5002),Raw_Data!E1922)</f>
        <v>23293.90</v>
      </c>
      <c r="F1922" s="15" t="str">
        <f>IF(ISBLANK(Raw_Data!F1922),AVERAGE(Raw_Data!F$2:F$5002),Raw_Data!F1922)</f>
        <v>15654.14</v>
      </c>
      <c r="G1922" s="14" t="str">
        <f>IF(ISBLANK(Raw_Data!G1922),AVERAGE(Raw_Data!G$2:G$5002),Raw_Data!G1922)</f>
        <v>13759.24</v>
      </c>
      <c r="H1922" s="15" t="str">
        <f t="shared" si="1"/>
        <v>109034.00</v>
      </c>
      <c r="I1922" s="14" t="str">
        <f t="shared" si="2"/>
        <v>95275.00</v>
      </c>
      <c r="J1922" s="16" t="str">
        <f>TEXT(Raw_Data!J1922,"MMM-YYY")</f>
        <v>Oct-2025</v>
      </c>
      <c r="K1922" s="13" t="str">
        <f>Raw_Data!K1922</f>
        <v>5</v>
      </c>
      <c r="L1922" s="17" t="str">
        <f>Raw_Data!L1922</f>
        <v>Hyderabad-South</v>
      </c>
      <c r="M1922" s="13" t="str">
        <f t="shared" si="3"/>
        <v>OK</v>
      </c>
      <c r="N1922" s="18" t="str">
        <f t="shared" si="4"/>
        <v>VALID</v>
      </c>
    </row>
    <row r="1923" ht="15.75" customHeight="1">
      <c r="A1923" s="13" t="str">
        <f>Raw_Data!A1923</f>
        <v>EMP2017</v>
      </c>
      <c r="B1923" s="13" t="str">
        <f>TRIM(CLEAN(Raw_Data!B1923))</f>
        <v>IT</v>
      </c>
      <c r="C1923" s="18" t="s">
        <v>37</v>
      </c>
      <c r="D1923" s="14" t="str">
        <f>IF(ISBLANK(Raw_Data!D1923),AVERAGE(Raw_Data!D$2:D$5002),Raw_Data!D1923)</f>
        <v>70097.06</v>
      </c>
      <c r="E1923" s="15" t="str">
        <f>IF(ISBLANK(Raw_Data!E1923),AVERAGE(Raw_Data!E$2:E$5002),Raw_Data!E1923)</f>
        <v>23298.51</v>
      </c>
      <c r="F1923" s="15" t="str">
        <f>IF(ISBLANK(Raw_Data!F1923),AVERAGE(Raw_Data!F$2:F$5002),Raw_Data!F1923)</f>
        <v>15661.82</v>
      </c>
      <c r="G1923" s="14" t="str">
        <f>IF(ISBLANK(Raw_Data!G1923),AVERAGE(Raw_Data!G$2:G$5002),Raw_Data!G1923)</f>
        <v>13762.64</v>
      </c>
      <c r="H1923" s="15" t="str">
        <f t="shared" si="1"/>
        <v>109057.00</v>
      </c>
      <c r="I1923" s="14" t="str">
        <f t="shared" si="2"/>
        <v>95294.00</v>
      </c>
      <c r="J1923" s="16" t="str">
        <f>TEXT(Raw_Data!J1923,"MMM-YYY")</f>
        <v>Oct-2025</v>
      </c>
      <c r="K1923" s="13" t="str">
        <f>Raw_Data!K1923</f>
        <v>24</v>
      </c>
      <c r="L1923" s="17" t="str">
        <f>Raw_Data!L1923</f>
        <v>Chandigarh-North</v>
      </c>
      <c r="M1923" s="13" t="str">
        <f t="shared" si="3"/>
        <v>OK</v>
      </c>
      <c r="N1923" s="18" t="str">
        <f t="shared" si="4"/>
        <v>VALID</v>
      </c>
    </row>
    <row r="1924" ht="15.75" customHeight="1">
      <c r="A1924" s="13" t="str">
        <f>Raw_Data!A1924</f>
        <v>EMP2018</v>
      </c>
      <c r="B1924" s="13" t="str">
        <f>TRIM(CLEAN(Raw_Data!B1924))</f>
        <v>Sales</v>
      </c>
      <c r="C1924" s="18" t="s">
        <v>30</v>
      </c>
      <c r="D1924" s="14" t="str">
        <f>IF(ISBLANK(Raw_Data!D1924),AVERAGE(Raw_Data!D$2:D$5002),Raw_Data!D1924)</f>
        <v>71831.17</v>
      </c>
      <c r="E1924" s="15" t="str">
        <f>IF(ISBLANK(Raw_Data!E1924),AVERAGE(Raw_Data!E$2:E$5002),Raw_Data!E1924)</f>
        <v>23303.13</v>
      </c>
      <c r="F1924" s="15" t="str">
        <f>IF(ISBLANK(Raw_Data!F1924),AVERAGE(Raw_Data!F$2:F$5002),Raw_Data!F1924)</f>
        <v>15669.50</v>
      </c>
      <c r="G1924" s="14" t="str">
        <f>IF(ISBLANK(Raw_Data!G1924),AVERAGE(Raw_Data!G$2:G$5002),Raw_Data!G1924)</f>
        <v>13766.04</v>
      </c>
      <c r="H1924" s="15" t="str">
        <f t="shared" si="1"/>
        <v>110804.00</v>
      </c>
      <c r="I1924" s="14" t="str">
        <f t="shared" si="2"/>
        <v>97038.00</v>
      </c>
      <c r="J1924" s="16" t="str">
        <f>TEXT(Raw_Data!J1924,"MMM-YYY")</f>
        <v>Jun-2025</v>
      </c>
      <c r="K1924" s="13" t="str">
        <f>Raw_Data!K1924</f>
        <v>10</v>
      </c>
      <c r="L1924" s="17" t="str">
        <f>Raw_Data!L1924</f>
        <v>Ahmedabad-West</v>
      </c>
      <c r="M1924" s="13" t="str">
        <f t="shared" si="3"/>
        <v>OK</v>
      </c>
      <c r="N1924" s="18" t="str">
        <f t="shared" si="4"/>
        <v>VALID</v>
      </c>
    </row>
    <row r="1925" ht="15.75" customHeight="1">
      <c r="A1925" s="13" t="str">
        <f>Raw_Data!A1925</f>
        <v>EMP2019</v>
      </c>
      <c r="B1925" s="13" t="str">
        <f>TRIM(CLEAN(Raw_Data!B1925))</f>
        <v>Operations</v>
      </c>
      <c r="C1925" s="18" t="s">
        <v>18</v>
      </c>
      <c r="D1925" s="14" t="str">
        <f>IF(ISBLANK(Raw_Data!D1925),AVERAGE(Raw_Data!D$2:D$5002),Raw_Data!D1925)</f>
        <v>70118.83</v>
      </c>
      <c r="E1925" s="15" t="str">
        <f>IF(ISBLANK(Raw_Data!E1925),AVERAGE(Raw_Data!E$2:E$5002),Raw_Data!E1925)</f>
        <v>23307.74</v>
      </c>
      <c r="F1925" s="15" t="str">
        <f>IF(ISBLANK(Raw_Data!F1925),AVERAGE(Raw_Data!F$2:F$5002),Raw_Data!F1925)</f>
        <v>15677.18</v>
      </c>
      <c r="G1925" s="14" t="str">
        <f>IF(ISBLANK(Raw_Data!G1925),AVERAGE(Raw_Data!G$2:G$5002),Raw_Data!G1925)</f>
        <v>13769.43</v>
      </c>
      <c r="H1925" s="15" t="str">
        <f t="shared" si="1"/>
        <v>109104.00</v>
      </c>
      <c r="I1925" s="14" t="str">
        <f t="shared" si="2"/>
        <v>95335.00</v>
      </c>
      <c r="J1925" s="16" t="str">
        <f>TEXT(Raw_Data!J1925,"MMM-YYY")</f>
        <v>Apr-2025</v>
      </c>
      <c r="K1925" s="13" t="str">
        <f>Raw_Data!K1925</f>
        <v>20</v>
      </c>
      <c r="L1925" s="17" t="str">
        <f>Raw_Data!L1925</f>
        <v>Jaipur-North</v>
      </c>
      <c r="M1925" s="13" t="str">
        <f t="shared" si="3"/>
        <v>OK</v>
      </c>
      <c r="N1925" s="18" t="str">
        <f t="shared" si="4"/>
        <v>VALID</v>
      </c>
    </row>
    <row r="1926" ht="15.75" customHeight="1">
      <c r="A1926" s="13" t="str">
        <f>Raw_Data!A1926</f>
        <v>EMP2020</v>
      </c>
      <c r="B1926" s="13" t="str">
        <f>TRIM(CLEAN(Raw_Data!B1926))</f>
        <v>HR</v>
      </c>
      <c r="C1926" s="18" t="s">
        <v>30</v>
      </c>
      <c r="D1926" s="14" t="str">
        <f>IF(ISBLANK(Raw_Data!D1926),AVERAGE(Raw_Data!D$2:D$5002),Raw_Data!D1926)</f>
        <v>70129.71</v>
      </c>
      <c r="E1926" s="15" t="str">
        <f>IF(ISBLANK(Raw_Data!E1926),AVERAGE(Raw_Data!E$2:E$5002),Raw_Data!E1926)</f>
        <v>23312.36</v>
      </c>
      <c r="F1926" s="15" t="str">
        <f>IF(ISBLANK(Raw_Data!F1926),AVERAGE(Raw_Data!F$2:F$5002),Raw_Data!F1926)</f>
        <v>15684.86</v>
      </c>
      <c r="G1926" s="14" t="str">
        <f>IF(ISBLANK(Raw_Data!G1926),AVERAGE(Raw_Data!G$2:G$5002),Raw_Data!G1926)</f>
        <v>13772.83</v>
      </c>
      <c r="H1926" s="15" t="str">
        <f t="shared" si="1"/>
        <v>109127.00</v>
      </c>
      <c r="I1926" s="14" t="str">
        <f t="shared" si="2"/>
        <v>95354.00</v>
      </c>
      <c r="J1926" s="16" t="str">
        <f>TEXT(Raw_Data!J1926,"MMM-YYY")</f>
        <v>Aug-2025</v>
      </c>
      <c r="K1926" s="13" t="str">
        <f>Raw_Data!K1926</f>
        <v>14</v>
      </c>
      <c r="L1926" s="17" t="str">
        <f>Raw_Data!L1926</f>
        <v>Mumbai-HO</v>
      </c>
      <c r="M1926" s="13" t="str">
        <f t="shared" si="3"/>
        <v>OK</v>
      </c>
      <c r="N1926" s="18" t="str">
        <f t="shared" si="4"/>
        <v>VALID</v>
      </c>
    </row>
    <row r="1927" ht="15.75" customHeight="1">
      <c r="A1927" s="13" t="str">
        <f>Raw_Data!A1927</f>
        <v>EMP2021</v>
      </c>
      <c r="B1927" s="13" t="str">
        <f>TRIM(CLEAN(Raw_Data!B1927))</f>
        <v>HR</v>
      </c>
      <c r="C1927" s="18" t="s">
        <v>18</v>
      </c>
      <c r="D1927" s="14" t="str">
        <f>IF(ISBLANK(Raw_Data!D1927),AVERAGE(Raw_Data!D$2:D$5002),Raw_Data!D1927)</f>
        <v>70140.59</v>
      </c>
      <c r="E1927" s="15" t="str">
        <f>IF(ISBLANK(Raw_Data!E1927),AVERAGE(Raw_Data!E$2:E$5002),Raw_Data!E1927)</f>
        <v>23316.97</v>
      </c>
      <c r="F1927" s="15" t="str">
        <f>IF(ISBLANK(Raw_Data!F1927),AVERAGE(Raw_Data!F$2:F$5002),Raw_Data!F1927)</f>
        <v>15692.54</v>
      </c>
      <c r="G1927" s="14" t="str">
        <f>IF(ISBLANK(Raw_Data!G1927),AVERAGE(Raw_Data!G$2:G$5002),Raw_Data!G1927)</f>
        <v>13776.23</v>
      </c>
      <c r="H1927" s="15" t="str">
        <f t="shared" si="1"/>
        <v>109150.00</v>
      </c>
      <c r="I1927" s="14" t="str">
        <f t="shared" si="2"/>
        <v>95374.00</v>
      </c>
      <c r="J1927" s="16" t="str">
        <f>TEXT(Raw_Data!J1927,"MMM-YYY")</f>
        <v>Sep-2025</v>
      </c>
      <c r="K1927" s="13" t="str">
        <f>Raw_Data!K1927</f>
        <v>8</v>
      </c>
      <c r="L1927" s="17" t="str">
        <f>Raw_Data!L1927</f>
        <v>Delhi-North</v>
      </c>
      <c r="M1927" s="13" t="str">
        <f t="shared" si="3"/>
        <v>OK</v>
      </c>
      <c r="N1927" s="18" t="str">
        <f t="shared" si="4"/>
        <v>VALID</v>
      </c>
    </row>
    <row r="1928" ht="15.75" customHeight="1">
      <c r="A1928" s="13" t="str">
        <f>Raw_Data!A1928</f>
        <v>EMP2022</v>
      </c>
      <c r="B1928" s="13" t="str">
        <f>TRIM(CLEAN(Raw_Data!B1928))</f>
        <v>Marketing</v>
      </c>
      <c r="C1928" s="18" t="s">
        <v>14</v>
      </c>
      <c r="D1928" s="14" t="str">
        <f>IF(ISBLANK(Raw_Data!D1928),AVERAGE(Raw_Data!D$2:D$5002),Raw_Data!D1928)</f>
        <v>70151.47</v>
      </c>
      <c r="E1928" s="15" t="str">
        <f>IF(ISBLANK(Raw_Data!E1928),AVERAGE(Raw_Data!E$2:E$5002),Raw_Data!E1928)</f>
        <v>23321.58</v>
      </c>
      <c r="F1928" s="15" t="str">
        <f>IF(ISBLANK(Raw_Data!F1928),AVERAGE(Raw_Data!F$2:F$5002),Raw_Data!F1928)</f>
        <v>15700.22</v>
      </c>
      <c r="G1928" s="14" t="str">
        <f>IF(ISBLANK(Raw_Data!G1928),AVERAGE(Raw_Data!G$2:G$5002),Raw_Data!G1928)</f>
        <v>13779.63</v>
      </c>
      <c r="H1928" s="15" t="str">
        <f t="shared" si="1"/>
        <v>109173.00</v>
      </c>
      <c r="I1928" s="14" t="str">
        <f t="shared" si="2"/>
        <v>95393.00</v>
      </c>
      <c r="J1928" s="16" t="str">
        <f>TEXT(Raw_Data!J1928,"MMM-YYY")</f>
        <v>Oct-2025</v>
      </c>
      <c r="K1928" s="13" t="str">
        <f>Raw_Data!K1928</f>
        <v>15</v>
      </c>
      <c r="L1928" s="17" t="str">
        <f>Raw_Data!L1928</f>
        <v>Bangalore-South</v>
      </c>
      <c r="M1928" s="13" t="str">
        <f t="shared" si="3"/>
        <v>OK</v>
      </c>
      <c r="N1928" s="18" t="str">
        <f t="shared" si="4"/>
        <v>VALID</v>
      </c>
    </row>
    <row r="1929" ht="15.75" customHeight="1">
      <c r="A1929" s="13" t="str">
        <f>Raw_Data!A1929</f>
        <v>EMP2023</v>
      </c>
      <c r="B1929" s="13" t="str">
        <f>TRIM(CLEAN(Raw_Data!B1929))</f>
        <v>Sales</v>
      </c>
      <c r="C1929" s="18" t="s">
        <v>26</v>
      </c>
      <c r="D1929" s="14" t="str">
        <f>IF(ISBLANK(Raw_Data!D1929),AVERAGE(Raw_Data!D$2:D$5002),Raw_Data!D1929)</f>
        <v>70162.36</v>
      </c>
      <c r="E1929" s="15" t="str">
        <f>IF(ISBLANK(Raw_Data!E1929),AVERAGE(Raw_Data!E$2:E$5002),Raw_Data!E1929)</f>
        <v>23326.20</v>
      </c>
      <c r="F1929" s="15" t="str">
        <f>IF(ISBLANK(Raw_Data!F1929),AVERAGE(Raw_Data!F$2:F$5002),Raw_Data!F1929)</f>
        <v>15707.90</v>
      </c>
      <c r="G1929" s="14" t="str">
        <f>IF(ISBLANK(Raw_Data!G1929),AVERAGE(Raw_Data!G$2:G$5002),Raw_Data!G1929)</f>
        <v>13783.02</v>
      </c>
      <c r="H1929" s="15" t="str">
        <f t="shared" si="1"/>
        <v>109196.00</v>
      </c>
      <c r="I1929" s="14" t="str">
        <f t="shared" si="2"/>
        <v>95413.00</v>
      </c>
      <c r="J1929" s="16" t="str">
        <f>TEXT(Raw_Data!J1929,"MMM-YYY")</f>
        <v>Feb-2025</v>
      </c>
      <c r="K1929" s="13" t="str">
        <f>Raw_Data!K1929</f>
        <v>4</v>
      </c>
      <c r="L1929" s="17" t="str">
        <f>Raw_Data!L1929</f>
        <v>Chennai-South</v>
      </c>
      <c r="M1929" s="13" t="str">
        <f t="shared" si="3"/>
        <v>OK</v>
      </c>
      <c r="N1929" s="18" t="str">
        <f t="shared" si="4"/>
        <v>VALID</v>
      </c>
    </row>
    <row r="1930" ht="15.75" customHeight="1">
      <c r="A1930" s="13" t="str">
        <f>Raw_Data!A1930</f>
        <v>EMP2024</v>
      </c>
      <c r="B1930" s="13" t="str">
        <f>TRIM(CLEAN(Raw_Data!B1930))</f>
        <v>Finance</v>
      </c>
      <c r="C1930" s="18" t="s">
        <v>54</v>
      </c>
      <c r="D1930" s="14" t="str">
        <f>IF(ISBLANK(Raw_Data!D1930),AVERAGE(Raw_Data!D$2:D$5002),Raw_Data!D1930)</f>
        <v>70173.24</v>
      </c>
      <c r="E1930" s="15" t="str">
        <f>IF(ISBLANK(Raw_Data!E1930),AVERAGE(Raw_Data!E$2:E$5002),Raw_Data!E1930)</f>
        <v>23330.81</v>
      </c>
      <c r="F1930" s="15" t="str">
        <f>IF(ISBLANK(Raw_Data!F1930),AVERAGE(Raw_Data!F$2:F$5002),Raw_Data!F1930)</f>
        <v>15715.58</v>
      </c>
      <c r="G1930" s="14" t="str">
        <f>IF(ISBLANK(Raw_Data!G1930),AVERAGE(Raw_Data!G$2:G$5002),Raw_Data!G1930)</f>
        <v>13786.42</v>
      </c>
      <c r="H1930" s="15" t="str">
        <f t="shared" si="1"/>
        <v>109220.00</v>
      </c>
      <c r="I1930" s="14" t="str">
        <f t="shared" si="2"/>
        <v>95434.00</v>
      </c>
      <c r="J1930" s="16" t="str">
        <f>TEXT(Raw_Data!J1930,"MMM-YYY")</f>
        <v>Jun-2025</v>
      </c>
      <c r="K1930" s="13" t="str">
        <f>Raw_Data!K1930</f>
        <v>15</v>
      </c>
      <c r="L1930" s="17" t="str">
        <f>Raw_Data!L1930</f>
        <v>Kolkata-East</v>
      </c>
      <c r="M1930" s="13" t="str">
        <f t="shared" si="3"/>
        <v>OK</v>
      </c>
      <c r="N1930" s="18" t="str">
        <f t="shared" si="4"/>
        <v>VALID</v>
      </c>
    </row>
    <row r="1931" ht="15.75" customHeight="1">
      <c r="A1931" s="13" t="str">
        <f>Raw_Data!A1931</f>
        <v>EMP2025</v>
      </c>
      <c r="B1931" s="13" t="str">
        <f>TRIM(CLEAN(Raw_Data!B1931))</f>
        <v>Operations</v>
      </c>
      <c r="C1931" s="18" t="s">
        <v>33</v>
      </c>
      <c r="D1931" s="14" t="str">
        <f>IF(ISBLANK(Raw_Data!D1931),AVERAGE(Raw_Data!D$2:D$5002),Raw_Data!D1931)</f>
        <v>70184.12</v>
      </c>
      <c r="E1931" s="15" t="str">
        <f>IF(ISBLANK(Raw_Data!E1931),AVERAGE(Raw_Data!E$2:E$5002),Raw_Data!E1931)</f>
        <v>23335.43</v>
      </c>
      <c r="F1931" s="15" t="str">
        <f>IF(ISBLANK(Raw_Data!F1931),AVERAGE(Raw_Data!F$2:F$5002),Raw_Data!F1931)</f>
        <v>15723.26</v>
      </c>
      <c r="G1931" s="14" t="str">
        <f>IF(ISBLANK(Raw_Data!G1931),AVERAGE(Raw_Data!G$2:G$5002),Raw_Data!G1931)</f>
        <v>13789.82</v>
      </c>
      <c r="H1931" s="15" t="str">
        <f t="shared" si="1"/>
        <v>109243.00</v>
      </c>
      <c r="I1931" s="14" t="str">
        <f t="shared" si="2"/>
        <v>95453.00</v>
      </c>
      <c r="J1931" s="16" t="str">
        <f>TEXT(Raw_Data!J1931,"MMM-YYY")</f>
        <v>Jan-2025</v>
      </c>
      <c r="K1931" s="13" t="str">
        <f>Raw_Data!K1931</f>
        <v>22</v>
      </c>
      <c r="L1931" s="17" t="str">
        <f>Raw_Data!L1931</f>
        <v>Pune-West</v>
      </c>
      <c r="M1931" s="13" t="str">
        <f t="shared" si="3"/>
        <v>OK</v>
      </c>
      <c r="N1931" s="18" t="str">
        <f t="shared" si="4"/>
        <v>VALID</v>
      </c>
    </row>
    <row r="1932" ht="15.75" customHeight="1">
      <c r="A1932" s="13" t="str">
        <f>Raw_Data!A1932</f>
        <v>EMP2026</v>
      </c>
      <c r="B1932" s="13" t="str">
        <f>TRIM(CLEAN(Raw_Data!B1932))</f>
        <v>Customer Support</v>
      </c>
      <c r="C1932" s="18" t="s">
        <v>26</v>
      </c>
      <c r="D1932" s="14" t="str">
        <f>IF(ISBLANK(Raw_Data!D1932),AVERAGE(Raw_Data!D$2:D$5002),Raw_Data!D1932)</f>
        <v>70195.01</v>
      </c>
      <c r="E1932" s="15" t="str">
        <f>IF(ISBLANK(Raw_Data!E1932),AVERAGE(Raw_Data!E$2:E$5002),Raw_Data!E1932)</f>
        <v>23340.04</v>
      </c>
      <c r="F1932" s="15" t="str">
        <f>IF(ISBLANK(Raw_Data!F1932),AVERAGE(Raw_Data!F$2:F$5002),Raw_Data!F1932)</f>
        <v>15730.94</v>
      </c>
      <c r="G1932" s="14" t="str">
        <f>IF(ISBLANK(Raw_Data!G1932),AVERAGE(Raw_Data!G$2:G$5002),Raw_Data!G1932)</f>
        <v>13793.22</v>
      </c>
      <c r="H1932" s="15" t="str">
        <f t="shared" si="1"/>
        <v>109266.00</v>
      </c>
      <c r="I1932" s="14" t="str">
        <f t="shared" si="2"/>
        <v>95473.00</v>
      </c>
      <c r="J1932" s="16" t="str">
        <f>TEXT(Raw_Data!J1932,"MMM-YYY")</f>
        <v>May-2025</v>
      </c>
      <c r="K1932" s="13" t="str">
        <f>Raw_Data!K1932</f>
        <v>4</v>
      </c>
      <c r="L1932" s="17" t="str">
        <f>Raw_Data!L1932</f>
        <v>Hyderabad-South</v>
      </c>
      <c r="M1932" s="13" t="str">
        <f t="shared" si="3"/>
        <v>OK</v>
      </c>
      <c r="N1932" s="18" t="str">
        <f t="shared" si="4"/>
        <v>VALID</v>
      </c>
    </row>
    <row r="1933" ht="15.75" customHeight="1">
      <c r="A1933" s="13" t="str">
        <f>Raw_Data!A1933</f>
        <v>EMP2027</v>
      </c>
      <c r="B1933" s="13" t="str">
        <f>TRIM(CLEAN(Raw_Data!B1933))</f>
        <v>Operations</v>
      </c>
      <c r="C1933" s="18" t="s">
        <v>30</v>
      </c>
      <c r="D1933" s="14" t="str">
        <f>IF(ISBLANK(Raw_Data!D1933),AVERAGE(Raw_Data!D$2:D$5002),Raw_Data!D1933)</f>
        <v>70205.89</v>
      </c>
      <c r="E1933" s="15" t="str">
        <f>IF(ISBLANK(Raw_Data!E1933),AVERAGE(Raw_Data!E$2:E$5002),Raw_Data!E1933)</f>
        <v>23344.66</v>
      </c>
      <c r="F1933" s="15" t="str">
        <f>IF(ISBLANK(Raw_Data!F1933),AVERAGE(Raw_Data!F$2:F$5002),Raw_Data!F1933)</f>
        <v>15738.62</v>
      </c>
      <c r="G1933" s="14" t="str">
        <f>IF(ISBLANK(Raw_Data!G1933),AVERAGE(Raw_Data!G$2:G$5002),Raw_Data!G1933)</f>
        <v>13796.61</v>
      </c>
      <c r="H1933" s="15" t="str">
        <f t="shared" si="1"/>
        <v>109289.00</v>
      </c>
      <c r="I1933" s="14" t="str">
        <f t="shared" si="2"/>
        <v>95492.00</v>
      </c>
      <c r="J1933" s="16" t="str">
        <f>TEXT(Raw_Data!J1933,"MMM-YYY")</f>
        <v>Feb-2025</v>
      </c>
      <c r="K1933" s="13" t="str">
        <f>Raw_Data!K1933</f>
        <v>18</v>
      </c>
      <c r="L1933" s="17" t="str">
        <f>Raw_Data!L1933</f>
        <v>Chandigarh-North</v>
      </c>
      <c r="M1933" s="13" t="str">
        <f t="shared" si="3"/>
        <v>OK</v>
      </c>
      <c r="N1933" s="18" t="str">
        <f t="shared" si="4"/>
        <v>VALID</v>
      </c>
    </row>
    <row r="1934" ht="15.75" customHeight="1">
      <c r="A1934" s="13" t="str">
        <f>Raw_Data!A1934</f>
        <v>EMP2028</v>
      </c>
      <c r="B1934" s="13" t="str">
        <f>TRIM(CLEAN(Raw_Data!B1934))</f>
        <v>Finance</v>
      </c>
      <c r="C1934" s="18" t="s">
        <v>30</v>
      </c>
      <c r="D1934" s="14" t="str">
        <f>IF(ISBLANK(Raw_Data!D1934),AVERAGE(Raw_Data!D$2:D$5002),Raw_Data!D1934)</f>
        <v>70216.77</v>
      </c>
      <c r="E1934" s="15" t="str">
        <f>IF(ISBLANK(Raw_Data!E1934),AVERAGE(Raw_Data!E$2:E$5002),Raw_Data!E1934)</f>
        <v>23349.27</v>
      </c>
      <c r="F1934" s="15" t="str">
        <f>IF(ISBLANK(Raw_Data!F1934),AVERAGE(Raw_Data!F$2:F$5002),Raw_Data!F1934)</f>
        <v>15746.30</v>
      </c>
      <c r="G1934" s="14" t="str">
        <f>IF(ISBLANK(Raw_Data!G1934),AVERAGE(Raw_Data!G$2:G$5002),Raw_Data!G1934)</f>
        <v>13800.01</v>
      </c>
      <c r="H1934" s="15" t="str">
        <f t="shared" si="1"/>
        <v>109312.00</v>
      </c>
      <c r="I1934" s="14" t="str">
        <f t="shared" si="2"/>
        <v>95512.00</v>
      </c>
      <c r="J1934" s="16" t="str">
        <f>TEXT(Raw_Data!J1934,"MMM-YYY")</f>
        <v>Nov-2025</v>
      </c>
      <c r="K1934" s="13" t="str">
        <f>Raw_Data!K1934</f>
        <v>13</v>
      </c>
      <c r="L1934" s="17" t="str">
        <f>Raw_Data!L1934</f>
        <v>Ahmedabad-West</v>
      </c>
      <c r="M1934" s="13" t="str">
        <f t="shared" si="3"/>
        <v>OK</v>
      </c>
      <c r="N1934" s="18" t="str">
        <f t="shared" si="4"/>
        <v>VALID</v>
      </c>
    </row>
    <row r="1935" ht="15.75" customHeight="1">
      <c r="A1935" s="13" t="str">
        <f>Raw_Data!A1935</f>
        <v>EMP2029</v>
      </c>
      <c r="B1935" s="13" t="str">
        <f>TRIM(CLEAN(Raw_Data!B1935))</f>
        <v>Sales</v>
      </c>
      <c r="C1935" s="18" t="s">
        <v>30</v>
      </c>
      <c r="D1935" s="14" t="str">
        <f>IF(ISBLANK(Raw_Data!D1935),AVERAGE(Raw_Data!D$2:D$5002),Raw_Data!D1935)</f>
        <v>70227.66</v>
      </c>
      <c r="E1935" s="15" t="str">
        <f>IF(ISBLANK(Raw_Data!E1935),AVERAGE(Raw_Data!E$2:E$5002),Raw_Data!E1935)</f>
        <v>23353.89</v>
      </c>
      <c r="F1935" s="15" t="str">
        <f>IF(ISBLANK(Raw_Data!F1935),AVERAGE(Raw_Data!F$2:F$5002),Raw_Data!F1935)</f>
        <v>15753.98</v>
      </c>
      <c r="G1935" s="14" t="str">
        <f>IF(ISBLANK(Raw_Data!G1935),AVERAGE(Raw_Data!G$2:G$5002),Raw_Data!G1935)</f>
        <v>13803.41</v>
      </c>
      <c r="H1935" s="15" t="str">
        <f t="shared" si="1"/>
        <v>109336.00</v>
      </c>
      <c r="I1935" s="14" t="str">
        <f t="shared" si="2"/>
        <v>95533.00</v>
      </c>
      <c r="J1935" s="16" t="str">
        <f>TEXT(Raw_Data!J1935,"MMM-YYY")</f>
        <v>Jan-2025</v>
      </c>
      <c r="K1935" s="13" t="str">
        <f>Raw_Data!K1935</f>
        <v>8</v>
      </c>
      <c r="L1935" s="17" t="str">
        <f>Raw_Data!L1935</f>
        <v>Jaipur-North</v>
      </c>
      <c r="M1935" s="13" t="str">
        <f t="shared" si="3"/>
        <v>OK</v>
      </c>
      <c r="N1935" s="18" t="str">
        <f t="shared" si="4"/>
        <v>VALID</v>
      </c>
    </row>
    <row r="1936" ht="15.75" customHeight="1">
      <c r="A1936" s="13" t="str">
        <f>Raw_Data!A1936</f>
        <v>EMP2030</v>
      </c>
      <c r="B1936" s="13" t="str">
        <f>TRIM(CLEAN(Raw_Data!B1936))</f>
        <v>Marketing</v>
      </c>
      <c r="C1936" s="18" t="s">
        <v>54</v>
      </c>
      <c r="D1936" s="14" t="str">
        <f>IF(ISBLANK(Raw_Data!D1936),AVERAGE(Raw_Data!D$2:D$5002),Raw_Data!D1936)</f>
        <v>70238.54</v>
      </c>
      <c r="E1936" s="15" t="str">
        <f>IF(ISBLANK(Raw_Data!E1936),AVERAGE(Raw_Data!E$2:E$5002),Raw_Data!E1936)</f>
        <v>23358.50</v>
      </c>
      <c r="F1936" s="15" t="str">
        <f>IF(ISBLANK(Raw_Data!F1936),AVERAGE(Raw_Data!F$2:F$5002),Raw_Data!F1936)</f>
        <v>15761.66</v>
      </c>
      <c r="G1936" s="14" t="str">
        <f>IF(ISBLANK(Raw_Data!G1936),AVERAGE(Raw_Data!G$2:G$5002),Raw_Data!G1936)</f>
        <v>13806.81</v>
      </c>
      <c r="H1936" s="15" t="str">
        <f t="shared" si="1"/>
        <v>109359.00</v>
      </c>
      <c r="I1936" s="14" t="str">
        <f t="shared" si="2"/>
        <v>95552.00</v>
      </c>
      <c r="J1936" s="16" t="str">
        <f>TEXT(Raw_Data!J1936,"MMM-YYY")</f>
        <v>Sep-2025</v>
      </c>
      <c r="K1936" s="13" t="str">
        <f>Raw_Data!K1936</f>
        <v>6</v>
      </c>
      <c r="L1936" s="17" t="str">
        <f>Raw_Data!L1936</f>
        <v>Mumbai-HO</v>
      </c>
      <c r="M1936" s="13" t="str">
        <f t="shared" si="3"/>
        <v>OK</v>
      </c>
      <c r="N1936" s="18" t="str">
        <f t="shared" si="4"/>
        <v>VALID</v>
      </c>
    </row>
    <row r="1937" ht="15.75" customHeight="1">
      <c r="A1937" s="13" t="str">
        <f>Raw_Data!A1937</f>
        <v>EMP2031</v>
      </c>
      <c r="B1937" s="13" t="str">
        <f>TRIM(CLEAN(Raw_Data!B1937))</f>
        <v>Finance</v>
      </c>
      <c r="C1937" s="18" t="s">
        <v>14</v>
      </c>
      <c r="D1937" s="14" t="str">
        <f>IF(ISBLANK(Raw_Data!D1937),AVERAGE(Raw_Data!D$2:D$5002),Raw_Data!D1937)</f>
        <v>70249.42</v>
      </c>
      <c r="E1937" s="15" t="str">
        <f>IF(ISBLANK(Raw_Data!E1937),AVERAGE(Raw_Data!E$2:E$5002),Raw_Data!E1937)</f>
        <v>23363.12</v>
      </c>
      <c r="F1937" s="15" t="str">
        <f>IF(ISBLANK(Raw_Data!F1937),AVERAGE(Raw_Data!F$2:F$5002),Raw_Data!F1937)</f>
        <v>15769.34</v>
      </c>
      <c r="G1937" s="14" t="str">
        <f>IF(ISBLANK(Raw_Data!G1937),AVERAGE(Raw_Data!G$2:G$5002),Raw_Data!G1937)</f>
        <v>13810.20</v>
      </c>
      <c r="H1937" s="15" t="str">
        <f t="shared" si="1"/>
        <v>109382.00</v>
      </c>
      <c r="I1937" s="14" t="str">
        <f t="shared" si="2"/>
        <v>95572.00</v>
      </c>
      <c r="J1937" s="16" t="str">
        <f>TEXT(Raw_Data!J1937,"MMM-YYY")</f>
        <v>Sep-2025</v>
      </c>
      <c r="K1937" s="13" t="str">
        <f>Raw_Data!K1937</f>
        <v>9</v>
      </c>
      <c r="L1937" s="17" t="str">
        <f>Raw_Data!L1937</f>
        <v>Delhi-North</v>
      </c>
      <c r="M1937" s="13" t="str">
        <f t="shared" si="3"/>
        <v>OK</v>
      </c>
      <c r="N1937" s="18" t="str">
        <f t="shared" si="4"/>
        <v>VALID</v>
      </c>
    </row>
    <row r="1938" ht="15.75" customHeight="1">
      <c r="A1938" s="13" t="str">
        <f>Raw_Data!A1938</f>
        <v>EMP2032</v>
      </c>
      <c r="B1938" s="13" t="str">
        <f>TRIM(CLEAN(Raw_Data!B1938))</f>
        <v>HR</v>
      </c>
      <c r="C1938" s="18" t="s">
        <v>37</v>
      </c>
      <c r="D1938" s="14" t="str">
        <f>IF(ISBLANK(Raw_Data!D1938),AVERAGE(Raw_Data!D$2:D$5002),Raw_Data!D1938)</f>
        <v>70260.30</v>
      </c>
      <c r="E1938" s="15" t="str">
        <f>IF(ISBLANK(Raw_Data!E1938),AVERAGE(Raw_Data!E$2:E$5002),Raw_Data!E1938)</f>
        <v>23367.73</v>
      </c>
      <c r="F1938" s="15" t="str">
        <f>IF(ISBLANK(Raw_Data!F1938),AVERAGE(Raw_Data!F$2:F$5002),Raw_Data!F1938)</f>
        <v>15777.02</v>
      </c>
      <c r="G1938" s="14" t="str">
        <f>IF(ISBLANK(Raw_Data!G1938),AVERAGE(Raw_Data!G$2:G$5002),Raw_Data!G1938)</f>
        <v>13813.60</v>
      </c>
      <c r="H1938" s="15" t="str">
        <f t="shared" si="1"/>
        <v>109405.00</v>
      </c>
      <c r="I1938" s="14" t="str">
        <f t="shared" si="2"/>
        <v>95591.00</v>
      </c>
      <c r="J1938" s="16" t="str">
        <f>TEXT(Raw_Data!J1938,"MMM-YYY")</f>
        <v>Dec-2025</v>
      </c>
      <c r="K1938" s="13" t="str">
        <f>Raw_Data!K1938</f>
        <v>1</v>
      </c>
      <c r="L1938" s="17" t="str">
        <f>Raw_Data!L1938</f>
        <v>Bangalore-South</v>
      </c>
      <c r="M1938" s="13" t="str">
        <f t="shared" si="3"/>
        <v>OK</v>
      </c>
      <c r="N1938" s="18" t="str">
        <f t="shared" si="4"/>
        <v>VALID</v>
      </c>
    </row>
    <row r="1939" ht="15.75" customHeight="1">
      <c r="A1939" s="13" t="str">
        <f>Raw_Data!A1939</f>
        <v>EMP2033</v>
      </c>
      <c r="B1939" s="13" t="str">
        <f>TRIM(CLEAN(Raw_Data!B1939))</f>
        <v>Marketing</v>
      </c>
      <c r="C1939" s="18" t="s">
        <v>37</v>
      </c>
      <c r="D1939" s="14" t="str">
        <f>IF(ISBLANK(Raw_Data!D1939),AVERAGE(Raw_Data!D$2:D$5002),Raw_Data!D1939)</f>
        <v>70271.19</v>
      </c>
      <c r="E1939" s="15" t="str">
        <f>IF(ISBLANK(Raw_Data!E1939),AVERAGE(Raw_Data!E$2:E$5002),Raw_Data!E1939)</f>
        <v>23372.35</v>
      </c>
      <c r="F1939" s="15" t="str">
        <f>IF(ISBLANK(Raw_Data!F1939),AVERAGE(Raw_Data!F$2:F$5002),Raw_Data!F1939)</f>
        <v>15784.70</v>
      </c>
      <c r="G1939" s="14" t="str">
        <f>IF(ISBLANK(Raw_Data!G1939),AVERAGE(Raw_Data!G$2:G$5002),Raw_Data!G1939)</f>
        <v>13817.00</v>
      </c>
      <c r="H1939" s="15" t="str">
        <f t="shared" si="1"/>
        <v>109428.00</v>
      </c>
      <c r="I1939" s="14" t="str">
        <f t="shared" si="2"/>
        <v>95611.00</v>
      </c>
      <c r="J1939" s="16" t="str">
        <f>TEXT(Raw_Data!J1939,"MMM-YYY")</f>
        <v>Aug-2025</v>
      </c>
      <c r="K1939" s="13" t="str">
        <f>Raw_Data!K1939</f>
        <v>22</v>
      </c>
      <c r="L1939" s="17" t="str">
        <f>Raw_Data!L1939</f>
        <v>Chennai-South</v>
      </c>
      <c r="M1939" s="13" t="str">
        <f t="shared" si="3"/>
        <v>OK</v>
      </c>
      <c r="N1939" s="18" t="str">
        <f t="shared" si="4"/>
        <v>VALID</v>
      </c>
    </row>
    <row r="1940" ht="15.75" customHeight="1">
      <c r="A1940" s="13" t="str">
        <f>Raw_Data!A1940</f>
        <v>EMP2034</v>
      </c>
      <c r="B1940" s="13" t="str">
        <f>TRIM(CLEAN(Raw_Data!B1940))</f>
        <v>Sales</v>
      </c>
      <c r="C1940" s="18" t="s">
        <v>26</v>
      </c>
      <c r="D1940" s="14" t="str">
        <f>IF(ISBLANK(Raw_Data!D1940),AVERAGE(Raw_Data!D$2:D$5002),Raw_Data!D1940)</f>
        <v>70282.07</v>
      </c>
      <c r="E1940" s="15" t="str">
        <f>IF(ISBLANK(Raw_Data!E1940),AVERAGE(Raw_Data!E$2:E$5002),Raw_Data!E1940)</f>
        <v>23376.96</v>
      </c>
      <c r="F1940" s="15" t="str">
        <f>IF(ISBLANK(Raw_Data!F1940),AVERAGE(Raw_Data!F$2:F$5002),Raw_Data!F1940)</f>
        <v>15792.38</v>
      </c>
      <c r="G1940" s="14" t="str">
        <f>IF(ISBLANK(Raw_Data!G1940),AVERAGE(Raw_Data!G$2:G$5002),Raw_Data!G1940)</f>
        <v>13820.40</v>
      </c>
      <c r="H1940" s="15" t="str">
        <f t="shared" si="1"/>
        <v>109451.00</v>
      </c>
      <c r="I1940" s="14" t="str">
        <f t="shared" si="2"/>
        <v>95631.00</v>
      </c>
      <c r="J1940" s="16" t="str">
        <f>TEXT(Raw_Data!J1940,"MMM-YYY")</f>
        <v>Oct-2025</v>
      </c>
      <c r="K1940" s="13" t="str">
        <f>Raw_Data!K1940</f>
        <v>17</v>
      </c>
      <c r="L1940" s="17" t="str">
        <f>Raw_Data!L1940</f>
        <v>Kolkata-East</v>
      </c>
      <c r="M1940" s="13" t="str">
        <f t="shared" si="3"/>
        <v>OK</v>
      </c>
      <c r="N1940" s="18" t="str">
        <f t="shared" si="4"/>
        <v>VALID</v>
      </c>
    </row>
    <row r="1941" ht="15.75" customHeight="1">
      <c r="A1941" s="13" t="str">
        <f>Raw_Data!A1941</f>
        <v>EMP2035</v>
      </c>
      <c r="B1941" s="13" t="str">
        <f>TRIM(CLEAN(Raw_Data!B1941))</f>
        <v>Customer Support</v>
      </c>
      <c r="C1941" s="18" t="s">
        <v>54</v>
      </c>
      <c r="D1941" s="14" t="str">
        <f>IF(ISBLANK(Raw_Data!D1941),AVERAGE(Raw_Data!D$2:D$5002),Raw_Data!D1941)</f>
        <v>70292.95</v>
      </c>
      <c r="E1941" s="15" t="str">
        <f>IF(ISBLANK(Raw_Data!E1941),AVERAGE(Raw_Data!E$2:E$5002),Raw_Data!E1941)</f>
        <v>23381.58</v>
      </c>
      <c r="F1941" s="15" t="str">
        <f>IF(ISBLANK(Raw_Data!F1941),AVERAGE(Raw_Data!F$2:F$5002),Raw_Data!F1941)</f>
        <v>15800.06</v>
      </c>
      <c r="G1941" s="14" t="str">
        <f>IF(ISBLANK(Raw_Data!G1941),AVERAGE(Raw_Data!G$2:G$5002),Raw_Data!G1941)</f>
        <v>13823.79</v>
      </c>
      <c r="H1941" s="15" t="str">
        <f t="shared" si="1"/>
        <v>109475.00</v>
      </c>
      <c r="I1941" s="14" t="str">
        <f t="shared" si="2"/>
        <v>95651.00</v>
      </c>
      <c r="J1941" s="16" t="str">
        <f>TEXT(Raw_Data!J1941,"MMM-YYY")</f>
        <v>Dec-2025</v>
      </c>
      <c r="K1941" s="13" t="str">
        <f>Raw_Data!K1941</f>
        <v>24</v>
      </c>
      <c r="L1941" s="17" t="str">
        <f>Raw_Data!L1941</f>
        <v>Pune-West</v>
      </c>
      <c r="M1941" s="13" t="str">
        <f t="shared" si="3"/>
        <v>OK</v>
      </c>
      <c r="N1941" s="18" t="str">
        <f t="shared" si="4"/>
        <v>VALID</v>
      </c>
    </row>
    <row r="1942" ht="15.75" customHeight="1">
      <c r="A1942" s="13" t="str">
        <f>Raw_Data!A1942</f>
        <v>EMP2036</v>
      </c>
      <c r="B1942" s="13" t="str">
        <f>TRIM(CLEAN(Raw_Data!B1942))</f>
        <v>Customer Support</v>
      </c>
      <c r="C1942" s="18" t="s">
        <v>26</v>
      </c>
      <c r="D1942" s="14" t="str">
        <f>IF(ISBLANK(Raw_Data!D1942),AVERAGE(Raw_Data!D$2:D$5002),Raw_Data!D1942)</f>
        <v>70303.84</v>
      </c>
      <c r="E1942" s="15" t="str">
        <f>IF(ISBLANK(Raw_Data!E1942),AVERAGE(Raw_Data!E$2:E$5002),Raw_Data!E1942)</f>
        <v>23386.19</v>
      </c>
      <c r="F1942" s="15" t="str">
        <f>IF(ISBLANK(Raw_Data!F1942),AVERAGE(Raw_Data!F$2:F$5002),Raw_Data!F1942)</f>
        <v>15807.74</v>
      </c>
      <c r="G1942" s="14" t="str">
        <f>IF(ISBLANK(Raw_Data!G1942),AVERAGE(Raw_Data!G$2:G$5002),Raw_Data!G1942)</f>
        <v>13827.19</v>
      </c>
      <c r="H1942" s="15" t="str">
        <f t="shared" si="1"/>
        <v>109498.00</v>
      </c>
      <c r="I1942" s="14" t="str">
        <f t="shared" si="2"/>
        <v>95671.00</v>
      </c>
      <c r="J1942" s="16" t="str">
        <f>TEXT(Raw_Data!J1942,"MMM-YYY")</f>
        <v>Jul-2025</v>
      </c>
      <c r="K1942" s="13" t="str">
        <f>Raw_Data!K1942</f>
        <v>16</v>
      </c>
      <c r="L1942" s="17" t="str">
        <f>Raw_Data!L1942</f>
        <v>Hyderabad-South</v>
      </c>
      <c r="M1942" s="13" t="str">
        <f t="shared" si="3"/>
        <v>OK</v>
      </c>
      <c r="N1942" s="18" t="str">
        <f t="shared" si="4"/>
        <v>VALID</v>
      </c>
    </row>
    <row r="1943" ht="15.75" customHeight="1">
      <c r="A1943" s="13" t="str">
        <f>Raw_Data!A1943</f>
        <v>EMP2037</v>
      </c>
      <c r="B1943" s="13" t="str">
        <f>TRIM(CLEAN(Raw_Data!B1943))</f>
        <v>Sales</v>
      </c>
      <c r="C1943" s="18" t="s">
        <v>33</v>
      </c>
      <c r="D1943" s="14" t="str">
        <f>IF(ISBLANK(Raw_Data!D1943),AVERAGE(Raw_Data!D$2:D$5002),Raw_Data!D1943)</f>
        <v>70314.72</v>
      </c>
      <c r="E1943" s="15" t="str">
        <f>IF(ISBLANK(Raw_Data!E1943),AVERAGE(Raw_Data!E$2:E$5002),Raw_Data!E1943)</f>
        <v>23390.81</v>
      </c>
      <c r="F1943" s="15" t="str">
        <f>IF(ISBLANK(Raw_Data!F1943),AVERAGE(Raw_Data!F$2:F$5002),Raw_Data!F1943)</f>
        <v>15815.42</v>
      </c>
      <c r="G1943" s="14" t="str">
        <f>IF(ISBLANK(Raw_Data!G1943),AVERAGE(Raw_Data!G$2:G$5002),Raw_Data!G1943)</f>
        <v>13830.59</v>
      </c>
      <c r="H1943" s="15" t="str">
        <f t="shared" si="1"/>
        <v>109521.00</v>
      </c>
      <c r="I1943" s="14" t="str">
        <f t="shared" si="2"/>
        <v>95690.00</v>
      </c>
      <c r="J1943" s="16" t="str">
        <f>TEXT(Raw_Data!J1943,"MMM-YYY")</f>
        <v>Sep-2025</v>
      </c>
      <c r="K1943" s="13" t="str">
        <f>Raw_Data!K1943</f>
        <v>3</v>
      </c>
      <c r="L1943" s="17" t="str">
        <f>Raw_Data!L1943</f>
        <v>Chandigarh-North</v>
      </c>
      <c r="M1943" s="13" t="str">
        <f t="shared" si="3"/>
        <v>OK</v>
      </c>
      <c r="N1943" s="18" t="str">
        <f t="shared" si="4"/>
        <v>VALID</v>
      </c>
    </row>
    <row r="1944" ht="15.75" customHeight="1">
      <c r="A1944" s="13" t="str">
        <f>Raw_Data!A1944</f>
        <v>EMP2038</v>
      </c>
      <c r="B1944" s="13" t="str">
        <f>TRIM(CLEAN(Raw_Data!B1944))</f>
        <v>Marketing</v>
      </c>
      <c r="C1944" s="18" t="s">
        <v>30</v>
      </c>
      <c r="D1944" s="14" t="str">
        <f>IF(ISBLANK(Raw_Data!D1944),AVERAGE(Raw_Data!D$2:D$5002),Raw_Data!D1944)</f>
        <v>70325.60</v>
      </c>
      <c r="E1944" s="15" t="str">
        <f>IF(ISBLANK(Raw_Data!E1944),AVERAGE(Raw_Data!E$2:E$5002),Raw_Data!E1944)</f>
        <v>23395.42</v>
      </c>
      <c r="F1944" s="15" t="str">
        <f>IF(ISBLANK(Raw_Data!F1944),AVERAGE(Raw_Data!F$2:F$5002),Raw_Data!F1944)</f>
        <v>15823.10</v>
      </c>
      <c r="G1944" s="14" t="str">
        <f>IF(ISBLANK(Raw_Data!G1944),AVERAGE(Raw_Data!G$2:G$5002),Raw_Data!G1944)</f>
        <v>13833.99</v>
      </c>
      <c r="H1944" s="15" t="str">
        <f t="shared" si="1"/>
        <v>109544.00</v>
      </c>
      <c r="I1944" s="14" t="str">
        <f t="shared" si="2"/>
        <v>95710.00</v>
      </c>
      <c r="J1944" s="16" t="str">
        <f>TEXT(Raw_Data!J1944,"MMM-YYY")</f>
        <v>Oct-2025</v>
      </c>
      <c r="K1944" s="13" t="str">
        <f>Raw_Data!K1944</f>
        <v>19</v>
      </c>
      <c r="L1944" s="17" t="str">
        <f>Raw_Data!L1944</f>
        <v>Ahmedabad-West</v>
      </c>
      <c r="M1944" s="13" t="str">
        <f t="shared" si="3"/>
        <v>OK</v>
      </c>
      <c r="N1944" s="18" t="str">
        <f t="shared" si="4"/>
        <v>VALID</v>
      </c>
    </row>
    <row r="1945" ht="15.75" customHeight="1">
      <c r="A1945" s="13" t="str">
        <f>Raw_Data!A1945</f>
        <v>EMP2039</v>
      </c>
      <c r="B1945" s="13" t="str">
        <f>TRIM(CLEAN(Raw_Data!B1945))</f>
        <v>Sales</v>
      </c>
      <c r="C1945" s="18" t="s">
        <v>54</v>
      </c>
      <c r="D1945" s="14" t="str">
        <f>IF(ISBLANK(Raw_Data!D1945),AVERAGE(Raw_Data!D$2:D$5002),Raw_Data!D1945)</f>
        <v>70336.48</v>
      </c>
      <c r="E1945" s="15" t="str">
        <f>IF(ISBLANK(Raw_Data!E1945),AVERAGE(Raw_Data!E$2:E$5002),Raw_Data!E1945)</f>
        <v>23400.03</v>
      </c>
      <c r="F1945" s="15" t="str">
        <f>IF(ISBLANK(Raw_Data!F1945),AVERAGE(Raw_Data!F$2:F$5002),Raw_Data!F1945)</f>
        <v>15830.78</v>
      </c>
      <c r="G1945" s="14" t="str">
        <f>IF(ISBLANK(Raw_Data!G1945),AVERAGE(Raw_Data!G$2:G$5002),Raw_Data!G1945)</f>
        <v>13837.38</v>
      </c>
      <c r="H1945" s="15" t="str">
        <f t="shared" si="1"/>
        <v>109567.00</v>
      </c>
      <c r="I1945" s="14" t="str">
        <f t="shared" si="2"/>
        <v>95730.00</v>
      </c>
      <c r="J1945" s="16" t="str">
        <f>TEXT(Raw_Data!J1945,"MMM-YYY")</f>
        <v>Feb-2025</v>
      </c>
      <c r="K1945" s="13" t="str">
        <f>Raw_Data!K1945</f>
        <v>9</v>
      </c>
      <c r="L1945" s="17" t="str">
        <f>Raw_Data!L1945</f>
        <v>Jaipur-North</v>
      </c>
      <c r="M1945" s="13" t="str">
        <f t="shared" si="3"/>
        <v>OK</v>
      </c>
      <c r="N1945" s="18" t="str">
        <f t="shared" si="4"/>
        <v>VALID</v>
      </c>
    </row>
    <row r="1946" ht="15.75" customHeight="1">
      <c r="A1946" s="13" t="str">
        <f>Raw_Data!A1946</f>
        <v>EMP2040</v>
      </c>
      <c r="B1946" s="13" t="str">
        <f>TRIM(CLEAN(Raw_Data!B1946))</f>
        <v>Operations</v>
      </c>
      <c r="C1946" s="18" t="s">
        <v>14</v>
      </c>
      <c r="D1946" s="14" t="str">
        <f>IF(ISBLANK(Raw_Data!D1946),AVERAGE(Raw_Data!D$2:D$5002),Raw_Data!D1946)</f>
        <v>70347.37</v>
      </c>
      <c r="E1946" s="15" t="str">
        <f>IF(ISBLANK(Raw_Data!E1946),AVERAGE(Raw_Data!E$2:E$5002),Raw_Data!E1946)</f>
        <v>23404.65</v>
      </c>
      <c r="F1946" s="15" t="str">
        <f>IF(ISBLANK(Raw_Data!F1946),AVERAGE(Raw_Data!F$2:F$5002),Raw_Data!F1946)</f>
        <v>15838.46</v>
      </c>
      <c r="G1946" s="14" t="str">
        <f>IF(ISBLANK(Raw_Data!G1946),AVERAGE(Raw_Data!G$2:G$5002),Raw_Data!G1946)</f>
        <v>13840.78</v>
      </c>
      <c r="H1946" s="15" t="str">
        <f t="shared" si="1"/>
        <v>109590.00</v>
      </c>
      <c r="I1946" s="14" t="str">
        <f t="shared" si="2"/>
        <v>95749.00</v>
      </c>
      <c r="J1946" s="16" t="str">
        <f>TEXT(Raw_Data!J1946,"MMM-YYY")</f>
        <v>Nov-2025</v>
      </c>
      <c r="K1946" s="13" t="str">
        <f>Raw_Data!K1946</f>
        <v>7</v>
      </c>
      <c r="L1946" s="17" t="str">
        <f>Raw_Data!L1946</f>
        <v>Mumbai-HO</v>
      </c>
      <c r="M1946" s="13" t="str">
        <f t="shared" si="3"/>
        <v>OK</v>
      </c>
      <c r="N1946" s="18" t="str">
        <f t="shared" si="4"/>
        <v>VALID</v>
      </c>
    </row>
    <row r="1947" ht="15.75" customHeight="1">
      <c r="A1947" s="13" t="str">
        <f>Raw_Data!A1947</f>
        <v>EMP2041</v>
      </c>
      <c r="B1947" s="13" t="str">
        <f>TRIM(CLEAN(Raw_Data!B1947))</f>
        <v>Marketing</v>
      </c>
      <c r="C1947" s="18" t="s">
        <v>18</v>
      </c>
      <c r="D1947" s="14" t="str">
        <f>IF(ISBLANK(Raw_Data!D1947),AVERAGE(Raw_Data!D$2:D$5002),Raw_Data!D1947)</f>
        <v>70358.25</v>
      </c>
      <c r="E1947" s="15" t="str">
        <f>IF(ISBLANK(Raw_Data!E1947),AVERAGE(Raw_Data!E$2:E$5002),Raw_Data!E1947)</f>
        <v>23409.26</v>
      </c>
      <c r="F1947" s="15" t="str">
        <f>IF(ISBLANK(Raw_Data!F1947),AVERAGE(Raw_Data!F$2:F$5002),Raw_Data!F1947)</f>
        <v>15846.14</v>
      </c>
      <c r="G1947" s="14" t="str">
        <f>IF(ISBLANK(Raw_Data!G1947),AVERAGE(Raw_Data!G$2:G$5002),Raw_Data!G1947)</f>
        <v>13844.18</v>
      </c>
      <c r="H1947" s="15" t="str">
        <f t="shared" si="1"/>
        <v>109614.00</v>
      </c>
      <c r="I1947" s="14" t="str">
        <f t="shared" si="2"/>
        <v>95770.00</v>
      </c>
      <c r="J1947" s="16" t="str">
        <f>TEXT(Raw_Data!J1947,"MMM-YYY")</f>
        <v>Sep-2025</v>
      </c>
      <c r="K1947" s="13" t="str">
        <f>Raw_Data!K1947</f>
        <v>19</v>
      </c>
      <c r="L1947" s="17" t="str">
        <f>Raw_Data!L1947</f>
        <v>Delhi-North</v>
      </c>
      <c r="M1947" s="13" t="str">
        <f t="shared" si="3"/>
        <v>OK</v>
      </c>
      <c r="N1947" s="18" t="str">
        <f t="shared" si="4"/>
        <v>VALID</v>
      </c>
    </row>
    <row r="1948" ht="15.75" customHeight="1">
      <c r="A1948" s="13" t="str">
        <f>Raw_Data!A1948</f>
        <v>EMP2042</v>
      </c>
      <c r="B1948" s="13" t="str">
        <f>TRIM(CLEAN(Raw_Data!B1948))</f>
        <v>Sales</v>
      </c>
      <c r="C1948" s="18" t="s">
        <v>54</v>
      </c>
      <c r="D1948" s="14" t="str">
        <f>IF(ISBLANK(Raw_Data!D1948),AVERAGE(Raw_Data!D$2:D$5002),Raw_Data!D1948)</f>
        <v>70369.13</v>
      </c>
      <c r="E1948" s="15" t="str">
        <f>IF(ISBLANK(Raw_Data!E1948),AVERAGE(Raw_Data!E$2:E$5002),Raw_Data!E1948)</f>
        <v>23413.88</v>
      </c>
      <c r="F1948" s="15" t="str">
        <f>IF(ISBLANK(Raw_Data!F1948),AVERAGE(Raw_Data!F$2:F$5002),Raw_Data!F1948)</f>
        <v>15853.82</v>
      </c>
      <c r="G1948" s="14" t="str">
        <f>IF(ISBLANK(Raw_Data!G1948),AVERAGE(Raw_Data!G$2:G$5002),Raw_Data!G1948)</f>
        <v>13847.58</v>
      </c>
      <c r="H1948" s="15" t="str">
        <f t="shared" si="1"/>
        <v>109637.00</v>
      </c>
      <c r="I1948" s="14" t="str">
        <f t="shared" si="2"/>
        <v>95789.00</v>
      </c>
      <c r="J1948" s="16" t="str">
        <f>TEXT(Raw_Data!J1948,"MMM-YYY")</f>
        <v>Jun-2025</v>
      </c>
      <c r="K1948" s="13" t="str">
        <f>Raw_Data!K1948</f>
        <v>10</v>
      </c>
      <c r="L1948" s="17" t="str">
        <f>Raw_Data!L1948</f>
        <v>Bangalore-South</v>
      </c>
      <c r="M1948" s="13" t="str">
        <f t="shared" si="3"/>
        <v>OK</v>
      </c>
      <c r="N1948" s="18" t="str">
        <f t="shared" si="4"/>
        <v>VALID</v>
      </c>
    </row>
    <row r="1949" ht="15.75" customHeight="1">
      <c r="A1949" s="13" t="str">
        <f>Raw_Data!A1949</f>
        <v>EMP2043</v>
      </c>
      <c r="B1949" s="13" t="str">
        <f>TRIM(CLEAN(Raw_Data!B1949))</f>
        <v>Marketing</v>
      </c>
      <c r="C1949" s="18" t="s">
        <v>30</v>
      </c>
      <c r="D1949" s="14" t="str">
        <f>IF(ISBLANK(Raw_Data!D1949),AVERAGE(Raw_Data!D$2:D$5002),Raw_Data!D1949)</f>
        <v>70380.02</v>
      </c>
      <c r="E1949" s="15" t="str">
        <f>IF(ISBLANK(Raw_Data!E1949),AVERAGE(Raw_Data!E$2:E$5002),Raw_Data!E1949)</f>
        <v>23418.49</v>
      </c>
      <c r="F1949" s="15" t="str">
        <f>IF(ISBLANK(Raw_Data!F1949),AVERAGE(Raw_Data!F$2:F$5002),Raw_Data!F1949)</f>
        <v>15861.50</v>
      </c>
      <c r="G1949" s="14" t="str">
        <f>IF(ISBLANK(Raw_Data!G1949),AVERAGE(Raw_Data!G$2:G$5002),Raw_Data!G1949)</f>
        <v>13850.97</v>
      </c>
      <c r="H1949" s="15" t="str">
        <f t="shared" si="1"/>
        <v>109660.00</v>
      </c>
      <c r="I1949" s="14" t="str">
        <f t="shared" si="2"/>
        <v>95809.00</v>
      </c>
      <c r="J1949" s="16" t="str">
        <f>TEXT(Raw_Data!J1949,"MMM-YYY")</f>
        <v>Feb-2025</v>
      </c>
      <c r="K1949" s="13" t="str">
        <f>Raw_Data!K1949</f>
        <v>7</v>
      </c>
      <c r="L1949" s="17" t="str">
        <f>Raw_Data!L1949</f>
        <v>Chennai-South</v>
      </c>
      <c r="M1949" s="13" t="str">
        <f t="shared" si="3"/>
        <v>OK</v>
      </c>
      <c r="N1949" s="18" t="str">
        <f t="shared" si="4"/>
        <v>VALID</v>
      </c>
    </row>
    <row r="1950" ht="15.75" customHeight="1">
      <c r="A1950" s="13" t="str">
        <f>Raw_Data!A1950</f>
        <v>EMP2044</v>
      </c>
      <c r="B1950" s="13" t="str">
        <f>TRIM(CLEAN(Raw_Data!B1950))</f>
        <v>Operations</v>
      </c>
      <c r="C1950" s="18" t="s">
        <v>26</v>
      </c>
      <c r="D1950" s="14" t="str">
        <f>IF(ISBLANK(Raw_Data!D1950),AVERAGE(Raw_Data!D$2:D$5002),Raw_Data!D1950)</f>
        <v>70390.90</v>
      </c>
      <c r="E1950" s="15" t="str">
        <f>IF(ISBLANK(Raw_Data!E1950),AVERAGE(Raw_Data!E$2:E$5002),Raw_Data!E1950)</f>
        <v>23423.11</v>
      </c>
      <c r="F1950" s="15" t="str">
        <f>IF(ISBLANK(Raw_Data!F1950),AVERAGE(Raw_Data!F$2:F$5002),Raw_Data!F1950)</f>
        <v>15869.18</v>
      </c>
      <c r="G1950" s="14" t="str">
        <f>IF(ISBLANK(Raw_Data!G1950),AVERAGE(Raw_Data!G$2:G$5002),Raw_Data!G1950)</f>
        <v>13854.37</v>
      </c>
      <c r="H1950" s="15" t="str">
        <f t="shared" si="1"/>
        <v>109683.00</v>
      </c>
      <c r="I1950" s="14" t="str">
        <f t="shared" si="2"/>
        <v>95829.00</v>
      </c>
      <c r="J1950" s="16" t="str">
        <f>TEXT(Raw_Data!J1950,"MMM-YYY")</f>
        <v>Feb-2025</v>
      </c>
      <c r="K1950" s="13" t="str">
        <f>Raw_Data!K1950</f>
        <v>20</v>
      </c>
      <c r="L1950" s="17" t="str">
        <f>Raw_Data!L1950</f>
        <v>Kolkata-East</v>
      </c>
      <c r="M1950" s="13" t="str">
        <f t="shared" si="3"/>
        <v>OK</v>
      </c>
      <c r="N1950" s="18" t="str">
        <f t="shared" si="4"/>
        <v>VALID</v>
      </c>
    </row>
    <row r="1951" ht="15.75" customHeight="1">
      <c r="A1951" s="13" t="str">
        <f>Raw_Data!A1951</f>
        <v>EMP2045</v>
      </c>
      <c r="B1951" s="13" t="str">
        <f>TRIM(CLEAN(Raw_Data!B1951))</f>
        <v>Marketing</v>
      </c>
      <c r="C1951" s="18" t="s">
        <v>30</v>
      </c>
      <c r="D1951" s="14" t="str">
        <f>IF(ISBLANK(Raw_Data!D1951),AVERAGE(Raw_Data!D$2:D$5002),Raw_Data!D1951)</f>
        <v>70401.78</v>
      </c>
      <c r="E1951" s="15" t="str">
        <f>IF(ISBLANK(Raw_Data!E1951),AVERAGE(Raw_Data!E$2:E$5002),Raw_Data!E1951)</f>
        <v>23427.72</v>
      </c>
      <c r="F1951" s="15" t="str">
        <f>IF(ISBLANK(Raw_Data!F1951),AVERAGE(Raw_Data!F$2:F$5002),Raw_Data!F1951)</f>
        <v>15876.86</v>
      </c>
      <c r="G1951" s="14" t="str">
        <f>IF(ISBLANK(Raw_Data!G1951),AVERAGE(Raw_Data!G$2:G$5002),Raw_Data!G1951)</f>
        <v>13857.77</v>
      </c>
      <c r="H1951" s="15" t="str">
        <f t="shared" si="1"/>
        <v>109706.00</v>
      </c>
      <c r="I1951" s="14" t="str">
        <f t="shared" si="2"/>
        <v>95848.00</v>
      </c>
      <c r="J1951" s="16" t="str">
        <f>TEXT(Raw_Data!J1951,"MMM-YYY")</f>
        <v>Dec-2025</v>
      </c>
      <c r="K1951" s="13" t="str">
        <f>Raw_Data!K1951</f>
        <v>14</v>
      </c>
      <c r="L1951" s="17" t="str">
        <f>Raw_Data!L1951</f>
        <v>Pune-West</v>
      </c>
      <c r="M1951" s="13" t="str">
        <f t="shared" si="3"/>
        <v>OK</v>
      </c>
      <c r="N1951" s="18" t="str">
        <f t="shared" si="4"/>
        <v>VALID</v>
      </c>
    </row>
    <row r="1952" ht="15.75" customHeight="1">
      <c r="A1952" s="13" t="str">
        <f>Raw_Data!A1952</f>
        <v>EMP2046</v>
      </c>
      <c r="B1952" s="13" t="str">
        <f>TRIM(CLEAN(Raw_Data!B1952))</f>
        <v>IT</v>
      </c>
      <c r="C1952" s="18" t="s">
        <v>37</v>
      </c>
      <c r="D1952" s="14" t="str">
        <f>IF(ISBLANK(Raw_Data!D1952),AVERAGE(Raw_Data!D$2:D$5002),Raw_Data!D1952)</f>
        <v>70412.67</v>
      </c>
      <c r="E1952" s="15" t="str">
        <f>IF(ISBLANK(Raw_Data!E1952),AVERAGE(Raw_Data!E$2:E$5002),Raw_Data!E1952)</f>
        <v>23432.34</v>
      </c>
      <c r="F1952" s="15" t="str">
        <f>IF(ISBLANK(Raw_Data!F1952),AVERAGE(Raw_Data!F$2:F$5002),Raw_Data!F1952)</f>
        <v>15884.54</v>
      </c>
      <c r="G1952" s="14" t="str">
        <f>IF(ISBLANK(Raw_Data!G1952),AVERAGE(Raw_Data!G$2:G$5002),Raw_Data!G1952)</f>
        <v>13861.17</v>
      </c>
      <c r="H1952" s="15" t="str">
        <f t="shared" si="1"/>
        <v>109730.00</v>
      </c>
      <c r="I1952" s="14" t="str">
        <f t="shared" si="2"/>
        <v>95869.00</v>
      </c>
      <c r="J1952" s="16" t="str">
        <f>TEXT(Raw_Data!J1952,"MMM-YYY")</f>
        <v>Jul-2025</v>
      </c>
      <c r="K1952" s="13" t="str">
        <f>Raw_Data!K1952</f>
        <v>20</v>
      </c>
      <c r="L1952" s="17" t="str">
        <f>Raw_Data!L1952</f>
        <v>Hyderabad-South</v>
      </c>
      <c r="M1952" s="13" t="str">
        <f t="shared" si="3"/>
        <v>OK</v>
      </c>
      <c r="N1952" s="18" t="str">
        <f t="shared" si="4"/>
        <v>VALID</v>
      </c>
    </row>
    <row r="1953" ht="15.75" customHeight="1">
      <c r="A1953" s="13" t="str">
        <f>Raw_Data!A1953</f>
        <v>EMP2047</v>
      </c>
      <c r="B1953" s="13" t="str">
        <f>TRIM(CLEAN(Raw_Data!B1953))</f>
        <v>Sales</v>
      </c>
      <c r="C1953" s="18" t="s">
        <v>26</v>
      </c>
      <c r="D1953" s="14" t="str">
        <f>IF(ISBLANK(Raw_Data!D1953),AVERAGE(Raw_Data!D$2:D$5002),Raw_Data!D1953)</f>
        <v>70423.55</v>
      </c>
      <c r="E1953" s="15" t="str">
        <f>IF(ISBLANK(Raw_Data!E1953),AVERAGE(Raw_Data!E$2:E$5002),Raw_Data!E1953)</f>
        <v>23436.95</v>
      </c>
      <c r="F1953" s="15" t="str">
        <f>IF(ISBLANK(Raw_Data!F1953),AVERAGE(Raw_Data!F$2:F$5002),Raw_Data!F1953)</f>
        <v>15892.22</v>
      </c>
      <c r="G1953" s="14" t="str">
        <f>IF(ISBLANK(Raw_Data!G1953),AVERAGE(Raw_Data!G$2:G$5002),Raw_Data!G1953)</f>
        <v>13864.57</v>
      </c>
      <c r="H1953" s="15" t="str">
        <f t="shared" si="1"/>
        <v>109753.00</v>
      </c>
      <c r="I1953" s="14" t="str">
        <f t="shared" si="2"/>
        <v>95888.00</v>
      </c>
      <c r="J1953" s="16" t="str">
        <f>TEXT(Raw_Data!J1953,"MMM-YYY")</f>
        <v>Mar-2025</v>
      </c>
      <c r="K1953" s="13" t="str">
        <f>Raw_Data!K1953</f>
        <v>3</v>
      </c>
      <c r="L1953" s="17" t="str">
        <f>Raw_Data!L1953</f>
        <v>Chandigarh-North</v>
      </c>
      <c r="M1953" s="13" t="str">
        <f t="shared" si="3"/>
        <v>OK</v>
      </c>
      <c r="N1953" s="18" t="str">
        <f t="shared" si="4"/>
        <v>VALID</v>
      </c>
    </row>
    <row r="1954" ht="15.75" customHeight="1">
      <c r="A1954" s="13" t="str">
        <f>Raw_Data!A1954</f>
        <v>EMP2048</v>
      </c>
      <c r="B1954" s="13" t="str">
        <f>TRIM(CLEAN(Raw_Data!B1954))</f>
        <v>Sales</v>
      </c>
      <c r="C1954" s="18" t="s">
        <v>30</v>
      </c>
      <c r="D1954" s="14" t="str">
        <f>IF(ISBLANK(Raw_Data!D1954),AVERAGE(Raw_Data!D$2:D$5002),Raw_Data!D1954)</f>
        <v>70434.43</v>
      </c>
      <c r="E1954" s="15" t="str">
        <f>IF(ISBLANK(Raw_Data!E1954),AVERAGE(Raw_Data!E$2:E$5002),Raw_Data!E1954)</f>
        <v>23441.57</v>
      </c>
      <c r="F1954" s="15" t="str">
        <f>IF(ISBLANK(Raw_Data!F1954),AVERAGE(Raw_Data!F$2:F$5002),Raw_Data!F1954)</f>
        <v>15899.90</v>
      </c>
      <c r="G1954" s="14" t="str">
        <f>IF(ISBLANK(Raw_Data!G1954),AVERAGE(Raw_Data!G$2:G$5002),Raw_Data!G1954)</f>
        <v>13867.96</v>
      </c>
      <c r="H1954" s="15" t="str">
        <f t="shared" si="1"/>
        <v>109776.00</v>
      </c>
      <c r="I1954" s="14" t="str">
        <f t="shared" si="2"/>
        <v>95908.00</v>
      </c>
      <c r="J1954" s="16" t="str">
        <f>TEXT(Raw_Data!J1954,"MMM-YYY")</f>
        <v>Oct-2025</v>
      </c>
      <c r="K1954" s="13" t="str">
        <f>Raw_Data!K1954</f>
        <v>14</v>
      </c>
      <c r="L1954" s="17" t="str">
        <f>Raw_Data!L1954</f>
        <v>Ahmedabad-West</v>
      </c>
      <c r="M1954" s="13" t="str">
        <f t="shared" si="3"/>
        <v>OK</v>
      </c>
      <c r="N1954" s="18" t="str">
        <f t="shared" si="4"/>
        <v>VALID</v>
      </c>
    </row>
    <row r="1955" ht="15.75" customHeight="1">
      <c r="A1955" s="13" t="str">
        <f>Raw_Data!A1955</f>
        <v>EMP2049</v>
      </c>
      <c r="B1955" s="13" t="str">
        <f>TRIM(CLEAN(Raw_Data!B1955))</f>
        <v>Marketing</v>
      </c>
      <c r="C1955" s="18" t="s">
        <v>18</v>
      </c>
      <c r="D1955" s="14" t="str">
        <f>IF(ISBLANK(Raw_Data!D1955),AVERAGE(Raw_Data!D$2:D$5002),Raw_Data!D1955)</f>
        <v>70445.31</v>
      </c>
      <c r="E1955" s="15" t="str">
        <f>IF(ISBLANK(Raw_Data!E1955),AVERAGE(Raw_Data!E$2:E$5002),Raw_Data!E1955)</f>
        <v>23446.18</v>
      </c>
      <c r="F1955" s="15" t="str">
        <f>IF(ISBLANK(Raw_Data!F1955),AVERAGE(Raw_Data!F$2:F$5002),Raw_Data!F1955)</f>
        <v>15907.58</v>
      </c>
      <c r="G1955" s="14" t="str">
        <f>IF(ISBLANK(Raw_Data!G1955),AVERAGE(Raw_Data!G$2:G$5002),Raw_Data!G1955)</f>
        <v>13871.36</v>
      </c>
      <c r="H1955" s="15" t="str">
        <f t="shared" si="1"/>
        <v>109799.00</v>
      </c>
      <c r="I1955" s="14" t="str">
        <f t="shared" si="2"/>
        <v>95928.00</v>
      </c>
      <c r="J1955" s="16" t="str">
        <f>TEXT(Raw_Data!J1955,"MMM-YYY")</f>
        <v>Jul-2025</v>
      </c>
      <c r="K1955" s="13" t="str">
        <f>Raw_Data!K1955</f>
        <v>25</v>
      </c>
      <c r="L1955" s="17" t="str">
        <f>Raw_Data!L1955</f>
        <v>Jaipur-North</v>
      </c>
      <c r="M1955" s="13" t="str">
        <f t="shared" si="3"/>
        <v>OK</v>
      </c>
      <c r="N1955" s="18" t="str">
        <f t="shared" si="4"/>
        <v>VALID</v>
      </c>
    </row>
    <row r="1956" ht="15.75" customHeight="1">
      <c r="A1956" s="13" t="str">
        <f>Raw_Data!A1956</f>
        <v>EMP2050</v>
      </c>
      <c r="B1956" s="13" t="str">
        <f>TRIM(CLEAN(Raw_Data!B1956))</f>
        <v>IT</v>
      </c>
      <c r="C1956" s="18" t="s">
        <v>37</v>
      </c>
      <c r="D1956" s="14" t="str">
        <f>IF(ISBLANK(Raw_Data!D1956),AVERAGE(Raw_Data!D$2:D$5002),Raw_Data!D1956)</f>
        <v>70456.20</v>
      </c>
      <c r="E1956" s="15" t="str">
        <f>IF(ISBLANK(Raw_Data!E1956),AVERAGE(Raw_Data!E$2:E$5002),Raw_Data!E1956)</f>
        <v>23450.80</v>
      </c>
      <c r="F1956" s="15" t="str">
        <f>IF(ISBLANK(Raw_Data!F1956),AVERAGE(Raw_Data!F$2:F$5002),Raw_Data!F1956)</f>
        <v>15915.26</v>
      </c>
      <c r="G1956" s="14" t="str">
        <f>IF(ISBLANK(Raw_Data!G1956),AVERAGE(Raw_Data!G$2:G$5002),Raw_Data!G1956)</f>
        <v>13874.76</v>
      </c>
      <c r="H1956" s="15" t="str">
        <f t="shared" si="1"/>
        <v>109822.00</v>
      </c>
      <c r="I1956" s="14" t="str">
        <f t="shared" si="2"/>
        <v>95947.00</v>
      </c>
      <c r="J1956" s="16" t="str">
        <f>TEXT(Raw_Data!J1956,"MMM-YYY")</f>
        <v>Aug-2025</v>
      </c>
      <c r="K1956" s="13" t="str">
        <f>Raw_Data!K1956</f>
        <v>15</v>
      </c>
      <c r="L1956" s="17" t="str">
        <f>Raw_Data!L1956</f>
        <v>Mumbai-HO</v>
      </c>
      <c r="M1956" s="13" t="str">
        <f t="shared" si="3"/>
        <v>OK</v>
      </c>
      <c r="N1956" s="18" t="str">
        <f t="shared" si="4"/>
        <v>VALID</v>
      </c>
    </row>
    <row r="1957" ht="15.75" customHeight="1">
      <c r="A1957" s="13" t="str">
        <f>Raw_Data!A1957</f>
        <v>EMP2051</v>
      </c>
      <c r="B1957" s="13" t="str">
        <f>TRIM(CLEAN(Raw_Data!B1957))</f>
        <v>Operations</v>
      </c>
      <c r="C1957" s="18" t="s">
        <v>26</v>
      </c>
      <c r="D1957" s="14" t="str">
        <f>IF(ISBLANK(Raw_Data!D1957),AVERAGE(Raw_Data!D$2:D$5002),Raw_Data!D1957)</f>
        <v>70467.08</v>
      </c>
      <c r="E1957" s="15" t="str">
        <f>IF(ISBLANK(Raw_Data!E1957),AVERAGE(Raw_Data!E$2:E$5002),Raw_Data!E1957)</f>
        <v>23455.41</v>
      </c>
      <c r="F1957" s="15" t="str">
        <f>IF(ISBLANK(Raw_Data!F1957),AVERAGE(Raw_Data!F$2:F$5002),Raw_Data!F1957)</f>
        <v>15922.94</v>
      </c>
      <c r="G1957" s="14" t="str">
        <f>IF(ISBLANK(Raw_Data!G1957),AVERAGE(Raw_Data!G$2:G$5002),Raw_Data!G1957)</f>
        <v>13878.16</v>
      </c>
      <c r="H1957" s="15" t="str">
        <f t="shared" si="1"/>
        <v>109845.00</v>
      </c>
      <c r="I1957" s="14" t="str">
        <f t="shared" si="2"/>
        <v>95967.00</v>
      </c>
      <c r="J1957" s="16" t="str">
        <f>TEXT(Raw_Data!J1957,"MMM-YYY")</f>
        <v>Mar-2025</v>
      </c>
      <c r="K1957" s="13" t="str">
        <f>Raw_Data!K1957</f>
        <v>8</v>
      </c>
      <c r="L1957" s="17" t="str">
        <f>Raw_Data!L1957</f>
        <v>Delhi-North</v>
      </c>
      <c r="M1957" s="13" t="str">
        <f t="shared" si="3"/>
        <v>OK</v>
      </c>
      <c r="N1957" s="18" t="str">
        <f t="shared" si="4"/>
        <v>VALID</v>
      </c>
    </row>
    <row r="1958" ht="15.75" customHeight="1">
      <c r="A1958" s="13" t="str">
        <f>Raw_Data!A1958</f>
        <v>EMP2053</v>
      </c>
      <c r="B1958" s="13" t="str">
        <f>TRIM(CLEAN(Raw_Data!B1958))</f>
        <v>Customer Support</v>
      </c>
      <c r="C1958" s="18" t="s">
        <v>26</v>
      </c>
      <c r="D1958" s="14" t="str">
        <f>IF(ISBLANK(Raw_Data!D1958),AVERAGE(Raw_Data!D$2:D$5002),Raw_Data!D1958)</f>
        <v>71831.17</v>
      </c>
      <c r="E1958" s="15" t="str">
        <f>IF(ISBLANK(Raw_Data!E1958),AVERAGE(Raw_Data!E$2:E$5002),Raw_Data!E1958)</f>
        <v>23464.64</v>
      </c>
      <c r="F1958" s="15" t="str">
        <f>IF(ISBLANK(Raw_Data!F1958),AVERAGE(Raw_Data!F$2:F$5002),Raw_Data!F1958)</f>
        <v>15938.30</v>
      </c>
      <c r="G1958" s="14" t="str">
        <f>IF(ISBLANK(Raw_Data!G1958),AVERAGE(Raw_Data!G$2:G$5002),Raw_Data!G1958)</f>
        <v>13884.95</v>
      </c>
      <c r="H1958" s="15" t="str">
        <f t="shared" si="1"/>
        <v>111234.00</v>
      </c>
      <c r="I1958" s="14" t="str">
        <f t="shared" si="2"/>
        <v>97349.00</v>
      </c>
      <c r="J1958" s="16" t="str">
        <f>TEXT(Raw_Data!J1958,"MMM-YYY")</f>
        <v>Sep-2025</v>
      </c>
      <c r="K1958" s="13" t="str">
        <f>Raw_Data!K1958</f>
        <v>5</v>
      </c>
      <c r="L1958" s="17" t="str">
        <f>Raw_Data!L1958</f>
        <v>Chennai-South</v>
      </c>
      <c r="M1958" s="13" t="str">
        <f t="shared" si="3"/>
        <v>OK</v>
      </c>
      <c r="N1958" s="18" t="str">
        <f t="shared" si="4"/>
        <v>VALID</v>
      </c>
    </row>
    <row r="1959" ht="15.75" customHeight="1">
      <c r="A1959" s="13" t="str">
        <f>Raw_Data!A1959</f>
        <v>EMP2054</v>
      </c>
      <c r="B1959" s="13" t="str">
        <f>TRIM(CLEAN(Raw_Data!B1959))</f>
        <v>Finance</v>
      </c>
      <c r="C1959" s="18" t="s">
        <v>14</v>
      </c>
      <c r="D1959" s="14" t="str">
        <f>IF(ISBLANK(Raw_Data!D1959),AVERAGE(Raw_Data!D$2:D$5002),Raw_Data!D1959)</f>
        <v>70499.73</v>
      </c>
      <c r="E1959" s="15" t="str">
        <f>IF(ISBLANK(Raw_Data!E1959),AVERAGE(Raw_Data!E$2:E$5002),Raw_Data!E1959)</f>
        <v>23469.26</v>
      </c>
      <c r="F1959" s="15" t="str">
        <f>IF(ISBLANK(Raw_Data!F1959),AVERAGE(Raw_Data!F$2:F$5002),Raw_Data!F1959)</f>
        <v>15945.98</v>
      </c>
      <c r="G1959" s="14" t="str">
        <f>IF(ISBLANK(Raw_Data!G1959),AVERAGE(Raw_Data!G$2:G$5002),Raw_Data!G1959)</f>
        <v>13888.35</v>
      </c>
      <c r="H1959" s="15" t="str">
        <f t="shared" si="1"/>
        <v>109915.00</v>
      </c>
      <c r="I1959" s="14" t="str">
        <f t="shared" si="2"/>
        <v>96027.00</v>
      </c>
      <c r="J1959" s="16" t="str">
        <f>TEXT(Raw_Data!J1959,"MMM-YYY")</f>
        <v>Nov-2025</v>
      </c>
      <c r="K1959" s="13" t="str">
        <f>Raw_Data!K1959</f>
        <v>5</v>
      </c>
      <c r="L1959" s="17" t="str">
        <f>Raw_Data!L1959</f>
        <v>Kolkata-East</v>
      </c>
      <c r="M1959" s="13" t="str">
        <f t="shared" si="3"/>
        <v>OK</v>
      </c>
      <c r="N1959" s="18" t="str">
        <f t="shared" si="4"/>
        <v>VALID</v>
      </c>
    </row>
    <row r="1960" ht="15.75" customHeight="1">
      <c r="A1960" s="13" t="str">
        <f>Raw_Data!A1960</f>
        <v>EMP2055</v>
      </c>
      <c r="B1960" s="13" t="str">
        <f>TRIM(CLEAN(Raw_Data!B1960))</f>
        <v>Operations</v>
      </c>
      <c r="C1960" s="18" t="s">
        <v>18</v>
      </c>
      <c r="D1960" s="14" t="str">
        <f>IF(ISBLANK(Raw_Data!D1960),AVERAGE(Raw_Data!D$2:D$5002),Raw_Data!D1960)</f>
        <v>70510.61</v>
      </c>
      <c r="E1960" s="15" t="str">
        <f>IF(ISBLANK(Raw_Data!E1960),AVERAGE(Raw_Data!E$2:E$5002),Raw_Data!E1960)</f>
        <v>23473.87</v>
      </c>
      <c r="F1960" s="15" t="str">
        <f>IF(ISBLANK(Raw_Data!F1960),AVERAGE(Raw_Data!F$2:F$5002),Raw_Data!F1960)</f>
        <v>15953.66</v>
      </c>
      <c r="G1960" s="14" t="str">
        <f>IF(ISBLANK(Raw_Data!G1960),AVERAGE(Raw_Data!G$2:G$5002),Raw_Data!G1960)</f>
        <v>13891.75</v>
      </c>
      <c r="H1960" s="15" t="str">
        <f t="shared" si="1"/>
        <v>109938.00</v>
      </c>
      <c r="I1960" s="14" t="str">
        <f t="shared" si="2"/>
        <v>96046.00</v>
      </c>
      <c r="J1960" s="16" t="str">
        <f>TEXT(Raw_Data!J1960,"MMM-YYY")</f>
        <v>Jul-2025</v>
      </c>
      <c r="K1960" s="13" t="str">
        <f>Raw_Data!K1960</f>
        <v>14</v>
      </c>
      <c r="L1960" s="17" t="str">
        <f>Raw_Data!L1960</f>
        <v>Pune-West</v>
      </c>
      <c r="M1960" s="13" t="str">
        <f t="shared" si="3"/>
        <v>OK</v>
      </c>
      <c r="N1960" s="18" t="str">
        <f t="shared" si="4"/>
        <v>VALID</v>
      </c>
    </row>
    <row r="1961" ht="15.75" customHeight="1">
      <c r="A1961" s="13" t="str">
        <f>Raw_Data!A1961</f>
        <v>EMP2056</v>
      </c>
      <c r="B1961" s="13" t="str">
        <f>TRIM(CLEAN(Raw_Data!B1961))</f>
        <v>HR</v>
      </c>
      <c r="C1961" s="18" t="s">
        <v>26</v>
      </c>
      <c r="D1961" s="14" t="str">
        <f>IF(ISBLANK(Raw_Data!D1961),AVERAGE(Raw_Data!D$2:D$5002),Raw_Data!D1961)</f>
        <v>70521.50</v>
      </c>
      <c r="E1961" s="15" t="str">
        <f>IF(ISBLANK(Raw_Data!E1961),AVERAGE(Raw_Data!E$2:E$5002),Raw_Data!E1961)</f>
        <v>23478.49</v>
      </c>
      <c r="F1961" s="15" t="str">
        <f>IF(ISBLANK(Raw_Data!F1961),AVERAGE(Raw_Data!F$2:F$5002),Raw_Data!F1961)</f>
        <v>15961.34</v>
      </c>
      <c r="G1961" s="14" t="str">
        <f>IF(ISBLANK(Raw_Data!G1961),AVERAGE(Raw_Data!G$2:G$5002),Raw_Data!G1961)</f>
        <v>13895.14</v>
      </c>
      <c r="H1961" s="15" t="str">
        <f t="shared" si="1"/>
        <v>109961.00</v>
      </c>
      <c r="I1961" s="14" t="str">
        <f t="shared" si="2"/>
        <v>96066.00</v>
      </c>
      <c r="J1961" s="16" t="str">
        <f>TEXT(Raw_Data!J1961,"MMM-YYY")</f>
        <v>Dec-2025</v>
      </c>
      <c r="K1961" s="13" t="str">
        <f>Raw_Data!K1961</f>
        <v>18</v>
      </c>
      <c r="L1961" s="17" t="str">
        <f>Raw_Data!L1961</f>
        <v>Hyderabad-South</v>
      </c>
      <c r="M1961" s="13" t="str">
        <f t="shared" si="3"/>
        <v>OK</v>
      </c>
      <c r="N1961" s="18" t="str">
        <f t="shared" si="4"/>
        <v>VALID</v>
      </c>
    </row>
    <row r="1962" ht="15.75" customHeight="1">
      <c r="A1962" s="13" t="str">
        <f>Raw_Data!A1962</f>
        <v>EMP2058</v>
      </c>
      <c r="B1962" s="13" t="str">
        <f>TRIM(CLEAN(Raw_Data!B1962))</f>
        <v>Marketing</v>
      </c>
      <c r="C1962" s="18" t="s">
        <v>54</v>
      </c>
      <c r="D1962" s="14" t="str">
        <f>IF(ISBLANK(Raw_Data!D1962),AVERAGE(Raw_Data!D$2:D$5002),Raw_Data!D1962)</f>
        <v>70543.26</v>
      </c>
      <c r="E1962" s="15" t="str">
        <f>IF(ISBLANK(Raw_Data!E1962),AVERAGE(Raw_Data!E$2:E$5002),Raw_Data!E1962)</f>
        <v>23487.71</v>
      </c>
      <c r="F1962" s="15" t="str">
        <f>IF(ISBLANK(Raw_Data!F1962),AVERAGE(Raw_Data!F$2:F$5002),Raw_Data!F1962)</f>
        <v>15976.70</v>
      </c>
      <c r="G1962" s="14" t="str">
        <f>IF(ISBLANK(Raw_Data!G1962),AVERAGE(Raw_Data!G$2:G$5002),Raw_Data!G1962)</f>
        <v>13901.94</v>
      </c>
      <c r="H1962" s="15" t="str">
        <f t="shared" si="1"/>
        <v>110008.00</v>
      </c>
      <c r="I1962" s="14" t="str">
        <f t="shared" si="2"/>
        <v>96106.00</v>
      </c>
      <c r="J1962" s="16" t="str">
        <f>TEXT(Raw_Data!J1962,"MMM-YYY")</f>
        <v>Apr-2025</v>
      </c>
      <c r="K1962" s="13" t="str">
        <f>Raw_Data!K1962</f>
        <v>9</v>
      </c>
      <c r="L1962" s="17" t="str">
        <f>Raw_Data!L1962</f>
        <v>Ahmedabad-West</v>
      </c>
      <c r="M1962" s="13" t="str">
        <f t="shared" si="3"/>
        <v>OK</v>
      </c>
      <c r="N1962" s="18" t="str">
        <f t="shared" si="4"/>
        <v>VALID</v>
      </c>
    </row>
    <row r="1963" ht="15.75" customHeight="1">
      <c r="A1963" s="13" t="str">
        <f>Raw_Data!A1963</f>
        <v>EMP2059</v>
      </c>
      <c r="B1963" s="13" t="str">
        <f>TRIM(CLEAN(Raw_Data!B1963))</f>
        <v>HR</v>
      </c>
      <c r="C1963" s="18" t="s">
        <v>26</v>
      </c>
      <c r="D1963" s="14" t="str">
        <f>IF(ISBLANK(Raw_Data!D1963),AVERAGE(Raw_Data!D$2:D$5002),Raw_Data!D1963)</f>
        <v>70554.14</v>
      </c>
      <c r="E1963" s="15" t="str">
        <f>IF(ISBLANK(Raw_Data!E1963),AVERAGE(Raw_Data!E$2:E$5002),Raw_Data!E1963)</f>
        <v>23492.33</v>
      </c>
      <c r="F1963" s="15" t="str">
        <f>IF(ISBLANK(Raw_Data!F1963),AVERAGE(Raw_Data!F$2:F$5002),Raw_Data!F1963)</f>
        <v>15984.38</v>
      </c>
      <c r="G1963" s="14" t="str">
        <f>IF(ISBLANK(Raw_Data!G1963),AVERAGE(Raw_Data!G$2:G$5002),Raw_Data!G1963)</f>
        <v>13905.34</v>
      </c>
      <c r="H1963" s="15" t="str">
        <f t="shared" si="1"/>
        <v>110031.00</v>
      </c>
      <c r="I1963" s="14" t="str">
        <f t="shared" si="2"/>
        <v>96126.00</v>
      </c>
      <c r="J1963" s="16" t="str">
        <f>TEXT(Raw_Data!J1963,"MMM-YYY")</f>
        <v>Oct-2025</v>
      </c>
      <c r="K1963" s="13" t="str">
        <f>Raw_Data!K1963</f>
        <v>21</v>
      </c>
      <c r="L1963" s="17" t="str">
        <f>Raw_Data!L1963</f>
        <v>Jaipur-North</v>
      </c>
      <c r="M1963" s="13" t="str">
        <f t="shared" si="3"/>
        <v>OK</v>
      </c>
      <c r="N1963" s="18" t="str">
        <f t="shared" si="4"/>
        <v>VALID</v>
      </c>
    </row>
    <row r="1964" ht="15.75" customHeight="1">
      <c r="A1964" s="13" t="str">
        <f>Raw_Data!A1964</f>
        <v>EMP2060</v>
      </c>
      <c r="B1964" s="13" t="str">
        <f>TRIM(CLEAN(Raw_Data!B1964))</f>
        <v>Customer Support</v>
      </c>
      <c r="C1964" s="18" t="s">
        <v>18</v>
      </c>
      <c r="D1964" s="14" t="str">
        <f>IF(ISBLANK(Raw_Data!D1964),AVERAGE(Raw_Data!D$2:D$5002),Raw_Data!D1964)</f>
        <v>70565.03</v>
      </c>
      <c r="E1964" s="15" t="str">
        <f>IF(ISBLANK(Raw_Data!E1964),AVERAGE(Raw_Data!E$2:E$5002),Raw_Data!E1964)</f>
        <v>23496.94</v>
      </c>
      <c r="F1964" s="15" t="str">
        <f>IF(ISBLANK(Raw_Data!F1964),AVERAGE(Raw_Data!F$2:F$5002),Raw_Data!F1964)</f>
        <v>15992.06</v>
      </c>
      <c r="G1964" s="14" t="str">
        <f>IF(ISBLANK(Raw_Data!G1964),AVERAGE(Raw_Data!G$2:G$5002),Raw_Data!G1964)</f>
        <v>13908.73</v>
      </c>
      <c r="H1964" s="15" t="str">
        <f t="shared" si="1"/>
        <v>110054.00</v>
      </c>
      <c r="I1964" s="14" t="str">
        <f t="shared" si="2"/>
        <v>96145.00</v>
      </c>
      <c r="J1964" s="16" t="str">
        <f>TEXT(Raw_Data!J1964,"MMM-YYY")</f>
        <v>Jun-2025</v>
      </c>
      <c r="K1964" s="13" t="str">
        <f>Raw_Data!K1964</f>
        <v>1</v>
      </c>
      <c r="L1964" s="17" t="str">
        <f>Raw_Data!L1964</f>
        <v>Mumbai-HO</v>
      </c>
      <c r="M1964" s="13" t="str">
        <f t="shared" si="3"/>
        <v>OK</v>
      </c>
      <c r="N1964" s="18" t="str">
        <f t="shared" si="4"/>
        <v>VALID</v>
      </c>
    </row>
    <row r="1965" ht="15.75" customHeight="1">
      <c r="A1965" s="13" t="str">
        <f>Raw_Data!A1965</f>
        <v>EMP2061</v>
      </c>
      <c r="B1965" s="13" t="str">
        <f>TRIM(CLEAN(Raw_Data!B1965))</f>
        <v>Operations</v>
      </c>
      <c r="C1965" s="18" t="s">
        <v>37</v>
      </c>
      <c r="D1965" s="14" t="str">
        <f>IF(ISBLANK(Raw_Data!D1965),AVERAGE(Raw_Data!D$2:D$5002),Raw_Data!D1965)</f>
        <v>70575.91</v>
      </c>
      <c r="E1965" s="15" t="str">
        <f>IF(ISBLANK(Raw_Data!E1965),AVERAGE(Raw_Data!E$2:E$5002),Raw_Data!E1965)</f>
        <v>23501.56</v>
      </c>
      <c r="F1965" s="15" t="str">
        <f>IF(ISBLANK(Raw_Data!F1965),AVERAGE(Raw_Data!F$2:F$5002),Raw_Data!F1965)</f>
        <v>15999.74</v>
      </c>
      <c r="G1965" s="14" t="str">
        <f>IF(ISBLANK(Raw_Data!G1965),AVERAGE(Raw_Data!G$2:G$5002),Raw_Data!G1965)</f>
        <v>14562.73</v>
      </c>
      <c r="H1965" s="15" t="str">
        <f t="shared" si="1"/>
        <v>110077.00</v>
      </c>
      <c r="I1965" s="14" t="str">
        <f t="shared" si="2"/>
        <v>95514.00</v>
      </c>
      <c r="J1965" s="16" t="str">
        <f>TEXT(Raw_Data!J1965,"MMM-YYY")</f>
        <v>Jul-2025</v>
      </c>
      <c r="K1965" s="13" t="str">
        <f>Raw_Data!K1965</f>
        <v>14</v>
      </c>
      <c r="L1965" s="17" t="str">
        <f>Raw_Data!L1965</f>
        <v>Delhi-North</v>
      </c>
      <c r="M1965" s="13" t="str">
        <f t="shared" si="3"/>
        <v>OK</v>
      </c>
      <c r="N1965" s="18" t="str">
        <f t="shared" si="4"/>
        <v>VALID</v>
      </c>
    </row>
    <row r="1966" ht="15.75" customHeight="1">
      <c r="A1966" s="13" t="str">
        <f>Raw_Data!A1966</f>
        <v>EMP2062</v>
      </c>
      <c r="B1966" s="13" t="str">
        <f>TRIM(CLEAN(Raw_Data!B1966))</f>
        <v>Finance</v>
      </c>
      <c r="C1966" s="18" t="s">
        <v>18</v>
      </c>
      <c r="D1966" s="14" t="str">
        <f>IF(ISBLANK(Raw_Data!D1966),AVERAGE(Raw_Data!D$2:D$5002),Raw_Data!D1966)</f>
        <v>70586.79</v>
      </c>
      <c r="E1966" s="15" t="str">
        <f>IF(ISBLANK(Raw_Data!E1966),AVERAGE(Raw_Data!E$2:E$5002),Raw_Data!E1966)</f>
        <v>23506.17</v>
      </c>
      <c r="F1966" s="15" t="str">
        <f>IF(ISBLANK(Raw_Data!F1966),AVERAGE(Raw_Data!F$2:F$5002),Raw_Data!F1966)</f>
        <v>16007.42</v>
      </c>
      <c r="G1966" s="14" t="str">
        <f>IF(ISBLANK(Raw_Data!G1966),AVERAGE(Raw_Data!G$2:G$5002),Raw_Data!G1966)</f>
        <v>13915.53</v>
      </c>
      <c r="H1966" s="15" t="str">
        <f t="shared" si="1"/>
        <v>110100.00</v>
      </c>
      <c r="I1966" s="14" t="str">
        <f t="shared" si="2"/>
        <v>96184.00</v>
      </c>
      <c r="J1966" s="16" t="str">
        <f>TEXT(Raw_Data!J1966,"MMM-YYY")</f>
        <v>Dec-2025</v>
      </c>
      <c r="K1966" s="13" t="str">
        <f>Raw_Data!K1966</f>
        <v>7</v>
      </c>
      <c r="L1966" s="17" t="str">
        <f>Raw_Data!L1966</f>
        <v>Bangalore-South</v>
      </c>
      <c r="M1966" s="13" t="str">
        <f t="shared" si="3"/>
        <v>OK</v>
      </c>
      <c r="N1966" s="18" t="str">
        <f t="shared" si="4"/>
        <v>VALID</v>
      </c>
    </row>
    <row r="1967" ht="15.75" customHeight="1">
      <c r="A1967" s="13" t="str">
        <f>Raw_Data!A1967</f>
        <v>EMP2063</v>
      </c>
      <c r="B1967" s="13" t="str">
        <f>TRIM(CLEAN(Raw_Data!B1967))</f>
        <v>IT</v>
      </c>
      <c r="C1967" s="18" t="s">
        <v>18</v>
      </c>
      <c r="D1967" s="14" t="str">
        <f>IF(ISBLANK(Raw_Data!D1967),AVERAGE(Raw_Data!D$2:D$5002),Raw_Data!D1967)</f>
        <v>70597.68</v>
      </c>
      <c r="E1967" s="15" t="str">
        <f>IF(ISBLANK(Raw_Data!E1967),AVERAGE(Raw_Data!E$2:E$5002),Raw_Data!E1967)</f>
        <v>23510.79</v>
      </c>
      <c r="F1967" s="15" t="str">
        <f>IF(ISBLANK(Raw_Data!F1967),AVERAGE(Raw_Data!F$2:F$5002),Raw_Data!F1967)</f>
        <v>16015.10</v>
      </c>
      <c r="G1967" s="14" t="str">
        <f>IF(ISBLANK(Raw_Data!G1967),AVERAGE(Raw_Data!G$2:G$5002),Raw_Data!G1967)</f>
        <v>13918.93</v>
      </c>
      <c r="H1967" s="15" t="str">
        <f t="shared" si="1"/>
        <v>110124.00</v>
      </c>
      <c r="I1967" s="14" t="str">
        <f t="shared" si="2"/>
        <v>96205.00</v>
      </c>
      <c r="J1967" s="16" t="str">
        <f>TEXT(Raw_Data!J1967,"MMM-YYY")</f>
        <v>Sep-2025</v>
      </c>
      <c r="K1967" s="13" t="str">
        <f>Raw_Data!K1967</f>
        <v>24</v>
      </c>
      <c r="L1967" s="17" t="str">
        <f>Raw_Data!L1967</f>
        <v>Chennai-South</v>
      </c>
      <c r="M1967" s="13" t="str">
        <f t="shared" si="3"/>
        <v>OK</v>
      </c>
      <c r="N1967" s="18" t="str">
        <f t="shared" si="4"/>
        <v>VALID</v>
      </c>
    </row>
    <row r="1968" ht="15.75" customHeight="1">
      <c r="A1968" s="13" t="str">
        <f>Raw_Data!A1968</f>
        <v>EMP2064</v>
      </c>
      <c r="B1968" s="13" t="str">
        <f>TRIM(CLEAN(Raw_Data!B1968))</f>
        <v>Sales</v>
      </c>
      <c r="C1968" s="18" t="s">
        <v>14</v>
      </c>
      <c r="D1968" s="14" t="str">
        <f>IF(ISBLANK(Raw_Data!D1968),AVERAGE(Raw_Data!D$2:D$5002),Raw_Data!D1968)</f>
        <v>70608.56</v>
      </c>
      <c r="E1968" s="15" t="str">
        <f>IF(ISBLANK(Raw_Data!E1968),AVERAGE(Raw_Data!E$2:E$5002),Raw_Data!E1968)</f>
        <v>23515.40</v>
      </c>
      <c r="F1968" s="15" t="str">
        <f>IF(ISBLANK(Raw_Data!F1968),AVERAGE(Raw_Data!F$2:F$5002),Raw_Data!F1968)</f>
        <v>16022.78</v>
      </c>
      <c r="G1968" s="14" t="str">
        <f>IF(ISBLANK(Raw_Data!G1968),AVERAGE(Raw_Data!G$2:G$5002),Raw_Data!G1968)</f>
        <v>13922.32</v>
      </c>
      <c r="H1968" s="15" t="str">
        <f t="shared" si="1"/>
        <v>110147.00</v>
      </c>
      <c r="I1968" s="14" t="str">
        <f t="shared" si="2"/>
        <v>96225.00</v>
      </c>
      <c r="J1968" s="16" t="str">
        <f>TEXT(Raw_Data!J1968,"MMM-YYY")</f>
        <v>Apr-2025</v>
      </c>
      <c r="K1968" s="13" t="str">
        <f>Raw_Data!K1968</f>
        <v>11</v>
      </c>
      <c r="L1968" s="17" t="str">
        <f>Raw_Data!L1968</f>
        <v>Kolkata-East</v>
      </c>
      <c r="M1968" s="13" t="str">
        <f t="shared" si="3"/>
        <v>OK</v>
      </c>
      <c r="N1968" s="18" t="str">
        <f t="shared" si="4"/>
        <v>VALID</v>
      </c>
    </row>
    <row r="1969" ht="15.75" customHeight="1">
      <c r="A1969" s="13" t="str">
        <f>Raw_Data!A1969</f>
        <v>EMP2065</v>
      </c>
      <c r="B1969" s="13" t="str">
        <f>TRIM(CLEAN(Raw_Data!B1969))</f>
        <v>Operations</v>
      </c>
      <c r="C1969" s="18" t="s">
        <v>33</v>
      </c>
      <c r="D1969" s="14" t="str">
        <f>IF(ISBLANK(Raw_Data!D1969),AVERAGE(Raw_Data!D$2:D$5002),Raw_Data!D1969)</f>
        <v>70619.44</v>
      </c>
      <c r="E1969" s="15" t="str">
        <f>IF(ISBLANK(Raw_Data!E1969),AVERAGE(Raw_Data!E$2:E$5002),Raw_Data!E1969)</f>
        <v>23520.02</v>
      </c>
      <c r="F1969" s="15" t="str">
        <f>IF(ISBLANK(Raw_Data!F1969),AVERAGE(Raw_Data!F$2:F$5002),Raw_Data!F1969)</f>
        <v>16030.46</v>
      </c>
      <c r="G1969" s="14" t="str">
        <f>IF(ISBLANK(Raw_Data!G1969),AVERAGE(Raw_Data!G$2:G$5002),Raw_Data!G1969)</f>
        <v>13925.72</v>
      </c>
      <c r="H1969" s="15" t="str">
        <f t="shared" si="1"/>
        <v>110170.00</v>
      </c>
      <c r="I1969" s="14" t="str">
        <f t="shared" si="2"/>
        <v>96244.00</v>
      </c>
      <c r="J1969" s="16" t="str">
        <f>TEXT(Raw_Data!J1969,"MMM-YYY")</f>
        <v>Feb-2025</v>
      </c>
      <c r="K1969" s="13" t="str">
        <f>Raw_Data!K1969</f>
        <v>15</v>
      </c>
      <c r="L1969" s="17" t="str">
        <f>Raw_Data!L1969</f>
        <v>Pune-West</v>
      </c>
      <c r="M1969" s="13" t="str">
        <f t="shared" si="3"/>
        <v>OK</v>
      </c>
      <c r="N1969" s="18" t="str">
        <f t="shared" si="4"/>
        <v>VALID</v>
      </c>
    </row>
    <row r="1970" ht="15.75" customHeight="1">
      <c r="A1970" s="13" t="str">
        <f>Raw_Data!A1970</f>
        <v>EMP2066</v>
      </c>
      <c r="B1970" s="13" t="str">
        <f>TRIM(CLEAN(Raw_Data!B1970))</f>
        <v>Marketing</v>
      </c>
      <c r="C1970" s="18" t="s">
        <v>54</v>
      </c>
      <c r="D1970" s="14" t="str">
        <f>IF(ISBLANK(Raw_Data!D1970),AVERAGE(Raw_Data!D$2:D$5002),Raw_Data!D1970)</f>
        <v>70630.33</v>
      </c>
      <c r="E1970" s="15" t="str">
        <f>IF(ISBLANK(Raw_Data!E1970),AVERAGE(Raw_Data!E$2:E$5002),Raw_Data!E1970)</f>
        <v>23524.63</v>
      </c>
      <c r="F1970" s="15" t="str">
        <f>IF(ISBLANK(Raw_Data!F1970),AVERAGE(Raw_Data!F$2:F$5002),Raw_Data!F1970)</f>
        <v>16038.14</v>
      </c>
      <c r="G1970" s="14" t="str">
        <f>IF(ISBLANK(Raw_Data!G1970),AVERAGE(Raw_Data!G$2:G$5002),Raw_Data!G1970)</f>
        <v>13929.12</v>
      </c>
      <c r="H1970" s="15" t="str">
        <f t="shared" si="1"/>
        <v>110193.00</v>
      </c>
      <c r="I1970" s="14" t="str">
        <f t="shared" si="2"/>
        <v>96264.00</v>
      </c>
      <c r="J1970" s="16" t="str">
        <f>TEXT(Raw_Data!J1970,"MMM-YYY")</f>
        <v>Sep-2025</v>
      </c>
      <c r="K1970" s="13" t="str">
        <f>Raw_Data!K1970</f>
        <v>12</v>
      </c>
      <c r="L1970" s="17" t="str">
        <f>Raw_Data!L1970</f>
        <v>Hyderabad-South</v>
      </c>
      <c r="M1970" s="13" t="str">
        <f t="shared" si="3"/>
        <v>OK</v>
      </c>
      <c r="N1970" s="18" t="str">
        <f t="shared" si="4"/>
        <v>VALID</v>
      </c>
    </row>
    <row r="1971" ht="15.75" customHeight="1">
      <c r="A1971" s="13" t="str">
        <f>Raw_Data!A1971</f>
        <v>EMP2067</v>
      </c>
      <c r="B1971" s="13" t="s">
        <v>17</v>
      </c>
      <c r="C1971" s="18" t="s">
        <v>14</v>
      </c>
      <c r="D1971" s="14" t="str">
        <f>IF(ISBLANK(Raw_Data!D1971),AVERAGE(Raw_Data!D$2:D$5002),Raw_Data!D1971)</f>
        <v>70641.21</v>
      </c>
      <c r="E1971" s="15" t="str">
        <f>IF(ISBLANK(Raw_Data!E1971),AVERAGE(Raw_Data!E$2:E$5002),Raw_Data!E1971)</f>
        <v>23529.25</v>
      </c>
      <c r="F1971" s="15" t="str">
        <f>IF(ISBLANK(Raw_Data!F1971),AVERAGE(Raw_Data!F$2:F$5002),Raw_Data!F1971)</f>
        <v>16045.82</v>
      </c>
      <c r="G1971" s="14" t="str">
        <f>IF(ISBLANK(Raw_Data!G1971),AVERAGE(Raw_Data!G$2:G$5002),Raw_Data!G1971)</f>
        <v>13932.52</v>
      </c>
      <c r="H1971" s="15" t="str">
        <f t="shared" si="1"/>
        <v>110216.00</v>
      </c>
      <c r="I1971" s="14" t="str">
        <f t="shared" si="2"/>
        <v>96283.00</v>
      </c>
      <c r="J1971" s="16" t="str">
        <f>TEXT(Raw_Data!J1971,"MMM-YYY")</f>
        <v>Jul-2025</v>
      </c>
      <c r="K1971" s="13" t="str">
        <f>Raw_Data!K1971</f>
        <v>2</v>
      </c>
      <c r="L1971" s="17" t="str">
        <f>Raw_Data!L1971</f>
        <v>Chandigarh-North</v>
      </c>
      <c r="M1971" s="13" t="str">
        <f t="shared" si="3"/>
        <v>OK</v>
      </c>
      <c r="N1971" s="18" t="str">
        <f t="shared" si="4"/>
        <v>VALID</v>
      </c>
    </row>
    <row r="1972" ht="15.75" customHeight="1">
      <c r="A1972" s="13" t="str">
        <f>Raw_Data!A1972</f>
        <v>EMP2068</v>
      </c>
      <c r="B1972" s="13" t="str">
        <f>TRIM(CLEAN(Raw_Data!B1972))</f>
        <v>IT</v>
      </c>
      <c r="C1972" s="18" t="s">
        <v>37</v>
      </c>
      <c r="D1972" s="14" t="str">
        <f>IF(ISBLANK(Raw_Data!D1972),AVERAGE(Raw_Data!D$2:D$5002),Raw_Data!D1972)</f>
        <v>70652.09</v>
      </c>
      <c r="E1972" s="15" t="str">
        <f>IF(ISBLANK(Raw_Data!E1972),AVERAGE(Raw_Data!E$2:E$5002),Raw_Data!E1972)</f>
        <v>23533.86</v>
      </c>
      <c r="F1972" s="15" t="str">
        <f>IF(ISBLANK(Raw_Data!F1972),AVERAGE(Raw_Data!F$2:F$5002),Raw_Data!F1972)</f>
        <v>16053.50</v>
      </c>
      <c r="G1972" s="14" t="str">
        <f>IF(ISBLANK(Raw_Data!G1972),AVERAGE(Raw_Data!G$2:G$5002),Raw_Data!G1972)</f>
        <v>13935.91</v>
      </c>
      <c r="H1972" s="15" t="str">
        <f t="shared" si="1"/>
        <v>110239.00</v>
      </c>
      <c r="I1972" s="14" t="str">
        <f t="shared" si="2"/>
        <v>96303.00</v>
      </c>
      <c r="J1972" s="16" t="str">
        <f>TEXT(Raw_Data!J1972,"MMM-YYY")</f>
        <v>Aug-2025</v>
      </c>
      <c r="K1972" s="13" t="str">
        <f>Raw_Data!K1972</f>
        <v>5</v>
      </c>
      <c r="L1972" s="17" t="str">
        <f>Raw_Data!L1972</f>
        <v>Ahmedabad-West</v>
      </c>
      <c r="M1972" s="13" t="str">
        <f t="shared" si="3"/>
        <v>OK</v>
      </c>
      <c r="N1972" s="18" t="str">
        <f t="shared" si="4"/>
        <v>VALID</v>
      </c>
    </row>
    <row r="1973" ht="15.75" customHeight="1">
      <c r="A1973" s="13" t="str">
        <f>Raw_Data!A1973</f>
        <v>EMP2069</v>
      </c>
      <c r="B1973" s="13" t="str">
        <f>TRIM(CLEAN(Raw_Data!B1973))</f>
        <v>Operations</v>
      </c>
      <c r="C1973" s="18" t="s">
        <v>54</v>
      </c>
      <c r="D1973" s="14" t="str">
        <f>IF(ISBLANK(Raw_Data!D1973),AVERAGE(Raw_Data!D$2:D$5002),Raw_Data!D1973)</f>
        <v>70662.97</v>
      </c>
      <c r="E1973" s="15" t="str">
        <f>IF(ISBLANK(Raw_Data!E1973),AVERAGE(Raw_Data!E$2:E$5002),Raw_Data!E1973)</f>
        <v>23538.48</v>
      </c>
      <c r="F1973" s="15" t="str">
        <f>IF(ISBLANK(Raw_Data!F1973),AVERAGE(Raw_Data!F$2:F$5002),Raw_Data!F1973)</f>
        <v>16061.18</v>
      </c>
      <c r="G1973" s="14" t="str">
        <f>IF(ISBLANK(Raw_Data!G1973),AVERAGE(Raw_Data!G$2:G$5002),Raw_Data!G1973)</f>
        <v>13939.31</v>
      </c>
      <c r="H1973" s="15" t="str">
        <f t="shared" si="1"/>
        <v>110263.00</v>
      </c>
      <c r="I1973" s="14" t="str">
        <f t="shared" si="2"/>
        <v>96324.00</v>
      </c>
      <c r="J1973" s="16" t="str">
        <f>TEXT(Raw_Data!J1973,"MMM-YYY")</f>
        <v>May-2025</v>
      </c>
      <c r="K1973" s="13" t="str">
        <f>Raw_Data!K1973</f>
        <v>10</v>
      </c>
      <c r="L1973" s="17" t="str">
        <f>Raw_Data!L1973</f>
        <v>Jaipur-North</v>
      </c>
      <c r="M1973" s="13" t="str">
        <f t="shared" si="3"/>
        <v>OK</v>
      </c>
      <c r="N1973" s="18" t="str">
        <f t="shared" si="4"/>
        <v>VALID</v>
      </c>
    </row>
    <row r="1974" ht="15.75" customHeight="1">
      <c r="A1974" s="13" t="str">
        <f>Raw_Data!A1974</f>
        <v>EMP2070</v>
      </c>
      <c r="B1974" s="13" t="str">
        <f>TRIM(CLEAN(Raw_Data!B1974))</f>
        <v>Sales</v>
      </c>
      <c r="C1974" s="18" t="s">
        <v>54</v>
      </c>
      <c r="D1974" s="14" t="str">
        <f>IF(ISBLANK(Raw_Data!D1974),AVERAGE(Raw_Data!D$2:D$5002),Raw_Data!D1974)</f>
        <v>70673.86</v>
      </c>
      <c r="E1974" s="15" t="str">
        <f>IF(ISBLANK(Raw_Data!E1974),AVERAGE(Raw_Data!E$2:E$5002),Raw_Data!E1974)</f>
        <v>23543.09</v>
      </c>
      <c r="F1974" s="15" t="str">
        <f>IF(ISBLANK(Raw_Data!F1974),AVERAGE(Raw_Data!F$2:F$5002),Raw_Data!F1974)</f>
        <v>16068.86</v>
      </c>
      <c r="G1974" s="14" t="str">
        <f>IF(ISBLANK(Raw_Data!G1974),AVERAGE(Raw_Data!G$2:G$5002),Raw_Data!G1974)</f>
        <v>13942.71</v>
      </c>
      <c r="H1974" s="15" t="str">
        <f t="shared" si="1"/>
        <v>110286.00</v>
      </c>
      <c r="I1974" s="14" t="str">
        <f t="shared" si="2"/>
        <v>96343.00</v>
      </c>
      <c r="J1974" s="16" t="str">
        <f>TEXT(Raw_Data!J1974,"MMM-YYY")</f>
        <v>Apr-2025</v>
      </c>
      <c r="K1974" s="13" t="str">
        <f>Raw_Data!K1974</f>
        <v>10</v>
      </c>
      <c r="L1974" s="17" t="str">
        <f>Raw_Data!L1974</f>
        <v>Mumbai-HO</v>
      </c>
      <c r="M1974" s="13" t="str">
        <f t="shared" si="3"/>
        <v>OK</v>
      </c>
      <c r="N1974" s="18" t="str">
        <f t="shared" si="4"/>
        <v>VALID</v>
      </c>
    </row>
    <row r="1975" ht="15.75" customHeight="1">
      <c r="A1975" s="13" t="str">
        <f>Raw_Data!A1975</f>
        <v>EMP2071</v>
      </c>
      <c r="B1975" s="13" t="str">
        <f>TRIM(CLEAN(Raw_Data!B1975))</f>
        <v>HR</v>
      </c>
      <c r="C1975" s="18" t="s">
        <v>54</v>
      </c>
      <c r="D1975" s="14" t="str">
        <f>IF(ISBLANK(Raw_Data!D1975),AVERAGE(Raw_Data!D$2:D$5002),Raw_Data!D1975)</f>
        <v>70684.74</v>
      </c>
      <c r="E1975" s="15" t="str">
        <f>IF(ISBLANK(Raw_Data!E1975),AVERAGE(Raw_Data!E$2:E$5002),Raw_Data!E1975)</f>
        <v>23547.71</v>
      </c>
      <c r="F1975" s="15" t="str">
        <f>IF(ISBLANK(Raw_Data!F1975),AVERAGE(Raw_Data!F$2:F$5002),Raw_Data!F1975)</f>
        <v>16076.54</v>
      </c>
      <c r="G1975" s="14" t="str">
        <f>IF(ISBLANK(Raw_Data!G1975),AVERAGE(Raw_Data!G$2:G$5002),Raw_Data!G1975)</f>
        <v>13946.11</v>
      </c>
      <c r="H1975" s="15" t="str">
        <f t="shared" si="1"/>
        <v>110309.00</v>
      </c>
      <c r="I1975" s="14" t="str">
        <f t="shared" si="2"/>
        <v>96363.00</v>
      </c>
      <c r="J1975" s="16" t="str">
        <f>TEXT(Raw_Data!J1975,"MMM-YYY")</f>
        <v>Dec-2025</v>
      </c>
      <c r="K1975" s="13" t="str">
        <f>Raw_Data!K1975</f>
        <v>22</v>
      </c>
      <c r="L1975" s="17" t="str">
        <f>Raw_Data!L1975</f>
        <v>Delhi-North</v>
      </c>
      <c r="M1975" s="13" t="str">
        <f t="shared" si="3"/>
        <v>OK</v>
      </c>
      <c r="N1975" s="18" t="str">
        <f t="shared" si="4"/>
        <v>VALID</v>
      </c>
    </row>
    <row r="1976" ht="15.75" customHeight="1">
      <c r="A1976" s="13" t="str">
        <f>Raw_Data!A1976</f>
        <v>EMP2072</v>
      </c>
      <c r="B1976" s="13" t="str">
        <f>TRIM(CLEAN(Raw_Data!B1976))</f>
        <v>Customer Support</v>
      </c>
      <c r="C1976" s="18" t="s">
        <v>33</v>
      </c>
      <c r="D1976" s="14" t="str">
        <f>IF(ISBLANK(Raw_Data!D1976),AVERAGE(Raw_Data!D$2:D$5002),Raw_Data!D1976)</f>
        <v>70695.62</v>
      </c>
      <c r="E1976" s="15" t="str">
        <f>IF(ISBLANK(Raw_Data!E1976),AVERAGE(Raw_Data!E$2:E$5002),Raw_Data!E1976)</f>
        <v>23552.32</v>
      </c>
      <c r="F1976" s="15" t="str">
        <f>IF(ISBLANK(Raw_Data!F1976),AVERAGE(Raw_Data!F$2:F$5002),Raw_Data!F1976)</f>
        <v>16084.22</v>
      </c>
      <c r="G1976" s="14" t="str">
        <f>IF(ISBLANK(Raw_Data!G1976),AVERAGE(Raw_Data!G$2:G$5002),Raw_Data!G1976)</f>
        <v>13949.50</v>
      </c>
      <c r="H1976" s="15" t="str">
        <f t="shared" si="1"/>
        <v>110332.00</v>
      </c>
      <c r="I1976" s="14" t="str">
        <f t="shared" si="2"/>
        <v>96382.00</v>
      </c>
      <c r="J1976" s="16" t="str">
        <f>TEXT(Raw_Data!J1976,"MMM-YYY")</f>
        <v>Jun-2025</v>
      </c>
      <c r="K1976" s="13" t="str">
        <f>Raw_Data!K1976</f>
        <v>7</v>
      </c>
      <c r="L1976" s="17" t="str">
        <f>Raw_Data!L1976</f>
        <v>Bangalore-South</v>
      </c>
      <c r="M1976" s="13" t="str">
        <f t="shared" si="3"/>
        <v>OK</v>
      </c>
      <c r="N1976" s="18" t="str">
        <f t="shared" si="4"/>
        <v>VALID</v>
      </c>
    </row>
    <row r="1977" ht="15.75" customHeight="1">
      <c r="A1977" s="13" t="str">
        <f>Raw_Data!A1977</f>
        <v>EMP2073</v>
      </c>
      <c r="B1977" s="13" t="str">
        <f>TRIM(CLEAN(Raw_Data!B1977))</f>
        <v>Customer Support</v>
      </c>
      <c r="C1977" s="18" t="s">
        <v>33</v>
      </c>
      <c r="D1977" s="14" t="str">
        <f>IF(ISBLANK(Raw_Data!D1977),AVERAGE(Raw_Data!D$2:D$5002),Raw_Data!D1977)</f>
        <v>70706.51</v>
      </c>
      <c r="E1977" s="15" t="str">
        <f>IF(ISBLANK(Raw_Data!E1977),AVERAGE(Raw_Data!E$2:E$5002),Raw_Data!E1977)</f>
        <v>23556.94</v>
      </c>
      <c r="F1977" s="15" t="str">
        <f>IF(ISBLANK(Raw_Data!F1977),AVERAGE(Raw_Data!F$2:F$5002),Raw_Data!F1977)</f>
        <v>16091.90</v>
      </c>
      <c r="G1977" s="14" t="str">
        <f>IF(ISBLANK(Raw_Data!G1977),AVERAGE(Raw_Data!G$2:G$5002),Raw_Data!G1977)</f>
        <v>13952.90</v>
      </c>
      <c r="H1977" s="15" t="str">
        <f t="shared" si="1"/>
        <v>110355.00</v>
      </c>
      <c r="I1977" s="14" t="str">
        <f t="shared" si="2"/>
        <v>96402.00</v>
      </c>
      <c r="J1977" s="16" t="str">
        <f>TEXT(Raw_Data!J1977,"MMM-YYY")</f>
        <v>Oct-2025</v>
      </c>
      <c r="K1977" s="13" t="str">
        <f>Raw_Data!K1977</f>
        <v>17</v>
      </c>
      <c r="L1977" s="17" t="str">
        <f>Raw_Data!L1977</f>
        <v>Chennai-South</v>
      </c>
      <c r="M1977" s="13" t="str">
        <f t="shared" si="3"/>
        <v>OK</v>
      </c>
      <c r="N1977" s="18" t="str">
        <f t="shared" si="4"/>
        <v>VALID</v>
      </c>
    </row>
    <row r="1978" ht="15.75" customHeight="1">
      <c r="A1978" s="13" t="str">
        <f>Raw_Data!A1978</f>
        <v>EMP2074</v>
      </c>
      <c r="B1978" s="13" t="str">
        <f>TRIM(CLEAN(Raw_Data!B1978))</f>
        <v>HR</v>
      </c>
      <c r="C1978" s="18" t="s">
        <v>37</v>
      </c>
      <c r="D1978" s="14" t="str">
        <f>IF(ISBLANK(Raw_Data!D1978),AVERAGE(Raw_Data!D$2:D$5002),Raw_Data!D1978)</f>
        <v>70717.39</v>
      </c>
      <c r="E1978" s="15" t="str">
        <f>IF(ISBLANK(Raw_Data!E1978),AVERAGE(Raw_Data!E$2:E$5002),Raw_Data!E1978)</f>
        <v>23561.55</v>
      </c>
      <c r="F1978" s="15" t="str">
        <f>IF(ISBLANK(Raw_Data!F1978),AVERAGE(Raw_Data!F$2:F$5002),Raw_Data!F1978)</f>
        <v>16099.58</v>
      </c>
      <c r="G1978" s="14" t="str">
        <f>IF(ISBLANK(Raw_Data!G1978),AVERAGE(Raw_Data!G$2:G$5002),Raw_Data!G1978)</f>
        <v>13956.30</v>
      </c>
      <c r="H1978" s="15" t="str">
        <f t="shared" si="1"/>
        <v>110379.00</v>
      </c>
      <c r="I1978" s="14" t="str">
        <f t="shared" si="2"/>
        <v>96423.00</v>
      </c>
      <c r="J1978" s="16" t="str">
        <f>TEXT(Raw_Data!J1978,"MMM-YYY")</f>
        <v>Aug-2025</v>
      </c>
      <c r="K1978" s="13" t="str">
        <f>Raw_Data!K1978</f>
        <v>15</v>
      </c>
      <c r="L1978" s="17" t="str">
        <f>Raw_Data!L1978</f>
        <v>Kolkata-East</v>
      </c>
      <c r="M1978" s="13" t="str">
        <f t="shared" si="3"/>
        <v>OK</v>
      </c>
      <c r="N1978" s="18" t="str">
        <f t="shared" si="4"/>
        <v>VALID</v>
      </c>
    </row>
    <row r="1979" ht="15.75" customHeight="1">
      <c r="A1979" s="13" t="str">
        <f>Raw_Data!A1979</f>
        <v>EMP2075</v>
      </c>
      <c r="B1979" s="13" t="str">
        <f>TRIM(CLEAN(Raw_Data!B1979))</f>
        <v>IT</v>
      </c>
      <c r="C1979" s="18" t="s">
        <v>30</v>
      </c>
      <c r="D1979" s="14" t="str">
        <f>IF(ISBLANK(Raw_Data!D1979),AVERAGE(Raw_Data!D$2:D$5002),Raw_Data!D1979)</f>
        <v>70728.27</v>
      </c>
      <c r="E1979" s="15" t="str">
        <f>IF(ISBLANK(Raw_Data!E1979),AVERAGE(Raw_Data!E$2:E$5002),Raw_Data!E1979)</f>
        <v>23566.16</v>
      </c>
      <c r="F1979" s="15" t="str">
        <f>IF(ISBLANK(Raw_Data!F1979),AVERAGE(Raw_Data!F$2:F$5002),Raw_Data!F1979)</f>
        <v>16107.26</v>
      </c>
      <c r="G1979" s="14" t="str">
        <f>IF(ISBLANK(Raw_Data!G1979),AVERAGE(Raw_Data!G$2:G$5002),Raw_Data!G1979)</f>
        <v>13959.70</v>
      </c>
      <c r="H1979" s="15" t="str">
        <f t="shared" si="1"/>
        <v>110402.00</v>
      </c>
      <c r="I1979" s="14" t="str">
        <f t="shared" si="2"/>
        <v>96442.00</v>
      </c>
      <c r="J1979" s="16" t="str">
        <f>TEXT(Raw_Data!J1979,"MMM-YYY")</f>
        <v>Apr-2025</v>
      </c>
      <c r="K1979" s="13" t="str">
        <f>Raw_Data!K1979</f>
        <v>2</v>
      </c>
      <c r="L1979" s="17" t="str">
        <f>Raw_Data!L1979</f>
        <v>Pune-West</v>
      </c>
      <c r="M1979" s="13" t="str">
        <f t="shared" si="3"/>
        <v>OK</v>
      </c>
      <c r="N1979" s="18" t="str">
        <f t="shared" si="4"/>
        <v>VALID</v>
      </c>
    </row>
    <row r="1980" ht="15.75" customHeight="1">
      <c r="A1980" s="13" t="str">
        <f>Raw_Data!A1980</f>
        <v>EMP2077</v>
      </c>
      <c r="B1980" s="13" t="str">
        <f>TRIM(CLEAN(Raw_Data!B1980))</f>
        <v>Finance</v>
      </c>
      <c r="C1980" s="18" t="s">
        <v>26</v>
      </c>
      <c r="D1980" s="14" t="str">
        <f>IF(ISBLANK(Raw_Data!D1980),AVERAGE(Raw_Data!D$2:D$5002),Raw_Data!D1980)</f>
        <v>70750.04</v>
      </c>
      <c r="E1980" s="15" t="str">
        <f>IF(ISBLANK(Raw_Data!E1980),AVERAGE(Raw_Data!E$2:E$5002),Raw_Data!E1980)</f>
        <v>23575.39</v>
      </c>
      <c r="F1980" s="15" t="str">
        <f>IF(ISBLANK(Raw_Data!F1980),AVERAGE(Raw_Data!F$2:F$5002),Raw_Data!F1980)</f>
        <v>16122.62</v>
      </c>
      <c r="G1980" s="14" t="str">
        <f>IF(ISBLANK(Raw_Data!G1980),AVERAGE(Raw_Data!G$2:G$5002),Raw_Data!G1980)</f>
        <v>13966.49</v>
      </c>
      <c r="H1980" s="15" t="str">
        <f t="shared" si="1"/>
        <v>110448.00</v>
      </c>
      <c r="I1980" s="14" t="str">
        <f t="shared" si="2"/>
        <v>96482.00</v>
      </c>
      <c r="J1980" s="16" t="str">
        <f>TEXT(Raw_Data!J1980,"MMM-YYY")</f>
        <v>Sep-2025</v>
      </c>
      <c r="K1980" s="13" t="str">
        <f>Raw_Data!K1980</f>
        <v>1</v>
      </c>
      <c r="L1980" s="17" t="str">
        <f>Raw_Data!L1980</f>
        <v>Chandigarh-North</v>
      </c>
      <c r="M1980" s="13" t="str">
        <f t="shared" si="3"/>
        <v>OK</v>
      </c>
      <c r="N1980" s="18" t="str">
        <f t="shared" si="4"/>
        <v>VALID</v>
      </c>
    </row>
    <row r="1981" ht="15.75" customHeight="1">
      <c r="A1981" s="13" t="str">
        <f>Raw_Data!A1981</f>
        <v>EMP2078</v>
      </c>
      <c r="B1981" s="13" t="str">
        <f>TRIM(CLEAN(Raw_Data!B1981))</f>
        <v>HR</v>
      </c>
      <c r="C1981" s="18" t="s">
        <v>14</v>
      </c>
      <c r="D1981" s="14" t="str">
        <f>IF(ISBLANK(Raw_Data!D1981),AVERAGE(Raw_Data!D$2:D$5002),Raw_Data!D1981)</f>
        <v>70760.92</v>
      </c>
      <c r="E1981" s="15" t="str">
        <f>IF(ISBLANK(Raw_Data!E1981),AVERAGE(Raw_Data!E$2:E$5002),Raw_Data!E1981)</f>
        <v>23580.01</v>
      </c>
      <c r="F1981" s="15" t="str">
        <f>IF(ISBLANK(Raw_Data!F1981),AVERAGE(Raw_Data!F$2:F$5002),Raw_Data!F1981)</f>
        <v>16130.30</v>
      </c>
      <c r="G1981" s="14" t="str">
        <f>IF(ISBLANK(Raw_Data!G1981),AVERAGE(Raw_Data!G$2:G$5002),Raw_Data!G1981)</f>
        <v>13969.89</v>
      </c>
      <c r="H1981" s="15" t="str">
        <f t="shared" si="1"/>
        <v>110471.00</v>
      </c>
      <c r="I1981" s="14" t="str">
        <f t="shared" si="2"/>
        <v>96501.00</v>
      </c>
      <c r="J1981" s="16" t="str">
        <f>TEXT(Raw_Data!J1981,"MMM-YYY")</f>
        <v>Oct-2025</v>
      </c>
      <c r="K1981" s="13" t="str">
        <f>Raw_Data!K1981</f>
        <v>4</v>
      </c>
      <c r="L1981" s="17" t="str">
        <f>Raw_Data!L1981</f>
        <v>Ahmedabad-West</v>
      </c>
      <c r="M1981" s="13" t="str">
        <f t="shared" si="3"/>
        <v>OK</v>
      </c>
      <c r="N1981" s="18" t="str">
        <f t="shared" si="4"/>
        <v>VALID</v>
      </c>
    </row>
    <row r="1982" ht="15.75" customHeight="1">
      <c r="A1982" s="13" t="str">
        <f>Raw_Data!A1982</f>
        <v>EMP2079</v>
      </c>
      <c r="B1982" s="13" t="str">
        <f>TRIM(CLEAN(Raw_Data!B1982))</f>
        <v>HR</v>
      </c>
      <c r="C1982" s="18" t="s">
        <v>26</v>
      </c>
      <c r="D1982" s="14" t="str">
        <f>IF(ISBLANK(Raw_Data!D1982),AVERAGE(Raw_Data!D$2:D$5002),Raw_Data!D1982)</f>
        <v>70771.80</v>
      </c>
      <c r="E1982" s="15" t="str">
        <f>IF(ISBLANK(Raw_Data!E1982),AVERAGE(Raw_Data!E$2:E$5002),Raw_Data!E1982)</f>
        <v>23584.62</v>
      </c>
      <c r="F1982" s="15" t="str">
        <f>IF(ISBLANK(Raw_Data!F1982),AVERAGE(Raw_Data!F$2:F$5002),Raw_Data!F1982)</f>
        <v>16137.98</v>
      </c>
      <c r="G1982" s="14" t="str">
        <f>IF(ISBLANK(Raw_Data!G1982),AVERAGE(Raw_Data!G$2:G$5002),Raw_Data!G1982)</f>
        <v>13973.29</v>
      </c>
      <c r="H1982" s="15" t="str">
        <f t="shared" si="1"/>
        <v>110494.00</v>
      </c>
      <c r="I1982" s="14" t="str">
        <f t="shared" si="2"/>
        <v>96521.00</v>
      </c>
      <c r="J1982" s="16" t="str">
        <f>TEXT(Raw_Data!J1982,"MMM-YYY")</f>
        <v>May-2025</v>
      </c>
      <c r="K1982" s="13" t="str">
        <f>Raw_Data!K1982</f>
        <v>21</v>
      </c>
      <c r="L1982" s="17" t="str">
        <f>Raw_Data!L1982</f>
        <v>Jaipur-North</v>
      </c>
      <c r="M1982" s="13" t="str">
        <f t="shared" si="3"/>
        <v>OK</v>
      </c>
      <c r="N1982" s="18" t="str">
        <f t="shared" si="4"/>
        <v>VALID</v>
      </c>
    </row>
    <row r="1983" ht="15.75" customHeight="1">
      <c r="A1983" s="13" t="str">
        <f>Raw_Data!A1983</f>
        <v>EMP2080</v>
      </c>
      <c r="B1983" s="13" t="str">
        <f>TRIM(CLEAN(Raw_Data!B1983))</f>
        <v>Customer Support</v>
      </c>
      <c r="C1983" s="18" t="s">
        <v>33</v>
      </c>
      <c r="D1983" s="14" t="str">
        <f>IF(ISBLANK(Raw_Data!D1983),AVERAGE(Raw_Data!D$2:D$5002),Raw_Data!D1983)</f>
        <v>70782.69</v>
      </c>
      <c r="E1983" s="15" t="str">
        <f>IF(ISBLANK(Raw_Data!E1983),AVERAGE(Raw_Data!E$2:E$5002),Raw_Data!E1983)</f>
        <v>23589.24</v>
      </c>
      <c r="F1983" s="15" t="str">
        <f>IF(ISBLANK(Raw_Data!F1983),AVERAGE(Raw_Data!F$2:F$5002),Raw_Data!F1983)</f>
        <v>16145.66</v>
      </c>
      <c r="G1983" s="14" t="str">
        <f>IF(ISBLANK(Raw_Data!G1983),AVERAGE(Raw_Data!G$2:G$5002),Raw_Data!G1983)</f>
        <v>13976.68</v>
      </c>
      <c r="H1983" s="15" t="str">
        <f t="shared" si="1"/>
        <v>110518.00</v>
      </c>
      <c r="I1983" s="14" t="str">
        <f t="shared" si="2"/>
        <v>96541.00</v>
      </c>
      <c r="J1983" s="16" t="str">
        <f>TEXT(Raw_Data!J1983,"MMM-YYY")</f>
        <v>Jul-2025</v>
      </c>
      <c r="K1983" s="13" t="str">
        <f>Raw_Data!K1983</f>
        <v>3</v>
      </c>
      <c r="L1983" s="17" t="str">
        <f>Raw_Data!L1983</f>
        <v>Mumbai-HO</v>
      </c>
      <c r="M1983" s="13" t="str">
        <f t="shared" si="3"/>
        <v>OK</v>
      </c>
      <c r="N1983" s="18" t="str">
        <f t="shared" si="4"/>
        <v>VALID</v>
      </c>
    </row>
    <row r="1984" ht="15.75" customHeight="1">
      <c r="A1984" s="13" t="str">
        <f>Raw_Data!A1984</f>
        <v>EMP2081</v>
      </c>
      <c r="B1984" s="13" t="str">
        <f>TRIM(CLEAN(Raw_Data!B1984))</f>
        <v>Marketing</v>
      </c>
      <c r="C1984" s="18" t="s">
        <v>30</v>
      </c>
      <c r="D1984" s="14" t="str">
        <f>IF(ISBLANK(Raw_Data!D1984),AVERAGE(Raw_Data!D$2:D$5002),Raw_Data!D1984)</f>
        <v>70793.57</v>
      </c>
      <c r="E1984" s="15" t="str">
        <f>IF(ISBLANK(Raw_Data!E1984),AVERAGE(Raw_Data!E$2:E$5002),Raw_Data!E1984)</f>
        <v>23593.85</v>
      </c>
      <c r="F1984" s="15" t="str">
        <f>IF(ISBLANK(Raw_Data!F1984),AVERAGE(Raw_Data!F$2:F$5002),Raw_Data!F1984)</f>
        <v>16153.34</v>
      </c>
      <c r="G1984" s="14" t="str">
        <f>IF(ISBLANK(Raw_Data!G1984),AVERAGE(Raw_Data!G$2:G$5002),Raw_Data!G1984)</f>
        <v>13980.08</v>
      </c>
      <c r="H1984" s="15" t="str">
        <f t="shared" si="1"/>
        <v>110541.00</v>
      </c>
      <c r="I1984" s="14" t="str">
        <f t="shared" si="2"/>
        <v>96561.00</v>
      </c>
      <c r="J1984" s="16" t="str">
        <f>TEXT(Raw_Data!J1984,"MMM-YYY")</f>
        <v>Mar-2025</v>
      </c>
      <c r="K1984" s="13" t="str">
        <f>Raw_Data!K1984</f>
        <v>5</v>
      </c>
      <c r="L1984" s="17" t="str">
        <f>Raw_Data!L1984</f>
        <v>Delhi-North</v>
      </c>
      <c r="M1984" s="13" t="str">
        <f t="shared" si="3"/>
        <v>OK</v>
      </c>
      <c r="N1984" s="18" t="str">
        <f t="shared" si="4"/>
        <v>VALID</v>
      </c>
    </row>
    <row r="1985" ht="15.75" customHeight="1">
      <c r="A1985" s="13" t="str">
        <f>Raw_Data!A1985</f>
        <v>EMP2082</v>
      </c>
      <c r="B1985" s="13" t="str">
        <f>TRIM(CLEAN(Raw_Data!B1985))</f>
        <v>Marketing</v>
      </c>
      <c r="C1985" s="18" t="s">
        <v>37</v>
      </c>
      <c r="D1985" s="14" t="str">
        <f>IF(ISBLANK(Raw_Data!D1985),AVERAGE(Raw_Data!D$2:D$5002),Raw_Data!D1985)</f>
        <v>70804.45</v>
      </c>
      <c r="E1985" s="15" t="str">
        <f>IF(ISBLANK(Raw_Data!E1985),AVERAGE(Raw_Data!E$2:E$5002),Raw_Data!E1985)</f>
        <v>23598.47</v>
      </c>
      <c r="F1985" s="15" t="str">
        <f>IF(ISBLANK(Raw_Data!F1985),AVERAGE(Raw_Data!F$2:F$5002),Raw_Data!F1985)</f>
        <v>16161.02</v>
      </c>
      <c r="G1985" s="14" t="str">
        <f>IF(ISBLANK(Raw_Data!G1985),AVERAGE(Raw_Data!G$2:G$5002),Raw_Data!G1985)</f>
        <v>13983.48</v>
      </c>
      <c r="H1985" s="15" t="str">
        <f t="shared" si="1"/>
        <v>110564.00</v>
      </c>
      <c r="I1985" s="14" t="str">
        <f t="shared" si="2"/>
        <v>96581.00</v>
      </c>
      <c r="J1985" s="16" t="str">
        <f>TEXT(Raw_Data!J1985,"MMM-YYY")</f>
        <v>Jan-2025</v>
      </c>
      <c r="K1985" s="13" t="str">
        <f>Raw_Data!K1985</f>
        <v>4</v>
      </c>
      <c r="L1985" s="17" t="str">
        <f>Raw_Data!L1985</f>
        <v>Bangalore-South</v>
      </c>
      <c r="M1985" s="13" t="str">
        <f t="shared" si="3"/>
        <v>OK</v>
      </c>
      <c r="N1985" s="18" t="str">
        <f t="shared" si="4"/>
        <v>VALID</v>
      </c>
    </row>
    <row r="1986" ht="15.75" customHeight="1">
      <c r="A1986" s="13" t="str">
        <f>Raw_Data!A1986</f>
        <v>EMP2083</v>
      </c>
      <c r="B1986" s="13" t="str">
        <f>TRIM(CLEAN(Raw_Data!B1986))</f>
        <v>Marketing</v>
      </c>
      <c r="C1986" s="18" t="s">
        <v>14</v>
      </c>
      <c r="D1986" s="14" t="str">
        <f>IF(ISBLANK(Raw_Data!D1986),AVERAGE(Raw_Data!D$2:D$5002),Raw_Data!D1986)</f>
        <v>70815.34</v>
      </c>
      <c r="E1986" s="15" t="str">
        <f>IF(ISBLANK(Raw_Data!E1986),AVERAGE(Raw_Data!E$2:E$5002),Raw_Data!E1986)</f>
        <v>23603.08</v>
      </c>
      <c r="F1986" s="15" t="str">
        <f>IF(ISBLANK(Raw_Data!F1986),AVERAGE(Raw_Data!F$2:F$5002),Raw_Data!F1986)</f>
        <v>16168.70</v>
      </c>
      <c r="G1986" s="14" t="str">
        <f>IF(ISBLANK(Raw_Data!G1986),AVERAGE(Raw_Data!G$2:G$5002),Raw_Data!G1986)</f>
        <v>13986.88</v>
      </c>
      <c r="H1986" s="15" t="str">
        <f t="shared" si="1"/>
        <v>110587.00</v>
      </c>
      <c r="I1986" s="14" t="str">
        <f t="shared" si="2"/>
        <v>96600.00</v>
      </c>
      <c r="J1986" s="16" t="str">
        <f>TEXT(Raw_Data!J1986,"MMM-YYY")</f>
        <v>May-2025</v>
      </c>
      <c r="K1986" s="13" t="str">
        <f>Raw_Data!K1986</f>
        <v>10</v>
      </c>
      <c r="L1986" s="17" t="str">
        <f>Raw_Data!L1986</f>
        <v>Chennai-South</v>
      </c>
      <c r="M1986" s="13" t="str">
        <f t="shared" si="3"/>
        <v>OK</v>
      </c>
      <c r="N1986" s="18" t="str">
        <f t="shared" si="4"/>
        <v>VALID</v>
      </c>
    </row>
    <row r="1987" ht="15.75" customHeight="1">
      <c r="A1987" s="13" t="str">
        <f>Raw_Data!A1987</f>
        <v>EMP2085</v>
      </c>
      <c r="B1987" s="13" t="str">
        <f>TRIM(CLEAN(Raw_Data!B1987))</f>
        <v>Finance</v>
      </c>
      <c r="C1987" s="18" t="s">
        <v>37</v>
      </c>
      <c r="D1987" s="14" t="str">
        <f>IF(ISBLANK(Raw_Data!D1987),AVERAGE(Raw_Data!D$2:D$5002),Raw_Data!D1987)</f>
        <v>70837.10</v>
      </c>
      <c r="E1987" s="15" t="str">
        <f>IF(ISBLANK(Raw_Data!E1987),AVERAGE(Raw_Data!E$2:E$5002),Raw_Data!E1987)</f>
        <v>23612.31</v>
      </c>
      <c r="F1987" s="15" t="str">
        <f>IF(ISBLANK(Raw_Data!F1987),AVERAGE(Raw_Data!F$2:F$5002),Raw_Data!F1987)</f>
        <v>16184.06</v>
      </c>
      <c r="G1987" s="14" t="str">
        <f>IF(ISBLANK(Raw_Data!G1987),AVERAGE(Raw_Data!G$2:G$5002),Raw_Data!G1987)</f>
        <v>13993.67</v>
      </c>
      <c r="H1987" s="15" t="str">
        <f t="shared" si="1"/>
        <v>110633.00</v>
      </c>
      <c r="I1987" s="14" t="str">
        <f t="shared" si="2"/>
        <v>96639.00</v>
      </c>
      <c r="J1987" s="16" t="str">
        <f>TEXT(Raw_Data!J1987,"MMM-YYY")</f>
        <v>Jun-2025</v>
      </c>
      <c r="K1987" s="13" t="str">
        <f>Raw_Data!K1987</f>
        <v>22</v>
      </c>
      <c r="L1987" s="17" t="str">
        <f>Raw_Data!L1987</f>
        <v>Pune-West</v>
      </c>
      <c r="M1987" s="13" t="str">
        <f t="shared" si="3"/>
        <v>OK</v>
      </c>
      <c r="N1987" s="18" t="str">
        <f t="shared" si="4"/>
        <v>VALID</v>
      </c>
    </row>
    <row r="1988" ht="15.75" customHeight="1">
      <c r="A1988" s="13" t="str">
        <f>Raw_Data!A1988</f>
        <v>EMP2086</v>
      </c>
      <c r="B1988" s="13" t="str">
        <f>TRIM(CLEAN(Raw_Data!B1988))</f>
        <v>IT</v>
      </c>
      <c r="C1988" s="18" t="s">
        <v>30</v>
      </c>
      <c r="D1988" s="14" t="str">
        <f>IF(ISBLANK(Raw_Data!D1988),AVERAGE(Raw_Data!D$2:D$5002),Raw_Data!D1988)</f>
        <v>70847.98</v>
      </c>
      <c r="E1988" s="15" t="str">
        <f>IF(ISBLANK(Raw_Data!E1988),AVERAGE(Raw_Data!E$2:E$5002),Raw_Data!E1988)</f>
        <v>23616.93</v>
      </c>
      <c r="F1988" s="15" t="str">
        <f>IF(ISBLANK(Raw_Data!F1988),AVERAGE(Raw_Data!F$2:F$5002),Raw_Data!F1988)</f>
        <v>16191.74</v>
      </c>
      <c r="G1988" s="14" t="str">
        <f>IF(ISBLANK(Raw_Data!G1988),AVERAGE(Raw_Data!G$2:G$5002),Raw_Data!G1988)</f>
        <v>13997.07</v>
      </c>
      <c r="H1988" s="15" t="str">
        <f t="shared" si="1"/>
        <v>110657.00</v>
      </c>
      <c r="I1988" s="14" t="str">
        <f t="shared" si="2"/>
        <v>96660.00</v>
      </c>
      <c r="J1988" s="16" t="str">
        <f>TEXT(Raw_Data!J1988,"MMM-YYY")</f>
        <v>Oct-2025</v>
      </c>
      <c r="K1988" s="13" t="str">
        <f>Raw_Data!K1988</f>
        <v>23</v>
      </c>
      <c r="L1988" s="17" t="str">
        <f>Raw_Data!L1988</f>
        <v>Hyderabad-South</v>
      </c>
      <c r="M1988" s="13" t="str">
        <f t="shared" si="3"/>
        <v>OK</v>
      </c>
      <c r="N1988" s="18" t="str">
        <f t="shared" si="4"/>
        <v>VALID</v>
      </c>
    </row>
    <row r="1989" ht="15.75" customHeight="1">
      <c r="A1989" s="13" t="str">
        <f>Raw_Data!A1989</f>
        <v>EMP2087</v>
      </c>
      <c r="B1989" s="13" t="str">
        <f>TRIM(CLEAN(Raw_Data!B1989))</f>
        <v>IT</v>
      </c>
      <c r="C1989" s="18" t="s">
        <v>26</v>
      </c>
      <c r="D1989" s="14" t="str">
        <f>IF(ISBLANK(Raw_Data!D1989),AVERAGE(Raw_Data!D$2:D$5002),Raw_Data!D1989)</f>
        <v>70858.87</v>
      </c>
      <c r="E1989" s="15" t="str">
        <f>IF(ISBLANK(Raw_Data!E1989),AVERAGE(Raw_Data!E$2:E$5002),Raw_Data!E1989)</f>
        <v>23621.54</v>
      </c>
      <c r="F1989" s="15" t="str">
        <f>IF(ISBLANK(Raw_Data!F1989),AVERAGE(Raw_Data!F$2:F$5002),Raw_Data!F1989)</f>
        <v>16199.42</v>
      </c>
      <c r="G1989" s="14" t="str">
        <f>IF(ISBLANK(Raw_Data!G1989),AVERAGE(Raw_Data!G$2:G$5002),Raw_Data!G1989)</f>
        <v>14000.47</v>
      </c>
      <c r="H1989" s="15" t="str">
        <f t="shared" si="1"/>
        <v>110680.00</v>
      </c>
      <c r="I1989" s="14" t="str">
        <f t="shared" si="2"/>
        <v>96680.00</v>
      </c>
      <c r="J1989" s="16" t="str">
        <f>TEXT(Raw_Data!J1989,"MMM-YYY")</f>
        <v>Sep-2025</v>
      </c>
      <c r="K1989" s="13" t="str">
        <f>Raw_Data!K1989</f>
        <v>22</v>
      </c>
      <c r="L1989" s="17" t="str">
        <f>Raw_Data!L1989</f>
        <v>Chandigarh-North</v>
      </c>
      <c r="M1989" s="13" t="str">
        <f t="shared" si="3"/>
        <v>OK</v>
      </c>
      <c r="N1989" s="18" t="str">
        <f t="shared" si="4"/>
        <v>VALID</v>
      </c>
    </row>
    <row r="1990" ht="15.75" customHeight="1">
      <c r="A1990" s="13" t="str">
        <f>Raw_Data!A1990</f>
        <v>EMP2088</v>
      </c>
      <c r="B1990" s="13" t="str">
        <f>TRIM(CLEAN(Raw_Data!B1990))</f>
        <v>Sales</v>
      </c>
      <c r="C1990" s="18" t="s">
        <v>30</v>
      </c>
      <c r="D1990" s="14" t="str">
        <f>IF(ISBLANK(Raw_Data!D1990),AVERAGE(Raw_Data!D$2:D$5002),Raw_Data!D1990)</f>
        <v>70869.75</v>
      </c>
      <c r="E1990" s="15" t="str">
        <f>IF(ISBLANK(Raw_Data!E1990),AVERAGE(Raw_Data!E$2:E$5002),Raw_Data!E1990)</f>
        <v>23626.16</v>
      </c>
      <c r="F1990" s="15" t="str">
        <f>IF(ISBLANK(Raw_Data!F1990),AVERAGE(Raw_Data!F$2:F$5002),Raw_Data!F1990)</f>
        <v>16207.10</v>
      </c>
      <c r="G1990" s="14" t="str">
        <f>IF(ISBLANK(Raw_Data!G1990),AVERAGE(Raw_Data!G$2:G$5002),Raw_Data!G1990)</f>
        <v>14003.86</v>
      </c>
      <c r="H1990" s="15" t="str">
        <f t="shared" si="1"/>
        <v>110703.00</v>
      </c>
      <c r="I1990" s="14" t="str">
        <f t="shared" si="2"/>
        <v>96699.00</v>
      </c>
      <c r="J1990" s="16" t="str">
        <f>TEXT(Raw_Data!J1990,"MMM-YYY")</f>
        <v>Mar-2025</v>
      </c>
      <c r="K1990" s="13" t="str">
        <f>Raw_Data!K1990</f>
        <v>23</v>
      </c>
      <c r="L1990" s="17" t="str">
        <f>Raw_Data!L1990</f>
        <v>Ahmedabad-West</v>
      </c>
      <c r="M1990" s="13" t="str">
        <f t="shared" si="3"/>
        <v>OK</v>
      </c>
      <c r="N1990" s="18" t="str">
        <f t="shared" si="4"/>
        <v>VALID</v>
      </c>
    </row>
    <row r="1991" ht="15.75" customHeight="1">
      <c r="A1991" s="13" t="str">
        <f>Raw_Data!A1991</f>
        <v>EMP2089</v>
      </c>
      <c r="B1991" s="13" t="str">
        <f>TRIM(CLEAN(Raw_Data!B1991))</f>
        <v>Marketing</v>
      </c>
      <c r="C1991" s="18" t="s">
        <v>26</v>
      </c>
      <c r="D1991" s="14" t="str">
        <f>IF(ISBLANK(Raw_Data!D1991),AVERAGE(Raw_Data!D$2:D$5002),Raw_Data!D1991)</f>
        <v>70880.63</v>
      </c>
      <c r="E1991" s="15" t="str">
        <f>IF(ISBLANK(Raw_Data!E1991),AVERAGE(Raw_Data!E$2:E$5002),Raw_Data!E1991)</f>
        <v>23630.77</v>
      </c>
      <c r="F1991" s="15" t="str">
        <f>IF(ISBLANK(Raw_Data!F1991),AVERAGE(Raw_Data!F$2:F$5002),Raw_Data!F1991)</f>
        <v>16214.78</v>
      </c>
      <c r="G1991" s="14" t="str">
        <f>IF(ISBLANK(Raw_Data!G1991),AVERAGE(Raw_Data!G$2:G$5002),Raw_Data!G1991)</f>
        <v>14007.26</v>
      </c>
      <c r="H1991" s="15" t="str">
        <f t="shared" si="1"/>
        <v>110726.00</v>
      </c>
      <c r="I1991" s="14" t="str">
        <f t="shared" si="2"/>
        <v>96719.00</v>
      </c>
      <c r="J1991" s="16" t="str">
        <f>TEXT(Raw_Data!J1991,"MMM-YYY")</f>
        <v>Nov-2025</v>
      </c>
      <c r="K1991" s="13" t="str">
        <f>Raw_Data!K1991</f>
        <v>9</v>
      </c>
      <c r="L1991" s="17" t="str">
        <f>Raw_Data!L1991</f>
        <v>Jaipur-North</v>
      </c>
      <c r="M1991" s="13" t="str">
        <f t="shared" si="3"/>
        <v>OK</v>
      </c>
      <c r="N1991" s="18" t="str">
        <f t="shared" si="4"/>
        <v>VALID</v>
      </c>
    </row>
    <row r="1992" ht="15.75" customHeight="1">
      <c r="A1992" s="13" t="str">
        <f>Raw_Data!A1992</f>
        <v>EMP2090</v>
      </c>
      <c r="B1992" s="13" t="str">
        <f>TRIM(CLEAN(Raw_Data!B1992))</f>
        <v>Marketing</v>
      </c>
      <c r="C1992" s="18" t="s">
        <v>26</v>
      </c>
      <c r="D1992" s="14" t="str">
        <f>IF(ISBLANK(Raw_Data!D1992),AVERAGE(Raw_Data!D$2:D$5002),Raw_Data!D1992)</f>
        <v>70891.52</v>
      </c>
      <c r="E1992" s="15" t="str">
        <f>IF(ISBLANK(Raw_Data!E1992),AVERAGE(Raw_Data!E$2:E$5002),Raw_Data!E1992)</f>
        <v>23635.39</v>
      </c>
      <c r="F1992" s="15" t="str">
        <f>IF(ISBLANK(Raw_Data!F1992),AVERAGE(Raw_Data!F$2:F$5002),Raw_Data!F1992)</f>
        <v>16222.46</v>
      </c>
      <c r="G1992" s="14" t="str">
        <f>IF(ISBLANK(Raw_Data!G1992),AVERAGE(Raw_Data!G$2:G$5002),Raw_Data!G1992)</f>
        <v>14010.66</v>
      </c>
      <c r="H1992" s="15" t="str">
        <f t="shared" si="1"/>
        <v>110749.00</v>
      </c>
      <c r="I1992" s="14" t="str">
        <f t="shared" si="2"/>
        <v>96738.00</v>
      </c>
      <c r="J1992" s="16" t="str">
        <f>TEXT(Raw_Data!J1992,"MMM-YYY")</f>
        <v>Sep-2025</v>
      </c>
      <c r="K1992" s="13" t="str">
        <f>Raw_Data!K1992</f>
        <v>20</v>
      </c>
      <c r="L1992" s="17" t="str">
        <f>Raw_Data!L1992</f>
        <v>Mumbai-HO</v>
      </c>
      <c r="M1992" s="13" t="str">
        <f t="shared" si="3"/>
        <v>OK</v>
      </c>
      <c r="N1992" s="18" t="str">
        <f t="shared" si="4"/>
        <v>VALID</v>
      </c>
    </row>
    <row r="1993" ht="15.75" customHeight="1">
      <c r="A1993" s="13" t="str">
        <f>Raw_Data!A1993</f>
        <v>EMP2091</v>
      </c>
      <c r="B1993" s="13" t="str">
        <f>TRIM(CLEAN(Raw_Data!B1993))</f>
        <v>Operations</v>
      </c>
      <c r="C1993" s="18" t="s">
        <v>37</v>
      </c>
      <c r="D1993" s="14" t="str">
        <f>IF(ISBLANK(Raw_Data!D1993),AVERAGE(Raw_Data!D$2:D$5002),Raw_Data!D1993)</f>
        <v>70902.40</v>
      </c>
      <c r="E1993" s="15" t="str">
        <f>IF(ISBLANK(Raw_Data!E1993),AVERAGE(Raw_Data!E$2:E$5002),Raw_Data!E1993)</f>
        <v>23640.00</v>
      </c>
      <c r="F1993" s="15" t="str">
        <f>IF(ISBLANK(Raw_Data!F1993),AVERAGE(Raw_Data!F$2:F$5002),Raw_Data!F1993)</f>
        <v>16230.14</v>
      </c>
      <c r="G1993" s="14" t="str">
        <f>IF(ISBLANK(Raw_Data!G1993),AVERAGE(Raw_Data!G$2:G$5002),Raw_Data!G1993)</f>
        <v>14014.06</v>
      </c>
      <c r="H1993" s="15" t="str">
        <f t="shared" si="1"/>
        <v>110773.00</v>
      </c>
      <c r="I1993" s="14" t="str">
        <f t="shared" si="2"/>
        <v>96759.00</v>
      </c>
      <c r="J1993" s="16" t="str">
        <f>TEXT(Raw_Data!J1993,"MMM-YYY")</f>
        <v>Apr-2025</v>
      </c>
      <c r="K1993" s="13" t="str">
        <f>Raw_Data!K1993</f>
        <v>19</v>
      </c>
      <c r="L1993" s="17" t="str">
        <f>Raw_Data!L1993</f>
        <v>Delhi-North</v>
      </c>
      <c r="M1993" s="13" t="str">
        <f t="shared" si="3"/>
        <v>OK</v>
      </c>
      <c r="N1993" s="18" t="str">
        <f t="shared" si="4"/>
        <v>VALID</v>
      </c>
    </row>
    <row r="1994" ht="15.75" customHeight="1">
      <c r="A1994" s="13" t="str">
        <f>Raw_Data!A1994</f>
        <v>EMP2092</v>
      </c>
      <c r="B1994" s="13" t="str">
        <f>TRIM(CLEAN(Raw_Data!B1994))</f>
        <v>Customer Support</v>
      </c>
      <c r="C1994" s="18" t="s">
        <v>37</v>
      </c>
      <c r="D1994" s="14" t="str">
        <f>IF(ISBLANK(Raw_Data!D1994),AVERAGE(Raw_Data!D$2:D$5002),Raw_Data!D1994)</f>
        <v>70913.28</v>
      </c>
      <c r="E1994" s="15" t="str">
        <f>IF(ISBLANK(Raw_Data!E1994),AVERAGE(Raw_Data!E$2:E$5002),Raw_Data!E1994)</f>
        <v>23644.61</v>
      </c>
      <c r="F1994" s="15" t="str">
        <f>IF(ISBLANK(Raw_Data!F1994),AVERAGE(Raw_Data!F$2:F$5002),Raw_Data!F1994)</f>
        <v>16237.82</v>
      </c>
      <c r="G1994" s="14" t="str">
        <f>IF(ISBLANK(Raw_Data!G1994),AVERAGE(Raw_Data!G$2:G$5002),Raw_Data!G1994)</f>
        <v>14017.45</v>
      </c>
      <c r="H1994" s="15" t="str">
        <f t="shared" si="1"/>
        <v>110796.00</v>
      </c>
      <c r="I1994" s="14" t="str">
        <f t="shared" si="2"/>
        <v>96779.00</v>
      </c>
      <c r="J1994" s="16" t="str">
        <f>TEXT(Raw_Data!J1994,"MMM-YYY")</f>
        <v>Jun-2025</v>
      </c>
      <c r="K1994" s="13" t="str">
        <f>Raw_Data!K1994</f>
        <v>21</v>
      </c>
      <c r="L1994" s="17" t="str">
        <f>Raw_Data!L1994</f>
        <v>Bangalore-South</v>
      </c>
      <c r="M1994" s="13" t="str">
        <f t="shared" si="3"/>
        <v>OK</v>
      </c>
      <c r="N1994" s="18" t="str">
        <f t="shared" si="4"/>
        <v>VALID</v>
      </c>
    </row>
    <row r="1995" ht="15.75" customHeight="1">
      <c r="A1995" s="13" t="str">
        <f>Raw_Data!A1995</f>
        <v>EMP2093</v>
      </c>
      <c r="B1995" s="13" t="str">
        <f>TRIM(CLEAN(Raw_Data!B1995))</f>
        <v>Customer Support</v>
      </c>
      <c r="C1995" s="18" t="s">
        <v>33</v>
      </c>
      <c r="D1995" s="14" t="str">
        <f>IF(ISBLANK(Raw_Data!D1995),AVERAGE(Raw_Data!D$2:D$5002),Raw_Data!D1995)</f>
        <v>70924.17</v>
      </c>
      <c r="E1995" s="15" t="str">
        <f>IF(ISBLANK(Raw_Data!E1995),AVERAGE(Raw_Data!E$2:E$5002),Raw_Data!E1995)</f>
        <v>23649.23</v>
      </c>
      <c r="F1995" s="15" t="str">
        <f>IF(ISBLANK(Raw_Data!F1995),AVERAGE(Raw_Data!F$2:F$5002),Raw_Data!F1995)</f>
        <v>16245.50</v>
      </c>
      <c r="G1995" s="14" t="str">
        <f>IF(ISBLANK(Raw_Data!G1995),AVERAGE(Raw_Data!G$2:G$5002),Raw_Data!G1995)</f>
        <v>14020.85</v>
      </c>
      <c r="H1995" s="15" t="str">
        <f t="shared" si="1"/>
        <v>110819.00</v>
      </c>
      <c r="I1995" s="14" t="str">
        <f t="shared" si="2"/>
        <v>96798.00</v>
      </c>
      <c r="J1995" s="16" t="str">
        <f>TEXT(Raw_Data!J1995,"MMM-YYY")</f>
        <v>Jun-2025</v>
      </c>
      <c r="K1995" s="13" t="str">
        <f>Raw_Data!K1995</f>
        <v>1</v>
      </c>
      <c r="L1995" s="17" t="str">
        <f>Raw_Data!L1995</f>
        <v>Chennai-South</v>
      </c>
      <c r="M1995" s="13" t="str">
        <f t="shared" si="3"/>
        <v>OK</v>
      </c>
      <c r="N1995" s="18" t="str">
        <f t="shared" si="4"/>
        <v>VALID</v>
      </c>
    </row>
    <row r="1996" ht="15.75" customHeight="1">
      <c r="A1996" s="13" t="str">
        <f>Raw_Data!A1996</f>
        <v>EMP2094</v>
      </c>
      <c r="B1996" s="13" t="str">
        <f>TRIM(CLEAN(Raw_Data!B1996))</f>
        <v>IT</v>
      </c>
      <c r="C1996" s="18" t="s">
        <v>14</v>
      </c>
      <c r="D1996" s="14" t="str">
        <f>IF(ISBLANK(Raw_Data!D1996),AVERAGE(Raw_Data!D$2:D$5002),Raw_Data!D1996)</f>
        <v>70935.05</v>
      </c>
      <c r="E1996" s="15" t="str">
        <f>IF(ISBLANK(Raw_Data!E1996),AVERAGE(Raw_Data!E$2:E$5002),Raw_Data!E1996)</f>
        <v>23653.84</v>
      </c>
      <c r="F1996" s="15" t="str">
        <f>IF(ISBLANK(Raw_Data!F1996),AVERAGE(Raw_Data!F$2:F$5002),Raw_Data!F1996)</f>
        <v>16253.18</v>
      </c>
      <c r="G1996" s="14" t="str">
        <f>IF(ISBLANK(Raw_Data!G1996),AVERAGE(Raw_Data!G$2:G$5002),Raw_Data!G1996)</f>
        <v>14024.25</v>
      </c>
      <c r="H1996" s="15" t="str">
        <f t="shared" si="1"/>
        <v>110842.00</v>
      </c>
      <c r="I1996" s="14" t="str">
        <f t="shared" si="2"/>
        <v>96818.00</v>
      </c>
      <c r="J1996" s="16" t="str">
        <f>TEXT(Raw_Data!J1996,"MMM-YYY")</f>
        <v>Apr-2025</v>
      </c>
      <c r="K1996" s="13" t="str">
        <f>Raw_Data!K1996</f>
        <v>9</v>
      </c>
      <c r="L1996" s="17" t="str">
        <f>Raw_Data!L1996</f>
        <v>Kolkata-East</v>
      </c>
      <c r="M1996" s="13" t="str">
        <f t="shared" si="3"/>
        <v>OK</v>
      </c>
      <c r="N1996" s="18" t="str">
        <f t="shared" si="4"/>
        <v>VALID</v>
      </c>
    </row>
    <row r="1997" ht="15.75" customHeight="1">
      <c r="A1997" s="13" t="str">
        <f>Raw_Data!A1997</f>
        <v>EMP2095</v>
      </c>
      <c r="B1997" s="13" t="str">
        <f>TRIM(CLEAN(Raw_Data!B1997))</f>
        <v>HR</v>
      </c>
      <c r="C1997" s="18" t="s">
        <v>18</v>
      </c>
      <c r="D1997" s="14" t="str">
        <f>IF(ISBLANK(Raw_Data!D1997),AVERAGE(Raw_Data!D$2:D$5002),Raw_Data!D1997)</f>
        <v>70945.93</v>
      </c>
      <c r="E1997" s="15" t="str">
        <f>IF(ISBLANK(Raw_Data!E1997),AVERAGE(Raw_Data!E$2:E$5002),Raw_Data!E1997)</f>
        <v>23658.46</v>
      </c>
      <c r="F1997" s="15" t="str">
        <f>IF(ISBLANK(Raw_Data!F1997),AVERAGE(Raw_Data!F$2:F$5002),Raw_Data!F1997)</f>
        <v>16260.86</v>
      </c>
      <c r="G1997" s="14" t="str">
        <f>IF(ISBLANK(Raw_Data!G1997),AVERAGE(Raw_Data!G$2:G$5002),Raw_Data!G1997)</f>
        <v>14027.65</v>
      </c>
      <c r="H1997" s="15" t="str">
        <f t="shared" si="1"/>
        <v>110865.00</v>
      </c>
      <c r="I1997" s="14" t="str">
        <f t="shared" si="2"/>
        <v>96837.00</v>
      </c>
      <c r="J1997" s="16" t="str">
        <f>TEXT(Raw_Data!J1997,"MMM-YYY")</f>
        <v>May-2025</v>
      </c>
      <c r="K1997" s="13" t="str">
        <f>Raw_Data!K1997</f>
        <v>12</v>
      </c>
      <c r="L1997" s="17" t="str">
        <f>Raw_Data!L1997</f>
        <v>Pune-West</v>
      </c>
      <c r="M1997" s="13" t="str">
        <f t="shared" si="3"/>
        <v>OK</v>
      </c>
      <c r="N1997" s="18" t="str">
        <f t="shared" si="4"/>
        <v>VALID</v>
      </c>
    </row>
    <row r="1998" ht="15.75" customHeight="1">
      <c r="A1998" s="13" t="str">
        <f>Raw_Data!A1998</f>
        <v>EMP2096</v>
      </c>
      <c r="B1998" s="13" t="str">
        <f>TRIM(CLEAN(Raw_Data!B1998))</f>
        <v>Operations</v>
      </c>
      <c r="C1998" s="18" t="s">
        <v>14</v>
      </c>
      <c r="D1998" s="14" t="str">
        <f>IF(ISBLANK(Raw_Data!D1998),AVERAGE(Raw_Data!D$2:D$5002),Raw_Data!D1998)</f>
        <v>70956.81</v>
      </c>
      <c r="E1998" s="15" t="str">
        <f>IF(ISBLANK(Raw_Data!E1998),AVERAGE(Raw_Data!E$2:E$5002),Raw_Data!E1998)</f>
        <v>23663.07</v>
      </c>
      <c r="F1998" s="15" t="str">
        <f>IF(ISBLANK(Raw_Data!F1998),AVERAGE(Raw_Data!F$2:F$5002),Raw_Data!F1998)</f>
        <v>16268.54</v>
      </c>
      <c r="G1998" s="14" t="str">
        <f>IF(ISBLANK(Raw_Data!G1998),AVERAGE(Raw_Data!G$2:G$5002),Raw_Data!G1998)</f>
        <v>14031.05</v>
      </c>
      <c r="H1998" s="15" t="str">
        <f t="shared" si="1"/>
        <v>110888.00</v>
      </c>
      <c r="I1998" s="14" t="str">
        <f t="shared" si="2"/>
        <v>96857.00</v>
      </c>
      <c r="J1998" s="16" t="str">
        <f>TEXT(Raw_Data!J1998,"MMM-YYY")</f>
        <v>Feb-2025</v>
      </c>
      <c r="K1998" s="13" t="str">
        <f>Raw_Data!K1998</f>
        <v>19</v>
      </c>
      <c r="L1998" s="17" t="str">
        <f>Raw_Data!L1998</f>
        <v>Hyderabad-South</v>
      </c>
      <c r="M1998" s="13" t="str">
        <f t="shared" si="3"/>
        <v>OK</v>
      </c>
      <c r="N1998" s="18" t="str">
        <f t="shared" si="4"/>
        <v>VALID</v>
      </c>
    </row>
    <row r="1999" ht="15.75" customHeight="1">
      <c r="A1999" s="13" t="str">
        <f>Raw_Data!A1999</f>
        <v>EMP2097</v>
      </c>
      <c r="B1999" s="13" t="str">
        <f>TRIM(CLEAN(Raw_Data!B1999))</f>
        <v>IT</v>
      </c>
      <c r="C1999" s="18" t="s">
        <v>18</v>
      </c>
      <c r="D1999" s="14" t="str">
        <f>IF(ISBLANK(Raw_Data!D1999),AVERAGE(Raw_Data!D$2:D$5002),Raw_Data!D1999)</f>
        <v>70967.70</v>
      </c>
      <c r="E1999" s="15" t="str">
        <f>IF(ISBLANK(Raw_Data!E1999),AVERAGE(Raw_Data!E$2:E$5002),Raw_Data!E1999)</f>
        <v>23667.69</v>
      </c>
      <c r="F1999" s="15" t="str">
        <f>IF(ISBLANK(Raw_Data!F1999),AVERAGE(Raw_Data!F$2:F$5002),Raw_Data!F1999)</f>
        <v>16276.22</v>
      </c>
      <c r="G1999" s="14" t="str">
        <f>IF(ISBLANK(Raw_Data!G1999),AVERAGE(Raw_Data!G$2:G$5002),Raw_Data!G1999)</f>
        <v>14034.44</v>
      </c>
      <c r="H1999" s="15" t="str">
        <f t="shared" si="1"/>
        <v>110912.00</v>
      </c>
      <c r="I1999" s="14" t="str">
        <f t="shared" si="2"/>
        <v>96878.00</v>
      </c>
      <c r="J1999" s="16" t="str">
        <f>TEXT(Raw_Data!J1999,"MMM-YYY")</f>
        <v>Mar-2025</v>
      </c>
      <c r="K1999" s="13" t="str">
        <f>Raw_Data!K1999</f>
        <v>4</v>
      </c>
      <c r="L1999" s="17" t="str">
        <f>Raw_Data!L1999</f>
        <v>Chandigarh-North</v>
      </c>
      <c r="M1999" s="13" t="str">
        <f t="shared" si="3"/>
        <v>OK</v>
      </c>
      <c r="N1999" s="18" t="str">
        <f t="shared" si="4"/>
        <v>VALID</v>
      </c>
    </row>
    <row r="2000" ht="15.75" customHeight="1">
      <c r="A2000" s="13" t="str">
        <f>Raw_Data!A2000</f>
        <v>EMP2098</v>
      </c>
      <c r="B2000" s="13" t="str">
        <f>TRIM(CLEAN(Raw_Data!B2000))</f>
        <v>Marketing</v>
      </c>
      <c r="C2000" s="18" t="s">
        <v>26</v>
      </c>
      <c r="D2000" s="14" t="str">
        <f>IF(ISBLANK(Raw_Data!D2000),AVERAGE(Raw_Data!D$2:D$5002),Raw_Data!D2000)</f>
        <v>70978.58</v>
      </c>
      <c r="E2000" s="15" t="str">
        <f>IF(ISBLANK(Raw_Data!E2000),AVERAGE(Raw_Data!E$2:E$5002),Raw_Data!E2000)</f>
        <v>23672.30</v>
      </c>
      <c r="F2000" s="15" t="str">
        <f>IF(ISBLANK(Raw_Data!F2000),AVERAGE(Raw_Data!F$2:F$5002),Raw_Data!F2000)</f>
        <v>16283.90</v>
      </c>
      <c r="G2000" s="14" t="str">
        <f>IF(ISBLANK(Raw_Data!G2000),AVERAGE(Raw_Data!G$2:G$5002),Raw_Data!G2000)</f>
        <v>14037.84</v>
      </c>
      <c r="H2000" s="15" t="str">
        <f t="shared" si="1"/>
        <v>110935.00</v>
      </c>
      <c r="I2000" s="14" t="str">
        <f t="shared" si="2"/>
        <v>96897.00</v>
      </c>
      <c r="J2000" s="16" t="str">
        <f>TEXT(Raw_Data!J2000,"MMM-YYY")</f>
        <v>Jul-2025</v>
      </c>
      <c r="K2000" s="13" t="str">
        <f>Raw_Data!K2000</f>
        <v>22</v>
      </c>
      <c r="L2000" s="17" t="str">
        <f>Raw_Data!L2000</f>
        <v>Ahmedabad-West</v>
      </c>
      <c r="M2000" s="13" t="str">
        <f t="shared" si="3"/>
        <v>OK</v>
      </c>
      <c r="N2000" s="18" t="str">
        <f t="shared" si="4"/>
        <v>VALID</v>
      </c>
    </row>
    <row r="2001" ht="15.75" customHeight="1">
      <c r="A2001" s="13" t="str">
        <f>Raw_Data!A2001</f>
        <v>EMP2099</v>
      </c>
      <c r="B2001" s="13" t="str">
        <f>TRIM(CLEAN(Raw_Data!B2001))</f>
        <v>Sales</v>
      </c>
      <c r="C2001" s="18" t="s">
        <v>30</v>
      </c>
      <c r="D2001" s="14" t="str">
        <f>IF(ISBLANK(Raw_Data!D2001),AVERAGE(Raw_Data!D$2:D$5002),Raw_Data!D2001)</f>
        <v>70989.46</v>
      </c>
      <c r="E2001" s="15" t="str">
        <f>IF(ISBLANK(Raw_Data!E2001),AVERAGE(Raw_Data!E$2:E$5002),Raw_Data!E2001)</f>
        <v>23676.92</v>
      </c>
      <c r="F2001" s="15" t="str">
        <f>IF(ISBLANK(Raw_Data!F2001),AVERAGE(Raw_Data!F$2:F$5002),Raw_Data!F2001)</f>
        <v>16291.58</v>
      </c>
      <c r="G2001" s="14" t="str">
        <f>IF(ISBLANK(Raw_Data!G2001),AVERAGE(Raw_Data!G$2:G$5002),Raw_Data!G2001)</f>
        <v>14041.24</v>
      </c>
      <c r="H2001" s="15" t="str">
        <f t="shared" si="1"/>
        <v>110958.00</v>
      </c>
      <c r="I2001" s="14" t="str">
        <f t="shared" si="2"/>
        <v>96917.00</v>
      </c>
      <c r="J2001" s="16" t="str">
        <f>TEXT(Raw_Data!J2001,"MMM-YYY")</f>
        <v>Nov-2025</v>
      </c>
      <c r="K2001" s="13" t="str">
        <f>Raw_Data!K2001</f>
        <v>22</v>
      </c>
      <c r="L2001" s="17" t="str">
        <f>Raw_Data!L2001</f>
        <v>Jaipur-North</v>
      </c>
      <c r="M2001" s="13" t="str">
        <f t="shared" si="3"/>
        <v>OK</v>
      </c>
      <c r="N2001" s="18" t="str">
        <f t="shared" si="4"/>
        <v>VALID</v>
      </c>
    </row>
    <row r="2002" ht="15.75" customHeight="1">
      <c r="A2002" s="13" t="str">
        <f>Raw_Data!A2002</f>
        <v>EMP2100</v>
      </c>
      <c r="B2002" s="13" t="str">
        <f>TRIM(CLEAN(Raw_Data!B2002))</f>
        <v>Customer Support</v>
      </c>
      <c r="C2002" s="18" t="s">
        <v>33</v>
      </c>
      <c r="D2002" s="14" t="str">
        <f>IF(ISBLANK(Raw_Data!D2002),AVERAGE(Raw_Data!D$2:D$5002),Raw_Data!D2002)</f>
        <v>71000.35</v>
      </c>
      <c r="E2002" s="15" t="str">
        <f>IF(ISBLANK(Raw_Data!E2002),AVERAGE(Raw_Data!E$2:E$5002),Raw_Data!E2002)</f>
        <v>23681.53</v>
      </c>
      <c r="F2002" s="15" t="str">
        <f>IF(ISBLANK(Raw_Data!F2002),AVERAGE(Raw_Data!F$2:F$5002),Raw_Data!F2002)</f>
        <v>16299.26</v>
      </c>
      <c r="G2002" s="14" t="str">
        <f>IF(ISBLANK(Raw_Data!G2002),AVERAGE(Raw_Data!G$2:G$5002),Raw_Data!G2002)</f>
        <v>14044.64</v>
      </c>
      <c r="H2002" s="15" t="str">
        <f t="shared" si="1"/>
        <v>110981.00</v>
      </c>
      <c r="I2002" s="14" t="str">
        <f t="shared" si="2"/>
        <v>96936.00</v>
      </c>
      <c r="J2002" s="16" t="str">
        <f>TEXT(Raw_Data!J2002,"MMM-YYY")</f>
        <v>Aug-2025</v>
      </c>
      <c r="K2002" s="13" t="str">
        <f>Raw_Data!K2002</f>
        <v>9</v>
      </c>
      <c r="L2002" s="17" t="str">
        <f>Raw_Data!L2002</f>
        <v>Mumbai-HO</v>
      </c>
      <c r="M2002" s="13" t="str">
        <f t="shared" si="3"/>
        <v>OK</v>
      </c>
      <c r="N2002" s="18" t="str">
        <f t="shared" si="4"/>
        <v>VALID</v>
      </c>
    </row>
    <row r="2003" ht="15.75" customHeight="1">
      <c r="A2003" s="13" t="str">
        <f>Raw_Data!A2003</f>
        <v>EMP2101</v>
      </c>
      <c r="B2003" s="13" t="str">
        <f>TRIM(CLEAN(Raw_Data!B2003))</f>
        <v>IT</v>
      </c>
      <c r="C2003" s="18" t="s">
        <v>37</v>
      </c>
      <c r="D2003" s="14" t="str">
        <f>IF(ISBLANK(Raw_Data!D2003),AVERAGE(Raw_Data!D$2:D$5002),Raw_Data!D2003)</f>
        <v>71011.23</v>
      </c>
      <c r="E2003" s="15" t="str">
        <f>IF(ISBLANK(Raw_Data!E2003),AVERAGE(Raw_Data!E$2:E$5002),Raw_Data!E2003)</f>
        <v>23686.15</v>
      </c>
      <c r="F2003" s="15" t="str">
        <f>IF(ISBLANK(Raw_Data!F2003),AVERAGE(Raw_Data!F$2:F$5002),Raw_Data!F2003)</f>
        <v>16306.94</v>
      </c>
      <c r="G2003" s="14" t="str">
        <f>IF(ISBLANK(Raw_Data!G2003),AVERAGE(Raw_Data!G$2:G$5002),Raw_Data!G2003)</f>
        <v>14048.03</v>
      </c>
      <c r="H2003" s="15" t="str">
        <f t="shared" si="1"/>
        <v>111004.00</v>
      </c>
      <c r="I2003" s="14" t="str">
        <f t="shared" si="2"/>
        <v>96956.00</v>
      </c>
      <c r="J2003" s="16" t="str">
        <f>TEXT(Raw_Data!J2003,"MMM-YYY")</f>
        <v>Aug-2025</v>
      </c>
      <c r="K2003" s="13" t="str">
        <f>Raw_Data!K2003</f>
        <v>7</v>
      </c>
      <c r="L2003" s="17" t="str">
        <f>Raw_Data!L2003</f>
        <v>Delhi-North</v>
      </c>
      <c r="M2003" s="13" t="str">
        <f t="shared" si="3"/>
        <v>OK</v>
      </c>
      <c r="N2003" s="18" t="str">
        <f t="shared" si="4"/>
        <v>VALID</v>
      </c>
    </row>
    <row r="2004" ht="15.75" customHeight="1">
      <c r="A2004" s="13" t="str">
        <f>Raw_Data!A2004</f>
        <v>EMP2102</v>
      </c>
      <c r="B2004" s="13" t="str">
        <f>TRIM(CLEAN(Raw_Data!B2004))</f>
        <v>Customer Support</v>
      </c>
      <c r="C2004" s="18" t="s">
        <v>18</v>
      </c>
      <c r="D2004" s="14" t="str">
        <f>IF(ISBLANK(Raw_Data!D2004),AVERAGE(Raw_Data!D$2:D$5002),Raw_Data!D2004)</f>
        <v>71022.11</v>
      </c>
      <c r="E2004" s="15" t="str">
        <f>IF(ISBLANK(Raw_Data!E2004),AVERAGE(Raw_Data!E$2:E$5002),Raw_Data!E2004)</f>
        <v>23690.76</v>
      </c>
      <c r="F2004" s="15" t="str">
        <f>IF(ISBLANK(Raw_Data!F2004),AVERAGE(Raw_Data!F$2:F$5002),Raw_Data!F2004)</f>
        <v>16314.62</v>
      </c>
      <c r="G2004" s="14" t="str">
        <f>IF(ISBLANK(Raw_Data!G2004),AVERAGE(Raw_Data!G$2:G$5002),Raw_Data!G2004)</f>
        <v>14051.43</v>
      </c>
      <c r="H2004" s="15" t="str">
        <f t="shared" si="1"/>
        <v>111027.00</v>
      </c>
      <c r="I2004" s="14" t="str">
        <f t="shared" si="2"/>
        <v>96976.00</v>
      </c>
      <c r="J2004" s="16" t="str">
        <f>TEXT(Raw_Data!J2004,"MMM-YYY")</f>
        <v>Nov-2025</v>
      </c>
      <c r="K2004" s="13" t="str">
        <f>Raw_Data!K2004</f>
        <v>8</v>
      </c>
      <c r="L2004" s="17" t="str">
        <f>Raw_Data!L2004</f>
        <v>Bangalore-South</v>
      </c>
      <c r="M2004" s="13" t="str">
        <f t="shared" si="3"/>
        <v>OK</v>
      </c>
      <c r="N2004" s="18" t="str">
        <f t="shared" si="4"/>
        <v>VALID</v>
      </c>
    </row>
    <row r="2005" ht="15.75" customHeight="1">
      <c r="A2005" s="13" t="str">
        <f>Raw_Data!A2005</f>
        <v>EMP2103</v>
      </c>
      <c r="B2005" s="13" t="str">
        <f>TRIM(CLEAN(Raw_Data!B2005))</f>
        <v>Marketing</v>
      </c>
      <c r="C2005" s="18" t="s">
        <v>14</v>
      </c>
      <c r="D2005" s="14" t="str">
        <f>IF(ISBLANK(Raw_Data!D2005),AVERAGE(Raw_Data!D$2:D$5002),Raw_Data!D2005)</f>
        <v>71032.99</v>
      </c>
      <c r="E2005" s="15" t="str">
        <f>IF(ISBLANK(Raw_Data!E2005),AVERAGE(Raw_Data!E$2:E$5002),Raw_Data!E2005)</f>
        <v>23695.38</v>
      </c>
      <c r="F2005" s="15" t="str">
        <f>IF(ISBLANK(Raw_Data!F2005),AVERAGE(Raw_Data!F$2:F$5002),Raw_Data!F2005)</f>
        <v>16322.30</v>
      </c>
      <c r="G2005" s="14" t="str">
        <f>IF(ISBLANK(Raw_Data!G2005),AVERAGE(Raw_Data!G$2:G$5002),Raw_Data!G2005)</f>
        <v>14054.83</v>
      </c>
      <c r="H2005" s="15" t="str">
        <f t="shared" si="1"/>
        <v>111051.00</v>
      </c>
      <c r="I2005" s="14" t="str">
        <f t="shared" si="2"/>
        <v>96996.00</v>
      </c>
      <c r="J2005" s="16" t="str">
        <f>TEXT(Raw_Data!J2005,"MMM-YYY")</f>
        <v>Feb-2025</v>
      </c>
      <c r="K2005" s="13" t="str">
        <f>Raw_Data!K2005</f>
        <v>24</v>
      </c>
      <c r="L2005" s="17" t="str">
        <f>Raw_Data!L2005</f>
        <v>Chennai-South</v>
      </c>
      <c r="M2005" s="13" t="str">
        <f t="shared" si="3"/>
        <v>OK</v>
      </c>
      <c r="N2005" s="18" t="str">
        <f t="shared" si="4"/>
        <v>VALID</v>
      </c>
    </row>
    <row r="2006" ht="15.75" customHeight="1">
      <c r="A2006" s="13" t="str">
        <f>Raw_Data!A2006</f>
        <v>EMP2104</v>
      </c>
      <c r="B2006" s="13" t="str">
        <f>TRIM(CLEAN(Raw_Data!B2006))</f>
        <v>IT</v>
      </c>
      <c r="C2006" s="18" t="s">
        <v>14</v>
      </c>
      <c r="D2006" s="14" t="str">
        <f>IF(ISBLANK(Raw_Data!D2006),AVERAGE(Raw_Data!D$2:D$5002),Raw_Data!D2006)</f>
        <v>71043.88</v>
      </c>
      <c r="E2006" s="15" t="str">
        <f>IF(ISBLANK(Raw_Data!E2006),AVERAGE(Raw_Data!E$2:E$5002),Raw_Data!E2006)</f>
        <v>23699.99</v>
      </c>
      <c r="F2006" s="15" t="str">
        <f>IF(ISBLANK(Raw_Data!F2006),AVERAGE(Raw_Data!F$2:F$5002),Raw_Data!F2006)</f>
        <v>16329.98</v>
      </c>
      <c r="G2006" s="14" t="str">
        <f>IF(ISBLANK(Raw_Data!G2006),AVERAGE(Raw_Data!G$2:G$5002),Raw_Data!G2006)</f>
        <v>14058.23</v>
      </c>
      <c r="H2006" s="15" t="str">
        <f t="shared" si="1"/>
        <v>111074.00</v>
      </c>
      <c r="I2006" s="14" t="str">
        <f t="shared" si="2"/>
        <v>97016.00</v>
      </c>
      <c r="J2006" s="16" t="str">
        <f>TEXT(Raw_Data!J2006,"MMM-YYY")</f>
        <v>Jul-2025</v>
      </c>
      <c r="K2006" s="13" t="str">
        <f>Raw_Data!K2006</f>
        <v>17</v>
      </c>
      <c r="L2006" s="17" t="str">
        <f>Raw_Data!L2006</f>
        <v>Kolkata-East</v>
      </c>
      <c r="M2006" s="13" t="str">
        <f t="shared" si="3"/>
        <v>OK</v>
      </c>
      <c r="N2006" s="18" t="str">
        <f t="shared" si="4"/>
        <v>VALID</v>
      </c>
    </row>
    <row r="2007" ht="15.75" customHeight="1">
      <c r="A2007" s="13" t="str">
        <f>Raw_Data!A2007</f>
        <v>EMP2106</v>
      </c>
      <c r="B2007" s="13" t="str">
        <f>TRIM(CLEAN(Raw_Data!B2007))</f>
        <v>Operations</v>
      </c>
      <c r="C2007" s="18" t="s">
        <v>37</v>
      </c>
      <c r="D2007" s="14" t="str">
        <f>IF(ISBLANK(Raw_Data!D2007),AVERAGE(Raw_Data!D$2:D$5002),Raw_Data!D2007)</f>
        <v>71065.64</v>
      </c>
      <c r="E2007" s="15" t="str">
        <f>IF(ISBLANK(Raw_Data!E2007),AVERAGE(Raw_Data!E$2:E$5002),Raw_Data!E2007)</f>
        <v>23709.22</v>
      </c>
      <c r="F2007" s="15" t="str">
        <f>IF(ISBLANK(Raw_Data!F2007),AVERAGE(Raw_Data!F$2:F$5002),Raw_Data!F2007)</f>
        <v>16345.34</v>
      </c>
      <c r="G2007" s="14" t="str">
        <f>IF(ISBLANK(Raw_Data!G2007),AVERAGE(Raw_Data!G$2:G$5002),Raw_Data!G2007)</f>
        <v>14065.02</v>
      </c>
      <c r="H2007" s="15" t="str">
        <f t="shared" si="1"/>
        <v>111120.00</v>
      </c>
      <c r="I2007" s="14" t="str">
        <f t="shared" si="2"/>
        <v>97055.00</v>
      </c>
      <c r="J2007" s="16" t="str">
        <f>TEXT(Raw_Data!J2007,"MMM-YYY")</f>
        <v>Nov-2025</v>
      </c>
      <c r="K2007" s="13" t="str">
        <f>Raw_Data!K2007</f>
        <v>19</v>
      </c>
      <c r="L2007" s="17" t="str">
        <f>Raw_Data!L2007</f>
        <v>Hyderabad-South</v>
      </c>
      <c r="M2007" s="13" t="str">
        <f t="shared" si="3"/>
        <v>OK</v>
      </c>
      <c r="N2007" s="18" t="str">
        <f t="shared" si="4"/>
        <v>VALID</v>
      </c>
    </row>
    <row r="2008" ht="15.75" customHeight="1">
      <c r="A2008" s="13" t="str">
        <f>Raw_Data!A2008</f>
        <v>EMP2107</v>
      </c>
      <c r="B2008" s="13" t="str">
        <f>TRIM(CLEAN(Raw_Data!B2008))</f>
        <v>Sales</v>
      </c>
      <c r="C2008" s="18" t="s">
        <v>33</v>
      </c>
      <c r="D2008" s="14" t="str">
        <f>IF(ISBLANK(Raw_Data!D2008),AVERAGE(Raw_Data!D$2:D$5002),Raw_Data!D2008)</f>
        <v>71076.53</v>
      </c>
      <c r="E2008" s="15" t="str">
        <f>IF(ISBLANK(Raw_Data!E2008),AVERAGE(Raw_Data!E$2:E$5002),Raw_Data!E2008)</f>
        <v>23713.84</v>
      </c>
      <c r="F2008" s="15" t="str">
        <f>IF(ISBLANK(Raw_Data!F2008),AVERAGE(Raw_Data!F$2:F$5002),Raw_Data!F2008)</f>
        <v>16353.02</v>
      </c>
      <c r="G2008" s="14" t="str">
        <f>IF(ISBLANK(Raw_Data!G2008),AVERAGE(Raw_Data!G$2:G$5002),Raw_Data!G2008)</f>
        <v>14068.42</v>
      </c>
      <c r="H2008" s="15" t="str">
        <f t="shared" si="1"/>
        <v>111143.00</v>
      </c>
      <c r="I2008" s="14" t="str">
        <f t="shared" si="2"/>
        <v>97075.00</v>
      </c>
      <c r="J2008" s="16" t="str">
        <f>TEXT(Raw_Data!J2008,"MMM-YYY")</f>
        <v>Jun-2025</v>
      </c>
      <c r="K2008" s="13" t="str">
        <f>Raw_Data!K2008</f>
        <v>20</v>
      </c>
      <c r="L2008" s="17" t="str">
        <f>Raw_Data!L2008</f>
        <v>Chandigarh-North</v>
      </c>
      <c r="M2008" s="13" t="str">
        <f t="shared" si="3"/>
        <v>OK</v>
      </c>
      <c r="N2008" s="18" t="str">
        <f t="shared" si="4"/>
        <v>VALID</v>
      </c>
    </row>
    <row r="2009" ht="15.75" customHeight="1">
      <c r="A2009" s="13" t="str">
        <f>Raw_Data!A2009</f>
        <v>EMP2108</v>
      </c>
      <c r="B2009" s="13" t="str">
        <f>TRIM(CLEAN(Raw_Data!B2009))</f>
        <v>Finance</v>
      </c>
      <c r="C2009" s="18" t="s">
        <v>26</v>
      </c>
      <c r="D2009" s="14" t="str">
        <f>IF(ISBLANK(Raw_Data!D2009),AVERAGE(Raw_Data!D$2:D$5002),Raw_Data!D2009)</f>
        <v>71087.41</v>
      </c>
      <c r="E2009" s="15" t="str">
        <f>IF(ISBLANK(Raw_Data!E2009),AVERAGE(Raw_Data!E$2:E$5002),Raw_Data!E2009)</f>
        <v>23718.45</v>
      </c>
      <c r="F2009" s="15" t="str">
        <f>IF(ISBLANK(Raw_Data!F2009),AVERAGE(Raw_Data!F$2:F$5002),Raw_Data!F2009)</f>
        <v>16360.70</v>
      </c>
      <c r="G2009" s="14" t="str">
        <f>IF(ISBLANK(Raw_Data!G2009),AVERAGE(Raw_Data!G$2:G$5002),Raw_Data!G2009)</f>
        <v>14071.82</v>
      </c>
      <c r="H2009" s="15" t="str">
        <f t="shared" si="1"/>
        <v>111167.00</v>
      </c>
      <c r="I2009" s="14" t="str">
        <f t="shared" si="2"/>
        <v>97095.00</v>
      </c>
      <c r="J2009" s="16" t="str">
        <f>TEXT(Raw_Data!J2009,"MMM-YYY")</f>
        <v>May-2025</v>
      </c>
      <c r="K2009" s="13" t="str">
        <f>Raw_Data!K2009</f>
        <v>16</v>
      </c>
      <c r="L2009" s="17" t="str">
        <f>Raw_Data!L2009</f>
        <v>Ahmedabad-West</v>
      </c>
      <c r="M2009" s="13" t="str">
        <f t="shared" si="3"/>
        <v>OK</v>
      </c>
      <c r="N2009" s="18" t="str">
        <f t="shared" si="4"/>
        <v>VALID</v>
      </c>
    </row>
    <row r="2010" ht="15.75" customHeight="1">
      <c r="A2010" s="13" t="str">
        <f>Raw_Data!A2010</f>
        <v>EMP2109</v>
      </c>
      <c r="B2010" s="13" t="str">
        <f>TRIM(CLEAN(Raw_Data!B2010))</f>
        <v>Customer Support</v>
      </c>
      <c r="C2010" s="18" t="s">
        <v>33</v>
      </c>
      <c r="D2010" s="14" t="str">
        <f>IF(ISBLANK(Raw_Data!D2010),AVERAGE(Raw_Data!D$2:D$5002),Raw_Data!D2010)</f>
        <v>71098.29</v>
      </c>
      <c r="E2010" s="15" t="str">
        <f>IF(ISBLANK(Raw_Data!E2010),AVERAGE(Raw_Data!E$2:E$5002),Raw_Data!E2010)</f>
        <v>23723.07</v>
      </c>
      <c r="F2010" s="15" t="str">
        <f>IF(ISBLANK(Raw_Data!F2010),AVERAGE(Raw_Data!F$2:F$5002),Raw_Data!F2010)</f>
        <v>16368.38</v>
      </c>
      <c r="G2010" s="14" t="str">
        <f>IF(ISBLANK(Raw_Data!G2010),AVERAGE(Raw_Data!G$2:G$5002),Raw_Data!G2010)</f>
        <v>14075.21</v>
      </c>
      <c r="H2010" s="15" t="str">
        <f t="shared" si="1"/>
        <v>111190.00</v>
      </c>
      <c r="I2010" s="14" t="str">
        <f t="shared" si="2"/>
        <v>97115.00</v>
      </c>
      <c r="J2010" s="16" t="str">
        <f>TEXT(Raw_Data!J2010,"MMM-YYY")</f>
        <v>Oct-2025</v>
      </c>
      <c r="K2010" s="13" t="str">
        <f>Raw_Data!K2010</f>
        <v>14</v>
      </c>
      <c r="L2010" s="17" t="str">
        <f>Raw_Data!L2010</f>
        <v>Jaipur-North</v>
      </c>
      <c r="M2010" s="13" t="str">
        <f t="shared" si="3"/>
        <v>OK</v>
      </c>
      <c r="N2010" s="18" t="str">
        <f t="shared" si="4"/>
        <v>VALID</v>
      </c>
    </row>
    <row r="2011" ht="15.75" customHeight="1">
      <c r="A2011" s="13" t="str">
        <f>Raw_Data!A2011</f>
        <v>EMP2111</v>
      </c>
      <c r="B2011" s="13" t="str">
        <f>TRIM(CLEAN(Raw_Data!B2011))</f>
        <v>Operations</v>
      </c>
      <c r="C2011" s="18" t="s">
        <v>33</v>
      </c>
      <c r="D2011" s="14" t="str">
        <f>IF(ISBLANK(Raw_Data!D2011),AVERAGE(Raw_Data!D$2:D$5002),Raw_Data!D2011)</f>
        <v>71120.06</v>
      </c>
      <c r="E2011" s="15" t="str">
        <f>IF(ISBLANK(Raw_Data!E2011),AVERAGE(Raw_Data!E$2:E$5002),Raw_Data!E2011)</f>
        <v>23732.29</v>
      </c>
      <c r="F2011" s="15" t="str">
        <f>IF(ISBLANK(Raw_Data!F2011),AVERAGE(Raw_Data!F$2:F$5002),Raw_Data!F2011)</f>
        <v>16383.74</v>
      </c>
      <c r="G2011" s="14" t="str">
        <f>IF(ISBLANK(Raw_Data!G2011),AVERAGE(Raw_Data!G$2:G$5002),Raw_Data!G2011)</f>
        <v>14082.01</v>
      </c>
      <c r="H2011" s="15" t="str">
        <f t="shared" si="1"/>
        <v>111236.00</v>
      </c>
      <c r="I2011" s="14" t="str">
        <f t="shared" si="2"/>
        <v>97154.00</v>
      </c>
      <c r="J2011" s="16" t="str">
        <f>TEXT(Raw_Data!J2011,"MMM-YYY")</f>
        <v>Apr-2025</v>
      </c>
      <c r="K2011" s="13" t="str">
        <f>Raw_Data!K2011</f>
        <v>1</v>
      </c>
      <c r="L2011" s="17" t="str">
        <f>Raw_Data!L2011</f>
        <v>Delhi-North</v>
      </c>
      <c r="M2011" s="13" t="str">
        <f t="shared" si="3"/>
        <v>OK</v>
      </c>
      <c r="N2011" s="18" t="str">
        <f t="shared" si="4"/>
        <v>VALID</v>
      </c>
    </row>
    <row r="2012" ht="15.75" customHeight="1">
      <c r="A2012" s="13" t="str">
        <f>Raw_Data!A2012</f>
        <v>EMP2112</v>
      </c>
      <c r="B2012" s="13" t="str">
        <f>TRIM(CLEAN(Raw_Data!B2012))</f>
        <v>Sales</v>
      </c>
      <c r="C2012" s="18" t="s">
        <v>54</v>
      </c>
      <c r="D2012" s="14" t="str">
        <f>IF(ISBLANK(Raw_Data!D2012),AVERAGE(Raw_Data!D$2:D$5002),Raw_Data!D2012)</f>
        <v>71130.94</v>
      </c>
      <c r="E2012" s="15" t="str">
        <f>IF(ISBLANK(Raw_Data!E2012),AVERAGE(Raw_Data!E$2:E$5002),Raw_Data!E2012)</f>
        <v>23736.91</v>
      </c>
      <c r="F2012" s="15" t="str">
        <f>IF(ISBLANK(Raw_Data!F2012),AVERAGE(Raw_Data!F$2:F$5002),Raw_Data!F2012)</f>
        <v>16391.42</v>
      </c>
      <c r="G2012" s="14" t="str">
        <f>IF(ISBLANK(Raw_Data!G2012),AVERAGE(Raw_Data!G$2:G$5002),Raw_Data!G2012)</f>
        <v>14085.41</v>
      </c>
      <c r="H2012" s="15" t="str">
        <f t="shared" si="1"/>
        <v>111259.00</v>
      </c>
      <c r="I2012" s="14" t="str">
        <f t="shared" si="2"/>
        <v>97174.00</v>
      </c>
      <c r="J2012" s="16" t="str">
        <f>TEXT(Raw_Data!J2012,"MMM-YYY")</f>
        <v>May-2025</v>
      </c>
      <c r="K2012" s="13" t="str">
        <f>Raw_Data!K2012</f>
        <v>6</v>
      </c>
      <c r="L2012" s="17" t="str">
        <f>Raw_Data!L2012</f>
        <v>Bangalore-South</v>
      </c>
      <c r="M2012" s="13" t="str">
        <f t="shared" si="3"/>
        <v>OK</v>
      </c>
      <c r="N2012" s="18" t="str">
        <f t="shared" si="4"/>
        <v>VALID</v>
      </c>
    </row>
    <row r="2013" ht="15.75" customHeight="1">
      <c r="A2013" s="13" t="str">
        <f>Raw_Data!A2013</f>
        <v>EMP2113</v>
      </c>
      <c r="B2013" s="13" t="str">
        <f>TRIM(CLEAN(Raw_Data!B2013))</f>
        <v>Customer Support</v>
      </c>
      <c r="C2013" s="18" t="s">
        <v>54</v>
      </c>
      <c r="D2013" s="14" t="str">
        <f>IF(ISBLANK(Raw_Data!D2013),AVERAGE(Raw_Data!D$2:D$5002),Raw_Data!D2013)</f>
        <v>71141.82</v>
      </c>
      <c r="E2013" s="15" t="str">
        <f>IF(ISBLANK(Raw_Data!E2013),AVERAGE(Raw_Data!E$2:E$5002),Raw_Data!E2013)</f>
        <v>23741.52</v>
      </c>
      <c r="F2013" s="15" t="str">
        <f>IF(ISBLANK(Raw_Data!F2013),AVERAGE(Raw_Data!F$2:F$5002),Raw_Data!F2013)</f>
        <v>16399.10</v>
      </c>
      <c r="G2013" s="14" t="str">
        <f>IF(ISBLANK(Raw_Data!G2013),AVERAGE(Raw_Data!G$2:G$5002),Raw_Data!G2013)</f>
        <v>14088.80</v>
      </c>
      <c r="H2013" s="15" t="str">
        <f t="shared" si="1"/>
        <v>111282.00</v>
      </c>
      <c r="I2013" s="14" t="str">
        <f t="shared" si="2"/>
        <v>97193.00</v>
      </c>
      <c r="J2013" s="16" t="str">
        <f>TEXT(Raw_Data!J2013,"MMM-YYY")</f>
        <v>May-2025</v>
      </c>
      <c r="K2013" s="13" t="str">
        <f>Raw_Data!K2013</f>
        <v>5</v>
      </c>
      <c r="L2013" s="17" t="str">
        <f>Raw_Data!L2013</f>
        <v>Chennai-South</v>
      </c>
      <c r="M2013" s="13" t="str">
        <f t="shared" si="3"/>
        <v>OK</v>
      </c>
      <c r="N2013" s="18" t="str">
        <f t="shared" si="4"/>
        <v>VALID</v>
      </c>
    </row>
    <row r="2014" ht="15.75" customHeight="1">
      <c r="A2014" s="13" t="str">
        <f>Raw_Data!A2014</f>
        <v>EMP2114</v>
      </c>
      <c r="B2014" s="13" t="str">
        <f>TRIM(CLEAN(Raw_Data!B2014))</f>
        <v>HR</v>
      </c>
      <c r="C2014" s="18" t="s">
        <v>26</v>
      </c>
      <c r="D2014" s="14" t="str">
        <f>IF(ISBLANK(Raw_Data!D2014),AVERAGE(Raw_Data!D$2:D$5002),Raw_Data!D2014)</f>
        <v>71152.71</v>
      </c>
      <c r="E2014" s="15" t="str">
        <f>IF(ISBLANK(Raw_Data!E2014),AVERAGE(Raw_Data!E$2:E$5002),Raw_Data!E2014)</f>
        <v>23746.14</v>
      </c>
      <c r="F2014" s="15" t="str">
        <f>IF(ISBLANK(Raw_Data!F2014),AVERAGE(Raw_Data!F$2:F$5002),Raw_Data!F2014)</f>
        <v>16406.78</v>
      </c>
      <c r="G2014" s="14" t="str">
        <f>IF(ISBLANK(Raw_Data!G2014),AVERAGE(Raw_Data!G$2:G$5002),Raw_Data!G2014)</f>
        <v>14092.20</v>
      </c>
      <c r="H2014" s="15" t="str">
        <f t="shared" si="1"/>
        <v>111306.00</v>
      </c>
      <c r="I2014" s="14" t="str">
        <f t="shared" si="2"/>
        <v>97214.00</v>
      </c>
      <c r="J2014" s="16" t="str">
        <f>TEXT(Raw_Data!J2014,"MMM-YYY")</f>
        <v>Aug-2025</v>
      </c>
      <c r="K2014" s="13" t="str">
        <f>Raw_Data!K2014</f>
        <v>23</v>
      </c>
      <c r="L2014" s="17" t="str">
        <f>Raw_Data!L2014</f>
        <v>Kolkata-East</v>
      </c>
      <c r="M2014" s="13" t="str">
        <f t="shared" si="3"/>
        <v>OK</v>
      </c>
      <c r="N2014" s="18" t="str">
        <f t="shared" si="4"/>
        <v>VALID</v>
      </c>
    </row>
    <row r="2015" ht="15.75" customHeight="1">
      <c r="A2015" s="13" t="str">
        <f>Raw_Data!A2015</f>
        <v>EMP2115</v>
      </c>
      <c r="B2015" s="13" t="str">
        <f>TRIM(CLEAN(Raw_Data!B2015))</f>
        <v>Marketing</v>
      </c>
      <c r="C2015" s="18" t="s">
        <v>37</v>
      </c>
      <c r="D2015" s="14" t="str">
        <f>IF(ISBLANK(Raw_Data!D2015),AVERAGE(Raw_Data!D$2:D$5002),Raw_Data!D2015)</f>
        <v>71163.59</v>
      </c>
      <c r="E2015" s="15" t="str">
        <f>IF(ISBLANK(Raw_Data!E2015),AVERAGE(Raw_Data!E$2:E$5002),Raw_Data!E2015)</f>
        <v>23750.75</v>
      </c>
      <c r="F2015" s="15" t="str">
        <f>IF(ISBLANK(Raw_Data!F2015),AVERAGE(Raw_Data!F$2:F$5002),Raw_Data!F2015)</f>
        <v>16414.46</v>
      </c>
      <c r="G2015" s="14" t="str">
        <f>IF(ISBLANK(Raw_Data!G2015),AVERAGE(Raw_Data!G$2:G$5002),Raw_Data!G2015)</f>
        <v>14095.60</v>
      </c>
      <c r="H2015" s="15" t="str">
        <f t="shared" si="1"/>
        <v>111329.00</v>
      </c>
      <c r="I2015" s="14" t="str">
        <f t="shared" si="2"/>
        <v>97233.00</v>
      </c>
      <c r="J2015" s="16" t="str">
        <f>TEXT(Raw_Data!J2015,"MMM-YYY")</f>
        <v>Jan-2025</v>
      </c>
      <c r="K2015" s="13" t="str">
        <f>Raw_Data!K2015</f>
        <v>21</v>
      </c>
      <c r="L2015" s="17" t="str">
        <f>Raw_Data!L2015</f>
        <v>Pune-West</v>
      </c>
      <c r="M2015" s="13" t="str">
        <f t="shared" si="3"/>
        <v>OK</v>
      </c>
      <c r="N2015" s="18" t="str">
        <f t="shared" si="4"/>
        <v>VALID</v>
      </c>
    </row>
    <row r="2016" ht="15.75" customHeight="1">
      <c r="A2016" s="13" t="str">
        <f>Raw_Data!A2016</f>
        <v>EMP2116</v>
      </c>
      <c r="B2016" s="13" t="str">
        <f>TRIM(CLEAN(Raw_Data!B2016))</f>
        <v>IT</v>
      </c>
      <c r="C2016" s="18" t="s">
        <v>14</v>
      </c>
      <c r="D2016" s="14" t="str">
        <f>IF(ISBLANK(Raw_Data!D2016),AVERAGE(Raw_Data!D$2:D$5002),Raw_Data!D2016)</f>
        <v>71174.47</v>
      </c>
      <c r="E2016" s="15" t="str">
        <f>IF(ISBLANK(Raw_Data!E2016),AVERAGE(Raw_Data!E$2:E$5002),Raw_Data!E2016)</f>
        <v>23755.37</v>
      </c>
      <c r="F2016" s="15" t="str">
        <f>IF(ISBLANK(Raw_Data!F2016),AVERAGE(Raw_Data!F$2:F$5002),Raw_Data!F2016)</f>
        <v>16422.14</v>
      </c>
      <c r="G2016" s="14" t="str">
        <f>IF(ISBLANK(Raw_Data!G2016),AVERAGE(Raw_Data!G$2:G$5002),Raw_Data!G2016)</f>
        <v>14099.00</v>
      </c>
      <c r="H2016" s="15" t="str">
        <f t="shared" si="1"/>
        <v>111352.00</v>
      </c>
      <c r="I2016" s="14" t="str">
        <f t="shared" si="2"/>
        <v>97253.00</v>
      </c>
      <c r="J2016" s="16" t="str">
        <f>TEXT(Raw_Data!J2016,"MMM-YYY")</f>
        <v>Apr-2025</v>
      </c>
      <c r="K2016" s="13" t="str">
        <f>Raw_Data!K2016</f>
        <v>21</v>
      </c>
      <c r="L2016" s="17" t="str">
        <f>Raw_Data!L2016</f>
        <v>Hyderabad-South</v>
      </c>
      <c r="M2016" s="13" t="str">
        <f t="shared" si="3"/>
        <v>OK</v>
      </c>
      <c r="N2016" s="18" t="str">
        <f t="shared" si="4"/>
        <v>VALID</v>
      </c>
    </row>
    <row r="2017" ht="15.75" customHeight="1">
      <c r="A2017" s="13" t="str">
        <f>Raw_Data!A2017</f>
        <v>EMP2118</v>
      </c>
      <c r="B2017" s="13" t="str">
        <f>TRIM(CLEAN(Raw_Data!B2017))</f>
        <v>Finance</v>
      </c>
      <c r="C2017" s="18" t="s">
        <v>33</v>
      </c>
      <c r="D2017" s="14" t="str">
        <f>IF(ISBLANK(Raw_Data!D2017),AVERAGE(Raw_Data!D$2:D$5002),Raw_Data!D2017)</f>
        <v>71196.24</v>
      </c>
      <c r="E2017" s="15" t="str">
        <f>IF(ISBLANK(Raw_Data!E2017),AVERAGE(Raw_Data!E$2:E$5002),Raw_Data!E2017)</f>
        <v>23764.60</v>
      </c>
      <c r="F2017" s="15" t="str">
        <f>IF(ISBLANK(Raw_Data!F2017),AVERAGE(Raw_Data!F$2:F$5002),Raw_Data!F2017)</f>
        <v>16437.50</v>
      </c>
      <c r="G2017" s="14" t="str">
        <f>IF(ISBLANK(Raw_Data!G2017),AVERAGE(Raw_Data!G$2:G$5002),Raw_Data!G2017)</f>
        <v>14105.79</v>
      </c>
      <c r="H2017" s="15" t="str">
        <f t="shared" si="1"/>
        <v>111398.00</v>
      </c>
      <c r="I2017" s="14" t="str">
        <f t="shared" si="2"/>
        <v>97292.00</v>
      </c>
      <c r="J2017" s="16" t="str">
        <f>TEXT(Raw_Data!J2017,"MMM-YYY")</f>
        <v>Oct-2025</v>
      </c>
      <c r="K2017" s="13" t="str">
        <f>Raw_Data!K2017</f>
        <v>3</v>
      </c>
      <c r="L2017" s="17" t="str">
        <f>Raw_Data!L2017</f>
        <v>Ahmedabad-West</v>
      </c>
      <c r="M2017" s="13" t="str">
        <f t="shared" si="3"/>
        <v>OK</v>
      </c>
      <c r="N2017" s="18" t="str">
        <f t="shared" si="4"/>
        <v>VALID</v>
      </c>
    </row>
    <row r="2018" ht="15.75" customHeight="1">
      <c r="A2018" s="13" t="str">
        <f>Raw_Data!A2018</f>
        <v>EMP2119</v>
      </c>
      <c r="B2018" s="13" t="str">
        <f>TRIM(CLEAN(Raw_Data!B2018))</f>
        <v>HR</v>
      </c>
      <c r="C2018" s="18" t="s">
        <v>18</v>
      </c>
      <c r="D2018" s="14" t="str">
        <f>IF(ISBLANK(Raw_Data!D2018),AVERAGE(Raw_Data!D$2:D$5002),Raw_Data!D2018)</f>
        <v>71207.12</v>
      </c>
      <c r="E2018" s="15" t="str">
        <f>IF(ISBLANK(Raw_Data!E2018),AVERAGE(Raw_Data!E$2:E$5002),Raw_Data!E2018)</f>
        <v>23769.21</v>
      </c>
      <c r="F2018" s="15" t="str">
        <f>IF(ISBLANK(Raw_Data!F2018),AVERAGE(Raw_Data!F$2:F$5002),Raw_Data!F2018)</f>
        <v>16445.18</v>
      </c>
      <c r="G2018" s="14" t="str">
        <f>IF(ISBLANK(Raw_Data!G2018),AVERAGE(Raw_Data!G$2:G$5002),Raw_Data!G2018)</f>
        <v>14109.19</v>
      </c>
      <c r="H2018" s="15" t="str">
        <f t="shared" si="1"/>
        <v>111422.00</v>
      </c>
      <c r="I2018" s="14" t="str">
        <f t="shared" si="2"/>
        <v>97313.00</v>
      </c>
      <c r="J2018" s="16" t="str">
        <f>TEXT(Raw_Data!J2018,"MMM-YYY")</f>
        <v>May-2025</v>
      </c>
      <c r="K2018" s="13" t="str">
        <f>Raw_Data!K2018</f>
        <v>8</v>
      </c>
      <c r="L2018" s="17" t="str">
        <f>Raw_Data!L2018</f>
        <v>Jaipur-North</v>
      </c>
      <c r="M2018" s="13" t="str">
        <f t="shared" si="3"/>
        <v>OK</v>
      </c>
      <c r="N2018" s="18" t="str">
        <f t="shared" si="4"/>
        <v>VALID</v>
      </c>
    </row>
    <row r="2019" ht="15.75" customHeight="1">
      <c r="A2019" s="13" t="str">
        <f>Raw_Data!A2019</f>
        <v>EMP2120</v>
      </c>
      <c r="B2019" s="13" t="str">
        <f>TRIM(CLEAN(Raw_Data!B2019))</f>
        <v>Customer Support</v>
      </c>
      <c r="C2019" s="18" t="s">
        <v>26</v>
      </c>
      <c r="D2019" s="14" t="str">
        <f>IF(ISBLANK(Raw_Data!D2019),AVERAGE(Raw_Data!D$2:D$5002),Raw_Data!D2019)</f>
        <v>71218.01</v>
      </c>
      <c r="E2019" s="15" t="str">
        <f>IF(ISBLANK(Raw_Data!E2019),AVERAGE(Raw_Data!E$2:E$5002),Raw_Data!E2019)</f>
        <v>23773.83</v>
      </c>
      <c r="F2019" s="15" t="str">
        <f>IF(ISBLANK(Raw_Data!F2019),AVERAGE(Raw_Data!F$2:F$5002),Raw_Data!F2019)</f>
        <v>16452.86</v>
      </c>
      <c r="G2019" s="14" t="str">
        <f>IF(ISBLANK(Raw_Data!G2019),AVERAGE(Raw_Data!G$2:G$5002),Raw_Data!G2019)</f>
        <v>14112.59</v>
      </c>
      <c r="H2019" s="15" t="str">
        <f t="shared" si="1"/>
        <v>111445.00</v>
      </c>
      <c r="I2019" s="14" t="str">
        <f t="shared" si="2"/>
        <v>97332.00</v>
      </c>
      <c r="J2019" s="16" t="str">
        <f>TEXT(Raw_Data!J2019,"MMM-YYY")</f>
        <v>Nov-2025</v>
      </c>
      <c r="K2019" s="13" t="str">
        <f>Raw_Data!K2019</f>
        <v>11</v>
      </c>
      <c r="L2019" s="17" t="str">
        <f>Raw_Data!L2019</f>
        <v>Mumbai-HO</v>
      </c>
      <c r="M2019" s="13" t="str">
        <f t="shared" si="3"/>
        <v>OK</v>
      </c>
      <c r="N2019" s="18" t="str">
        <f t="shared" si="4"/>
        <v>VALID</v>
      </c>
    </row>
    <row r="2020" ht="15.75" customHeight="1">
      <c r="A2020" s="13" t="str">
        <f>Raw_Data!A2020</f>
        <v>EMP2121</v>
      </c>
      <c r="B2020" s="13" t="str">
        <f>TRIM(CLEAN(Raw_Data!B2020))</f>
        <v>Marketing</v>
      </c>
      <c r="C2020" s="18" t="s">
        <v>33</v>
      </c>
      <c r="D2020" s="14" t="str">
        <f>IF(ISBLANK(Raw_Data!D2020),AVERAGE(Raw_Data!D$2:D$5002),Raw_Data!D2020)</f>
        <v>71228.89</v>
      </c>
      <c r="E2020" s="15" t="str">
        <f>IF(ISBLANK(Raw_Data!E2020),AVERAGE(Raw_Data!E$2:E$5002),Raw_Data!E2020)</f>
        <v>23778.44</v>
      </c>
      <c r="F2020" s="15" t="str">
        <f>IF(ISBLANK(Raw_Data!F2020),AVERAGE(Raw_Data!F$2:F$5002),Raw_Data!F2020)</f>
        <v>16460.54</v>
      </c>
      <c r="G2020" s="14" t="str">
        <f>IF(ISBLANK(Raw_Data!G2020),AVERAGE(Raw_Data!G$2:G$5002),Raw_Data!G2020)</f>
        <v>14115.98</v>
      </c>
      <c r="H2020" s="15" t="str">
        <f t="shared" si="1"/>
        <v>111468.00</v>
      </c>
      <c r="I2020" s="14" t="str">
        <f t="shared" si="2"/>
        <v>97352.00</v>
      </c>
      <c r="J2020" s="16" t="str">
        <f>TEXT(Raw_Data!J2020,"MMM-YYY")</f>
        <v>Jun-2025</v>
      </c>
      <c r="K2020" s="13" t="str">
        <f>Raw_Data!K2020</f>
        <v>17</v>
      </c>
      <c r="L2020" s="17" t="str">
        <f>Raw_Data!L2020</f>
        <v>Delhi-North</v>
      </c>
      <c r="M2020" s="13" t="str">
        <f t="shared" si="3"/>
        <v>OK</v>
      </c>
      <c r="N2020" s="18" t="str">
        <f t="shared" si="4"/>
        <v>VALID</v>
      </c>
    </row>
    <row r="2021" ht="15.75" customHeight="1">
      <c r="A2021" s="13" t="str">
        <f>Raw_Data!A2021</f>
        <v>EMP2122</v>
      </c>
      <c r="B2021" s="13" t="str">
        <f>TRIM(CLEAN(Raw_Data!B2021))</f>
        <v>Marketing</v>
      </c>
      <c r="C2021" s="18" t="s">
        <v>14</v>
      </c>
      <c r="D2021" s="14" t="str">
        <f>IF(ISBLANK(Raw_Data!D2021),AVERAGE(Raw_Data!D$2:D$5002),Raw_Data!D2021)</f>
        <v>71239.77</v>
      </c>
      <c r="E2021" s="15" t="str">
        <f>IF(ISBLANK(Raw_Data!E2021),AVERAGE(Raw_Data!E$2:E$5002),Raw_Data!E2021)</f>
        <v>23783.06</v>
      </c>
      <c r="F2021" s="15" t="str">
        <f>IF(ISBLANK(Raw_Data!F2021),AVERAGE(Raw_Data!F$2:F$5002),Raw_Data!F2021)</f>
        <v>16468.22</v>
      </c>
      <c r="G2021" s="14" t="str">
        <f>IF(ISBLANK(Raw_Data!G2021),AVERAGE(Raw_Data!G$2:G$5002),Raw_Data!G2021)</f>
        <v>14119.38</v>
      </c>
      <c r="H2021" s="15" t="str">
        <f t="shared" si="1"/>
        <v>111491.00</v>
      </c>
      <c r="I2021" s="14" t="str">
        <f t="shared" si="2"/>
        <v>97372.00</v>
      </c>
      <c r="J2021" s="16" t="str">
        <f>TEXT(Raw_Data!J2021,"MMM-YYY")</f>
        <v>Feb-2025</v>
      </c>
      <c r="K2021" s="13" t="str">
        <f>Raw_Data!K2021</f>
        <v>21</v>
      </c>
      <c r="L2021" s="17" t="str">
        <f>Raw_Data!L2021</f>
        <v>Bangalore-South</v>
      </c>
      <c r="M2021" s="13" t="str">
        <f t="shared" si="3"/>
        <v>OK</v>
      </c>
      <c r="N2021" s="18" t="str">
        <f t="shared" si="4"/>
        <v>VALID</v>
      </c>
    </row>
    <row r="2022" ht="15.75" customHeight="1">
      <c r="A2022" s="13" t="str">
        <f>Raw_Data!A2022</f>
        <v>EMP2123</v>
      </c>
      <c r="B2022" s="13" t="str">
        <f>TRIM(CLEAN(Raw_Data!B2022))</f>
        <v>HR</v>
      </c>
      <c r="C2022" s="18" t="s">
        <v>26</v>
      </c>
      <c r="D2022" s="14" t="str">
        <f>IF(ISBLANK(Raw_Data!D2022),AVERAGE(Raw_Data!D$2:D$5002),Raw_Data!D2022)</f>
        <v>71250.65</v>
      </c>
      <c r="E2022" s="15" t="str">
        <f>IF(ISBLANK(Raw_Data!E2022),AVERAGE(Raw_Data!E$2:E$5002),Raw_Data!E2022)</f>
        <v>23787.67</v>
      </c>
      <c r="F2022" s="15" t="str">
        <f>IF(ISBLANK(Raw_Data!F2022),AVERAGE(Raw_Data!F$2:F$5002),Raw_Data!F2022)</f>
        <v>16475.90</v>
      </c>
      <c r="G2022" s="14" t="str">
        <f>IF(ISBLANK(Raw_Data!G2022),AVERAGE(Raw_Data!G$2:G$5002),Raw_Data!G2022)</f>
        <v>14122.78</v>
      </c>
      <c r="H2022" s="15" t="str">
        <f t="shared" si="1"/>
        <v>111514.00</v>
      </c>
      <c r="I2022" s="14" t="str">
        <f t="shared" si="2"/>
        <v>97391.00</v>
      </c>
      <c r="J2022" s="16" t="str">
        <f>TEXT(Raw_Data!J2022,"MMM-YYY")</f>
        <v>Feb-2025</v>
      </c>
      <c r="K2022" s="13" t="str">
        <f>Raw_Data!K2022</f>
        <v>6</v>
      </c>
      <c r="L2022" s="17" t="str">
        <f>Raw_Data!L2022</f>
        <v>Chennai-South</v>
      </c>
      <c r="M2022" s="13" t="str">
        <f t="shared" si="3"/>
        <v>OK</v>
      </c>
      <c r="N2022" s="18" t="str">
        <f t="shared" si="4"/>
        <v>VALID</v>
      </c>
    </row>
    <row r="2023" ht="15.75" customHeight="1">
      <c r="A2023" s="13" t="str">
        <f>Raw_Data!A2023</f>
        <v>EMP2124</v>
      </c>
      <c r="B2023" s="13" t="str">
        <f>TRIM(CLEAN(Raw_Data!B2023))</f>
        <v>IT</v>
      </c>
      <c r="C2023" s="18" t="s">
        <v>54</v>
      </c>
      <c r="D2023" s="14" t="str">
        <f>IF(ISBLANK(Raw_Data!D2023),AVERAGE(Raw_Data!D$2:D$5002),Raw_Data!D2023)</f>
        <v>71261.54</v>
      </c>
      <c r="E2023" s="15" t="str">
        <f>IF(ISBLANK(Raw_Data!E2023),AVERAGE(Raw_Data!E$2:E$5002),Raw_Data!E2023)</f>
        <v>23792.29</v>
      </c>
      <c r="F2023" s="15" t="str">
        <f>IF(ISBLANK(Raw_Data!F2023),AVERAGE(Raw_Data!F$2:F$5002),Raw_Data!F2023)</f>
        <v>16483.58</v>
      </c>
      <c r="G2023" s="14" t="str">
        <f>IF(ISBLANK(Raw_Data!G2023),AVERAGE(Raw_Data!G$2:G$5002),Raw_Data!G2023)</f>
        <v>14126.18</v>
      </c>
      <c r="H2023" s="15" t="str">
        <f t="shared" si="1"/>
        <v>111537.00</v>
      </c>
      <c r="I2023" s="14" t="str">
        <f t="shared" si="2"/>
        <v>97411.00</v>
      </c>
      <c r="J2023" s="16" t="str">
        <f>TEXT(Raw_Data!J2023,"MMM-YYY")</f>
        <v>Aug-2025</v>
      </c>
      <c r="K2023" s="13" t="str">
        <f>Raw_Data!K2023</f>
        <v>19</v>
      </c>
      <c r="L2023" s="17" t="str">
        <f>Raw_Data!L2023</f>
        <v>Kolkata-East</v>
      </c>
      <c r="M2023" s="13" t="str">
        <f t="shared" si="3"/>
        <v>OK</v>
      </c>
      <c r="N2023" s="18" t="str">
        <f t="shared" si="4"/>
        <v>VALID</v>
      </c>
    </row>
    <row r="2024" ht="15.75" customHeight="1">
      <c r="A2024" s="13" t="str">
        <f>Raw_Data!A2024</f>
        <v>EMP2125</v>
      </c>
      <c r="B2024" s="13" t="str">
        <f>TRIM(CLEAN(Raw_Data!B2024))</f>
        <v>Finance</v>
      </c>
      <c r="C2024" s="18" t="s">
        <v>30</v>
      </c>
      <c r="D2024" s="14" t="str">
        <f>IF(ISBLANK(Raw_Data!D2024),AVERAGE(Raw_Data!D$2:D$5002),Raw_Data!D2024)</f>
        <v>71272.42</v>
      </c>
      <c r="E2024" s="15" t="str">
        <f>IF(ISBLANK(Raw_Data!E2024),AVERAGE(Raw_Data!E$2:E$5002),Raw_Data!E2024)</f>
        <v>23796.90</v>
      </c>
      <c r="F2024" s="15" t="str">
        <f>IF(ISBLANK(Raw_Data!F2024),AVERAGE(Raw_Data!F$2:F$5002),Raw_Data!F2024)</f>
        <v>16491.26</v>
      </c>
      <c r="G2024" s="14" t="str">
        <f>IF(ISBLANK(Raw_Data!G2024),AVERAGE(Raw_Data!G$2:G$5002),Raw_Data!G2024)</f>
        <v>14129.57</v>
      </c>
      <c r="H2024" s="15" t="str">
        <f t="shared" si="1"/>
        <v>111561.00</v>
      </c>
      <c r="I2024" s="14" t="str">
        <f t="shared" si="2"/>
        <v>97431.00</v>
      </c>
      <c r="J2024" s="16" t="str">
        <f>TEXT(Raw_Data!J2024,"MMM-YYY")</f>
        <v>Mar-2025</v>
      </c>
      <c r="K2024" s="13" t="str">
        <f>Raw_Data!K2024</f>
        <v>12</v>
      </c>
      <c r="L2024" s="17" t="str">
        <f>Raw_Data!L2024</f>
        <v>Pune-West</v>
      </c>
      <c r="M2024" s="13" t="str">
        <f t="shared" si="3"/>
        <v>OK</v>
      </c>
      <c r="N2024" s="18" t="str">
        <f t="shared" si="4"/>
        <v>VALID</v>
      </c>
    </row>
    <row r="2025" ht="15.75" customHeight="1">
      <c r="A2025" s="13" t="str">
        <f>Raw_Data!A2025</f>
        <v>EMP2126</v>
      </c>
      <c r="B2025" s="13" t="str">
        <f>TRIM(CLEAN(Raw_Data!B2025))</f>
        <v>IT</v>
      </c>
      <c r="C2025" s="18" t="s">
        <v>54</v>
      </c>
      <c r="D2025" s="14" t="str">
        <f>IF(ISBLANK(Raw_Data!D2025),AVERAGE(Raw_Data!D$2:D$5002),Raw_Data!D2025)</f>
        <v>71283.30</v>
      </c>
      <c r="E2025" s="15" t="str">
        <f>IF(ISBLANK(Raw_Data!E2025),AVERAGE(Raw_Data!E$2:E$5002),Raw_Data!E2025)</f>
        <v>23801.52</v>
      </c>
      <c r="F2025" s="15" t="str">
        <f>IF(ISBLANK(Raw_Data!F2025),AVERAGE(Raw_Data!F$2:F$5002),Raw_Data!F2025)</f>
        <v>16498.94</v>
      </c>
      <c r="G2025" s="14" t="str">
        <f>IF(ISBLANK(Raw_Data!G2025),AVERAGE(Raw_Data!G$2:G$5002),Raw_Data!G2025)</f>
        <v>14132.97</v>
      </c>
      <c r="H2025" s="15" t="str">
        <f t="shared" si="1"/>
        <v>111584.00</v>
      </c>
      <c r="I2025" s="14" t="str">
        <f t="shared" si="2"/>
        <v>97451.00</v>
      </c>
      <c r="J2025" s="16" t="str">
        <f>TEXT(Raw_Data!J2025,"MMM-YYY")</f>
        <v>Apr-2025</v>
      </c>
      <c r="K2025" s="13" t="str">
        <f>Raw_Data!K2025</f>
        <v>9</v>
      </c>
      <c r="L2025" s="17" t="str">
        <f>Raw_Data!L2025</f>
        <v>Hyderabad-South</v>
      </c>
      <c r="M2025" s="13" t="str">
        <f t="shared" si="3"/>
        <v>OK</v>
      </c>
      <c r="N2025" s="18" t="str">
        <f t="shared" si="4"/>
        <v>VALID</v>
      </c>
    </row>
    <row r="2026" ht="15.75" customHeight="1">
      <c r="A2026" s="13" t="str">
        <f>Raw_Data!A2026</f>
        <v>EMP2127</v>
      </c>
      <c r="B2026" s="13" t="str">
        <f>TRIM(CLEAN(Raw_Data!B2026))</f>
        <v>HR</v>
      </c>
      <c r="C2026" s="18" t="s">
        <v>14</v>
      </c>
      <c r="D2026" s="14" t="str">
        <f>IF(ISBLANK(Raw_Data!D2026),AVERAGE(Raw_Data!D$2:D$5002),Raw_Data!D2026)</f>
        <v>71294.19</v>
      </c>
      <c r="E2026" s="15" t="str">
        <f>IF(ISBLANK(Raw_Data!E2026),AVERAGE(Raw_Data!E$2:E$5002),Raw_Data!E2026)</f>
        <v>23806.13</v>
      </c>
      <c r="F2026" s="15" t="str">
        <f>IF(ISBLANK(Raw_Data!F2026),AVERAGE(Raw_Data!F$2:F$5002),Raw_Data!F2026)</f>
        <v>16506.62</v>
      </c>
      <c r="G2026" s="14" t="str">
        <f>IF(ISBLANK(Raw_Data!G2026),AVERAGE(Raw_Data!G$2:G$5002),Raw_Data!G2026)</f>
        <v>14136.37</v>
      </c>
      <c r="H2026" s="15" t="str">
        <f t="shared" si="1"/>
        <v>111607.00</v>
      </c>
      <c r="I2026" s="14" t="str">
        <f t="shared" si="2"/>
        <v>97471.00</v>
      </c>
      <c r="J2026" s="16" t="str">
        <f>TEXT(Raw_Data!J2026,"MMM-YYY")</f>
        <v>Dec-2025</v>
      </c>
      <c r="K2026" s="13" t="str">
        <f>Raw_Data!K2026</f>
        <v>12</v>
      </c>
      <c r="L2026" s="17" t="str">
        <f>Raw_Data!L2026</f>
        <v>Chandigarh-North</v>
      </c>
      <c r="M2026" s="13" t="str">
        <f t="shared" si="3"/>
        <v>OK</v>
      </c>
      <c r="N2026" s="18" t="str">
        <f t="shared" si="4"/>
        <v>VALID</v>
      </c>
    </row>
    <row r="2027" ht="15.75" customHeight="1">
      <c r="A2027" s="13" t="str">
        <f>Raw_Data!A2027</f>
        <v>EMP2129</v>
      </c>
      <c r="B2027" s="13" t="str">
        <f>TRIM(CLEAN(Raw_Data!B2027))</f>
        <v>Finance</v>
      </c>
      <c r="C2027" s="18" t="s">
        <v>14</v>
      </c>
      <c r="D2027" s="14" t="str">
        <f>IF(ISBLANK(Raw_Data!D2027),AVERAGE(Raw_Data!D$2:D$5002),Raw_Data!D2027)</f>
        <v>71315.95</v>
      </c>
      <c r="E2027" s="15" t="str">
        <f>IF(ISBLANK(Raw_Data!E2027),AVERAGE(Raw_Data!E$2:E$5002),Raw_Data!E2027)</f>
        <v>23815.36</v>
      </c>
      <c r="F2027" s="15" t="str">
        <f>IF(ISBLANK(Raw_Data!F2027),AVERAGE(Raw_Data!F$2:F$5002),Raw_Data!F2027)</f>
        <v>16521.98</v>
      </c>
      <c r="G2027" s="14" t="str">
        <f>IF(ISBLANK(Raw_Data!G2027),AVERAGE(Raw_Data!G$2:G$5002),Raw_Data!G2027)</f>
        <v>14143.16</v>
      </c>
      <c r="H2027" s="15" t="str">
        <f t="shared" si="1"/>
        <v>111653.00</v>
      </c>
      <c r="I2027" s="14" t="str">
        <f t="shared" si="2"/>
        <v>97510.00</v>
      </c>
      <c r="J2027" s="16" t="str">
        <f>TEXT(Raw_Data!J2027,"MMM-YYY")</f>
        <v>Apr-2025</v>
      </c>
      <c r="K2027" s="13" t="str">
        <f>Raw_Data!K2027</f>
        <v>1</v>
      </c>
      <c r="L2027" s="17" t="str">
        <f>Raw_Data!L2027</f>
        <v>Jaipur-North</v>
      </c>
      <c r="M2027" s="13" t="str">
        <f t="shared" si="3"/>
        <v>OK</v>
      </c>
      <c r="N2027" s="18" t="str">
        <f t="shared" si="4"/>
        <v>VALID</v>
      </c>
    </row>
    <row r="2028" ht="15.75" customHeight="1">
      <c r="A2028" s="13" t="str">
        <f>Raw_Data!A2028</f>
        <v>EMP2130</v>
      </c>
      <c r="B2028" s="13" t="str">
        <f>TRIM(CLEAN(Raw_Data!B2028))</f>
        <v>Finance</v>
      </c>
      <c r="C2028" s="18" t="s">
        <v>30</v>
      </c>
      <c r="D2028" s="14" t="str">
        <f>IF(ISBLANK(Raw_Data!D2028),AVERAGE(Raw_Data!D$2:D$5002),Raw_Data!D2028)</f>
        <v>71326.84</v>
      </c>
      <c r="E2028" s="15" t="str">
        <f>IF(ISBLANK(Raw_Data!E2028),AVERAGE(Raw_Data!E$2:E$5002),Raw_Data!E2028)</f>
        <v>23819.97</v>
      </c>
      <c r="F2028" s="15" t="str">
        <f>IF(ISBLANK(Raw_Data!F2028),AVERAGE(Raw_Data!F$2:F$5002),Raw_Data!F2028)</f>
        <v>16529.66</v>
      </c>
      <c r="G2028" s="14" t="str">
        <f>IF(ISBLANK(Raw_Data!G2028),AVERAGE(Raw_Data!G$2:G$5002),Raw_Data!G2028)</f>
        <v>14146.56</v>
      </c>
      <c r="H2028" s="15" t="str">
        <f t="shared" si="1"/>
        <v>111676.00</v>
      </c>
      <c r="I2028" s="14" t="str">
        <f t="shared" si="2"/>
        <v>97529.00</v>
      </c>
      <c r="J2028" s="16" t="str">
        <f>TEXT(Raw_Data!J2028,"MMM-YYY")</f>
        <v>Nov-2025</v>
      </c>
      <c r="K2028" s="13" t="str">
        <f>Raw_Data!K2028</f>
        <v>10</v>
      </c>
      <c r="L2028" s="17" t="str">
        <f>Raw_Data!L2028</f>
        <v>Mumbai-HO</v>
      </c>
      <c r="M2028" s="13" t="str">
        <f t="shared" si="3"/>
        <v>OK</v>
      </c>
      <c r="N2028" s="18" t="str">
        <f t="shared" si="4"/>
        <v>VALID</v>
      </c>
    </row>
    <row r="2029" ht="15.75" customHeight="1">
      <c r="A2029" s="13" t="str">
        <f>Raw_Data!A2029</f>
        <v>EMP2131</v>
      </c>
      <c r="B2029" s="13" t="str">
        <f>TRIM(CLEAN(Raw_Data!B2029))</f>
        <v>Marketing</v>
      </c>
      <c r="C2029" s="18" t="s">
        <v>30</v>
      </c>
      <c r="D2029" s="14" t="str">
        <f>IF(ISBLANK(Raw_Data!D2029),AVERAGE(Raw_Data!D$2:D$5002),Raw_Data!D2029)</f>
        <v>71337.72</v>
      </c>
      <c r="E2029" s="15" t="str">
        <f>IF(ISBLANK(Raw_Data!E2029),AVERAGE(Raw_Data!E$2:E$5002),Raw_Data!E2029)</f>
        <v>23824.59</v>
      </c>
      <c r="F2029" s="15" t="str">
        <f>IF(ISBLANK(Raw_Data!F2029),AVERAGE(Raw_Data!F$2:F$5002),Raw_Data!F2029)</f>
        <v>16537.34</v>
      </c>
      <c r="G2029" s="14" t="str">
        <f>IF(ISBLANK(Raw_Data!G2029),AVERAGE(Raw_Data!G$2:G$5002),Raw_Data!G2029)</f>
        <v>14149.96</v>
      </c>
      <c r="H2029" s="15" t="str">
        <f t="shared" si="1"/>
        <v>111700.00</v>
      </c>
      <c r="I2029" s="14" t="str">
        <f t="shared" si="2"/>
        <v>97550.00</v>
      </c>
      <c r="J2029" s="16" t="str">
        <f>TEXT(Raw_Data!J2029,"MMM-YYY")</f>
        <v>Aug-2025</v>
      </c>
      <c r="K2029" s="13" t="str">
        <f>Raw_Data!K2029</f>
        <v>21</v>
      </c>
      <c r="L2029" s="17" t="str">
        <f>Raw_Data!L2029</f>
        <v>Delhi-North</v>
      </c>
      <c r="M2029" s="13" t="str">
        <f t="shared" si="3"/>
        <v>OK</v>
      </c>
      <c r="N2029" s="18" t="str">
        <f t="shared" si="4"/>
        <v>VALID</v>
      </c>
    </row>
    <row r="2030" ht="15.75" customHeight="1">
      <c r="A2030" s="13" t="str">
        <f>Raw_Data!A2030</f>
        <v>EMP2132</v>
      </c>
      <c r="B2030" s="13" t="str">
        <f>TRIM(CLEAN(Raw_Data!B2030))</f>
        <v>Sales</v>
      </c>
      <c r="C2030" s="18" t="s">
        <v>54</v>
      </c>
      <c r="D2030" s="14" t="str">
        <f>IF(ISBLANK(Raw_Data!D2030),AVERAGE(Raw_Data!D$2:D$5002),Raw_Data!D2030)</f>
        <v>71348.60</v>
      </c>
      <c r="E2030" s="15" t="str">
        <f>IF(ISBLANK(Raw_Data!E2030),AVERAGE(Raw_Data!E$2:E$5002),Raw_Data!E2030)</f>
        <v>23829.20</v>
      </c>
      <c r="F2030" s="15" t="str">
        <f>IF(ISBLANK(Raw_Data!F2030),AVERAGE(Raw_Data!F$2:F$5002),Raw_Data!F2030)</f>
        <v>16545.02</v>
      </c>
      <c r="G2030" s="14" t="str">
        <f>IF(ISBLANK(Raw_Data!G2030),AVERAGE(Raw_Data!G$2:G$5002),Raw_Data!G2030)</f>
        <v>14153.36</v>
      </c>
      <c r="H2030" s="15" t="str">
        <f t="shared" si="1"/>
        <v>111723.00</v>
      </c>
      <c r="I2030" s="14" t="str">
        <f t="shared" si="2"/>
        <v>97570.00</v>
      </c>
      <c r="J2030" s="16" t="str">
        <f>TEXT(Raw_Data!J2030,"MMM-YYY")</f>
        <v>Apr-2025</v>
      </c>
      <c r="K2030" s="13" t="str">
        <f>Raw_Data!K2030</f>
        <v>11</v>
      </c>
      <c r="L2030" s="17" t="str">
        <f>Raw_Data!L2030</f>
        <v>Bangalore-South</v>
      </c>
      <c r="M2030" s="13" t="str">
        <f t="shared" si="3"/>
        <v>OK</v>
      </c>
      <c r="N2030" s="18" t="str">
        <f t="shared" si="4"/>
        <v>VALID</v>
      </c>
    </row>
    <row r="2031" ht="15.75" customHeight="1">
      <c r="A2031" s="13" t="str">
        <f>Raw_Data!A2031</f>
        <v>EMP2134</v>
      </c>
      <c r="B2031" s="13" t="str">
        <f>TRIM(CLEAN(Raw_Data!B2031))</f>
        <v>HR</v>
      </c>
      <c r="C2031" s="18" t="s">
        <v>26</v>
      </c>
      <c r="D2031" s="14" t="str">
        <f>IF(ISBLANK(Raw_Data!D2031),AVERAGE(Raw_Data!D$2:D$5002),Raw_Data!D2031)</f>
        <v>71370.37</v>
      </c>
      <c r="E2031" s="15" t="str">
        <f>IF(ISBLANK(Raw_Data!E2031),AVERAGE(Raw_Data!E$2:E$5002),Raw_Data!E2031)</f>
        <v>23838.43</v>
      </c>
      <c r="F2031" s="15" t="str">
        <f>IF(ISBLANK(Raw_Data!F2031),AVERAGE(Raw_Data!F$2:F$5002),Raw_Data!F2031)</f>
        <v>16560.38</v>
      </c>
      <c r="G2031" s="14" t="str">
        <f>IF(ISBLANK(Raw_Data!G2031),AVERAGE(Raw_Data!G$2:G$5002),Raw_Data!G2031)</f>
        <v>14160.15</v>
      </c>
      <c r="H2031" s="15" t="str">
        <f t="shared" si="1"/>
        <v>111769.00</v>
      </c>
      <c r="I2031" s="14" t="str">
        <f t="shared" si="2"/>
        <v>97609.00</v>
      </c>
      <c r="J2031" s="16" t="str">
        <f>TEXT(Raw_Data!J2031,"MMM-YYY")</f>
        <v>Oct-2025</v>
      </c>
      <c r="K2031" s="13" t="str">
        <f>Raw_Data!K2031</f>
        <v>2</v>
      </c>
      <c r="L2031" s="17" t="str">
        <f>Raw_Data!L2031</f>
        <v>Kolkata-East</v>
      </c>
      <c r="M2031" s="13" t="str">
        <f t="shared" si="3"/>
        <v>OK</v>
      </c>
      <c r="N2031" s="18" t="str">
        <f t="shared" si="4"/>
        <v>VALID</v>
      </c>
    </row>
    <row r="2032" ht="15.75" customHeight="1">
      <c r="A2032" s="13" t="str">
        <f>Raw_Data!A2032</f>
        <v>EMP2135</v>
      </c>
      <c r="B2032" s="13" t="str">
        <f>TRIM(CLEAN(Raw_Data!B2032))</f>
        <v>Operations</v>
      </c>
      <c r="C2032" s="18" t="s">
        <v>30</v>
      </c>
      <c r="D2032" s="14" t="str">
        <f>IF(ISBLANK(Raw_Data!D2032),AVERAGE(Raw_Data!D$2:D$5002),Raw_Data!D2032)</f>
        <v>71381.25</v>
      </c>
      <c r="E2032" s="15" t="str">
        <f>IF(ISBLANK(Raw_Data!E2032),AVERAGE(Raw_Data!E$2:E$5002),Raw_Data!E2032)</f>
        <v>23843.05</v>
      </c>
      <c r="F2032" s="15" t="str">
        <f>IF(ISBLANK(Raw_Data!F2032),AVERAGE(Raw_Data!F$2:F$5002),Raw_Data!F2032)</f>
        <v>16568.06</v>
      </c>
      <c r="G2032" s="14" t="str">
        <f>IF(ISBLANK(Raw_Data!G2032),AVERAGE(Raw_Data!G$2:G$5002),Raw_Data!G2032)</f>
        <v>14163.55</v>
      </c>
      <c r="H2032" s="15" t="str">
        <f t="shared" si="1"/>
        <v>111792.00</v>
      </c>
      <c r="I2032" s="14" t="str">
        <f t="shared" si="2"/>
        <v>97628.00</v>
      </c>
      <c r="J2032" s="16" t="str">
        <f>TEXT(Raw_Data!J2032,"MMM-YYY")</f>
        <v>Feb-2025</v>
      </c>
      <c r="K2032" s="13" t="str">
        <f>Raw_Data!K2032</f>
        <v>5</v>
      </c>
      <c r="L2032" s="17" t="str">
        <f>Raw_Data!L2032</f>
        <v>Pune-West</v>
      </c>
      <c r="M2032" s="13" t="str">
        <f t="shared" si="3"/>
        <v>OK</v>
      </c>
      <c r="N2032" s="18" t="str">
        <f t="shared" si="4"/>
        <v>VALID</v>
      </c>
    </row>
    <row r="2033" ht="15.75" customHeight="1">
      <c r="A2033" s="13" t="str">
        <f>Raw_Data!A2033</f>
        <v>EMP2137</v>
      </c>
      <c r="B2033" s="13" t="str">
        <f>TRIM(CLEAN(Raw_Data!B2033))</f>
        <v>Finance</v>
      </c>
      <c r="C2033" s="18" t="s">
        <v>14</v>
      </c>
      <c r="D2033" s="14" t="str">
        <f>IF(ISBLANK(Raw_Data!D2033),AVERAGE(Raw_Data!D$2:D$5002),Raw_Data!D2033)</f>
        <v>71403.02</v>
      </c>
      <c r="E2033" s="15" t="str">
        <f>IF(ISBLANK(Raw_Data!E2033),AVERAGE(Raw_Data!E$2:E$5002),Raw_Data!E2033)</f>
        <v>23852.28</v>
      </c>
      <c r="F2033" s="15" t="str">
        <f>IF(ISBLANK(Raw_Data!F2033),AVERAGE(Raw_Data!F$2:F$5002),Raw_Data!F2033)</f>
        <v>16583.42</v>
      </c>
      <c r="G2033" s="14" t="str">
        <f>IF(ISBLANK(Raw_Data!G2033),AVERAGE(Raw_Data!G$2:G$5002),Raw_Data!G2033)</f>
        <v>14170.34</v>
      </c>
      <c r="H2033" s="15" t="str">
        <f t="shared" si="1"/>
        <v>111839.00</v>
      </c>
      <c r="I2033" s="14" t="str">
        <f t="shared" si="2"/>
        <v>97669.00</v>
      </c>
      <c r="J2033" s="16" t="str">
        <f>TEXT(Raw_Data!J2033,"MMM-YYY")</f>
        <v>Feb-2025</v>
      </c>
      <c r="K2033" s="13" t="str">
        <f>Raw_Data!K2033</f>
        <v>15</v>
      </c>
      <c r="L2033" s="17" t="str">
        <f>Raw_Data!L2033</f>
        <v>Chandigarh-North</v>
      </c>
      <c r="M2033" s="13" t="str">
        <f t="shared" si="3"/>
        <v>OK</v>
      </c>
      <c r="N2033" s="18" t="str">
        <f t="shared" si="4"/>
        <v>VALID</v>
      </c>
    </row>
    <row r="2034" ht="15.75" customHeight="1">
      <c r="A2034" s="13" t="str">
        <f>Raw_Data!A2034</f>
        <v>EMP2138</v>
      </c>
      <c r="B2034" s="13" t="str">
        <f>TRIM(CLEAN(Raw_Data!B2034))</f>
        <v>HR</v>
      </c>
      <c r="C2034" s="18" t="s">
        <v>54</v>
      </c>
      <c r="D2034" s="14" t="str">
        <f>IF(ISBLANK(Raw_Data!D2034),AVERAGE(Raw_Data!D$2:D$5002),Raw_Data!D2034)</f>
        <v>71413.90</v>
      </c>
      <c r="E2034" s="15" t="str">
        <f>IF(ISBLANK(Raw_Data!E2034),AVERAGE(Raw_Data!E$2:E$5002),Raw_Data!E2034)</f>
        <v>23856.89</v>
      </c>
      <c r="F2034" s="15" t="str">
        <f>IF(ISBLANK(Raw_Data!F2034),AVERAGE(Raw_Data!F$2:F$5002),Raw_Data!F2034)</f>
        <v>16591.10</v>
      </c>
      <c r="G2034" s="14" t="str">
        <f>IF(ISBLANK(Raw_Data!G2034),AVERAGE(Raw_Data!G$2:G$5002),Raw_Data!G2034)</f>
        <v>14173.74</v>
      </c>
      <c r="H2034" s="15" t="str">
        <f t="shared" si="1"/>
        <v>111862.00</v>
      </c>
      <c r="I2034" s="14" t="str">
        <f t="shared" si="2"/>
        <v>97688.00</v>
      </c>
      <c r="J2034" s="16" t="str">
        <f>TEXT(Raw_Data!J2034,"MMM-YYY")</f>
        <v>Jun-2025</v>
      </c>
      <c r="K2034" s="13" t="str">
        <f>Raw_Data!K2034</f>
        <v>6</v>
      </c>
      <c r="L2034" s="17" t="str">
        <f>Raw_Data!L2034</f>
        <v>Ahmedabad-West</v>
      </c>
      <c r="M2034" s="13" t="str">
        <f t="shared" si="3"/>
        <v>OK</v>
      </c>
      <c r="N2034" s="18" t="str">
        <f t="shared" si="4"/>
        <v>VALID</v>
      </c>
    </row>
    <row r="2035" ht="15.75" customHeight="1">
      <c r="A2035" s="13" t="str">
        <f>Raw_Data!A2035</f>
        <v>EMP2140</v>
      </c>
      <c r="B2035" s="13" t="str">
        <f>TRIM(CLEAN(Raw_Data!B2035))</f>
        <v>Customer Support</v>
      </c>
      <c r="C2035" s="18" t="s">
        <v>54</v>
      </c>
      <c r="D2035" s="14" t="str">
        <f>IF(ISBLANK(Raw_Data!D2035),AVERAGE(Raw_Data!D$2:D$5002),Raw_Data!D2035)</f>
        <v>71435.66</v>
      </c>
      <c r="E2035" s="15" t="str">
        <f>IF(ISBLANK(Raw_Data!E2035),AVERAGE(Raw_Data!E$2:E$5002),Raw_Data!E2035)</f>
        <v>23866.12</v>
      </c>
      <c r="F2035" s="15" t="str">
        <f>IF(ISBLANK(Raw_Data!F2035),AVERAGE(Raw_Data!F$2:F$5002),Raw_Data!F2035)</f>
        <v>16606.46</v>
      </c>
      <c r="G2035" s="14" t="str">
        <f>IF(ISBLANK(Raw_Data!G2035),AVERAGE(Raw_Data!G$2:G$5002),Raw_Data!G2035)</f>
        <v>14180.54</v>
      </c>
      <c r="H2035" s="15" t="str">
        <f t="shared" si="1"/>
        <v>111908.00</v>
      </c>
      <c r="I2035" s="14" t="str">
        <f t="shared" si="2"/>
        <v>97727.00</v>
      </c>
      <c r="J2035" s="16" t="str">
        <f>TEXT(Raw_Data!J2035,"MMM-YYY")</f>
        <v>May-2025</v>
      </c>
      <c r="K2035" s="13" t="str">
        <f>Raw_Data!K2035</f>
        <v>21</v>
      </c>
      <c r="L2035" s="17" t="str">
        <f>Raw_Data!L2035</f>
        <v>Mumbai-HO</v>
      </c>
      <c r="M2035" s="13" t="str">
        <f t="shared" si="3"/>
        <v>OK</v>
      </c>
      <c r="N2035" s="18" t="str">
        <f t="shared" si="4"/>
        <v>VALID</v>
      </c>
    </row>
    <row r="2036" ht="15.75" customHeight="1">
      <c r="A2036" s="13" t="str">
        <f>Raw_Data!A2036</f>
        <v>EMP2141</v>
      </c>
      <c r="B2036" s="13" t="str">
        <f>TRIM(CLEAN(Raw_Data!B2036))</f>
        <v>Finance</v>
      </c>
      <c r="C2036" s="18" t="s">
        <v>54</v>
      </c>
      <c r="D2036" s="14" t="str">
        <f>IF(ISBLANK(Raw_Data!D2036),AVERAGE(Raw_Data!D$2:D$5002),Raw_Data!D2036)</f>
        <v>71446.55</v>
      </c>
      <c r="E2036" s="15" t="str">
        <f>IF(ISBLANK(Raw_Data!E2036),AVERAGE(Raw_Data!E$2:E$5002),Raw_Data!E2036)</f>
        <v>23870.74</v>
      </c>
      <c r="F2036" s="15" t="str">
        <f>IF(ISBLANK(Raw_Data!F2036),AVERAGE(Raw_Data!F$2:F$5002),Raw_Data!F2036)</f>
        <v>16614.14</v>
      </c>
      <c r="G2036" s="14" t="str">
        <f>IF(ISBLANK(Raw_Data!G2036),AVERAGE(Raw_Data!G$2:G$5002),Raw_Data!G2036)</f>
        <v>14183.93</v>
      </c>
      <c r="H2036" s="15" t="str">
        <f t="shared" si="1"/>
        <v>111931.00</v>
      </c>
      <c r="I2036" s="14" t="str">
        <f t="shared" si="2"/>
        <v>97747.00</v>
      </c>
      <c r="J2036" s="16" t="str">
        <f>TEXT(Raw_Data!J2036,"MMM-YYY")</f>
        <v>Jun-2025</v>
      </c>
      <c r="K2036" s="13" t="str">
        <f>Raw_Data!K2036</f>
        <v>1</v>
      </c>
      <c r="L2036" s="17" t="str">
        <f>Raw_Data!L2036</f>
        <v>Delhi-North</v>
      </c>
      <c r="M2036" s="13" t="str">
        <f t="shared" si="3"/>
        <v>OK</v>
      </c>
      <c r="N2036" s="18" t="str">
        <f t="shared" si="4"/>
        <v>VALID</v>
      </c>
    </row>
    <row r="2037" ht="15.75" customHeight="1">
      <c r="A2037" s="13" t="str">
        <f>Raw_Data!A2037</f>
        <v>EMP2142</v>
      </c>
      <c r="B2037" s="13" t="str">
        <f>TRIM(CLEAN(Raw_Data!B2037))</f>
        <v>Operations</v>
      </c>
      <c r="C2037" s="18" t="s">
        <v>37</v>
      </c>
      <c r="D2037" s="14" t="str">
        <f>IF(ISBLANK(Raw_Data!D2037),AVERAGE(Raw_Data!D$2:D$5002),Raw_Data!D2037)</f>
        <v>71457.43</v>
      </c>
      <c r="E2037" s="15" t="str">
        <f>IF(ISBLANK(Raw_Data!E2037),AVERAGE(Raw_Data!E$2:E$5002),Raw_Data!E2037)</f>
        <v>23875.35</v>
      </c>
      <c r="F2037" s="15" t="str">
        <f>IF(ISBLANK(Raw_Data!F2037),AVERAGE(Raw_Data!F$2:F$5002),Raw_Data!F2037)</f>
        <v>16621.82</v>
      </c>
      <c r="G2037" s="14" t="str">
        <f>IF(ISBLANK(Raw_Data!G2037),AVERAGE(Raw_Data!G$2:G$5002),Raw_Data!G2037)</f>
        <v>14187.33</v>
      </c>
      <c r="H2037" s="15" t="str">
        <f t="shared" si="1"/>
        <v>111955.00</v>
      </c>
      <c r="I2037" s="14" t="str">
        <f t="shared" si="2"/>
        <v>97768.00</v>
      </c>
      <c r="J2037" s="16" t="str">
        <f>TEXT(Raw_Data!J2037,"MMM-YYY")</f>
        <v>Sep-2025</v>
      </c>
      <c r="K2037" s="13" t="str">
        <f>Raw_Data!K2037</f>
        <v>17</v>
      </c>
      <c r="L2037" s="17" t="str">
        <f>Raw_Data!L2037</f>
        <v>Bangalore-South</v>
      </c>
      <c r="M2037" s="13" t="str">
        <f t="shared" si="3"/>
        <v>OK</v>
      </c>
      <c r="N2037" s="18" t="str">
        <f t="shared" si="4"/>
        <v>VALID</v>
      </c>
    </row>
    <row r="2038" ht="15.75" customHeight="1">
      <c r="A2038" s="13" t="str">
        <f>Raw_Data!A2038</f>
        <v>EMP2143</v>
      </c>
      <c r="B2038" s="13" t="str">
        <f>TRIM(CLEAN(Raw_Data!B2038))</f>
        <v>Sales</v>
      </c>
      <c r="C2038" s="18" t="s">
        <v>26</v>
      </c>
      <c r="D2038" s="14" t="str">
        <f>IF(ISBLANK(Raw_Data!D2038),AVERAGE(Raw_Data!D$2:D$5002),Raw_Data!D2038)</f>
        <v>71468.31</v>
      </c>
      <c r="E2038" s="15" t="str">
        <f>IF(ISBLANK(Raw_Data!E2038),AVERAGE(Raw_Data!E$2:E$5002),Raw_Data!E2038)</f>
        <v>23879.97</v>
      </c>
      <c r="F2038" s="15" t="str">
        <f>IF(ISBLANK(Raw_Data!F2038),AVERAGE(Raw_Data!F$2:F$5002),Raw_Data!F2038)</f>
        <v>16629.50</v>
      </c>
      <c r="G2038" s="14" t="str">
        <f>IF(ISBLANK(Raw_Data!G2038),AVERAGE(Raw_Data!G$2:G$5002),Raw_Data!G2038)</f>
        <v>14190.73</v>
      </c>
      <c r="H2038" s="15" t="str">
        <f t="shared" si="1"/>
        <v>111978.00</v>
      </c>
      <c r="I2038" s="14" t="str">
        <f t="shared" si="2"/>
        <v>97787.00</v>
      </c>
      <c r="J2038" s="16" t="str">
        <f>TEXT(Raw_Data!J2038,"MMM-YYY")</f>
        <v>Sep-2025</v>
      </c>
      <c r="K2038" s="13" t="str">
        <f>Raw_Data!K2038</f>
        <v>9</v>
      </c>
      <c r="L2038" s="17" t="str">
        <f>Raw_Data!L2038</f>
        <v>Chennai-South</v>
      </c>
      <c r="M2038" s="13" t="str">
        <f t="shared" si="3"/>
        <v>OK</v>
      </c>
      <c r="N2038" s="18" t="str">
        <f t="shared" si="4"/>
        <v>VALID</v>
      </c>
    </row>
    <row r="2039" ht="15.75" customHeight="1">
      <c r="A2039" s="13" t="str">
        <f>Raw_Data!A2039</f>
        <v>EMP2144</v>
      </c>
      <c r="B2039" s="13" t="s">
        <v>51</v>
      </c>
      <c r="C2039" s="18" t="s">
        <v>37</v>
      </c>
      <c r="D2039" s="14" t="str">
        <f>IF(ISBLANK(Raw_Data!D2039),AVERAGE(Raw_Data!D$2:D$5002),Raw_Data!D2039)</f>
        <v>71479.20</v>
      </c>
      <c r="E2039" s="15" t="str">
        <f>IF(ISBLANK(Raw_Data!E2039),AVERAGE(Raw_Data!E$2:E$5002),Raw_Data!E2039)</f>
        <v>23884.58</v>
      </c>
      <c r="F2039" s="15" t="str">
        <f>IF(ISBLANK(Raw_Data!F2039),AVERAGE(Raw_Data!F$2:F$5002),Raw_Data!F2039)</f>
        <v>16637.18</v>
      </c>
      <c r="G2039" s="14" t="str">
        <f>IF(ISBLANK(Raw_Data!G2039),AVERAGE(Raw_Data!G$2:G$5002),Raw_Data!G2039)</f>
        <v>14194.13</v>
      </c>
      <c r="H2039" s="15" t="str">
        <f t="shared" si="1"/>
        <v>112001.00</v>
      </c>
      <c r="I2039" s="14" t="str">
        <f t="shared" si="2"/>
        <v>97807.00</v>
      </c>
      <c r="J2039" s="16" t="str">
        <f>TEXT(Raw_Data!J2039,"MMM-YYY")</f>
        <v>Mar-2025</v>
      </c>
      <c r="K2039" s="13" t="str">
        <f>Raw_Data!K2039</f>
        <v>17</v>
      </c>
      <c r="L2039" s="17" t="str">
        <f>Raw_Data!L2039</f>
        <v>Kolkata-East</v>
      </c>
      <c r="M2039" s="13" t="str">
        <f t="shared" si="3"/>
        <v>OK</v>
      </c>
      <c r="N2039" s="18" t="str">
        <f t="shared" si="4"/>
        <v>VALID</v>
      </c>
    </row>
    <row r="2040" ht="15.75" customHeight="1">
      <c r="A2040" s="13" t="str">
        <f>Raw_Data!A2040</f>
        <v>EMP2145</v>
      </c>
      <c r="B2040" s="13" t="str">
        <f>TRIM(CLEAN(Raw_Data!B2040))</f>
        <v>IT</v>
      </c>
      <c r="C2040" s="18" t="s">
        <v>37</v>
      </c>
      <c r="D2040" s="14" t="str">
        <f>IF(ISBLANK(Raw_Data!D2040),AVERAGE(Raw_Data!D$2:D$5002),Raw_Data!D2040)</f>
        <v>71490.08</v>
      </c>
      <c r="E2040" s="15" t="str">
        <f>IF(ISBLANK(Raw_Data!E2040),AVERAGE(Raw_Data!E$2:E$5002),Raw_Data!E2040)</f>
        <v>23889.19</v>
      </c>
      <c r="F2040" s="15" t="str">
        <f>IF(ISBLANK(Raw_Data!F2040),AVERAGE(Raw_Data!F$2:F$5002),Raw_Data!F2040)</f>
        <v>16644.86</v>
      </c>
      <c r="G2040" s="14" t="str">
        <f>IF(ISBLANK(Raw_Data!G2040),AVERAGE(Raw_Data!G$2:G$5002),Raw_Data!G2040)</f>
        <v>14197.53</v>
      </c>
      <c r="H2040" s="15" t="str">
        <f t="shared" si="1"/>
        <v>112024.00</v>
      </c>
      <c r="I2040" s="14" t="str">
        <f t="shared" si="2"/>
        <v>97826.00</v>
      </c>
      <c r="J2040" s="16" t="str">
        <f>TEXT(Raw_Data!J2040,"MMM-YYY")</f>
        <v>Dec-2025</v>
      </c>
      <c r="K2040" s="13" t="str">
        <f>Raw_Data!K2040</f>
        <v>25</v>
      </c>
      <c r="L2040" s="17" t="str">
        <f>Raw_Data!L2040</f>
        <v>Pune-West</v>
      </c>
      <c r="M2040" s="13" t="str">
        <f t="shared" si="3"/>
        <v>OK</v>
      </c>
      <c r="N2040" s="18" t="str">
        <f t="shared" si="4"/>
        <v>VALID</v>
      </c>
    </row>
    <row r="2041" ht="15.75" customHeight="1">
      <c r="A2041" s="13" t="str">
        <f>Raw_Data!A2041</f>
        <v>EMP2147</v>
      </c>
      <c r="B2041" s="13" t="str">
        <f>TRIM(CLEAN(Raw_Data!B2041))</f>
        <v>HR</v>
      </c>
      <c r="C2041" s="18" t="s">
        <v>33</v>
      </c>
      <c r="D2041" s="14" t="str">
        <f>IF(ISBLANK(Raw_Data!D2041),AVERAGE(Raw_Data!D$2:D$5002),Raw_Data!D2041)</f>
        <v>71511.85</v>
      </c>
      <c r="E2041" s="15" t="str">
        <f>IF(ISBLANK(Raw_Data!E2041),AVERAGE(Raw_Data!E$2:E$5002),Raw_Data!E2041)</f>
        <v>23898.42</v>
      </c>
      <c r="F2041" s="15" t="str">
        <f>IF(ISBLANK(Raw_Data!F2041),AVERAGE(Raw_Data!F$2:F$5002),Raw_Data!F2041)</f>
        <v>16660.22</v>
      </c>
      <c r="G2041" s="14" t="str">
        <f>IF(ISBLANK(Raw_Data!G2041),AVERAGE(Raw_Data!G$2:G$5002),Raw_Data!G2041)</f>
        <v>14562.73</v>
      </c>
      <c r="H2041" s="15" t="str">
        <f t="shared" si="1"/>
        <v>112070.00</v>
      </c>
      <c r="I2041" s="14" t="str">
        <f t="shared" si="2"/>
        <v>97507.00</v>
      </c>
      <c r="J2041" s="16" t="str">
        <f>TEXT(Raw_Data!J2041,"MMM-YYY")</f>
        <v>Nov-2025</v>
      </c>
      <c r="K2041" s="13" t="str">
        <f>Raw_Data!K2041</f>
        <v>1</v>
      </c>
      <c r="L2041" s="17" t="str">
        <f>Raw_Data!L2041</f>
        <v>Chandigarh-North</v>
      </c>
      <c r="M2041" s="13" t="str">
        <f t="shared" si="3"/>
        <v>OK</v>
      </c>
      <c r="N2041" s="18" t="str">
        <f t="shared" si="4"/>
        <v>VALID</v>
      </c>
    </row>
    <row r="2042" ht="15.75" customHeight="1">
      <c r="A2042" s="13" t="str">
        <f>Raw_Data!A2042</f>
        <v>EMP2148</v>
      </c>
      <c r="B2042" s="13" t="str">
        <f>TRIM(CLEAN(Raw_Data!B2042))</f>
        <v>Marketing</v>
      </c>
      <c r="C2042" s="18" t="s">
        <v>14</v>
      </c>
      <c r="D2042" s="14" t="str">
        <f>IF(ISBLANK(Raw_Data!D2042),AVERAGE(Raw_Data!D$2:D$5002),Raw_Data!D2042)</f>
        <v>71522.73</v>
      </c>
      <c r="E2042" s="15" t="str">
        <f>IF(ISBLANK(Raw_Data!E2042),AVERAGE(Raw_Data!E$2:E$5002),Raw_Data!E2042)</f>
        <v>23903.04</v>
      </c>
      <c r="F2042" s="15" t="str">
        <f>IF(ISBLANK(Raw_Data!F2042),AVERAGE(Raw_Data!F$2:F$5002),Raw_Data!F2042)</f>
        <v>16667.90</v>
      </c>
      <c r="G2042" s="14" t="str">
        <f>IF(ISBLANK(Raw_Data!G2042),AVERAGE(Raw_Data!G$2:G$5002),Raw_Data!G2042)</f>
        <v>14207.72</v>
      </c>
      <c r="H2042" s="15" t="str">
        <f t="shared" si="1"/>
        <v>112094.00</v>
      </c>
      <c r="I2042" s="14" t="str">
        <f t="shared" si="2"/>
        <v>97886.00</v>
      </c>
      <c r="J2042" s="16" t="str">
        <f>TEXT(Raw_Data!J2042,"MMM-YYY")</f>
        <v>Mar-2025</v>
      </c>
      <c r="K2042" s="13" t="str">
        <f>Raw_Data!K2042</f>
        <v>21</v>
      </c>
      <c r="L2042" s="17" t="str">
        <f>Raw_Data!L2042</f>
        <v>Ahmedabad-West</v>
      </c>
      <c r="M2042" s="13" t="str">
        <f t="shared" si="3"/>
        <v>OK</v>
      </c>
      <c r="N2042" s="18" t="str">
        <f t="shared" si="4"/>
        <v>VALID</v>
      </c>
    </row>
    <row r="2043" ht="15.75" customHeight="1">
      <c r="A2043" s="13" t="str">
        <f>Raw_Data!A2043</f>
        <v>EMP2149</v>
      </c>
      <c r="B2043" s="13" t="str">
        <f>TRIM(CLEAN(Raw_Data!B2043))</f>
        <v>IT</v>
      </c>
      <c r="C2043" s="18" t="s">
        <v>37</v>
      </c>
      <c r="D2043" s="14" t="str">
        <f>IF(ISBLANK(Raw_Data!D2043),AVERAGE(Raw_Data!D$2:D$5002),Raw_Data!D2043)</f>
        <v>71533.61</v>
      </c>
      <c r="E2043" s="15" t="str">
        <f>IF(ISBLANK(Raw_Data!E2043),AVERAGE(Raw_Data!E$2:E$5002),Raw_Data!E2043)</f>
        <v>23907.65</v>
      </c>
      <c r="F2043" s="15" t="str">
        <f>IF(ISBLANK(Raw_Data!F2043),AVERAGE(Raw_Data!F$2:F$5002),Raw_Data!F2043)</f>
        <v>16675.58</v>
      </c>
      <c r="G2043" s="14" t="str">
        <f>IF(ISBLANK(Raw_Data!G2043),AVERAGE(Raw_Data!G$2:G$5002),Raw_Data!G2043)</f>
        <v>14211.12</v>
      </c>
      <c r="H2043" s="15" t="str">
        <f t="shared" si="1"/>
        <v>112117.00</v>
      </c>
      <c r="I2043" s="14" t="str">
        <f t="shared" si="2"/>
        <v>97906.00</v>
      </c>
      <c r="J2043" s="16" t="str">
        <f>TEXT(Raw_Data!J2043,"MMM-YYY")</f>
        <v>Jan-2025</v>
      </c>
      <c r="K2043" s="13" t="str">
        <f>Raw_Data!K2043</f>
        <v>4</v>
      </c>
      <c r="L2043" s="17" t="str">
        <f>Raw_Data!L2043</f>
        <v>Jaipur-North</v>
      </c>
      <c r="M2043" s="13" t="str">
        <f t="shared" si="3"/>
        <v>OK</v>
      </c>
      <c r="N2043" s="18" t="str">
        <f t="shared" si="4"/>
        <v>VALID</v>
      </c>
    </row>
    <row r="2044" ht="15.75" customHeight="1">
      <c r="A2044" s="13" t="str">
        <f>Raw_Data!A2044</f>
        <v>EMP2150</v>
      </c>
      <c r="B2044" s="13" t="str">
        <f>TRIM(CLEAN(Raw_Data!B2044))</f>
        <v>Finance</v>
      </c>
      <c r="C2044" s="18" t="s">
        <v>33</v>
      </c>
      <c r="D2044" s="14" t="str">
        <f>IF(ISBLANK(Raw_Data!D2044),AVERAGE(Raw_Data!D$2:D$5002),Raw_Data!D2044)</f>
        <v>71544.49</v>
      </c>
      <c r="E2044" s="15" t="str">
        <f>IF(ISBLANK(Raw_Data!E2044),AVERAGE(Raw_Data!E$2:E$5002),Raw_Data!E2044)</f>
        <v>23912.27</v>
      </c>
      <c r="F2044" s="15" t="str">
        <f>IF(ISBLANK(Raw_Data!F2044),AVERAGE(Raw_Data!F$2:F$5002),Raw_Data!F2044)</f>
        <v>16683.26</v>
      </c>
      <c r="G2044" s="14" t="str">
        <f>IF(ISBLANK(Raw_Data!G2044),AVERAGE(Raw_Data!G$2:G$5002),Raw_Data!G2044)</f>
        <v>14214.51</v>
      </c>
      <c r="H2044" s="15" t="str">
        <f t="shared" si="1"/>
        <v>112140.00</v>
      </c>
      <c r="I2044" s="14" t="str">
        <f t="shared" si="2"/>
        <v>97925.00</v>
      </c>
      <c r="J2044" s="16" t="str">
        <f>TEXT(Raw_Data!J2044,"MMM-YYY")</f>
        <v>Dec-2025</v>
      </c>
      <c r="K2044" s="13" t="str">
        <f>Raw_Data!K2044</f>
        <v>22</v>
      </c>
      <c r="L2044" s="17" t="str">
        <f>Raw_Data!L2044</f>
        <v>Mumbai-HO</v>
      </c>
      <c r="M2044" s="13" t="str">
        <f t="shared" si="3"/>
        <v>OK</v>
      </c>
      <c r="N2044" s="18" t="str">
        <f t="shared" si="4"/>
        <v>VALID</v>
      </c>
    </row>
    <row r="2045" ht="15.75" customHeight="1">
      <c r="A2045" s="13" t="str">
        <f>Raw_Data!A2045</f>
        <v>EMP2152</v>
      </c>
      <c r="B2045" s="13" t="str">
        <f>TRIM(CLEAN(Raw_Data!B2045))</f>
        <v>Operations</v>
      </c>
      <c r="C2045" s="18" t="s">
        <v>14</v>
      </c>
      <c r="D2045" s="14" t="str">
        <f>IF(ISBLANK(Raw_Data!D2045),AVERAGE(Raw_Data!D$2:D$5002),Raw_Data!D2045)</f>
        <v>71566.26</v>
      </c>
      <c r="E2045" s="15" t="str">
        <f>IF(ISBLANK(Raw_Data!E2045),AVERAGE(Raw_Data!E$2:E$5002),Raw_Data!E2045)</f>
        <v>23921.50</v>
      </c>
      <c r="F2045" s="15" t="str">
        <f>IF(ISBLANK(Raw_Data!F2045),AVERAGE(Raw_Data!F$2:F$5002),Raw_Data!F2045)</f>
        <v>16698.62</v>
      </c>
      <c r="G2045" s="14" t="str">
        <f>IF(ISBLANK(Raw_Data!G2045),AVERAGE(Raw_Data!G$2:G$5002),Raw_Data!G2045)</f>
        <v>14221.31</v>
      </c>
      <c r="H2045" s="15" t="str">
        <f t="shared" si="1"/>
        <v>112186.00</v>
      </c>
      <c r="I2045" s="14" t="str">
        <f t="shared" si="2"/>
        <v>97965.00</v>
      </c>
      <c r="J2045" s="16" t="str">
        <f>TEXT(Raw_Data!J2045,"MMM-YYY")</f>
        <v>Nov-2025</v>
      </c>
      <c r="K2045" s="13" t="str">
        <f>Raw_Data!K2045</f>
        <v>18</v>
      </c>
      <c r="L2045" s="17" t="str">
        <f>Raw_Data!L2045</f>
        <v>Bangalore-South</v>
      </c>
      <c r="M2045" s="13" t="str">
        <f t="shared" si="3"/>
        <v>OK</v>
      </c>
      <c r="N2045" s="18" t="str">
        <f t="shared" si="4"/>
        <v>VALID</v>
      </c>
    </row>
    <row r="2046" ht="15.75" customHeight="1">
      <c r="A2046" s="13" t="str">
        <f>Raw_Data!A2046</f>
        <v>EMP2154</v>
      </c>
      <c r="B2046" s="13" t="str">
        <f>TRIM(CLEAN(Raw_Data!B2046))</f>
        <v>HR</v>
      </c>
      <c r="C2046" s="18" t="s">
        <v>18</v>
      </c>
      <c r="D2046" s="14" t="str">
        <f>IF(ISBLANK(Raw_Data!D2046),AVERAGE(Raw_Data!D$2:D$5002),Raw_Data!D2046)</f>
        <v>71588.03</v>
      </c>
      <c r="E2046" s="15" t="str">
        <f>IF(ISBLANK(Raw_Data!E2046),AVERAGE(Raw_Data!E$2:E$5002),Raw_Data!E2046)</f>
        <v>23930.73</v>
      </c>
      <c r="F2046" s="15" t="str">
        <f>IF(ISBLANK(Raw_Data!F2046),AVERAGE(Raw_Data!F$2:F$5002),Raw_Data!F2046)</f>
        <v>16713.98</v>
      </c>
      <c r="G2046" s="14" t="str">
        <f>IF(ISBLANK(Raw_Data!G2046),AVERAGE(Raw_Data!G$2:G$5002),Raw_Data!G2046)</f>
        <v>14228.10</v>
      </c>
      <c r="H2046" s="15" t="str">
        <f t="shared" si="1"/>
        <v>112233.00</v>
      </c>
      <c r="I2046" s="14" t="str">
        <f t="shared" si="2"/>
        <v>98005.00</v>
      </c>
      <c r="J2046" s="16" t="str">
        <f>TEXT(Raw_Data!J2046,"MMM-YYY")</f>
        <v>Dec-2025</v>
      </c>
      <c r="K2046" s="13" t="str">
        <f>Raw_Data!K2046</f>
        <v>23</v>
      </c>
      <c r="L2046" s="17" t="str">
        <f>Raw_Data!L2046</f>
        <v>Kolkata-East</v>
      </c>
      <c r="M2046" s="13" t="str">
        <f t="shared" si="3"/>
        <v>OK</v>
      </c>
      <c r="N2046" s="18" t="str">
        <f t="shared" si="4"/>
        <v>VALID</v>
      </c>
    </row>
    <row r="2047" ht="15.75" customHeight="1">
      <c r="A2047" s="13" t="str">
        <f>Raw_Data!A2047</f>
        <v>EMP2155</v>
      </c>
      <c r="B2047" s="13" t="str">
        <f>TRIM(CLEAN(Raw_Data!B2047))</f>
        <v>Customer Support</v>
      </c>
      <c r="C2047" s="18" t="s">
        <v>18</v>
      </c>
      <c r="D2047" s="14" t="str">
        <f>IF(ISBLANK(Raw_Data!D2047),AVERAGE(Raw_Data!D$2:D$5002),Raw_Data!D2047)</f>
        <v>71598.91</v>
      </c>
      <c r="E2047" s="15" t="str">
        <f>IF(ISBLANK(Raw_Data!E2047),AVERAGE(Raw_Data!E$2:E$5002),Raw_Data!E2047)</f>
        <v>23935.34</v>
      </c>
      <c r="F2047" s="15" t="str">
        <f>IF(ISBLANK(Raw_Data!F2047),AVERAGE(Raw_Data!F$2:F$5002),Raw_Data!F2047)</f>
        <v>16721.66</v>
      </c>
      <c r="G2047" s="14" t="str">
        <f>IF(ISBLANK(Raw_Data!G2047),AVERAGE(Raw_Data!G$2:G$5002),Raw_Data!G2047)</f>
        <v>14231.50</v>
      </c>
      <c r="H2047" s="15" t="str">
        <f t="shared" si="1"/>
        <v>112256.00</v>
      </c>
      <c r="I2047" s="14" t="str">
        <f t="shared" si="2"/>
        <v>98024.00</v>
      </c>
      <c r="J2047" s="16" t="str">
        <f>TEXT(Raw_Data!J2047,"MMM-YYY")</f>
        <v>Feb-2025</v>
      </c>
      <c r="K2047" s="13" t="str">
        <f>Raw_Data!K2047</f>
        <v>23</v>
      </c>
      <c r="L2047" s="17" t="str">
        <f>Raw_Data!L2047</f>
        <v>Pune-West</v>
      </c>
      <c r="M2047" s="13" t="str">
        <f t="shared" si="3"/>
        <v>OK</v>
      </c>
      <c r="N2047" s="18" t="str">
        <f t="shared" si="4"/>
        <v>VALID</v>
      </c>
    </row>
    <row r="2048" ht="15.75" customHeight="1">
      <c r="A2048" s="13" t="str">
        <f>Raw_Data!A2048</f>
        <v>EMP2156</v>
      </c>
      <c r="B2048" s="13" t="str">
        <f>TRIM(CLEAN(Raw_Data!B2048))</f>
        <v>HR</v>
      </c>
      <c r="C2048" s="18" t="s">
        <v>33</v>
      </c>
      <c r="D2048" s="14" t="str">
        <f>IF(ISBLANK(Raw_Data!D2048),AVERAGE(Raw_Data!D$2:D$5002),Raw_Data!D2048)</f>
        <v>71609.79</v>
      </c>
      <c r="E2048" s="15" t="str">
        <f>IF(ISBLANK(Raw_Data!E2048),AVERAGE(Raw_Data!E$2:E$5002),Raw_Data!E2048)</f>
        <v>23939.96</v>
      </c>
      <c r="F2048" s="15" t="str">
        <f>IF(ISBLANK(Raw_Data!F2048),AVERAGE(Raw_Data!F$2:F$5002),Raw_Data!F2048)</f>
        <v>16729.34</v>
      </c>
      <c r="G2048" s="14" t="str">
        <f>IF(ISBLANK(Raw_Data!G2048),AVERAGE(Raw_Data!G$2:G$5002),Raw_Data!G2048)</f>
        <v>14234.90</v>
      </c>
      <c r="H2048" s="15" t="str">
        <f t="shared" si="1"/>
        <v>112279.00</v>
      </c>
      <c r="I2048" s="14" t="str">
        <f t="shared" si="2"/>
        <v>98044.00</v>
      </c>
      <c r="J2048" s="16" t="str">
        <f>TEXT(Raw_Data!J2048,"MMM-YYY")</f>
        <v>Nov-2025</v>
      </c>
      <c r="K2048" s="13" t="str">
        <f>Raw_Data!K2048</f>
        <v>13</v>
      </c>
      <c r="L2048" s="17" t="str">
        <f>Raw_Data!L2048</f>
        <v>Hyderabad-South</v>
      </c>
      <c r="M2048" s="13" t="str">
        <f t="shared" si="3"/>
        <v>OK</v>
      </c>
      <c r="N2048" s="18" t="str">
        <f t="shared" si="4"/>
        <v>VALID</v>
      </c>
    </row>
    <row r="2049" ht="15.75" customHeight="1">
      <c r="A2049" s="13" t="str">
        <f>Raw_Data!A2049</f>
        <v>EMP2157</v>
      </c>
      <c r="B2049" s="13" t="str">
        <f>TRIM(CLEAN(Raw_Data!B2049))</f>
        <v>HR</v>
      </c>
      <c r="C2049" s="18" t="s">
        <v>14</v>
      </c>
      <c r="D2049" s="14" t="str">
        <f>IF(ISBLANK(Raw_Data!D2049),AVERAGE(Raw_Data!D$2:D$5002),Raw_Data!D2049)</f>
        <v>71620.68</v>
      </c>
      <c r="E2049" s="15" t="str">
        <f>IF(ISBLANK(Raw_Data!E2049),AVERAGE(Raw_Data!E$2:E$5002),Raw_Data!E2049)</f>
        <v>23944.57</v>
      </c>
      <c r="F2049" s="15" t="str">
        <f>IF(ISBLANK(Raw_Data!F2049),AVERAGE(Raw_Data!F$2:F$5002),Raw_Data!F2049)</f>
        <v>16737.02</v>
      </c>
      <c r="G2049" s="14" t="str">
        <f>IF(ISBLANK(Raw_Data!G2049),AVERAGE(Raw_Data!G$2:G$5002),Raw_Data!G2049)</f>
        <v>14238.30</v>
      </c>
      <c r="H2049" s="15" t="str">
        <f t="shared" si="1"/>
        <v>112302.00</v>
      </c>
      <c r="I2049" s="14" t="str">
        <f t="shared" si="2"/>
        <v>98064.00</v>
      </c>
      <c r="J2049" s="16" t="str">
        <f>TEXT(Raw_Data!J2049,"MMM-YYY")</f>
        <v>Jul-2025</v>
      </c>
      <c r="K2049" s="13" t="str">
        <f>Raw_Data!K2049</f>
        <v>10</v>
      </c>
      <c r="L2049" s="17" t="str">
        <f>Raw_Data!L2049</f>
        <v>Chandigarh-North</v>
      </c>
      <c r="M2049" s="13" t="str">
        <f t="shared" si="3"/>
        <v>OK</v>
      </c>
      <c r="N2049" s="18" t="str">
        <f t="shared" si="4"/>
        <v>VALID</v>
      </c>
    </row>
    <row r="2050" ht="15.75" customHeight="1">
      <c r="A2050" s="13" t="str">
        <f>Raw_Data!A2050</f>
        <v>EMP2158</v>
      </c>
      <c r="B2050" s="13" t="str">
        <f>TRIM(CLEAN(Raw_Data!B2050))</f>
        <v>Finance</v>
      </c>
      <c r="C2050" s="18" t="s">
        <v>26</v>
      </c>
      <c r="D2050" s="14" t="str">
        <f>IF(ISBLANK(Raw_Data!D2050),AVERAGE(Raw_Data!D$2:D$5002),Raw_Data!D2050)</f>
        <v>71831.17</v>
      </c>
      <c r="E2050" s="15" t="str">
        <f>IF(ISBLANK(Raw_Data!E2050),AVERAGE(Raw_Data!E$2:E$5002),Raw_Data!E2050)</f>
        <v>23949.19</v>
      </c>
      <c r="F2050" s="15" t="str">
        <f>IF(ISBLANK(Raw_Data!F2050),AVERAGE(Raw_Data!F$2:F$5002),Raw_Data!F2050)</f>
        <v>16744.70</v>
      </c>
      <c r="G2050" s="14" t="str">
        <f>IF(ISBLANK(Raw_Data!G2050),AVERAGE(Raw_Data!G$2:G$5002),Raw_Data!G2050)</f>
        <v>14241.69</v>
      </c>
      <c r="H2050" s="15" t="str">
        <f t="shared" si="1"/>
        <v>112525.00</v>
      </c>
      <c r="I2050" s="14" t="str">
        <f t="shared" si="2"/>
        <v>98283.00</v>
      </c>
      <c r="J2050" s="16" t="str">
        <f>TEXT(Raw_Data!J2050,"MMM-YYY")</f>
        <v>Jan-2025</v>
      </c>
      <c r="K2050" s="13" t="str">
        <f>Raw_Data!K2050</f>
        <v>7</v>
      </c>
      <c r="L2050" s="17" t="str">
        <f>Raw_Data!L2050</f>
        <v>Ahmedabad-West</v>
      </c>
      <c r="M2050" s="13" t="str">
        <f t="shared" si="3"/>
        <v>OK</v>
      </c>
      <c r="N2050" s="18" t="str">
        <f t="shared" si="4"/>
        <v>VALID</v>
      </c>
    </row>
    <row r="2051" ht="15.75" customHeight="1">
      <c r="A2051" s="13" t="str">
        <f>Raw_Data!A2051</f>
        <v>EMP2159</v>
      </c>
      <c r="B2051" s="13" t="str">
        <f>TRIM(CLEAN(Raw_Data!B2051))</f>
        <v>Sales</v>
      </c>
      <c r="C2051" s="18" t="s">
        <v>33</v>
      </c>
      <c r="D2051" s="14" t="str">
        <f>IF(ISBLANK(Raw_Data!D2051),AVERAGE(Raw_Data!D$2:D$5002),Raw_Data!D2051)</f>
        <v>71642.44</v>
      </c>
      <c r="E2051" s="15" t="str">
        <f>IF(ISBLANK(Raw_Data!E2051),AVERAGE(Raw_Data!E$2:E$5002),Raw_Data!E2051)</f>
        <v>23953.80</v>
      </c>
      <c r="F2051" s="15" t="str">
        <f>IF(ISBLANK(Raw_Data!F2051),AVERAGE(Raw_Data!F$2:F$5002),Raw_Data!F2051)</f>
        <v>16752.38</v>
      </c>
      <c r="G2051" s="14" t="str">
        <f>IF(ISBLANK(Raw_Data!G2051),AVERAGE(Raw_Data!G$2:G$5002),Raw_Data!G2051)</f>
        <v>14245.09</v>
      </c>
      <c r="H2051" s="15" t="str">
        <f t="shared" si="1"/>
        <v>112349.00</v>
      </c>
      <c r="I2051" s="14" t="str">
        <f t="shared" si="2"/>
        <v>98104.00</v>
      </c>
      <c r="J2051" s="16" t="str">
        <f>TEXT(Raw_Data!J2051,"MMM-YYY")</f>
        <v>Jul-2025</v>
      </c>
      <c r="K2051" s="13" t="str">
        <f>Raw_Data!K2051</f>
        <v>22</v>
      </c>
      <c r="L2051" s="17" t="str">
        <f>Raw_Data!L2051</f>
        <v>Jaipur-North</v>
      </c>
      <c r="M2051" s="13" t="str">
        <f t="shared" si="3"/>
        <v>OK</v>
      </c>
      <c r="N2051" s="18" t="str">
        <f t="shared" si="4"/>
        <v>VALID</v>
      </c>
    </row>
    <row r="2052" ht="15.75" customHeight="1">
      <c r="A2052" s="13" t="str">
        <f>Raw_Data!A2052</f>
        <v>EMP2160</v>
      </c>
      <c r="B2052" s="13" t="str">
        <f>TRIM(CLEAN(Raw_Data!B2052))</f>
        <v>Sales</v>
      </c>
      <c r="C2052" s="18" t="s">
        <v>18</v>
      </c>
      <c r="D2052" s="14" t="str">
        <f>IF(ISBLANK(Raw_Data!D2052),AVERAGE(Raw_Data!D$2:D$5002),Raw_Data!D2052)</f>
        <v>71653.32</v>
      </c>
      <c r="E2052" s="15" t="str">
        <f>IF(ISBLANK(Raw_Data!E2052),AVERAGE(Raw_Data!E$2:E$5002),Raw_Data!E2052)</f>
        <v>23958.42</v>
      </c>
      <c r="F2052" s="15" t="str">
        <f>IF(ISBLANK(Raw_Data!F2052),AVERAGE(Raw_Data!F$2:F$5002),Raw_Data!F2052)</f>
        <v>16760.06</v>
      </c>
      <c r="G2052" s="14" t="str">
        <f>IF(ISBLANK(Raw_Data!G2052),AVERAGE(Raw_Data!G$2:G$5002),Raw_Data!G2052)</f>
        <v>14248.49</v>
      </c>
      <c r="H2052" s="15" t="str">
        <f t="shared" si="1"/>
        <v>112372.00</v>
      </c>
      <c r="I2052" s="14" t="str">
        <f t="shared" si="2"/>
        <v>98124.00</v>
      </c>
      <c r="J2052" s="16" t="str">
        <f>TEXT(Raw_Data!J2052,"MMM-YYY")</f>
        <v>Jun-2025</v>
      </c>
      <c r="K2052" s="13" t="str">
        <f>Raw_Data!K2052</f>
        <v>24</v>
      </c>
      <c r="L2052" s="17" t="str">
        <f>Raw_Data!L2052</f>
        <v>Mumbai-HO</v>
      </c>
      <c r="M2052" s="13" t="str">
        <f t="shared" si="3"/>
        <v>OK</v>
      </c>
      <c r="N2052" s="18" t="str">
        <f t="shared" si="4"/>
        <v>VALID</v>
      </c>
    </row>
    <row r="2053" ht="15.75" customHeight="1">
      <c r="A2053" s="13" t="str">
        <f>Raw_Data!A2053</f>
        <v>EMP2161</v>
      </c>
      <c r="B2053" s="13" t="str">
        <f>TRIM(CLEAN(Raw_Data!B2053))</f>
        <v>Operations</v>
      </c>
      <c r="C2053" s="18" t="s">
        <v>18</v>
      </c>
      <c r="D2053" s="14" t="str">
        <f>IF(ISBLANK(Raw_Data!D2053),AVERAGE(Raw_Data!D$2:D$5002),Raw_Data!D2053)</f>
        <v>71664.21</v>
      </c>
      <c r="E2053" s="15" t="str">
        <f>IF(ISBLANK(Raw_Data!E2053),AVERAGE(Raw_Data!E$2:E$5002),Raw_Data!E2053)</f>
        <v>23963.03</v>
      </c>
      <c r="F2053" s="15" t="str">
        <f>IF(ISBLANK(Raw_Data!F2053),AVERAGE(Raw_Data!F$2:F$5002),Raw_Data!F2053)</f>
        <v>16767.74</v>
      </c>
      <c r="G2053" s="14" t="str">
        <f>IF(ISBLANK(Raw_Data!G2053),AVERAGE(Raw_Data!G$2:G$5002),Raw_Data!G2053)</f>
        <v>14251.89</v>
      </c>
      <c r="H2053" s="15" t="str">
        <f t="shared" si="1"/>
        <v>112395.00</v>
      </c>
      <c r="I2053" s="14" t="str">
        <f t="shared" si="2"/>
        <v>98143.00</v>
      </c>
      <c r="J2053" s="16" t="str">
        <f>TEXT(Raw_Data!J2053,"MMM-YYY")</f>
        <v>Nov-2025</v>
      </c>
      <c r="K2053" s="13" t="str">
        <f>Raw_Data!K2053</f>
        <v>13</v>
      </c>
      <c r="L2053" s="17" t="str">
        <f>Raw_Data!L2053</f>
        <v>Delhi-North</v>
      </c>
      <c r="M2053" s="13" t="str">
        <f t="shared" si="3"/>
        <v>OK</v>
      </c>
      <c r="N2053" s="18" t="str">
        <f t="shared" si="4"/>
        <v>VALID</v>
      </c>
    </row>
    <row r="2054" ht="15.75" customHeight="1">
      <c r="A2054" s="13" t="str">
        <f>Raw_Data!A2054</f>
        <v>EMP2162</v>
      </c>
      <c r="B2054" s="13" t="str">
        <f>TRIM(CLEAN(Raw_Data!B2054))</f>
        <v>IT</v>
      </c>
      <c r="C2054" s="18" t="s">
        <v>14</v>
      </c>
      <c r="D2054" s="14" t="str">
        <f>IF(ISBLANK(Raw_Data!D2054),AVERAGE(Raw_Data!D$2:D$5002),Raw_Data!D2054)</f>
        <v>71675.09</v>
      </c>
      <c r="E2054" s="15" t="str">
        <f>IF(ISBLANK(Raw_Data!E2054),AVERAGE(Raw_Data!E$2:E$5002),Raw_Data!E2054)</f>
        <v>23967.65</v>
      </c>
      <c r="F2054" s="15" t="str">
        <f>IF(ISBLANK(Raw_Data!F2054),AVERAGE(Raw_Data!F$2:F$5002),Raw_Data!F2054)</f>
        <v>16775.42</v>
      </c>
      <c r="G2054" s="14" t="str">
        <f>IF(ISBLANK(Raw_Data!G2054),AVERAGE(Raw_Data!G$2:G$5002),Raw_Data!G2054)</f>
        <v>14255.28</v>
      </c>
      <c r="H2054" s="15" t="str">
        <f t="shared" si="1"/>
        <v>112418.00</v>
      </c>
      <c r="I2054" s="14" t="str">
        <f t="shared" si="2"/>
        <v>98163.00</v>
      </c>
      <c r="J2054" s="16" t="str">
        <f>TEXT(Raw_Data!J2054,"MMM-YYY")</f>
        <v>Apr-2025</v>
      </c>
      <c r="K2054" s="13" t="str">
        <f>Raw_Data!K2054</f>
        <v>3</v>
      </c>
      <c r="L2054" s="17" t="str">
        <f>Raw_Data!L2054</f>
        <v>Bangalore-South</v>
      </c>
      <c r="M2054" s="13" t="str">
        <f t="shared" si="3"/>
        <v>OK</v>
      </c>
      <c r="N2054" s="18" t="str">
        <f t="shared" si="4"/>
        <v>VALID</v>
      </c>
    </row>
    <row r="2055" ht="15.75" customHeight="1">
      <c r="A2055" s="13" t="str">
        <f>Raw_Data!A2055</f>
        <v>EMP2163</v>
      </c>
      <c r="B2055" s="13" t="str">
        <f>TRIM(CLEAN(Raw_Data!B2055))</f>
        <v>Marketing</v>
      </c>
      <c r="C2055" s="18" t="s">
        <v>18</v>
      </c>
      <c r="D2055" s="14" t="str">
        <f>IF(ISBLANK(Raw_Data!D2055),AVERAGE(Raw_Data!D$2:D$5002),Raw_Data!D2055)</f>
        <v>71685.97</v>
      </c>
      <c r="E2055" s="15" t="str">
        <f>IF(ISBLANK(Raw_Data!E2055),AVERAGE(Raw_Data!E$2:E$5002),Raw_Data!E2055)</f>
        <v>23972.26</v>
      </c>
      <c r="F2055" s="15" t="str">
        <f>IF(ISBLANK(Raw_Data!F2055),AVERAGE(Raw_Data!F$2:F$5002),Raw_Data!F2055)</f>
        <v>16783.10</v>
      </c>
      <c r="G2055" s="14" t="str">
        <f>IF(ISBLANK(Raw_Data!G2055),AVERAGE(Raw_Data!G$2:G$5002),Raw_Data!G2055)</f>
        <v>14258.68</v>
      </c>
      <c r="H2055" s="15" t="str">
        <f t="shared" si="1"/>
        <v>112441.00</v>
      </c>
      <c r="I2055" s="14" t="str">
        <f t="shared" si="2"/>
        <v>98182.00</v>
      </c>
      <c r="J2055" s="16" t="str">
        <f>TEXT(Raw_Data!J2055,"MMM-YYY")</f>
        <v>Aug-2025</v>
      </c>
      <c r="K2055" s="13" t="str">
        <f>Raw_Data!K2055</f>
        <v>22</v>
      </c>
      <c r="L2055" s="17" t="str">
        <f>Raw_Data!L2055</f>
        <v>Chennai-South</v>
      </c>
      <c r="M2055" s="13" t="str">
        <f t="shared" si="3"/>
        <v>OK</v>
      </c>
      <c r="N2055" s="18" t="str">
        <f t="shared" si="4"/>
        <v>VALID</v>
      </c>
    </row>
    <row r="2056" ht="15.75" customHeight="1">
      <c r="A2056" s="13" t="str">
        <f>Raw_Data!A2056</f>
        <v>EMP2164</v>
      </c>
      <c r="B2056" s="13" t="str">
        <f>TRIM(CLEAN(Raw_Data!B2056))</f>
        <v>Marketing</v>
      </c>
      <c r="C2056" s="18" t="s">
        <v>54</v>
      </c>
      <c r="D2056" s="14" t="str">
        <f>IF(ISBLANK(Raw_Data!D2056),AVERAGE(Raw_Data!D$2:D$5002),Raw_Data!D2056)</f>
        <v>71696.86</v>
      </c>
      <c r="E2056" s="15" t="str">
        <f>IF(ISBLANK(Raw_Data!E2056),AVERAGE(Raw_Data!E$2:E$5002),Raw_Data!E2056)</f>
        <v>23976.87</v>
      </c>
      <c r="F2056" s="15" t="str">
        <f>IF(ISBLANK(Raw_Data!F2056),AVERAGE(Raw_Data!F$2:F$5002),Raw_Data!F2056)</f>
        <v>16790.78</v>
      </c>
      <c r="G2056" s="14" t="str">
        <f>IF(ISBLANK(Raw_Data!G2056),AVERAGE(Raw_Data!G$2:G$5002),Raw_Data!G2056)</f>
        <v>14262.08</v>
      </c>
      <c r="H2056" s="15" t="str">
        <f t="shared" si="1"/>
        <v>112465.00</v>
      </c>
      <c r="I2056" s="14" t="str">
        <f t="shared" si="2"/>
        <v>98203.00</v>
      </c>
      <c r="J2056" s="16" t="str">
        <f>TEXT(Raw_Data!J2056,"MMM-YYY")</f>
        <v>Jan-2025</v>
      </c>
      <c r="K2056" s="13" t="str">
        <f>Raw_Data!K2056</f>
        <v>18</v>
      </c>
      <c r="L2056" s="17" t="str">
        <f>Raw_Data!L2056</f>
        <v>Kolkata-East</v>
      </c>
      <c r="M2056" s="13" t="str">
        <f t="shared" si="3"/>
        <v>OK</v>
      </c>
      <c r="N2056" s="18" t="str">
        <f t="shared" si="4"/>
        <v>VALID</v>
      </c>
    </row>
    <row r="2057" ht="15.75" customHeight="1">
      <c r="A2057" s="13" t="str">
        <f>Raw_Data!A2057</f>
        <v>EMP2165</v>
      </c>
      <c r="B2057" s="13" t="str">
        <f>TRIM(CLEAN(Raw_Data!B2057))</f>
        <v>Marketing</v>
      </c>
      <c r="C2057" s="18" t="s">
        <v>33</v>
      </c>
      <c r="D2057" s="14" t="str">
        <f>IF(ISBLANK(Raw_Data!D2057),AVERAGE(Raw_Data!D$2:D$5002),Raw_Data!D2057)</f>
        <v>71707.74</v>
      </c>
      <c r="E2057" s="15" t="str">
        <f>IF(ISBLANK(Raw_Data!E2057),AVERAGE(Raw_Data!E$2:E$5002),Raw_Data!E2057)</f>
        <v>23981.49</v>
      </c>
      <c r="F2057" s="15" t="str">
        <f>IF(ISBLANK(Raw_Data!F2057),AVERAGE(Raw_Data!F$2:F$5002),Raw_Data!F2057)</f>
        <v>16798.46</v>
      </c>
      <c r="G2057" s="14" t="str">
        <f>IF(ISBLANK(Raw_Data!G2057),AVERAGE(Raw_Data!G$2:G$5002),Raw_Data!G2057)</f>
        <v>14562.73</v>
      </c>
      <c r="H2057" s="15" t="str">
        <f t="shared" si="1"/>
        <v>112488.00</v>
      </c>
      <c r="I2057" s="14" t="str">
        <f t="shared" si="2"/>
        <v>97925.00</v>
      </c>
      <c r="J2057" s="16" t="str">
        <f>TEXT(Raw_Data!J2057,"MMM-YYY")</f>
        <v>Apr-2025</v>
      </c>
      <c r="K2057" s="13" t="str">
        <f>Raw_Data!K2057</f>
        <v>20</v>
      </c>
      <c r="L2057" s="17" t="str">
        <f>Raw_Data!L2057</f>
        <v>Pune-West</v>
      </c>
      <c r="M2057" s="13" t="str">
        <f t="shared" si="3"/>
        <v>OK</v>
      </c>
      <c r="N2057" s="18" t="str">
        <f t="shared" si="4"/>
        <v>VALID</v>
      </c>
    </row>
    <row r="2058" ht="15.75" customHeight="1">
      <c r="A2058" s="13" t="str">
        <f>Raw_Data!A2058</f>
        <v>EMP2166</v>
      </c>
      <c r="B2058" s="13" t="str">
        <f>TRIM(CLEAN(Raw_Data!B2058))</f>
        <v>Operations</v>
      </c>
      <c r="C2058" s="18" t="s">
        <v>54</v>
      </c>
      <c r="D2058" s="14" t="str">
        <f>IF(ISBLANK(Raw_Data!D2058),AVERAGE(Raw_Data!D$2:D$5002),Raw_Data!D2058)</f>
        <v>71718.62</v>
      </c>
      <c r="E2058" s="15" t="str">
        <f>IF(ISBLANK(Raw_Data!E2058),AVERAGE(Raw_Data!E$2:E$5002),Raw_Data!E2058)</f>
        <v>23986.10</v>
      </c>
      <c r="F2058" s="15" t="str">
        <f>IF(ISBLANK(Raw_Data!F2058),AVERAGE(Raw_Data!F$2:F$5002),Raw_Data!F2058)</f>
        <v>16806.14</v>
      </c>
      <c r="G2058" s="14" t="str">
        <f>IF(ISBLANK(Raw_Data!G2058),AVERAGE(Raw_Data!G$2:G$5002),Raw_Data!G2058)</f>
        <v>14268.87</v>
      </c>
      <c r="H2058" s="15" t="str">
        <f t="shared" si="1"/>
        <v>112511.00</v>
      </c>
      <c r="I2058" s="14" t="str">
        <f t="shared" si="2"/>
        <v>98242.00</v>
      </c>
      <c r="J2058" s="16" t="str">
        <f>TEXT(Raw_Data!J2058,"MMM-YYY")</f>
        <v>May-2025</v>
      </c>
      <c r="K2058" s="13" t="str">
        <f>Raw_Data!K2058</f>
        <v>19</v>
      </c>
      <c r="L2058" s="17" t="str">
        <f>Raw_Data!L2058</f>
        <v>Hyderabad-South</v>
      </c>
      <c r="M2058" s="13" t="str">
        <f t="shared" si="3"/>
        <v>OK</v>
      </c>
      <c r="N2058" s="18" t="str">
        <f t="shared" si="4"/>
        <v>VALID</v>
      </c>
    </row>
    <row r="2059" ht="15.75" customHeight="1">
      <c r="A2059" s="13" t="str">
        <f>Raw_Data!A2059</f>
        <v>EMP2167</v>
      </c>
      <c r="B2059" s="13" t="str">
        <f>TRIM(CLEAN(Raw_Data!B2059))</f>
        <v>Finance</v>
      </c>
      <c r="C2059" s="18" t="s">
        <v>18</v>
      </c>
      <c r="D2059" s="14" t="str">
        <f>IF(ISBLANK(Raw_Data!D2059),AVERAGE(Raw_Data!D$2:D$5002),Raw_Data!D2059)</f>
        <v>71729.51</v>
      </c>
      <c r="E2059" s="15" t="str">
        <f>IF(ISBLANK(Raw_Data!E2059),AVERAGE(Raw_Data!E$2:E$5002),Raw_Data!E2059)</f>
        <v>23990.72</v>
      </c>
      <c r="F2059" s="15" t="str">
        <f>IF(ISBLANK(Raw_Data!F2059),AVERAGE(Raw_Data!F$2:F$5002),Raw_Data!F2059)</f>
        <v>16813.82</v>
      </c>
      <c r="G2059" s="14" t="str">
        <f>IF(ISBLANK(Raw_Data!G2059),AVERAGE(Raw_Data!G$2:G$5002),Raw_Data!G2059)</f>
        <v>14272.27</v>
      </c>
      <c r="H2059" s="15" t="str">
        <f t="shared" si="1"/>
        <v>112534.00</v>
      </c>
      <c r="I2059" s="14" t="str">
        <f t="shared" si="2"/>
        <v>98262.00</v>
      </c>
      <c r="J2059" s="16" t="str">
        <f>TEXT(Raw_Data!J2059,"MMM-YYY")</f>
        <v>Jan-2025</v>
      </c>
      <c r="K2059" s="13" t="str">
        <f>Raw_Data!K2059</f>
        <v>25</v>
      </c>
      <c r="L2059" s="17" t="str">
        <f>Raw_Data!L2059</f>
        <v>Chandigarh-North</v>
      </c>
      <c r="M2059" s="13" t="str">
        <f t="shared" si="3"/>
        <v>OK</v>
      </c>
      <c r="N2059" s="18" t="str">
        <f t="shared" si="4"/>
        <v>VALID</v>
      </c>
    </row>
    <row r="2060" ht="15.75" customHeight="1">
      <c r="A2060" s="13" t="str">
        <f>Raw_Data!A2060</f>
        <v>EMP2168</v>
      </c>
      <c r="B2060" s="13" t="str">
        <f>TRIM(CLEAN(Raw_Data!B2060))</f>
        <v>Operations</v>
      </c>
      <c r="C2060" s="18" t="s">
        <v>14</v>
      </c>
      <c r="D2060" s="14" t="str">
        <f>IF(ISBLANK(Raw_Data!D2060),AVERAGE(Raw_Data!D$2:D$5002),Raw_Data!D2060)</f>
        <v>71740.39</v>
      </c>
      <c r="E2060" s="15" t="str">
        <f>IF(ISBLANK(Raw_Data!E2060),AVERAGE(Raw_Data!E$2:E$5002),Raw_Data!E2060)</f>
        <v>23995.33</v>
      </c>
      <c r="F2060" s="15" t="str">
        <f>IF(ISBLANK(Raw_Data!F2060),AVERAGE(Raw_Data!F$2:F$5002),Raw_Data!F2060)</f>
        <v>16821.50</v>
      </c>
      <c r="G2060" s="14" t="str">
        <f>IF(ISBLANK(Raw_Data!G2060),AVERAGE(Raw_Data!G$2:G$5002),Raw_Data!G2060)</f>
        <v>14275.67</v>
      </c>
      <c r="H2060" s="15" t="str">
        <f t="shared" si="1"/>
        <v>112557.00</v>
      </c>
      <c r="I2060" s="14" t="str">
        <f t="shared" si="2"/>
        <v>98281.00</v>
      </c>
      <c r="J2060" s="16" t="str">
        <f>TEXT(Raw_Data!J2060,"MMM-YYY")</f>
        <v>Apr-2025</v>
      </c>
      <c r="K2060" s="13" t="str">
        <f>Raw_Data!K2060</f>
        <v>24</v>
      </c>
      <c r="L2060" s="17" t="str">
        <f>Raw_Data!L2060</f>
        <v>Ahmedabad-West</v>
      </c>
      <c r="M2060" s="13" t="str">
        <f t="shared" si="3"/>
        <v>OK</v>
      </c>
      <c r="N2060" s="18" t="str">
        <f t="shared" si="4"/>
        <v>VALID</v>
      </c>
    </row>
    <row r="2061" ht="15.75" customHeight="1">
      <c r="A2061" s="13" t="str">
        <f>Raw_Data!A2061</f>
        <v>EMP2169</v>
      </c>
      <c r="B2061" s="13" t="str">
        <f>TRIM(CLEAN(Raw_Data!B2061))</f>
        <v>Marketing</v>
      </c>
      <c r="C2061" s="18" t="s">
        <v>14</v>
      </c>
      <c r="D2061" s="14" t="str">
        <f>IF(ISBLANK(Raw_Data!D2061),AVERAGE(Raw_Data!D$2:D$5002),Raw_Data!D2061)</f>
        <v>71751.27</v>
      </c>
      <c r="E2061" s="15" t="str">
        <f>IF(ISBLANK(Raw_Data!E2061),AVERAGE(Raw_Data!E$2:E$5002),Raw_Data!E2061)</f>
        <v>23999.95</v>
      </c>
      <c r="F2061" s="15" t="str">
        <f>IF(ISBLANK(Raw_Data!F2061),AVERAGE(Raw_Data!F$2:F$5002),Raw_Data!F2061)</f>
        <v>16829.18</v>
      </c>
      <c r="G2061" s="14" t="str">
        <f>IF(ISBLANK(Raw_Data!G2061),AVERAGE(Raw_Data!G$2:G$5002),Raw_Data!G2061)</f>
        <v>14279.07</v>
      </c>
      <c r="H2061" s="15" t="str">
        <f t="shared" si="1"/>
        <v>112580.00</v>
      </c>
      <c r="I2061" s="14" t="str">
        <f t="shared" si="2"/>
        <v>98301.00</v>
      </c>
      <c r="J2061" s="16" t="str">
        <f>TEXT(Raw_Data!J2061,"MMM-YYY")</f>
        <v>Apr-2025</v>
      </c>
      <c r="K2061" s="13" t="str">
        <f>Raw_Data!K2061</f>
        <v>20</v>
      </c>
      <c r="L2061" s="17" t="str">
        <f>Raw_Data!L2061</f>
        <v>Jaipur-North</v>
      </c>
      <c r="M2061" s="13" t="str">
        <f t="shared" si="3"/>
        <v>OK</v>
      </c>
      <c r="N2061" s="18" t="str">
        <f t="shared" si="4"/>
        <v>VALID</v>
      </c>
    </row>
    <row r="2062" ht="15.75" customHeight="1">
      <c r="A2062" s="13" t="str">
        <f>Raw_Data!A2062</f>
        <v>EMP2170</v>
      </c>
      <c r="B2062" s="13" t="str">
        <f>TRIM(CLEAN(Raw_Data!B2062))</f>
        <v>Finance</v>
      </c>
      <c r="C2062" s="18" t="s">
        <v>37</v>
      </c>
      <c r="D2062" s="14" t="str">
        <f>IF(ISBLANK(Raw_Data!D2062),AVERAGE(Raw_Data!D$2:D$5002),Raw_Data!D2062)</f>
        <v>71762.15</v>
      </c>
      <c r="E2062" s="15" t="str">
        <f>IF(ISBLANK(Raw_Data!E2062),AVERAGE(Raw_Data!E$2:E$5002),Raw_Data!E2062)</f>
        <v>24004.56</v>
      </c>
      <c r="F2062" s="15" t="str">
        <f>IF(ISBLANK(Raw_Data!F2062),AVERAGE(Raw_Data!F$2:F$5002),Raw_Data!F2062)</f>
        <v>16836.86</v>
      </c>
      <c r="G2062" s="14" t="str">
        <f>IF(ISBLANK(Raw_Data!G2062),AVERAGE(Raw_Data!G$2:G$5002),Raw_Data!G2062)</f>
        <v>14282.46</v>
      </c>
      <c r="H2062" s="15" t="str">
        <f t="shared" si="1"/>
        <v>112604.00</v>
      </c>
      <c r="I2062" s="14" t="str">
        <f t="shared" si="2"/>
        <v>98322.00</v>
      </c>
      <c r="J2062" s="16" t="str">
        <f>TEXT(Raw_Data!J2062,"MMM-YYY")</f>
        <v>Dec-2025</v>
      </c>
      <c r="K2062" s="13" t="str">
        <f>Raw_Data!K2062</f>
        <v>23</v>
      </c>
      <c r="L2062" s="17" t="str">
        <f>Raw_Data!L2062</f>
        <v>Mumbai-HO</v>
      </c>
      <c r="M2062" s="13" t="str">
        <f t="shared" si="3"/>
        <v>OK</v>
      </c>
      <c r="N2062" s="18" t="str">
        <f t="shared" si="4"/>
        <v>VALID</v>
      </c>
    </row>
    <row r="2063" ht="15.75" customHeight="1">
      <c r="A2063" s="13" t="str">
        <f>Raw_Data!A2063</f>
        <v>EMP2171</v>
      </c>
      <c r="B2063" s="13" t="str">
        <f>TRIM(CLEAN(Raw_Data!B2063))</f>
        <v>Sales</v>
      </c>
      <c r="C2063" s="18" t="s">
        <v>54</v>
      </c>
      <c r="D2063" s="14" t="str">
        <f>IF(ISBLANK(Raw_Data!D2063),AVERAGE(Raw_Data!D$2:D$5002),Raw_Data!D2063)</f>
        <v>71773.04</v>
      </c>
      <c r="E2063" s="15" t="str">
        <f>IF(ISBLANK(Raw_Data!E2063),AVERAGE(Raw_Data!E$2:E$5002),Raw_Data!E2063)</f>
        <v>24009.18</v>
      </c>
      <c r="F2063" s="15" t="str">
        <f>IF(ISBLANK(Raw_Data!F2063),AVERAGE(Raw_Data!F$2:F$5002),Raw_Data!F2063)</f>
        <v>16844.54</v>
      </c>
      <c r="G2063" s="14" t="str">
        <f>IF(ISBLANK(Raw_Data!G2063),AVERAGE(Raw_Data!G$2:G$5002),Raw_Data!G2063)</f>
        <v>14285.86</v>
      </c>
      <c r="H2063" s="15" t="str">
        <f t="shared" si="1"/>
        <v>112627.00</v>
      </c>
      <c r="I2063" s="14" t="str">
        <f t="shared" si="2"/>
        <v>98341.00</v>
      </c>
      <c r="J2063" s="16" t="str">
        <f>TEXT(Raw_Data!J2063,"MMM-YYY")</f>
        <v>Jan-2025</v>
      </c>
      <c r="K2063" s="13" t="str">
        <f>Raw_Data!K2063</f>
        <v>1</v>
      </c>
      <c r="L2063" s="17" t="str">
        <f>Raw_Data!L2063</f>
        <v>Delhi-North</v>
      </c>
      <c r="M2063" s="13" t="str">
        <f t="shared" si="3"/>
        <v>OK</v>
      </c>
      <c r="N2063" s="18" t="str">
        <f t="shared" si="4"/>
        <v>VALID</v>
      </c>
    </row>
    <row r="2064" ht="15.75" customHeight="1">
      <c r="A2064" s="13" t="str">
        <f>Raw_Data!A2064</f>
        <v>EMP2172</v>
      </c>
      <c r="B2064" s="13" t="str">
        <f>TRIM(CLEAN(Raw_Data!B2064))</f>
        <v>Sales</v>
      </c>
      <c r="C2064" s="18" t="s">
        <v>18</v>
      </c>
      <c r="D2064" s="14" t="str">
        <f>IF(ISBLANK(Raw_Data!D2064),AVERAGE(Raw_Data!D$2:D$5002),Raw_Data!D2064)</f>
        <v>71783.92</v>
      </c>
      <c r="E2064" s="15" t="str">
        <f>IF(ISBLANK(Raw_Data!E2064),AVERAGE(Raw_Data!E$2:E$5002),Raw_Data!E2064)</f>
        <v>24013.79</v>
      </c>
      <c r="F2064" s="15" t="str">
        <f>IF(ISBLANK(Raw_Data!F2064),AVERAGE(Raw_Data!F$2:F$5002),Raw_Data!F2064)</f>
        <v>16852.22</v>
      </c>
      <c r="G2064" s="14" t="str">
        <f>IF(ISBLANK(Raw_Data!G2064),AVERAGE(Raw_Data!G$2:G$5002),Raw_Data!G2064)</f>
        <v>14289.26</v>
      </c>
      <c r="H2064" s="15" t="str">
        <f t="shared" si="1"/>
        <v>112650.00</v>
      </c>
      <c r="I2064" s="14" t="str">
        <f t="shared" si="2"/>
        <v>98361.00</v>
      </c>
      <c r="J2064" s="16" t="str">
        <f>TEXT(Raw_Data!J2064,"MMM-YYY")</f>
        <v>Jun-2025</v>
      </c>
      <c r="K2064" s="13" t="str">
        <f>Raw_Data!K2064</f>
        <v>17</v>
      </c>
      <c r="L2064" s="17" t="str">
        <f>Raw_Data!L2064</f>
        <v>Bangalore-South</v>
      </c>
      <c r="M2064" s="13" t="str">
        <f t="shared" si="3"/>
        <v>OK</v>
      </c>
      <c r="N2064" s="18" t="str">
        <f t="shared" si="4"/>
        <v>VALID</v>
      </c>
    </row>
    <row r="2065" ht="15.75" customHeight="1">
      <c r="A2065" s="13" t="str">
        <f>Raw_Data!A2065</f>
        <v>EMP2173</v>
      </c>
      <c r="B2065" s="13" t="str">
        <f>TRIM(CLEAN(Raw_Data!B2065))</f>
        <v>Sales</v>
      </c>
      <c r="C2065" s="18" t="s">
        <v>37</v>
      </c>
      <c r="D2065" s="14" t="str">
        <f>IF(ISBLANK(Raw_Data!D2065),AVERAGE(Raw_Data!D$2:D$5002),Raw_Data!D2065)</f>
        <v>71794.80</v>
      </c>
      <c r="E2065" s="15" t="str">
        <f>IF(ISBLANK(Raw_Data!E2065),AVERAGE(Raw_Data!E$2:E$5002),Raw_Data!E2065)</f>
        <v>24018.41</v>
      </c>
      <c r="F2065" s="15" t="str">
        <f>IF(ISBLANK(Raw_Data!F2065),AVERAGE(Raw_Data!F$2:F$5002),Raw_Data!F2065)</f>
        <v>16859.90</v>
      </c>
      <c r="G2065" s="14" t="str">
        <f>IF(ISBLANK(Raw_Data!G2065),AVERAGE(Raw_Data!G$2:G$5002),Raw_Data!G2065)</f>
        <v>14292.66</v>
      </c>
      <c r="H2065" s="15" t="str">
        <f t="shared" si="1"/>
        <v>112673.00</v>
      </c>
      <c r="I2065" s="14" t="str">
        <f t="shared" si="2"/>
        <v>98380.00</v>
      </c>
      <c r="J2065" s="16" t="str">
        <f>TEXT(Raw_Data!J2065,"MMM-YYY")</f>
        <v>Apr-2025</v>
      </c>
      <c r="K2065" s="13" t="str">
        <f>Raw_Data!K2065</f>
        <v>24</v>
      </c>
      <c r="L2065" s="17" t="str">
        <f>Raw_Data!L2065</f>
        <v>Chennai-South</v>
      </c>
      <c r="M2065" s="13" t="str">
        <f t="shared" si="3"/>
        <v>OK</v>
      </c>
      <c r="N2065" s="18" t="str">
        <f t="shared" si="4"/>
        <v>VALID</v>
      </c>
    </row>
    <row r="2066" ht="15.75" customHeight="1">
      <c r="A2066" s="13" t="str">
        <f>Raw_Data!A2066</f>
        <v>EMP2174</v>
      </c>
      <c r="B2066" s="13" t="str">
        <f>TRIM(CLEAN(Raw_Data!B2066))</f>
        <v>IT</v>
      </c>
      <c r="C2066" s="18" t="s">
        <v>33</v>
      </c>
      <c r="D2066" s="14" t="str">
        <f>IF(ISBLANK(Raw_Data!D2066),AVERAGE(Raw_Data!D$2:D$5002),Raw_Data!D2066)</f>
        <v>71805.69</v>
      </c>
      <c r="E2066" s="15" t="str">
        <f>IF(ISBLANK(Raw_Data!E2066),AVERAGE(Raw_Data!E$2:E$5002),Raw_Data!E2066)</f>
        <v>24023.02</v>
      </c>
      <c r="F2066" s="15" t="str">
        <f>IF(ISBLANK(Raw_Data!F2066),AVERAGE(Raw_Data!F$2:F$5002),Raw_Data!F2066)</f>
        <v>16867.58</v>
      </c>
      <c r="G2066" s="14" t="str">
        <f>IF(ISBLANK(Raw_Data!G2066),AVERAGE(Raw_Data!G$2:G$5002),Raw_Data!G2066)</f>
        <v>14296.05</v>
      </c>
      <c r="H2066" s="15" t="str">
        <f t="shared" si="1"/>
        <v>112696.00</v>
      </c>
      <c r="I2066" s="14" t="str">
        <f t="shared" si="2"/>
        <v>98400.00</v>
      </c>
      <c r="J2066" s="16" t="str">
        <f>TEXT(Raw_Data!J2066,"MMM-YYY")</f>
        <v>Nov-2025</v>
      </c>
      <c r="K2066" s="13" t="str">
        <f>Raw_Data!K2066</f>
        <v>24</v>
      </c>
      <c r="L2066" s="17" t="str">
        <f>Raw_Data!L2066</f>
        <v>Kolkata-East</v>
      </c>
      <c r="M2066" s="13" t="str">
        <f t="shared" si="3"/>
        <v>OK</v>
      </c>
      <c r="N2066" s="18" t="str">
        <f t="shared" si="4"/>
        <v>VALID</v>
      </c>
    </row>
    <row r="2067" ht="15.75" customHeight="1">
      <c r="A2067" s="13" t="str">
        <f>Raw_Data!A2067</f>
        <v>EMP2175</v>
      </c>
      <c r="B2067" s="13" t="str">
        <f>TRIM(CLEAN(Raw_Data!B2067))</f>
        <v>Sales</v>
      </c>
      <c r="C2067" s="18" t="s">
        <v>30</v>
      </c>
      <c r="D2067" s="14" t="str">
        <f>IF(ISBLANK(Raw_Data!D2067),AVERAGE(Raw_Data!D$2:D$5002),Raw_Data!D2067)</f>
        <v>71816.57</v>
      </c>
      <c r="E2067" s="15" t="str">
        <f>IF(ISBLANK(Raw_Data!E2067),AVERAGE(Raw_Data!E$2:E$5002),Raw_Data!E2067)</f>
        <v>24027.64</v>
      </c>
      <c r="F2067" s="15" t="str">
        <f>IF(ISBLANK(Raw_Data!F2067),AVERAGE(Raw_Data!F$2:F$5002),Raw_Data!F2067)</f>
        <v>16875.26</v>
      </c>
      <c r="G2067" s="14" t="str">
        <f>IF(ISBLANK(Raw_Data!G2067),AVERAGE(Raw_Data!G$2:G$5002),Raw_Data!G2067)</f>
        <v>14299.45</v>
      </c>
      <c r="H2067" s="15" t="str">
        <f t="shared" si="1"/>
        <v>112719.00</v>
      </c>
      <c r="I2067" s="14" t="str">
        <f t="shared" si="2"/>
        <v>98420.00</v>
      </c>
      <c r="J2067" s="16" t="str">
        <f>TEXT(Raw_Data!J2067,"MMM-YYY")</f>
        <v>Mar-2025</v>
      </c>
      <c r="K2067" s="13" t="str">
        <f>Raw_Data!K2067</f>
        <v>18</v>
      </c>
      <c r="L2067" s="17" t="str">
        <f>Raw_Data!L2067</f>
        <v>Pune-West</v>
      </c>
      <c r="M2067" s="13" t="str">
        <f t="shared" si="3"/>
        <v>OK</v>
      </c>
      <c r="N2067" s="18" t="str">
        <f t="shared" si="4"/>
        <v>VALID</v>
      </c>
    </row>
    <row r="2068" ht="15.75" customHeight="1">
      <c r="A2068" s="13" t="str">
        <f>Raw_Data!A2068</f>
        <v>EMP2176</v>
      </c>
      <c r="B2068" s="13" t="str">
        <f>TRIM(CLEAN(Raw_Data!B2068))</f>
        <v>Marketing</v>
      </c>
      <c r="C2068" s="18" t="s">
        <v>37</v>
      </c>
      <c r="D2068" s="14" t="str">
        <f>IF(ISBLANK(Raw_Data!D2068),AVERAGE(Raw_Data!D$2:D$5002),Raw_Data!D2068)</f>
        <v>71827.45</v>
      </c>
      <c r="E2068" s="15" t="str">
        <f>IF(ISBLANK(Raw_Data!E2068),AVERAGE(Raw_Data!E$2:E$5002),Raw_Data!E2068)</f>
        <v>24032.25</v>
      </c>
      <c r="F2068" s="15" t="str">
        <f>IF(ISBLANK(Raw_Data!F2068),AVERAGE(Raw_Data!F$2:F$5002),Raw_Data!F2068)</f>
        <v>16882.94</v>
      </c>
      <c r="G2068" s="14" t="str">
        <f>IF(ISBLANK(Raw_Data!G2068),AVERAGE(Raw_Data!G$2:G$5002),Raw_Data!G2068)</f>
        <v>14302.85</v>
      </c>
      <c r="H2068" s="15" t="str">
        <f t="shared" si="1"/>
        <v>112743.00</v>
      </c>
      <c r="I2068" s="14" t="str">
        <f t="shared" si="2"/>
        <v>98440.00</v>
      </c>
      <c r="J2068" s="16" t="str">
        <f>TEXT(Raw_Data!J2068,"MMM-YYY")</f>
        <v>Jul-2025</v>
      </c>
      <c r="K2068" s="13" t="str">
        <f>Raw_Data!K2068</f>
        <v>6</v>
      </c>
      <c r="L2068" s="17" t="str">
        <f>Raw_Data!L2068</f>
        <v>Hyderabad-South</v>
      </c>
      <c r="M2068" s="13" t="str">
        <f t="shared" si="3"/>
        <v>OK</v>
      </c>
      <c r="N2068" s="18" t="str">
        <f t="shared" si="4"/>
        <v>VALID</v>
      </c>
    </row>
    <row r="2069" ht="15.75" customHeight="1">
      <c r="A2069" s="13" t="str">
        <f>Raw_Data!A2069</f>
        <v>EMP2177</v>
      </c>
      <c r="B2069" s="13" t="str">
        <f>TRIM(CLEAN(Raw_Data!B2069))</f>
        <v>IT</v>
      </c>
      <c r="C2069" s="18" t="s">
        <v>54</v>
      </c>
      <c r="D2069" s="14" t="str">
        <f>IF(ISBLANK(Raw_Data!D2069),AVERAGE(Raw_Data!D$2:D$5002),Raw_Data!D2069)</f>
        <v>71838.33</v>
      </c>
      <c r="E2069" s="15" t="str">
        <f>IF(ISBLANK(Raw_Data!E2069),AVERAGE(Raw_Data!E$2:E$5002),Raw_Data!E2069)</f>
        <v>24036.87</v>
      </c>
      <c r="F2069" s="15" t="str">
        <f>IF(ISBLANK(Raw_Data!F2069),AVERAGE(Raw_Data!F$2:F$5002),Raw_Data!F2069)</f>
        <v>16890.62</v>
      </c>
      <c r="G2069" s="14" t="str">
        <f>IF(ISBLANK(Raw_Data!G2069),AVERAGE(Raw_Data!G$2:G$5002),Raw_Data!G2069)</f>
        <v>14306.25</v>
      </c>
      <c r="H2069" s="15" t="str">
        <f t="shared" si="1"/>
        <v>112766.00</v>
      </c>
      <c r="I2069" s="14" t="str">
        <f t="shared" si="2"/>
        <v>98460.00</v>
      </c>
      <c r="J2069" s="16" t="str">
        <f>TEXT(Raw_Data!J2069,"MMM-YYY")</f>
        <v>May-2025</v>
      </c>
      <c r="K2069" s="13" t="str">
        <f>Raw_Data!K2069</f>
        <v>20</v>
      </c>
      <c r="L2069" s="17" t="str">
        <f>Raw_Data!L2069</f>
        <v>Chandigarh-North</v>
      </c>
      <c r="M2069" s="13" t="str">
        <f t="shared" si="3"/>
        <v>OK</v>
      </c>
      <c r="N2069" s="18" t="str">
        <f t="shared" si="4"/>
        <v>VALID</v>
      </c>
    </row>
    <row r="2070" ht="15.75" customHeight="1">
      <c r="A2070" s="13" t="str">
        <f>Raw_Data!A2070</f>
        <v>EMP2178</v>
      </c>
      <c r="B2070" s="13" t="str">
        <f>TRIM(CLEAN(Raw_Data!B2070))</f>
        <v>Marketing</v>
      </c>
      <c r="C2070" s="18" t="s">
        <v>18</v>
      </c>
      <c r="D2070" s="14" t="str">
        <f>IF(ISBLANK(Raw_Data!D2070),AVERAGE(Raw_Data!D$2:D$5002),Raw_Data!D2070)</f>
        <v>71849.22</v>
      </c>
      <c r="E2070" s="15" t="str">
        <f>IF(ISBLANK(Raw_Data!E2070),AVERAGE(Raw_Data!E$2:E$5002),Raw_Data!E2070)</f>
        <v>24041.48</v>
      </c>
      <c r="F2070" s="15" t="str">
        <f>IF(ISBLANK(Raw_Data!F2070),AVERAGE(Raw_Data!F$2:F$5002),Raw_Data!F2070)</f>
        <v>16898.30</v>
      </c>
      <c r="G2070" s="14" t="str">
        <f>IF(ISBLANK(Raw_Data!G2070),AVERAGE(Raw_Data!G$2:G$5002),Raw_Data!G2070)</f>
        <v>14309.64</v>
      </c>
      <c r="H2070" s="15" t="str">
        <f t="shared" si="1"/>
        <v>112789.00</v>
      </c>
      <c r="I2070" s="14" t="str">
        <f t="shared" si="2"/>
        <v>98479.00</v>
      </c>
      <c r="J2070" s="16" t="str">
        <f>TEXT(Raw_Data!J2070,"MMM-YYY")</f>
        <v>Dec-2025</v>
      </c>
      <c r="K2070" s="13" t="str">
        <f>Raw_Data!K2070</f>
        <v>18</v>
      </c>
      <c r="L2070" s="17" t="str">
        <f>Raw_Data!L2070</f>
        <v>Ahmedabad-West</v>
      </c>
      <c r="M2070" s="13" t="str">
        <f t="shared" si="3"/>
        <v>OK</v>
      </c>
      <c r="N2070" s="18" t="str">
        <f t="shared" si="4"/>
        <v>VALID</v>
      </c>
    </row>
    <row r="2071" ht="15.75" customHeight="1">
      <c r="A2071" s="13" t="str">
        <f>Raw_Data!A2071</f>
        <v>EMP2179</v>
      </c>
      <c r="B2071" s="13" t="str">
        <f>TRIM(CLEAN(Raw_Data!B2071))</f>
        <v>Customer Support</v>
      </c>
      <c r="C2071" s="18" t="s">
        <v>18</v>
      </c>
      <c r="D2071" s="14" t="str">
        <f>IF(ISBLANK(Raw_Data!D2071),AVERAGE(Raw_Data!D$2:D$5002),Raw_Data!D2071)</f>
        <v>71860.10</v>
      </c>
      <c r="E2071" s="15" t="str">
        <f>IF(ISBLANK(Raw_Data!E2071),AVERAGE(Raw_Data!E$2:E$5002),Raw_Data!E2071)</f>
        <v>24046.10</v>
      </c>
      <c r="F2071" s="15" t="str">
        <f>IF(ISBLANK(Raw_Data!F2071),AVERAGE(Raw_Data!F$2:F$5002),Raw_Data!F2071)</f>
        <v>16905.98</v>
      </c>
      <c r="G2071" s="14" t="str">
        <f>IF(ISBLANK(Raw_Data!G2071),AVERAGE(Raw_Data!G$2:G$5002),Raw_Data!G2071)</f>
        <v>14313.04</v>
      </c>
      <c r="H2071" s="15" t="str">
        <f t="shared" si="1"/>
        <v>112812.00</v>
      </c>
      <c r="I2071" s="14" t="str">
        <f t="shared" si="2"/>
        <v>98499.00</v>
      </c>
      <c r="J2071" s="16" t="str">
        <f>TEXT(Raw_Data!J2071,"MMM-YYY")</f>
        <v>Dec-2025</v>
      </c>
      <c r="K2071" s="13" t="str">
        <f>Raw_Data!K2071</f>
        <v>15</v>
      </c>
      <c r="L2071" s="17" t="str">
        <f>Raw_Data!L2071</f>
        <v>Jaipur-North</v>
      </c>
      <c r="M2071" s="13" t="str">
        <f t="shared" si="3"/>
        <v>OK</v>
      </c>
      <c r="N2071" s="18" t="str">
        <f t="shared" si="4"/>
        <v>VALID</v>
      </c>
    </row>
    <row r="2072" ht="15.75" customHeight="1">
      <c r="A2072" s="13" t="str">
        <f>Raw_Data!A2072</f>
        <v>EMP2180</v>
      </c>
      <c r="B2072" s="13" t="str">
        <f>TRIM(CLEAN(Raw_Data!B2072))</f>
        <v>HR</v>
      </c>
      <c r="C2072" s="18" t="s">
        <v>26</v>
      </c>
      <c r="D2072" s="14" t="str">
        <f>IF(ISBLANK(Raw_Data!D2072),AVERAGE(Raw_Data!D$2:D$5002),Raw_Data!D2072)</f>
        <v>71870.98</v>
      </c>
      <c r="E2072" s="15" t="str">
        <f>IF(ISBLANK(Raw_Data!E2072),AVERAGE(Raw_Data!E$2:E$5002),Raw_Data!E2072)</f>
        <v>24050.71</v>
      </c>
      <c r="F2072" s="15" t="str">
        <f>IF(ISBLANK(Raw_Data!F2072),AVERAGE(Raw_Data!F$2:F$5002),Raw_Data!F2072)</f>
        <v>16913.66</v>
      </c>
      <c r="G2072" s="14" t="str">
        <f>IF(ISBLANK(Raw_Data!G2072),AVERAGE(Raw_Data!G$2:G$5002),Raw_Data!G2072)</f>
        <v>14316.44</v>
      </c>
      <c r="H2072" s="15" t="str">
        <f t="shared" si="1"/>
        <v>112835.00</v>
      </c>
      <c r="I2072" s="14" t="str">
        <f t="shared" si="2"/>
        <v>98519.00</v>
      </c>
      <c r="J2072" s="16" t="str">
        <f>TEXT(Raw_Data!J2072,"MMM-YYY")</f>
        <v>Nov-2025</v>
      </c>
      <c r="K2072" s="13" t="str">
        <f>Raw_Data!K2072</f>
        <v>12</v>
      </c>
      <c r="L2072" s="17" t="str">
        <f>Raw_Data!L2072</f>
        <v>Mumbai-HO</v>
      </c>
      <c r="M2072" s="13" t="str">
        <f t="shared" si="3"/>
        <v>OK</v>
      </c>
      <c r="N2072" s="18" t="str">
        <f t="shared" si="4"/>
        <v>VALID</v>
      </c>
    </row>
    <row r="2073" ht="15.75" customHeight="1">
      <c r="A2073" s="13" t="str">
        <f>Raw_Data!A2073</f>
        <v>EMP2181</v>
      </c>
      <c r="B2073" s="13" t="str">
        <f>TRIM(CLEAN(Raw_Data!B2073))</f>
        <v>Finance</v>
      </c>
      <c r="C2073" s="18" t="s">
        <v>14</v>
      </c>
      <c r="D2073" s="14" t="str">
        <f>IF(ISBLANK(Raw_Data!D2073),AVERAGE(Raw_Data!D$2:D$5002),Raw_Data!D2073)</f>
        <v>71881.87</v>
      </c>
      <c r="E2073" s="15" t="str">
        <f>IF(ISBLANK(Raw_Data!E2073),AVERAGE(Raw_Data!E$2:E$5002),Raw_Data!E2073)</f>
        <v>24055.32</v>
      </c>
      <c r="F2073" s="15" t="str">
        <f>IF(ISBLANK(Raw_Data!F2073),AVERAGE(Raw_Data!F$2:F$5002),Raw_Data!F2073)</f>
        <v>16921.34</v>
      </c>
      <c r="G2073" s="14" t="str">
        <f>IF(ISBLANK(Raw_Data!G2073),AVERAGE(Raw_Data!G$2:G$5002),Raw_Data!G2073)</f>
        <v>14319.84</v>
      </c>
      <c r="H2073" s="15" t="str">
        <f t="shared" si="1"/>
        <v>112859.00</v>
      </c>
      <c r="I2073" s="14" t="str">
        <f t="shared" si="2"/>
        <v>98539.00</v>
      </c>
      <c r="J2073" s="16" t="str">
        <f>TEXT(Raw_Data!J2073,"MMM-YYY")</f>
        <v>Apr-2025</v>
      </c>
      <c r="K2073" s="13" t="str">
        <f>Raw_Data!K2073</f>
        <v>15</v>
      </c>
      <c r="L2073" s="17" t="str">
        <f>Raw_Data!L2073</f>
        <v>Delhi-North</v>
      </c>
      <c r="M2073" s="13" t="str">
        <f t="shared" si="3"/>
        <v>OK</v>
      </c>
      <c r="N2073" s="18" t="str">
        <f t="shared" si="4"/>
        <v>VALID</v>
      </c>
    </row>
    <row r="2074" ht="15.75" customHeight="1">
      <c r="A2074" s="13" t="str">
        <f>Raw_Data!A2074</f>
        <v>EMP2182</v>
      </c>
      <c r="B2074" s="13" t="str">
        <f>TRIM(CLEAN(Raw_Data!B2074))</f>
        <v>Operations</v>
      </c>
      <c r="C2074" s="18" t="s">
        <v>54</v>
      </c>
      <c r="D2074" s="14" t="str">
        <f>IF(ISBLANK(Raw_Data!D2074),AVERAGE(Raw_Data!D$2:D$5002),Raw_Data!D2074)</f>
        <v>71892.75</v>
      </c>
      <c r="E2074" s="15" t="str">
        <f>IF(ISBLANK(Raw_Data!E2074),AVERAGE(Raw_Data!E$2:E$5002),Raw_Data!E2074)</f>
        <v>24059.94</v>
      </c>
      <c r="F2074" s="15" t="str">
        <f>IF(ISBLANK(Raw_Data!F2074),AVERAGE(Raw_Data!F$2:F$5002),Raw_Data!F2074)</f>
        <v>16929.02</v>
      </c>
      <c r="G2074" s="14" t="str">
        <f>IF(ISBLANK(Raw_Data!G2074),AVERAGE(Raw_Data!G$2:G$5002),Raw_Data!G2074)</f>
        <v>14323.23</v>
      </c>
      <c r="H2074" s="15" t="str">
        <f t="shared" si="1"/>
        <v>112882.00</v>
      </c>
      <c r="I2074" s="14" t="str">
        <f t="shared" si="2"/>
        <v>98559.00</v>
      </c>
      <c r="J2074" s="16" t="str">
        <f>TEXT(Raw_Data!J2074,"MMM-YYY")</f>
        <v>Feb-2025</v>
      </c>
      <c r="K2074" s="13" t="str">
        <f>Raw_Data!K2074</f>
        <v>7</v>
      </c>
      <c r="L2074" s="17" t="str">
        <f>Raw_Data!L2074</f>
        <v>Bangalore-South</v>
      </c>
      <c r="M2074" s="13" t="str">
        <f t="shared" si="3"/>
        <v>OK</v>
      </c>
      <c r="N2074" s="18" t="str">
        <f t="shared" si="4"/>
        <v>VALID</v>
      </c>
    </row>
    <row r="2075" ht="15.75" customHeight="1">
      <c r="A2075" s="13" t="str">
        <f>Raw_Data!A2075</f>
        <v>EMP2183</v>
      </c>
      <c r="B2075" s="13" t="str">
        <f>TRIM(CLEAN(Raw_Data!B2075))</f>
        <v>HR</v>
      </c>
      <c r="C2075" s="18" t="s">
        <v>54</v>
      </c>
      <c r="D2075" s="14" t="str">
        <f>IF(ISBLANK(Raw_Data!D2075),AVERAGE(Raw_Data!D$2:D$5002),Raw_Data!D2075)</f>
        <v>71903.63</v>
      </c>
      <c r="E2075" s="15" t="str">
        <f>IF(ISBLANK(Raw_Data!E2075),AVERAGE(Raw_Data!E$2:E$5002),Raw_Data!E2075)</f>
        <v>24064.55</v>
      </c>
      <c r="F2075" s="15" t="str">
        <f>IF(ISBLANK(Raw_Data!F2075),AVERAGE(Raw_Data!F$2:F$5002),Raw_Data!F2075)</f>
        <v>16936.70</v>
      </c>
      <c r="G2075" s="14" t="str">
        <f>IF(ISBLANK(Raw_Data!G2075),AVERAGE(Raw_Data!G$2:G$5002),Raw_Data!G2075)</f>
        <v>14326.63</v>
      </c>
      <c r="H2075" s="15" t="str">
        <f t="shared" si="1"/>
        <v>112905.00</v>
      </c>
      <c r="I2075" s="14" t="str">
        <f t="shared" si="2"/>
        <v>98578.00</v>
      </c>
      <c r="J2075" s="16" t="str">
        <f>TEXT(Raw_Data!J2075,"MMM-YYY")</f>
        <v>Jun-2025</v>
      </c>
      <c r="K2075" s="13" t="str">
        <f>Raw_Data!K2075</f>
        <v>10</v>
      </c>
      <c r="L2075" s="17" t="str">
        <f>Raw_Data!L2075</f>
        <v>Chennai-South</v>
      </c>
      <c r="M2075" s="13" t="str">
        <f t="shared" si="3"/>
        <v>OK</v>
      </c>
      <c r="N2075" s="18" t="str">
        <f t="shared" si="4"/>
        <v>VALID</v>
      </c>
    </row>
    <row r="2076" ht="15.75" customHeight="1">
      <c r="A2076" s="13" t="str">
        <f>Raw_Data!A2076</f>
        <v>EMP2184</v>
      </c>
      <c r="B2076" s="13" t="str">
        <f>TRIM(CLEAN(Raw_Data!B2076))</f>
        <v>HR</v>
      </c>
      <c r="C2076" s="18" t="s">
        <v>54</v>
      </c>
      <c r="D2076" s="14" t="str">
        <f>IF(ISBLANK(Raw_Data!D2076),AVERAGE(Raw_Data!D$2:D$5002),Raw_Data!D2076)</f>
        <v>71914.52</v>
      </c>
      <c r="E2076" s="15" t="str">
        <f>IF(ISBLANK(Raw_Data!E2076),AVERAGE(Raw_Data!E$2:E$5002),Raw_Data!E2076)</f>
        <v>24069.17</v>
      </c>
      <c r="F2076" s="15" t="str">
        <f>IF(ISBLANK(Raw_Data!F2076),AVERAGE(Raw_Data!F$2:F$5002),Raw_Data!F2076)</f>
        <v>16944.38</v>
      </c>
      <c r="G2076" s="14" t="str">
        <f>IF(ISBLANK(Raw_Data!G2076),AVERAGE(Raw_Data!G$2:G$5002),Raw_Data!G2076)</f>
        <v>14330.03</v>
      </c>
      <c r="H2076" s="15" t="str">
        <f t="shared" si="1"/>
        <v>112928.00</v>
      </c>
      <c r="I2076" s="14" t="str">
        <f t="shared" si="2"/>
        <v>98598.00</v>
      </c>
      <c r="J2076" s="16" t="str">
        <f>TEXT(Raw_Data!J2076,"MMM-YYY")</f>
        <v>Oct-2025</v>
      </c>
      <c r="K2076" s="13" t="str">
        <f>Raw_Data!K2076</f>
        <v>20</v>
      </c>
      <c r="L2076" s="17" t="str">
        <f>Raw_Data!L2076</f>
        <v>Kolkata-East</v>
      </c>
      <c r="M2076" s="13" t="str">
        <f t="shared" si="3"/>
        <v>OK</v>
      </c>
      <c r="N2076" s="18" t="str">
        <f t="shared" si="4"/>
        <v>VALID</v>
      </c>
    </row>
    <row r="2077" ht="15.75" customHeight="1">
      <c r="A2077" s="13" t="str">
        <f>Raw_Data!A2077</f>
        <v>EMP2185</v>
      </c>
      <c r="B2077" s="13" t="str">
        <f>TRIM(CLEAN(Raw_Data!B2077))</f>
        <v>Operations</v>
      </c>
      <c r="C2077" s="18" t="s">
        <v>37</v>
      </c>
      <c r="D2077" s="14" t="str">
        <f>IF(ISBLANK(Raw_Data!D2077),AVERAGE(Raw_Data!D$2:D$5002),Raw_Data!D2077)</f>
        <v>71831.17</v>
      </c>
      <c r="E2077" s="15" t="str">
        <f>IF(ISBLANK(Raw_Data!E2077),AVERAGE(Raw_Data!E$2:E$5002),Raw_Data!E2077)</f>
        <v>24073.78</v>
      </c>
      <c r="F2077" s="15" t="str">
        <f>IF(ISBLANK(Raw_Data!F2077),AVERAGE(Raw_Data!F$2:F$5002),Raw_Data!F2077)</f>
        <v>16952.06</v>
      </c>
      <c r="G2077" s="14" t="str">
        <f>IF(ISBLANK(Raw_Data!G2077),AVERAGE(Raw_Data!G$2:G$5002),Raw_Data!G2077)</f>
        <v>14333.43</v>
      </c>
      <c r="H2077" s="15" t="str">
        <f t="shared" si="1"/>
        <v>112857.00</v>
      </c>
      <c r="I2077" s="14" t="str">
        <f t="shared" si="2"/>
        <v>98524.00</v>
      </c>
      <c r="J2077" s="16" t="str">
        <f>TEXT(Raw_Data!J2077,"MMM-YYY")</f>
        <v>Apr-2025</v>
      </c>
      <c r="K2077" s="13" t="str">
        <f>Raw_Data!K2077</f>
        <v>22</v>
      </c>
      <c r="L2077" s="17" t="str">
        <f>Raw_Data!L2077</f>
        <v>Pune-West</v>
      </c>
      <c r="M2077" s="13" t="str">
        <f t="shared" si="3"/>
        <v>OK</v>
      </c>
      <c r="N2077" s="18" t="str">
        <f t="shared" si="4"/>
        <v>VALID</v>
      </c>
    </row>
    <row r="2078" ht="15.75" customHeight="1">
      <c r="A2078" s="13" t="str">
        <f>Raw_Data!A2078</f>
        <v>EMP2186</v>
      </c>
      <c r="B2078" s="13" t="str">
        <f>TRIM(CLEAN(Raw_Data!B2078))</f>
        <v>Customer Support</v>
      </c>
      <c r="C2078" s="18" t="s">
        <v>37</v>
      </c>
      <c r="D2078" s="14" t="str">
        <f>IF(ISBLANK(Raw_Data!D2078),AVERAGE(Raw_Data!D$2:D$5002),Raw_Data!D2078)</f>
        <v>71936.28</v>
      </c>
      <c r="E2078" s="15" t="str">
        <f>IF(ISBLANK(Raw_Data!E2078),AVERAGE(Raw_Data!E$2:E$5002),Raw_Data!E2078)</f>
        <v>24078.40</v>
      </c>
      <c r="F2078" s="15" t="str">
        <f>IF(ISBLANK(Raw_Data!F2078),AVERAGE(Raw_Data!F$2:F$5002),Raw_Data!F2078)</f>
        <v>16959.74</v>
      </c>
      <c r="G2078" s="14" t="str">
        <f>IF(ISBLANK(Raw_Data!G2078),AVERAGE(Raw_Data!G$2:G$5002),Raw_Data!G2078)</f>
        <v>14336.82</v>
      </c>
      <c r="H2078" s="15" t="str">
        <f t="shared" si="1"/>
        <v>112974.00</v>
      </c>
      <c r="I2078" s="14" t="str">
        <f t="shared" si="2"/>
        <v>98637.00</v>
      </c>
      <c r="J2078" s="16" t="str">
        <f>TEXT(Raw_Data!J2078,"MMM-YYY")</f>
        <v>Feb-2025</v>
      </c>
      <c r="K2078" s="13" t="str">
        <f>Raw_Data!K2078</f>
        <v>23</v>
      </c>
      <c r="L2078" s="17" t="str">
        <f>Raw_Data!L2078</f>
        <v>Hyderabad-South</v>
      </c>
      <c r="M2078" s="13" t="str">
        <f t="shared" si="3"/>
        <v>OK</v>
      </c>
      <c r="N2078" s="18" t="str">
        <f t="shared" si="4"/>
        <v>VALID</v>
      </c>
    </row>
    <row r="2079" ht="15.75" customHeight="1">
      <c r="A2079" s="13" t="str">
        <f>Raw_Data!A2079</f>
        <v>EMP2187</v>
      </c>
      <c r="B2079" s="13" t="str">
        <f>TRIM(CLEAN(Raw_Data!B2079))</f>
        <v>Finance</v>
      </c>
      <c r="C2079" s="18" t="s">
        <v>26</v>
      </c>
      <c r="D2079" s="14" t="str">
        <f>IF(ISBLANK(Raw_Data!D2079),AVERAGE(Raw_Data!D$2:D$5002),Raw_Data!D2079)</f>
        <v>71947.16</v>
      </c>
      <c r="E2079" s="15" t="str">
        <f>IF(ISBLANK(Raw_Data!E2079),AVERAGE(Raw_Data!E$2:E$5002),Raw_Data!E2079)</f>
        <v>24083.01</v>
      </c>
      <c r="F2079" s="15" t="str">
        <f>IF(ISBLANK(Raw_Data!F2079),AVERAGE(Raw_Data!F$2:F$5002),Raw_Data!F2079)</f>
        <v>16967.42</v>
      </c>
      <c r="G2079" s="14" t="str">
        <f>IF(ISBLANK(Raw_Data!G2079),AVERAGE(Raw_Data!G$2:G$5002),Raw_Data!G2079)</f>
        <v>14340.22</v>
      </c>
      <c r="H2079" s="15" t="str">
        <f t="shared" si="1"/>
        <v>112998.00</v>
      </c>
      <c r="I2079" s="14" t="str">
        <f t="shared" si="2"/>
        <v>98658.00</v>
      </c>
      <c r="J2079" s="16" t="str">
        <f>TEXT(Raw_Data!J2079,"MMM-YYY")</f>
        <v>May-2025</v>
      </c>
      <c r="K2079" s="13" t="str">
        <f>Raw_Data!K2079</f>
        <v>25</v>
      </c>
      <c r="L2079" s="17" t="str">
        <f>Raw_Data!L2079</f>
        <v>Chandigarh-North</v>
      </c>
      <c r="M2079" s="13" t="str">
        <f t="shared" si="3"/>
        <v>OK</v>
      </c>
      <c r="N2079" s="18" t="str">
        <f t="shared" si="4"/>
        <v>VALID</v>
      </c>
    </row>
    <row r="2080" ht="15.75" customHeight="1">
      <c r="A2080" s="13" t="str">
        <f>Raw_Data!A2080</f>
        <v>EMP2188</v>
      </c>
      <c r="B2080" s="13" t="str">
        <f>TRIM(CLEAN(Raw_Data!B2080))</f>
        <v>Sales</v>
      </c>
      <c r="C2080" s="18" t="s">
        <v>30</v>
      </c>
      <c r="D2080" s="14" t="str">
        <f>IF(ISBLANK(Raw_Data!D2080),AVERAGE(Raw_Data!D$2:D$5002),Raw_Data!D2080)</f>
        <v>71958.05</v>
      </c>
      <c r="E2080" s="15" t="str">
        <f>IF(ISBLANK(Raw_Data!E2080),AVERAGE(Raw_Data!E$2:E$5002),Raw_Data!E2080)</f>
        <v>24087.63</v>
      </c>
      <c r="F2080" s="15" t="str">
        <f>IF(ISBLANK(Raw_Data!F2080),AVERAGE(Raw_Data!F$2:F$5002),Raw_Data!F2080)</f>
        <v>16975.10</v>
      </c>
      <c r="G2080" s="14" t="str">
        <f>IF(ISBLANK(Raw_Data!G2080),AVERAGE(Raw_Data!G$2:G$5002),Raw_Data!G2080)</f>
        <v>14343.62</v>
      </c>
      <c r="H2080" s="15" t="str">
        <f t="shared" si="1"/>
        <v>113021.00</v>
      </c>
      <c r="I2080" s="14" t="str">
        <f t="shared" si="2"/>
        <v>98677.00</v>
      </c>
      <c r="J2080" s="16" t="str">
        <f>TEXT(Raw_Data!J2080,"MMM-YYY")</f>
        <v>Jan-2025</v>
      </c>
      <c r="K2080" s="13" t="str">
        <f>Raw_Data!K2080</f>
        <v>25</v>
      </c>
      <c r="L2080" s="17" t="str">
        <f>Raw_Data!L2080</f>
        <v>Ahmedabad-West</v>
      </c>
      <c r="M2080" s="13" t="str">
        <f t="shared" si="3"/>
        <v>OK</v>
      </c>
      <c r="N2080" s="18" t="str">
        <f t="shared" si="4"/>
        <v>VALID</v>
      </c>
    </row>
    <row r="2081" ht="15.75" customHeight="1">
      <c r="A2081" s="13" t="str">
        <f>Raw_Data!A2081</f>
        <v>EMP2189</v>
      </c>
      <c r="B2081" s="13" t="str">
        <f>TRIM(CLEAN(Raw_Data!B2081))</f>
        <v>HR</v>
      </c>
      <c r="C2081" s="18" t="s">
        <v>18</v>
      </c>
      <c r="D2081" s="14" t="str">
        <f>IF(ISBLANK(Raw_Data!D2081),AVERAGE(Raw_Data!D$2:D$5002),Raw_Data!D2081)</f>
        <v>71968.93</v>
      </c>
      <c r="E2081" s="15" t="str">
        <f>IF(ISBLANK(Raw_Data!E2081),AVERAGE(Raw_Data!E$2:E$5002),Raw_Data!E2081)</f>
        <v>24092.24</v>
      </c>
      <c r="F2081" s="15" t="str">
        <f>IF(ISBLANK(Raw_Data!F2081),AVERAGE(Raw_Data!F$2:F$5002),Raw_Data!F2081)</f>
        <v>16982.78</v>
      </c>
      <c r="G2081" s="14" t="str">
        <f>IF(ISBLANK(Raw_Data!G2081),AVERAGE(Raw_Data!G$2:G$5002),Raw_Data!G2081)</f>
        <v>14347.02</v>
      </c>
      <c r="H2081" s="15" t="str">
        <f t="shared" si="1"/>
        <v>113044.00</v>
      </c>
      <c r="I2081" s="14" t="str">
        <f t="shared" si="2"/>
        <v>98697.00</v>
      </c>
      <c r="J2081" s="16" t="str">
        <f>TEXT(Raw_Data!J2081,"MMM-YYY")</f>
        <v>May-2025</v>
      </c>
      <c r="K2081" s="13" t="str">
        <f>Raw_Data!K2081</f>
        <v>13</v>
      </c>
      <c r="L2081" s="17" t="str">
        <f>Raw_Data!L2081</f>
        <v>Jaipur-North</v>
      </c>
      <c r="M2081" s="13" t="str">
        <f t="shared" si="3"/>
        <v>OK</v>
      </c>
      <c r="N2081" s="18" t="str">
        <f t="shared" si="4"/>
        <v>VALID</v>
      </c>
    </row>
    <row r="2082" ht="15.75" customHeight="1">
      <c r="A2082" s="13" t="str">
        <f>Raw_Data!A2082</f>
        <v>EMP2190</v>
      </c>
      <c r="B2082" s="13" t="str">
        <f>TRIM(CLEAN(Raw_Data!B2082))</f>
        <v>IT</v>
      </c>
      <c r="C2082" s="18" t="s">
        <v>54</v>
      </c>
      <c r="D2082" s="14" t="str">
        <f>IF(ISBLANK(Raw_Data!D2082),AVERAGE(Raw_Data!D$2:D$5002),Raw_Data!D2082)</f>
        <v>71979.81</v>
      </c>
      <c r="E2082" s="15" t="str">
        <f>IF(ISBLANK(Raw_Data!E2082),AVERAGE(Raw_Data!E$2:E$5002),Raw_Data!E2082)</f>
        <v>24096.86</v>
      </c>
      <c r="F2082" s="15" t="str">
        <f>IF(ISBLANK(Raw_Data!F2082),AVERAGE(Raw_Data!F$2:F$5002),Raw_Data!F2082)</f>
        <v>16990.46</v>
      </c>
      <c r="G2082" s="14" t="str">
        <f>IF(ISBLANK(Raw_Data!G2082),AVERAGE(Raw_Data!G$2:G$5002),Raw_Data!G2082)</f>
        <v>14350.41</v>
      </c>
      <c r="H2082" s="15" t="str">
        <f t="shared" si="1"/>
        <v>113067.00</v>
      </c>
      <c r="I2082" s="14" t="str">
        <f t="shared" si="2"/>
        <v>98717.00</v>
      </c>
      <c r="J2082" s="16" t="str">
        <f>TEXT(Raw_Data!J2082,"MMM-YYY")</f>
        <v>Nov-2025</v>
      </c>
      <c r="K2082" s="13" t="str">
        <f>Raw_Data!K2082</f>
        <v>2</v>
      </c>
      <c r="L2082" s="17" t="str">
        <f>Raw_Data!L2082</f>
        <v>Mumbai-HO</v>
      </c>
      <c r="M2082" s="13" t="str">
        <f t="shared" si="3"/>
        <v>OK</v>
      </c>
      <c r="N2082" s="18" t="str">
        <f t="shared" si="4"/>
        <v>VALID</v>
      </c>
    </row>
    <row r="2083" ht="15.75" customHeight="1">
      <c r="A2083" s="13" t="str">
        <f>Raw_Data!A2083</f>
        <v>EMP2191</v>
      </c>
      <c r="B2083" s="13" t="str">
        <f>TRIM(CLEAN(Raw_Data!B2083))</f>
        <v>Operations</v>
      </c>
      <c r="C2083" s="18" t="s">
        <v>14</v>
      </c>
      <c r="D2083" s="14" t="str">
        <f>IF(ISBLANK(Raw_Data!D2083),AVERAGE(Raw_Data!D$2:D$5002),Raw_Data!D2083)</f>
        <v>71990.70</v>
      </c>
      <c r="E2083" s="15" t="str">
        <f>IF(ISBLANK(Raw_Data!E2083),AVERAGE(Raw_Data!E$2:E$5002),Raw_Data!E2083)</f>
        <v>24101.47</v>
      </c>
      <c r="F2083" s="15" t="str">
        <f>IF(ISBLANK(Raw_Data!F2083),AVERAGE(Raw_Data!F$2:F$5002),Raw_Data!F2083)</f>
        <v>16998.14</v>
      </c>
      <c r="G2083" s="14" t="str">
        <f>IF(ISBLANK(Raw_Data!G2083),AVERAGE(Raw_Data!G$2:G$5002),Raw_Data!G2083)</f>
        <v>14353.81</v>
      </c>
      <c r="H2083" s="15" t="str">
        <f t="shared" si="1"/>
        <v>113090.00</v>
      </c>
      <c r="I2083" s="14" t="str">
        <f t="shared" si="2"/>
        <v>98736.00</v>
      </c>
      <c r="J2083" s="16" t="str">
        <f>TEXT(Raw_Data!J2083,"MMM-YYY")</f>
        <v>Mar-2025</v>
      </c>
      <c r="K2083" s="13" t="str">
        <f>Raw_Data!K2083</f>
        <v>24</v>
      </c>
      <c r="L2083" s="17" t="str">
        <f>Raw_Data!L2083</f>
        <v>Delhi-North</v>
      </c>
      <c r="M2083" s="13" t="str">
        <f t="shared" si="3"/>
        <v>OK</v>
      </c>
      <c r="N2083" s="18" t="str">
        <f t="shared" si="4"/>
        <v>VALID</v>
      </c>
    </row>
    <row r="2084" ht="15.75" customHeight="1">
      <c r="A2084" s="13" t="str">
        <f>Raw_Data!A2084</f>
        <v>EMP2192</v>
      </c>
      <c r="B2084" s="13" t="str">
        <f>TRIM(CLEAN(Raw_Data!B2084))</f>
        <v>HR</v>
      </c>
      <c r="C2084" s="18" t="s">
        <v>14</v>
      </c>
      <c r="D2084" s="14" t="str">
        <f>IF(ISBLANK(Raw_Data!D2084),AVERAGE(Raw_Data!D$2:D$5002),Raw_Data!D2084)</f>
        <v>72001.58</v>
      </c>
      <c r="E2084" s="15" t="str">
        <f>IF(ISBLANK(Raw_Data!E2084),AVERAGE(Raw_Data!E$2:E$5002),Raw_Data!E2084)</f>
        <v>24106.09</v>
      </c>
      <c r="F2084" s="15" t="str">
        <f>IF(ISBLANK(Raw_Data!F2084),AVERAGE(Raw_Data!F$2:F$5002),Raw_Data!F2084)</f>
        <v>17005.82</v>
      </c>
      <c r="G2084" s="14" t="str">
        <f>IF(ISBLANK(Raw_Data!G2084),AVERAGE(Raw_Data!G$2:G$5002),Raw_Data!G2084)</f>
        <v>14357.21</v>
      </c>
      <c r="H2084" s="15" t="str">
        <f t="shared" si="1"/>
        <v>113113.00</v>
      </c>
      <c r="I2084" s="14" t="str">
        <f t="shared" si="2"/>
        <v>98756.00</v>
      </c>
      <c r="J2084" s="16" t="str">
        <f>TEXT(Raw_Data!J2084,"MMM-YYY")</f>
        <v>Aug-2025</v>
      </c>
      <c r="K2084" s="13" t="str">
        <f>Raw_Data!K2084</f>
        <v>6</v>
      </c>
      <c r="L2084" s="17" t="str">
        <f>Raw_Data!L2084</f>
        <v>Bangalore-South</v>
      </c>
      <c r="M2084" s="13" t="str">
        <f t="shared" si="3"/>
        <v>OK</v>
      </c>
      <c r="N2084" s="18" t="str">
        <f t="shared" si="4"/>
        <v>VALID</v>
      </c>
    </row>
    <row r="2085" ht="15.75" customHeight="1">
      <c r="A2085" s="13" t="str">
        <f>Raw_Data!A2085</f>
        <v>EMP2193</v>
      </c>
      <c r="B2085" s="13" t="str">
        <f>TRIM(CLEAN(Raw_Data!B2085))</f>
        <v>HR</v>
      </c>
      <c r="C2085" s="18" t="s">
        <v>26</v>
      </c>
      <c r="D2085" s="14" t="str">
        <f>IF(ISBLANK(Raw_Data!D2085),AVERAGE(Raw_Data!D$2:D$5002),Raw_Data!D2085)</f>
        <v>72012.46</v>
      </c>
      <c r="E2085" s="15" t="str">
        <f>IF(ISBLANK(Raw_Data!E2085),AVERAGE(Raw_Data!E$2:E$5002),Raw_Data!E2085)</f>
        <v>24110.70</v>
      </c>
      <c r="F2085" s="15" t="str">
        <f>IF(ISBLANK(Raw_Data!F2085),AVERAGE(Raw_Data!F$2:F$5002),Raw_Data!F2085)</f>
        <v>17013.50</v>
      </c>
      <c r="G2085" s="14" t="str">
        <f>IF(ISBLANK(Raw_Data!G2085),AVERAGE(Raw_Data!G$2:G$5002),Raw_Data!G2085)</f>
        <v>14360.61</v>
      </c>
      <c r="H2085" s="15" t="str">
        <f t="shared" si="1"/>
        <v>113137.00</v>
      </c>
      <c r="I2085" s="14" t="str">
        <f t="shared" si="2"/>
        <v>98776.00</v>
      </c>
      <c r="J2085" s="16" t="str">
        <f>TEXT(Raw_Data!J2085,"MMM-YYY")</f>
        <v>Nov-2025</v>
      </c>
      <c r="K2085" s="13" t="str">
        <f>Raw_Data!K2085</f>
        <v>8</v>
      </c>
      <c r="L2085" s="17" t="str">
        <f>Raw_Data!L2085</f>
        <v>Chennai-South</v>
      </c>
      <c r="M2085" s="13" t="str">
        <f t="shared" si="3"/>
        <v>OK</v>
      </c>
      <c r="N2085" s="18" t="str">
        <f t="shared" si="4"/>
        <v>VALID</v>
      </c>
    </row>
    <row r="2086" ht="15.75" customHeight="1">
      <c r="A2086" s="13" t="str">
        <f>Raw_Data!A2086</f>
        <v>EMP2194</v>
      </c>
      <c r="B2086" s="13" t="str">
        <f>TRIM(CLEAN(Raw_Data!B2086))</f>
        <v>Sales</v>
      </c>
      <c r="C2086" s="18" t="s">
        <v>26</v>
      </c>
      <c r="D2086" s="14" t="str">
        <f>IF(ISBLANK(Raw_Data!D2086),AVERAGE(Raw_Data!D$2:D$5002),Raw_Data!D2086)</f>
        <v>72023.35</v>
      </c>
      <c r="E2086" s="15" t="str">
        <f>IF(ISBLANK(Raw_Data!E2086),AVERAGE(Raw_Data!E$2:E$5002),Raw_Data!E2086)</f>
        <v>24115.32</v>
      </c>
      <c r="F2086" s="15" t="str">
        <f>IF(ISBLANK(Raw_Data!F2086),AVERAGE(Raw_Data!F$2:F$5002),Raw_Data!F2086)</f>
        <v>17021.18</v>
      </c>
      <c r="G2086" s="14" t="str">
        <f>IF(ISBLANK(Raw_Data!G2086),AVERAGE(Raw_Data!G$2:G$5002),Raw_Data!G2086)</f>
        <v>14364.01</v>
      </c>
      <c r="H2086" s="15" t="str">
        <f t="shared" si="1"/>
        <v>113160.00</v>
      </c>
      <c r="I2086" s="14" t="str">
        <f t="shared" si="2"/>
        <v>98796.00</v>
      </c>
      <c r="J2086" s="16" t="str">
        <f>TEXT(Raw_Data!J2086,"MMM-YYY")</f>
        <v>Jul-2025</v>
      </c>
      <c r="K2086" s="13" t="str">
        <f>Raw_Data!K2086</f>
        <v>8</v>
      </c>
      <c r="L2086" s="17" t="str">
        <f>Raw_Data!L2086</f>
        <v>Kolkata-East</v>
      </c>
      <c r="M2086" s="13" t="str">
        <f t="shared" si="3"/>
        <v>OK</v>
      </c>
      <c r="N2086" s="18" t="str">
        <f t="shared" si="4"/>
        <v>VALID</v>
      </c>
    </row>
    <row r="2087" ht="15.75" customHeight="1">
      <c r="A2087" s="13" t="str">
        <f>Raw_Data!A2087</f>
        <v>EMP2195</v>
      </c>
      <c r="B2087" s="13" t="str">
        <f>TRIM(CLEAN(Raw_Data!B2087))</f>
        <v>IT</v>
      </c>
      <c r="C2087" s="18" t="s">
        <v>26</v>
      </c>
      <c r="D2087" s="14" t="str">
        <f>IF(ISBLANK(Raw_Data!D2087),AVERAGE(Raw_Data!D$2:D$5002),Raw_Data!D2087)</f>
        <v>72034.23</v>
      </c>
      <c r="E2087" s="15" t="str">
        <f>IF(ISBLANK(Raw_Data!E2087),AVERAGE(Raw_Data!E$2:E$5002),Raw_Data!E2087)</f>
        <v>24119.93</v>
      </c>
      <c r="F2087" s="15" t="str">
        <f>IF(ISBLANK(Raw_Data!F2087),AVERAGE(Raw_Data!F$2:F$5002),Raw_Data!F2087)</f>
        <v>17028.86</v>
      </c>
      <c r="G2087" s="14" t="str">
        <f>IF(ISBLANK(Raw_Data!G2087),AVERAGE(Raw_Data!G$2:G$5002),Raw_Data!G2087)</f>
        <v>14367.40</v>
      </c>
      <c r="H2087" s="15" t="str">
        <f t="shared" si="1"/>
        <v>113183.00</v>
      </c>
      <c r="I2087" s="14" t="str">
        <f t="shared" si="2"/>
        <v>98816.00</v>
      </c>
      <c r="J2087" s="16" t="str">
        <f>TEXT(Raw_Data!J2087,"MMM-YYY")</f>
        <v>Aug-2025</v>
      </c>
      <c r="K2087" s="13" t="str">
        <f>Raw_Data!K2087</f>
        <v>2</v>
      </c>
      <c r="L2087" s="17" t="str">
        <f>Raw_Data!L2087</f>
        <v>Pune-West</v>
      </c>
      <c r="M2087" s="13" t="str">
        <f t="shared" si="3"/>
        <v>OK</v>
      </c>
      <c r="N2087" s="18" t="str">
        <f t="shared" si="4"/>
        <v>VALID</v>
      </c>
    </row>
    <row r="2088" ht="15.75" customHeight="1">
      <c r="A2088" s="13" t="str">
        <f>Raw_Data!A2088</f>
        <v>EMP2196</v>
      </c>
      <c r="B2088" s="13" t="str">
        <f>TRIM(CLEAN(Raw_Data!B2088))</f>
        <v>Finance</v>
      </c>
      <c r="C2088" s="18" t="s">
        <v>18</v>
      </c>
      <c r="D2088" s="14" t="str">
        <f>IF(ISBLANK(Raw_Data!D2088),AVERAGE(Raw_Data!D$2:D$5002),Raw_Data!D2088)</f>
        <v>72045.11</v>
      </c>
      <c r="E2088" s="15" t="str">
        <f>IF(ISBLANK(Raw_Data!E2088),AVERAGE(Raw_Data!E$2:E$5002),Raw_Data!E2088)</f>
        <v>24124.55</v>
      </c>
      <c r="F2088" s="15" t="str">
        <f>IF(ISBLANK(Raw_Data!F2088),AVERAGE(Raw_Data!F$2:F$5002),Raw_Data!F2088)</f>
        <v>17036.54</v>
      </c>
      <c r="G2088" s="14" t="str">
        <f>IF(ISBLANK(Raw_Data!G2088),AVERAGE(Raw_Data!G$2:G$5002),Raw_Data!G2088)</f>
        <v>14370.80</v>
      </c>
      <c r="H2088" s="15" t="str">
        <f t="shared" si="1"/>
        <v>113206.00</v>
      </c>
      <c r="I2088" s="14" t="str">
        <f t="shared" si="2"/>
        <v>98835.00</v>
      </c>
      <c r="J2088" s="16" t="str">
        <f>TEXT(Raw_Data!J2088,"MMM-YYY")</f>
        <v>Aug-2025</v>
      </c>
      <c r="K2088" s="13" t="str">
        <f>Raw_Data!K2088</f>
        <v>22</v>
      </c>
      <c r="L2088" s="17" t="str">
        <f>Raw_Data!L2088</f>
        <v>Hyderabad-South</v>
      </c>
      <c r="M2088" s="13" t="str">
        <f t="shared" si="3"/>
        <v>OK</v>
      </c>
      <c r="N2088" s="18" t="str">
        <f t="shared" si="4"/>
        <v>VALID</v>
      </c>
    </row>
    <row r="2089" ht="15.75" customHeight="1">
      <c r="A2089" s="13" t="str">
        <f>Raw_Data!A2089</f>
        <v>EMP2197</v>
      </c>
      <c r="B2089" s="13" t="str">
        <f>TRIM(CLEAN(Raw_Data!B2089))</f>
        <v>Customer Support</v>
      </c>
      <c r="C2089" s="18" t="s">
        <v>54</v>
      </c>
      <c r="D2089" s="14" t="str">
        <f>IF(ISBLANK(Raw_Data!D2089),AVERAGE(Raw_Data!D$2:D$5002),Raw_Data!D2089)</f>
        <v>72055.99</v>
      </c>
      <c r="E2089" s="15" t="str">
        <f>IF(ISBLANK(Raw_Data!E2089),AVERAGE(Raw_Data!E$2:E$5002),Raw_Data!E2089)</f>
        <v>24129.16</v>
      </c>
      <c r="F2089" s="15" t="str">
        <f>IF(ISBLANK(Raw_Data!F2089),AVERAGE(Raw_Data!F$2:F$5002),Raw_Data!F2089)</f>
        <v>17044.22</v>
      </c>
      <c r="G2089" s="14" t="str">
        <f>IF(ISBLANK(Raw_Data!G2089),AVERAGE(Raw_Data!G$2:G$5002),Raw_Data!G2089)</f>
        <v>14374.20</v>
      </c>
      <c r="H2089" s="15" t="str">
        <f t="shared" si="1"/>
        <v>113229.00</v>
      </c>
      <c r="I2089" s="14" t="str">
        <f t="shared" si="2"/>
        <v>98855.00</v>
      </c>
      <c r="J2089" s="16" t="str">
        <f>TEXT(Raw_Data!J2089,"MMM-YYY")</f>
        <v>Jun-2025</v>
      </c>
      <c r="K2089" s="13" t="str">
        <f>Raw_Data!K2089</f>
        <v>6</v>
      </c>
      <c r="L2089" s="17" t="str">
        <f>Raw_Data!L2089</f>
        <v>Chandigarh-North</v>
      </c>
      <c r="M2089" s="13" t="str">
        <f t="shared" si="3"/>
        <v>OK</v>
      </c>
      <c r="N2089" s="18" t="str">
        <f t="shared" si="4"/>
        <v>VALID</v>
      </c>
    </row>
    <row r="2090" ht="15.75" customHeight="1">
      <c r="A2090" s="13" t="str">
        <f>Raw_Data!A2090</f>
        <v>EMP2198</v>
      </c>
      <c r="B2090" s="13" t="str">
        <f>TRIM(CLEAN(Raw_Data!B2090))</f>
        <v>Operations</v>
      </c>
      <c r="C2090" s="18" t="s">
        <v>30</v>
      </c>
      <c r="D2090" s="14" t="str">
        <f>IF(ISBLANK(Raw_Data!D2090),AVERAGE(Raw_Data!D$2:D$5002),Raw_Data!D2090)</f>
        <v>72066.88</v>
      </c>
      <c r="E2090" s="15" t="str">
        <f>IF(ISBLANK(Raw_Data!E2090),AVERAGE(Raw_Data!E$2:E$5002),Raw_Data!E2090)</f>
        <v>24133.78</v>
      </c>
      <c r="F2090" s="15" t="str">
        <f>IF(ISBLANK(Raw_Data!F2090),AVERAGE(Raw_Data!F$2:F$5002),Raw_Data!F2090)</f>
        <v>17051.90</v>
      </c>
      <c r="G2090" s="14" t="str">
        <f>IF(ISBLANK(Raw_Data!G2090),AVERAGE(Raw_Data!G$2:G$5002),Raw_Data!G2090)</f>
        <v>14377.60</v>
      </c>
      <c r="H2090" s="15" t="str">
        <f t="shared" si="1"/>
        <v>113253.00</v>
      </c>
      <c r="I2090" s="14" t="str">
        <f t="shared" si="2"/>
        <v>98875.00</v>
      </c>
      <c r="J2090" s="16" t="str">
        <f>TEXT(Raw_Data!J2090,"MMM-YYY")</f>
        <v>Jun-2025</v>
      </c>
      <c r="K2090" s="13" t="str">
        <f>Raw_Data!K2090</f>
        <v>18</v>
      </c>
      <c r="L2090" s="17" t="str">
        <f>Raw_Data!L2090</f>
        <v>Ahmedabad-West</v>
      </c>
      <c r="M2090" s="13" t="str">
        <f t="shared" si="3"/>
        <v>OK</v>
      </c>
      <c r="N2090" s="18" t="str">
        <f t="shared" si="4"/>
        <v>VALID</v>
      </c>
    </row>
    <row r="2091" ht="15.75" customHeight="1">
      <c r="A2091" s="13" t="str">
        <f>Raw_Data!A2091</f>
        <v>EMP2199</v>
      </c>
      <c r="B2091" s="13" t="str">
        <f>TRIM(CLEAN(Raw_Data!B2091))</f>
        <v>Marketing</v>
      </c>
      <c r="C2091" s="18" t="s">
        <v>54</v>
      </c>
      <c r="D2091" s="14" t="str">
        <f>IF(ISBLANK(Raw_Data!D2091),AVERAGE(Raw_Data!D$2:D$5002),Raw_Data!D2091)</f>
        <v>72077.76</v>
      </c>
      <c r="E2091" s="15" t="str">
        <f>IF(ISBLANK(Raw_Data!E2091),AVERAGE(Raw_Data!E$2:E$5002),Raw_Data!E2091)</f>
        <v>24138.39</v>
      </c>
      <c r="F2091" s="15" t="str">
        <f>IF(ISBLANK(Raw_Data!F2091),AVERAGE(Raw_Data!F$2:F$5002),Raw_Data!F2091)</f>
        <v>17059.58</v>
      </c>
      <c r="G2091" s="14" t="str">
        <f>IF(ISBLANK(Raw_Data!G2091),AVERAGE(Raw_Data!G$2:G$5002),Raw_Data!G2091)</f>
        <v>14380.99</v>
      </c>
      <c r="H2091" s="15" t="str">
        <f t="shared" si="1"/>
        <v>113276.00</v>
      </c>
      <c r="I2091" s="14" t="str">
        <f t="shared" si="2"/>
        <v>98895.00</v>
      </c>
      <c r="J2091" s="16" t="str">
        <f>TEXT(Raw_Data!J2091,"MMM-YYY")</f>
        <v>Jan-2025</v>
      </c>
      <c r="K2091" s="13" t="str">
        <f>Raw_Data!K2091</f>
        <v>24</v>
      </c>
      <c r="L2091" s="17" t="str">
        <f>Raw_Data!L2091</f>
        <v>Jaipur-North</v>
      </c>
      <c r="M2091" s="13" t="str">
        <f t="shared" si="3"/>
        <v>OK</v>
      </c>
      <c r="N2091" s="18" t="str">
        <f t="shared" si="4"/>
        <v>VALID</v>
      </c>
    </row>
    <row r="2092" ht="15.75" customHeight="1">
      <c r="A2092" s="13" t="str">
        <f>Raw_Data!A2092</f>
        <v>EMP2201</v>
      </c>
      <c r="B2092" s="13" t="str">
        <f>TRIM(CLEAN(Raw_Data!B2092))</f>
        <v>Sales</v>
      </c>
      <c r="C2092" s="18" t="s">
        <v>33</v>
      </c>
      <c r="D2092" s="14" t="str">
        <f>IF(ISBLANK(Raw_Data!D2092),AVERAGE(Raw_Data!D$2:D$5002),Raw_Data!D2092)</f>
        <v>72099.53</v>
      </c>
      <c r="E2092" s="15" t="str">
        <f>IF(ISBLANK(Raw_Data!E2092),AVERAGE(Raw_Data!E$2:E$5002),Raw_Data!E2092)</f>
        <v>24147.62</v>
      </c>
      <c r="F2092" s="15" t="str">
        <f>IF(ISBLANK(Raw_Data!F2092),AVERAGE(Raw_Data!F$2:F$5002),Raw_Data!F2092)</f>
        <v>17074.94</v>
      </c>
      <c r="G2092" s="14" t="str">
        <f>IF(ISBLANK(Raw_Data!G2092),AVERAGE(Raw_Data!G$2:G$5002),Raw_Data!G2092)</f>
        <v>14387.79</v>
      </c>
      <c r="H2092" s="15" t="str">
        <f t="shared" si="1"/>
        <v>113322.00</v>
      </c>
      <c r="I2092" s="14" t="str">
        <f t="shared" si="2"/>
        <v>98934.00</v>
      </c>
      <c r="J2092" s="16" t="str">
        <f>TEXT(Raw_Data!J2092,"MMM-YYY")</f>
        <v>Mar-2025</v>
      </c>
      <c r="K2092" s="13" t="str">
        <f>Raw_Data!K2092</f>
        <v>6</v>
      </c>
      <c r="L2092" s="17" t="str">
        <f>Raw_Data!L2092</f>
        <v>Delhi-North</v>
      </c>
      <c r="M2092" s="13" t="str">
        <f t="shared" si="3"/>
        <v>OK</v>
      </c>
      <c r="N2092" s="18" t="str">
        <f t="shared" si="4"/>
        <v>VALID</v>
      </c>
    </row>
    <row r="2093" ht="15.75" customHeight="1">
      <c r="A2093" s="13" t="str">
        <f>Raw_Data!A2093</f>
        <v>EMP2202</v>
      </c>
      <c r="B2093" s="13" t="str">
        <f>TRIM(CLEAN(Raw_Data!B2093))</f>
        <v>Operations</v>
      </c>
      <c r="C2093" s="18" t="s">
        <v>26</v>
      </c>
      <c r="D2093" s="14" t="str">
        <f>IF(ISBLANK(Raw_Data!D2093),AVERAGE(Raw_Data!D$2:D$5002),Raw_Data!D2093)</f>
        <v>72110.41</v>
      </c>
      <c r="E2093" s="15" t="str">
        <f>IF(ISBLANK(Raw_Data!E2093),AVERAGE(Raw_Data!E$2:E$5002),Raw_Data!E2093)</f>
        <v>24152.23</v>
      </c>
      <c r="F2093" s="15" t="str">
        <f>IF(ISBLANK(Raw_Data!F2093),AVERAGE(Raw_Data!F$2:F$5002),Raw_Data!F2093)</f>
        <v>17082.62</v>
      </c>
      <c r="G2093" s="14" t="str">
        <f>IF(ISBLANK(Raw_Data!G2093),AVERAGE(Raw_Data!G$2:G$5002),Raw_Data!G2093)</f>
        <v>14391.19</v>
      </c>
      <c r="H2093" s="15" t="str">
        <f t="shared" si="1"/>
        <v>113345.00</v>
      </c>
      <c r="I2093" s="14" t="str">
        <f t="shared" si="2"/>
        <v>98954.00</v>
      </c>
      <c r="J2093" s="16" t="str">
        <f>TEXT(Raw_Data!J2093,"MMM-YYY")</f>
        <v>Nov-2025</v>
      </c>
      <c r="K2093" s="13" t="str">
        <f>Raw_Data!K2093</f>
        <v>14</v>
      </c>
      <c r="L2093" s="17" t="str">
        <f>Raw_Data!L2093</f>
        <v>Bangalore-South</v>
      </c>
      <c r="M2093" s="13" t="str">
        <f t="shared" si="3"/>
        <v>OK</v>
      </c>
      <c r="N2093" s="18" t="str">
        <f t="shared" si="4"/>
        <v>VALID</v>
      </c>
    </row>
    <row r="2094" ht="15.75" customHeight="1">
      <c r="A2094" s="13" t="str">
        <f>Raw_Data!A2094</f>
        <v>EMP2203</v>
      </c>
      <c r="B2094" s="13" t="str">
        <f>TRIM(CLEAN(Raw_Data!B2094))</f>
        <v>HR</v>
      </c>
      <c r="C2094" s="18" t="s">
        <v>18</v>
      </c>
      <c r="D2094" s="14" t="str">
        <f>IF(ISBLANK(Raw_Data!D2094),AVERAGE(Raw_Data!D$2:D$5002),Raw_Data!D2094)</f>
        <v>72121.29</v>
      </c>
      <c r="E2094" s="15" t="str">
        <f>IF(ISBLANK(Raw_Data!E2094),AVERAGE(Raw_Data!E$2:E$5002),Raw_Data!E2094)</f>
        <v>24156.85</v>
      </c>
      <c r="F2094" s="15" t="str">
        <f>IF(ISBLANK(Raw_Data!F2094),AVERAGE(Raw_Data!F$2:F$5002),Raw_Data!F2094)</f>
        <v>17090.30</v>
      </c>
      <c r="G2094" s="14" t="str">
        <f>IF(ISBLANK(Raw_Data!G2094),AVERAGE(Raw_Data!G$2:G$5002),Raw_Data!G2094)</f>
        <v>14394.58</v>
      </c>
      <c r="H2094" s="15" t="str">
        <f t="shared" si="1"/>
        <v>113368.00</v>
      </c>
      <c r="I2094" s="14" t="str">
        <f t="shared" si="2"/>
        <v>98973.00</v>
      </c>
      <c r="J2094" s="16" t="str">
        <f>TEXT(Raw_Data!J2094,"MMM-YYY")</f>
        <v>May-2025</v>
      </c>
      <c r="K2094" s="13" t="str">
        <f>Raw_Data!K2094</f>
        <v>13</v>
      </c>
      <c r="L2094" s="17" t="str">
        <f>Raw_Data!L2094</f>
        <v>Chennai-South</v>
      </c>
      <c r="M2094" s="13" t="str">
        <f t="shared" si="3"/>
        <v>OK</v>
      </c>
      <c r="N2094" s="18" t="str">
        <f t="shared" si="4"/>
        <v>VALID</v>
      </c>
    </row>
    <row r="2095" ht="15.75" customHeight="1">
      <c r="A2095" s="13" t="str">
        <f>Raw_Data!A2095</f>
        <v>EMP2204</v>
      </c>
      <c r="B2095" s="13" t="str">
        <f>TRIM(CLEAN(Raw_Data!B2095))</f>
        <v>Sales</v>
      </c>
      <c r="C2095" s="18" t="s">
        <v>30</v>
      </c>
      <c r="D2095" s="14" t="str">
        <f>IF(ISBLANK(Raw_Data!D2095),AVERAGE(Raw_Data!D$2:D$5002),Raw_Data!D2095)</f>
        <v>72132.17</v>
      </c>
      <c r="E2095" s="15" t="str">
        <f>IF(ISBLANK(Raw_Data!E2095),AVERAGE(Raw_Data!E$2:E$5002),Raw_Data!E2095)</f>
        <v>24161.46</v>
      </c>
      <c r="F2095" s="15" t="str">
        <f>IF(ISBLANK(Raw_Data!F2095),AVERAGE(Raw_Data!F$2:F$5002),Raw_Data!F2095)</f>
        <v>17097.98</v>
      </c>
      <c r="G2095" s="14" t="str">
        <f>IF(ISBLANK(Raw_Data!G2095),AVERAGE(Raw_Data!G$2:G$5002),Raw_Data!G2095)</f>
        <v>14397.98</v>
      </c>
      <c r="H2095" s="15" t="str">
        <f t="shared" si="1"/>
        <v>113392.00</v>
      </c>
      <c r="I2095" s="14" t="str">
        <f t="shared" si="2"/>
        <v>98994.00</v>
      </c>
      <c r="J2095" s="16" t="str">
        <f>TEXT(Raw_Data!J2095,"MMM-YYY")</f>
        <v>Oct-2025</v>
      </c>
      <c r="K2095" s="13" t="str">
        <f>Raw_Data!K2095</f>
        <v>10</v>
      </c>
      <c r="L2095" s="17" t="str">
        <f>Raw_Data!L2095</f>
        <v>Kolkata-East</v>
      </c>
      <c r="M2095" s="13" t="str">
        <f t="shared" si="3"/>
        <v>OK</v>
      </c>
      <c r="N2095" s="18" t="str">
        <f t="shared" si="4"/>
        <v>VALID</v>
      </c>
    </row>
    <row r="2096" ht="15.75" customHeight="1">
      <c r="A2096" s="13" t="str">
        <f>Raw_Data!A2096</f>
        <v>EMP2205</v>
      </c>
      <c r="B2096" s="13" t="str">
        <f>TRIM(CLEAN(Raw_Data!B2096))</f>
        <v>Operations</v>
      </c>
      <c r="C2096" s="18" t="s">
        <v>14</v>
      </c>
      <c r="D2096" s="14" t="str">
        <f>IF(ISBLANK(Raw_Data!D2096),AVERAGE(Raw_Data!D$2:D$5002),Raw_Data!D2096)</f>
        <v>72143.06</v>
      </c>
      <c r="E2096" s="15" t="str">
        <f>IF(ISBLANK(Raw_Data!E2096),AVERAGE(Raw_Data!E$2:E$5002),Raw_Data!E2096)</f>
        <v>24166.08</v>
      </c>
      <c r="F2096" s="15" t="str">
        <f>IF(ISBLANK(Raw_Data!F2096),AVERAGE(Raw_Data!F$2:F$5002),Raw_Data!F2096)</f>
        <v>17105.66</v>
      </c>
      <c r="G2096" s="14" t="str">
        <f>IF(ISBLANK(Raw_Data!G2096),AVERAGE(Raw_Data!G$2:G$5002),Raw_Data!G2096)</f>
        <v>14401.38</v>
      </c>
      <c r="H2096" s="15" t="str">
        <f t="shared" si="1"/>
        <v>113415.00</v>
      </c>
      <c r="I2096" s="14" t="str">
        <f t="shared" si="2"/>
        <v>99014.00</v>
      </c>
      <c r="J2096" s="16" t="str">
        <f>TEXT(Raw_Data!J2096,"MMM-YYY")</f>
        <v>May-2025</v>
      </c>
      <c r="K2096" s="13" t="str">
        <f>Raw_Data!K2096</f>
        <v>15</v>
      </c>
      <c r="L2096" s="17" t="str">
        <f>Raw_Data!L2096</f>
        <v>Chandigarh-North</v>
      </c>
      <c r="M2096" s="13" t="str">
        <f t="shared" si="3"/>
        <v>OK</v>
      </c>
      <c r="N2096" s="18" t="str">
        <f t="shared" si="4"/>
        <v>VALID</v>
      </c>
    </row>
    <row r="2097" ht="15.75" customHeight="1">
      <c r="A2097" s="13" t="str">
        <f>Raw_Data!A2097</f>
        <v>EMP2206</v>
      </c>
      <c r="B2097" s="13" t="str">
        <f>TRIM(CLEAN(Raw_Data!B2097))</f>
        <v>HR</v>
      </c>
      <c r="C2097" s="18" t="s">
        <v>37</v>
      </c>
      <c r="D2097" s="14" t="str">
        <f>IF(ISBLANK(Raw_Data!D2097),AVERAGE(Raw_Data!D$2:D$5002),Raw_Data!D2097)</f>
        <v>72153.94</v>
      </c>
      <c r="E2097" s="15" t="str">
        <f>IF(ISBLANK(Raw_Data!E2097),AVERAGE(Raw_Data!E$2:E$5002),Raw_Data!E2097)</f>
        <v>24170.69</v>
      </c>
      <c r="F2097" s="15" t="str">
        <f>IF(ISBLANK(Raw_Data!F2097),AVERAGE(Raw_Data!F$2:F$5002),Raw_Data!F2097)</f>
        <v>17113.34</v>
      </c>
      <c r="G2097" s="14" t="str">
        <f>IF(ISBLANK(Raw_Data!G2097),AVERAGE(Raw_Data!G$2:G$5002),Raw_Data!G2097)</f>
        <v>14404.78</v>
      </c>
      <c r="H2097" s="15" t="str">
        <f t="shared" si="1"/>
        <v>113438.00</v>
      </c>
      <c r="I2097" s="14" t="str">
        <f t="shared" si="2"/>
        <v>99033.00</v>
      </c>
      <c r="J2097" s="16" t="str">
        <f>TEXT(Raw_Data!J2097,"MMM-YYY")</f>
        <v>Feb-2025</v>
      </c>
      <c r="K2097" s="13" t="str">
        <f>Raw_Data!K2097</f>
        <v>25</v>
      </c>
      <c r="L2097" s="17" t="str">
        <f>Raw_Data!L2097</f>
        <v>Kolkata-East</v>
      </c>
      <c r="M2097" s="13" t="str">
        <f t="shared" si="3"/>
        <v>OK</v>
      </c>
      <c r="N2097" s="18" t="str">
        <f t="shared" si="4"/>
        <v>VALID</v>
      </c>
    </row>
    <row r="2098" ht="15.75" customHeight="1">
      <c r="A2098" s="13" t="str">
        <f>Raw_Data!A2098</f>
        <v>EMP2207</v>
      </c>
      <c r="B2098" s="13" t="str">
        <f>TRIM(CLEAN(Raw_Data!B2098))</f>
        <v>Finance</v>
      </c>
      <c r="C2098" s="18" t="s">
        <v>14</v>
      </c>
      <c r="D2098" s="14" t="str">
        <f>IF(ISBLANK(Raw_Data!D2098),AVERAGE(Raw_Data!D$2:D$5002),Raw_Data!D2098)</f>
        <v>72164.82</v>
      </c>
      <c r="E2098" s="15" t="str">
        <f>IF(ISBLANK(Raw_Data!E2098),AVERAGE(Raw_Data!E$2:E$5002),Raw_Data!E2098)</f>
        <v>24175.31</v>
      </c>
      <c r="F2098" s="15" t="str">
        <f>IF(ISBLANK(Raw_Data!F2098),AVERAGE(Raw_Data!F$2:F$5002),Raw_Data!F2098)</f>
        <v>17121.02</v>
      </c>
      <c r="G2098" s="14" t="str">
        <f>IF(ISBLANK(Raw_Data!G2098),AVERAGE(Raw_Data!G$2:G$5002),Raw_Data!G2098)</f>
        <v>14408.17</v>
      </c>
      <c r="H2098" s="15" t="str">
        <f t="shared" si="1"/>
        <v>113461.00</v>
      </c>
      <c r="I2098" s="14" t="str">
        <f t="shared" si="2"/>
        <v>99053.00</v>
      </c>
      <c r="J2098" s="16" t="str">
        <f>TEXT(Raw_Data!J2098,"MMM-YYY")</f>
        <v>Dec-2025</v>
      </c>
      <c r="K2098" s="13" t="str">
        <f>Raw_Data!K2098</f>
        <v>14</v>
      </c>
      <c r="L2098" s="17" t="str">
        <f>Raw_Data!L2098</f>
        <v>Delhi-North</v>
      </c>
      <c r="M2098" s="13" t="str">
        <f t="shared" si="3"/>
        <v>OK</v>
      </c>
      <c r="N2098" s="18" t="str">
        <f t="shared" si="4"/>
        <v>VALID</v>
      </c>
    </row>
    <row r="2099" ht="15.75" customHeight="1">
      <c r="A2099" s="13" t="str">
        <f>Raw_Data!A2099</f>
        <v>EMP2208</v>
      </c>
      <c r="B2099" s="13" t="str">
        <f>TRIM(CLEAN(Raw_Data!B2099))</f>
        <v>Sales</v>
      </c>
      <c r="C2099" s="18" t="s">
        <v>18</v>
      </c>
      <c r="D2099" s="14" t="str">
        <f>IF(ISBLANK(Raw_Data!D2099),AVERAGE(Raw_Data!D$2:D$5002),Raw_Data!D2099)</f>
        <v>72175.71</v>
      </c>
      <c r="E2099" s="15" t="str">
        <f>IF(ISBLANK(Raw_Data!E2099),AVERAGE(Raw_Data!E$2:E$5002),Raw_Data!E2099)</f>
        <v>24179.92</v>
      </c>
      <c r="F2099" s="15" t="str">
        <f>IF(ISBLANK(Raw_Data!F2099),AVERAGE(Raw_Data!F$2:F$5002),Raw_Data!F2099)</f>
        <v>17128.70</v>
      </c>
      <c r="G2099" s="14" t="str">
        <f>IF(ISBLANK(Raw_Data!G2099),AVERAGE(Raw_Data!G$2:G$5002),Raw_Data!G2099)</f>
        <v>14411.57</v>
      </c>
      <c r="H2099" s="15" t="str">
        <f t="shared" si="1"/>
        <v>113484.00</v>
      </c>
      <c r="I2099" s="14" t="str">
        <f t="shared" si="2"/>
        <v>99072.00</v>
      </c>
      <c r="J2099" s="16" t="str">
        <f>TEXT(Raw_Data!J2099,"MMM-YYY")</f>
        <v>Apr-2025</v>
      </c>
      <c r="K2099" s="13" t="str">
        <f>Raw_Data!K2099</f>
        <v>17</v>
      </c>
      <c r="L2099" s="17" t="str">
        <f>Raw_Data!L2099</f>
        <v>Bangalore-South</v>
      </c>
      <c r="M2099" s="13" t="str">
        <f t="shared" si="3"/>
        <v>OK</v>
      </c>
      <c r="N2099" s="18" t="str">
        <f t="shared" si="4"/>
        <v>VALID</v>
      </c>
    </row>
    <row r="2100" ht="15.75" customHeight="1">
      <c r="A2100" s="13" t="str">
        <f>Raw_Data!A2100</f>
        <v>EMP2209</v>
      </c>
      <c r="B2100" s="13" t="str">
        <f>TRIM(CLEAN(Raw_Data!B2100))</f>
        <v>Customer Support</v>
      </c>
      <c r="C2100" s="18" t="s">
        <v>18</v>
      </c>
      <c r="D2100" s="14" t="str">
        <f>IF(ISBLANK(Raw_Data!D2100),AVERAGE(Raw_Data!D$2:D$5002),Raw_Data!D2100)</f>
        <v>72186.59</v>
      </c>
      <c r="E2100" s="15" t="str">
        <f>IF(ISBLANK(Raw_Data!E2100),AVERAGE(Raw_Data!E$2:E$5002),Raw_Data!E2100)</f>
        <v>24184.54</v>
      </c>
      <c r="F2100" s="15" t="str">
        <f>IF(ISBLANK(Raw_Data!F2100),AVERAGE(Raw_Data!F$2:F$5002),Raw_Data!F2100)</f>
        <v>17136.38</v>
      </c>
      <c r="G2100" s="14" t="str">
        <f>IF(ISBLANK(Raw_Data!G2100),AVERAGE(Raw_Data!G$2:G$5002),Raw_Data!G2100)</f>
        <v>14414.97</v>
      </c>
      <c r="H2100" s="15" t="str">
        <f t="shared" si="1"/>
        <v>113508.00</v>
      </c>
      <c r="I2100" s="14" t="str">
        <f t="shared" si="2"/>
        <v>99093.00</v>
      </c>
      <c r="J2100" s="16" t="str">
        <f>TEXT(Raw_Data!J2100,"MMM-YYY")</f>
        <v>Dec-2025</v>
      </c>
      <c r="K2100" s="13" t="str">
        <f>Raw_Data!K2100</f>
        <v>18</v>
      </c>
      <c r="L2100" s="17" t="str">
        <f>Raw_Data!L2100</f>
        <v>Kolkata-East</v>
      </c>
      <c r="M2100" s="13" t="str">
        <f t="shared" si="3"/>
        <v>OK</v>
      </c>
      <c r="N2100" s="18" t="str">
        <f t="shared" si="4"/>
        <v>VALID</v>
      </c>
    </row>
    <row r="2101" ht="15.75" customHeight="1">
      <c r="A2101" s="13" t="str">
        <f>Raw_Data!A2101</f>
        <v>EMP2210</v>
      </c>
      <c r="B2101" s="13" t="str">
        <f>TRIM(CLEAN(Raw_Data!B2101))</f>
        <v>Finance</v>
      </c>
      <c r="C2101" s="18" t="s">
        <v>37</v>
      </c>
      <c r="D2101" s="14" t="str">
        <f>IF(ISBLANK(Raw_Data!D2101),AVERAGE(Raw_Data!D$2:D$5002),Raw_Data!D2101)</f>
        <v>72197.47</v>
      </c>
      <c r="E2101" s="15" t="str">
        <f>IF(ISBLANK(Raw_Data!E2101),AVERAGE(Raw_Data!E$2:E$5002),Raw_Data!E2101)</f>
        <v>24189.15</v>
      </c>
      <c r="F2101" s="15" t="str">
        <f>IF(ISBLANK(Raw_Data!F2101),AVERAGE(Raw_Data!F$2:F$5002),Raw_Data!F2101)</f>
        <v>17144.06</v>
      </c>
      <c r="G2101" s="14" t="str">
        <f>IF(ISBLANK(Raw_Data!G2101),AVERAGE(Raw_Data!G$2:G$5002),Raw_Data!G2101)</f>
        <v>14418.37</v>
      </c>
      <c r="H2101" s="15" t="str">
        <f t="shared" si="1"/>
        <v>113531.00</v>
      </c>
      <c r="I2101" s="14" t="str">
        <f t="shared" si="2"/>
        <v>99113.00</v>
      </c>
      <c r="J2101" s="16" t="str">
        <f>TEXT(Raw_Data!J2101,"MMM-YYY")</f>
        <v>Feb-2025</v>
      </c>
      <c r="K2101" s="13" t="str">
        <f>Raw_Data!K2101</f>
        <v>11</v>
      </c>
      <c r="L2101" s="17" t="str">
        <f>Raw_Data!L2101</f>
        <v>Chandigarh-North</v>
      </c>
      <c r="M2101" s="13" t="str">
        <f t="shared" si="3"/>
        <v>OK</v>
      </c>
      <c r="N2101" s="18" t="str">
        <f t="shared" si="4"/>
        <v>VALID</v>
      </c>
    </row>
    <row r="2102" ht="15.75" customHeight="1">
      <c r="A2102" s="13" t="str">
        <f>Raw_Data!A2102</f>
        <v>EMP2211</v>
      </c>
      <c r="B2102" s="13" t="str">
        <f>TRIM(CLEAN(Raw_Data!B2102))</f>
        <v>HR</v>
      </c>
      <c r="C2102" s="18" t="s">
        <v>37</v>
      </c>
      <c r="D2102" s="14" t="str">
        <f>IF(ISBLANK(Raw_Data!D2102),AVERAGE(Raw_Data!D$2:D$5002),Raw_Data!D2102)</f>
        <v>71831.17</v>
      </c>
      <c r="E2102" s="15" t="str">
        <f>IF(ISBLANK(Raw_Data!E2102),AVERAGE(Raw_Data!E$2:E$5002),Raw_Data!E2102)</f>
        <v>24193.77</v>
      </c>
      <c r="F2102" s="15" t="str">
        <f>IF(ISBLANK(Raw_Data!F2102),AVERAGE(Raw_Data!F$2:F$5002),Raw_Data!F2102)</f>
        <v>17151.74</v>
      </c>
      <c r="G2102" s="14" t="str">
        <f>IF(ISBLANK(Raw_Data!G2102),AVERAGE(Raw_Data!G$2:G$5002),Raw_Data!G2102)</f>
        <v>14421.76</v>
      </c>
      <c r="H2102" s="15" t="str">
        <f t="shared" si="1"/>
        <v>113177.00</v>
      </c>
      <c r="I2102" s="14" t="str">
        <f t="shared" si="2"/>
        <v>98755.00</v>
      </c>
      <c r="J2102" s="16" t="str">
        <f>TEXT(Raw_Data!J2102,"MMM-YYY")</f>
        <v>Mar-2025</v>
      </c>
      <c r="K2102" s="13" t="str">
        <f>Raw_Data!K2102</f>
        <v>11</v>
      </c>
      <c r="L2102" s="17" t="str">
        <f>Raw_Data!L2102</f>
        <v>Ahmedabad-West</v>
      </c>
      <c r="M2102" s="13" t="str">
        <f t="shared" si="3"/>
        <v>OK</v>
      </c>
      <c r="N2102" s="18" t="str">
        <f t="shared" si="4"/>
        <v>VALID</v>
      </c>
    </row>
    <row r="2103" ht="15.75" customHeight="1">
      <c r="A2103" s="13" t="str">
        <f>Raw_Data!A2103</f>
        <v>EMP2212</v>
      </c>
      <c r="B2103" s="13" t="str">
        <f>TRIM(CLEAN(Raw_Data!B2103))</f>
        <v>Marketing</v>
      </c>
      <c r="C2103" s="18" t="s">
        <v>54</v>
      </c>
      <c r="D2103" s="14" t="str">
        <f>IF(ISBLANK(Raw_Data!D2103),AVERAGE(Raw_Data!D$2:D$5002),Raw_Data!D2103)</f>
        <v>72219.24</v>
      </c>
      <c r="E2103" s="15" t="str">
        <f>IF(ISBLANK(Raw_Data!E2103),AVERAGE(Raw_Data!E$2:E$5002),Raw_Data!E2103)</f>
        <v>24198.38</v>
      </c>
      <c r="F2103" s="15" t="str">
        <f>IF(ISBLANK(Raw_Data!F2103),AVERAGE(Raw_Data!F$2:F$5002),Raw_Data!F2103)</f>
        <v>17159.42</v>
      </c>
      <c r="G2103" s="14" t="str">
        <f>IF(ISBLANK(Raw_Data!G2103),AVERAGE(Raw_Data!G$2:G$5002),Raw_Data!G2103)</f>
        <v>14425.16</v>
      </c>
      <c r="H2103" s="15" t="str">
        <f t="shared" si="1"/>
        <v>113577.00</v>
      </c>
      <c r="I2103" s="14" t="str">
        <f t="shared" si="2"/>
        <v>99152.00</v>
      </c>
      <c r="J2103" s="16" t="str">
        <f>TEXT(Raw_Data!J2103,"MMM-YYY")</f>
        <v>Sep-2025</v>
      </c>
      <c r="K2103" s="13" t="str">
        <f>Raw_Data!K2103</f>
        <v>17</v>
      </c>
      <c r="L2103" s="17" t="str">
        <f>Raw_Data!L2103</f>
        <v>Pune-West</v>
      </c>
      <c r="M2103" s="13" t="str">
        <f t="shared" si="3"/>
        <v>OK</v>
      </c>
      <c r="N2103" s="18" t="str">
        <f t="shared" si="4"/>
        <v>VALID</v>
      </c>
    </row>
    <row r="2104" ht="15.75" customHeight="1">
      <c r="A2104" s="13" t="str">
        <f>Raw_Data!A2104</f>
        <v>EMP2213</v>
      </c>
      <c r="B2104" s="13" t="str">
        <f>TRIM(CLEAN(Raw_Data!B2104))</f>
        <v>Finance</v>
      </c>
      <c r="C2104" s="18" t="s">
        <v>54</v>
      </c>
      <c r="D2104" s="14" t="str">
        <f>IF(ISBLANK(Raw_Data!D2104),AVERAGE(Raw_Data!D$2:D$5002),Raw_Data!D2104)</f>
        <v>72230.12</v>
      </c>
      <c r="E2104" s="15" t="str">
        <f>IF(ISBLANK(Raw_Data!E2104),AVERAGE(Raw_Data!E$2:E$5002),Raw_Data!E2104)</f>
        <v>24203.00</v>
      </c>
      <c r="F2104" s="15" t="str">
        <f>IF(ISBLANK(Raw_Data!F2104),AVERAGE(Raw_Data!F$2:F$5002),Raw_Data!F2104)</f>
        <v>17167.10</v>
      </c>
      <c r="G2104" s="14" t="str">
        <f>IF(ISBLANK(Raw_Data!G2104),AVERAGE(Raw_Data!G$2:G$5002),Raw_Data!G2104)</f>
        <v>14428.56</v>
      </c>
      <c r="H2104" s="15" t="str">
        <f t="shared" si="1"/>
        <v>113600.00</v>
      </c>
      <c r="I2104" s="14" t="str">
        <f t="shared" si="2"/>
        <v>99171.00</v>
      </c>
      <c r="J2104" s="16" t="str">
        <f>TEXT(Raw_Data!J2104,"MMM-YYY")</f>
        <v>May-2025</v>
      </c>
      <c r="K2104" s="13" t="str">
        <f>Raw_Data!K2104</f>
        <v>2</v>
      </c>
      <c r="L2104" s="17" t="str">
        <f>Raw_Data!L2104</f>
        <v>Mumbai-HO</v>
      </c>
      <c r="M2104" s="13" t="str">
        <f t="shared" si="3"/>
        <v>OK</v>
      </c>
      <c r="N2104" s="18" t="str">
        <f t="shared" si="4"/>
        <v>VALID</v>
      </c>
    </row>
    <row r="2105" ht="15.75" customHeight="1">
      <c r="A2105" s="13" t="str">
        <f>Raw_Data!A2105</f>
        <v>EMP2214</v>
      </c>
      <c r="B2105" s="13" t="str">
        <f>TRIM(CLEAN(Raw_Data!B2105))</f>
        <v>Finance</v>
      </c>
      <c r="C2105" s="18" t="s">
        <v>37</v>
      </c>
      <c r="D2105" s="14" t="str">
        <f>IF(ISBLANK(Raw_Data!D2105),AVERAGE(Raw_Data!D$2:D$5002),Raw_Data!D2105)</f>
        <v>72241.00</v>
      </c>
      <c r="E2105" s="15" t="str">
        <f>IF(ISBLANK(Raw_Data!E2105),AVERAGE(Raw_Data!E$2:E$5002),Raw_Data!E2105)</f>
        <v>24207.61</v>
      </c>
      <c r="F2105" s="15" t="str">
        <f>IF(ISBLANK(Raw_Data!F2105),AVERAGE(Raw_Data!F$2:F$5002),Raw_Data!F2105)</f>
        <v>17174.78</v>
      </c>
      <c r="G2105" s="14" t="str">
        <f>IF(ISBLANK(Raw_Data!G2105),AVERAGE(Raw_Data!G$2:G$5002),Raw_Data!G2105)</f>
        <v>14431.96</v>
      </c>
      <c r="H2105" s="15" t="str">
        <f t="shared" si="1"/>
        <v>113623.00</v>
      </c>
      <c r="I2105" s="14" t="str">
        <f t="shared" si="2"/>
        <v>99191.00</v>
      </c>
      <c r="J2105" s="16" t="str">
        <f>TEXT(Raw_Data!J2105,"MMM-YYY")</f>
        <v>Jan-2025</v>
      </c>
      <c r="K2105" s="13" t="str">
        <f>Raw_Data!K2105</f>
        <v>6</v>
      </c>
      <c r="L2105" s="17" t="str">
        <f>Raw_Data!L2105</f>
        <v>Chennai-South</v>
      </c>
      <c r="M2105" s="13" t="str">
        <f t="shared" si="3"/>
        <v>OK</v>
      </c>
      <c r="N2105" s="18" t="str">
        <f t="shared" si="4"/>
        <v>VALID</v>
      </c>
    </row>
    <row r="2106" ht="15.75" customHeight="1">
      <c r="A2106" s="13" t="str">
        <f>Raw_Data!A2106</f>
        <v>EMP2215</v>
      </c>
      <c r="B2106" s="13" t="str">
        <f>TRIM(CLEAN(Raw_Data!B2106))</f>
        <v>Marketing</v>
      </c>
      <c r="C2106" s="18" t="s">
        <v>33</v>
      </c>
      <c r="D2106" s="14" t="str">
        <f>IF(ISBLANK(Raw_Data!D2106),AVERAGE(Raw_Data!D$2:D$5002),Raw_Data!D2106)</f>
        <v>72251.89</v>
      </c>
      <c r="E2106" s="15" t="str">
        <f>IF(ISBLANK(Raw_Data!E2106),AVERAGE(Raw_Data!E$2:E$5002),Raw_Data!E2106)</f>
        <v>24212.23</v>
      </c>
      <c r="F2106" s="15" t="str">
        <f>IF(ISBLANK(Raw_Data!F2106),AVERAGE(Raw_Data!F$2:F$5002),Raw_Data!F2106)</f>
        <v>17182.46</v>
      </c>
      <c r="G2106" s="14" t="str">
        <f>IF(ISBLANK(Raw_Data!G2106),AVERAGE(Raw_Data!G$2:G$5002),Raw_Data!G2106)</f>
        <v>14435.35</v>
      </c>
      <c r="H2106" s="15" t="str">
        <f t="shared" si="1"/>
        <v>113647.00</v>
      </c>
      <c r="I2106" s="14" t="str">
        <f t="shared" si="2"/>
        <v>99212.00</v>
      </c>
      <c r="J2106" s="16" t="str">
        <f>TEXT(Raw_Data!J2106,"MMM-YYY")</f>
        <v>Apr-2025</v>
      </c>
      <c r="K2106" s="13" t="str">
        <f>Raw_Data!K2106</f>
        <v>14</v>
      </c>
      <c r="L2106" s="17" t="str">
        <f>Raw_Data!L2106</f>
        <v>Chandigarh-North</v>
      </c>
      <c r="M2106" s="13" t="str">
        <f t="shared" si="3"/>
        <v>OK</v>
      </c>
      <c r="N2106" s="18" t="str">
        <f t="shared" si="4"/>
        <v>VALID</v>
      </c>
    </row>
    <row r="2107" ht="15.75" customHeight="1">
      <c r="A2107" s="13" t="str">
        <f>Raw_Data!A2107</f>
        <v>EMP2216</v>
      </c>
      <c r="B2107" s="13" t="str">
        <f>TRIM(CLEAN(Raw_Data!B2107))</f>
        <v>Sales</v>
      </c>
      <c r="C2107" s="18" t="s">
        <v>26</v>
      </c>
      <c r="D2107" s="14" t="str">
        <f>IF(ISBLANK(Raw_Data!D2107),AVERAGE(Raw_Data!D$2:D$5002),Raw_Data!D2107)</f>
        <v>72262.77</v>
      </c>
      <c r="E2107" s="15" t="str">
        <f>IF(ISBLANK(Raw_Data!E2107),AVERAGE(Raw_Data!E$2:E$5002),Raw_Data!E2107)</f>
        <v>24216.84</v>
      </c>
      <c r="F2107" s="15" t="str">
        <f>IF(ISBLANK(Raw_Data!F2107),AVERAGE(Raw_Data!F$2:F$5002),Raw_Data!F2107)</f>
        <v>17190.14</v>
      </c>
      <c r="G2107" s="14" t="str">
        <f>IF(ISBLANK(Raw_Data!G2107),AVERAGE(Raw_Data!G$2:G$5002),Raw_Data!G2107)</f>
        <v>14438.75</v>
      </c>
      <c r="H2107" s="15" t="str">
        <f t="shared" si="1"/>
        <v>113670.00</v>
      </c>
      <c r="I2107" s="14" t="str">
        <f t="shared" si="2"/>
        <v>99231.00</v>
      </c>
      <c r="J2107" s="16" t="str">
        <f>TEXT(Raw_Data!J2107,"MMM-YYY")</f>
        <v>Apr-2025</v>
      </c>
      <c r="K2107" s="13" t="str">
        <f>Raw_Data!K2107</f>
        <v>18</v>
      </c>
      <c r="L2107" s="17" t="str">
        <f>Raw_Data!L2107</f>
        <v>Bangalore-South</v>
      </c>
      <c r="M2107" s="13" t="str">
        <f t="shared" si="3"/>
        <v>OK</v>
      </c>
      <c r="N2107" s="18" t="str">
        <f t="shared" si="4"/>
        <v>VALID</v>
      </c>
    </row>
    <row r="2108" ht="15.75" customHeight="1">
      <c r="A2108" s="13" t="str">
        <f>Raw_Data!A2108</f>
        <v>EMP2217</v>
      </c>
      <c r="B2108" s="13" t="str">
        <f>TRIM(CLEAN(Raw_Data!B2108))</f>
        <v>IT</v>
      </c>
      <c r="C2108" s="18" t="s">
        <v>26</v>
      </c>
      <c r="D2108" s="14" t="str">
        <f>IF(ISBLANK(Raw_Data!D2108),AVERAGE(Raw_Data!D$2:D$5002),Raw_Data!D2108)</f>
        <v>72273.65</v>
      </c>
      <c r="E2108" s="15" t="str">
        <f>IF(ISBLANK(Raw_Data!E2108),AVERAGE(Raw_Data!E$2:E$5002),Raw_Data!E2108)</f>
        <v>24221.45</v>
      </c>
      <c r="F2108" s="15" t="str">
        <f>IF(ISBLANK(Raw_Data!F2108),AVERAGE(Raw_Data!F$2:F$5002),Raw_Data!F2108)</f>
        <v>17197.82</v>
      </c>
      <c r="G2108" s="14" t="str">
        <f>IF(ISBLANK(Raw_Data!G2108),AVERAGE(Raw_Data!G$2:G$5002),Raw_Data!G2108)</f>
        <v>14442.15</v>
      </c>
      <c r="H2108" s="15" t="str">
        <f t="shared" si="1"/>
        <v>113693.00</v>
      </c>
      <c r="I2108" s="14" t="str">
        <f t="shared" si="2"/>
        <v>99251.00</v>
      </c>
      <c r="J2108" s="16" t="str">
        <f>TEXT(Raw_Data!J2108,"MMM-YYY")</f>
        <v>Apr-2025</v>
      </c>
      <c r="K2108" s="13" t="str">
        <f>Raw_Data!K2108</f>
        <v>6</v>
      </c>
      <c r="L2108" s="17" t="str">
        <f>Raw_Data!L2108</f>
        <v>Ahmedabad-West</v>
      </c>
      <c r="M2108" s="13" t="str">
        <f t="shared" si="3"/>
        <v>OK</v>
      </c>
      <c r="N2108" s="18" t="str">
        <f t="shared" si="4"/>
        <v>VALID</v>
      </c>
    </row>
    <row r="2109" ht="15.75" customHeight="1">
      <c r="A2109" s="13" t="str">
        <f>Raw_Data!A2109</f>
        <v>EMP2218</v>
      </c>
      <c r="B2109" s="13" t="str">
        <f>TRIM(CLEAN(Raw_Data!B2109))</f>
        <v>HR</v>
      </c>
      <c r="C2109" s="18" t="s">
        <v>33</v>
      </c>
      <c r="D2109" s="14" t="str">
        <f>IF(ISBLANK(Raw_Data!D2109),AVERAGE(Raw_Data!D$2:D$5002),Raw_Data!D2109)</f>
        <v>72284.54</v>
      </c>
      <c r="E2109" s="15" t="str">
        <f>IF(ISBLANK(Raw_Data!E2109),AVERAGE(Raw_Data!E$2:E$5002),Raw_Data!E2109)</f>
        <v>24226.07</v>
      </c>
      <c r="F2109" s="15" t="str">
        <f>IF(ISBLANK(Raw_Data!F2109),AVERAGE(Raw_Data!F$2:F$5002),Raw_Data!F2109)</f>
        <v>17205.50</v>
      </c>
      <c r="G2109" s="14" t="str">
        <f>IF(ISBLANK(Raw_Data!G2109),AVERAGE(Raw_Data!G$2:G$5002),Raw_Data!G2109)</f>
        <v>14445.55</v>
      </c>
      <c r="H2109" s="15" t="str">
        <f t="shared" si="1"/>
        <v>113716.00</v>
      </c>
      <c r="I2109" s="14" t="str">
        <f t="shared" si="2"/>
        <v>99270.00</v>
      </c>
      <c r="J2109" s="16" t="str">
        <f>TEXT(Raw_Data!J2109,"MMM-YYY")</f>
        <v>Oct-2025</v>
      </c>
      <c r="K2109" s="13" t="str">
        <f>Raw_Data!K2109</f>
        <v>14</v>
      </c>
      <c r="L2109" s="17" t="str">
        <f>Raw_Data!L2109</f>
        <v>Chandigarh-North</v>
      </c>
      <c r="M2109" s="13" t="str">
        <f t="shared" si="3"/>
        <v>OK</v>
      </c>
      <c r="N2109" s="18" t="str">
        <f t="shared" si="4"/>
        <v>VALID</v>
      </c>
    </row>
    <row r="2110" ht="15.75" customHeight="1">
      <c r="A2110" s="13" t="str">
        <f>Raw_Data!A2110</f>
        <v>EMP2220</v>
      </c>
      <c r="B2110" s="13" t="str">
        <f>TRIM(CLEAN(Raw_Data!B2110))</f>
        <v>Operations</v>
      </c>
      <c r="C2110" s="18" t="s">
        <v>54</v>
      </c>
      <c r="D2110" s="14" t="str">
        <f>IF(ISBLANK(Raw_Data!D2110),AVERAGE(Raw_Data!D$2:D$5002),Raw_Data!D2110)</f>
        <v>72306.30</v>
      </c>
      <c r="E2110" s="15" t="str">
        <f>IF(ISBLANK(Raw_Data!E2110),AVERAGE(Raw_Data!E$2:E$5002),Raw_Data!E2110)</f>
        <v>24235.30</v>
      </c>
      <c r="F2110" s="15" t="str">
        <f>IF(ISBLANK(Raw_Data!F2110),AVERAGE(Raw_Data!F$2:F$5002),Raw_Data!F2110)</f>
        <v>17220.86</v>
      </c>
      <c r="G2110" s="14" t="str">
        <f>IF(ISBLANK(Raw_Data!G2110),AVERAGE(Raw_Data!G$2:G$5002),Raw_Data!G2110)</f>
        <v>14452.34</v>
      </c>
      <c r="H2110" s="15" t="str">
        <f t="shared" si="1"/>
        <v>113762.00</v>
      </c>
      <c r="I2110" s="14" t="str">
        <f t="shared" si="2"/>
        <v>99310.00</v>
      </c>
      <c r="J2110" s="16" t="str">
        <f>TEXT(Raw_Data!J2110,"MMM-YYY")</f>
        <v>Aug-2025</v>
      </c>
      <c r="K2110" s="13" t="str">
        <f>Raw_Data!K2110</f>
        <v>7</v>
      </c>
      <c r="L2110" s="17" t="str">
        <f>Raw_Data!L2110</f>
        <v>Ahmedabad-West</v>
      </c>
      <c r="M2110" s="13" t="str">
        <f t="shared" si="3"/>
        <v>OK</v>
      </c>
      <c r="N2110" s="18" t="str">
        <f t="shared" si="4"/>
        <v>VALID</v>
      </c>
    </row>
    <row r="2111" ht="15.75" customHeight="1">
      <c r="A2111" s="13" t="str">
        <f>Raw_Data!A2111</f>
        <v>EMP2221</v>
      </c>
      <c r="B2111" s="13" t="str">
        <f>TRIM(CLEAN(Raw_Data!B2111))</f>
        <v>IT</v>
      </c>
      <c r="C2111" s="18" t="s">
        <v>30</v>
      </c>
      <c r="D2111" s="14" t="str">
        <f>IF(ISBLANK(Raw_Data!D2111),AVERAGE(Raw_Data!D$2:D$5002),Raw_Data!D2111)</f>
        <v>72317.19</v>
      </c>
      <c r="E2111" s="15" t="str">
        <f>IF(ISBLANK(Raw_Data!E2111),AVERAGE(Raw_Data!E$2:E$5002),Raw_Data!E2111)</f>
        <v>24239.91</v>
      </c>
      <c r="F2111" s="15" t="str">
        <f>IF(ISBLANK(Raw_Data!F2111),AVERAGE(Raw_Data!F$2:F$5002),Raw_Data!F2111)</f>
        <v>17228.54</v>
      </c>
      <c r="G2111" s="14" t="str">
        <f>IF(ISBLANK(Raw_Data!G2111),AVERAGE(Raw_Data!G$2:G$5002),Raw_Data!G2111)</f>
        <v>14455.74</v>
      </c>
      <c r="H2111" s="15" t="str">
        <f t="shared" si="1"/>
        <v>113786.00</v>
      </c>
      <c r="I2111" s="14" t="str">
        <f t="shared" si="2"/>
        <v>99330.00</v>
      </c>
      <c r="J2111" s="16" t="str">
        <f>TEXT(Raw_Data!J2111,"MMM-YYY")</f>
        <v>Aug-2025</v>
      </c>
      <c r="K2111" s="13" t="str">
        <f>Raw_Data!K2111</f>
        <v>4</v>
      </c>
      <c r="L2111" s="17" t="str">
        <f>Raw_Data!L2111</f>
        <v>Hyderabad-South</v>
      </c>
      <c r="M2111" s="13" t="str">
        <f t="shared" si="3"/>
        <v>OK</v>
      </c>
      <c r="N2111" s="18" t="str">
        <f t="shared" si="4"/>
        <v>VALID</v>
      </c>
    </row>
    <row r="2112" ht="15.75" customHeight="1">
      <c r="A2112" s="13" t="str">
        <f>Raw_Data!A2112</f>
        <v>EMP2222</v>
      </c>
      <c r="B2112" s="13" t="str">
        <f>TRIM(CLEAN(Raw_Data!B2112))</f>
        <v>IT</v>
      </c>
      <c r="C2112" s="18" t="s">
        <v>37</v>
      </c>
      <c r="D2112" s="14" t="str">
        <f>IF(ISBLANK(Raw_Data!D2112),AVERAGE(Raw_Data!D$2:D$5002),Raw_Data!D2112)</f>
        <v>72328.07</v>
      </c>
      <c r="E2112" s="15" t="str">
        <f>IF(ISBLANK(Raw_Data!E2112),AVERAGE(Raw_Data!E$2:E$5002),Raw_Data!E2112)</f>
        <v>24244.53</v>
      </c>
      <c r="F2112" s="15" t="str">
        <f>IF(ISBLANK(Raw_Data!F2112),AVERAGE(Raw_Data!F$2:F$5002),Raw_Data!F2112)</f>
        <v>17236.22</v>
      </c>
      <c r="G2112" s="14" t="str">
        <f>IF(ISBLANK(Raw_Data!G2112),AVERAGE(Raw_Data!G$2:G$5002),Raw_Data!G2112)</f>
        <v>14459.14</v>
      </c>
      <c r="H2112" s="15" t="str">
        <f t="shared" si="1"/>
        <v>113809.00</v>
      </c>
      <c r="I2112" s="14" t="str">
        <f t="shared" si="2"/>
        <v>99350.00</v>
      </c>
      <c r="J2112" s="16" t="str">
        <f>TEXT(Raw_Data!J2112,"MMM-YYY")</f>
        <v>Feb-2025</v>
      </c>
      <c r="K2112" s="13" t="str">
        <f>Raw_Data!K2112</f>
        <v>3</v>
      </c>
      <c r="L2112" s="17" t="str">
        <f>Raw_Data!L2112</f>
        <v>Delhi-North</v>
      </c>
      <c r="M2112" s="13" t="str">
        <f t="shared" si="3"/>
        <v>OK</v>
      </c>
      <c r="N2112" s="18" t="str">
        <f t="shared" si="4"/>
        <v>VALID</v>
      </c>
    </row>
    <row r="2113" ht="15.75" customHeight="1">
      <c r="A2113" s="13" t="str">
        <f>Raw_Data!A2113</f>
        <v>EMP2223</v>
      </c>
      <c r="B2113" s="13" t="str">
        <f>TRIM(CLEAN(Raw_Data!B2113))</f>
        <v>IT</v>
      </c>
      <c r="C2113" s="18" t="s">
        <v>18</v>
      </c>
      <c r="D2113" s="14" t="str">
        <f>IF(ISBLANK(Raw_Data!D2113),AVERAGE(Raw_Data!D$2:D$5002),Raw_Data!D2113)</f>
        <v>72338.95</v>
      </c>
      <c r="E2113" s="15" t="str">
        <f>IF(ISBLANK(Raw_Data!E2113),AVERAGE(Raw_Data!E$2:E$5002),Raw_Data!E2113)</f>
        <v>24249.14</v>
      </c>
      <c r="F2113" s="15" t="str">
        <f>IF(ISBLANK(Raw_Data!F2113),AVERAGE(Raw_Data!F$2:F$5002),Raw_Data!F2113)</f>
        <v>17243.90</v>
      </c>
      <c r="G2113" s="14" t="str">
        <f>IF(ISBLANK(Raw_Data!G2113),AVERAGE(Raw_Data!G$2:G$5002),Raw_Data!G2113)</f>
        <v>14462.53</v>
      </c>
      <c r="H2113" s="15" t="str">
        <f t="shared" si="1"/>
        <v>113832.00</v>
      </c>
      <c r="I2113" s="14" t="str">
        <f t="shared" si="2"/>
        <v>99369.00</v>
      </c>
      <c r="J2113" s="16" t="str">
        <f>TEXT(Raw_Data!J2113,"MMM-YYY")</f>
        <v>Sep-2025</v>
      </c>
      <c r="K2113" s="13" t="str">
        <f>Raw_Data!K2113</f>
        <v>12</v>
      </c>
      <c r="L2113" s="17" t="str">
        <f>Raw_Data!L2113</f>
        <v>Bangalore-South</v>
      </c>
      <c r="M2113" s="13" t="str">
        <f t="shared" si="3"/>
        <v>OK</v>
      </c>
      <c r="N2113" s="18" t="str">
        <f t="shared" si="4"/>
        <v>VALID</v>
      </c>
    </row>
    <row r="2114" ht="15.75" customHeight="1">
      <c r="A2114" s="13" t="str">
        <f>Raw_Data!A2114</f>
        <v>EMP2224</v>
      </c>
      <c r="B2114" s="13" t="str">
        <f>TRIM(CLEAN(Raw_Data!B2114))</f>
        <v>IT</v>
      </c>
      <c r="C2114" s="18" t="s">
        <v>33</v>
      </c>
      <c r="D2114" s="14" t="str">
        <f>IF(ISBLANK(Raw_Data!D2114),AVERAGE(Raw_Data!D$2:D$5002),Raw_Data!D2114)</f>
        <v>72349.83</v>
      </c>
      <c r="E2114" s="15" t="str">
        <f>IF(ISBLANK(Raw_Data!E2114),AVERAGE(Raw_Data!E$2:E$5002),Raw_Data!E2114)</f>
        <v>24253.76</v>
      </c>
      <c r="F2114" s="15" t="str">
        <f>IF(ISBLANK(Raw_Data!F2114),AVERAGE(Raw_Data!F$2:F$5002),Raw_Data!F2114)</f>
        <v>17251.58</v>
      </c>
      <c r="G2114" s="14" t="str">
        <f>IF(ISBLANK(Raw_Data!G2114),AVERAGE(Raw_Data!G$2:G$5002),Raw_Data!G2114)</f>
        <v>14465.93</v>
      </c>
      <c r="H2114" s="15" t="str">
        <f t="shared" si="1"/>
        <v>113855.00</v>
      </c>
      <c r="I2114" s="14" t="str">
        <f t="shared" si="2"/>
        <v>99389.00</v>
      </c>
      <c r="J2114" s="16" t="str">
        <f>TEXT(Raw_Data!J2114,"MMM-YYY")</f>
        <v>Jan-2025</v>
      </c>
      <c r="K2114" s="13" t="str">
        <f>Raw_Data!K2114</f>
        <v>5</v>
      </c>
      <c r="L2114" s="17" t="str">
        <f>Raw_Data!L2114</f>
        <v>Bangalore-South</v>
      </c>
      <c r="M2114" s="13" t="str">
        <f t="shared" si="3"/>
        <v>OK</v>
      </c>
      <c r="N2114" s="18" t="str">
        <f t="shared" si="4"/>
        <v>VALID</v>
      </c>
    </row>
    <row r="2115" ht="15.75" customHeight="1">
      <c r="A2115" s="13" t="str">
        <f>Raw_Data!A2115</f>
        <v>EMP2225</v>
      </c>
      <c r="B2115" s="13" t="str">
        <f>TRIM(CLEAN(Raw_Data!B2115))</f>
        <v>HR</v>
      </c>
      <c r="C2115" s="18" t="s">
        <v>30</v>
      </c>
      <c r="D2115" s="14" t="str">
        <f>IF(ISBLANK(Raw_Data!D2115),AVERAGE(Raw_Data!D$2:D$5002),Raw_Data!D2115)</f>
        <v>72360.72</v>
      </c>
      <c r="E2115" s="15" t="str">
        <f>IF(ISBLANK(Raw_Data!E2115),AVERAGE(Raw_Data!E$2:E$5002),Raw_Data!E2115)</f>
        <v>24258.37</v>
      </c>
      <c r="F2115" s="15" t="str">
        <f>IF(ISBLANK(Raw_Data!F2115),AVERAGE(Raw_Data!F$2:F$5002),Raw_Data!F2115)</f>
        <v>17259.26</v>
      </c>
      <c r="G2115" s="14" t="str">
        <f>IF(ISBLANK(Raw_Data!G2115),AVERAGE(Raw_Data!G$2:G$5002),Raw_Data!G2115)</f>
        <v>14469.33</v>
      </c>
      <c r="H2115" s="15" t="str">
        <f t="shared" si="1"/>
        <v>113878.00</v>
      </c>
      <c r="I2115" s="14" t="str">
        <f t="shared" si="2"/>
        <v>99409.00</v>
      </c>
      <c r="J2115" s="16" t="str">
        <f>TEXT(Raw_Data!J2115,"MMM-YYY")</f>
        <v>Jun-2025</v>
      </c>
      <c r="K2115" s="13" t="str">
        <f>Raw_Data!K2115</f>
        <v>22</v>
      </c>
      <c r="L2115" s="17" t="str">
        <f>Raw_Data!L2115</f>
        <v>Bangalore-South</v>
      </c>
      <c r="M2115" s="13" t="str">
        <f t="shared" si="3"/>
        <v>OK</v>
      </c>
      <c r="N2115" s="18" t="str">
        <f t="shared" si="4"/>
        <v>VALID</v>
      </c>
    </row>
    <row r="2116" ht="15.75" customHeight="1">
      <c r="A2116" s="13" t="str">
        <f>Raw_Data!A2116</f>
        <v>EMP2226</v>
      </c>
      <c r="B2116" s="13" t="str">
        <f>TRIM(CLEAN(Raw_Data!B2116))</f>
        <v>Customer Support</v>
      </c>
      <c r="C2116" s="18" t="s">
        <v>33</v>
      </c>
      <c r="D2116" s="14" t="str">
        <f>IF(ISBLANK(Raw_Data!D2116),AVERAGE(Raw_Data!D$2:D$5002),Raw_Data!D2116)</f>
        <v>72371.60</v>
      </c>
      <c r="E2116" s="15" t="str">
        <f>IF(ISBLANK(Raw_Data!E2116),AVERAGE(Raw_Data!E$2:E$5002),Raw_Data!E2116)</f>
        <v>24262.99</v>
      </c>
      <c r="F2116" s="15" t="str">
        <f>IF(ISBLANK(Raw_Data!F2116),AVERAGE(Raw_Data!F$2:F$5002),Raw_Data!F2116)</f>
        <v>17266.94</v>
      </c>
      <c r="G2116" s="14" t="str">
        <f>IF(ISBLANK(Raw_Data!G2116),AVERAGE(Raw_Data!G$2:G$5002),Raw_Data!G2116)</f>
        <v>14472.73</v>
      </c>
      <c r="H2116" s="15" t="str">
        <f t="shared" si="1"/>
        <v>113902.00</v>
      </c>
      <c r="I2116" s="14" t="str">
        <f t="shared" si="2"/>
        <v>99429.00</v>
      </c>
      <c r="J2116" s="16" t="str">
        <f>TEXT(Raw_Data!J2116,"MMM-YYY")</f>
        <v>Nov-2025</v>
      </c>
      <c r="K2116" s="13" t="str">
        <f>Raw_Data!K2116</f>
        <v>17</v>
      </c>
      <c r="L2116" s="17" t="str">
        <f>Raw_Data!L2116</f>
        <v>Bangalore-South</v>
      </c>
      <c r="M2116" s="13" t="str">
        <f t="shared" si="3"/>
        <v>OK</v>
      </c>
      <c r="N2116" s="18" t="str">
        <f t="shared" si="4"/>
        <v>VALID</v>
      </c>
    </row>
    <row r="2117" ht="15.75" customHeight="1">
      <c r="A2117" s="13" t="str">
        <f>Raw_Data!A2117</f>
        <v>EMP2227</v>
      </c>
      <c r="B2117" s="13" t="str">
        <f>TRIM(CLEAN(Raw_Data!B2117))</f>
        <v>Finance</v>
      </c>
      <c r="C2117" s="18" t="s">
        <v>33</v>
      </c>
      <c r="D2117" s="14" t="str">
        <f>IF(ISBLANK(Raw_Data!D2117),AVERAGE(Raw_Data!D$2:D$5002),Raw_Data!D2117)</f>
        <v>72382.48</v>
      </c>
      <c r="E2117" s="15" t="str">
        <f>IF(ISBLANK(Raw_Data!E2117),AVERAGE(Raw_Data!E$2:E$5002),Raw_Data!E2117)</f>
        <v>24267.60</v>
      </c>
      <c r="F2117" s="15" t="str">
        <f>IF(ISBLANK(Raw_Data!F2117),AVERAGE(Raw_Data!F$2:F$5002),Raw_Data!F2117)</f>
        <v>17274.62</v>
      </c>
      <c r="G2117" s="14" t="str">
        <f>IF(ISBLANK(Raw_Data!G2117),AVERAGE(Raw_Data!G$2:G$5002),Raw_Data!G2117)</f>
        <v>14476.12</v>
      </c>
      <c r="H2117" s="15" t="str">
        <f t="shared" si="1"/>
        <v>113925.00</v>
      </c>
      <c r="I2117" s="14" t="str">
        <f t="shared" si="2"/>
        <v>99449.00</v>
      </c>
      <c r="J2117" s="16" t="str">
        <f>TEXT(Raw_Data!J2117,"MMM-YYY")</f>
        <v>Feb-2025</v>
      </c>
      <c r="K2117" s="13" t="str">
        <f>Raw_Data!K2117</f>
        <v>25</v>
      </c>
      <c r="L2117" s="17" t="str">
        <f>Raw_Data!L2117</f>
        <v>Ahmedabad-West</v>
      </c>
      <c r="M2117" s="13" t="str">
        <f t="shared" si="3"/>
        <v>OK</v>
      </c>
      <c r="N2117" s="18" t="str">
        <f t="shared" si="4"/>
        <v>VALID</v>
      </c>
    </row>
    <row r="2118" ht="15.75" customHeight="1">
      <c r="A2118" s="13" t="str">
        <f>Raw_Data!A2118</f>
        <v>EMP2229</v>
      </c>
      <c r="B2118" s="13" t="str">
        <f>TRIM(CLEAN(Raw_Data!B2118))</f>
        <v>Marketing</v>
      </c>
      <c r="C2118" s="18" t="s">
        <v>26</v>
      </c>
      <c r="D2118" s="14" t="str">
        <f>IF(ISBLANK(Raw_Data!D2118),AVERAGE(Raw_Data!D$2:D$5002),Raw_Data!D2118)</f>
        <v>72404.25</v>
      </c>
      <c r="E2118" s="15" t="str">
        <f>IF(ISBLANK(Raw_Data!E2118),AVERAGE(Raw_Data!E$2:E$5002),Raw_Data!E2118)</f>
        <v>24276.83</v>
      </c>
      <c r="F2118" s="15" t="str">
        <f>IF(ISBLANK(Raw_Data!F2118),AVERAGE(Raw_Data!F$2:F$5002),Raw_Data!F2118)</f>
        <v>17289.98</v>
      </c>
      <c r="G2118" s="14" t="str">
        <f>IF(ISBLANK(Raw_Data!G2118),AVERAGE(Raw_Data!G$2:G$5002),Raw_Data!G2118)</f>
        <v>14482.92</v>
      </c>
      <c r="H2118" s="15" t="str">
        <f t="shared" si="1"/>
        <v>113971.00</v>
      </c>
      <c r="I2118" s="14" t="str">
        <f t="shared" si="2"/>
        <v>99488.00</v>
      </c>
      <c r="J2118" s="16" t="str">
        <f>TEXT(Raw_Data!J2118,"MMM-YYY")</f>
        <v>Aug-2025</v>
      </c>
      <c r="K2118" s="13" t="str">
        <f>Raw_Data!K2118</f>
        <v>12</v>
      </c>
      <c r="L2118" s="17" t="str">
        <f>Raw_Data!L2118</f>
        <v>Kolkata-East</v>
      </c>
      <c r="M2118" s="13" t="str">
        <f t="shared" si="3"/>
        <v>OK</v>
      </c>
      <c r="N2118" s="18" t="str">
        <f t="shared" si="4"/>
        <v>VALID</v>
      </c>
    </row>
    <row r="2119" ht="15.75" customHeight="1">
      <c r="A2119" s="13" t="str">
        <f>Raw_Data!A2119</f>
        <v>EMP2231</v>
      </c>
      <c r="B2119" s="13" t="str">
        <f>TRIM(CLEAN(Raw_Data!B2119))</f>
        <v>Customer Support</v>
      </c>
      <c r="C2119" s="18" t="s">
        <v>54</v>
      </c>
      <c r="D2119" s="14" t="str">
        <f>IF(ISBLANK(Raw_Data!D2119),AVERAGE(Raw_Data!D$2:D$5002),Raw_Data!D2119)</f>
        <v>72426.02</v>
      </c>
      <c r="E2119" s="15" t="str">
        <f>IF(ISBLANK(Raw_Data!E2119),AVERAGE(Raw_Data!E$2:E$5002),Raw_Data!E2119)</f>
        <v>24286.06</v>
      </c>
      <c r="F2119" s="15" t="str">
        <f>IF(ISBLANK(Raw_Data!F2119),AVERAGE(Raw_Data!F$2:F$5002),Raw_Data!F2119)</f>
        <v>17305.34</v>
      </c>
      <c r="G2119" s="14" t="str">
        <f>IF(ISBLANK(Raw_Data!G2119),AVERAGE(Raw_Data!G$2:G$5002),Raw_Data!G2119)</f>
        <v>14489.71</v>
      </c>
      <c r="H2119" s="15" t="str">
        <f t="shared" si="1"/>
        <v>114017.00</v>
      </c>
      <c r="I2119" s="14" t="str">
        <f t="shared" si="2"/>
        <v>99527.00</v>
      </c>
      <c r="J2119" s="16" t="str">
        <f>TEXT(Raw_Data!J2119,"MMM-YYY")</f>
        <v>Aug-2025</v>
      </c>
      <c r="K2119" s="13" t="str">
        <f>Raw_Data!K2119</f>
        <v>13</v>
      </c>
      <c r="L2119" s="17" t="str">
        <f>Raw_Data!L2119</f>
        <v>Mumbai-HO</v>
      </c>
      <c r="M2119" s="13" t="str">
        <f t="shared" si="3"/>
        <v>OK</v>
      </c>
      <c r="N2119" s="18" t="str">
        <f t="shared" si="4"/>
        <v>VALID</v>
      </c>
    </row>
    <row r="2120" ht="15.75" customHeight="1">
      <c r="A2120" s="13" t="str">
        <f>Raw_Data!A2120</f>
        <v>EMP2232</v>
      </c>
      <c r="B2120" s="13" t="str">
        <f>TRIM(CLEAN(Raw_Data!B2120))</f>
        <v>Customer Support</v>
      </c>
      <c r="C2120" s="18" t="s">
        <v>37</v>
      </c>
      <c r="D2120" s="14" t="str">
        <f>IF(ISBLANK(Raw_Data!D2120),AVERAGE(Raw_Data!D$2:D$5002),Raw_Data!D2120)</f>
        <v>72436.90</v>
      </c>
      <c r="E2120" s="15" t="str">
        <f>IF(ISBLANK(Raw_Data!E2120),AVERAGE(Raw_Data!E$2:E$5002),Raw_Data!E2120)</f>
        <v>24290.68</v>
      </c>
      <c r="F2120" s="15" t="str">
        <f>IF(ISBLANK(Raw_Data!F2120),AVERAGE(Raw_Data!F$2:F$5002),Raw_Data!F2120)</f>
        <v>17313.02</v>
      </c>
      <c r="G2120" s="14" t="str">
        <f>IF(ISBLANK(Raw_Data!G2120),AVERAGE(Raw_Data!G$2:G$5002),Raw_Data!G2120)</f>
        <v>14493.11</v>
      </c>
      <c r="H2120" s="15" t="str">
        <f t="shared" si="1"/>
        <v>114041.00</v>
      </c>
      <c r="I2120" s="14" t="str">
        <f t="shared" si="2"/>
        <v>99548.00</v>
      </c>
      <c r="J2120" s="16" t="str">
        <f>TEXT(Raw_Data!J2120,"MMM-YYY")</f>
        <v>Feb-2025</v>
      </c>
      <c r="K2120" s="13" t="str">
        <f>Raw_Data!K2120</f>
        <v>9</v>
      </c>
      <c r="L2120" s="17" t="str">
        <f>Raw_Data!L2120</f>
        <v>Mumbai-HO</v>
      </c>
      <c r="M2120" s="13" t="str">
        <f t="shared" si="3"/>
        <v>OK</v>
      </c>
      <c r="N2120" s="18" t="str">
        <f t="shared" si="4"/>
        <v>VALID</v>
      </c>
    </row>
    <row r="2121" ht="15.75" customHeight="1">
      <c r="A2121" s="13" t="str">
        <f>Raw_Data!A2121</f>
        <v>EMP2233</v>
      </c>
      <c r="B2121" s="13" t="str">
        <f>TRIM(CLEAN(Raw_Data!B2121))</f>
        <v>Operations</v>
      </c>
      <c r="C2121" s="18" t="s">
        <v>54</v>
      </c>
      <c r="D2121" s="14" t="str">
        <f>IF(ISBLANK(Raw_Data!D2121),AVERAGE(Raw_Data!D$2:D$5002),Raw_Data!D2121)</f>
        <v>72447.78</v>
      </c>
      <c r="E2121" s="15" t="str">
        <f>IF(ISBLANK(Raw_Data!E2121),AVERAGE(Raw_Data!E$2:E$5002),Raw_Data!E2121)</f>
        <v>24295.29</v>
      </c>
      <c r="F2121" s="15" t="str">
        <f>IF(ISBLANK(Raw_Data!F2121),AVERAGE(Raw_Data!F$2:F$5002),Raw_Data!F2121)</f>
        <v>17320.70</v>
      </c>
      <c r="G2121" s="14" t="str">
        <f>IF(ISBLANK(Raw_Data!G2121),AVERAGE(Raw_Data!G$2:G$5002),Raw_Data!G2121)</f>
        <v>14496.51</v>
      </c>
      <c r="H2121" s="15" t="str">
        <f t="shared" si="1"/>
        <v>114064.00</v>
      </c>
      <c r="I2121" s="14" t="str">
        <f t="shared" si="2"/>
        <v>99567.00</v>
      </c>
      <c r="J2121" s="16" t="str">
        <f>TEXT(Raw_Data!J2121,"MMM-YYY")</f>
        <v>Aug-2025</v>
      </c>
      <c r="K2121" s="13" t="str">
        <f>Raw_Data!K2121</f>
        <v>10</v>
      </c>
      <c r="L2121" s="17" t="str">
        <f>Raw_Data!L2121</f>
        <v>Mumbai-HO</v>
      </c>
      <c r="M2121" s="13" t="str">
        <f t="shared" si="3"/>
        <v>OK</v>
      </c>
      <c r="N2121" s="18" t="str">
        <f t="shared" si="4"/>
        <v>VALID</v>
      </c>
    </row>
    <row r="2122" ht="15.75" customHeight="1">
      <c r="A2122" s="13" t="str">
        <f>Raw_Data!A2122</f>
        <v>EMP2234</v>
      </c>
      <c r="B2122" s="13" t="str">
        <f>TRIM(CLEAN(Raw_Data!B2122))</f>
        <v>Sales</v>
      </c>
      <c r="C2122" s="18" t="s">
        <v>54</v>
      </c>
      <c r="D2122" s="14" t="str">
        <f>IF(ISBLANK(Raw_Data!D2122),AVERAGE(Raw_Data!D$2:D$5002),Raw_Data!D2122)</f>
        <v>72458.66</v>
      </c>
      <c r="E2122" s="15" t="str">
        <f>IF(ISBLANK(Raw_Data!E2122),AVERAGE(Raw_Data!E$2:E$5002),Raw_Data!E2122)</f>
        <v>24299.90</v>
      </c>
      <c r="F2122" s="15" t="str">
        <f>IF(ISBLANK(Raw_Data!F2122),AVERAGE(Raw_Data!F$2:F$5002),Raw_Data!F2122)</f>
        <v>17328.38</v>
      </c>
      <c r="G2122" s="14" t="str">
        <f>IF(ISBLANK(Raw_Data!G2122),AVERAGE(Raw_Data!G$2:G$5002),Raw_Data!G2122)</f>
        <v>14499.91</v>
      </c>
      <c r="H2122" s="15" t="str">
        <f t="shared" si="1"/>
        <v>114087.00</v>
      </c>
      <c r="I2122" s="14" t="str">
        <f t="shared" si="2"/>
        <v>99587.00</v>
      </c>
      <c r="J2122" s="16" t="str">
        <f>TEXT(Raw_Data!J2122,"MMM-YYY")</f>
        <v>Apr-2025</v>
      </c>
      <c r="K2122" s="13" t="str">
        <f>Raw_Data!K2122</f>
        <v>9</v>
      </c>
      <c r="L2122" s="17" t="str">
        <f>Raw_Data!L2122</f>
        <v>Ahmedabad-West</v>
      </c>
      <c r="M2122" s="13" t="str">
        <f t="shared" si="3"/>
        <v>OK</v>
      </c>
      <c r="N2122" s="18" t="str">
        <f t="shared" si="4"/>
        <v>VALID</v>
      </c>
    </row>
    <row r="2123" ht="15.75" customHeight="1">
      <c r="A2123" s="13" t="str">
        <f>Raw_Data!A2123</f>
        <v>EMP2235</v>
      </c>
      <c r="B2123" s="13" t="str">
        <f>TRIM(CLEAN(Raw_Data!B2123))</f>
        <v>Sales</v>
      </c>
      <c r="C2123" s="18" t="s">
        <v>37</v>
      </c>
      <c r="D2123" s="14" t="str">
        <f>IF(ISBLANK(Raw_Data!D2123),AVERAGE(Raw_Data!D$2:D$5002),Raw_Data!D2123)</f>
        <v>72469.55</v>
      </c>
      <c r="E2123" s="15" t="str">
        <f>IF(ISBLANK(Raw_Data!E2123),AVERAGE(Raw_Data!E$2:E$5002),Raw_Data!E2123)</f>
        <v>24304.52</v>
      </c>
      <c r="F2123" s="15" t="str">
        <f>IF(ISBLANK(Raw_Data!F2123),AVERAGE(Raw_Data!F$2:F$5002),Raw_Data!F2123)</f>
        <v>17336.06</v>
      </c>
      <c r="G2123" s="14" t="str">
        <f>IF(ISBLANK(Raw_Data!G2123),AVERAGE(Raw_Data!G$2:G$5002),Raw_Data!G2123)</f>
        <v>14503.30</v>
      </c>
      <c r="H2123" s="15" t="str">
        <f t="shared" si="1"/>
        <v>114110.00</v>
      </c>
      <c r="I2123" s="14" t="str">
        <f t="shared" si="2"/>
        <v>99607.00</v>
      </c>
      <c r="J2123" s="16" t="str">
        <f>TEXT(Raw_Data!J2123,"MMM-YYY")</f>
        <v>Feb-2025</v>
      </c>
      <c r="K2123" s="13" t="str">
        <f>Raw_Data!K2123</f>
        <v>25</v>
      </c>
      <c r="L2123" s="17" t="str">
        <f>Raw_Data!L2123</f>
        <v>Pune-West</v>
      </c>
      <c r="M2123" s="13" t="str">
        <f t="shared" si="3"/>
        <v>OK</v>
      </c>
      <c r="N2123" s="18" t="str">
        <f t="shared" si="4"/>
        <v>VALID</v>
      </c>
    </row>
    <row r="2124" ht="15.75" customHeight="1">
      <c r="A2124" s="13" t="str">
        <f>Raw_Data!A2124</f>
        <v>EMP2236</v>
      </c>
      <c r="B2124" s="13" t="str">
        <f>TRIM(CLEAN(Raw_Data!B2124))</f>
        <v>Operations</v>
      </c>
      <c r="C2124" s="18" t="s">
        <v>30</v>
      </c>
      <c r="D2124" s="14" t="str">
        <f>IF(ISBLANK(Raw_Data!D2124),AVERAGE(Raw_Data!D$2:D$5002),Raw_Data!D2124)</f>
        <v>72480.43</v>
      </c>
      <c r="E2124" s="15" t="str">
        <f>IF(ISBLANK(Raw_Data!E2124),AVERAGE(Raw_Data!E$2:E$5002),Raw_Data!E2124)</f>
        <v>24309.13</v>
      </c>
      <c r="F2124" s="15" t="str">
        <f>IF(ISBLANK(Raw_Data!F2124),AVERAGE(Raw_Data!F$2:F$5002),Raw_Data!F2124)</f>
        <v>17343.74</v>
      </c>
      <c r="G2124" s="14" t="str">
        <f>IF(ISBLANK(Raw_Data!G2124),AVERAGE(Raw_Data!G$2:G$5002),Raw_Data!G2124)</f>
        <v>14506.70</v>
      </c>
      <c r="H2124" s="15" t="str">
        <f t="shared" si="1"/>
        <v>114133.00</v>
      </c>
      <c r="I2124" s="14" t="str">
        <f t="shared" si="2"/>
        <v>99626.00</v>
      </c>
      <c r="J2124" s="16" t="str">
        <f>TEXT(Raw_Data!J2124,"MMM-YYY")</f>
        <v>Sep-2025</v>
      </c>
      <c r="K2124" s="13" t="str">
        <f>Raw_Data!K2124</f>
        <v>9</v>
      </c>
      <c r="L2124" s="17" t="str">
        <f>Raw_Data!L2124</f>
        <v>Bangalore-South</v>
      </c>
      <c r="M2124" s="13" t="str">
        <f t="shared" si="3"/>
        <v>OK</v>
      </c>
      <c r="N2124" s="18" t="str">
        <f t="shared" si="4"/>
        <v>VALID</v>
      </c>
    </row>
    <row r="2125" ht="15.75" customHeight="1">
      <c r="A2125" s="13" t="str">
        <f>Raw_Data!A2125</f>
        <v>EMP2237</v>
      </c>
      <c r="B2125" s="13" t="str">
        <f>TRIM(CLEAN(Raw_Data!B2125))</f>
        <v>IT</v>
      </c>
      <c r="C2125" s="18" t="s">
        <v>30</v>
      </c>
      <c r="D2125" s="14" t="str">
        <f>IF(ISBLANK(Raw_Data!D2125),AVERAGE(Raw_Data!D$2:D$5002),Raw_Data!D2125)</f>
        <v>72491.31</v>
      </c>
      <c r="E2125" s="15" t="str">
        <f>IF(ISBLANK(Raw_Data!E2125),AVERAGE(Raw_Data!E$2:E$5002),Raw_Data!E2125)</f>
        <v>24313.75</v>
      </c>
      <c r="F2125" s="15" t="str">
        <f>IF(ISBLANK(Raw_Data!F2125),AVERAGE(Raw_Data!F$2:F$5002),Raw_Data!F2125)</f>
        <v>17351.42</v>
      </c>
      <c r="G2125" s="14" t="str">
        <f>IF(ISBLANK(Raw_Data!G2125),AVERAGE(Raw_Data!G$2:G$5002),Raw_Data!G2125)</f>
        <v>14510.10</v>
      </c>
      <c r="H2125" s="15" t="str">
        <f t="shared" si="1"/>
        <v>114156.00</v>
      </c>
      <c r="I2125" s="14" t="str">
        <f t="shared" si="2"/>
        <v>99646.00</v>
      </c>
      <c r="J2125" s="16" t="str">
        <f>TEXT(Raw_Data!J2125,"MMM-YYY")</f>
        <v>Oct-2025</v>
      </c>
      <c r="K2125" s="13" t="str">
        <f>Raw_Data!K2125</f>
        <v>17</v>
      </c>
      <c r="L2125" s="17" t="str">
        <f>Raw_Data!L2125</f>
        <v>Mumbai-HO</v>
      </c>
      <c r="M2125" s="13" t="str">
        <f t="shared" si="3"/>
        <v>OK</v>
      </c>
      <c r="N2125" s="18" t="str">
        <f t="shared" si="4"/>
        <v>VALID</v>
      </c>
    </row>
    <row r="2126" ht="15.75" customHeight="1">
      <c r="A2126" s="13" t="str">
        <f>Raw_Data!A2126</f>
        <v>EMP2238</v>
      </c>
      <c r="B2126" s="13" t="str">
        <f>TRIM(CLEAN(Raw_Data!B2126))</f>
        <v>Marketing</v>
      </c>
      <c r="C2126" s="18" t="s">
        <v>30</v>
      </c>
      <c r="D2126" s="14" t="str">
        <f>IF(ISBLANK(Raw_Data!D2126),AVERAGE(Raw_Data!D$2:D$5002),Raw_Data!D2126)</f>
        <v>72502.20</v>
      </c>
      <c r="E2126" s="15" t="str">
        <f>IF(ISBLANK(Raw_Data!E2126),AVERAGE(Raw_Data!E$2:E$5002),Raw_Data!E2126)</f>
        <v>24318.36</v>
      </c>
      <c r="F2126" s="15" t="str">
        <f>IF(ISBLANK(Raw_Data!F2126),AVERAGE(Raw_Data!F$2:F$5002),Raw_Data!F2126)</f>
        <v>17359.10</v>
      </c>
      <c r="G2126" s="14" t="str">
        <f>IF(ISBLANK(Raw_Data!G2126),AVERAGE(Raw_Data!G$2:G$5002),Raw_Data!G2126)</f>
        <v>14513.50</v>
      </c>
      <c r="H2126" s="15" t="str">
        <f t="shared" si="1"/>
        <v>114180.00</v>
      </c>
      <c r="I2126" s="14" t="str">
        <f t="shared" si="2"/>
        <v>99667.00</v>
      </c>
      <c r="J2126" s="16" t="str">
        <f>TEXT(Raw_Data!J2126,"MMM-YYY")</f>
        <v>Apr-2025</v>
      </c>
      <c r="K2126" s="13" t="str">
        <f>Raw_Data!K2126</f>
        <v>19</v>
      </c>
      <c r="L2126" s="17" t="str">
        <f>Raw_Data!L2126</f>
        <v>Chennai-South</v>
      </c>
      <c r="M2126" s="13" t="str">
        <f t="shared" si="3"/>
        <v>OK</v>
      </c>
      <c r="N2126" s="18" t="str">
        <f t="shared" si="4"/>
        <v>VALID</v>
      </c>
    </row>
    <row r="2127" ht="15.75" customHeight="1">
      <c r="A2127" s="13" t="str">
        <f>Raw_Data!A2127</f>
        <v>EMP2239</v>
      </c>
      <c r="B2127" s="13" t="str">
        <f>TRIM(CLEAN(Raw_Data!B2127))</f>
        <v>HR</v>
      </c>
      <c r="C2127" s="18" t="s">
        <v>30</v>
      </c>
      <c r="D2127" s="14" t="str">
        <f>IF(ISBLANK(Raw_Data!D2127),AVERAGE(Raw_Data!D$2:D$5002),Raw_Data!D2127)</f>
        <v>72513.08</v>
      </c>
      <c r="E2127" s="15" t="str">
        <f>IF(ISBLANK(Raw_Data!E2127),AVERAGE(Raw_Data!E$2:E$5002),Raw_Data!E2127)</f>
        <v>24322.98</v>
      </c>
      <c r="F2127" s="15" t="str">
        <f>IF(ISBLANK(Raw_Data!F2127),AVERAGE(Raw_Data!F$2:F$5002),Raw_Data!F2127)</f>
        <v>17366.78</v>
      </c>
      <c r="G2127" s="14" t="str">
        <f>IF(ISBLANK(Raw_Data!G2127),AVERAGE(Raw_Data!G$2:G$5002),Raw_Data!G2127)</f>
        <v>14516.89</v>
      </c>
      <c r="H2127" s="15" t="str">
        <f t="shared" si="1"/>
        <v>114203.00</v>
      </c>
      <c r="I2127" s="14" t="str">
        <f t="shared" si="2"/>
        <v>99686.00</v>
      </c>
      <c r="J2127" s="16" t="str">
        <f>TEXT(Raw_Data!J2127,"MMM-YYY")</f>
        <v>Oct-2025</v>
      </c>
      <c r="K2127" s="13" t="str">
        <f>Raw_Data!K2127</f>
        <v>22</v>
      </c>
      <c r="L2127" s="17" t="str">
        <f>Raw_Data!L2127</f>
        <v>Chandigarh-North</v>
      </c>
      <c r="M2127" s="13" t="str">
        <f t="shared" si="3"/>
        <v>OK</v>
      </c>
      <c r="N2127" s="18" t="str">
        <f t="shared" si="4"/>
        <v>VALID</v>
      </c>
    </row>
    <row r="2128" ht="15.75" customHeight="1">
      <c r="A2128" s="13" t="str">
        <f>Raw_Data!A2128</f>
        <v>EMP2241</v>
      </c>
      <c r="B2128" s="13" t="str">
        <f>TRIM(CLEAN(Raw_Data!B2128))</f>
        <v>Finance</v>
      </c>
      <c r="C2128" s="18" t="s">
        <v>30</v>
      </c>
      <c r="D2128" s="14" t="str">
        <f>IF(ISBLANK(Raw_Data!D2128),AVERAGE(Raw_Data!D$2:D$5002),Raw_Data!D2128)</f>
        <v>72534.84</v>
      </c>
      <c r="E2128" s="15" t="str">
        <f>IF(ISBLANK(Raw_Data!E2128),AVERAGE(Raw_Data!E$2:E$5002),Raw_Data!E2128)</f>
        <v>24332.21</v>
      </c>
      <c r="F2128" s="15" t="str">
        <f>IF(ISBLANK(Raw_Data!F2128),AVERAGE(Raw_Data!F$2:F$5002),Raw_Data!F2128)</f>
        <v>17382.14</v>
      </c>
      <c r="G2128" s="14" t="str">
        <f>IF(ISBLANK(Raw_Data!G2128),AVERAGE(Raw_Data!G$2:G$5002),Raw_Data!G2128)</f>
        <v>14523.69</v>
      </c>
      <c r="H2128" s="15" t="str">
        <f t="shared" si="1"/>
        <v>114249.00</v>
      </c>
      <c r="I2128" s="14" t="str">
        <f t="shared" si="2"/>
        <v>99725.00</v>
      </c>
      <c r="J2128" s="16" t="str">
        <f>TEXT(Raw_Data!J2128,"MMM-YYY")</f>
        <v>May-2025</v>
      </c>
      <c r="K2128" s="13" t="str">
        <f>Raw_Data!K2128</f>
        <v>3</v>
      </c>
      <c r="L2128" s="17" t="str">
        <f>Raw_Data!L2128</f>
        <v>Chandigarh-North</v>
      </c>
      <c r="M2128" s="13" t="str">
        <f t="shared" si="3"/>
        <v>OK</v>
      </c>
      <c r="N2128" s="18" t="str">
        <f t="shared" si="4"/>
        <v>VALID</v>
      </c>
    </row>
    <row r="2129" ht="15.75" customHeight="1">
      <c r="A2129" s="13" t="str">
        <f>Raw_Data!A2129</f>
        <v>EMP2242</v>
      </c>
      <c r="B2129" s="13" t="str">
        <f>TRIM(CLEAN(Raw_Data!B2129))</f>
        <v>Finance</v>
      </c>
      <c r="C2129" s="18" t="s">
        <v>37</v>
      </c>
      <c r="D2129" s="14" t="str">
        <f>IF(ISBLANK(Raw_Data!D2129),AVERAGE(Raw_Data!D$2:D$5002),Raw_Data!D2129)</f>
        <v>72545.73</v>
      </c>
      <c r="E2129" s="15" t="str">
        <f>IF(ISBLANK(Raw_Data!E2129),AVERAGE(Raw_Data!E$2:E$5002),Raw_Data!E2129)</f>
        <v>24336.82</v>
      </c>
      <c r="F2129" s="15" t="str">
        <f>IF(ISBLANK(Raw_Data!F2129),AVERAGE(Raw_Data!F$2:F$5002),Raw_Data!F2129)</f>
        <v>17389.82</v>
      </c>
      <c r="G2129" s="14" t="str">
        <f>IF(ISBLANK(Raw_Data!G2129),AVERAGE(Raw_Data!G$2:G$5002),Raw_Data!G2129)</f>
        <v>14527.09</v>
      </c>
      <c r="H2129" s="15" t="str">
        <f t="shared" si="1"/>
        <v>114272.00</v>
      </c>
      <c r="I2129" s="14" t="str">
        <f t="shared" si="2"/>
        <v>99745.00</v>
      </c>
      <c r="J2129" s="16" t="str">
        <f>TEXT(Raw_Data!J2129,"MMM-YYY")</f>
        <v>Oct-2025</v>
      </c>
      <c r="K2129" s="13" t="str">
        <f>Raw_Data!K2129</f>
        <v>19</v>
      </c>
      <c r="L2129" s="17" t="str">
        <f>Raw_Data!L2129</f>
        <v>Pune-West</v>
      </c>
      <c r="M2129" s="13" t="str">
        <f t="shared" si="3"/>
        <v>OK</v>
      </c>
      <c r="N2129" s="18" t="str">
        <f t="shared" si="4"/>
        <v>VALID</v>
      </c>
    </row>
    <row r="2130" ht="15.75" customHeight="1">
      <c r="A2130" s="13" t="str">
        <f>Raw_Data!A2130</f>
        <v>EMP2243</v>
      </c>
      <c r="B2130" s="13" t="str">
        <f>TRIM(CLEAN(Raw_Data!B2130))</f>
        <v>HR</v>
      </c>
      <c r="C2130" s="18" t="s">
        <v>54</v>
      </c>
      <c r="D2130" s="14" t="str">
        <f>IF(ISBLANK(Raw_Data!D2130),AVERAGE(Raw_Data!D$2:D$5002),Raw_Data!D2130)</f>
        <v>72556.61</v>
      </c>
      <c r="E2130" s="15" t="str">
        <f>IF(ISBLANK(Raw_Data!E2130),AVERAGE(Raw_Data!E$2:E$5002),Raw_Data!E2130)</f>
        <v>24341.44</v>
      </c>
      <c r="F2130" s="15" t="str">
        <f>IF(ISBLANK(Raw_Data!F2130),AVERAGE(Raw_Data!F$2:F$5002),Raw_Data!F2130)</f>
        <v>17397.50</v>
      </c>
      <c r="G2130" s="14" t="str">
        <f>IF(ISBLANK(Raw_Data!G2130),AVERAGE(Raw_Data!G$2:G$5002),Raw_Data!G2130)</f>
        <v>14530.49</v>
      </c>
      <c r="H2130" s="15" t="str">
        <f t="shared" si="1"/>
        <v>114296.00</v>
      </c>
      <c r="I2130" s="14" t="str">
        <f t="shared" si="2"/>
        <v>99766.00</v>
      </c>
      <c r="J2130" s="16" t="str">
        <f>TEXT(Raw_Data!J2130,"MMM-YYY")</f>
        <v>Jan-2025</v>
      </c>
      <c r="K2130" s="13" t="str">
        <f>Raw_Data!K2130</f>
        <v>1</v>
      </c>
      <c r="L2130" s="17" t="str">
        <f>Raw_Data!L2130</f>
        <v>Mumbai-HO</v>
      </c>
      <c r="M2130" s="13" t="str">
        <f t="shared" si="3"/>
        <v>OK</v>
      </c>
      <c r="N2130" s="18" t="str">
        <f t="shared" si="4"/>
        <v>VALID</v>
      </c>
    </row>
    <row r="2131" ht="15.75" customHeight="1">
      <c r="A2131" s="13" t="str">
        <f>Raw_Data!A2131</f>
        <v>EMP2244</v>
      </c>
      <c r="B2131" s="13" t="str">
        <f>TRIM(CLEAN(Raw_Data!B2131))</f>
        <v>Sales</v>
      </c>
      <c r="C2131" s="18" t="s">
        <v>14</v>
      </c>
      <c r="D2131" s="14" t="str">
        <f>IF(ISBLANK(Raw_Data!D2131),AVERAGE(Raw_Data!D$2:D$5002),Raw_Data!D2131)</f>
        <v>72567.49</v>
      </c>
      <c r="E2131" s="15" t="str">
        <f>IF(ISBLANK(Raw_Data!E2131),AVERAGE(Raw_Data!E$2:E$5002),Raw_Data!E2131)</f>
        <v>24346.05</v>
      </c>
      <c r="F2131" s="15" t="str">
        <f>IF(ISBLANK(Raw_Data!F2131),AVERAGE(Raw_Data!F$2:F$5002),Raw_Data!F2131)</f>
        <v>17405.18</v>
      </c>
      <c r="G2131" s="14" t="str">
        <f>IF(ISBLANK(Raw_Data!G2131),AVERAGE(Raw_Data!G$2:G$5002),Raw_Data!G2131)</f>
        <v>14533.88</v>
      </c>
      <c r="H2131" s="15" t="str">
        <f t="shared" si="1"/>
        <v>114319.00</v>
      </c>
      <c r="I2131" s="14" t="str">
        <f t="shared" si="2"/>
        <v>99785.00</v>
      </c>
      <c r="J2131" s="16" t="str">
        <f>TEXT(Raw_Data!J2131,"MMM-YYY")</f>
        <v>Oct-2025</v>
      </c>
      <c r="K2131" s="13" t="str">
        <f>Raw_Data!K2131</f>
        <v>10</v>
      </c>
      <c r="L2131" s="17" t="str">
        <f>Raw_Data!L2131</f>
        <v>Chennai-South</v>
      </c>
      <c r="M2131" s="13" t="str">
        <f t="shared" si="3"/>
        <v>OK</v>
      </c>
      <c r="N2131" s="18" t="str">
        <f t="shared" si="4"/>
        <v>VALID</v>
      </c>
    </row>
    <row r="2132" ht="15.75" customHeight="1">
      <c r="A2132" s="13" t="str">
        <f>Raw_Data!A2132</f>
        <v>EMP2245</v>
      </c>
      <c r="B2132" s="13" t="str">
        <f>TRIM(CLEAN(Raw_Data!B2132))</f>
        <v>Operations</v>
      </c>
      <c r="C2132" s="18" t="s">
        <v>30</v>
      </c>
      <c r="D2132" s="14" t="str">
        <f>IF(ISBLANK(Raw_Data!D2132),AVERAGE(Raw_Data!D$2:D$5002),Raw_Data!D2132)</f>
        <v>72578.38</v>
      </c>
      <c r="E2132" s="15" t="str">
        <f>IF(ISBLANK(Raw_Data!E2132),AVERAGE(Raw_Data!E$2:E$5002),Raw_Data!E2132)</f>
        <v>24350.67</v>
      </c>
      <c r="F2132" s="15" t="str">
        <f>IF(ISBLANK(Raw_Data!F2132),AVERAGE(Raw_Data!F$2:F$5002),Raw_Data!F2132)</f>
        <v>17412.86</v>
      </c>
      <c r="G2132" s="14" t="str">
        <f>IF(ISBLANK(Raw_Data!G2132),AVERAGE(Raw_Data!G$2:G$5002),Raw_Data!G2132)</f>
        <v>14537.28</v>
      </c>
      <c r="H2132" s="15" t="str">
        <f t="shared" si="1"/>
        <v>114342.00</v>
      </c>
      <c r="I2132" s="14" t="str">
        <f t="shared" si="2"/>
        <v>99805.00</v>
      </c>
      <c r="J2132" s="16" t="str">
        <f>TEXT(Raw_Data!J2132,"MMM-YYY")</f>
        <v>Jul-2025</v>
      </c>
      <c r="K2132" s="13" t="str">
        <f>Raw_Data!K2132</f>
        <v>11</v>
      </c>
      <c r="L2132" s="17" t="str">
        <f>Raw_Data!L2132</f>
        <v>Bangalore-South</v>
      </c>
      <c r="M2132" s="13" t="str">
        <f t="shared" si="3"/>
        <v>OK</v>
      </c>
      <c r="N2132" s="18" t="str">
        <f t="shared" si="4"/>
        <v>VALID</v>
      </c>
    </row>
    <row r="2133" ht="15.75" customHeight="1">
      <c r="A2133" s="13" t="str">
        <f>Raw_Data!A2133</f>
        <v>EMP2246</v>
      </c>
      <c r="B2133" s="13" t="str">
        <f>TRIM(CLEAN(Raw_Data!B2133))</f>
        <v>IT</v>
      </c>
      <c r="C2133" s="18" t="s">
        <v>18</v>
      </c>
      <c r="D2133" s="14" t="str">
        <f>IF(ISBLANK(Raw_Data!D2133),AVERAGE(Raw_Data!D$2:D$5002),Raw_Data!D2133)</f>
        <v>72589.26</v>
      </c>
      <c r="E2133" s="15" t="str">
        <f>IF(ISBLANK(Raw_Data!E2133),AVERAGE(Raw_Data!E$2:E$5002),Raw_Data!E2133)</f>
        <v>24355.28</v>
      </c>
      <c r="F2133" s="15" t="str">
        <f>IF(ISBLANK(Raw_Data!F2133),AVERAGE(Raw_Data!F$2:F$5002),Raw_Data!F2133)</f>
        <v>17420.54</v>
      </c>
      <c r="G2133" s="14" t="str">
        <f>IF(ISBLANK(Raw_Data!G2133),AVERAGE(Raw_Data!G$2:G$5002),Raw_Data!G2133)</f>
        <v>14540.68</v>
      </c>
      <c r="H2133" s="15" t="str">
        <f t="shared" si="1"/>
        <v>114365.00</v>
      </c>
      <c r="I2133" s="14" t="str">
        <f t="shared" si="2"/>
        <v>99824.00</v>
      </c>
      <c r="J2133" s="16" t="str">
        <f>TEXT(Raw_Data!J2133,"MMM-YYY")</f>
        <v>Feb-2025</v>
      </c>
      <c r="K2133" s="13" t="str">
        <f>Raw_Data!K2133</f>
        <v>13</v>
      </c>
      <c r="L2133" s="17" t="str">
        <f>Raw_Data!L2133</f>
        <v>Hyderabad-South</v>
      </c>
      <c r="M2133" s="13" t="str">
        <f t="shared" si="3"/>
        <v>OK</v>
      </c>
      <c r="N2133" s="18" t="str">
        <f t="shared" si="4"/>
        <v>VALID</v>
      </c>
    </row>
    <row r="2134" ht="15.75" customHeight="1">
      <c r="A2134" s="13" t="str">
        <f>Raw_Data!A2134</f>
        <v>EMP2247</v>
      </c>
      <c r="B2134" s="13" t="str">
        <f>TRIM(CLEAN(Raw_Data!B2134))</f>
        <v>Marketing</v>
      </c>
      <c r="C2134" s="18" t="s">
        <v>37</v>
      </c>
      <c r="D2134" s="14" t="str">
        <f>IF(ISBLANK(Raw_Data!D2134),AVERAGE(Raw_Data!D$2:D$5002),Raw_Data!D2134)</f>
        <v>72600.14</v>
      </c>
      <c r="E2134" s="15" t="str">
        <f>IF(ISBLANK(Raw_Data!E2134),AVERAGE(Raw_Data!E$2:E$5002),Raw_Data!E2134)</f>
        <v>24359.90</v>
      </c>
      <c r="F2134" s="15" t="str">
        <f>IF(ISBLANK(Raw_Data!F2134),AVERAGE(Raw_Data!F$2:F$5002),Raw_Data!F2134)</f>
        <v>17428.22</v>
      </c>
      <c r="G2134" s="14" t="str">
        <f>IF(ISBLANK(Raw_Data!G2134),AVERAGE(Raw_Data!G$2:G$5002),Raw_Data!G2134)</f>
        <v>14544.08</v>
      </c>
      <c r="H2134" s="15" t="str">
        <f t="shared" si="1"/>
        <v>114388.00</v>
      </c>
      <c r="I2134" s="14" t="str">
        <f t="shared" si="2"/>
        <v>99844.00</v>
      </c>
      <c r="J2134" s="16" t="str">
        <f>TEXT(Raw_Data!J2134,"MMM-YYY")</f>
        <v>Dec-2025</v>
      </c>
      <c r="K2134" s="13" t="str">
        <f>Raw_Data!K2134</f>
        <v>5</v>
      </c>
      <c r="L2134" s="17" t="str">
        <f>Raw_Data!L2134</f>
        <v>Bangalore-South</v>
      </c>
      <c r="M2134" s="13" t="str">
        <f t="shared" si="3"/>
        <v>OK</v>
      </c>
      <c r="N2134" s="18" t="str">
        <f t="shared" si="4"/>
        <v>VALID</v>
      </c>
    </row>
    <row r="2135" ht="15.75" customHeight="1">
      <c r="A2135" s="13" t="str">
        <f>Raw_Data!A2135</f>
        <v>EMP2248</v>
      </c>
      <c r="B2135" s="13" t="str">
        <f>TRIM(CLEAN(Raw_Data!B2135))</f>
        <v>Customer Support</v>
      </c>
      <c r="C2135" s="18" t="s">
        <v>18</v>
      </c>
      <c r="D2135" s="14" t="str">
        <f>IF(ISBLANK(Raw_Data!D2135),AVERAGE(Raw_Data!D$2:D$5002),Raw_Data!D2135)</f>
        <v>72611.03</v>
      </c>
      <c r="E2135" s="15" t="str">
        <f>IF(ISBLANK(Raw_Data!E2135),AVERAGE(Raw_Data!E$2:E$5002),Raw_Data!E2135)</f>
        <v>24364.51</v>
      </c>
      <c r="F2135" s="15" t="str">
        <f>IF(ISBLANK(Raw_Data!F2135),AVERAGE(Raw_Data!F$2:F$5002),Raw_Data!F2135)</f>
        <v>17435.90</v>
      </c>
      <c r="G2135" s="14" t="str">
        <f>IF(ISBLANK(Raw_Data!G2135),AVERAGE(Raw_Data!G$2:G$5002),Raw_Data!G2135)</f>
        <v>14547.47</v>
      </c>
      <c r="H2135" s="15" t="str">
        <f t="shared" si="1"/>
        <v>114411.00</v>
      </c>
      <c r="I2135" s="14" t="str">
        <f t="shared" si="2"/>
        <v>99864.00</v>
      </c>
      <c r="J2135" s="16" t="str">
        <f>TEXT(Raw_Data!J2135,"MMM-YYY")</f>
        <v>Aug-2025</v>
      </c>
      <c r="K2135" s="13" t="str">
        <f>Raw_Data!K2135</f>
        <v>11</v>
      </c>
      <c r="L2135" s="17" t="str">
        <f>Raw_Data!L2135</f>
        <v>Jaipur-North</v>
      </c>
      <c r="M2135" s="13" t="str">
        <f t="shared" si="3"/>
        <v>OK</v>
      </c>
      <c r="N2135" s="18" t="str">
        <f t="shared" si="4"/>
        <v>VALID</v>
      </c>
    </row>
    <row r="2136" ht="15.75" customHeight="1">
      <c r="A2136" s="13" t="str">
        <f>Raw_Data!A2136</f>
        <v>EMP2249</v>
      </c>
      <c r="B2136" s="13" t="str">
        <f>TRIM(CLEAN(Raw_Data!B2136))</f>
        <v>Sales</v>
      </c>
      <c r="C2136" s="18" t="s">
        <v>33</v>
      </c>
      <c r="D2136" s="14" t="str">
        <f>IF(ISBLANK(Raw_Data!D2136),AVERAGE(Raw_Data!D$2:D$5002),Raw_Data!D2136)</f>
        <v>72621.91</v>
      </c>
      <c r="E2136" s="15" t="str">
        <f>IF(ISBLANK(Raw_Data!E2136),AVERAGE(Raw_Data!E$2:E$5002),Raw_Data!E2136)</f>
        <v>24369.13</v>
      </c>
      <c r="F2136" s="15" t="str">
        <f>IF(ISBLANK(Raw_Data!F2136),AVERAGE(Raw_Data!F$2:F$5002),Raw_Data!F2136)</f>
        <v>17443.58</v>
      </c>
      <c r="G2136" s="14" t="str">
        <f>IF(ISBLANK(Raw_Data!G2136),AVERAGE(Raw_Data!G$2:G$5002),Raw_Data!G2136)</f>
        <v>14550.87</v>
      </c>
      <c r="H2136" s="15" t="str">
        <f t="shared" si="1"/>
        <v>114435.00</v>
      </c>
      <c r="I2136" s="14" t="str">
        <f t="shared" si="2"/>
        <v>99884.00</v>
      </c>
      <c r="J2136" s="16" t="str">
        <f>TEXT(Raw_Data!J2136,"MMM-YYY")</f>
        <v>Nov-2025</v>
      </c>
      <c r="K2136" s="13" t="str">
        <f>Raw_Data!K2136</f>
        <v>23</v>
      </c>
      <c r="L2136" s="17" t="str">
        <f>Raw_Data!L2136</f>
        <v>Chennai-South</v>
      </c>
      <c r="M2136" s="13" t="str">
        <f t="shared" si="3"/>
        <v>OK</v>
      </c>
      <c r="N2136" s="18" t="str">
        <f t="shared" si="4"/>
        <v>VALID</v>
      </c>
    </row>
    <row r="2137" ht="15.75" customHeight="1">
      <c r="A2137" s="13" t="str">
        <f>Raw_Data!A2137</f>
        <v>EMP2250</v>
      </c>
      <c r="B2137" s="13" t="str">
        <f>TRIM(CLEAN(Raw_Data!B2137))</f>
        <v>Marketing</v>
      </c>
      <c r="C2137" s="18" t="s">
        <v>33</v>
      </c>
      <c r="D2137" s="14" t="str">
        <f>IF(ISBLANK(Raw_Data!D2137),AVERAGE(Raw_Data!D$2:D$5002),Raw_Data!D2137)</f>
        <v>72632.79</v>
      </c>
      <c r="E2137" s="15" t="str">
        <f>IF(ISBLANK(Raw_Data!E2137),AVERAGE(Raw_Data!E$2:E$5002),Raw_Data!E2137)</f>
        <v>24373.74</v>
      </c>
      <c r="F2137" s="15" t="str">
        <f>IF(ISBLANK(Raw_Data!F2137),AVERAGE(Raw_Data!F$2:F$5002),Raw_Data!F2137)</f>
        <v>17451.26</v>
      </c>
      <c r="G2137" s="14" t="str">
        <f>IF(ISBLANK(Raw_Data!G2137),AVERAGE(Raw_Data!G$2:G$5002),Raw_Data!G2137)</f>
        <v>14554.27</v>
      </c>
      <c r="H2137" s="15" t="str">
        <f t="shared" si="1"/>
        <v>114458.00</v>
      </c>
      <c r="I2137" s="14" t="str">
        <f t="shared" si="2"/>
        <v>99904.00</v>
      </c>
      <c r="J2137" s="16" t="str">
        <f>TEXT(Raw_Data!J2137,"MMM-YYY")</f>
        <v>Apr-2025</v>
      </c>
      <c r="K2137" s="13" t="str">
        <f>Raw_Data!K2137</f>
        <v>7</v>
      </c>
      <c r="L2137" s="17" t="str">
        <f>Raw_Data!L2137</f>
        <v>Chandigarh-North</v>
      </c>
      <c r="M2137" s="13" t="str">
        <f t="shared" si="3"/>
        <v>OK</v>
      </c>
      <c r="N2137" s="18" t="str">
        <f t="shared" si="4"/>
        <v>VALID</v>
      </c>
    </row>
    <row r="2138" ht="15.75" customHeight="1">
      <c r="A2138" s="13" t="str">
        <f>Raw_Data!A2138</f>
        <v>EMP2251</v>
      </c>
      <c r="B2138" s="13" t="str">
        <f>TRIM(CLEAN(Raw_Data!B2138))</f>
        <v>IT</v>
      </c>
      <c r="C2138" s="18" t="s">
        <v>14</v>
      </c>
      <c r="D2138" s="14" t="str">
        <f>IF(ISBLANK(Raw_Data!D2138),AVERAGE(Raw_Data!D$2:D$5002),Raw_Data!D2138)</f>
        <v>72643.67</v>
      </c>
      <c r="E2138" s="15" t="str">
        <f>IF(ISBLANK(Raw_Data!E2138),AVERAGE(Raw_Data!E$2:E$5002),Raw_Data!E2138)</f>
        <v>24378.36</v>
      </c>
      <c r="F2138" s="15" t="str">
        <f>IF(ISBLANK(Raw_Data!F2138),AVERAGE(Raw_Data!F$2:F$5002),Raw_Data!F2138)</f>
        <v>17458.94</v>
      </c>
      <c r="G2138" s="14" t="str">
        <f>IF(ISBLANK(Raw_Data!G2138),AVERAGE(Raw_Data!G$2:G$5002),Raw_Data!G2138)</f>
        <v>14557.67</v>
      </c>
      <c r="H2138" s="15" t="str">
        <f t="shared" si="1"/>
        <v>114481.00</v>
      </c>
      <c r="I2138" s="14" t="str">
        <f t="shared" si="2"/>
        <v>99923.00</v>
      </c>
      <c r="J2138" s="16" t="str">
        <f>TEXT(Raw_Data!J2138,"MMM-YYY")</f>
        <v>Oct-2025</v>
      </c>
      <c r="K2138" s="13" t="str">
        <f>Raw_Data!K2138</f>
        <v>1</v>
      </c>
      <c r="L2138" s="17" t="str">
        <f>Raw_Data!L2138</f>
        <v>Delhi-North</v>
      </c>
      <c r="M2138" s="13" t="str">
        <f t="shared" si="3"/>
        <v>OK</v>
      </c>
      <c r="N2138" s="18" t="str">
        <f t="shared" si="4"/>
        <v>VALID</v>
      </c>
    </row>
    <row r="2139" ht="15.75" customHeight="1">
      <c r="A2139" s="13" t="str">
        <f>Raw_Data!A2139</f>
        <v>EMP2252</v>
      </c>
      <c r="B2139" s="13" t="str">
        <f>TRIM(CLEAN(Raw_Data!B2139))</f>
        <v>Finance</v>
      </c>
      <c r="C2139" s="18" t="s">
        <v>37</v>
      </c>
      <c r="D2139" s="14" t="str">
        <f>IF(ISBLANK(Raw_Data!D2139),AVERAGE(Raw_Data!D$2:D$5002),Raw_Data!D2139)</f>
        <v>72654.56</v>
      </c>
      <c r="E2139" s="15" t="str">
        <f>IF(ISBLANK(Raw_Data!E2139),AVERAGE(Raw_Data!E$2:E$5002),Raw_Data!E2139)</f>
        <v>24382.97</v>
      </c>
      <c r="F2139" s="15" t="str">
        <f>IF(ISBLANK(Raw_Data!F2139),AVERAGE(Raw_Data!F$2:F$5002),Raw_Data!F2139)</f>
        <v>17466.62</v>
      </c>
      <c r="G2139" s="14" t="str">
        <f>IF(ISBLANK(Raw_Data!G2139),AVERAGE(Raw_Data!G$2:G$5002),Raw_Data!G2139)</f>
        <v>14561.06</v>
      </c>
      <c r="H2139" s="15" t="str">
        <f t="shared" si="1"/>
        <v>114504.00</v>
      </c>
      <c r="I2139" s="14" t="str">
        <f t="shared" si="2"/>
        <v>99943.00</v>
      </c>
      <c r="J2139" s="16" t="str">
        <f>TEXT(Raw_Data!J2139,"MMM-YYY")</f>
        <v>Nov-2025</v>
      </c>
      <c r="K2139" s="13" t="str">
        <f>Raw_Data!K2139</f>
        <v>7</v>
      </c>
      <c r="L2139" s="17" t="str">
        <f>Raw_Data!L2139</f>
        <v>Chandigarh-North</v>
      </c>
      <c r="M2139" s="13" t="str">
        <f t="shared" si="3"/>
        <v>OK</v>
      </c>
      <c r="N2139" s="18" t="str">
        <f t="shared" si="4"/>
        <v>VALID</v>
      </c>
    </row>
    <row r="2140" ht="15.75" customHeight="1">
      <c r="A2140" s="13" t="str">
        <f>Raw_Data!A2140</f>
        <v>EMP2253</v>
      </c>
      <c r="B2140" s="13" t="str">
        <f>TRIM(CLEAN(Raw_Data!B2140))</f>
        <v>Operations</v>
      </c>
      <c r="C2140" s="18" t="s">
        <v>14</v>
      </c>
      <c r="D2140" s="14" t="str">
        <f>IF(ISBLANK(Raw_Data!D2140),AVERAGE(Raw_Data!D$2:D$5002),Raw_Data!D2140)</f>
        <v>72665.44</v>
      </c>
      <c r="E2140" s="15" t="str">
        <f>IF(ISBLANK(Raw_Data!E2140),AVERAGE(Raw_Data!E$2:E$5002),Raw_Data!E2140)</f>
        <v>24387.58</v>
      </c>
      <c r="F2140" s="15" t="str">
        <f>IF(ISBLANK(Raw_Data!F2140),AVERAGE(Raw_Data!F$2:F$5002),Raw_Data!F2140)</f>
        <v>17474.30</v>
      </c>
      <c r="G2140" s="14" t="str">
        <f>IF(ISBLANK(Raw_Data!G2140),AVERAGE(Raw_Data!G$2:G$5002),Raw_Data!G2140)</f>
        <v>14564.46</v>
      </c>
      <c r="H2140" s="15" t="str">
        <f t="shared" si="1"/>
        <v>114527.00</v>
      </c>
      <c r="I2140" s="14" t="str">
        <f t="shared" si="2"/>
        <v>99963.00</v>
      </c>
      <c r="J2140" s="16" t="str">
        <f>TEXT(Raw_Data!J2140,"MMM-YYY")</f>
        <v>Oct-2025</v>
      </c>
      <c r="K2140" s="13" t="str">
        <f>Raw_Data!K2140</f>
        <v>22</v>
      </c>
      <c r="L2140" s="17" t="str">
        <f>Raw_Data!L2140</f>
        <v>Jaipur-North</v>
      </c>
      <c r="M2140" s="13" t="str">
        <f t="shared" si="3"/>
        <v>OK</v>
      </c>
      <c r="N2140" s="18" t="str">
        <f t="shared" si="4"/>
        <v>VALID</v>
      </c>
    </row>
    <row r="2141" ht="15.75" customHeight="1">
      <c r="A2141" s="13" t="str">
        <f>Raw_Data!A2141</f>
        <v>EMP2254</v>
      </c>
      <c r="B2141" s="13" t="str">
        <f>TRIM(CLEAN(Raw_Data!B2141))</f>
        <v>IT</v>
      </c>
      <c r="C2141" s="18" t="s">
        <v>26</v>
      </c>
      <c r="D2141" s="14" t="str">
        <f>IF(ISBLANK(Raw_Data!D2141),AVERAGE(Raw_Data!D$2:D$5002),Raw_Data!D2141)</f>
        <v>72676.32</v>
      </c>
      <c r="E2141" s="15" t="str">
        <f>IF(ISBLANK(Raw_Data!E2141),AVERAGE(Raw_Data!E$2:E$5002),Raw_Data!E2141)</f>
        <v>24392.20</v>
      </c>
      <c r="F2141" s="15" t="str">
        <f>IF(ISBLANK(Raw_Data!F2141),AVERAGE(Raw_Data!F$2:F$5002),Raw_Data!F2141)</f>
        <v>17481.98</v>
      </c>
      <c r="G2141" s="14" t="str">
        <f>IF(ISBLANK(Raw_Data!G2141),AVERAGE(Raw_Data!G$2:G$5002),Raw_Data!G2141)</f>
        <v>14567.86</v>
      </c>
      <c r="H2141" s="15" t="str">
        <f t="shared" si="1"/>
        <v>114551.00</v>
      </c>
      <c r="I2141" s="14" t="str">
        <f t="shared" si="2"/>
        <v>99983.00</v>
      </c>
      <c r="J2141" s="16" t="str">
        <f>TEXT(Raw_Data!J2141,"MMM-YYY")</f>
        <v>Aug-2025</v>
      </c>
      <c r="K2141" s="13" t="str">
        <f>Raw_Data!K2141</f>
        <v>17</v>
      </c>
      <c r="L2141" s="17" t="str">
        <f>Raw_Data!L2141</f>
        <v>Jaipur-North</v>
      </c>
      <c r="M2141" s="13" t="str">
        <f t="shared" si="3"/>
        <v>OK</v>
      </c>
      <c r="N2141" s="18" t="str">
        <f t="shared" si="4"/>
        <v>VALID</v>
      </c>
    </row>
    <row r="2142" ht="15.75" customHeight="1">
      <c r="A2142" s="13" t="str">
        <f>Raw_Data!A2142</f>
        <v>EMP2255</v>
      </c>
      <c r="B2142" s="13" t="str">
        <f>TRIM(CLEAN(Raw_Data!B2142))</f>
        <v>Sales</v>
      </c>
      <c r="C2142" s="18" t="s">
        <v>18</v>
      </c>
      <c r="D2142" s="14" t="str">
        <f>IF(ISBLANK(Raw_Data!D2142),AVERAGE(Raw_Data!D$2:D$5002),Raw_Data!D2142)</f>
        <v>72687.21</v>
      </c>
      <c r="E2142" s="15" t="str">
        <f>IF(ISBLANK(Raw_Data!E2142),AVERAGE(Raw_Data!E$2:E$5002),Raw_Data!E2142)</f>
        <v>24396.81</v>
      </c>
      <c r="F2142" s="15" t="str">
        <f>IF(ISBLANK(Raw_Data!F2142),AVERAGE(Raw_Data!F$2:F$5002),Raw_Data!F2142)</f>
        <v>17489.66</v>
      </c>
      <c r="G2142" s="14" t="str">
        <f>IF(ISBLANK(Raw_Data!G2142),AVERAGE(Raw_Data!G$2:G$5002),Raw_Data!G2142)</f>
        <v>14571.26</v>
      </c>
      <c r="H2142" s="15" t="str">
        <f t="shared" si="1"/>
        <v>114574.00</v>
      </c>
      <c r="I2142" s="14" t="str">
        <f t="shared" si="2"/>
        <v>100003.00</v>
      </c>
      <c r="J2142" s="16" t="str">
        <f>TEXT(Raw_Data!J2142,"MMM-YYY")</f>
        <v>Jan-2025</v>
      </c>
      <c r="K2142" s="13" t="str">
        <f>Raw_Data!K2142</f>
        <v>2</v>
      </c>
      <c r="L2142" s="17" t="str">
        <f>Raw_Data!L2142</f>
        <v>Jaipur-North</v>
      </c>
      <c r="M2142" s="13" t="str">
        <f t="shared" si="3"/>
        <v>OK</v>
      </c>
      <c r="N2142" s="18" t="str">
        <f t="shared" si="4"/>
        <v>VALID</v>
      </c>
    </row>
    <row r="2143" ht="15.75" customHeight="1">
      <c r="A2143" s="13" t="str">
        <f>Raw_Data!A2143</f>
        <v>EMP2256</v>
      </c>
      <c r="B2143" s="13" t="str">
        <f>TRIM(CLEAN(Raw_Data!B2143))</f>
        <v>Finance</v>
      </c>
      <c r="C2143" s="18" t="s">
        <v>30</v>
      </c>
      <c r="D2143" s="14" t="str">
        <f>IF(ISBLANK(Raw_Data!D2143),AVERAGE(Raw_Data!D$2:D$5002),Raw_Data!D2143)</f>
        <v>72698.09</v>
      </c>
      <c r="E2143" s="15" t="str">
        <f>IF(ISBLANK(Raw_Data!E2143),AVERAGE(Raw_Data!E$2:E$5002),Raw_Data!E2143)</f>
        <v>24401.43</v>
      </c>
      <c r="F2143" s="15" t="str">
        <f>IF(ISBLANK(Raw_Data!F2143),AVERAGE(Raw_Data!F$2:F$5002),Raw_Data!F2143)</f>
        <v>17497.34</v>
      </c>
      <c r="G2143" s="14" t="str">
        <f>IF(ISBLANK(Raw_Data!G2143),AVERAGE(Raw_Data!G$2:G$5002),Raw_Data!G2143)</f>
        <v>14574.65</v>
      </c>
      <c r="H2143" s="15" t="str">
        <f t="shared" si="1"/>
        <v>114597.00</v>
      </c>
      <c r="I2143" s="14" t="str">
        <f t="shared" si="2"/>
        <v>100022.00</v>
      </c>
      <c r="J2143" s="16" t="str">
        <f>TEXT(Raw_Data!J2143,"MMM-YYY")</f>
        <v>May-2025</v>
      </c>
      <c r="K2143" s="13" t="str">
        <f>Raw_Data!K2143</f>
        <v>24</v>
      </c>
      <c r="L2143" s="17" t="str">
        <f>Raw_Data!L2143</f>
        <v>Ahmedabad-West</v>
      </c>
      <c r="M2143" s="13" t="str">
        <f t="shared" si="3"/>
        <v>OK</v>
      </c>
      <c r="N2143" s="18" t="str">
        <f t="shared" si="4"/>
        <v>VALID</v>
      </c>
    </row>
    <row r="2144" ht="15.75" customHeight="1">
      <c r="A2144" s="13" t="str">
        <f>Raw_Data!A2144</f>
        <v>EMP2257</v>
      </c>
      <c r="B2144" s="13" t="str">
        <f>TRIM(CLEAN(Raw_Data!B2144))</f>
        <v>Customer Support</v>
      </c>
      <c r="C2144" s="18" t="s">
        <v>14</v>
      </c>
      <c r="D2144" s="14" t="str">
        <f>IF(ISBLANK(Raw_Data!D2144),AVERAGE(Raw_Data!D$2:D$5002),Raw_Data!D2144)</f>
        <v>72708.97</v>
      </c>
      <c r="E2144" s="15" t="str">
        <f>IF(ISBLANK(Raw_Data!E2144),AVERAGE(Raw_Data!E$2:E$5002),Raw_Data!E2144)</f>
        <v>24406.04</v>
      </c>
      <c r="F2144" s="15" t="str">
        <f>IF(ISBLANK(Raw_Data!F2144),AVERAGE(Raw_Data!F$2:F$5002),Raw_Data!F2144)</f>
        <v>17505.02</v>
      </c>
      <c r="G2144" s="14" t="str">
        <f>IF(ISBLANK(Raw_Data!G2144),AVERAGE(Raw_Data!G$2:G$5002),Raw_Data!G2144)</f>
        <v>14578.05</v>
      </c>
      <c r="H2144" s="15" t="str">
        <f t="shared" si="1"/>
        <v>114620.00</v>
      </c>
      <c r="I2144" s="14" t="str">
        <f t="shared" si="2"/>
        <v>100042.00</v>
      </c>
      <c r="J2144" s="16" t="str">
        <f>TEXT(Raw_Data!J2144,"MMM-YYY")</f>
        <v>Jul-2025</v>
      </c>
      <c r="K2144" s="13" t="str">
        <f>Raw_Data!K2144</f>
        <v>9</v>
      </c>
      <c r="L2144" s="17" t="str">
        <f>Raw_Data!L2144</f>
        <v>Bangalore-South</v>
      </c>
      <c r="M2144" s="13" t="str">
        <f t="shared" si="3"/>
        <v>OK</v>
      </c>
      <c r="N2144" s="18" t="str">
        <f t="shared" si="4"/>
        <v>VALID</v>
      </c>
    </row>
    <row r="2145" ht="15.75" customHeight="1">
      <c r="A2145" s="13" t="str">
        <f>Raw_Data!A2145</f>
        <v>EMP2258</v>
      </c>
      <c r="B2145" s="13" t="str">
        <f>TRIM(CLEAN(Raw_Data!B2145))</f>
        <v>Customer Support</v>
      </c>
      <c r="C2145" s="18" t="s">
        <v>33</v>
      </c>
      <c r="D2145" s="14" t="str">
        <f>IF(ISBLANK(Raw_Data!D2145),AVERAGE(Raw_Data!D$2:D$5002),Raw_Data!D2145)</f>
        <v>72719.86</v>
      </c>
      <c r="E2145" s="15" t="str">
        <f>IF(ISBLANK(Raw_Data!E2145),AVERAGE(Raw_Data!E$2:E$5002),Raw_Data!E2145)</f>
        <v>24410.66</v>
      </c>
      <c r="F2145" s="15" t="str">
        <f>IF(ISBLANK(Raw_Data!F2145),AVERAGE(Raw_Data!F$2:F$5002),Raw_Data!F2145)</f>
        <v>17512.70</v>
      </c>
      <c r="G2145" s="14" t="str">
        <f>IF(ISBLANK(Raw_Data!G2145),AVERAGE(Raw_Data!G$2:G$5002),Raw_Data!G2145)</f>
        <v>14581.45</v>
      </c>
      <c r="H2145" s="15" t="str">
        <f t="shared" si="1"/>
        <v>114643.00</v>
      </c>
      <c r="I2145" s="14" t="str">
        <f t="shared" si="2"/>
        <v>100062.00</v>
      </c>
      <c r="J2145" s="16" t="str">
        <f>TEXT(Raw_Data!J2145,"MMM-YYY")</f>
        <v>Oct-2025</v>
      </c>
      <c r="K2145" s="13" t="str">
        <f>Raw_Data!K2145</f>
        <v>15</v>
      </c>
      <c r="L2145" s="17" t="str">
        <f>Raw_Data!L2145</f>
        <v>Jaipur-North</v>
      </c>
      <c r="M2145" s="13" t="str">
        <f t="shared" si="3"/>
        <v>OK</v>
      </c>
      <c r="N2145" s="18" t="str">
        <f t="shared" si="4"/>
        <v>VALID</v>
      </c>
    </row>
    <row r="2146" ht="15.75" customHeight="1">
      <c r="A2146" s="13" t="str">
        <f>Raw_Data!A2146</f>
        <v>EMP2259</v>
      </c>
      <c r="B2146" s="13" t="str">
        <f>TRIM(CLEAN(Raw_Data!B2146))</f>
        <v>IT</v>
      </c>
      <c r="C2146" s="18" t="s">
        <v>54</v>
      </c>
      <c r="D2146" s="14" t="str">
        <f>IF(ISBLANK(Raw_Data!D2146),AVERAGE(Raw_Data!D$2:D$5002),Raw_Data!D2146)</f>
        <v>72730.74</v>
      </c>
      <c r="E2146" s="15" t="str">
        <f>IF(ISBLANK(Raw_Data!E2146),AVERAGE(Raw_Data!E$2:E$5002),Raw_Data!E2146)</f>
        <v>24415.27</v>
      </c>
      <c r="F2146" s="15" t="str">
        <f>IF(ISBLANK(Raw_Data!F2146),AVERAGE(Raw_Data!F$2:F$5002),Raw_Data!F2146)</f>
        <v>17520.38</v>
      </c>
      <c r="G2146" s="14" t="str">
        <f>IF(ISBLANK(Raw_Data!G2146),AVERAGE(Raw_Data!G$2:G$5002),Raw_Data!G2146)</f>
        <v>14584.85</v>
      </c>
      <c r="H2146" s="15" t="str">
        <f t="shared" si="1"/>
        <v>114666.00</v>
      </c>
      <c r="I2146" s="14" t="str">
        <f t="shared" si="2"/>
        <v>100081.00</v>
      </c>
      <c r="J2146" s="16" t="str">
        <f>TEXT(Raw_Data!J2146,"MMM-YYY")</f>
        <v>May-2025</v>
      </c>
      <c r="K2146" s="13" t="str">
        <f>Raw_Data!K2146</f>
        <v>25</v>
      </c>
      <c r="L2146" s="17" t="str">
        <f>Raw_Data!L2146</f>
        <v>Mumbai-HO</v>
      </c>
      <c r="M2146" s="13" t="str">
        <f t="shared" si="3"/>
        <v>OK</v>
      </c>
      <c r="N2146" s="18" t="str">
        <f t="shared" si="4"/>
        <v>VALID</v>
      </c>
    </row>
    <row r="2147" ht="15.75" customHeight="1">
      <c r="A2147" s="13" t="str">
        <f>Raw_Data!A2147</f>
        <v>EMP2260</v>
      </c>
      <c r="B2147" s="13" t="str">
        <f>TRIM(CLEAN(Raw_Data!B2147))</f>
        <v>Finance</v>
      </c>
      <c r="C2147" s="18" t="s">
        <v>30</v>
      </c>
      <c r="D2147" s="14" t="str">
        <f>IF(ISBLANK(Raw_Data!D2147),AVERAGE(Raw_Data!D$2:D$5002),Raw_Data!D2147)</f>
        <v>72741.62</v>
      </c>
      <c r="E2147" s="15" t="str">
        <f>IF(ISBLANK(Raw_Data!E2147),AVERAGE(Raw_Data!E$2:E$5002),Raw_Data!E2147)</f>
        <v>24419.89</v>
      </c>
      <c r="F2147" s="15" t="str">
        <f>IF(ISBLANK(Raw_Data!F2147),AVERAGE(Raw_Data!F$2:F$5002),Raw_Data!F2147)</f>
        <v>17528.06</v>
      </c>
      <c r="G2147" s="14" t="str">
        <f>IF(ISBLANK(Raw_Data!G2147),AVERAGE(Raw_Data!G$2:G$5002),Raw_Data!G2147)</f>
        <v>14588.24</v>
      </c>
      <c r="H2147" s="15" t="str">
        <f t="shared" si="1"/>
        <v>114690.00</v>
      </c>
      <c r="I2147" s="14" t="str">
        <f t="shared" si="2"/>
        <v>100102.00</v>
      </c>
      <c r="J2147" s="16" t="str">
        <f>TEXT(Raw_Data!J2147,"MMM-YYY")</f>
        <v>Aug-2025</v>
      </c>
      <c r="K2147" s="13" t="str">
        <f>Raw_Data!K2147</f>
        <v>17</v>
      </c>
      <c r="L2147" s="17" t="str">
        <f>Raw_Data!L2147</f>
        <v>Jaipur-North</v>
      </c>
      <c r="M2147" s="13" t="str">
        <f t="shared" si="3"/>
        <v>OK</v>
      </c>
      <c r="N2147" s="18" t="str">
        <f t="shared" si="4"/>
        <v>VALID</v>
      </c>
    </row>
    <row r="2148" ht="15.75" customHeight="1">
      <c r="A2148" s="13" t="str">
        <f>Raw_Data!A2148</f>
        <v>EMP2262</v>
      </c>
      <c r="B2148" s="13" t="str">
        <f>TRIM(CLEAN(Raw_Data!B2148))</f>
        <v>Finance</v>
      </c>
      <c r="C2148" s="18" t="s">
        <v>37</v>
      </c>
      <c r="D2148" s="14" t="str">
        <f>IF(ISBLANK(Raw_Data!D2148),AVERAGE(Raw_Data!D$2:D$5002),Raw_Data!D2148)</f>
        <v>72763.39</v>
      </c>
      <c r="E2148" s="15" t="str">
        <f>IF(ISBLANK(Raw_Data!E2148),AVERAGE(Raw_Data!E$2:E$5002),Raw_Data!E2148)</f>
        <v>24429.12</v>
      </c>
      <c r="F2148" s="15" t="str">
        <f>IF(ISBLANK(Raw_Data!F2148),AVERAGE(Raw_Data!F$2:F$5002),Raw_Data!F2148)</f>
        <v>17543.42</v>
      </c>
      <c r="G2148" s="14" t="str">
        <f>IF(ISBLANK(Raw_Data!G2148),AVERAGE(Raw_Data!G$2:G$5002),Raw_Data!G2148)</f>
        <v>14595.04</v>
      </c>
      <c r="H2148" s="15" t="str">
        <f t="shared" si="1"/>
        <v>114736.00</v>
      </c>
      <c r="I2148" s="14" t="str">
        <f t="shared" si="2"/>
        <v>100141.00</v>
      </c>
      <c r="J2148" s="16" t="str">
        <f>TEXT(Raw_Data!J2148,"MMM-YYY")</f>
        <v>Mar-2025</v>
      </c>
      <c r="K2148" s="13" t="str">
        <f>Raw_Data!K2148</f>
        <v>20</v>
      </c>
      <c r="L2148" s="17" t="str">
        <f>Raw_Data!L2148</f>
        <v>Kolkata-East</v>
      </c>
      <c r="M2148" s="13" t="str">
        <f t="shared" si="3"/>
        <v>OK</v>
      </c>
      <c r="N2148" s="18" t="str">
        <f t="shared" si="4"/>
        <v>VALID</v>
      </c>
    </row>
    <row r="2149" ht="15.75" customHeight="1">
      <c r="A2149" s="13" t="str">
        <f>Raw_Data!A2149</f>
        <v>EMP2263</v>
      </c>
      <c r="B2149" s="13" t="str">
        <f>TRIM(CLEAN(Raw_Data!B2149))</f>
        <v>Marketing</v>
      </c>
      <c r="C2149" s="18" t="s">
        <v>54</v>
      </c>
      <c r="D2149" s="14" t="str">
        <f>IF(ISBLANK(Raw_Data!D2149),AVERAGE(Raw_Data!D$2:D$5002),Raw_Data!D2149)</f>
        <v>72774.27</v>
      </c>
      <c r="E2149" s="15" t="str">
        <f>IF(ISBLANK(Raw_Data!E2149),AVERAGE(Raw_Data!E$2:E$5002),Raw_Data!E2149)</f>
        <v>24433.73</v>
      </c>
      <c r="F2149" s="15" t="str">
        <f>IF(ISBLANK(Raw_Data!F2149),AVERAGE(Raw_Data!F$2:F$5002),Raw_Data!F2149)</f>
        <v>17551.10</v>
      </c>
      <c r="G2149" s="14" t="str">
        <f>IF(ISBLANK(Raw_Data!G2149),AVERAGE(Raw_Data!G$2:G$5002),Raw_Data!G2149)</f>
        <v>14598.44</v>
      </c>
      <c r="H2149" s="15" t="str">
        <f t="shared" si="1"/>
        <v>114759.00</v>
      </c>
      <c r="I2149" s="14" t="str">
        <f t="shared" si="2"/>
        <v>100161.00</v>
      </c>
      <c r="J2149" s="16" t="str">
        <f>TEXT(Raw_Data!J2149,"MMM-YYY")</f>
        <v>Jun-2025</v>
      </c>
      <c r="K2149" s="13" t="str">
        <f>Raw_Data!K2149</f>
        <v>6</v>
      </c>
      <c r="L2149" s="17" t="str">
        <f>Raw_Data!L2149</f>
        <v>Bangalore-South</v>
      </c>
      <c r="M2149" s="13" t="str">
        <f t="shared" si="3"/>
        <v>OK</v>
      </c>
      <c r="N2149" s="18" t="str">
        <f t="shared" si="4"/>
        <v>VALID</v>
      </c>
    </row>
    <row r="2150" ht="15.75" customHeight="1">
      <c r="A2150" s="13" t="str">
        <f>Raw_Data!A2150</f>
        <v>EMP2265</v>
      </c>
      <c r="B2150" s="13" t="str">
        <f>TRIM(CLEAN(Raw_Data!B2150))</f>
        <v>Sales</v>
      </c>
      <c r="C2150" s="18" t="s">
        <v>26</v>
      </c>
      <c r="D2150" s="14" t="str">
        <f>IF(ISBLANK(Raw_Data!D2150),AVERAGE(Raw_Data!D$2:D$5002),Raw_Data!D2150)</f>
        <v>72796.04</v>
      </c>
      <c r="E2150" s="15" t="str">
        <f>IF(ISBLANK(Raw_Data!E2150),AVERAGE(Raw_Data!E$2:E$5002),Raw_Data!E2150)</f>
        <v>24442.96</v>
      </c>
      <c r="F2150" s="15" t="str">
        <f>IF(ISBLANK(Raw_Data!F2150),AVERAGE(Raw_Data!F$2:F$5002),Raw_Data!F2150)</f>
        <v>17566.46</v>
      </c>
      <c r="G2150" s="14" t="str">
        <f>IF(ISBLANK(Raw_Data!G2150),AVERAGE(Raw_Data!G$2:G$5002),Raw_Data!G2150)</f>
        <v>14605.23</v>
      </c>
      <c r="H2150" s="15" t="str">
        <f t="shared" si="1"/>
        <v>114805.00</v>
      </c>
      <c r="I2150" s="14" t="str">
        <f t="shared" si="2"/>
        <v>100200.00</v>
      </c>
      <c r="J2150" s="16" t="str">
        <f>TEXT(Raw_Data!J2150,"MMM-YYY")</f>
        <v>Aug-2025</v>
      </c>
      <c r="K2150" s="13" t="str">
        <f>Raw_Data!K2150</f>
        <v>11</v>
      </c>
      <c r="L2150" s="17" t="str">
        <f>Raw_Data!L2150</f>
        <v>Mumbai-HO</v>
      </c>
      <c r="M2150" s="13" t="str">
        <f t="shared" si="3"/>
        <v>OK</v>
      </c>
      <c r="N2150" s="18" t="str">
        <f t="shared" si="4"/>
        <v>VALID</v>
      </c>
    </row>
    <row r="2151" ht="15.75" customHeight="1">
      <c r="A2151" s="13" t="str">
        <f>Raw_Data!A2151</f>
        <v>EMP2266</v>
      </c>
      <c r="B2151" s="13" t="str">
        <f>TRIM(CLEAN(Raw_Data!B2151))</f>
        <v>IT</v>
      </c>
      <c r="C2151" s="18" t="s">
        <v>18</v>
      </c>
      <c r="D2151" s="14" t="str">
        <f>IF(ISBLANK(Raw_Data!D2151),AVERAGE(Raw_Data!D$2:D$5002),Raw_Data!D2151)</f>
        <v>72806.92</v>
      </c>
      <c r="E2151" s="15" t="str">
        <f>IF(ISBLANK(Raw_Data!E2151),AVERAGE(Raw_Data!E$2:E$5002),Raw_Data!E2151)</f>
        <v>24447.58</v>
      </c>
      <c r="F2151" s="15" t="str">
        <f>IF(ISBLANK(Raw_Data!F2151),AVERAGE(Raw_Data!F$2:F$5002),Raw_Data!F2151)</f>
        <v>17574.14</v>
      </c>
      <c r="G2151" s="14" t="str">
        <f>IF(ISBLANK(Raw_Data!G2151),AVERAGE(Raw_Data!G$2:G$5002),Raw_Data!G2151)</f>
        <v>14608.63</v>
      </c>
      <c r="H2151" s="15" t="str">
        <f t="shared" si="1"/>
        <v>114829.00</v>
      </c>
      <c r="I2151" s="14" t="str">
        <f t="shared" si="2"/>
        <v>100220.00</v>
      </c>
      <c r="J2151" s="16" t="str">
        <f>TEXT(Raw_Data!J2151,"MMM-YYY")</f>
        <v>Sep-2025</v>
      </c>
      <c r="K2151" s="13" t="str">
        <f>Raw_Data!K2151</f>
        <v>22</v>
      </c>
      <c r="L2151" s="17" t="str">
        <f>Raw_Data!L2151</f>
        <v>Chennai-South</v>
      </c>
      <c r="M2151" s="13" t="str">
        <f t="shared" si="3"/>
        <v>OK</v>
      </c>
      <c r="N2151" s="18" t="str">
        <f t="shared" si="4"/>
        <v>VALID</v>
      </c>
    </row>
    <row r="2152" ht="15.75" customHeight="1">
      <c r="A2152" s="13" t="str">
        <f>Raw_Data!A2152</f>
        <v>EMP2267</v>
      </c>
      <c r="B2152" s="13" t="str">
        <f>TRIM(CLEAN(Raw_Data!B2152))</f>
        <v>Operations</v>
      </c>
      <c r="C2152" s="18" t="s">
        <v>37</v>
      </c>
      <c r="D2152" s="14" t="str">
        <f>IF(ISBLANK(Raw_Data!D2152),AVERAGE(Raw_Data!D$2:D$5002),Raw_Data!D2152)</f>
        <v>72817.80</v>
      </c>
      <c r="E2152" s="15" t="str">
        <f>IF(ISBLANK(Raw_Data!E2152),AVERAGE(Raw_Data!E$2:E$5002),Raw_Data!E2152)</f>
        <v>24452.19</v>
      </c>
      <c r="F2152" s="15" t="str">
        <f>IF(ISBLANK(Raw_Data!F2152),AVERAGE(Raw_Data!F$2:F$5002),Raw_Data!F2152)</f>
        <v>17581.82</v>
      </c>
      <c r="G2152" s="14" t="str">
        <f>IF(ISBLANK(Raw_Data!G2152),AVERAGE(Raw_Data!G$2:G$5002),Raw_Data!G2152)</f>
        <v>14612.03</v>
      </c>
      <c r="H2152" s="15" t="str">
        <f t="shared" si="1"/>
        <v>114852.00</v>
      </c>
      <c r="I2152" s="14" t="str">
        <f t="shared" si="2"/>
        <v>100240.00</v>
      </c>
      <c r="J2152" s="16" t="str">
        <f>TEXT(Raw_Data!J2152,"MMM-YYY")</f>
        <v>May-2025</v>
      </c>
      <c r="K2152" s="13" t="str">
        <f>Raw_Data!K2152</f>
        <v>18</v>
      </c>
      <c r="L2152" s="17" t="str">
        <f>Raw_Data!L2152</f>
        <v>Delhi-North</v>
      </c>
      <c r="M2152" s="13" t="str">
        <f t="shared" si="3"/>
        <v>OK</v>
      </c>
      <c r="N2152" s="18" t="str">
        <f t="shared" si="4"/>
        <v>VALID</v>
      </c>
    </row>
    <row r="2153" ht="15.75" customHeight="1">
      <c r="A2153" s="13" t="str">
        <f>Raw_Data!A2153</f>
        <v>EMP2268</v>
      </c>
      <c r="B2153" s="13" t="str">
        <f>TRIM(CLEAN(Raw_Data!B2153))</f>
        <v>HR</v>
      </c>
      <c r="C2153" s="18" t="s">
        <v>37</v>
      </c>
      <c r="D2153" s="14" t="str">
        <f>IF(ISBLANK(Raw_Data!D2153),AVERAGE(Raw_Data!D$2:D$5002),Raw_Data!D2153)</f>
        <v>72828.68</v>
      </c>
      <c r="E2153" s="15" t="str">
        <f>IF(ISBLANK(Raw_Data!E2153),AVERAGE(Raw_Data!E$2:E$5002),Raw_Data!E2153)</f>
        <v>24456.81</v>
      </c>
      <c r="F2153" s="15" t="str">
        <f>IF(ISBLANK(Raw_Data!F2153),AVERAGE(Raw_Data!F$2:F$5002),Raw_Data!F2153)</f>
        <v>17589.50</v>
      </c>
      <c r="G2153" s="14" t="str">
        <f>IF(ISBLANK(Raw_Data!G2153),AVERAGE(Raw_Data!G$2:G$5002),Raw_Data!G2153)</f>
        <v>14615.42</v>
      </c>
      <c r="H2153" s="15" t="str">
        <f t="shared" si="1"/>
        <v>114875.00</v>
      </c>
      <c r="I2153" s="14" t="str">
        <f t="shared" si="2"/>
        <v>100260.00</v>
      </c>
      <c r="J2153" s="16" t="str">
        <f>TEXT(Raw_Data!J2153,"MMM-YYY")</f>
        <v>Nov-2025</v>
      </c>
      <c r="K2153" s="13" t="str">
        <f>Raw_Data!K2153</f>
        <v>24</v>
      </c>
      <c r="L2153" s="17" t="str">
        <f>Raw_Data!L2153</f>
        <v>Jaipur-North</v>
      </c>
      <c r="M2153" s="13" t="str">
        <f t="shared" si="3"/>
        <v>OK</v>
      </c>
      <c r="N2153" s="18" t="str">
        <f t="shared" si="4"/>
        <v>VALID</v>
      </c>
    </row>
    <row r="2154" ht="15.75" customHeight="1">
      <c r="A2154" s="13" t="str">
        <f>Raw_Data!A2154</f>
        <v>EMP2269</v>
      </c>
      <c r="B2154" s="13" t="str">
        <f>TRIM(CLEAN(Raw_Data!B2154))</f>
        <v>IT</v>
      </c>
      <c r="C2154" s="18" t="s">
        <v>14</v>
      </c>
      <c r="D2154" s="14" t="str">
        <f>IF(ISBLANK(Raw_Data!D2154),AVERAGE(Raw_Data!D$2:D$5002),Raw_Data!D2154)</f>
        <v>71831.17</v>
      </c>
      <c r="E2154" s="15" t="str">
        <f>IF(ISBLANK(Raw_Data!E2154),AVERAGE(Raw_Data!E$2:E$5002),Raw_Data!E2154)</f>
        <v>24461.42</v>
      </c>
      <c r="F2154" s="15" t="str">
        <f>IF(ISBLANK(Raw_Data!F2154),AVERAGE(Raw_Data!F$2:F$5002),Raw_Data!F2154)</f>
        <v>17597.18</v>
      </c>
      <c r="G2154" s="14" t="str">
        <f>IF(ISBLANK(Raw_Data!G2154),AVERAGE(Raw_Data!G$2:G$5002),Raw_Data!G2154)</f>
        <v>14618.82</v>
      </c>
      <c r="H2154" s="15" t="str">
        <f t="shared" si="1"/>
        <v>113890.00</v>
      </c>
      <c r="I2154" s="14" t="str">
        <f t="shared" si="2"/>
        <v>99271.00</v>
      </c>
      <c r="J2154" s="16" t="str">
        <f>TEXT(Raw_Data!J2154,"MMM-YYY")</f>
        <v>May-2025</v>
      </c>
      <c r="K2154" s="13" t="str">
        <f>Raw_Data!K2154</f>
        <v>7</v>
      </c>
      <c r="L2154" s="17" t="str">
        <f>Raw_Data!L2154</f>
        <v>Ahmedabad-West</v>
      </c>
      <c r="M2154" s="13" t="str">
        <f t="shared" si="3"/>
        <v>OK</v>
      </c>
      <c r="N2154" s="18" t="str">
        <f t="shared" si="4"/>
        <v>VALID</v>
      </c>
    </row>
    <row r="2155" ht="15.75" customHeight="1">
      <c r="A2155" s="13" t="str">
        <f>Raw_Data!A2155</f>
        <v>EMP2270</v>
      </c>
      <c r="B2155" s="13" t="str">
        <f>TRIM(CLEAN(Raw_Data!B2155))</f>
        <v>Finance</v>
      </c>
      <c r="C2155" s="18" t="s">
        <v>18</v>
      </c>
      <c r="D2155" s="14" t="str">
        <f>IF(ISBLANK(Raw_Data!D2155),AVERAGE(Raw_Data!D$2:D$5002),Raw_Data!D2155)</f>
        <v>72850.45</v>
      </c>
      <c r="E2155" s="15" t="str">
        <f>IF(ISBLANK(Raw_Data!E2155),AVERAGE(Raw_Data!E$2:E$5002),Raw_Data!E2155)</f>
        <v>24466.03</v>
      </c>
      <c r="F2155" s="15" t="str">
        <f>IF(ISBLANK(Raw_Data!F2155),AVERAGE(Raw_Data!F$2:F$5002),Raw_Data!F2155)</f>
        <v>17604.86</v>
      </c>
      <c r="G2155" s="14" t="str">
        <f>IF(ISBLANK(Raw_Data!G2155),AVERAGE(Raw_Data!G$2:G$5002),Raw_Data!G2155)</f>
        <v>14622.22</v>
      </c>
      <c r="H2155" s="15" t="str">
        <f t="shared" si="1"/>
        <v>114921.00</v>
      </c>
      <c r="I2155" s="14" t="str">
        <f t="shared" si="2"/>
        <v>100299.00</v>
      </c>
      <c r="J2155" s="16" t="str">
        <f>TEXT(Raw_Data!J2155,"MMM-YYY")</f>
        <v>May-2025</v>
      </c>
      <c r="K2155" s="13" t="str">
        <f>Raw_Data!K2155</f>
        <v>19</v>
      </c>
      <c r="L2155" s="17" t="str">
        <f>Raw_Data!L2155</f>
        <v>Hyderabad-South</v>
      </c>
      <c r="M2155" s="13" t="str">
        <f t="shared" si="3"/>
        <v>OK</v>
      </c>
      <c r="N2155" s="18" t="str">
        <f t="shared" si="4"/>
        <v>VALID</v>
      </c>
    </row>
    <row r="2156" ht="15.75" customHeight="1">
      <c r="A2156" s="13" t="str">
        <f>Raw_Data!A2156</f>
        <v>EMP2271</v>
      </c>
      <c r="B2156" s="13" t="str">
        <f>TRIM(CLEAN(Raw_Data!B2156))</f>
        <v>Sales</v>
      </c>
      <c r="C2156" s="18" t="s">
        <v>33</v>
      </c>
      <c r="D2156" s="14" t="str">
        <f>IF(ISBLANK(Raw_Data!D2156),AVERAGE(Raw_Data!D$2:D$5002),Raw_Data!D2156)</f>
        <v>72861.33</v>
      </c>
      <c r="E2156" s="15" t="str">
        <f>IF(ISBLANK(Raw_Data!E2156),AVERAGE(Raw_Data!E$2:E$5002),Raw_Data!E2156)</f>
        <v>24470.65</v>
      </c>
      <c r="F2156" s="15" t="str">
        <f>IF(ISBLANK(Raw_Data!F2156),AVERAGE(Raw_Data!F$2:F$5002),Raw_Data!F2156)</f>
        <v>17612.54</v>
      </c>
      <c r="G2156" s="14" t="str">
        <f>IF(ISBLANK(Raw_Data!G2156),AVERAGE(Raw_Data!G$2:G$5002),Raw_Data!G2156)</f>
        <v>14625.62</v>
      </c>
      <c r="H2156" s="15" t="str">
        <f t="shared" si="1"/>
        <v>114945.00</v>
      </c>
      <c r="I2156" s="14" t="str">
        <f t="shared" si="2"/>
        <v>100319.00</v>
      </c>
      <c r="J2156" s="16" t="str">
        <f>TEXT(Raw_Data!J2156,"MMM-YYY")</f>
        <v>Sep-2025</v>
      </c>
      <c r="K2156" s="13" t="str">
        <f>Raw_Data!K2156</f>
        <v>19</v>
      </c>
      <c r="L2156" s="17" t="str">
        <f>Raw_Data!L2156</f>
        <v>Bangalore-South</v>
      </c>
      <c r="M2156" s="13" t="str">
        <f t="shared" si="3"/>
        <v>OK</v>
      </c>
      <c r="N2156" s="18" t="str">
        <f t="shared" si="4"/>
        <v>VALID</v>
      </c>
    </row>
    <row r="2157" ht="15.75" customHeight="1">
      <c r="A2157" s="13" t="str">
        <f>Raw_Data!A2157</f>
        <v>EMP2272</v>
      </c>
      <c r="B2157" s="13" t="str">
        <f>TRIM(CLEAN(Raw_Data!B2157))</f>
        <v>Sales</v>
      </c>
      <c r="C2157" s="18" t="s">
        <v>37</v>
      </c>
      <c r="D2157" s="14" t="str">
        <f>IF(ISBLANK(Raw_Data!D2157),AVERAGE(Raw_Data!D$2:D$5002),Raw_Data!D2157)</f>
        <v>72872.22</v>
      </c>
      <c r="E2157" s="15" t="str">
        <f>IF(ISBLANK(Raw_Data!E2157),AVERAGE(Raw_Data!E$2:E$5002),Raw_Data!E2157)</f>
        <v>24475.26</v>
      </c>
      <c r="F2157" s="15" t="str">
        <f>IF(ISBLANK(Raw_Data!F2157),AVERAGE(Raw_Data!F$2:F$5002),Raw_Data!F2157)</f>
        <v>17620.22</v>
      </c>
      <c r="G2157" s="14" t="str">
        <f>IF(ISBLANK(Raw_Data!G2157),AVERAGE(Raw_Data!G$2:G$5002),Raw_Data!G2157)</f>
        <v>14629.01</v>
      </c>
      <c r="H2157" s="15" t="str">
        <f t="shared" si="1"/>
        <v>114968.00</v>
      </c>
      <c r="I2157" s="14" t="str">
        <f t="shared" si="2"/>
        <v>100339.00</v>
      </c>
      <c r="J2157" s="16" t="str">
        <f>TEXT(Raw_Data!J2157,"MMM-YYY")</f>
        <v>Apr-2025</v>
      </c>
      <c r="K2157" s="13" t="str">
        <f>Raw_Data!K2157</f>
        <v>6</v>
      </c>
      <c r="L2157" s="17" t="str">
        <f>Raw_Data!L2157</f>
        <v>Delhi-North</v>
      </c>
      <c r="M2157" s="13" t="str">
        <f t="shared" si="3"/>
        <v>OK</v>
      </c>
      <c r="N2157" s="18" t="str">
        <f t="shared" si="4"/>
        <v>VALID</v>
      </c>
    </row>
    <row r="2158" ht="15.75" customHeight="1">
      <c r="A2158" s="13" t="str">
        <f>Raw_Data!A2158</f>
        <v>EMP2274</v>
      </c>
      <c r="B2158" s="13" t="str">
        <f>TRIM(CLEAN(Raw_Data!B2158))</f>
        <v>Customer Support</v>
      </c>
      <c r="C2158" s="18" t="s">
        <v>30</v>
      </c>
      <c r="D2158" s="14" t="str">
        <f>IF(ISBLANK(Raw_Data!D2158),AVERAGE(Raw_Data!D$2:D$5002),Raw_Data!D2158)</f>
        <v>72893.98</v>
      </c>
      <c r="E2158" s="15" t="str">
        <f>IF(ISBLANK(Raw_Data!E2158),AVERAGE(Raw_Data!E$2:E$5002),Raw_Data!E2158)</f>
        <v>24484.49</v>
      </c>
      <c r="F2158" s="15" t="str">
        <f>IF(ISBLANK(Raw_Data!F2158),AVERAGE(Raw_Data!F$2:F$5002),Raw_Data!F2158)</f>
        <v>17635.58</v>
      </c>
      <c r="G2158" s="14" t="str">
        <f>IF(ISBLANK(Raw_Data!G2158),AVERAGE(Raw_Data!G$2:G$5002),Raw_Data!G2158)</f>
        <v>14635.81</v>
      </c>
      <c r="H2158" s="15" t="str">
        <f t="shared" si="1"/>
        <v>115014.00</v>
      </c>
      <c r="I2158" s="14" t="str">
        <f t="shared" si="2"/>
        <v>100378.00</v>
      </c>
      <c r="J2158" s="16" t="str">
        <f>TEXT(Raw_Data!J2158,"MMM-YYY")</f>
        <v>May-2025</v>
      </c>
      <c r="K2158" s="13" t="str">
        <f>Raw_Data!K2158</f>
        <v>25</v>
      </c>
      <c r="L2158" s="17" t="str">
        <f>Raw_Data!L2158</f>
        <v>Mumbai-HO</v>
      </c>
      <c r="M2158" s="13" t="str">
        <f t="shared" si="3"/>
        <v>OK</v>
      </c>
      <c r="N2158" s="18" t="str">
        <f t="shared" si="4"/>
        <v>VALID</v>
      </c>
    </row>
    <row r="2159" ht="15.75" customHeight="1">
      <c r="A2159" s="13" t="str">
        <f>Raw_Data!A2159</f>
        <v>EMP2275</v>
      </c>
      <c r="B2159" s="13" t="str">
        <f>TRIM(CLEAN(Raw_Data!B2159))</f>
        <v>Finance</v>
      </c>
      <c r="C2159" s="18" t="s">
        <v>33</v>
      </c>
      <c r="D2159" s="14" t="str">
        <f>IF(ISBLANK(Raw_Data!D2159),AVERAGE(Raw_Data!D$2:D$5002),Raw_Data!D2159)</f>
        <v>72904.87</v>
      </c>
      <c r="E2159" s="15" t="str">
        <f>IF(ISBLANK(Raw_Data!E2159),AVERAGE(Raw_Data!E$2:E$5002),Raw_Data!E2159)</f>
        <v>24489.11</v>
      </c>
      <c r="F2159" s="15" t="str">
        <f>IF(ISBLANK(Raw_Data!F2159),AVERAGE(Raw_Data!F$2:F$5002),Raw_Data!F2159)</f>
        <v>17643.26</v>
      </c>
      <c r="G2159" s="14" t="str">
        <f>IF(ISBLANK(Raw_Data!G2159),AVERAGE(Raw_Data!G$2:G$5002),Raw_Data!G2159)</f>
        <v>14639.21</v>
      </c>
      <c r="H2159" s="15" t="str">
        <f t="shared" si="1"/>
        <v>115037.00</v>
      </c>
      <c r="I2159" s="14" t="str">
        <f t="shared" si="2"/>
        <v>100398.00</v>
      </c>
      <c r="J2159" s="16" t="str">
        <f>TEXT(Raw_Data!J2159,"MMM-YYY")</f>
        <v>Nov-2025</v>
      </c>
      <c r="K2159" s="13" t="str">
        <f>Raw_Data!K2159</f>
        <v>2</v>
      </c>
      <c r="L2159" s="17" t="str">
        <f>Raw_Data!L2159</f>
        <v>Kolkata-East</v>
      </c>
      <c r="M2159" s="13" t="str">
        <f t="shared" si="3"/>
        <v>OK</v>
      </c>
      <c r="N2159" s="18" t="str">
        <f t="shared" si="4"/>
        <v>VALID</v>
      </c>
    </row>
    <row r="2160" ht="15.75" customHeight="1">
      <c r="A2160" s="13" t="str">
        <f>Raw_Data!A2160</f>
        <v>EMP2276</v>
      </c>
      <c r="B2160" s="13" t="str">
        <f>TRIM(CLEAN(Raw_Data!B2160))</f>
        <v>Finance</v>
      </c>
      <c r="C2160" s="18" t="s">
        <v>26</v>
      </c>
      <c r="D2160" s="14" t="str">
        <f>IF(ISBLANK(Raw_Data!D2160),AVERAGE(Raw_Data!D$2:D$5002),Raw_Data!D2160)</f>
        <v>72915.75</v>
      </c>
      <c r="E2160" s="15" t="str">
        <f>IF(ISBLANK(Raw_Data!E2160),AVERAGE(Raw_Data!E$2:E$5002),Raw_Data!E2160)</f>
        <v>24493.72</v>
      </c>
      <c r="F2160" s="15" t="str">
        <f>IF(ISBLANK(Raw_Data!F2160),AVERAGE(Raw_Data!F$2:F$5002),Raw_Data!F2160)</f>
        <v>17650.94</v>
      </c>
      <c r="G2160" s="14" t="str">
        <f>IF(ISBLANK(Raw_Data!G2160),AVERAGE(Raw_Data!G$2:G$5002),Raw_Data!G2160)</f>
        <v>14642.60</v>
      </c>
      <c r="H2160" s="15" t="str">
        <f t="shared" si="1"/>
        <v>115060.00</v>
      </c>
      <c r="I2160" s="14" t="str">
        <f t="shared" si="2"/>
        <v>100417.00</v>
      </c>
      <c r="J2160" s="16" t="str">
        <f>TEXT(Raw_Data!J2160,"MMM-YYY")</f>
        <v>Sep-2025</v>
      </c>
      <c r="K2160" s="13" t="str">
        <f>Raw_Data!K2160</f>
        <v>1</v>
      </c>
      <c r="L2160" s="17" t="str">
        <f>Raw_Data!L2160</f>
        <v>Chennai-South</v>
      </c>
      <c r="M2160" s="13" t="str">
        <f t="shared" si="3"/>
        <v>OK</v>
      </c>
      <c r="N2160" s="18" t="str">
        <f t="shared" si="4"/>
        <v>VALID</v>
      </c>
    </row>
    <row r="2161" ht="15.75" customHeight="1">
      <c r="A2161" s="13" t="str">
        <f>Raw_Data!A2161</f>
        <v>EMP2277</v>
      </c>
      <c r="B2161" s="13" t="str">
        <f>TRIM(CLEAN(Raw_Data!B2161))</f>
        <v>Sales</v>
      </c>
      <c r="C2161" s="18" t="s">
        <v>18</v>
      </c>
      <c r="D2161" s="14" t="str">
        <f>IF(ISBLANK(Raw_Data!D2161),AVERAGE(Raw_Data!D$2:D$5002),Raw_Data!D2161)</f>
        <v>72926.63</v>
      </c>
      <c r="E2161" s="15" t="str">
        <f>IF(ISBLANK(Raw_Data!E2161),AVERAGE(Raw_Data!E$2:E$5002),Raw_Data!E2161)</f>
        <v>24498.34</v>
      </c>
      <c r="F2161" s="15" t="str">
        <f>IF(ISBLANK(Raw_Data!F2161),AVERAGE(Raw_Data!F$2:F$5002),Raw_Data!F2161)</f>
        <v>17658.62</v>
      </c>
      <c r="G2161" s="14" t="str">
        <f>IF(ISBLANK(Raw_Data!G2161),AVERAGE(Raw_Data!G$2:G$5002),Raw_Data!G2161)</f>
        <v>14646.00</v>
      </c>
      <c r="H2161" s="15" t="str">
        <f t="shared" si="1"/>
        <v>115084.00</v>
      </c>
      <c r="I2161" s="14" t="str">
        <f t="shared" si="2"/>
        <v>100438.00</v>
      </c>
      <c r="J2161" s="16" t="str">
        <f>TEXT(Raw_Data!J2161,"MMM-YYY")</f>
        <v>Sep-2025</v>
      </c>
      <c r="K2161" s="13" t="str">
        <f>Raw_Data!K2161</f>
        <v>25</v>
      </c>
      <c r="L2161" s="17" t="str">
        <f>Raw_Data!L2161</f>
        <v>Bangalore-South</v>
      </c>
      <c r="M2161" s="13" t="str">
        <f t="shared" si="3"/>
        <v>OK</v>
      </c>
      <c r="N2161" s="18" t="str">
        <f t="shared" si="4"/>
        <v>VALID</v>
      </c>
    </row>
    <row r="2162" ht="15.75" customHeight="1">
      <c r="A2162" s="13" t="str">
        <f>Raw_Data!A2162</f>
        <v>EMP2278</v>
      </c>
      <c r="B2162" s="13" t="str">
        <f>TRIM(CLEAN(Raw_Data!B2162))</f>
        <v>Operations</v>
      </c>
      <c r="C2162" s="18" t="s">
        <v>33</v>
      </c>
      <c r="D2162" s="14" t="str">
        <f>IF(ISBLANK(Raw_Data!D2162),AVERAGE(Raw_Data!D$2:D$5002),Raw_Data!D2162)</f>
        <v>72937.51</v>
      </c>
      <c r="E2162" s="15" t="str">
        <f>IF(ISBLANK(Raw_Data!E2162),AVERAGE(Raw_Data!E$2:E$5002),Raw_Data!E2162)</f>
        <v>24502.95</v>
      </c>
      <c r="F2162" s="15" t="str">
        <f>IF(ISBLANK(Raw_Data!F2162),AVERAGE(Raw_Data!F$2:F$5002),Raw_Data!F2162)</f>
        <v>17666.30</v>
      </c>
      <c r="G2162" s="14" t="str">
        <f>IF(ISBLANK(Raw_Data!G2162),AVERAGE(Raw_Data!G$2:G$5002),Raw_Data!G2162)</f>
        <v>14649.40</v>
      </c>
      <c r="H2162" s="15" t="str">
        <f t="shared" si="1"/>
        <v>115107.00</v>
      </c>
      <c r="I2162" s="14" t="str">
        <f t="shared" si="2"/>
        <v>100458.00</v>
      </c>
      <c r="J2162" s="16" t="str">
        <f>TEXT(Raw_Data!J2162,"MMM-YYY")</f>
        <v>May-2025</v>
      </c>
      <c r="K2162" s="13" t="str">
        <f>Raw_Data!K2162</f>
        <v>23</v>
      </c>
      <c r="L2162" s="17" t="str">
        <f>Raw_Data!L2162</f>
        <v>Jaipur-North</v>
      </c>
      <c r="M2162" s="13" t="str">
        <f t="shared" si="3"/>
        <v>OK</v>
      </c>
      <c r="N2162" s="18" t="str">
        <f t="shared" si="4"/>
        <v>VALID</v>
      </c>
    </row>
    <row r="2163" ht="15.75" customHeight="1">
      <c r="A2163" s="13" t="str">
        <f>Raw_Data!A2163</f>
        <v>EMP2279</v>
      </c>
      <c r="B2163" s="13" t="str">
        <f>TRIM(CLEAN(Raw_Data!B2163))</f>
        <v>Sales</v>
      </c>
      <c r="C2163" s="18" t="s">
        <v>18</v>
      </c>
      <c r="D2163" s="14" t="str">
        <f>IF(ISBLANK(Raw_Data!D2163),AVERAGE(Raw_Data!D$2:D$5002),Raw_Data!D2163)</f>
        <v>72948.40</v>
      </c>
      <c r="E2163" s="15" t="str">
        <f>IF(ISBLANK(Raw_Data!E2163),AVERAGE(Raw_Data!E$2:E$5002),Raw_Data!E2163)</f>
        <v>24507.57</v>
      </c>
      <c r="F2163" s="15" t="str">
        <f>IF(ISBLANK(Raw_Data!F2163),AVERAGE(Raw_Data!F$2:F$5002),Raw_Data!F2163)</f>
        <v>17673.98</v>
      </c>
      <c r="G2163" s="14" t="str">
        <f>IF(ISBLANK(Raw_Data!G2163),AVERAGE(Raw_Data!G$2:G$5002),Raw_Data!G2163)</f>
        <v>14652.80</v>
      </c>
      <c r="H2163" s="15" t="str">
        <f t="shared" si="1"/>
        <v>115130.00</v>
      </c>
      <c r="I2163" s="14" t="str">
        <f t="shared" si="2"/>
        <v>100477.00</v>
      </c>
      <c r="J2163" s="16" t="str">
        <f>TEXT(Raw_Data!J2163,"MMM-YYY")</f>
        <v>Nov-2025</v>
      </c>
      <c r="K2163" s="13" t="str">
        <f>Raw_Data!K2163</f>
        <v>21</v>
      </c>
      <c r="L2163" s="17" t="str">
        <f>Raw_Data!L2163</f>
        <v>Pune-West</v>
      </c>
      <c r="M2163" s="13" t="str">
        <f t="shared" si="3"/>
        <v>OK</v>
      </c>
      <c r="N2163" s="18" t="str">
        <f t="shared" si="4"/>
        <v>VALID</v>
      </c>
    </row>
    <row r="2164" ht="15.75" customHeight="1">
      <c r="A2164" s="13" t="str">
        <f>Raw_Data!A2164</f>
        <v>EMP2280</v>
      </c>
      <c r="B2164" s="13" t="str">
        <f>TRIM(CLEAN(Raw_Data!B2164))</f>
        <v>HR</v>
      </c>
      <c r="C2164" s="18" t="s">
        <v>18</v>
      </c>
      <c r="D2164" s="14" t="str">
        <f>IF(ISBLANK(Raw_Data!D2164),AVERAGE(Raw_Data!D$2:D$5002),Raw_Data!D2164)</f>
        <v>72959.28</v>
      </c>
      <c r="E2164" s="15" t="str">
        <f>IF(ISBLANK(Raw_Data!E2164),AVERAGE(Raw_Data!E$2:E$5002),Raw_Data!E2164)</f>
        <v>24512.18</v>
      </c>
      <c r="F2164" s="15" t="str">
        <f>IF(ISBLANK(Raw_Data!F2164),AVERAGE(Raw_Data!F$2:F$5002),Raw_Data!F2164)</f>
        <v>17681.66</v>
      </c>
      <c r="G2164" s="14" t="str">
        <f>IF(ISBLANK(Raw_Data!G2164),AVERAGE(Raw_Data!G$2:G$5002),Raw_Data!G2164)</f>
        <v>14656.19</v>
      </c>
      <c r="H2164" s="15" t="str">
        <f t="shared" si="1"/>
        <v>115153.00</v>
      </c>
      <c r="I2164" s="14" t="str">
        <f t="shared" si="2"/>
        <v>100497.00</v>
      </c>
      <c r="J2164" s="16" t="str">
        <f>TEXT(Raw_Data!J2164,"MMM-YYY")</f>
        <v>Aug-2025</v>
      </c>
      <c r="K2164" s="13" t="str">
        <f>Raw_Data!K2164</f>
        <v>9</v>
      </c>
      <c r="L2164" s="17" t="str">
        <f>Raw_Data!L2164</f>
        <v>Delhi-North</v>
      </c>
      <c r="M2164" s="13" t="str">
        <f t="shared" si="3"/>
        <v>OK</v>
      </c>
      <c r="N2164" s="18" t="str">
        <f t="shared" si="4"/>
        <v>VALID</v>
      </c>
    </row>
    <row r="2165" ht="15.75" customHeight="1">
      <c r="A2165" s="13" t="str">
        <f>Raw_Data!A2165</f>
        <v>EMP2281</v>
      </c>
      <c r="B2165" s="13" t="str">
        <f>TRIM(CLEAN(Raw_Data!B2165))</f>
        <v>Operations</v>
      </c>
      <c r="C2165" s="18" t="s">
        <v>54</v>
      </c>
      <c r="D2165" s="14" t="str">
        <f>IF(ISBLANK(Raw_Data!D2165),AVERAGE(Raw_Data!D$2:D$5002),Raw_Data!D2165)</f>
        <v>72970.16</v>
      </c>
      <c r="E2165" s="15" t="str">
        <f>IF(ISBLANK(Raw_Data!E2165),AVERAGE(Raw_Data!E$2:E$5002),Raw_Data!E2165)</f>
        <v>24516.80</v>
      </c>
      <c r="F2165" s="15" t="str">
        <f>IF(ISBLANK(Raw_Data!F2165),AVERAGE(Raw_Data!F$2:F$5002),Raw_Data!F2165)</f>
        <v>17689.34</v>
      </c>
      <c r="G2165" s="14" t="str">
        <f>IF(ISBLANK(Raw_Data!G2165),AVERAGE(Raw_Data!G$2:G$5002),Raw_Data!G2165)</f>
        <v>14659.59</v>
      </c>
      <c r="H2165" s="15" t="str">
        <f t="shared" si="1"/>
        <v>115176.00</v>
      </c>
      <c r="I2165" s="14" t="str">
        <f t="shared" si="2"/>
        <v>100516.00</v>
      </c>
      <c r="J2165" s="16" t="str">
        <f>TEXT(Raw_Data!J2165,"MMM-YYY")</f>
        <v>Feb-2025</v>
      </c>
      <c r="K2165" s="13" t="str">
        <f>Raw_Data!K2165</f>
        <v>15</v>
      </c>
      <c r="L2165" s="17" t="str">
        <f>Raw_Data!L2165</f>
        <v>Bangalore-South</v>
      </c>
      <c r="M2165" s="13" t="str">
        <f t="shared" si="3"/>
        <v>OK</v>
      </c>
      <c r="N2165" s="18" t="str">
        <f t="shared" si="4"/>
        <v>VALID</v>
      </c>
    </row>
    <row r="2166" ht="15.75" customHeight="1">
      <c r="A2166" s="13" t="str">
        <f>Raw_Data!A2166</f>
        <v>EMP2282</v>
      </c>
      <c r="B2166" s="13" t="str">
        <f>TRIM(CLEAN(Raw_Data!B2166))</f>
        <v>Operations</v>
      </c>
      <c r="C2166" s="18" t="s">
        <v>33</v>
      </c>
      <c r="D2166" s="14" t="str">
        <f>IF(ISBLANK(Raw_Data!D2166),AVERAGE(Raw_Data!D$2:D$5002),Raw_Data!D2166)</f>
        <v>71831.17</v>
      </c>
      <c r="E2166" s="15" t="str">
        <f>IF(ISBLANK(Raw_Data!E2166),AVERAGE(Raw_Data!E$2:E$5002),Raw_Data!E2166)</f>
        <v>24521.41</v>
      </c>
      <c r="F2166" s="15" t="str">
        <f>IF(ISBLANK(Raw_Data!F2166),AVERAGE(Raw_Data!F$2:F$5002),Raw_Data!F2166)</f>
        <v>17697.02</v>
      </c>
      <c r="G2166" s="14" t="str">
        <f>IF(ISBLANK(Raw_Data!G2166),AVERAGE(Raw_Data!G$2:G$5002),Raw_Data!G2166)</f>
        <v>14662.99</v>
      </c>
      <c r="H2166" s="15" t="str">
        <f t="shared" si="1"/>
        <v>114050.00</v>
      </c>
      <c r="I2166" s="14" t="str">
        <f t="shared" si="2"/>
        <v>99387.00</v>
      </c>
      <c r="J2166" s="16" t="str">
        <f>TEXT(Raw_Data!J2166,"MMM-YYY")</f>
        <v>Mar-2025</v>
      </c>
      <c r="K2166" s="13" t="str">
        <f>Raw_Data!K2166</f>
        <v>3</v>
      </c>
      <c r="L2166" s="17" t="str">
        <f>Raw_Data!L2166</f>
        <v>Bangalore-South</v>
      </c>
      <c r="M2166" s="13" t="str">
        <f t="shared" si="3"/>
        <v>OK</v>
      </c>
      <c r="N2166" s="18" t="str">
        <f t="shared" si="4"/>
        <v>VALID</v>
      </c>
    </row>
    <row r="2167" ht="15.75" customHeight="1">
      <c r="A2167" s="13" t="str">
        <f>Raw_Data!A2167</f>
        <v>EMP2283</v>
      </c>
      <c r="B2167" s="13" t="str">
        <f>TRIM(CLEAN(Raw_Data!B2167))</f>
        <v>Customer Support</v>
      </c>
      <c r="C2167" s="18" t="s">
        <v>33</v>
      </c>
      <c r="D2167" s="14" t="str">
        <f>IF(ISBLANK(Raw_Data!D2167),AVERAGE(Raw_Data!D$2:D$5002),Raw_Data!D2167)</f>
        <v>72991.93</v>
      </c>
      <c r="E2167" s="15" t="str">
        <f>IF(ISBLANK(Raw_Data!E2167),AVERAGE(Raw_Data!E$2:E$5002),Raw_Data!E2167)</f>
        <v>24526.03</v>
      </c>
      <c r="F2167" s="15" t="str">
        <f>IF(ISBLANK(Raw_Data!F2167),AVERAGE(Raw_Data!F$2:F$5002),Raw_Data!F2167)</f>
        <v>17704.70</v>
      </c>
      <c r="G2167" s="14" t="str">
        <f>IF(ISBLANK(Raw_Data!G2167),AVERAGE(Raw_Data!G$2:G$5002),Raw_Data!G2167)</f>
        <v>14666.39</v>
      </c>
      <c r="H2167" s="15" t="str">
        <f t="shared" si="1"/>
        <v>115223.00</v>
      </c>
      <c r="I2167" s="14" t="str">
        <f t="shared" si="2"/>
        <v>100557.00</v>
      </c>
      <c r="J2167" s="16" t="str">
        <f>TEXT(Raw_Data!J2167,"MMM-YYY")</f>
        <v>Aug-2025</v>
      </c>
      <c r="K2167" s="13" t="str">
        <f>Raw_Data!K2167</f>
        <v>19</v>
      </c>
      <c r="L2167" s="17" t="str">
        <f>Raw_Data!L2167</f>
        <v>Jaipur-North</v>
      </c>
      <c r="M2167" s="13" t="str">
        <f t="shared" si="3"/>
        <v>OK</v>
      </c>
      <c r="N2167" s="18" t="str">
        <f t="shared" si="4"/>
        <v>VALID</v>
      </c>
    </row>
    <row r="2168" ht="15.75" customHeight="1">
      <c r="A2168" s="13" t="str">
        <f>Raw_Data!A2168</f>
        <v>EMP2284</v>
      </c>
      <c r="B2168" s="13" t="str">
        <f>TRIM(CLEAN(Raw_Data!B2168))</f>
        <v>HR</v>
      </c>
      <c r="C2168" s="18" t="s">
        <v>18</v>
      </c>
      <c r="D2168" s="14" t="str">
        <f>IF(ISBLANK(Raw_Data!D2168),AVERAGE(Raw_Data!D$2:D$5002),Raw_Data!D2168)</f>
        <v>73002.81</v>
      </c>
      <c r="E2168" s="15" t="str">
        <f>IF(ISBLANK(Raw_Data!E2168),AVERAGE(Raw_Data!E$2:E$5002),Raw_Data!E2168)</f>
        <v>24530.64</v>
      </c>
      <c r="F2168" s="15" t="str">
        <f>IF(ISBLANK(Raw_Data!F2168),AVERAGE(Raw_Data!F$2:F$5002),Raw_Data!F2168)</f>
        <v>17712.38</v>
      </c>
      <c r="G2168" s="14" t="str">
        <f>IF(ISBLANK(Raw_Data!G2168),AVERAGE(Raw_Data!G$2:G$5002),Raw_Data!G2168)</f>
        <v>14669.78</v>
      </c>
      <c r="H2168" s="15" t="str">
        <f t="shared" si="1"/>
        <v>115246.00</v>
      </c>
      <c r="I2168" s="14" t="str">
        <f t="shared" si="2"/>
        <v>100576.00</v>
      </c>
      <c r="J2168" s="16" t="str">
        <f>TEXT(Raw_Data!J2168,"MMM-YYY")</f>
        <v>Jan-2025</v>
      </c>
      <c r="K2168" s="13" t="str">
        <f>Raw_Data!K2168</f>
        <v>12</v>
      </c>
      <c r="L2168" s="17" t="str">
        <f>Raw_Data!L2168</f>
        <v>Pune-West</v>
      </c>
      <c r="M2168" s="13" t="str">
        <f t="shared" si="3"/>
        <v>OK</v>
      </c>
      <c r="N2168" s="18" t="str">
        <f t="shared" si="4"/>
        <v>VALID</v>
      </c>
    </row>
    <row r="2169" ht="15.75" customHeight="1">
      <c r="A2169" s="13" t="str">
        <f>Raw_Data!A2169</f>
        <v>EMP2285</v>
      </c>
      <c r="B2169" s="13" t="str">
        <f>TRIM(CLEAN(Raw_Data!B2169))</f>
        <v>Customer Support</v>
      </c>
      <c r="C2169" s="18" t="s">
        <v>26</v>
      </c>
      <c r="D2169" s="14" t="str">
        <f>IF(ISBLANK(Raw_Data!D2169),AVERAGE(Raw_Data!D$2:D$5002),Raw_Data!D2169)</f>
        <v>73013.70</v>
      </c>
      <c r="E2169" s="15" t="str">
        <f>IF(ISBLANK(Raw_Data!E2169),AVERAGE(Raw_Data!E$2:E$5002),Raw_Data!E2169)</f>
        <v>24535.26</v>
      </c>
      <c r="F2169" s="15" t="str">
        <f>IF(ISBLANK(Raw_Data!F2169),AVERAGE(Raw_Data!F$2:F$5002),Raw_Data!F2169)</f>
        <v>17720.06</v>
      </c>
      <c r="G2169" s="14" t="str">
        <f>IF(ISBLANK(Raw_Data!G2169),AVERAGE(Raw_Data!G$2:G$5002),Raw_Data!G2169)</f>
        <v>14673.18</v>
      </c>
      <c r="H2169" s="15" t="str">
        <f t="shared" si="1"/>
        <v>115269.00</v>
      </c>
      <c r="I2169" s="14" t="str">
        <f t="shared" si="2"/>
        <v>100596.00</v>
      </c>
      <c r="J2169" s="16" t="str">
        <f>TEXT(Raw_Data!J2169,"MMM-YYY")</f>
        <v>Jun-2025</v>
      </c>
      <c r="K2169" s="13" t="str">
        <f>Raw_Data!K2169</f>
        <v>19</v>
      </c>
      <c r="L2169" s="17" t="str">
        <f>Raw_Data!L2169</f>
        <v>Hyderabad-South</v>
      </c>
      <c r="M2169" s="13" t="str">
        <f t="shared" si="3"/>
        <v>OK</v>
      </c>
      <c r="N2169" s="18" t="str">
        <f t="shared" si="4"/>
        <v>VALID</v>
      </c>
    </row>
    <row r="2170" ht="15.75" customHeight="1">
      <c r="A2170" s="13" t="str">
        <f>Raw_Data!A2170</f>
        <v>EMP2286</v>
      </c>
      <c r="B2170" s="13" t="str">
        <f>TRIM(CLEAN(Raw_Data!B2170))</f>
        <v>Operations</v>
      </c>
      <c r="C2170" s="18" t="s">
        <v>18</v>
      </c>
      <c r="D2170" s="14" t="str">
        <f>IF(ISBLANK(Raw_Data!D2170),AVERAGE(Raw_Data!D$2:D$5002),Raw_Data!D2170)</f>
        <v>73024.58</v>
      </c>
      <c r="E2170" s="15" t="str">
        <f>IF(ISBLANK(Raw_Data!E2170),AVERAGE(Raw_Data!E$2:E$5002),Raw_Data!E2170)</f>
        <v>24539.87</v>
      </c>
      <c r="F2170" s="15" t="str">
        <f>IF(ISBLANK(Raw_Data!F2170),AVERAGE(Raw_Data!F$2:F$5002),Raw_Data!F2170)</f>
        <v>17727.74</v>
      </c>
      <c r="G2170" s="14" t="str">
        <f>IF(ISBLANK(Raw_Data!G2170),AVERAGE(Raw_Data!G$2:G$5002),Raw_Data!G2170)</f>
        <v>14676.58</v>
      </c>
      <c r="H2170" s="15" t="str">
        <f t="shared" si="1"/>
        <v>115292.00</v>
      </c>
      <c r="I2170" s="14" t="str">
        <f t="shared" si="2"/>
        <v>100615.00</v>
      </c>
      <c r="J2170" s="16" t="str">
        <f>TEXT(Raw_Data!J2170,"MMM-YYY")</f>
        <v>Sep-2025</v>
      </c>
      <c r="K2170" s="13" t="str">
        <f>Raw_Data!K2170</f>
        <v>19</v>
      </c>
      <c r="L2170" s="17" t="str">
        <f>Raw_Data!L2170</f>
        <v>Jaipur-North</v>
      </c>
      <c r="M2170" s="13" t="str">
        <f t="shared" si="3"/>
        <v>OK</v>
      </c>
      <c r="N2170" s="18" t="str">
        <f t="shared" si="4"/>
        <v>VALID</v>
      </c>
    </row>
    <row r="2171" ht="15.75" customHeight="1">
      <c r="A2171" s="13" t="str">
        <f>Raw_Data!A2171</f>
        <v>EMP2287</v>
      </c>
      <c r="B2171" s="13" t="str">
        <f>TRIM(CLEAN(Raw_Data!B2171))</f>
        <v>Marketing</v>
      </c>
      <c r="C2171" s="18" t="s">
        <v>18</v>
      </c>
      <c r="D2171" s="14" t="str">
        <f>IF(ISBLANK(Raw_Data!D2171),AVERAGE(Raw_Data!D$2:D$5002),Raw_Data!D2171)</f>
        <v>73035.46</v>
      </c>
      <c r="E2171" s="15" t="str">
        <f>IF(ISBLANK(Raw_Data!E2171),AVERAGE(Raw_Data!E$2:E$5002),Raw_Data!E2171)</f>
        <v>24544.48</v>
      </c>
      <c r="F2171" s="15" t="str">
        <f>IF(ISBLANK(Raw_Data!F2171),AVERAGE(Raw_Data!F$2:F$5002),Raw_Data!F2171)</f>
        <v>17735.42</v>
      </c>
      <c r="G2171" s="14" t="str">
        <f>IF(ISBLANK(Raw_Data!G2171),AVERAGE(Raw_Data!G$2:G$5002),Raw_Data!G2171)</f>
        <v>14562.73</v>
      </c>
      <c r="H2171" s="15" t="str">
        <f t="shared" si="1"/>
        <v>115315.00</v>
      </c>
      <c r="I2171" s="14" t="str">
        <f t="shared" si="2"/>
        <v>100752.00</v>
      </c>
      <c r="J2171" s="16" t="str">
        <f>TEXT(Raw_Data!J2171,"MMM-YYY")</f>
        <v>Aug-2025</v>
      </c>
      <c r="K2171" s="13" t="str">
        <f>Raw_Data!K2171</f>
        <v>20</v>
      </c>
      <c r="L2171" s="17" t="str">
        <f>Raw_Data!L2171</f>
        <v>Chennai-South</v>
      </c>
      <c r="M2171" s="13" t="str">
        <f t="shared" si="3"/>
        <v>OK</v>
      </c>
      <c r="N2171" s="18" t="str">
        <f t="shared" si="4"/>
        <v>VALID</v>
      </c>
    </row>
    <row r="2172" ht="15.75" customHeight="1">
      <c r="A2172" s="13" t="str">
        <f>Raw_Data!A2172</f>
        <v>EMP2288</v>
      </c>
      <c r="B2172" s="13" t="str">
        <f>TRIM(CLEAN(Raw_Data!B2172))</f>
        <v>Customer Support</v>
      </c>
      <c r="C2172" s="18" t="s">
        <v>30</v>
      </c>
      <c r="D2172" s="14" t="str">
        <f>IF(ISBLANK(Raw_Data!D2172),AVERAGE(Raw_Data!D$2:D$5002),Raw_Data!D2172)</f>
        <v>73046.34</v>
      </c>
      <c r="E2172" s="15" t="str">
        <f>IF(ISBLANK(Raw_Data!E2172),AVERAGE(Raw_Data!E$2:E$5002),Raw_Data!E2172)</f>
        <v>24549.10</v>
      </c>
      <c r="F2172" s="15" t="str">
        <f>IF(ISBLANK(Raw_Data!F2172),AVERAGE(Raw_Data!F$2:F$5002),Raw_Data!F2172)</f>
        <v>17743.10</v>
      </c>
      <c r="G2172" s="14" t="str">
        <f>IF(ISBLANK(Raw_Data!G2172),AVERAGE(Raw_Data!G$2:G$5002),Raw_Data!G2172)</f>
        <v>14683.37</v>
      </c>
      <c r="H2172" s="15" t="str">
        <f t="shared" si="1"/>
        <v>115339.00</v>
      </c>
      <c r="I2172" s="14" t="str">
        <f t="shared" si="2"/>
        <v>100656.00</v>
      </c>
      <c r="J2172" s="16" t="str">
        <f>TEXT(Raw_Data!J2172,"MMM-YYY")</f>
        <v>Aug-2025</v>
      </c>
      <c r="K2172" s="13" t="str">
        <f>Raw_Data!K2172</f>
        <v>7</v>
      </c>
      <c r="L2172" s="17" t="str">
        <f>Raw_Data!L2172</f>
        <v>Chandigarh-North</v>
      </c>
      <c r="M2172" s="13" t="str">
        <f t="shared" si="3"/>
        <v>OK</v>
      </c>
      <c r="N2172" s="18" t="str">
        <f t="shared" si="4"/>
        <v>VALID</v>
      </c>
    </row>
    <row r="2173" ht="15.75" customHeight="1">
      <c r="A2173" s="13" t="str">
        <f>Raw_Data!A2173</f>
        <v>EMP2290</v>
      </c>
      <c r="B2173" s="13" t="str">
        <f>TRIM(CLEAN(Raw_Data!B2173))</f>
        <v>HR</v>
      </c>
      <c r="C2173" s="18" t="s">
        <v>26</v>
      </c>
      <c r="D2173" s="14" t="str">
        <f>IF(ISBLANK(Raw_Data!D2173),AVERAGE(Raw_Data!D$2:D$5002),Raw_Data!D2173)</f>
        <v>73068.11</v>
      </c>
      <c r="E2173" s="15" t="str">
        <f>IF(ISBLANK(Raw_Data!E2173),AVERAGE(Raw_Data!E$2:E$5002),Raw_Data!E2173)</f>
        <v>24558.33</v>
      </c>
      <c r="F2173" s="15" t="str">
        <f>IF(ISBLANK(Raw_Data!F2173),AVERAGE(Raw_Data!F$2:F$5002),Raw_Data!F2173)</f>
        <v>17758.46</v>
      </c>
      <c r="G2173" s="14" t="str">
        <f>IF(ISBLANK(Raw_Data!G2173),AVERAGE(Raw_Data!G$2:G$5002),Raw_Data!G2173)</f>
        <v>14690.17</v>
      </c>
      <c r="H2173" s="15" t="str">
        <f t="shared" si="1"/>
        <v>115385.00</v>
      </c>
      <c r="I2173" s="14" t="str">
        <f t="shared" si="2"/>
        <v>100695.00</v>
      </c>
      <c r="J2173" s="16" t="str">
        <f>TEXT(Raw_Data!J2173,"MMM-YYY")</f>
        <v>Mar-2025</v>
      </c>
      <c r="K2173" s="13" t="str">
        <f>Raw_Data!K2173</f>
        <v>17</v>
      </c>
      <c r="L2173" s="17" t="str">
        <f>Raw_Data!L2173</f>
        <v>Kolkata-East</v>
      </c>
      <c r="M2173" s="13" t="str">
        <f t="shared" si="3"/>
        <v>OK</v>
      </c>
      <c r="N2173" s="18" t="str">
        <f t="shared" si="4"/>
        <v>VALID</v>
      </c>
    </row>
    <row r="2174" ht="15.75" customHeight="1">
      <c r="A2174" s="13" t="str">
        <f>Raw_Data!A2174</f>
        <v>EMP2291</v>
      </c>
      <c r="B2174" s="13" t="str">
        <f>TRIM(CLEAN(Raw_Data!B2174))</f>
        <v>Finance</v>
      </c>
      <c r="C2174" s="18" t="s">
        <v>26</v>
      </c>
      <c r="D2174" s="14" t="str">
        <f>IF(ISBLANK(Raw_Data!D2174),AVERAGE(Raw_Data!D$2:D$5002),Raw_Data!D2174)</f>
        <v>73078.99</v>
      </c>
      <c r="E2174" s="15" t="str">
        <f>IF(ISBLANK(Raw_Data!E2174),AVERAGE(Raw_Data!E$2:E$5002),Raw_Data!E2174)</f>
        <v>24562.94</v>
      </c>
      <c r="F2174" s="15" t="str">
        <f>IF(ISBLANK(Raw_Data!F2174),AVERAGE(Raw_Data!F$2:F$5002),Raw_Data!F2174)</f>
        <v>17766.14</v>
      </c>
      <c r="G2174" s="14" t="str">
        <f>IF(ISBLANK(Raw_Data!G2174),AVERAGE(Raw_Data!G$2:G$5002),Raw_Data!G2174)</f>
        <v>14693.57</v>
      </c>
      <c r="H2174" s="15" t="str">
        <f t="shared" si="1"/>
        <v>115408.00</v>
      </c>
      <c r="I2174" s="14" t="str">
        <f t="shared" si="2"/>
        <v>100714.00</v>
      </c>
      <c r="J2174" s="16" t="str">
        <f>TEXT(Raw_Data!J2174,"MMM-YYY")</f>
        <v>Feb-2025</v>
      </c>
      <c r="K2174" s="13" t="str">
        <f>Raw_Data!K2174</f>
        <v>22</v>
      </c>
      <c r="L2174" s="17" t="str">
        <f>Raw_Data!L2174</f>
        <v>Pune-West</v>
      </c>
      <c r="M2174" s="13" t="str">
        <f t="shared" si="3"/>
        <v>OK</v>
      </c>
      <c r="N2174" s="18" t="str">
        <f t="shared" si="4"/>
        <v>VALID</v>
      </c>
    </row>
    <row r="2175" ht="15.75" customHeight="1">
      <c r="A2175" s="13" t="str">
        <f>Raw_Data!A2175</f>
        <v>EMP2292</v>
      </c>
      <c r="B2175" s="13" t="str">
        <f>TRIM(CLEAN(Raw_Data!B2175))</f>
        <v>Customer Support</v>
      </c>
      <c r="C2175" s="18" t="s">
        <v>30</v>
      </c>
      <c r="D2175" s="14" t="str">
        <f>IF(ISBLANK(Raw_Data!D2175),AVERAGE(Raw_Data!D$2:D$5002),Raw_Data!D2175)</f>
        <v>73089.88</v>
      </c>
      <c r="E2175" s="15" t="str">
        <f>IF(ISBLANK(Raw_Data!E2175),AVERAGE(Raw_Data!E$2:E$5002),Raw_Data!E2175)</f>
        <v>24567.56</v>
      </c>
      <c r="F2175" s="15" t="str">
        <f>IF(ISBLANK(Raw_Data!F2175),AVERAGE(Raw_Data!F$2:F$5002),Raw_Data!F2175)</f>
        <v>17773.82</v>
      </c>
      <c r="G2175" s="14" t="str">
        <f>IF(ISBLANK(Raw_Data!G2175),AVERAGE(Raw_Data!G$2:G$5002),Raw_Data!G2175)</f>
        <v>14696.97</v>
      </c>
      <c r="H2175" s="15" t="str">
        <f t="shared" si="1"/>
        <v>115431.00</v>
      </c>
      <c r="I2175" s="14" t="str">
        <f t="shared" si="2"/>
        <v>100734.00</v>
      </c>
      <c r="J2175" s="16" t="str">
        <f>TEXT(Raw_Data!J2175,"MMM-YYY")</f>
        <v>Jul-2025</v>
      </c>
      <c r="K2175" s="13" t="str">
        <f>Raw_Data!K2175</f>
        <v>1</v>
      </c>
      <c r="L2175" s="17" t="str">
        <f>Raw_Data!L2175</f>
        <v>Delhi-North</v>
      </c>
      <c r="M2175" s="13" t="str">
        <f t="shared" si="3"/>
        <v>OK</v>
      </c>
      <c r="N2175" s="18" t="str">
        <f t="shared" si="4"/>
        <v>VALID</v>
      </c>
    </row>
    <row r="2176" ht="15.75" customHeight="1">
      <c r="A2176" s="13" t="str">
        <f>Raw_Data!A2176</f>
        <v>EMP2295</v>
      </c>
      <c r="B2176" s="13" t="str">
        <f>TRIM(CLEAN(Raw_Data!B2176))</f>
        <v>Customer Support</v>
      </c>
      <c r="C2176" s="18" t="s">
        <v>14</v>
      </c>
      <c r="D2176" s="14" t="str">
        <f>IF(ISBLANK(Raw_Data!D2176),AVERAGE(Raw_Data!D$2:D$5002),Raw_Data!D2176)</f>
        <v>73122.53</v>
      </c>
      <c r="E2176" s="15" t="str">
        <f>IF(ISBLANK(Raw_Data!E2176),AVERAGE(Raw_Data!E$2:E$5002),Raw_Data!E2176)</f>
        <v>24581.40</v>
      </c>
      <c r="F2176" s="15" t="str">
        <f>IF(ISBLANK(Raw_Data!F2176),AVERAGE(Raw_Data!F$2:F$5002),Raw_Data!F2176)</f>
        <v>17796.86</v>
      </c>
      <c r="G2176" s="14" t="str">
        <f>IF(ISBLANK(Raw_Data!G2176),AVERAGE(Raw_Data!G$2:G$5002),Raw_Data!G2176)</f>
        <v>14707.16</v>
      </c>
      <c r="H2176" s="15" t="str">
        <f t="shared" si="1"/>
        <v>115501.00</v>
      </c>
      <c r="I2176" s="14" t="str">
        <f t="shared" si="2"/>
        <v>100794.00</v>
      </c>
      <c r="J2176" s="16" t="str">
        <f>TEXT(Raw_Data!J2176,"MMM-YYY")</f>
        <v>Feb-2025</v>
      </c>
      <c r="K2176" s="13" t="str">
        <f>Raw_Data!K2176</f>
        <v>9</v>
      </c>
      <c r="L2176" s="17" t="str">
        <f>Raw_Data!L2176</f>
        <v>Jaipur-North</v>
      </c>
      <c r="M2176" s="13" t="str">
        <f t="shared" si="3"/>
        <v>OK</v>
      </c>
      <c r="N2176" s="18" t="str">
        <f t="shared" si="4"/>
        <v>VALID</v>
      </c>
    </row>
    <row r="2177" ht="15.75" customHeight="1">
      <c r="A2177" s="13" t="str">
        <f>Raw_Data!A2177</f>
        <v>EMP2296</v>
      </c>
      <c r="B2177" s="13" t="str">
        <f>TRIM(CLEAN(Raw_Data!B2177))</f>
        <v>Marketing</v>
      </c>
      <c r="C2177" s="18" t="s">
        <v>37</v>
      </c>
      <c r="D2177" s="14" t="str">
        <f>IF(ISBLANK(Raw_Data!D2177),AVERAGE(Raw_Data!D$2:D$5002),Raw_Data!D2177)</f>
        <v>73133.41</v>
      </c>
      <c r="E2177" s="15" t="str">
        <f>IF(ISBLANK(Raw_Data!E2177),AVERAGE(Raw_Data!E$2:E$5002),Raw_Data!E2177)</f>
        <v>24586.02</v>
      </c>
      <c r="F2177" s="15" t="str">
        <f>IF(ISBLANK(Raw_Data!F2177),AVERAGE(Raw_Data!F$2:F$5002),Raw_Data!F2177)</f>
        <v>17804.54</v>
      </c>
      <c r="G2177" s="14" t="str">
        <f>IF(ISBLANK(Raw_Data!G2177),AVERAGE(Raw_Data!G$2:G$5002),Raw_Data!G2177)</f>
        <v>14710.56</v>
      </c>
      <c r="H2177" s="15" t="str">
        <f t="shared" si="1"/>
        <v>115524.00</v>
      </c>
      <c r="I2177" s="14" t="str">
        <f t="shared" si="2"/>
        <v>100813.00</v>
      </c>
      <c r="J2177" s="16" t="str">
        <f>TEXT(Raw_Data!J2177,"MMM-YYY")</f>
        <v>Aug-2025</v>
      </c>
      <c r="K2177" s="13" t="str">
        <f>Raw_Data!K2177</f>
        <v>1</v>
      </c>
      <c r="L2177" s="17" t="str">
        <f>Raw_Data!L2177</f>
        <v>Ahmedabad-West</v>
      </c>
      <c r="M2177" s="13" t="str">
        <f t="shared" si="3"/>
        <v>OK</v>
      </c>
      <c r="N2177" s="18" t="str">
        <f t="shared" si="4"/>
        <v>VALID</v>
      </c>
    </row>
    <row r="2178" ht="15.75" customHeight="1">
      <c r="A2178" s="13" t="str">
        <f>Raw_Data!A2178</f>
        <v>EMP2297</v>
      </c>
      <c r="B2178" s="13" t="str">
        <f>TRIM(CLEAN(Raw_Data!B2178))</f>
        <v>Operations</v>
      </c>
      <c r="C2178" s="18" t="s">
        <v>18</v>
      </c>
      <c r="D2178" s="14" t="str">
        <f>IF(ISBLANK(Raw_Data!D2178),AVERAGE(Raw_Data!D$2:D$5002),Raw_Data!D2178)</f>
        <v>73144.29</v>
      </c>
      <c r="E2178" s="15" t="str">
        <f>IF(ISBLANK(Raw_Data!E2178),AVERAGE(Raw_Data!E$2:E$5002),Raw_Data!E2178)</f>
        <v>24590.63</v>
      </c>
      <c r="F2178" s="15" t="str">
        <f>IF(ISBLANK(Raw_Data!F2178),AVERAGE(Raw_Data!F$2:F$5002),Raw_Data!F2178)</f>
        <v>17812.22</v>
      </c>
      <c r="G2178" s="14" t="str">
        <f>IF(ISBLANK(Raw_Data!G2178),AVERAGE(Raw_Data!G$2:G$5002),Raw_Data!G2178)</f>
        <v>14713.95</v>
      </c>
      <c r="H2178" s="15" t="str">
        <f t="shared" si="1"/>
        <v>115547.00</v>
      </c>
      <c r="I2178" s="14" t="str">
        <f t="shared" si="2"/>
        <v>100833.00</v>
      </c>
      <c r="J2178" s="16" t="str">
        <f>TEXT(Raw_Data!J2178,"MMM-YYY")</f>
        <v>Jun-2025</v>
      </c>
      <c r="K2178" s="13" t="str">
        <f>Raw_Data!K2178</f>
        <v>19</v>
      </c>
      <c r="L2178" s="17" t="str">
        <f>Raw_Data!L2178</f>
        <v>Chennai-South</v>
      </c>
      <c r="M2178" s="13" t="str">
        <f t="shared" si="3"/>
        <v>OK</v>
      </c>
      <c r="N2178" s="18" t="str">
        <f t="shared" si="4"/>
        <v>VALID</v>
      </c>
    </row>
    <row r="2179" ht="15.75" customHeight="1">
      <c r="A2179" s="13" t="str">
        <f>Raw_Data!A2179</f>
        <v>EMP2298</v>
      </c>
      <c r="B2179" s="13" t="str">
        <f>TRIM(CLEAN(Raw_Data!B2179))</f>
        <v>Customer Support</v>
      </c>
      <c r="C2179" s="18" t="s">
        <v>14</v>
      </c>
      <c r="D2179" s="14" t="str">
        <f>IF(ISBLANK(Raw_Data!D2179),AVERAGE(Raw_Data!D$2:D$5002),Raw_Data!D2179)</f>
        <v>73155.17</v>
      </c>
      <c r="E2179" s="15" t="str">
        <f>IF(ISBLANK(Raw_Data!E2179),AVERAGE(Raw_Data!E$2:E$5002),Raw_Data!E2179)</f>
        <v>24595.25</v>
      </c>
      <c r="F2179" s="15" t="str">
        <f>IF(ISBLANK(Raw_Data!F2179),AVERAGE(Raw_Data!F$2:F$5002),Raw_Data!F2179)</f>
        <v>17819.90</v>
      </c>
      <c r="G2179" s="14" t="str">
        <f>IF(ISBLANK(Raw_Data!G2179),AVERAGE(Raw_Data!G$2:G$5002),Raw_Data!G2179)</f>
        <v>14717.35</v>
      </c>
      <c r="H2179" s="15" t="str">
        <f t="shared" si="1"/>
        <v>115570.00</v>
      </c>
      <c r="I2179" s="14" t="str">
        <f t="shared" si="2"/>
        <v>100853.00</v>
      </c>
      <c r="J2179" s="16" t="str">
        <f>TEXT(Raw_Data!J2179,"MMM-YYY")</f>
        <v>Nov-2025</v>
      </c>
      <c r="K2179" s="13" t="str">
        <f>Raw_Data!K2179</f>
        <v>4</v>
      </c>
      <c r="L2179" s="17" t="str">
        <f>Raw_Data!L2179</f>
        <v>Mumbai-HO</v>
      </c>
      <c r="M2179" s="13" t="str">
        <f t="shared" si="3"/>
        <v>OK</v>
      </c>
      <c r="N2179" s="18" t="str">
        <f t="shared" si="4"/>
        <v>VALID</v>
      </c>
    </row>
    <row r="2180" ht="15.75" customHeight="1">
      <c r="A2180" s="13" t="str">
        <f>Raw_Data!A2180</f>
        <v>EMP2299</v>
      </c>
      <c r="B2180" s="13" t="str">
        <f>TRIM(CLEAN(Raw_Data!B2180))</f>
        <v>Sales</v>
      </c>
      <c r="C2180" s="18" t="s">
        <v>18</v>
      </c>
      <c r="D2180" s="14" t="str">
        <f>IF(ISBLANK(Raw_Data!D2180),AVERAGE(Raw_Data!D$2:D$5002),Raw_Data!D2180)</f>
        <v>73166.06</v>
      </c>
      <c r="E2180" s="15" t="str">
        <f>IF(ISBLANK(Raw_Data!E2180),AVERAGE(Raw_Data!E$2:E$5002),Raw_Data!E2180)</f>
        <v>24599.86</v>
      </c>
      <c r="F2180" s="15" t="str">
        <f>IF(ISBLANK(Raw_Data!F2180),AVERAGE(Raw_Data!F$2:F$5002),Raw_Data!F2180)</f>
        <v>17827.58</v>
      </c>
      <c r="G2180" s="14" t="str">
        <f>IF(ISBLANK(Raw_Data!G2180),AVERAGE(Raw_Data!G$2:G$5002),Raw_Data!G2180)</f>
        <v>14720.75</v>
      </c>
      <c r="H2180" s="15" t="str">
        <f t="shared" si="1"/>
        <v>115594.00</v>
      </c>
      <c r="I2180" s="14" t="str">
        <f t="shared" si="2"/>
        <v>100873.00</v>
      </c>
      <c r="J2180" s="16" t="str">
        <f>TEXT(Raw_Data!J2180,"MMM-YYY")</f>
        <v>Nov-2025</v>
      </c>
      <c r="K2180" s="13" t="str">
        <f>Raw_Data!K2180</f>
        <v>13</v>
      </c>
      <c r="L2180" s="17" t="str">
        <f>Raw_Data!L2180</f>
        <v>Ahmedabad-West</v>
      </c>
      <c r="M2180" s="13" t="str">
        <f t="shared" si="3"/>
        <v>OK</v>
      </c>
      <c r="N2180" s="18" t="str">
        <f t="shared" si="4"/>
        <v>VALID</v>
      </c>
    </row>
    <row r="2181" ht="15.75" customHeight="1">
      <c r="A2181" s="13" t="str">
        <f>Raw_Data!A2181</f>
        <v>EMP2300</v>
      </c>
      <c r="B2181" s="13" t="str">
        <f>TRIM(CLEAN(Raw_Data!B2181))</f>
        <v>Operations</v>
      </c>
      <c r="C2181" s="18" t="s">
        <v>18</v>
      </c>
      <c r="D2181" s="14" t="str">
        <f>IF(ISBLANK(Raw_Data!D2181),AVERAGE(Raw_Data!D$2:D$5002),Raw_Data!D2181)</f>
        <v>73176.94</v>
      </c>
      <c r="E2181" s="15" t="str">
        <f>IF(ISBLANK(Raw_Data!E2181),AVERAGE(Raw_Data!E$2:E$5002),Raw_Data!E2181)</f>
        <v>24604.48</v>
      </c>
      <c r="F2181" s="15" t="str">
        <f>IF(ISBLANK(Raw_Data!F2181),AVERAGE(Raw_Data!F$2:F$5002),Raw_Data!F2181)</f>
        <v>17835.26</v>
      </c>
      <c r="G2181" s="14" t="str">
        <f>IF(ISBLANK(Raw_Data!G2181),AVERAGE(Raw_Data!G$2:G$5002),Raw_Data!G2181)</f>
        <v>14724.15</v>
      </c>
      <c r="H2181" s="15" t="str">
        <f t="shared" si="1"/>
        <v>115617.00</v>
      </c>
      <c r="I2181" s="14" t="str">
        <f t="shared" si="2"/>
        <v>100893.00</v>
      </c>
      <c r="J2181" s="16" t="str">
        <f>TEXT(Raw_Data!J2181,"MMM-YYY")</f>
        <v>Sep-2025</v>
      </c>
      <c r="K2181" s="13" t="str">
        <f>Raw_Data!K2181</f>
        <v>6</v>
      </c>
      <c r="L2181" s="17" t="str">
        <f>Raw_Data!L2181</f>
        <v>Hyderabad-South</v>
      </c>
      <c r="M2181" s="13" t="str">
        <f t="shared" si="3"/>
        <v>OK</v>
      </c>
      <c r="N2181" s="18" t="str">
        <f t="shared" si="4"/>
        <v>VALID</v>
      </c>
    </row>
    <row r="2182" ht="15.75" customHeight="1">
      <c r="A2182" s="13" t="str">
        <f>Raw_Data!A2182</f>
        <v>EMP2301</v>
      </c>
      <c r="B2182" s="13" t="str">
        <f>TRIM(CLEAN(Raw_Data!B2182))</f>
        <v>Operations</v>
      </c>
      <c r="C2182" s="18" t="s">
        <v>54</v>
      </c>
      <c r="D2182" s="14" t="str">
        <f>IF(ISBLANK(Raw_Data!D2182),AVERAGE(Raw_Data!D$2:D$5002),Raw_Data!D2182)</f>
        <v>73187.82</v>
      </c>
      <c r="E2182" s="15" t="str">
        <f>IF(ISBLANK(Raw_Data!E2182),AVERAGE(Raw_Data!E$2:E$5002),Raw_Data!E2182)</f>
        <v>24609.09</v>
      </c>
      <c r="F2182" s="15" t="str">
        <f>IF(ISBLANK(Raw_Data!F2182),AVERAGE(Raw_Data!F$2:F$5002),Raw_Data!F2182)</f>
        <v>17842.94</v>
      </c>
      <c r="G2182" s="14" t="str">
        <f>IF(ISBLANK(Raw_Data!G2182),AVERAGE(Raw_Data!G$2:G$5002),Raw_Data!G2182)</f>
        <v>14727.54</v>
      </c>
      <c r="H2182" s="15" t="str">
        <f t="shared" si="1"/>
        <v>115640.00</v>
      </c>
      <c r="I2182" s="14" t="str">
        <f t="shared" si="2"/>
        <v>100912.00</v>
      </c>
      <c r="J2182" s="16" t="str">
        <f>TEXT(Raw_Data!J2182,"MMM-YYY")</f>
        <v>Mar-2025</v>
      </c>
      <c r="K2182" s="13" t="str">
        <f>Raw_Data!K2182</f>
        <v>23</v>
      </c>
      <c r="L2182" s="17" t="str">
        <f>Raw_Data!L2182</f>
        <v>Jaipur-North</v>
      </c>
      <c r="M2182" s="13" t="str">
        <f t="shared" si="3"/>
        <v>OK</v>
      </c>
      <c r="N2182" s="18" t="str">
        <f t="shared" si="4"/>
        <v>VALID</v>
      </c>
    </row>
    <row r="2183" ht="15.75" customHeight="1">
      <c r="A2183" s="13" t="str">
        <f>Raw_Data!A2183</f>
        <v>EMP2302</v>
      </c>
      <c r="B2183" s="13" t="str">
        <f>TRIM(CLEAN(Raw_Data!B2183))</f>
        <v>HR</v>
      </c>
      <c r="C2183" s="18" t="s">
        <v>54</v>
      </c>
      <c r="D2183" s="14" t="str">
        <f>IF(ISBLANK(Raw_Data!D2183),AVERAGE(Raw_Data!D$2:D$5002),Raw_Data!D2183)</f>
        <v>73198.71</v>
      </c>
      <c r="E2183" s="15" t="str">
        <f>IF(ISBLANK(Raw_Data!E2183),AVERAGE(Raw_Data!E$2:E$5002),Raw_Data!E2183)</f>
        <v>24613.71</v>
      </c>
      <c r="F2183" s="15" t="str">
        <f>IF(ISBLANK(Raw_Data!F2183),AVERAGE(Raw_Data!F$2:F$5002),Raw_Data!F2183)</f>
        <v>17850.62</v>
      </c>
      <c r="G2183" s="14" t="str">
        <f>IF(ISBLANK(Raw_Data!G2183),AVERAGE(Raw_Data!G$2:G$5002),Raw_Data!G2183)</f>
        <v>14730.94</v>
      </c>
      <c r="H2183" s="15" t="str">
        <f t="shared" si="1"/>
        <v>115663.00</v>
      </c>
      <c r="I2183" s="14" t="str">
        <f t="shared" si="2"/>
        <v>100932.00</v>
      </c>
      <c r="J2183" s="16" t="str">
        <f>TEXT(Raw_Data!J2183,"MMM-YYY")</f>
        <v>Apr-2025</v>
      </c>
      <c r="K2183" s="13" t="str">
        <f>Raw_Data!K2183</f>
        <v>22</v>
      </c>
      <c r="L2183" s="17" t="str">
        <f>Raw_Data!L2183</f>
        <v>Hyderabad-South</v>
      </c>
      <c r="M2183" s="13" t="str">
        <f t="shared" si="3"/>
        <v>OK</v>
      </c>
      <c r="N2183" s="18" t="str">
        <f t="shared" si="4"/>
        <v>VALID</v>
      </c>
    </row>
    <row r="2184" ht="15.75" customHeight="1">
      <c r="A2184" s="13" t="str">
        <f>Raw_Data!A2184</f>
        <v>EMP2303</v>
      </c>
      <c r="B2184" s="13" t="str">
        <f>TRIM(CLEAN(Raw_Data!B2184))</f>
        <v>Sales</v>
      </c>
      <c r="C2184" s="18" t="s">
        <v>37</v>
      </c>
      <c r="D2184" s="14" t="str">
        <f>IF(ISBLANK(Raw_Data!D2184),AVERAGE(Raw_Data!D$2:D$5002),Raw_Data!D2184)</f>
        <v>73209.59</v>
      </c>
      <c r="E2184" s="15" t="str">
        <f>IF(ISBLANK(Raw_Data!E2184),AVERAGE(Raw_Data!E$2:E$5002),Raw_Data!E2184)</f>
        <v>24618.32</v>
      </c>
      <c r="F2184" s="15" t="str">
        <f>IF(ISBLANK(Raw_Data!F2184),AVERAGE(Raw_Data!F$2:F$5002),Raw_Data!F2184)</f>
        <v>17858.30</v>
      </c>
      <c r="G2184" s="14" t="str">
        <f>IF(ISBLANK(Raw_Data!G2184),AVERAGE(Raw_Data!G$2:G$5002),Raw_Data!G2184)</f>
        <v>14734.34</v>
      </c>
      <c r="H2184" s="15" t="str">
        <f t="shared" si="1"/>
        <v>115686.00</v>
      </c>
      <c r="I2184" s="14" t="str">
        <f t="shared" si="2"/>
        <v>100952.00</v>
      </c>
      <c r="J2184" s="16" t="str">
        <f>TEXT(Raw_Data!J2184,"MMM-YYY")</f>
        <v>Feb-2025</v>
      </c>
      <c r="K2184" s="13" t="str">
        <f>Raw_Data!K2184</f>
        <v>7</v>
      </c>
      <c r="L2184" s="17" t="str">
        <f>Raw_Data!L2184</f>
        <v>Mumbai-HO</v>
      </c>
      <c r="M2184" s="13" t="str">
        <f t="shared" si="3"/>
        <v>OK</v>
      </c>
      <c r="N2184" s="18" t="str">
        <f t="shared" si="4"/>
        <v>VALID</v>
      </c>
    </row>
    <row r="2185" ht="15.75" customHeight="1">
      <c r="A2185" s="13" t="str">
        <f>Raw_Data!A2185</f>
        <v>EMP2304</v>
      </c>
      <c r="B2185" s="13" t="str">
        <f>TRIM(CLEAN(Raw_Data!B2185))</f>
        <v>Marketing</v>
      </c>
      <c r="C2185" s="18" t="s">
        <v>14</v>
      </c>
      <c r="D2185" s="14" t="str">
        <f>IF(ISBLANK(Raw_Data!D2185),AVERAGE(Raw_Data!D$2:D$5002),Raw_Data!D2185)</f>
        <v>73220.47</v>
      </c>
      <c r="E2185" s="15" t="str">
        <f>IF(ISBLANK(Raw_Data!E2185),AVERAGE(Raw_Data!E$2:E$5002),Raw_Data!E2185)</f>
        <v>24622.94</v>
      </c>
      <c r="F2185" s="15" t="str">
        <f>IF(ISBLANK(Raw_Data!F2185),AVERAGE(Raw_Data!F$2:F$5002),Raw_Data!F2185)</f>
        <v>17865.98</v>
      </c>
      <c r="G2185" s="14" t="str">
        <f>IF(ISBLANK(Raw_Data!G2185),AVERAGE(Raw_Data!G$2:G$5002),Raw_Data!G2185)</f>
        <v>14737.74</v>
      </c>
      <c r="H2185" s="15" t="str">
        <f t="shared" si="1"/>
        <v>115709.00</v>
      </c>
      <c r="I2185" s="14" t="str">
        <f t="shared" si="2"/>
        <v>100971.00</v>
      </c>
      <c r="J2185" s="16" t="str">
        <f>TEXT(Raw_Data!J2185,"MMM-YYY")</f>
        <v>Apr-2025</v>
      </c>
      <c r="K2185" s="13" t="str">
        <f>Raw_Data!K2185</f>
        <v>10</v>
      </c>
      <c r="L2185" s="17" t="str">
        <f>Raw_Data!L2185</f>
        <v>Jaipur-North</v>
      </c>
      <c r="M2185" s="13" t="str">
        <f t="shared" si="3"/>
        <v>OK</v>
      </c>
      <c r="N2185" s="18" t="str">
        <f t="shared" si="4"/>
        <v>VALID</v>
      </c>
    </row>
    <row r="2186" ht="15.75" customHeight="1">
      <c r="A2186" s="13" t="str">
        <f>Raw_Data!A2186</f>
        <v>EMP2306</v>
      </c>
      <c r="B2186" s="13" t="str">
        <f>TRIM(CLEAN(Raw_Data!B2186))</f>
        <v>IT</v>
      </c>
      <c r="C2186" s="18" t="s">
        <v>26</v>
      </c>
      <c r="D2186" s="14" t="str">
        <f>IF(ISBLANK(Raw_Data!D2186),AVERAGE(Raw_Data!D$2:D$5002),Raw_Data!D2186)</f>
        <v>73242.24</v>
      </c>
      <c r="E2186" s="15" t="str">
        <f>IF(ISBLANK(Raw_Data!E2186),AVERAGE(Raw_Data!E$2:E$5002),Raw_Data!E2186)</f>
        <v>24632.16</v>
      </c>
      <c r="F2186" s="15" t="str">
        <f>IF(ISBLANK(Raw_Data!F2186),AVERAGE(Raw_Data!F$2:F$5002),Raw_Data!F2186)</f>
        <v>17881.34</v>
      </c>
      <c r="G2186" s="14" t="str">
        <f>IF(ISBLANK(Raw_Data!G2186),AVERAGE(Raw_Data!G$2:G$5002),Raw_Data!G2186)</f>
        <v>14744.53</v>
      </c>
      <c r="H2186" s="15" t="str">
        <f t="shared" si="1"/>
        <v>115756.00</v>
      </c>
      <c r="I2186" s="14" t="str">
        <f t="shared" si="2"/>
        <v>101011.00</v>
      </c>
      <c r="J2186" s="16" t="str">
        <f>TEXT(Raw_Data!J2186,"MMM-YYY")</f>
        <v>May-2025</v>
      </c>
      <c r="K2186" s="13" t="str">
        <f>Raw_Data!K2186</f>
        <v>20</v>
      </c>
      <c r="L2186" s="17" t="str">
        <f>Raw_Data!L2186</f>
        <v>Kolkata-East</v>
      </c>
      <c r="M2186" s="13" t="str">
        <f t="shared" si="3"/>
        <v>OK</v>
      </c>
      <c r="N2186" s="18" t="str">
        <f t="shared" si="4"/>
        <v>VALID</v>
      </c>
    </row>
    <row r="2187" ht="15.75" customHeight="1">
      <c r="A2187" s="13" t="str">
        <f>Raw_Data!A2187</f>
        <v>EMP2307</v>
      </c>
      <c r="B2187" s="13" t="str">
        <f>TRIM(CLEAN(Raw_Data!B2187))</f>
        <v>Sales</v>
      </c>
      <c r="C2187" s="18" t="s">
        <v>30</v>
      </c>
      <c r="D2187" s="14" t="str">
        <f>IF(ISBLANK(Raw_Data!D2187),AVERAGE(Raw_Data!D$2:D$5002),Raw_Data!D2187)</f>
        <v>73253.12</v>
      </c>
      <c r="E2187" s="15" t="str">
        <f>IF(ISBLANK(Raw_Data!E2187),AVERAGE(Raw_Data!E$2:E$5002),Raw_Data!E2187)</f>
        <v>24636.78</v>
      </c>
      <c r="F2187" s="15" t="str">
        <f>IF(ISBLANK(Raw_Data!F2187),AVERAGE(Raw_Data!F$2:F$5002),Raw_Data!F2187)</f>
        <v>17889.02</v>
      </c>
      <c r="G2187" s="14" t="str">
        <f>IF(ISBLANK(Raw_Data!G2187),AVERAGE(Raw_Data!G$2:G$5002),Raw_Data!G2187)</f>
        <v>14747.93</v>
      </c>
      <c r="H2187" s="15" t="str">
        <f t="shared" si="1"/>
        <v>115779.00</v>
      </c>
      <c r="I2187" s="14" t="str">
        <f t="shared" si="2"/>
        <v>101031.00</v>
      </c>
      <c r="J2187" s="16" t="str">
        <f>TEXT(Raw_Data!J2187,"MMM-YYY")</f>
        <v>Sep-2025</v>
      </c>
      <c r="K2187" s="13" t="str">
        <f>Raw_Data!K2187</f>
        <v>1</v>
      </c>
      <c r="L2187" s="17" t="str">
        <f>Raw_Data!L2187</f>
        <v>Bangalore-South</v>
      </c>
      <c r="M2187" s="13" t="str">
        <f t="shared" si="3"/>
        <v>OK</v>
      </c>
      <c r="N2187" s="18" t="str">
        <f t="shared" si="4"/>
        <v>VALID</v>
      </c>
    </row>
    <row r="2188" ht="15.75" customHeight="1">
      <c r="A2188" s="13" t="str">
        <f>Raw_Data!A2188</f>
        <v>EMP2308</v>
      </c>
      <c r="B2188" s="13" t="str">
        <f>TRIM(CLEAN(Raw_Data!B2188))</f>
        <v>Sales</v>
      </c>
      <c r="C2188" s="18" t="s">
        <v>33</v>
      </c>
      <c r="D2188" s="14" t="str">
        <f>IF(ISBLANK(Raw_Data!D2188),AVERAGE(Raw_Data!D$2:D$5002),Raw_Data!D2188)</f>
        <v>73264.00</v>
      </c>
      <c r="E2188" s="15" t="str">
        <f>IF(ISBLANK(Raw_Data!E2188),AVERAGE(Raw_Data!E$2:E$5002),Raw_Data!E2188)</f>
        <v>24641.39</v>
      </c>
      <c r="F2188" s="15" t="str">
        <f>IF(ISBLANK(Raw_Data!F2188),AVERAGE(Raw_Data!F$2:F$5002),Raw_Data!F2188)</f>
        <v>17896.70</v>
      </c>
      <c r="G2188" s="14" t="str">
        <f>IF(ISBLANK(Raw_Data!G2188),AVERAGE(Raw_Data!G$2:G$5002),Raw_Data!G2188)</f>
        <v>14751.33</v>
      </c>
      <c r="H2188" s="15" t="str">
        <f t="shared" si="1"/>
        <v>115802.00</v>
      </c>
      <c r="I2188" s="14" t="str">
        <f t="shared" si="2"/>
        <v>101051.00</v>
      </c>
      <c r="J2188" s="16" t="str">
        <f>TEXT(Raw_Data!J2188,"MMM-YYY")</f>
        <v>May-2025</v>
      </c>
      <c r="K2188" s="13" t="str">
        <f>Raw_Data!K2188</f>
        <v>14</v>
      </c>
      <c r="L2188" s="17" t="str">
        <f>Raw_Data!L2188</f>
        <v>Delhi-North</v>
      </c>
      <c r="M2188" s="13" t="str">
        <f t="shared" si="3"/>
        <v>OK</v>
      </c>
      <c r="N2188" s="18" t="str">
        <f t="shared" si="4"/>
        <v>VALID</v>
      </c>
    </row>
    <row r="2189" ht="15.75" customHeight="1">
      <c r="A2189" s="13" t="str">
        <f>Raw_Data!A2189</f>
        <v>EMP2309</v>
      </c>
      <c r="B2189" s="13" t="str">
        <f>TRIM(CLEAN(Raw_Data!B2189))</f>
        <v>Sales</v>
      </c>
      <c r="C2189" s="18" t="s">
        <v>30</v>
      </c>
      <c r="D2189" s="14" t="str">
        <f>IF(ISBLANK(Raw_Data!D2189),AVERAGE(Raw_Data!D$2:D$5002),Raw_Data!D2189)</f>
        <v>73274.89</v>
      </c>
      <c r="E2189" s="15" t="str">
        <f>IF(ISBLANK(Raw_Data!E2189),AVERAGE(Raw_Data!E$2:E$5002),Raw_Data!E2189)</f>
        <v>24646.01</v>
      </c>
      <c r="F2189" s="15" t="str">
        <f>IF(ISBLANK(Raw_Data!F2189),AVERAGE(Raw_Data!F$2:F$5002),Raw_Data!F2189)</f>
        <v>17904.38</v>
      </c>
      <c r="G2189" s="14" t="str">
        <f>IF(ISBLANK(Raw_Data!G2189),AVERAGE(Raw_Data!G$2:G$5002),Raw_Data!G2189)</f>
        <v>14754.72</v>
      </c>
      <c r="H2189" s="15" t="str">
        <f t="shared" si="1"/>
        <v>115825.00</v>
      </c>
      <c r="I2189" s="14" t="str">
        <f t="shared" si="2"/>
        <v>101070.00</v>
      </c>
      <c r="J2189" s="16" t="str">
        <f>TEXT(Raw_Data!J2189,"MMM-YYY")</f>
        <v>Jun-2025</v>
      </c>
      <c r="K2189" s="13" t="str">
        <f>Raw_Data!K2189</f>
        <v>22</v>
      </c>
      <c r="L2189" s="17" t="str">
        <f>Raw_Data!L2189</f>
        <v>Kolkata-East</v>
      </c>
      <c r="M2189" s="13" t="str">
        <f t="shared" si="3"/>
        <v>OK</v>
      </c>
      <c r="N2189" s="18" t="str">
        <f t="shared" si="4"/>
        <v>VALID</v>
      </c>
    </row>
    <row r="2190" ht="15.75" customHeight="1">
      <c r="A2190" s="13" t="str">
        <f>Raw_Data!A2190</f>
        <v>EMP2310</v>
      </c>
      <c r="B2190" s="13" t="str">
        <f>TRIM(CLEAN(Raw_Data!B2190))</f>
        <v>Sales</v>
      </c>
      <c r="C2190" s="18" t="s">
        <v>26</v>
      </c>
      <c r="D2190" s="14" t="str">
        <f>IF(ISBLANK(Raw_Data!D2190),AVERAGE(Raw_Data!D$2:D$5002),Raw_Data!D2190)</f>
        <v>73285.77</v>
      </c>
      <c r="E2190" s="15" t="str">
        <f>IF(ISBLANK(Raw_Data!E2190),AVERAGE(Raw_Data!E$2:E$5002),Raw_Data!E2190)</f>
        <v>24650.62</v>
      </c>
      <c r="F2190" s="15" t="str">
        <f>IF(ISBLANK(Raw_Data!F2190),AVERAGE(Raw_Data!F$2:F$5002),Raw_Data!F2190)</f>
        <v>17912.06</v>
      </c>
      <c r="G2190" s="14" t="str">
        <f>IF(ISBLANK(Raw_Data!G2190),AVERAGE(Raw_Data!G$2:G$5002),Raw_Data!G2190)</f>
        <v>14758.12</v>
      </c>
      <c r="H2190" s="15" t="str">
        <f t="shared" si="1"/>
        <v>115848.00</v>
      </c>
      <c r="I2190" s="14" t="str">
        <f t="shared" si="2"/>
        <v>101090.00</v>
      </c>
      <c r="J2190" s="16" t="str">
        <f>TEXT(Raw_Data!J2190,"MMM-YYY")</f>
        <v>Sep-2025</v>
      </c>
      <c r="K2190" s="13" t="str">
        <f>Raw_Data!K2190</f>
        <v>17</v>
      </c>
      <c r="L2190" s="17" t="str">
        <f>Raw_Data!L2190</f>
        <v>Delhi-North</v>
      </c>
      <c r="M2190" s="13" t="str">
        <f t="shared" si="3"/>
        <v>OK</v>
      </c>
      <c r="N2190" s="18" t="str">
        <f t="shared" si="4"/>
        <v>VALID</v>
      </c>
    </row>
    <row r="2191" ht="15.75" customHeight="1">
      <c r="A2191" s="13" t="str">
        <f>Raw_Data!A2191</f>
        <v>EMP2311</v>
      </c>
      <c r="B2191" s="13" t="str">
        <f>TRIM(CLEAN(Raw_Data!B2191))</f>
        <v>HR</v>
      </c>
      <c r="C2191" s="18" t="s">
        <v>18</v>
      </c>
      <c r="D2191" s="14" t="str">
        <f>IF(ISBLANK(Raw_Data!D2191),AVERAGE(Raw_Data!D$2:D$5002),Raw_Data!D2191)</f>
        <v>73296.65</v>
      </c>
      <c r="E2191" s="15" t="str">
        <f>IF(ISBLANK(Raw_Data!E2191),AVERAGE(Raw_Data!E$2:E$5002),Raw_Data!E2191)</f>
        <v>24655.24</v>
      </c>
      <c r="F2191" s="15" t="str">
        <f>IF(ISBLANK(Raw_Data!F2191),AVERAGE(Raw_Data!F$2:F$5002),Raw_Data!F2191)</f>
        <v>17919.74</v>
      </c>
      <c r="G2191" s="14" t="str">
        <f>IF(ISBLANK(Raw_Data!G2191),AVERAGE(Raw_Data!G$2:G$5002),Raw_Data!G2191)</f>
        <v>14761.52</v>
      </c>
      <c r="H2191" s="15" t="str">
        <f t="shared" si="1"/>
        <v>115872.00</v>
      </c>
      <c r="I2191" s="14" t="str">
        <f t="shared" si="2"/>
        <v>101110.00</v>
      </c>
      <c r="J2191" s="16" t="str">
        <f>TEXT(Raw_Data!J2191,"MMM-YYY")</f>
        <v>Aug-2025</v>
      </c>
      <c r="K2191" s="13" t="str">
        <f>Raw_Data!K2191</f>
        <v>21</v>
      </c>
      <c r="L2191" s="17" t="str">
        <f>Raw_Data!L2191</f>
        <v>Kolkata-East</v>
      </c>
      <c r="M2191" s="13" t="str">
        <f t="shared" si="3"/>
        <v>OK</v>
      </c>
      <c r="N2191" s="18" t="str">
        <f t="shared" si="4"/>
        <v>VALID</v>
      </c>
    </row>
    <row r="2192" ht="15.75" customHeight="1">
      <c r="A2192" s="13" t="str">
        <f>Raw_Data!A2192</f>
        <v>EMP2312</v>
      </c>
      <c r="B2192" s="13" t="str">
        <f>TRIM(CLEAN(Raw_Data!B2192))</f>
        <v>Customer Support</v>
      </c>
      <c r="C2192" s="18" t="s">
        <v>33</v>
      </c>
      <c r="D2192" s="14" t="str">
        <f>IF(ISBLANK(Raw_Data!D2192),AVERAGE(Raw_Data!D$2:D$5002),Raw_Data!D2192)</f>
        <v>73307.54</v>
      </c>
      <c r="E2192" s="15" t="str">
        <f>IF(ISBLANK(Raw_Data!E2192),AVERAGE(Raw_Data!E$2:E$5002),Raw_Data!E2192)</f>
        <v>24659.85</v>
      </c>
      <c r="F2192" s="15" t="str">
        <f>IF(ISBLANK(Raw_Data!F2192),AVERAGE(Raw_Data!F$2:F$5002),Raw_Data!F2192)</f>
        <v>17927.42</v>
      </c>
      <c r="G2192" s="14" t="str">
        <f>IF(ISBLANK(Raw_Data!G2192),AVERAGE(Raw_Data!G$2:G$5002),Raw_Data!G2192)</f>
        <v>14764.92</v>
      </c>
      <c r="H2192" s="15" t="str">
        <f t="shared" si="1"/>
        <v>115895.00</v>
      </c>
      <c r="I2192" s="14" t="str">
        <f t="shared" si="2"/>
        <v>101130.00</v>
      </c>
      <c r="J2192" s="16" t="str">
        <f>TEXT(Raw_Data!J2192,"MMM-YYY")</f>
        <v>Feb-2025</v>
      </c>
      <c r="K2192" s="13" t="str">
        <f>Raw_Data!K2192</f>
        <v>7</v>
      </c>
      <c r="L2192" s="17" t="str">
        <f>Raw_Data!L2192</f>
        <v>Chennai-South</v>
      </c>
      <c r="M2192" s="13" t="str">
        <f t="shared" si="3"/>
        <v>OK</v>
      </c>
      <c r="N2192" s="18" t="str">
        <f t="shared" si="4"/>
        <v>VALID</v>
      </c>
    </row>
    <row r="2193" ht="15.75" customHeight="1">
      <c r="A2193" s="13" t="str">
        <f>Raw_Data!A2193</f>
        <v>EMP2313</v>
      </c>
      <c r="B2193" s="13" t="str">
        <f>TRIM(CLEAN(Raw_Data!B2193))</f>
        <v>IT</v>
      </c>
      <c r="C2193" s="18" t="s">
        <v>18</v>
      </c>
      <c r="D2193" s="14" t="str">
        <f>IF(ISBLANK(Raw_Data!D2193),AVERAGE(Raw_Data!D$2:D$5002),Raw_Data!D2193)</f>
        <v>73318.42</v>
      </c>
      <c r="E2193" s="15" t="str">
        <f>IF(ISBLANK(Raw_Data!E2193),AVERAGE(Raw_Data!E$2:E$5002),Raw_Data!E2193)</f>
        <v>24664.47</v>
      </c>
      <c r="F2193" s="15" t="str">
        <f>IF(ISBLANK(Raw_Data!F2193),AVERAGE(Raw_Data!F$2:F$5002),Raw_Data!F2193)</f>
        <v>17935.10</v>
      </c>
      <c r="G2193" s="14" t="str">
        <f>IF(ISBLANK(Raw_Data!G2193),AVERAGE(Raw_Data!G$2:G$5002),Raw_Data!G2193)</f>
        <v>14768.31</v>
      </c>
      <c r="H2193" s="15" t="str">
        <f t="shared" si="1"/>
        <v>115918.00</v>
      </c>
      <c r="I2193" s="14" t="str">
        <f t="shared" si="2"/>
        <v>101150.00</v>
      </c>
      <c r="J2193" s="16" t="str">
        <f>TEXT(Raw_Data!J2193,"MMM-YYY")</f>
        <v>Nov-2025</v>
      </c>
      <c r="K2193" s="13" t="str">
        <f>Raw_Data!K2193</f>
        <v>24</v>
      </c>
      <c r="L2193" s="17" t="str">
        <f>Raw_Data!L2193</f>
        <v>Pune-West</v>
      </c>
      <c r="M2193" s="13" t="str">
        <f t="shared" si="3"/>
        <v>OK</v>
      </c>
      <c r="N2193" s="18" t="str">
        <f t="shared" si="4"/>
        <v>VALID</v>
      </c>
    </row>
    <row r="2194" ht="15.75" customHeight="1">
      <c r="A2194" s="13" t="str">
        <f>Raw_Data!A2194</f>
        <v>EMP2314</v>
      </c>
      <c r="B2194" s="13" t="str">
        <f>TRIM(CLEAN(Raw_Data!B2194))</f>
        <v>Finance</v>
      </c>
      <c r="C2194" s="18" t="s">
        <v>14</v>
      </c>
      <c r="D2194" s="14" t="str">
        <f>IF(ISBLANK(Raw_Data!D2194),AVERAGE(Raw_Data!D$2:D$5002),Raw_Data!D2194)</f>
        <v>73329.30</v>
      </c>
      <c r="E2194" s="15" t="str">
        <f>IF(ISBLANK(Raw_Data!E2194),AVERAGE(Raw_Data!E$2:E$5002),Raw_Data!E2194)</f>
        <v>24669.08</v>
      </c>
      <c r="F2194" s="15" t="str">
        <f>IF(ISBLANK(Raw_Data!F2194),AVERAGE(Raw_Data!F$2:F$5002),Raw_Data!F2194)</f>
        <v>17942.78</v>
      </c>
      <c r="G2194" s="14" t="str">
        <f>IF(ISBLANK(Raw_Data!G2194),AVERAGE(Raw_Data!G$2:G$5002),Raw_Data!G2194)</f>
        <v>14771.71</v>
      </c>
      <c r="H2194" s="15" t="str">
        <f t="shared" si="1"/>
        <v>115941.00</v>
      </c>
      <c r="I2194" s="14" t="str">
        <f t="shared" si="2"/>
        <v>101169.00</v>
      </c>
      <c r="J2194" s="16" t="str">
        <f>TEXT(Raw_Data!J2194,"MMM-YYY")</f>
        <v>May-2025</v>
      </c>
      <c r="K2194" s="13" t="str">
        <f>Raw_Data!K2194</f>
        <v>24</v>
      </c>
      <c r="L2194" s="17" t="str">
        <f>Raw_Data!L2194</f>
        <v>Kolkata-East</v>
      </c>
      <c r="M2194" s="13" t="str">
        <f t="shared" si="3"/>
        <v>OK</v>
      </c>
      <c r="N2194" s="18" t="str">
        <f t="shared" si="4"/>
        <v>VALID</v>
      </c>
    </row>
    <row r="2195" ht="15.75" customHeight="1">
      <c r="A2195" s="13" t="str">
        <f>Raw_Data!A2195</f>
        <v>EMP2315</v>
      </c>
      <c r="B2195" s="13" t="str">
        <f>TRIM(CLEAN(Raw_Data!B2195))</f>
        <v>Sales</v>
      </c>
      <c r="C2195" s="18" t="s">
        <v>54</v>
      </c>
      <c r="D2195" s="14" t="str">
        <f>IF(ISBLANK(Raw_Data!D2195),AVERAGE(Raw_Data!D$2:D$5002),Raw_Data!D2195)</f>
        <v>73340.18</v>
      </c>
      <c r="E2195" s="15" t="str">
        <f>IF(ISBLANK(Raw_Data!E2195),AVERAGE(Raw_Data!E$2:E$5002),Raw_Data!E2195)</f>
        <v>24673.70</v>
      </c>
      <c r="F2195" s="15" t="str">
        <f>IF(ISBLANK(Raw_Data!F2195),AVERAGE(Raw_Data!F$2:F$5002),Raw_Data!F2195)</f>
        <v>17950.46</v>
      </c>
      <c r="G2195" s="14" t="str">
        <f>IF(ISBLANK(Raw_Data!G2195),AVERAGE(Raw_Data!G$2:G$5002),Raw_Data!G2195)</f>
        <v>14775.11</v>
      </c>
      <c r="H2195" s="15" t="str">
        <f t="shared" si="1"/>
        <v>115964.00</v>
      </c>
      <c r="I2195" s="14" t="str">
        <f t="shared" si="2"/>
        <v>101189.00</v>
      </c>
      <c r="J2195" s="16" t="str">
        <f>TEXT(Raw_Data!J2195,"MMM-YYY")</f>
        <v>Oct-2025</v>
      </c>
      <c r="K2195" s="13" t="str">
        <f>Raw_Data!K2195</f>
        <v>16</v>
      </c>
      <c r="L2195" s="17" t="str">
        <f>Raw_Data!L2195</f>
        <v>Chennai-South</v>
      </c>
      <c r="M2195" s="13" t="str">
        <f t="shared" si="3"/>
        <v>OK</v>
      </c>
      <c r="N2195" s="18" t="str">
        <f t="shared" si="4"/>
        <v>VALID</v>
      </c>
    </row>
    <row r="2196" ht="15.75" customHeight="1">
      <c r="A2196" s="13" t="str">
        <f>Raw_Data!A2196</f>
        <v>EMP2316</v>
      </c>
      <c r="B2196" s="13" t="str">
        <f>TRIM(CLEAN(Raw_Data!B2196))</f>
        <v>Finance</v>
      </c>
      <c r="C2196" s="18" t="s">
        <v>30</v>
      </c>
      <c r="D2196" s="14" t="str">
        <f>IF(ISBLANK(Raw_Data!D2196),AVERAGE(Raw_Data!D$2:D$5002),Raw_Data!D2196)</f>
        <v>73351.07</v>
      </c>
      <c r="E2196" s="15" t="str">
        <f>IF(ISBLANK(Raw_Data!E2196),AVERAGE(Raw_Data!E$2:E$5002),Raw_Data!E2196)</f>
        <v>24678.31</v>
      </c>
      <c r="F2196" s="15" t="str">
        <f>IF(ISBLANK(Raw_Data!F2196),AVERAGE(Raw_Data!F$2:F$5002),Raw_Data!F2196)</f>
        <v>17958.14</v>
      </c>
      <c r="G2196" s="14" t="str">
        <f>IF(ISBLANK(Raw_Data!G2196),AVERAGE(Raw_Data!G$2:G$5002),Raw_Data!G2196)</f>
        <v>14778.51</v>
      </c>
      <c r="H2196" s="15" t="str">
        <f t="shared" si="1"/>
        <v>115988.00</v>
      </c>
      <c r="I2196" s="14" t="str">
        <f t="shared" si="2"/>
        <v>101209.00</v>
      </c>
      <c r="J2196" s="16" t="str">
        <f>TEXT(Raw_Data!J2196,"MMM-YYY")</f>
        <v>Apr-2025</v>
      </c>
      <c r="K2196" s="13" t="str">
        <f>Raw_Data!K2196</f>
        <v>24</v>
      </c>
      <c r="L2196" s="17" t="str">
        <f>Raw_Data!L2196</f>
        <v>Mumbai-HO</v>
      </c>
      <c r="M2196" s="13" t="str">
        <f t="shared" si="3"/>
        <v>OK</v>
      </c>
      <c r="N2196" s="18" t="str">
        <f t="shared" si="4"/>
        <v>VALID</v>
      </c>
    </row>
    <row r="2197" ht="15.75" customHeight="1">
      <c r="A2197" s="13" t="str">
        <f>Raw_Data!A2197</f>
        <v>EMP2317</v>
      </c>
      <c r="B2197" s="13" t="str">
        <f>TRIM(CLEAN(Raw_Data!B2197))</f>
        <v>Customer Support</v>
      </c>
      <c r="C2197" s="18" t="s">
        <v>33</v>
      </c>
      <c r="D2197" s="14" t="str">
        <f>IF(ISBLANK(Raw_Data!D2197),AVERAGE(Raw_Data!D$2:D$5002),Raw_Data!D2197)</f>
        <v>73361.95</v>
      </c>
      <c r="E2197" s="15" t="str">
        <f>IF(ISBLANK(Raw_Data!E2197),AVERAGE(Raw_Data!E$2:E$5002),Raw_Data!E2197)</f>
        <v>24682.93</v>
      </c>
      <c r="F2197" s="15" t="str">
        <f>IF(ISBLANK(Raw_Data!F2197),AVERAGE(Raw_Data!F$2:F$5002),Raw_Data!F2197)</f>
        <v>17965.82</v>
      </c>
      <c r="G2197" s="14" t="str">
        <f>IF(ISBLANK(Raw_Data!G2197),AVERAGE(Raw_Data!G$2:G$5002),Raw_Data!G2197)</f>
        <v>14781.90</v>
      </c>
      <c r="H2197" s="15" t="str">
        <f t="shared" si="1"/>
        <v>116011.00</v>
      </c>
      <c r="I2197" s="14" t="str">
        <f t="shared" si="2"/>
        <v>101229.00</v>
      </c>
      <c r="J2197" s="16" t="str">
        <f>TEXT(Raw_Data!J2197,"MMM-YYY")</f>
        <v>Oct-2025</v>
      </c>
      <c r="K2197" s="13" t="str">
        <f>Raw_Data!K2197</f>
        <v>8</v>
      </c>
      <c r="L2197" s="17" t="str">
        <f>Raw_Data!L2197</f>
        <v>Jaipur-North</v>
      </c>
      <c r="M2197" s="13" t="str">
        <f t="shared" si="3"/>
        <v>OK</v>
      </c>
      <c r="N2197" s="18" t="str">
        <f t="shared" si="4"/>
        <v>VALID</v>
      </c>
    </row>
    <row r="2198" ht="15.75" customHeight="1">
      <c r="A2198" s="13" t="str">
        <f>Raw_Data!A2198</f>
        <v>EMP2318</v>
      </c>
      <c r="B2198" s="13" t="str">
        <f>TRIM(CLEAN(Raw_Data!B2198))</f>
        <v>HR</v>
      </c>
      <c r="C2198" s="18" t="s">
        <v>54</v>
      </c>
      <c r="D2198" s="14" t="str">
        <f>IF(ISBLANK(Raw_Data!D2198),AVERAGE(Raw_Data!D$2:D$5002),Raw_Data!D2198)</f>
        <v>73372.83</v>
      </c>
      <c r="E2198" s="15" t="str">
        <f>IF(ISBLANK(Raw_Data!E2198),AVERAGE(Raw_Data!E$2:E$5002),Raw_Data!E2198)</f>
        <v>24687.54</v>
      </c>
      <c r="F2198" s="15" t="str">
        <f>IF(ISBLANK(Raw_Data!F2198),AVERAGE(Raw_Data!F$2:F$5002),Raw_Data!F2198)</f>
        <v>17973.50</v>
      </c>
      <c r="G2198" s="14" t="str">
        <f>IF(ISBLANK(Raw_Data!G2198),AVERAGE(Raw_Data!G$2:G$5002),Raw_Data!G2198)</f>
        <v>14785.30</v>
      </c>
      <c r="H2198" s="15" t="str">
        <f t="shared" si="1"/>
        <v>116034.00</v>
      </c>
      <c r="I2198" s="14" t="str">
        <f t="shared" si="2"/>
        <v>101249.00</v>
      </c>
      <c r="J2198" s="16" t="str">
        <f>TEXT(Raw_Data!J2198,"MMM-YYY")</f>
        <v>Nov-2025</v>
      </c>
      <c r="K2198" s="13" t="str">
        <f>Raw_Data!K2198</f>
        <v>24</v>
      </c>
      <c r="L2198" s="17" t="str">
        <f>Raw_Data!L2198</f>
        <v>Kolkata-East</v>
      </c>
      <c r="M2198" s="13" t="str">
        <f t="shared" si="3"/>
        <v>OK</v>
      </c>
      <c r="N2198" s="18" t="str">
        <f t="shared" si="4"/>
        <v>VALID</v>
      </c>
    </row>
    <row r="2199" ht="15.75" customHeight="1">
      <c r="A2199" s="13" t="str">
        <f>Raw_Data!A2199</f>
        <v>EMP2319</v>
      </c>
      <c r="B2199" s="13" t="str">
        <f>TRIM(CLEAN(Raw_Data!B2199))</f>
        <v>IT</v>
      </c>
      <c r="C2199" s="18" t="s">
        <v>37</v>
      </c>
      <c r="D2199" s="14" t="str">
        <f>IF(ISBLANK(Raw_Data!D2199),AVERAGE(Raw_Data!D$2:D$5002),Raw_Data!D2199)</f>
        <v>73383.72</v>
      </c>
      <c r="E2199" s="15" t="str">
        <f>IF(ISBLANK(Raw_Data!E2199),AVERAGE(Raw_Data!E$2:E$5002),Raw_Data!E2199)</f>
        <v>24692.16</v>
      </c>
      <c r="F2199" s="15" t="str">
        <f>IF(ISBLANK(Raw_Data!F2199),AVERAGE(Raw_Data!F$2:F$5002),Raw_Data!F2199)</f>
        <v>17981.18</v>
      </c>
      <c r="G2199" s="14" t="str">
        <f>IF(ISBLANK(Raw_Data!G2199),AVERAGE(Raw_Data!G$2:G$5002),Raw_Data!G2199)</f>
        <v>14788.70</v>
      </c>
      <c r="H2199" s="15" t="str">
        <f t="shared" si="1"/>
        <v>116057.00</v>
      </c>
      <c r="I2199" s="14" t="str">
        <f t="shared" si="2"/>
        <v>101268.00</v>
      </c>
      <c r="J2199" s="16" t="str">
        <f>TEXT(Raw_Data!J2199,"MMM-YYY")</f>
        <v>Mar-2025</v>
      </c>
      <c r="K2199" s="13" t="str">
        <f>Raw_Data!K2199</f>
        <v>4</v>
      </c>
      <c r="L2199" s="17" t="str">
        <f>Raw_Data!L2199</f>
        <v>Mumbai-HO</v>
      </c>
      <c r="M2199" s="13" t="str">
        <f t="shared" si="3"/>
        <v>OK</v>
      </c>
      <c r="N2199" s="18" t="str">
        <f t="shared" si="4"/>
        <v>VALID</v>
      </c>
    </row>
    <row r="2200" ht="15.75" customHeight="1">
      <c r="A2200" s="13" t="str">
        <f>Raw_Data!A2200</f>
        <v>EMP2320</v>
      </c>
      <c r="B2200" s="13" t="str">
        <f>TRIM(CLEAN(Raw_Data!B2200))</f>
        <v>Marketing</v>
      </c>
      <c r="C2200" s="18" t="s">
        <v>33</v>
      </c>
      <c r="D2200" s="14" t="str">
        <f>IF(ISBLANK(Raw_Data!D2200),AVERAGE(Raw_Data!D$2:D$5002),Raw_Data!D2200)</f>
        <v>73394.60</v>
      </c>
      <c r="E2200" s="15" t="str">
        <f>IF(ISBLANK(Raw_Data!E2200),AVERAGE(Raw_Data!E$2:E$5002),Raw_Data!E2200)</f>
        <v>24696.77</v>
      </c>
      <c r="F2200" s="15" t="str">
        <f>IF(ISBLANK(Raw_Data!F2200),AVERAGE(Raw_Data!F$2:F$5002),Raw_Data!F2200)</f>
        <v>17988.86</v>
      </c>
      <c r="G2200" s="14" t="str">
        <f>IF(ISBLANK(Raw_Data!G2200),AVERAGE(Raw_Data!G$2:G$5002),Raw_Data!G2200)</f>
        <v>14792.10</v>
      </c>
      <c r="H2200" s="15" t="str">
        <f t="shared" si="1"/>
        <v>116080.00</v>
      </c>
      <c r="I2200" s="14" t="str">
        <f t="shared" si="2"/>
        <v>101288.00</v>
      </c>
      <c r="J2200" s="16" t="str">
        <f>TEXT(Raw_Data!J2200,"MMM-YYY")</f>
        <v>Jun-2025</v>
      </c>
      <c r="K2200" s="13" t="str">
        <f>Raw_Data!K2200</f>
        <v>20</v>
      </c>
      <c r="L2200" s="17" t="str">
        <f>Raw_Data!L2200</f>
        <v>Hyderabad-South</v>
      </c>
      <c r="M2200" s="13" t="str">
        <f t="shared" si="3"/>
        <v>OK</v>
      </c>
      <c r="N2200" s="18" t="str">
        <f t="shared" si="4"/>
        <v>VALID</v>
      </c>
    </row>
    <row r="2201" ht="15.75" customHeight="1">
      <c r="A2201" s="13" t="str">
        <f>Raw_Data!A2201</f>
        <v>EMP2321</v>
      </c>
      <c r="B2201" s="13" t="str">
        <f>TRIM(CLEAN(Raw_Data!B2201))</f>
        <v>Marketing</v>
      </c>
      <c r="C2201" s="18" t="s">
        <v>33</v>
      </c>
      <c r="D2201" s="14" t="str">
        <f>IF(ISBLANK(Raw_Data!D2201),AVERAGE(Raw_Data!D$2:D$5002),Raw_Data!D2201)</f>
        <v>73405.48</v>
      </c>
      <c r="E2201" s="15" t="str">
        <f>IF(ISBLANK(Raw_Data!E2201),AVERAGE(Raw_Data!E$2:E$5002),Raw_Data!E2201)</f>
        <v>24701.39</v>
      </c>
      <c r="F2201" s="15" t="str">
        <f>IF(ISBLANK(Raw_Data!F2201),AVERAGE(Raw_Data!F$2:F$5002),Raw_Data!F2201)</f>
        <v>17996.54</v>
      </c>
      <c r="G2201" s="14" t="str">
        <f>IF(ISBLANK(Raw_Data!G2201),AVERAGE(Raw_Data!G$2:G$5002),Raw_Data!G2201)</f>
        <v>14795.49</v>
      </c>
      <c r="H2201" s="15" t="str">
        <f t="shared" si="1"/>
        <v>116103.00</v>
      </c>
      <c r="I2201" s="14" t="str">
        <f t="shared" si="2"/>
        <v>101308.00</v>
      </c>
      <c r="J2201" s="16" t="str">
        <f>TEXT(Raw_Data!J2201,"MMM-YYY")</f>
        <v>Mar-2025</v>
      </c>
      <c r="K2201" s="13" t="str">
        <f>Raw_Data!K2201</f>
        <v>11</v>
      </c>
      <c r="L2201" s="17" t="str">
        <f>Raw_Data!L2201</f>
        <v>Pune-West</v>
      </c>
      <c r="M2201" s="13" t="str">
        <f t="shared" si="3"/>
        <v>OK</v>
      </c>
      <c r="N2201" s="18" t="str">
        <f t="shared" si="4"/>
        <v>VALID</v>
      </c>
    </row>
    <row r="2202" ht="15.75" customHeight="1">
      <c r="A2202" s="13" t="str">
        <f>Raw_Data!A2202</f>
        <v>EMP2322</v>
      </c>
      <c r="B2202" s="13" t="str">
        <f>TRIM(CLEAN(Raw_Data!B2202))</f>
        <v>Marketing</v>
      </c>
      <c r="C2202" s="18" t="s">
        <v>14</v>
      </c>
      <c r="D2202" s="14" t="str">
        <f>IF(ISBLANK(Raw_Data!D2202),AVERAGE(Raw_Data!D$2:D$5002),Raw_Data!D2202)</f>
        <v>73416.37</v>
      </c>
      <c r="E2202" s="15" t="str">
        <f>IF(ISBLANK(Raw_Data!E2202),AVERAGE(Raw_Data!E$2:E$5002),Raw_Data!E2202)</f>
        <v>24706.00</v>
      </c>
      <c r="F2202" s="15" t="str">
        <f>IF(ISBLANK(Raw_Data!F2202),AVERAGE(Raw_Data!F$2:F$5002),Raw_Data!F2202)</f>
        <v>18004.22</v>
      </c>
      <c r="G2202" s="14" t="str">
        <f>IF(ISBLANK(Raw_Data!G2202),AVERAGE(Raw_Data!G$2:G$5002),Raw_Data!G2202)</f>
        <v>14798.89</v>
      </c>
      <c r="H2202" s="15" t="str">
        <f t="shared" si="1"/>
        <v>116127.00</v>
      </c>
      <c r="I2202" s="14" t="str">
        <f t="shared" si="2"/>
        <v>101328.00</v>
      </c>
      <c r="J2202" s="16" t="str">
        <f>TEXT(Raw_Data!J2202,"MMM-YYY")</f>
        <v>Apr-2025</v>
      </c>
      <c r="K2202" s="13" t="str">
        <f>Raw_Data!K2202</f>
        <v>16</v>
      </c>
      <c r="L2202" s="17" t="str">
        <f>Raw_Data!L2202</f>
        <v>Chennai-South</v>
      </c>
      <c r="M2202" s="13" t="str">
        <f t="shared" si="3"/>
        <v>OK</v>
      </c>
      <c r="N2202" s="18" t="str">
        <f t="shared" si="4"/>
        <v>VALID</v>
      </c>
    </row>
    <row r="2203" ht="15.75" customHeight="1">
      <c r="A2203" s="13" t="str">
        <f>Raw_Data!A2203</f>
        <v>EMP2323</v>
      </c>
      <c r="B2203" s="13" t="str">
        <f>TRIM(CLEAN(Raw_Data!B2203))</f>
        <v>Operations</v>
      </c>
      <c r="C2203" s="18" t="s">
        <v>26</v>
      </c>
      <c r="D2203" s="14" t="str">
        <f>IF(ISBLANK(Raw_Data!D2203),AVERAGE(Raw_Data!D$2:D$5002),Raw_Data!D2203)</f>
        <v>73427.25</v>
      </c>
      <c r="E2203" s="15" t="str">
        <f>IF(ISBLANK(Raw_Data!E2203),AVERAGE(Raw_Data!E$2:E$5002),Raw_Data!E2203)</f>
        <v>24710.61</v>
      </c>
      <c r="F2203" s="15" t="str">
        <f>IF(ISBLANK(Raw_Data!F2203),AVERAGE(Raw_Data!F$2:F$5002),Raw_Data!F2203)</f>
        <v>18011.90</v>
      </c>
      <c r="G2203" s="14" t="str">
        <f>IF(ISBLANK(Raw_Data!G2203),AVERAGE(Raw_Data!G$2:G$5002),Raw_Data!G2203)</f>
        <v>14802.29</v>
      </c>
      <c r="H2203" s="15" t="str">
        <f t="shared" si="1"/>
        <v>116150.00</v>
      </c>
      <c r="I2203" s="14" t="str">
        <f t="shared" si="2"/>
        <v>101348.00</v>
      </c>
      <c r="J2203" s="16" t="str">
        <f>TEXT(Raw_Data!J2203,"MMM-YYY")</f>
        <v>Jul-2025</v>
      </c>
      <c r="K2203" s="13" t="str">
        <f>Raw_Data!K2203</f>
        <v>23</v>
      </c>
      <c r="L2203" s="17" t="str">
        <f>Raw_Data!L2203</f>
        <v>Mumbai-HO</v>
      </c>
      <c r="M2203" s="13" t="str">
        <f t="shared" si="3"/>
        <v>OK</v>
      </c>
      <c r="N2203" s="18" t="str">
        <f t="shared" si="4"/>
        <v>VALID</v>
      </c>
    </row>
    <row r="2204" ht="15.75" customHeight="1">
      <c r="A2204" s="13" t="str">
        <f>Raw_Data!A2204</f>
        <v>EMP2324</v>
      </c>
      <c r="B2204" s="13" t="str">
        <f>TRIM(CLEAN(Raw_Data!B2204))</f>
        <v>Marketing</v>
      </c>
      <c r="C2204" s="18" t="s">
        <v>18</v>
      </c>
      <c r="D2204" s="14" t="str">
        <f>IF(ISBLANK(Raw_Data!D2204),AVERAGE(Raw_Data!D$2:D$5002),Raw_Data!D2204)</f>
        <v>73438.13</v>
      </c>
      <c r="E2204" s="15" t="str">
        <f>IF(ISBLANK(Raw_Data!E2204),AVERAGE(Raw_Data!E$2:E$5002),Raw_Data!E2204)</f>
        <v>24715.23</v>
      </c>
      <c r="F2204" s="15" t="str">
        <f>IF(ISBLANK(Raw_Data!F2204),AVERAGE(Raw_Data!F$2:F$5002),Raw_Data!F2204)</f>
        <v>18019.58</v>
      </c>
      <c r="G2204" s="14" t="str">
        <f>IF(ISBLANK(Raw_Data!G2204),AVERAGE(Raw_Data!G$2:G$5002),Raw_Data!G2204)</f>
        <v>14805.69</v>
      </c>
      <c r="H2204" s="15" t="str">
        <f t="shared" si="1"/>
        <v>116173.00</v>
      </c>
      <c r="I2204" s="14" t="str">
        <f t="shared" si="2"/>
        <v>101367.00</v>
      </c>
      <c r="J2204" s="16" t="str">
        <f>TEXT(Raw_Data!J2204,"MMM-YYY")</f>
        <v>Mar-2025</v>
      </c>
      <c r="K2204" s="13" t="str">
        <f>Raw_Data!K2204</f>
        <v>17</v>
      </c>
      <c r="L2204" s="17" t="str">
        <f>Raw_Data!L2204</f>
        <v>Chandigarh-North</v>
      </c>
      <c r="M2204" s="13" t="str">
        <f t="shared" si="3"/>
        <v>OK</v>
      </c>
      <c r="N2204" s="18" t="str">
        <f t="shared" si="4"/>
        <v>VALID</v>
      </c>
    </row>
    <row r="2205" ht="15.75" customHeight="1">
      <c r="A2205" s="13" t="str">
        <f>Raw_Data!A2205</f>
        <v>EMP2325</v>
      </c>
      <c r="B2205" s="13" t="str">
        <f>TRIM(CLEAN(Raw_Data!B2205))</f>
        <v>Marketing</v>
      </c>
      <c r="C2205" s="18" t="s">
        <v>18</v>
      </c>
      <c r="D2205" s="14" t="str">
        <f>IF(ISBLANK(Raw_Data!D2205),AVERAGE(Raw_Data!D$2:D$5002),Raw_Data!D2205)</f>
        <v>73449.01</v>
      </c>
      <c r="E2205" s="15" t="str">
        <f>IF(ISBLANK(Raw_Data!E2205),AVERAGE(Raw_Data!E$2:E$5002),Raw_Data!E2205)</f>
        <v>24719.84</v>
      </c>
      <c r="F2205" s="15" t="str">
        <f>IF(ISBLANK(Raw_Data!F2205),AVERAGE(Raw_Data!F$2:F$5002),Raw_Data!F2205)</f>
        <v>18027.26</v>
      </c>
      <c r="G2205" s="14" t="str">
        <f>IF(ISBLANK(Raw_Data!G2205),AVERAGE(Raw_Data!G$2:G$5002),Raw_Data!G2205)</f>
        <v>14809.08</v>
      </c>
      <c r="H2205" s="15" t="str">
        <f t="shared" si="1"/>
        <v>116196.00</v>
      </c>
      <c r="I2205" s="14" t="str">
        <f t="shared" si="2"/>
        <v>101387.00</v>
      </c>
      <c r="J2205" s="16" t="str">
        <f>TEXT(Raw_Data!J2205,"MMM-YYY")</f>
        <v>Mar-2025</v>
      </c>
      <c r="K2205" s="13" t="str">
        <f>Raw_Data!K2205</f>
        <v>20</v>
      </c>
      <c r="L2205" s="17" t="str">
        <f>Raw_Data!L2205</f>
        <v>Bangalore-South</v>
      </c>
      <c r="M2205" s="13" t="str">
        <f t="shared" si="3"/>
        <v>OK</v>
      </c>
      <c r="N2205" s="18" t="str">
        <f t="shared" si="4"/>
        <v>VALID</v>
      </c>
    </row>
    <row r="2206" ht="15.75" customHeight="1">
      <c r="A2206" s="13" t="str">
        <f>Raw_Data!A2206</f>
        <v>EMP2326</v>
      </c>
      <c r="B2206" s="13" t="str">
        <f>TRIM(CLEAN(Raw_Data!B2206))</f>
        <v>IT</v>
      </c>
      <c r="C2206" s="18" t="s">
        <v>37</v>
      </c>
      <c r="D2206" s="14" t="str">
        <f>IF(ISBLANK(Raw_Data!D2206),AVERAGE(Raw_Data!D$2:D$5002),Raw_Data!D2206)</f>
        <v>73459.90</v>
      </c>
      <c r="E2206" s="15" t="str">
        <f>IF(ISBLANK(Raw_Data!E2206),AVERAGE(Raw_Data!E$2:E$5002),Raw_Data!E2206)</f>
        <v>24724.46</v>
      </c>
      <c r="F2206" s="15" t="str">
        <f>IF(ISBLANK(Raw_Data!F2206),AVERAGE(Raw_Data!F$2:F$5002),Raw_Data!F2206)</f>
        <v>18034.94</v>
      </c>
      <c r="G2206" s="14" t="str">
        <f>IF(ISBLANK(Raw_Data!G2206),AVERAGE(Raw_Data!G$2:G$5002),Raw_Data!G2206)</f>
        <v>14812.48</v>
      </c>
      <c r="H2206" s="15" t="str">
        <f t="shared" si="1"/>
        <v>116219.00</v>
      </c>
      <c r="I2206" s="14" t="str">
        <f t="shared" si="2"/>
        <v>101407.00</v>
      </c>
      <c r="J2206" s="16" t="str">
        <f>TEXT(Raw_Data!J2206,"MMM-YYY")</f>
        <v>Oct-2025</v>
      </c>
      <c r="K2206" s="13" t="str">
        <f>Raw_Data!K2206</f>
        <v>24</v>
      </c>
      <c r="L2206" s="17" t="str">
        <f>Raw_Data!L2206</f>
        <v>Jaipur-North</v>
      </c>
      <c r="M2206" s="13" t="str">
        <f t="shared" si="3"/>
        <v>OK</v>
      </c>
      <c r="N2206" s="18" t="str">
        <f t="shared" si="4"/>
        <v>VALID</v>
      </c>
    </row>
    <row r="2207" ht="15.75" customHeight="1">
      <c r="A2207" s="13" t="str">
        <f>Raw_Data!A2207</f>
        <v>EMP2327</v>
      </c>
      <c r="B2207" s="13" t="str">
        <f>TRIM(CLEAN(Raw_Data!B2207))</f>
        <v>Sales</v>
      </c>
      <c r="C2207" s="18" t="s">
        <v>26</v>
      </c>
      <c r="D2207" s="14" t="str">
        <f>IF(ISBLANK(Raw_Data!D2207),AVERAGE(Raw_Data!D$2:D$5002),Raw_Data!D2207)</f>
        <v>73470.78</v>
      </c>
      <c r="E2207" s="15" t="str">
        <f>IF(ISBLANK(Raw_Data!E2207),AVERAGE(Raw_Data!E$2:E$5002),Raw_Data!E2207)</f>
        <v>24729.07</v>
      </c>
      <c r="F2207" s="15" t="str">
        <f>IF(ISBLANK(Raw_Data!F2207),AVERAGE(Raw_Data!F$2:F$5002),Raw_Data!F2207)</f>
        <v>18042.62</v>
      </c>
      <c r="G2207" s="14" t="str">
        <f>IF(ISBLANK(Raw_Data!G2207),AVERAGE(Raw_Data!G$2:G$5002),Raw_Data!G2207)</f>
        <v>14815.88</v>
      </c>
      <c r="H2207" s="15" t="str">
        <f t="shared" si="1"/>
        <v>116242.00</v>
      </c>
      <c r="I2207" s="14" t="str">
        <f t="shared" si="2"/>
        <v>101426.00</v>
      </c>
      <c r="J2207" s="16" t="str">
        <f>TEXT(Raw_Data!J2207,"MMM-YYY")</f>
        <v>Nov-2025</v>
      </c>
      <c r="K2207" s="13" t="str">
        <f>Raw_Data!K2207</f>
        <v>25</v>
      </c>
      <c r="L2207" s="17" t="str">
        <f>Raw_Data!L2207</f>
        <v>Pune-West</v>
      </c>
      <c r="M2207" s="13" t="str">
        <f t="shared" si="3"/>
        <v>OK</v>
      </c>
      <c r="N2207" s="18" t="str">
        <f t="shared" si="4"/>
        <v>VALID</v>
      </c>
    </row>
    <row r="2208" ht="15.75" customHeight="1">
      <c r="A2208" s="13" t="str">
        <f>Raw_Data!A2208</f>
        <v>EMP2328</v>
      </c>
      <c r="B2208" s="13" t="str">
        <f>TRIM(CLEAN(Raw_Data!B2208))</f>
        <v>Marketing</v>
      </c>
      <c r="C2208" s="18" t="s">
        <v>54</v>
      </c>
      <c r="D2208" s="14" t="str">
        <f>IF(ISBLANK(Raw_Data!D2208),AVERAGE(Raw_Data!D$2:D$5002),Raw_Data!D2208)</f>
        <v>73481.66</v>
      </c>
      <c r="E2208" s="15" t="str">
        <f>IF(ISBLANK(Raw_Data!E2208),AVERAGE(Raw_Data!E$2:E$5002),Raw_Data!E2208)</f>
        <v>24733.69</v>
      </c>
      <c r="F2208" s="15" t="str">
        <f>IF(ISBLANK(Raw_Data!F2208),AVERAGE(Raw_Data!F$2:F$5002),Raw_Data!F2208)</f>
        <v>18050.30</v>
      </c>
      <c r="G2208" s="14" t="str">
        <f>IF(ISBLANK(Raw_Data!G2208),AVERAGE(Raw_Data!G$2:G$5002),Raw_Data!G2208)</f>
        <v>14819.28</v>
      </c>
      <c r="H2208" s="15" t="str">
        <f t="shared" si="1"/>
        <v>116266.00</v>
      </c>
      <c r="I2208" s="14" t="str">
        <f t="shared" si="2"/>
        <v>101447.00</v>
      </c>
      <c r="J2208" s="16" t="str">
        <f>TEXT(Raw_Data!J2208,"MMM-YYY")</f>
        <v>Mar-2025</v>
      </c>
      <c r="K2208" s="13" t="str">
        <f>Raw_Data!K2208</f>
        <v>4</v>
      </c>
      <c r="L2208" s="17" t="str">
        <f>Raw_Data!L2208</f>
        <v>Pune-West</v>
      </c>
      <c r="M2208" s="13" t="str">
        <f t="shared" si="3"/>
        <v>OK</v>
      </c>
      <c r="N2208" s="18" t="str">
        <f t="shared" si="4"/>
        <v>VALID</v>
      </c>
    </row>
    <row r="2209" ht="15.75" customHeight="1">
      <c r="A2209" s="13" t="str">
        <f>Raw_Data!A2209</f>
        <v>EMP2329</v>
      </c>
      <c r="B2209" s="13" t="str">
        <f>TRIM(CLEAN(Raw_Data!B2209))</f>
        <v>Operations</v>
      </c>
      <c r="C2209" s="18" t="s">
        <v>18</v>
      </c>
      <c r="D2209" s="14" t="str">
        <f>IF(ISBLANK(Raw_Data!D2209),AVERAGE(Raw_Data!D$2:D$5002),Raw_Data!D2209)</f>
        <v>73492.55</v>
      </c>
      <c r="E2209" s="15" t="str">
        <f>IF(ISBLANK(Raw_Data!E2209),AVERAGE(Raw_Data!E$2:E$5002),Raw_Data!E2209)</f>
        <v>24738.30</v>
      </c>
      <c r="F2209" s="15" t="str">
        <f>IF(ISBLANK(Raw_Data!F2209),AVERAGE(Raw_Data!F$2:F$5002),Raw_Data!F2209)</f>
        <v>18057.98</v>
      </c>
      <c r="G2209" s="14" t="str">
        <f>IF(ISBLANK(Raw_Data!G2209),AVERAGE(Raw_Data!G$2:G$5002),Raw_Data!G2209)</f>
        <v>14822.67</v>
      </c>
      <c r="H2209" s="15" t="str">
        <f t="shared" si="1"/>
        <v>116289.00</v>
      </c>
      <c r="I2209" s="14" t="str">
        <f t="shared" si="2"/>
        <v>101466.00</v>
      </c>
      <c r="J2209" s="16" t="str">
        <f>TEXT(Raw_Data!J2209,"MMM-YYY")</f>
        <v>Jun-2025</v>
      </c>
      <c r="K2209" s="13" t="str">
        <f>Raw_Data!K2209</f>
        <v>25</v>
      </c>
      <c r="L2209" s="17" t="str">
        <f>Raw_Data!L2209</f>
        <v>Chandigarh-North</v>
      </c>
      <c r="M2209" s="13" t="str">
        <f t="shared" si="3"/>
        <v>OK</v>
      </c>
      <c r="N2209" s="18" t="str">
        <f t="shared" si="4"/>
        <v>VALID</v>
      </c>
    </row>
    <row r="2210" ht="15.75" customHeight="1">
      <c r="A2210" s="13" t="str">
        <f>Raw_Data!A2210</f>
        <v>EMP2330</v>
      </c>
      <c r="B2210" s="13" t="str">
        <f>TRIM(CLEAN(Raw_Data!B2210))</f>
        <v>Sales</v>
      </c>
      <c r="C2210" s="18" t="s">
        <v>14</v>
      </c>
      <c r="D2210" s="14" t="str">
        <f>IF(ISBLANK(Raw_Data!D2210),AVERAGE(Raw_Data!D$2:D$5002),Raw_Data!D2210)</f>
        <v>73503.43</v>
      </c>
      <c r="E2210" s="15" t="str">
        <f>IF(ISBLANK(Raw_Data!E2210),AVERAGE(Raw_Data!E$2:E$5002),Raw_Data!E2210)</f>
        <v>24742.92</v>
      </c>
      <c r="F2210" s="15" t="str">
        <f>IF(ISBLANK(Raw_Data!F2210),AVERAGE(Raw_Data!F$2:F$5002),Raw_Data!F2210)</f>
        <v>18065.66</v>
      </c>
      <c r="G2210" s="14" t="str">
        <f>IF(ISBLANK(Raw_Data!G2210),AVERAGE(Raw_Data!G$2:G$5002),Raw_Data!G2210)</f>
        <v>14826.07</v>
      </c>
      <c r="H2210" s="15" t="str">
        <f t="shared" si="1"/>
        <v>116312.00</v>
      </c>
      <c r="I2210" s="14" t="str">
        <f t="shared" si="2"/>
        <v>101486.00</v>
      </c>
      <c r="J2210" s="16" t="str">
        <f>TEXT(Raw_Data!J2210,"MMM-YYY")</f>
        <v>Sep-2025</v>
      </c>
      <c r="K2210" s="13" t="str">
        <f>Raw_Data!K2210</f>
        <v>5</v>
      </c>
      <c r="L2210" s="17" t="str">
        <f>Raw_Data!L2210</f>
        <v>Chennai-South</v>
      </c>
      <c r="M2210" s="13" t="str">
        <f t="shared" si="3"/>
        <v>OK</v>
      </c>
      <c r="N2210" s="18" t="str">
        <f t="shared" si="4"/>
        <v>VALID</v>
      </c>
    </row>
    <row r="2211" ht="15.75" customHeight="1">
      <c r="A2211" s="13" t="str">
        <f>Raw_Data!A2211</f>
        <v>EMP2331</v>
      </c>
      <c r="B2211" s="13" t="str">
        <f>TRIM(CLEAN(Raw_Data!B2211))</f>
        <v>Finance</v>
      </c>
      <c r="C2211" s="18" t="s">
        <v>14</v>
      </c>
      <c r="D2211" s="14" t="str">
        <f>IF(ISBLANK(Raw_Data!D2211),AVERAGE(Raw_Data!D$2:D$5002),Raw_Data!D2211)</f>
        <v>73514.31</v>
      </c>
      <c r="E2211" s="15" t="str">
        <f>IF(ISBLANK(Raw_Data!E2211),AVERAGE(Raw_Data!E$2:E$5002),Raw_Data!E2211)</f>
        <v>24747.53</v>
      </c>
      <c r="F2211" s="15" t="str">
        <f>IF(ISBLANK(Raw_Data!F2211),AVERAGE(Raw_Data!F$2:F$5002),Raw_Data!F2211)</f>
        <v>18073.34</v>
      </c>
      <c r="G2211" s="14" t="str">
        <f>IF(ISBLANK(Raw_Data!G2211),AVERAGE(Raw_Data!G$2:G$5002),Raw_Data!G2211)</f>
        <v>14562.73</v>
      </c>
      <c r="H2211" s="15" t="str">
        <f t="shared" si="1"/>
        <v>116335.00</v>
      </c>
      <c r="I2211" s="14" t="str">
        <f t="shared" si="2"/>
        <v>101772.00</v>
      </c>
      <c r="J2211" s="16" t="str">
        <f>TEXT(Raw_Data!J2211,"MMM-YYY")</f>
        <v>Aug-2025</v>
      </c>
      <c r="K2211" s="13" t="str">
        <f>Raw_Data!K2211</f>
        <v>18</v>
      </c>
      <c r="L2211" s="17" t="str">
        <f>Raw_Data!L2211</f>
        <v>Chandigarh-North</v>
      </c>
      <c r="M2211" s="13" t="str">
        <f t="shared" si="3"/>
        <v>OK</v>
      </c>
      <c r="N2211" s="18" t="str">
        <f t="shared" si="4"/>
        <v>VALID</v>
      </c>
    </row>
    <row r="2212" ht="15.75" customHeight="1">
      <c r="A2212" s="13" t="str">
        <f>Raw_Data!A2212</f>
        <v>EMP2332</v>
      </c>
      <c r="B2212" s="13" t="str">
        <f>TRIM(CLEAN(Raw_Data!B2212))</f>
        <v>Sales</v>
      </c>
      <c r="C2212" s="18" t="s">
        <v>18</v>
      </c>
      <c r="D2212" s="14" t="str">
        <f>IF(ISBLANK(Raw_Data!D2212),AVERAGE(Raw_Data!D$2:D$5002),Raw_Data!D2212)</f>
        <v>73525.20</v>
      </c>
      <c r="E2212" s="15" t="str">
        <f>IF(ISBLANK(Raw_Data!E2212),AVERAGE(Raw_Data!E$2:E$5002),Raw_Data!E2212)</f>
        <v>24752.15</v>
      </c>
      <c r="F2212" s="15" t="str">
        <f>IF(ISBLANK(Raw_Data!F2212),AVERAGE(Raw_Data!F$2:F$5002),Raw_Data!F2212)</f>
        <v>18081.02</v>
      </c>
      <c r="G2212" s="14" t="str">
        <f>IF(ISBLANK(Raw_Data!G2212),AVERAGE(Raw_Data!G$2:G$5002),Raw_Data!G2212)</f>
        <v>14832.87</v>
      </c>
      <c r="H2212" s="15" t="str">
        <f t="shared" si="1"/>
        <v>116358.00</v>
      </c>
      <c r="I2212" s="14" t="str">
        <f t="shared" si="2"/>
        <v>101525.00</v>
      </c>
      <c r="J2212" s="16" t="str">
        <f>TEXT(Raw_Data!J2212,"MMM-YYY")</f>
        <v>Nov-2025</v>
      </c>
      <c r="K2212" s="13" t="str">
        <f>Raw_Data!K2212</f>
        <v>8</v>
      </c>
      <c r="L2212" s="17" t="str">
        <f>Raw_Data!L2212</f>
        <v>Ahmedabad-West</v>
      </c>
      <c r="M2212" s="13" t="str">
        <f t="shared" si="3"/>
        <v>OK</v>
      </c>
      <c r="N2212" s="18" t="str">
        <f t="shared" si="4"/>
        <v>VALID</v>
      </c>
    </row>
    <row r="2213" ht="15.75" customHeight="1">
      <c r="A2213" s="13" t="str">
        <f>Raw_Data!A2213</f>
        <v>EMP2333</v>
      </c>
      <c r="B2213" s="13" t="str">
        <f>TRIM(CLEAN(Raw_Data!B2213))</f>
        <v>Operations</v>
      </c>
      <c r="C2213" s="18" t="s">
        <v>54</v>
      </c>
      <c r="D2213" s="14" t="str">
        <f>IF(ISBLANK(Raw_Data!D2213),AVERAGE(Raw_Data!D$2:D$5002),Raw_Data!D2213)</f>
        <v>73536.08</v>
      </c>
      <c r="E2213" s="15" t="str">
        <f>IF(ISBLANK(Raw_Data!E2213),AVERAGE(Raw_Data!E$2:E$5002),Raw_Data!E2213)</f>
        <v>24756.76</v>
      </c>
      <c r="F2213" s="15" t="str">
        <f>IF(ISBLANK(Raw_Data!F2213),AVERAGE(Raw_Data!F$2:F$5002),Raw_Data!F2213)</f>
        <v>18088.70</v>
      </c>
      <c r="G2213" s="14" t="str">
        <f>IF(ISBLANK(Raw_Data!G2213),AVERAGE(Raw_Data!G$2:G$5002),Raw_Data!G2213)</f>
        <v>14836.26</v>
      </c>
      <c r="H2213" s="15" t="str">
        <f t="shared" si="1"/>
        <v>116382.00</v>
      </c>
      <c r="I2213" s="14" t="str">
        <f t="shared" si="2"/>
        <v>101546.00</v>
      </c>
      <c r="J2213" s="16" t="str">
        <f>TEXT(Raw_Data!J2213,"MMM-YYY")</f>
        <v>Oct-2025</v>
      </c>
      <c r="K2213" s="13" t="str">
        <f>Raw_Data!K2213</f>
        <v>20</v>
      </c>
      <c r="L2213" s="17" t="str">
        <f>Raw_Data!L2213</f>
        <v>Bangalore-South</v>
      </c>
      <c r="M2213" s="13" t="str">
        <f t="shared" si="3"/>
        <v>OK</v>
      </c>
      <c r="N2213" s="18" t="str">
        <f t="shared" si="4"/>
        <v>VALID</v>
      </c>
    </row>
    <row r="2214" ht="15.75" customHeight="1">
      <c r="A2214" s="13" t="str">
        <f>Raw_Data!A2214</f>
        <v>EMP2334</v>
      </c>
      <c r="B2214" s="13" t="str">
        <f>TRIM(CLEAN(Raw_Data!B2214))</f>
        <v>Operations</v>
      </c>
      <c r="C2214" s="18" t="s">
        <v>37</v>
      </c>
      <c r="D2214" s="14" t="str">
        <f>IF(ISBLANK(Raw_Data!D2214),AVERAGE(Raw_Data!D$2:D$5002),Raw_Data!D2214)</f>
        <v>73546.96</v>
      </c>
      <c r="E2214" s="15" t="str">
        <f>IF(ISBLANK(Raw_Data!E2214),AVERAGE(Raw_Data!E$2:E$5002),Raw_Data!E2214)</f>
        <v>24761.38</v>
      </c>
      <c r="F2214" s="15" t="str">
        <f>IF(ISBLANK(Raw_Data!F2214),AVERAGE(Raw_Data!F$2:F$5002),Raw_Data!F2214)</f>
        <v>18096.38</v>
      </c>
      <c r="G2214" s="14" t="str">
        <f>IF(ISBLANK(Raw_Data!G2214),AVERAGE(Raw_Data!G$2:G$5002),Raw_Data!G2214)</f>
        <v>14839.66</v>
      </c>
      <c r="H2214" s="15" t="str">
        <f t="shared" si="1"/>
        <v>116405.00</v>
      </c>
      <c r="I2214" s="14" t="str">
        <f t="shared" si="2"/>
        <v>101565.00</v>
      </c>
      <c r="J2214" s="16" t="str">
        <f>TEXT(Raw_Data!J2214,"MMM-YYY")</f>
        <v>Jul-2025</v>
      </c>
      <c r="K2214" s="13" t="str">
        <f>Raw_Data!K2214</f>
        <v>15</v>
      </c>
      <c r="L2214" s="17" t="str">
        <f>Raw_Data!L2214</f>
        <v>Pune-West</v>
      </c>
      <c r="M2214" s="13" t="str">
        <f t="shared" si="3"/>
        <v>OK</v>
      </c>
      <c r="N2214" s="18" t="str">
        <f t="shared" si="4"/>
        <v>VALID</v>
      </c>
    </row>
    <row r="2215" ht="15.75" customHeight="1">
      <c r="A2215" s="13" t="str">
        <f>Raw_Data!A2215</f>
        <v>EMP2335</v>
      </c>
      <c r="B2215" s="13" t="str">
        <f>TRIM(CLEAN(Raw_Data!B2215))</f>
        <v>Finance</v>
      </c>
      <c r="C2215" s="18" t="s">
        <v>18</v>
      </c>
      <c r="D2215" s="14" t="str">
        <f>IF(ISBLANK(Raw_Data!D2215),AVERAGE(Raw_Data!D$2:D$5002),Raw_Data!D2215)</f>
        <v>73557.84</v>
      </c>
      <c r="E2215" s="15" t="str">
        <f>IF(ISBLANK(Raw_Data!E2215),AVERAGE(Raw_Data!E$2:E$5002),Raw_Data!E2215)</f>
        <v>24765.99</v>
      </c>
      <c r="F2215" s="15" t="str">
        <f>IF(ISBLANK(Raw_Data!F2215),AVERAGE(Raw_Data!F$2:F$5002),Raw_Data!F2215)</f>
        <v>18104.06</v>
      </c>
      <c r="G2215" s="14" t="str">
        <f>IF(ISBLANK(Raw_Data!G2215),AVERAGE(Raw_Data!G$2:G$5002),Raw_Data!G2215)</f>
        <v>14843.06</v>
      </c>
      <c r="H2215" s="15" t="str">
        <f t="shared" si="1"/>
        <v>116428.00</v>
      </c>
      <c r="I2215" s="14" t="str">
        <f t="shared" si="2"/>
        <v>101585.00</v>
      </c>
      <c r="J2215" s="16" t="str">
        <f>TEXT(Raw_Data!J2215,"MMM-YYY")</f>
        <v>Dec-2025</v>
      </c>
      <c r="K2215" s="13" t="str">
        <f>Raw_Data!K2215</f>
        <v>9</v>
      </c>
      <c r="L2215" s="17" t="str">
        <f>Raw_Data!L2215</f>
        <v>Chandigarh-North</v>
      </c>
      <c r="M2215" s="13" t="str">
        <f t="shared" si="3"/>
        <v>OK</v>
      </c>
      <c r="N2215" s="18" t="str">
        <f t="shared" si="4"/>
        <v>VALID</v>
      </c>
    </row>
    <row r="2216" ht="15.75" customHeight="1">
      <c r="A2216" s="13" t="str">
        <f>Raw_Data!A2216</f>
        <v>EMP2336</v>
      </c>
      <c r="B2216" s="13" t="str">
        <f>TRIM(CLEAN(Raw_Data!B2216))</f>
        <v>Sales</v>
      </c>
      <c r="C2216" s="18" t="s">
        <v>54</v>
      </c>
      <c r="D2216" s="14" t="str">
        <f>IF(ISBLANK(Raw_Data!D2216),AVERAGE(Raw_Data!D$2:D$5002),Raw_Data!D2216)</f>
        <v>73568.73</v>
      </c>
      <c r="E2216" s="15" t="str">
        <f>IF(ISBLANK(Raw_Data!E2216),AVERAGE(Raw_Data!E$2:E$5002),Raw_Data!E2216)</f>
        <v>24770.61</v>
      </c>
      <c r="F2216" s="15" t="str">
        <f>IF(ISBLANK(Raw_Data!F2216),AVERAGE(Raw_Data!F$2:F$5002),Raw_Data!F2216)</f>
        <v>18111.74</v>
      </c>
      <c r="G2216" s="14" t="str">
        <f>IF(ISBLANK(Raw_Data!G2216),AVERAGE(Raw_Data!G$2:G$5002),Raw_Data!G2216)</f>
        <v>14846.46</v>
      </c>
      <c r="H2216" s="15" t="str">
        <f t="shared" si="1"/>
        <v>116451.00</v>
      </c>
      <c r="I2216" s="14" t="str">
        <f t="shared" si="2"/>
        <v>101605.00</v>
      </c>
      <c r="J2216" s="16" t="str">
        <f>TEXT(Raw_Data!J2216,"MMM-YYY")</f>
        <v>May-2025</v>
      </c>
      <c r="K2216" s="13" t="str">
        <f>Raw_Data!K2216</f>
        <v>7</v>
      </c>
      <c r="L2216" s="17" t="str">
        <f>Raw_Data!L2216</f>
        <v>Chennai-South</v>
      </c>
      <c r="M2216" s="13" t="str">
        <f t="shared" si="3"/>
        <v>OK</v>
      </c>
      <c r="N2216" s="18" t="str">
        <f t="shared" si="4"/>
        <v>VALID</v>
      </c>
    </row>
    <row r="2217" ht="15.75" customHeight="1">
      <c r="A2217" s="13" t="str">
        <f>Raw_Data!A2217</f>
        <v>EMP2337</v>
      </c>
      <c r="B2217" s="13" t="str">
        <f>TRIM(CLEAN(Raw_Data!B2217))</f>
        <v>Customer Support</v>
      </c>
      <c r="C2217" s="18" t="s">
        <v>33</v>
      </c>
      <c r="D2217" s="14" t="str">
        <f>IF(ISBLANK(Raw_Data!D2217),AVERAGE(Raw_Data!D$2:D$5002),Raw_Data!D2217)</f>
        <v>73579.61</v>
      </c>
      <c r="E2217" s="15" t="str">
        <f>IF(ISBLANK(Raw_Data!E2217),AVERAGE(Raw_Data!E$2:E$5002),Raw_Data!E2217)</f>
        <v>24775.22</v>
      </c>
      <c r="F2217" s="15" t="str">
        <f>IF(ISBLANK(Raw_Data!F2217),AVERAGE(Raw_Data!F$2:F$5002),Raw_Data!F2217)</f>
        <v>18119.42</v>
      </c>
      <c r="G2217" s="14" t="str">
        <f>IF(ISBLANK(Raw_Data!G2217),AVERAGE(Raw_Data!G$2:G$5002),Raw_Data!G2217)</f>
        <v>14849.85</v>
      </c>
      <c r="H2217" s="15" t="str">
        <f t="shared" si="1"/>
        <v>116474.00</v>
      </c>
      <c r="I2217" s="14" t="str">
        <f t="shared" si="2"/>
        <v>101624.00</v>
      </c>
      <c r="J2217" s="16" t="str">
        <f>TEXT(Raw_Data!J2217,"MMM-YYY")</f>
        <v>Apr-2025</v>
      </c>
      <c r="K2217" s="13" t="str">
        <f>Raw_Data!K2217</f>
        <v>17</v>
      </c>
      <c r="L2217" s="17" t="str">
        <f>Raw_Data!L2217</f>
        <v>Jaipur-North</v>
      </c>
      <c r="M2217" s="13" t="str">
        <f t="shared" si="3"/>
        <v>OK</v>
      </c>
      <c r="N2217" s="18" t="str">
        <f t="shared" si="4"/>
        <v>VALID</v>
      </c>
    </row>
    <row r="2218" ht="15.75" customHeight="1">
      <c r="A2218" s="13" t="str">
        <f>Raw_Data!A2218</f>
        <v>EMP2338</v>
      </c>
      <c r="B2218" s="13" t="str">
        <f>TRIM(CLEAN(Raw_Data!B2218))</f>
        <v>Operations</v>
      </c>
      <c r="C2218" s="18" t="s">
        <v>30</v>
      </c>
      <c r="D2218" s="14" t="str">
        <f>IF(ISBLANK(Raw_Data!D2218),AVERAGE(Raw_Data!D$2:D$5002),Raw_Data!D2218)</f>
        <v>73590.49</v>
      </c>
      <c r="E2218" s="15" t="str">
        <f>IF(ISBLANK(Raw_Data!E2218),AVERAGE(Raw_Data!E$2:E$5002),Raw_Data!E2218)</f>
        <v>24779.84</v>
      </c>
      <c r="F2218" s="15" t="str">
        <f>IF(ISBLANK(Raw_Data!F2218),AVERAGE(Raw_Data!F$2:F$5002),Raw_Data!F2218)</f>
        <v>18127.10</v>
      </c>
      <c r="G2218" s="14" t="str">
        <f>IF(ISBLANK(Raw_Data!G2218),AVERAGE(Raw_Data!G$2:G$5002),Raw_Data!G2218)</f>
        <v>14853.25</v>
      </c>
      <c r="H2218" s="15" t="str">
        <f t="shared" si="1"/>
        <v>116497.00</v>
      </c>
      <c r="I2218" s="14" t="str">
        <f t="shared" si="2"/>
        <v>101644.00</v>
      </c>
      <c r="J2218" s="16" t="str">
        <f>TEXT(Raw_Data!J2218,"MMM-YYY")</f>
        <v>May-2025</v>
      </c>
      <c r="K2218" s="13" t="str">
        <f>Raw_Data!K2218</f>
        <v>3</v>
      </c>
      <c r="L2218" s="17" t="str">
        <f>Raw_Data!L2218</f>
        <v>Kolkata-East</v>
      </c>
      <c r="M2218" s="13" t="str">
        <f t="shared" si="3"/>
        <v>OK</v>
      </c>
      <c r="N2218" s="18" t="str">
        <f t="shared" si="4"/>
        <v>VALID</v>
      </c>
    </row>
    <row r="2219" ht="15.75" customHeight="1">
      <c r="A2219" s="13" t="str">
        <f>Raw_Data!A2219</f>
        <v>EMP2339</v>
      </c>
      <c r="B2219" s="13" t="str">
        <f>TRIM(CLEAN(Raw_Data!B2219))</f>
        <v>Finance</v>
      </c>
      <c r="C2219" s="18" t="s">
        <v>26</v>
      </c>
      <c r="D2219" s="14" t="str">
        <f>IF(ISBLANK(Raw_Data!D2219),AVERAGE(Raw_Data!D$2:D$5002),Raw_Data!D2219)</f>
        <v>73601.38</v>
      </c>
      <c r="E2219" s="15" t="str">
        <f>IF(ISBLANK(Raw_Data!E2219),AVERAGE(Raw_Data!E$2:E$5002),Raw_Data!E2219)</f>
        <v>24784.45</v>
      </c>
      <c r="F2219" s="15" t="str">
        <f>IF(ISBLANK(Raw_Data!F2219),AVERAGE(Raw_Data!F$2:F$5002),Raw_Data!F2219)</f>
        <v>18134.78</v>
      </c>
      <c r="G2219" s="14" t="str">
        <f>IF(ISBLANK(Raw_Data!G2219),AVERAGE(Raw_Data!G$2:G$5002),Raw_Data!G2219)</f>
        <v>14856.65</v>
      </c>
      <c r="H2219" s="15" t="str">
        <f t="shared" si="1"/>
        <v>116521.00</v>
      </c>
      <c r="I2219" s="14" t="str">
        <f t="shared" si="2"/>
        <v>101664.00</v>
      </c>
      <c r="J2219" s="16" t="str">
        <f>TEXT(Raw_Data!J2219,"MMM-YYY")</f>
        <v>Aug-2025</v>
      </c>
      <c r="K2219" s="13" t="str">
        <f>Raw_Data!K2219</f>
        <v>12</v>
      </c>
      <c r="L2219" s="17" t="str">
        <f>Raw_Data!L2219</f>
        <v>Bangalore-South</v>
      </c>
      <c r="M2219" s="13" t="str">
        <f t="shared" si="3"/>
        <v>OK</v>
      </c>
      <c r="N2219" s="18" t="str">
        <f t="shared" si="4"/>
        <v>VALID</v>
      </c>
    </row>
    <row r="2220" ht="15.75" customHeight="1">
      <c r="A2220" s="13" t="str">
        <f>Raw_Data!A2220</f>
        <v>EMP2340</v>
      </c>
      <c r="B2220" s="13" t="str">
        <f>TRIM(CLEAN(Raw_Data!B2220))</f>
        <v>Sales</v>
      </c>
      <c r="C2220" s="18" t="s">
        <v>18</v>
      </c>
      <c r="D2220" s="14" t="str">
        <f>IF(ISBLANK(Raw_Data!D2220),AVERAGE(Raw_Data!D$2:D$5002),Raw_Data!D2220)</f>
        <v>73612.26</v>
      </c>
      <c r="E2220" s="15" t="str">
        <f>IF(ISBLANK(Raw_Data!E2220),AVERAGE(Raw_Data!E$2:E$5002),Raw_Data!E2220)</f>
        <v>24789.07</v>
      </c>
      <c r="F2220" s="15" t="str">
        <f>IF(ISBLANK(Raw_Data!F2220),AVERAGE(Raw_Data!F$2:F$5002),Raw_Data!F2220)</f>
        <v>18142.46</v>
      </c>
      <c r="G2220" s="14" t="str">
        <f>IF(ISBLANK(Raw_Data!G2220),AVERAGE(Raw_Data!G$2:G$5002),Raw_Data!G2220)</f>
        <v>14860.05</v>
      </c>
      <c r="H2220" s="15" t="str">
        <f t="shared" si="1"/>
        <v>116544.00</v>
      </c>
      <c r="I2220" s="14" t="str">
        <f t="shared" si="2"/>
        <v>101684.00</v>
      </c>
      <c r="J2220" s="16" t="str">
        <f>TEXT(Raw_Data!J2220,"MMM-YYY")</f>
        <v>May-2025</v>
      </c>
      <c r="K2220" s="13" t="str">
        <f>Raw_Data!K2220</f>
        <v>12</v>
      </c>
      <c r="L2220" s="17" t="str">
        <f>Raw_Data!L2220</f>
        <v>Pune-West</v>
      </c>
      <c r="M2220" s="13" t="str">
        <f t="shared" si="3"/>
        <v>OK</v>
      </c>
      <c r="N2220" s="18" t="str">
        <f t="shared" si="4"/>
        <v>VALID</v>
      </c>
    </row>
    <row r="2221" ht="15.75" customHeight="1">
      <c r="A2221" s="13" t="str">
        <f>Raw_Data!A2221</f>
        <v>EMP2341</v>
      </c>
      <c r="B2221" s="13" t="str">
        <f>TRIM(CLEAN(Raw_Data!B2221))</f>
        <v>Operations</v>
      </c>
      <c r="C2221" s="18" t="s">
        <v>37</v>
      </c>
      <c r="D2221" s="14" t="str">
        <f>IF(ISBLANK(Raw_Data!D2221),AVERAGE(Raw_Data!D$2:D$5002),Raw_Data!D2221)</f>
        <v>73623.14</v>
      </c>
      <c r="E2221" s="15" t="str">
        <f>IF(ISBLANK(Raw_Data!E2221),AVERAGE(Raw_Data!E$2:E$5002),Raw_Data!E2221)</f>
        <v>24793.68</v>
      </c>
      <c r="F2221" s="15" t="str">
        <f>IF(ISBLANK(Raw_Data!F2221),AVERAGE(Raw_Data!F$2:F$5002),Raw_Data!F2221)</f>
        <v>18150.14</v>
      </c>
      <c r="G2221" s="14" t="str">
        <f>IF(ISBLANK(Raw_Data!G2221),AVERAGE(Raw_Data!G$2:G$5002),Raw_Data!G2221)</f>
        <v>14863.45</v>
      </c>
      <c r="H2221" s="15" t="str">
        <f t="shared" si="1"/>
        <v>116567.00</v>
      </c>
      <c r="I2221" s="14" t="str">
        <f t="shared" si="2"/>
        <v>101704.00</v>
      </c>
      <c r="J2221" s="16" t="str">
        <f>TEXT(Raw_Data!J2221,"MMM-YYY")</f>
        <v>Jun-2025</v>
      </c>
      <c r="K2221" s="13" t="str">
        <f>Raw_Data!K2221</f>
        <v>10</v>
      </c>
      <c r="L2221" s="17" t="str">
        <f>Raw_Data!L2221</f>
        <v>Kolkata-East</v>
      </c>
      <c r="M2221" s="13" t="str">
        <f t="shared" si="3"/>
        <v>OK</v>
      </c>
      <c r="N2221" s="18" t="str">
        <f t="shared" si="4"/>
        <v>VALID</v>
      </c>
    </row>
    <row r="2222" ht="15.75" customHeight="1">
      <c r="A2222" s="13" t="str">
        <f>Raw_Data!A2222</f>
        <v>EMP2342</v>
      </c>
      <c r="B2222" s="13" t="str">
        <f>TRIM(CLEAN(Raw_Data!B2222))</f>
        <v>Customer Support</v>
      </c>
      <c r="C2222" s="18" t="s">
        <v>54</v>
      </c>
      <c r="D2222" s="14" t="str">
        <f>IF(ISBLANK(Raw_Data!D2222),AVERAGE(Raw_Data!D$2:D$5002),Raw_Data!D2222)</f>
        <v>73634.02</v>
      </c>
      <c r="E2222" s="15" t="str">
        <f>IF(ISBLANK(Raw_Data!E2222),AVERAGE(Raw_Data!E$2:E$5002),Raw_Data!E2222)</f>
        <v>24798.29</v>
      </c>
      <c r="F2222" s="15" t="str">
        <f>IF(ISBLANK(Raw_Data!F2222),AVERAGE(Raw_Data!F$2:F$5002),Raw_Data!F2222)</f>
        <v>18157.82</v>
      </c>
      <c r="G2222" s="14" t="str">
        <f>IF(ISBLANK(Raw_Data!G2222),AVERAGE(Raw_Data!G$2:G$5002),Raw_Data!G2222)</f>
        <v>14866.84</v>
      </c>
      <c r="H2222" s="15" t="str">
        <f t="shared" si="1"/>
        <v>116590.00</v>
      </c>
      <c r="I2222" s="14" t="str">
        <f t="shared" si="2"/>
        <v>101723.00</v>
      </c>
      <c r="J2222" s="16" t="str">
        <f>TEXT(Raw_Data!J2222,"MMM-YYY")</f>
        <v>Mar-2025</v>
      </c>
      <c r="K2222" s="13" t="str">
        <f>Raw_Data!K2222</f>
        <v>7</v>
      </c>
      <c r="L2222" s="17" t="str">
        <f>Raw_Data!L2222</f>
        <v>Hyderabad-South</v>
      </c>
      <c r="M2222" s="13" t="str">
        <f t="shared" si="3"/>
        <v>OK</v>
      </c>
      <c r="N2222" s="18" t="str">
        <f t="shared" si="4"/>
        <v>VALID</v>
      </c>
    </row>
    <row r="2223" ht="15.75" customHeight="1">
      <c r="A2223" s="13" t="str">
        <f>Raw_Data!A2223</f>
        <v>EMP2343</v>
      </c>
      <c r="B2223" s="13" t="str">
        <f>TRIM(CLEAN(Raw_Data!B2223))</f>
        <v>Sales</v>
      </c>
      <c r="C2223" s="18" t="s">
        <v>37</v>
      </c>
      <c r="D2223" s="14" t="str">
        <f>IF(ISBLANK(Raw_Data!D2223),AVERAGE(Raw_Data!D$2:D$5002),Raw_Data!D2223)</f>
        <v>73644.91</v>
      </c>
      <c r="E2223" s="15" t="str">
        <f>IF(ISBLANK(Raw_Data!E2223),AVERAGE(Raw_Data!E$2:E$5002),Raw_Data!E2223)</f>
        <v>24802.91</v>
      </c>
      <c r="F2223" s="15" t="str">
        <f>IF(ISBLANK(Raw_Data!F2223),AVERAGE(Raw_Data!F$2:F$5002),Raw_Data!F2223)</f>
        <v>18165.50</v>
      </c>
      <c r="G2223" s="14" t="str">
        <f>IF(ISBLANK(Raw_Data!G2223),AVERAGE(Raw_Data!G$2:G$5002),Raw_Data!G2223)</f>
        <v>14870.24</v>
      </c>
      <c r="H2223" s="15" t="str">
        <f t="shared" si="1"/>
        <v>116613.00</v>
      </c>
      <c r="I2223" s="14" t="str">
        <f t="shared" si="2"/>
        <v>101743.00</v>
      </c>
      <c r="J2223" s="16" t="str">
        <f>TEXT(Raw_Data!J2223,"MMM-YYY")</f>
        <v>May-2025</v>
      </c>
      <c r="K2223" s="13" t="str">
        <f>Raw_Data!K2223</f>
        <v>8</v>
      </c>
      <c r="L2223" s="17" t="str">
        <f>Raw_Data!L2223</f>
        <v>Mumbai-HO</v>
      </c>
      <c r="M2223" s="13" t="str">
        <f t="shared" si="3"/>
        <v>OK</v>
      </c>
      <c r="N2223" s="18" t="str">
        <f t="shared" si="4"/>
        <v>VALID</v>
      </c>
    </row>
    <row r="2224" ht="15.75" customHeight="1">
      <c r="A2224" s="13" t="str">
        <f>Raw_Data!A2224</f>
        <v>EMP2344</v>
      </c>
      <c r="B2224" s="13" t="str">
        <f>TRIM(CLEAN(Raw_Data!B2224))</f>
        <v>IT</v>
      </c>
      <c r="C2224" s="18" t="s">
        <v>33</v>
      </c>
      <c r="D2224" s="14" t="str">
        <f>IF(ISBLANK(Raw_Data!D2224),AVERAGE(Raw_Data!D$2:D$5002),Raw_Data!D2224)</f>
        <v>73655.79</v>
      </c>
      <c r="E2224" s="15" t="str">
        <f>IF(ISBLANK(Raw_Data!E2224),AVERAGE(Raw_Data!E$2:E$5002),Raw_Data!E2224)</f>
        <v>24807.52</v>
      </c>
      <c r="F2224" s="15" t="str">
        <f>IF(ISBLANK(Raw_Data!F2224),AVERAGE(Raw_Data!F$2:F$5002),Raw_Data!F2224)</f>
        <v>18173.18</v>
      </c>
      <c r="G2224" s="14" t="str">
        <f>IF(ISBLANK(Raw_Data!G2224),AVERAGE(Raw_Data!G$2:G$5002),Raw_Data!G2224)</f>
        <v>14873.64</v>
      </c>
      <c r="H2224" s="15" t="str">
        <f t="shared" si="1"/>
        <v>116636.00</v>
      </c>
      <c r="I2224" s="14" t="str">
        <f t="shared" si="2"/>
        <v>101762.00</v>
      </c>
      <c r="J2224" s="16" t="str">
        <f>TEXT(Raw_Data!J2224,"MMM-YYY")</f>
        <v>Jun-2025</v>
      </c>
      <c r="K2224" s="13" t="str">
        <f>Raw_Data!K2224</f>
        <v>2</v>
      </c>
      <c r="L2224" s="17" t="str">
        <f>Raw_Data!L2224</f>
        <v>Jaipur-North</v>
      </c>
      <c r="M2224" s="13" t="str">
        <f t="shared" si="3"/>
        <v>OK</v>
      </c>
      <c r="N2224" s="18" t="str">
        <f t="shared" si="4"/>
        <v>VALID</v>
      </c>
    </row>
    <row r="2225" ht="15.75" customHeight="1">
      <c r="A2225" s="13" t="str">
        <f>Raw_Data!A2225</f>
        <v>EMP2345</v>
      </c>
      <c r="B2225" s="13" t="str">
        <f>TRIM(CLEAN(Raw_Data!B2225))</f>
        <v>Finance</v>
      </c>
      <c r="C2225" s="18" t="s">
        <v>14</v>
      </c>
      <c r="D2225" s="14" t="str">
        <f>IF(ISBLANK(Raw_Data!D2225),AVERAGE(Raw_Data!D$2:D$5002),Raw_Data!D2225)</f>
        <v>73666.67</v>
      </c>
      <c r="E2225" s="15" t="str">
        <f>IF(ISBLANK(Raw_Data!E2225),AVERAGE(Raw_Data!E$2:E$5002),Raw_Data!E2225)</f>
        <v>24812.14</v>
      </c>
      <c r="F2225" s="15" t="str">
        <f>IF(ISBLANK(Raw_Data!F2225),AVERAGE(Raw_Data!F$2:F$5002),Raw_Data!F2225)</f>
        <v>18180.86</v>
      </c>
      <c r="G2225" s="14" t="str">
        <f>IF(ISBLANK(Raw_Data!G2225),AVERAGE(Raw_Data!G$2:G$5002),Raw_Data!G2225)</f>
        <v>14877.04</v>
      </c>
      <c r="H2225" s="15" t="str">
        <f t="shared" si="1"/>
        <v>116660.00</v>
      </c>
      <c r="I2225" s="14" t="str">
        <f t="shared" si="2"/>
        <v>101783.00</v>
      </c>
      <c r="J2225" s="16" t="str">
        <f>TEXT(Raw_Data!J2225,"MMM-YYY")</f>
        <v>Dec-2025</v>
      </c>
      <c r="K2225" s="13" t="str">
        <f>Raw_Data!K2225</f>
        <v>24</v>
      </c>
      <c r="L2225" s="17" t="str">
        <f>Raw_Data!L2225</f>
        <v>Mumbai-HO</v>
      </c>
      <c r="M2225" s="13" t="str">
        <f t="shared" si="3"/>
        <v>OK</v>
      </c>
      <c r="N2225" s="18" t="str">
        <f t="shared" si="4"/>
        <v>VALID</v>
      </c>
    </row>
    <row r="2226" ht="15.75" customHeight="1">
      <c r="A2226" s="13" t="str">
        <f>Raw_Data!A2226</f>
        <v>EMP2346</v>
      </c>
      <c r="B2226" s="13" t="str">
        <f>TRIM(CLEAN(Raw_Data!B2226))</f>
        <v>Sales</v>
      </c>
      <c r="C2226" s="18" t="s">
        <v>14</v>
      </c>
      <c r="D2226" s="14" t="str">
        <f>IF(ISBLANK(Raw_Data!D2226),AVERAGE(Raw_Data!D$2:D$5002),Raw_Data!D2226)</f>
        <v>71831.17</v>
      </c>
      <c r="E2226" s="15" t="str">
        <f>IF(ISBLANK(Raw_Data!E2226),AVERAGE(Raw_Data!E$2:E$5002),Raw_Data!E2226)</f>
        <v>24816.75</v>
      </c>
      <c r="F2226" s="15" t="str">
        <f>IF(ISBLANK(Raw_Data!F2226),AVERAGE(Raw_Data!F$2:F$5002),Raw_Data!F2226)</f>
        <v>18188.54</v>
      </c>
      <c r="G2226" s="14" t="str">
        <f>IF(ISBLANK(Raw_Data!G2226),AVERAGE(Raw_Data!G$2:G$5002),Raw_Data!G2226)</f>
        <v>14880.43</v>
      </c>
      <c r="H2226" s="15" t="str">
        <f t="shared" si="1"/>
        <v>114836.00</v>
      </c>
      <c r="I2226" s="14" t="str">
        <f t="shared" si="2"/>
        <v>99956.00</v>
      </c>
      <c r="J2226" s="16" t="str">
        <f>TEXT(Raw_Data!J2226,"MMM-YYY")</f>
        <v>Jun-2025</v>
      </c>
      <c r="K2226" s="13" t="str">
        <f>Raw_Data!K2226</f>
        <v>5</v>
      </c>
      <c r="L2226" s="17" t="str">
        <f>Raw_Data!L2226</f>
        <v>Chennai-South</v>
      </c>
      <c r="M2226" s="13" t="str">
        <f t="shared" si="3"/>
        <v>OK</v>
      </c>
      <c r="N2226" s="18" t="str">
        <f t="shared" si="4"/>
        <v>VALID</v>
      </c>
    </row>
    <row r="2227" ht="15.75" customHeight="1">
      <c r="A2227" s="13" t="str">
        <f>Raw_Data!A2227</f>
        <v>EMP2347</v>
      </c>
      <c r="B2227" s="13" t="str">
        <f>TRIM(CLEAN(Raw_Data!B2227))</f>
        <v>IT</v>
      </c>
      <c r="C2227" s="18" t="s">
        <v>30</v>
      </c>
      <c r="D2227" s="14" t="str">
        <f>IF(ISBLANK(Raw_Data!D2227),AVERAGE(Raw_Data!D$2:D$5002),Raw_Data!D2227)</f>
        <v>73688.44</v>
      </c>
      <c r="E2227" s="15" t="str">
        <f>IF(ISBLANK(Raw_Data!E2227),AVERAGE(Raw_Data!E$2:E$5002),Raw_Data!E2227)</f>
        <v>24821.37</v>
      </c>
      <c r="F2227" s="15" t="str">
        <f>IF(ISBLANK(Raw_Data!F2227),AVERAGE(Raw_Data!F$2:F$5002),Raw_Data!F2227)</f>
        <v>18196.22</v>
      </c>
      <c r="G2227" s="14" t="str">
        <f>IF(ISBLANK(Raw_Data!G2227),AVERAGE(Raw_Data!G$2:G$5002),Raw_Data!G2227)</f>
        <v>14883.83</v>
      </c>
      <c r="H2227" s="15" t="str">
        <f t="shared" si="1"/>
        <v>116706.00</v>
      </c>
      <c r="I2227" s="14" t="str">
        <f t="shared" si="2"/>
        <v>101822.00</v>
      </c>
      <c r="J2227" s="16" t="str">
        <f>TEXT(Raw_Data!J2227,"MMM-YYY")</f>
        <v>Dec-2025</v>
      </c>
      <c r="K2227" s="13" t="str">
        <f>Raw_Data!K2227</f>
        <v>14</v>
      </c>
      <c r="L2227" s="17" t="str">
        <f>Raw_Data!L2227</f>
        <v>Chandigarh-North</v>
      </c>
      <c r="M2227" s="13" t="str">
        <f t="shared" si="3"/>
        <v>OK</v>
      </c>
      <c r="N2227" s="18" t="str">
        <f t="shared" si="4"/>
        <v>VALID</v>
      </c>
    </row>
    <row r="2228" ht="15.75" customHeight="1">
      <c r="A2228" s="13" t="str">
        <f>Raw_Data!A2228</f>
        <v>EMP2348</v>
      </c>
      <c r="B2228" s="13" t="str">
        <f>TRIM(CLEAN(Raw_Data!B2228))</f>
        <v>Customer Support</v>
      </c>
      <c r="C2228" s="18" t="s">
        <v>33</v>
      </c>
      <c r="D2228" s="14" t="str">
        <f>IF(ISBLANK(Raw_Data!D2228),AVERAGE(Raw_Data!D$2:D$5002),Raw_Data!D2228)</f>
        <v>73699.32</v>
      </c>
      <c r="E2228" s="15" t="str">
        <f>IF(ISBLANK(Raw_Data!E2228),AVERAGE(Raw_Data!E$2:E$5002),Raw_Data!E2228)</f>
        <v>24825.98</v>
      </c>
      <c r="F2228" s="15" t="str">
        <f>IF(ISBLANK(Raw_Data!F2228),AVERAGE(Raw_Data!F$2:F$5002),Raw_Data!F2228)</f>
        <v>18203.90</v>
      </c>
      <c r="G2228" s="14" t="str">
        <f>IF(ISBLANK(Raw_Data!G2228),AVERAGE(Raw_Data!G$2:G$5002),Raw_Data!G2228)</f>
        <v>14887.23</v>
      </c>
      <c r="H2228" s="15" t="str">
        <f t="shared" si="1"/>
        <v>116729.00</v>
      </c>
      <c r="I2228" s="14" t="str">
        <f t="shared" si="2"/>
        <v>101842.00</v>
      </c>
      <c r="J2228" s="16" t="str">
        <f>TEXT(Raw_Data!J2228,"MMM-YYY")</f>
        <v>Jun-2025</v>
      </c>
      <c r="K2228" s="13" t="str">
        <f>Raw_Data!K2228</f>
        <v>16</v>
      </c>
      <c r="L2228" s="17" t="str">
        <f>Raw_Data!L2228</f>
        <v>Chennai-South</v>
      </c>
      <c r="M2228" s="13" t="str">
        <f t="shared" si="3"/>
        <v>OK</v>
      </c>
      <c r="N2228" s="18" t="str">
        <f t="shared" si="4"/>
        <v>VALID</v>
      </c>
    </row>
    <row r="2229" ht="15.75" customHeight="1">
      <c r="A2229" s="13" t="str">
        <f>Raw_Data!A2229</f>
        <v>EMP2349</v>
      </c>
      <c r="B2229" s="13" t="str">
        <f>TRIM(CLEAN(Raw_Data!B2229))</f>
        <v>Operations</v>
      </c>
      <c r="C2229" s="18" t="s">
        <v>14</v>
      </c>
      <c r="D2229" s="14" t="str">
        <f>IF(ISBLANK(Raw_Data!D2229),AVERAGE(Raw_Data!D$2:D$5002),Raw_Data!D2229)</f>
        <v>73710.21</v>
      </c>
      <c r="E2229" s="15" t="str">
        <f>IF(ISBLANK(Raw_Data!E2229),AVERAGE(Raw_Data!E$2:E$5002),Raw_Data!E2229)</f>
        <v>24830.60</v>
      </c>
      <c r="F2229" s="15" t="str">
        <f>IF(ISBLANK(Raw_Data!F2229),AVERAGE(Raw_Data!F$2:F$5002),Raw_Data!F2229)</f>
        <v>18211.58</v>
      </c>
      <c r="G2229" s="14" t="str">
        <f>IF(ISBLANK(Raw_Data!G2229),AVERAGE(Raw_Data!G$2:G$5002),Raw_Data!G2229)</f>
        <v>14890.63</v>
      </c>
      <c r="H2229" s="15" t="str">
        <f t="shared" si="1"/>
        <v>116752.00</v>
      </c>
      <c r="I2229" s="14" t="str">
        <f t="shared" si="2"/>
        <v>101861.00</v>
      </c>
      <c r="J2229" s="16" t="str">
        <f>TEXT(Raw_Data!J2229,"MMM-YYY")</f>
        <v>Aug-2025</v>
      </c>
      <c r="K2229" s="13" t="str">
        <f>Raw_Data!K2229</f>
        <v>7</v>
      </c>
      <c r="L2229" s="17" t="str">
        <f>Raw_Data!L2229</f>
        <v>Hyderabad-South</v>
      </c>
      <c r="M2229" s="13" t="str">
        <f t="shared" si="3"/>
        <v>OK</v>
      </c>
      <c r="N2229" s="18" t="str">
        <f t="shared" si="4"/>
        <v>VALID</v>
      </c>
    </row>
    <row r="2230" ht="15.75" customHeight="1">
      <c r="A2230" s="13" t="str">
        <f>Raw_Data!A2230</f>
        <v>EMP2350</v>
      </c>
      <c r="B2230" s="13" t="str">
        <f>TRIM(CLEAN(Raw_Data!B2230))</f>
        <v>IT</v>
      </c>
      <c r="C2230" s="18" t="s">
        <v>30</v>
      </c>
      <c r="D2230" s="14" t="str">
        <f>IF(ISBLANK(Raw_Data!D2230),AVERAGE(Raw_Data!D$2:D$5002),Raw_Data!D2230)</f>
        <v>73721.09</v>
      </c>
      <c r="E2230" s="15" t="str">
        <f>IF(ISBLANK(Raw_Data!E2230),AVERAGE(Raw_Data!E$2:E$5002),Raw_Data!E2230)</f>
        <v>24835.21</v>
      </c>
      <c r="F2230" s="15" t="str">
        <f>IF(ISBLANK(Raw_Data!F2230),AVERAGE(Raw_Data!F$2:F$5002),Raw_Data!F2230)</f>
        <v>18219.26</v>
      </c>
      <c r="G2230" s="14" t="str">
        <f>IF(ISBLANK(Raw_Data!G2230),AVERAGE(Raw_Data!G$2:G$5002),Raw_Data!G2230)</f>
        <v>14894.02</v>
      </c>
      <c r="H2230" s="15" t="str">
        <f t="shared" si="1"/>
        <v>116776.00</v>
      </c>
      <c r="I2230" s="14" t="str">
        <f t="shared" si="2"/>
        <v>101882.00</v>
      </c>
      <c r="J2230" s="16" t="str">
        <f>TEXT(Raw_Data!J2230,"MMM-YYY")</f>
        <v>May-2025</v>
      </c>
      <c r="K2230" s="13" t="str">
        <f>Raw_Data!K2230</f>
        <v>24</v>
      </c>
      <c r="L2230" s="17" t="str">
        <f>Raw_Data!L2230</f>
        <v>Chandigarh-North</v>
      </c>
      <c r="M2230" s="13" t="str">
        <f t="shared" si="3"/>
        <v>OK</v>
      </c>
      <c r="N2230" s="18" t="str">
        <f t="shared" si="4"/>
        <v>VALID</v>
      </c>
    </row>
    <row r="2231" ht="15.75" customHeight="1">
      <c r="A2231" s="13" t="str">
        <f>Raw_Data!A2231</f>
        <v>EMP2351</v>
      </c>
      <c r="B2231" s="13" t="str">
        <f>TRIM(CLEAN(Raw_Data!B2231))</f>
        <v>Finance</v>
      </c>
      <c r="C2231" s="18" t="s">
        <v>37</v>
      </c>
      <c r="D2231" s="14" t="str">
        <f>IF(ISBLANK(Raw_Data!D2231),AVERAGE(Raw_Data!D$2:D$5002),Raw_Data!D2231)</f>
        <v>73731.97</v>
      </c>
      <c r="E2231" s="15" t="str">
        <f>IF(ISBLANK(Raw_Data!E2231),AVERAGE(Raw_Data!E$2:E$5002),Raw_Data!E2231)</f>
        <v>24839.83</v>
      </c>
      <c r="F2231" s="15" t="str">
        <f>IF(ISBLANK(Raw_Data!F2231),AVERAGE(Raw_Data!F$2:F$5002),Raw_Data!F2231)</f>
        <v>18226.94</v>
      </c>
      <c r="G2231" s="14" t="str">
        <f>IF(ISBLANK(Raw_Data!G2231),AVERAGE(Raw_Data!G$2:G$5002),Raw_Data!G2231)</f>
        <v>14897.42</v>
      </c>
      <c r="H2231" s="15" t="str">
        <f t="shared" si="1"/>
        <v>116799.00</v>
      </c>
      <c r="I2231" s="14" t="str">
        <f t="shared" si="2"/>
        <v>101902.00</v>
      </c>
      <c r="J2231" s="16" t="str">
        <f>TEXT(Raw_Data!J2231,"MMM-YYY")</f>
        <v>Jul-2025</v>
      </c>
      <c r="K2231" s="13" t="str">
        <f>Raw_Data!K2231</f>
        <v>3</v>
      </c>
      <c r="L2231" s="17" t="str">
        <f>Raw_Data!L2231</f>
        <v>Chandigarh-North</v>
      </c>
      <c r="M2231" s="13" t="str">
        <f t="shared" si="3"/>
        <v>OK</v>
      </c>
      <c r="N2231" s="18" t="str">
        <f t="shared" si="4"/>
        <v>VALID</v>
      </c>
    </row>
    <row r="2232" ht="15.75" customHeight="1">
      <c r="A2232" s="13" t="str">
        <f>Raw_Data!A2232</f>
        <v>EMP2352</v>
      </c>
      <c r="B2232" s="13" t="str">
        <f>TRIM(CLEAN(Raw_Data!B2232))</f>
        <v>Sales</v>
      </c>
      <c r="C2232" s="18" t="s">
        <v>33</v>
      </c>
      <c r="D2232" s="14" t="str">
        <f>IF(ISBLANK(Raw_Data!D2232),AVERAGE(Raw_Data!D$2:D$5002),Raw_Data!D2232)</f>
        <v>73742.85</v>
      </c>
      <c r="E2232" s="15" t="str">
        <f>IF(ISBLANK(Raw_Data!E2232),AVERAGE(Raw_Data!E$2:E$5002),Raw_Data!E2232)</f>
        <v>24844.44</v>
      </c>
      <c r="F2232" s="15" t="str">
        <f>IF(ISBLANK(Raw_Data!F2232),AVERAGE(Raw_Data!F$2:F$5002),Raw_Data!F2232)</f>
        <v>18234.62</v>
      </c>
      <c r="G2232" s="14" t="str">
        <f>IF(ISBLANK(Raw_Data!G2232),AVERAGE(Raw_Data!G$2:G$5002),Raw_Data!G2232)</f>
        <v>14900.82</v>
      </c>
      <c r="H2232" s="15" t="str">
        <f t="shared" si="1"/>
        <v>116822.00</v>
      </c>
      <c r="I2232" s="14" t="str">
        <f t="shared" si="2"/>
        <v>101921.00</v>
      </c>
      <c r="J2232" s="16" t="str">
        <f>TEXT(Raw_Data!J2232,"MMM-YYY")</f>
        <v>Oct-2025</v>
      </c>
      <c r="K2232" s="13" t="str">
        <f>Raw_Data!K2232</f>
        <v>17</v>
      </c>
      <c r="L2232" s="17" t="str">
        <f>Raw_Data!L2232</f>
        <v>Delhi-North</v>
      </c>
      <c r="M2232" s="13" t="str">
        <f t="shared" si="3"/>
        <v>OK</v>
      </c>
      <c r="N2232" s="18" t="str">
        <f t="shared" si="4"/>
        <v>VALID</v>
      </c>
    </row>
    <row r="2233" ht="15.75" customHeight="1">
      <c r="A2233" s="13" t="str">
        <f>Raw_Data!A2233</f>
        <v>EMP2353</v>
      </c>
      <c r="B2233" s="13" t="str">
        <f>TRIM(CLEAN(Raw_Data!B2233))</f>
        <v>IT</v>
      </c>
      <c r="C2233" s="18" t="s">
        <v>54</v>
      </c>
      <c r="D2233" s="14" t="str">
        <f>IF(ISBLANK(Raw_Data!D2233),AVERAGE(Raw_Data!D$2:D$5002),Raw_Data!D2233)</f>
        <v>73753.74</v>
      </c>
      <c r="E2233" s="15" t="str">
        <f>IF(ISBLANK(Raw_Data!E2233),AVERAGE(Raw_Data!E$2:E$5002),Raw_Data!E2233)</f>
        <v>24849.06</v>
      </c>
      <c r="F2233" s="15" t="str">
        <f>IF(ISBLANK(Raw_Data!F2233),AVERAGE(Raw_Data!F$2:F$5002),Raw_Data!F2233)</f>
        <v>18242.30</v>
      </c>
      <c r="G2233" s="14" t="str">
        <f>IF(ISBLANK(Raw_Data!G2233),AVERAGE(Raw_Data!G$2:G$5002),Raw_Data!G2233)</f>
        <v>14904.22</v>
      </c>
      <c r="H2233" s="15" t="str">
        <f t="shared" si="1"/>
        <v>116845.00</v>
      </c>
      <c r="I2233" s="14" t="str">
        <f t="shared" si="2"/>
        <v>101941.00</v>
      </c>
      <c r="J2233" s="16" t="str">
        <f>TEXT(Raw_Data!J2233,"MMM-YYY")</f>
        <v>Jul-2025</v>
      </c>
      <c r="K2233" s="13" t="str">
        <f>Raw_Data!K2233</f>
        <v>16</v>
      </c>
      <c r="L2233" s="17" t="str">
        <f>Raw_Data!L2233</f>
        <v>Mumbai-HO</v>
      </c>
      <c r="M2233" s="13" t="str">
        <f t="shared" si="3"/>
        <v>OK</v>
      </c>
      <c r="N2233" s="18" t="str">
        <f t="shared" si="4"/>
        <v>VALID</v>
      </c>
    </row>
    <row r="2234" ht="15.75" customHeight="1">
      <c r="A2234" s="13" t="str">
        <f>Raw_Data!A2234</f>
        <v>EMP2354</v>
      </c>
      <c r="B2234" s="13" t="str">
        <f>TRIM(CLEAN(Raw_Data!B2234))</f>
        <v>Customer Support</v>
      </c>
      <c r="C2234" s="18" t="s">
        <v>14</v>
      </c>
      <c r="D2234" s="14" t="str">
        <f>IF(ISBLANK(Raw_Data!D2234),AVERAGE(Raw_Data!D$2:D$5002),Raw_Data!D2234)</f>
        <v>73764.62</v>
      </c>
      <c r="E2234" s="15" t="str">
        <f>IF(ISBLANK(Raw_Data!E2234),AVERAGE(Raw_Data!E$2:E$5002),Raw_Data!E2234)</f>
        <v>24853.67</v>
      </c>
      <c r="F2234" s="15" t="str">
        <f>IF(ISBLANK(Raw_Data!F2234),AVERAGE(Raw_Data!F$2:F$5002),Raw_Data!F2234)</f>
        <v>18249.98</v>
      </c>
      <c r="G2234" s="14" t="str">
        <f>IF(ISBLANK(Raw_Data!G2234),AVERAGE(Raw_Data!G$2:G$5002),Raw_Data!G2234)</f>
        <v>14907.61</v>
      </c>
      <c r="H2234" s="15" t="str">
        <f t="shared" si="1"/>
        <v>116868.00</v>
      </c>
      <c r="I2234" s="14" t="str">
        <f t="shared" si="2"/>
        <v>101960.00</v>
      </c>
      <c r="J2234" s="16" t="str">
        <f>TEXT(Raw_Data!J2234,"MMM-YYY")</f>
        <v>Jul-2025</v>
      </c>
      <c r="K2234" s="13" t="str">
        <f>Raw_Data!K2234</f>
        <v>6</v>
      </c>
      <c r="L2234" s="17" t="str">
        <f>Raw_Data!L2234</f>
        <v>Kolkata-East</v>
      </c>
      <c r="M2234" s="13" t="str">
        <f t="shared" si="3"/>
        <v>OK</v>
      </c>
      <c r="N2234" s="18" t="str">
        <f t="shared" si="4"/>
        <v>VALID</v>
      </c>
    </row>
    <row r="2235" ht="15.75" customHeight="1">
      <c r="A2235" s="13" t="str">
        <f>Raw_Data!A2235</f>
        <v>EMP2355</v>
      </c>
      <c r="B2235" s="13" t="str">
        <f>TRIM(CLEAN(Raw_Data!B2235))</f>
        <v>Marketing</v>
      </c>
      <c r="C2235" s="18" t="s">
        <v>18</v>
      </c>
      <c r="D2235" s="14" t="str">
        <f>IF(ISBLANK(Raw_Data!D2235),AVERAGE(Raw_Data!D$2:D$5002),Raw_Data!D2235)</f>
        <v>71831.17</v>
      </c>
      <c r="E2235" s="15" t="str">
        <f>IF(ISBLANK(Raw_Data!E2235),AVERAGE(Raw_Data!E$2:E$5002),Raw_Data!E2235)</f>
        <v>24858.29</v>
      </c>
      <c r="F2235" s="15" t="str">
        <f>IF(ISBLANK(Raw_Data!F2235),AVERAGE(Raw_Data!F$2:F$5002),Raw_Data!F2235)</f>
        <v>18257.66</v>
      </c>
      <c r="G2235" s="14" t="str">
        <f>IF(ISBLANK(Raw_Data!G2235),AVERAGE(Raw_Data!G$2:G$5002),Raw_Data!G2235)</f>
        <v>14911.01</v>
      </c>
      <c r="H2235" s="15" t="str">
        <f t="shared" si="1"/>
        <v>114947.00</v>
      </c>
      <c r="I2235" s="14" t="str">
        <f t="shared" si="2"/>
        <v>100036.00</v>
      </c>
      <c r="J2235" s="16" t="str">
        <f>TEXT(Raw_Data!J2235,"MMM-YYY")</f>
        <v>Jan-2025</v>
      </c>
      <c r="K2235" s="13" t="str">
        <f>Raw_Data!K2235</f>
        <v>24</v>
      </c>
      <c r="L2235" s="17" t="str">
        <f>Raw_Data!L2235</f>
        <v>Bangalore-South</v>
      </c>
      <c r="M2235" s="13" t="str">
        <f t="shared" si="3"/>
        <v>OK</v>
      </c>
      <c r="N2235" s="18" t="str">
        <f t="shared" si="4"/>
        <v>VALID</v>
      </c>
    </row>
    <row r="2236" ht="15.75" customHeight="1">
      <c r="A2236" s="13" t="str">
        <f>Raw_Data!A2236</f>
        <v>EMP2356</v>
      </c>
      <c r="B2236" s="13" t="str">
        <f>TRIM(CLEAN(Raw_Data!B2236))</f>
        <v>Marketing</v>
      </c>
      <c r="C2236" s="18" t="s">
        <v>54</v>
      </c>
      <c r="D2236" s="14" t="str">
        <f>IF(ISBLANK(Raw_Data!D2236),AVERAGE(Raw_Data!D$2:D$5002),Raw_Data!D2236)</f>
        <v>73786.39</v>
      </c>
      <c r="E2236" s="15" t="str">
        <f>IF(ISBLANK(Raw_Data!E2236),AVERAGE(Raw_Data!E$2:E$5002),Raw_Data!E2236)</f>
        <v>24862.90</v>
      </c>
      <c r="F2236" s="15" t="str">
        <f>IF(ISBLANK(Raw_Data!F2236),AVERAGE(Raw_Data!F$2:F$5002),Raw_Data!F2236)</f>
        <v>18265.34</v>
      </c>
      <c r="G2236" s="14" t="str">
        <f>IF(ISBLANK(Raw_Data!G2236),AVERAGE(Raw_Data!G$2:G$5002),Raw_Data!G2236)</f>
        <v>14914.41</v>
      </c>
      <c r="H2236" s="15" t="str">
        <f t="shared" si="1"/>
        <v>116915.00</v>
      </c>
      <c r="I2236" s="14" t="str">
        <f t="shared" si="2"/>
        <v>102001.00</v>
      </c>
      <c r="J2236" s="16" t="str">
        <f>TEXT(Raw_Data!J2236,"MMM-YYY")</f>
        <v>Jul-2025</v>
      </c>
      <c r="K2236" s="13" t="str">
        <f>Raw_Data!K2236</f>
        <v>5</v>
      </c>
      <c r="L2236" s="17" t="str">
        <f>Raw_Data!L2236</f>
        <v>Pune-West</v>
      </c>
      <c r="M2236" s="13" t="str">
        <f t="shared" si="3"/>
        <v>OK</v>
      </c>
      <c r="N2236" s="18" t="str">
        <f t="shared" si="4"/>
        <v>VALID</v>
      </c>
    </row>
    <row r="2237" ht="15.75" customHeight="1">
      <c r="A2237" s="13" t="str">
        <f>Raw_Data!A2237</f>
        <v>EMP2357</v>
      </c>
      <c r="B2237" s="13" t="str">
        <f>TRIM(CLEAN(Raw_Data!B2237))</f>
        <v>Marketing</v>
      </c>
      <c r="C2237" s="18" t="s">
        <v>26</v>
      </c>
      <c r="D2237" s="14" t="str">
        <f>IF(ISBLANK(Raw_Data!D2237),AVERAGE(Raw_Data!D$2:D$5002),Raw_Data!D2237)</f>
        <v>73797.27</v>
      </c>
      <c r="E2237" s="15" t="str">
        <f>IF(ISBLANK(Raw_Data!E2237),AVERAGE(Raw_Data!E$2:E$5002),Raw_Data!E2237)</f>
        <v>24867.52</v>
      </c>
      <c r="F2237" s="15" t="str">
        <f>IF(ISBLANK(Raw_Data!F2237),AVERAGE(Raw_Data!F$2:F$5002),Raw_Data!F2237)</f>
        <v>18273.02</v>
      </c>
      <c r="G2237" s="14" t="str">
        <f>IF(ISBLANK(Raw_Data!G2237),AVERAGE(Raw_Data!G$2:G$5002),Raw_Data!G2237)</f>
        <v>14917.81</v>
      </c>
      <c r="H2237" s="15" t="str">
        <f t="shared" si="1"/>
        <v>116938.00</v>
      </c>
      <c r="I2237" s="14" t="str">
        <f t="shared" si="2"/>
        <v>102020.00</v>
      </c>
      <c r="J2237" s="16" t="str">
        <f>TEXT(Raw_Data!J2237,"MMM-YYY")</f>
        <v>Jan-2025</v>
      </c>
      <c r="K2237" s="13" t="str">
        <f>Raw_Data!K2237</f>
        <v>15</v>
      </c>
      <c r="L2237" s="17" t="str">
        <f>Raw_Data!L2237</f>
        <v>Bangalore-South</v>
      </c>
      <c r="M2237" s="13" t="str">
        <f t="shared" si="3"/>
        <v>OK</v>
      </c>
      <c r="N2237" s="18" t="str">
        <f t="shared" si="4"/>
        <v>VALID</v>
      </c>
    </row>
    <row r="2238" ht="15.75" customHeight="1">
      <c r="A2238" s="13" t="str">
        <f>Raw_Data!A2238</f>
        <v>EMP2358</v>
      </c>
      <c r="B2238" s="13" t="str">
        <f>TRIM(CLEAN(Raw_Data!B2238))</f>
        <v>Customer Support</v>
      </c>
      <c r="C2238" s="18" t="s">
        <v>14</v>
      </c>
      <c r="D2238" s="14" t="str">
        <f>IF(ISBLANK(Raw_Data!D2238),AVERAGE(Raw_Data!D$2:D$5002),Raw_Data!D2238)</f>
        <v>73808.15</v>
      </c>
      <c r="E2238" s="15" t="str">
        <f>IF(ISBLANK(Raw_Data!E2238),AVERAGE(Raw_Data!E$2:E$5002),Raw_Data!E2238)</f>
        <v>24872.13</v>
      </c>
      <c r="F2238" s="15" t="str">
        <f>IF(ISBLANK(Raw_Data!F2238),AVERAGE(Raw_Data!F$2:F$5002),Raw_Data!F2238)</f>
        <v>18280.70</v>
      </c>
      <c r="G2238" s="14" t="str">
        <f>IF(ISBLANK(Raw_Data!G2238),AVERAGE(Raw_Data!G$2:G$5002),Raw_Data!G2238)</f>
        <v>14921.20</v>
      </c>
      <c r="H2238" s="15" t="str">
        <f t="shared" si="1"/>
        <v>116961.00</v>
      </c>
      <c r="I2238" s="14" t="str">
        <f t="shared" si="2"/>
        <v>102040.00</v>
      </c>
      <c r="J2238" s="16" t="str">
        <f>TEXT(Raw_Data!J2238,"MMM-YYY")</f>
        <v>Jul-2025</v>
      </c>
      <c r="K2238" s="13" t="str">
        <f>Raw_Data!K2238</f>
        <v>11</v>
      </c>
      <c r="L2238" s="17" t="str">
        <f>Raw_Data!L2238</f>
        <v>Jaipur-North</v>
      </c>
      <c r="M2238" s="13" t="str">
        <f t="shared" si="3"/>
        <v>OK</v>
      </c>
      <c r="N2238" s="18" t="str">
        <f t="shared" si="4"/>
        <v>VALID</v>
      </c>
    </row>
    <row r="2239" ht="15.75" customHeight="1">
      <c r="A2239" s="13" t="str">
        <f>Raw_Data!A2239</f>
        <v>EMP2359</v>
      </c>
      <c r="B2239" s="13" t="str">
        <f>TRIM(CLEAN(Raw_Data!B2239))</f>
        <v>Operations</v>
      </c>
      <c r="C2239" s="18" t="s">
        <v>37</v>
      </c>
      <c r="D2239" s="14" t="str">
        <f>IF(ISBLANK(Raw_Data!D2239),AVERAGE(Raw_Data!D$2:D$5002),Raw_Data!D2239)</f>
        <v>73819.04</v>
      </c>
      <c r="E2239" s="15" t="str">
        <f>IF(ISBLANK(Raw_Data!E2239),AVERAGE(Raw_Data!E$2:E$5002),Raw_Data!E2239)</f>
        <v>24876.74</v>
      </c>
      <c r="F2239" s="15" t="str">
        <f>IF(ISBLANK(Raw_Data!F2239),AVERAGE(Raw_Data!F$2:F$5002),Raw_Data!F2239)</f>
        <v>18288.38</v>
      </c>
      <c r="G2239" s="14" t="str">
        <f>IF(ISBLANK(Raw_Data!G2239),AVERAGE(Raw_Data!G$2:G$5002),Raw_Data!G2239)</f>
        <v>14924.60</v>
      </c>
      <c r="H2239" s="15" t="str">
        <f t="shared" si="1"/>
        <v>116984.00</v>
      </c>
      <c r="I2239" s="14" t="str">
        <f t="shared" si="2"/>
        <v>102059.00</v>
      </c>
      <c r="J2239" s="16" t="str">
        <f>TEXT(Raw_Data!J2239,"MMM-YYY")</f>
        <v>Jun-2025</v>
      </c>
      <c r="K2239" s="13" t="str">
        <f>Raw_Data!K2239</f>
        <v>5</v>
      </c>
      <c r="L2239" s="17" t="str">
        <f>Raw_Data!L2239</f>
        <v>Bangalore-South</v>
      </c>
      <c r="M2239" s="13" t="str">
        <f t="shared" si="3"/>
        <v>OK</v>
      </c>
      <c r="N2239" s="18" t="str">
        <f t="shared" si="4"/>
        <v>VALID</v>
      </c>
    </row>
    <row r="2240" ht="15.75" customHeight="1">
      <c r="A2240" s="13" t="str">
        <f>Raw_Data!A2240</f>
        <v>EMP2360</v>
      </c>
      <c r="B2240" s="13" t="str">
        <f>TRIM(CLEAN(Raw_Data!B2240))</f>
        <v>Sales</v>
      </c>
      <c r="C2240" s="18" t="s">
        <v>37</v>
      </c>
      <c r="D2240" s="14" t="str">
        <f>IF(ISBLANK(Raw_Data!D2240),AVERAGE(Raw_Data!D$2:D$5002),Raw_Data!D2240)</f>
        <v>73829.92</v>
      </c>
      <c r="E2240" s="15" t="str">
        <f>IF(ISBLANK(Raw_Data!E2240),AVERAGE(Raw_Data!E$2:E$5002),Raw_Data!E2240)</f>
        <v>24881.36</v>
      </c>
      <c r="F2240" s="15" t="str">
        <f>IF(ISBLANK(Raw_Data!F2240),AVERAGE(Raw_Data!F$2:F$5002),Raw_Data!F2240)</f>
        <v>18296.06</v>
      </c>
      <c r="G2240" s="14" t="str">
        <f>IF(ISBLANK(Raw_Data!G2240),AVERAGE(Raw_Data!G$2:G$5002),Raw_Data!G2240)</f>
        <v>14928.00</v>
      </c>
      <c r="H2240" s="15" t="str">
        <f t="shared" si="1"/>
        <v>117007.00</v>
      </c>
      <c r="I2240" s="14" t="str">
        <f t="shared" si="2"/>
        <v>102079.00</v>
      </c>
      <c r="J2240" s="16" t="str">
        <f>TEXT(Raw_Data!J2240,"MMM-YYY")</f>
        <v>Nov-2025</v>
      </c>
      <c r="K2240" s="13" t="str">
        <f>Raw_Data!K2240</f>
        <v>16</v>
      </c>
      <c r="L2240" s="17" t="str">
        <f>Raw_Data!L2240</f>
        <v>Jaipur-North</v>
      </c>
      <c r="M2240" s="13" t="str">
        <f t="shared" si="3"/>
        <v>OK</v>
      </c>
      <c r="N2240" s="18" t="str">
        <f t="shared" si="4"/>
        <v>VALID</v>
      </c>
    </row>
    <row r="2241" ht="15.75" customHeight="1">
      <c r="A2241" s="13" t="str">
        <f>Raw_Data!A2241</f>
        <v>EMP2361</v>
      </c>
      <c r="B2241" s="13" t="str">
        <f>TRIM(CLEAN(Raw_Data!B2241))</f>
        <v>Marketing</v>
      </c>
      <c r="C2241" s="18" t="s">
        <v>26</v>
      </c>
      <c r="D2241" s="14" t="str">
        <f>IF(ISBLANK(Raw_Data!D2241),AVERAGE(Raw_Data!D$2:D$5002),Raw_Data!D2241)</f>
        <v>73840.80</v>
      </c>
      <c r="E2241" s="15" t="str">
        <f>IF(ISBLANK(Raw_Data!E2241),AVERAGE(Raw_Data!E$2:E$5002),Raw_Data!E2241)</f>
        <v>24885.97</v>
      </c>
      <c r="F2241" s="15" t="str">
        <f>IF(ISBLANK(Raw_Data!F2241),AVERAGE(Raw_Data!F$2:F$5002),Raw_Data!F2241)</f>
        <v>18303.74</v>
      </c>
      <c r="G2241" s="14" t="str">
        <f>IF(ISBLANK(Raw_Data!G2241),AVERAGE(Raw_Data!G$2:G$5002),Raw_Data!G2241)</f>
        <v>14931.40</v>
      </c>
      <c r="H2241" s="15" t="str">
        <f t="shared" si="1"/>
        <v>117031.00</v>
      </c>
      <c r="I2241" s="14" t="str">
        <f t="shared" si="2"/>
        <v>102100.00</v>
      </c>
      <c r="J2241" s="16" t="str">
        <f>TEXT(Raw_Data!J2241,"MMM-YYY")</f>
        <v>Mar-2025</v>
      </c>
      <c r="K2241" s="13" t="str">
        <f>Raw_Data!K2241</f>
        <v>23</v>
      </c>
      <c r="L2241" s="17" t="str">
        <f>Raw_Data!L2241</f>
        <v>Chandigarh-North</v>
      </c>
      <c r="M2241" s="13" t="str">
        <f t="shared" si="3"/>
        <v>OK</v>
      </c>
      <c r="N2241" s="18" t="str">
        <f t="shared" si="4"/>
        <v>VALID</v>
      </c>
    </row>
    <row r="2242" ht="15.75" customHeight="1">
      <c r="A2242" s="13" t="str">
        <f>Raw_Data!A2242</f>
        <v>EMP2362</v>
      </c>
      <c r="B2242" s="13" t="str">
        <f>TRIM(CLEAN(Raw_Data!B2242))</f>
        <v>HR</v>
      </c>
      <c r="C2242" s="18" t="s">
        <v>14</v>
      </c>
      <c r="D2242" s="14" t="str">
        <f>IF(ISBLANK(Raw_Data!D2242),AVERAGE(Raw_Data!D$2:D$5002),Raw_Data!D2242)</f>
        <v>73851.68</v>
      </c>
      <c r="E2242" s="15" t="str">
        <f>IF(ISBLANK(Raw_Data!E2242),AVERAGE(Raw_Data!E$2:E$5002),Raw_Data!E2242)</f>
        <v>24890.59</v>
      </c>
      <c r="F2242" s="15" t="str">
        <f>IF(ISBLANK(Raw_Data!F2242),AVERAGE(Raw_Data!F$2:F$5002),Raw_Data!F2242)</f>
        <v>18311.42</v>
      </c>
      <c r="G2242" s="14" t="str">
        <f>IF(ISBLANK(Raw_Data!G2242),AVERAGE(Raw_Data!G$2:G$5002),Raw_Data!G2242)</f>
        <v>14934.79</v>
      </c>
      <c r="H2242" s="15" t="str">
        <f t="shared" si="1"/>
        <v>117054.00</v>
      </c>
      <c r="I2242" s="14" t="str">
        <f t="shared" si="2"/>
        <v>102119.00</v>
      </c>
      <c r="J2242" s="16" t="str">
        <f>TEXT(Raw_Data!J2242,"MMM-YYY")</f>
        <v>Jan-2025</v>
      </c>
      <c r="K2242" s="13" t="str">
        <f>Raw_Data!K2242</f>
        <v>9</v>
      </c>
      <c r="L2242" s="17" t="str">
        <f>Raw_Data!L2242</f>
        <v>Bangalore-South</v>
      </c>
      <c r="M2242" s="13" t="str">
        <f t="shared" si="3"/>
        <v>OK</v>
      </c>
      <c r="N2242" s="18" t="str">
        <f t="shared" si="4"/>
        <v>VALID</v>
      </c>
    </row>
    <row r="2243" ht="15.75" customHeight="1">
      <c r="A2243" s="13" t="str">
        <f>Raw_Data!A2243</f>
        <v>EMP2363</v>
      </c>
      <c r="B2243" s="13" t="str">
        <f>TRIM(CLEAN(Raw_Data!B2243))</f>
        <v>Finance</v>
      </c>
      <c r="C2243" s="18" t="s">
        <v>26</v>
      </c>
      <c r="D2243" s="14" t="str">
        <f>IF(ISBLANK(Raw_Data!D2243),AVERAGE(Raw_Data!D$2:D$5002),Raw_Data!D2243)</f>
        <v>73862.57</v>
      </c>
      <c r="E2243" s="15" t="str">
        <f>IF(ISBLANK(Raw_Data!E2243),AVERAGE(Raw_Data!E$2:E$5002),Raw_Data!E2243)</f>
        <v>24895.20</v>
      </c>
      <c r="F2243" s="15" t="str">
        <f>IF(ISBLANK(Raw_Data!F2243),AVERAGE(Raw_Data!F$2:F$5002),Raw_Data!F2243)</f>
        <v>18319.10</v>
      </c>
      <c r="G2243" s="14" t="str">
        <f>IF(ISBLANK(Raw_Data!G2243),AVERAGE(Raw_Data!G$2:G$5002),Raw_Data!G2243)</f>
        <v>14938.19</v>
      </c>
      <c r="H2243" s="15" t="str">
        <f t="shared" si="1"/>
        <v>117077.00</v>
      </c>
      <c r="I2243" s="14" t="str">
        <f t="shared" si="2"/>
        <v>102139.00</v>
      </c>
      <c r="J2243" s="16" t="str">
        <f>TEXT(Raw_Data!J2243,"MMM-YYY")</f>
        <v>May-2025</v>
      </c>
      <c r="K2243" s="13" t="str">
        <f>Raw_Data!K2243</f>
        <v>13</v>
      </c>
      <c r="L2243" s="17" t="str">
        <f>Raw_Data!L2243</f>
        <v>Hyderabad-South</v>
      </c>
      <c r="M2243" s="13" t="str">
        <f t="shared" si="3"/>
        <v>OK</v>
      </c>
      <c r="N2243" s="18" t="str">
        <f t="shared" si="4"/>
        <v>VALID</v>
      </c>
    </row>
    <row r="2244" ht="15.75" customHeight="1">
      <c r="A2244" s="13" t="str">
        <f>Raw_Data!A2244</f>
        <v>EMP2364</v>
      </c>
      <c r="B2244" s="13" t="str">
        <f>TRIM(CLEAN(Raw_Data!B2244))</f>
        <v>HR</v>
      </c>
      <c r="C2244" s="18" t="s">
        <v>37</v>
      </c>
      <c r="D2244" s="14" t="str">
        <f>IF(ISBLANK(Raw_Data!D2244),AVERAGE(Raw_Data!D$2:D$5002),Raw_Data!D2244)</f>
        <v>73873.45</v>
      </c>
      <c r="E2244" s="15" t="str">
        <f>IF(ISBLANK(Raw_Data!E2244),AVERAGE(Raw_Data!E$2:E$5002),Raw_Data!E2244)</f>
        <v>24899.82</v>
      </c>
      <c r="F2244" s="15" t="str">
        <f>IF(ISBLANK(Raw_Data!F2244),AVERAGE(Raw_Data!F$2:F$5002),Raw_Data!F2244)</f>
        <v>18326.78</v>
      </c>
      <c r="G2244" s="14" t="str">
        <f>IF(ISBLANK(Raw_Data!G2244),AVERAGE(Raw_Data!G$2:G$5002),Raw_Data!G2244)</f>
        <v>14941.59</v>
      </c>
      <c r="H2244" s="15" t="str">
        <f t="shared" si="1"/>
        <v>117100.00</v>
      </c>
      <c r="I2244" s="14" t="str">
        <f t="shared" si="2"/>
        <v>102158.00</v>
      </c>
      <c r="J2244" s="16" t="str">
        <f>TEXT(Raw_Data!J2244,"MMM-YYY")</f>
        <v>Jan-2025</v>
      </c>
      <c r="K2244" s="13" t="str">
        <f>Raw_Data!K2244</f>
        <v>16</v>
      </c>
      <c r="L2244" s="17" t="str">
        <f>Raw_Data!L2244</f>
        <v>Bangalore-South</v>
      </c>
      <c r="M2244" s="13" t="str">
        <f t="shared" si="3"/>
        <v>OK</v>
      </c>
      <c r="N2244" s="18" t="str">
        <f t="shared" si="4"/>
        <v>VALID</v>
      </c>
    </row>
    <row r="2245" ht="15.75" customHeight="1">
      <c r="A2245" s="13" t="str">
        <f>Raw_Data!A2245</f>
        <v>EMP2365</v>
      </c>
      <c r="B2245" s="13" t="str">
        <f>TRIM(CLEAN(Raw_Data!B2245))</f>
        <v>HR</v>
      </c>
      <c r="C2245" s="18" t="s">
        <v>18</v>
      </c>
      <c r="D2245" s="14" t="str">
        <f>IF(ISBLANK(Raw_Data!D2245),AVERAGE(Raw_Data!D$2:D$5002),Raw_Data!D2245)</f>
        <v>73884.33</v>
      </c>
      <c r="E2245" s="15" t="str">
        <f>IF(ISBLANK(Raw_Data!E2245),AVERAGE(Raw_Data!E$2:E$5002),Raw_Data!E2245)</f>
        <v>24904.43</v>
      </c>
      <c r="F2245" s="15" t="str">
        <f>IF(ISBLANK(Raw_Data!F2245),AVERAGE(Raw_Data!F$2:F$5002),Raw_Data!F2245)</f>
        <v>18334.46</v>
      </c>
      <c r="G2245" s="14" t="str">
        <f>IF(ISBLANK(Raw_Data!G2245),AVERAGE(Raw_Data!G$2:G$5002),Raw_Data!G2245)</f>
        <v>14944.99</v>
      </c>
      <c r="H2245" s="15" t="str">
        <f t="shared" si="1"/>
        <v>117123.00</v>
      </c>
      <c r="I2245" s="14" t="str">
        <f t="shared" si="2"/>
        <v>102178.00</v>
      </c>
      <c r="J2245" s="16" t="str">
        <f>TEXT(Raw_Data!J2245,"MMM-YYY")</f>
        <v>Dec-2025</v>
      </c>
      <c r="K2245" s="13" t="str">
        <f>Raw_Data!K2245</f>
        <v>19</v>
      </c>
      <c r="L2245" s="17" t="str">
        <f>Raw_Data!L2245</f>
        <v>Hyderabad-South</v>
      </c>
      <c r="M2245" s="13" t="str">
        <f t="shared" si="3"/>
        <v>OK</v>
      </c>
      <c r="N2245" s="18" t="str">
        <f t="shared" si="4"/>
        <v>VALID</v>
      </c>
    </row>
    <row r="2246" ht="15.75" customHeight="1">
      <c r="A2246" s="13" t="str">
        <f>Raw_Data!A2246</f>
        <v>EMP2366</v>
      </c>
      <c r="B2246" s="13" t="str">
        <f>TRIM(CLEAN(Raw_Data!B2246))</f>
        <v>Operations</v>
      </c>
      <c r="C2246" s="18" t="s">
        <v>54</v>
      </c>
      <c r="D2246" s="14" t="str">
        <f>IF(ISBLANK(Raw_Data!D2246),AVERAGE(Raw_Data!D$2:D$5002),Raw_Data!D2246)</f>
        <v>73895.22</v>
      </c>
      <c r="E2246" s="15" t="str">
        <f>IF(ISBLANK(Raw_Data!E2246),AVERAGE(Raw_Data!E$2:E$5002),Raw_Data!E2246)</f>
        <v>24909.05</v>
      </c>
      <c r="F2246" s="15" t="str">
        <f>IF(ISBLANK(Raw_Data!F2246),AVERAGE(Raw_Data!F$2:F$5002),Raw_Data!F2246)</f>
        <v>18342.14</v>
      </c>
      <c r="G2246" s="14" t="str">
        <f>IF(ISBLANK(Raw_Data!G2246),AVERAGE(Raw_Data!G$2:G$5002),Raw_Data!G2246)</f>
        <v>14948.38</v>
      </c>
      <c r="H2246" s="15" t="str">
        <f t="shared" si="1"/>
        <v>117146.00</v>
      </c>
      <c r="I2246" s="14" t="str">
        <f t="shared" si="2"/>
        <v>102198.00</v>
      </c>
      <c r="J2246" s="16" t="str">
        <f>TEXT(Raw_Data!J2246,"MMM-YYY")</f>
        <v>Apr-2025</v>
      </c>
      <c r="K2246" s="13" t="str">
        <f>Raw_Data!K2246</f>
        <v>10</v>
      </c>
      <c r="L2246" s="17" t="str">
        <f>Raw_Data!L2246</f>
        <v>Hyderabad-South</v>
      </c>
      <c r="M2246" s="13" t="str">
        <f t="shared" si="3"/>
        <v>OK</v>
      </c>
      <c r="N2246" s="18" t="str">
        <f t="shared" si="4"/>
        <v>VALID</v>
      </c>
    </row>
    <row r="2247" ht="15.75" customHeight="1">
      <c r="A2247" s="13" t="str">
        <f>Raw_Data!A2247</f>
        <v>EMP2367</v>
      </c>
      <c r="B2247" s="13" t="str">
        <f>TRIM(CLEAN(Raw_Data!B2247))</f>
        <v>Marketing</v>
      </c>
      <c r="C2247" s="18" t="s">
        <v>18</v>
      </c>
      <c r="D2247" s="14" t="str">
        <f>IF(ISBLANK(Raw_Data!D2247),AVERAGE(Raw_Data!D$2:D$5002),Raw_Data!D2247)</f>
        <v>73906.10</v>
      </c>
      <c r="E2247" s="15" t="str">
        <f>IF(ISBLANK(Raw_Data!E2247),AVERAGE(Raw_Data!E$2:E$5002),Raw_Data!E2247)</f>
        <v>24913.66</v>
      </c>
      <c r="F2247" s="15" t="str">
        <f>IF(ISBLANK(Raw_Data!F2247),AVERAGE(Raw_Data!F$2:F$5002),Raw_Data!F2247)</f>
        <v>18349.82</v>
      </c>
      <c r="G2247" s="14" t="str">
        <f>IF(ISBLANK(Raw_Data!G2247),AVERAGE(Raw_Data!G$2:G$5002),Raw_Data!G2247)</f>
        <v>14951.78</v>
      </c>
      <c r="H2247" s="15" t="str">
        <f t="shared" si="1"/>
        <v>117170.00</v>
      </c>
      <c r="I2247" s="14" t="str">
        <f t="shared" si="2"/>
        <v>102218.00</v>
      </c>
      <c r="J2247" s="16" t="str">
        <f>TEXT(Raw_Data!J2247,"MMM-YYY")</f>
        <v>Apr-2025</v>
      </c>
      <c r="K2247" s="13" t="str">
        <f>Raw_Data!K2247</f>
        <v>3</v>
      </c>
      <c r="L2247" s="17" t="str">
        <f>Raw_Data!L2247</f>
        <v>Pune-West</v>
      </c>
      <c r="M2247" s="13" t="str">
        <f t="shared" si="3"/>
        <v>OK</v>
      </c>
      <c r="N2247" s="18" t="str">
        <f t="shared" si="4"/>
        <v>VALID</v>
      </c>
    </row>
    <row r="2248" ht="15.75" customHeight="1">
      <c r="A2248" s="13" t="str">
        <f>Raw_Data!A2248</f>
        <v>EMP2368</v>
      </c>
      <c r="B2248" s="13" t="str">
        <f>TRIM(CLEAN(Raw_Data!B2248))</f>
        <v>Customer Support</v>
      </c>
      <c r="C2248" s="18" t="s">
        <v>37</v>
      </c>
      <c r="D2248" s="14" t="str">
        <f>IF(ISBLANK(Raw_Data!D2248),AVERAGE(Raw_Data!D$2:D$5002),Raw_Data!D2248)</f>
        <v>73916.98</v>
      </c>
      <c r="E2248" s="15" t="str">
        <f>IF(ISBLANK(Raw_Data!E2248),AVERAGE(Raw_Data!E$2:E$5002),Raw_Data!E2248)</f>
        <v>24918.28</v>
      </c>
      <c r="F2248" s="15" t="str">
        <f>IF(ISBLANK(Raw_Data!F2248),AVERAGE(Raw_Data!F$2:F$5002),Raw_Data!F2248)</f>
        <v>18357.50</v>
      </c>
      <c r="G2248" s="14" t="str">
        <f>IF(ISBLANK(Raw_Data!G2248),AVERAGE(Raw_Data!G$2:G$5002),Raw_Data!G2248)</f>
        <v>14955.18</v>
      </c>
      <c r="H2248" s="15" t="str">
        <f t="shared" si="1"/>
        <v>117193.00</v>
      </c>
      <c r="I2248" s="14" t="str">
        <f t="shared" si="2"/>
        <v>102238.00</v>
      </c>
      <c r="J2248" s="16" t="str">
        <f>TEXT(Raw_Data!J2248,"MMM-YYY")</f>
        <v>Nov-2025</v>
      </c>
      <c r="K2248" s="13" t="str">
        <f>Raw_Data!K2248</f>
        <v>19</v>
      </c>
      <c r="L2248" s="17" t="str">
        <f>Raw_Data!L2248</f>
        <v>Chennai-South</v>
      </c>
      <c r="M2248" s="13" t="str">
        <f t="shared" si="3"/>
        <v>OK</v>
      </c>
      <c r="N2248" s="18" t="str">
        <f t="shared" si="4"/>
        <v>VALID</v>
      </c>
    </row>
    <row r="2249" ht="15.75" customHeight="1">
      <c r="A2249" s="13" t="str">
        <f>Raw_Data!A2249</f>
        <v>EMP2369</v>
      </c>
      <c r="B2249" s="13" t="str">
        <f>TRIM(CLEAN(Raw_Data!B2249))</f>
        <v>Customer Support</v>
      </c>
      <c r="C2249" s="18" t="s">
        <v>26</v>
      </c>
      <c r="D2249" s="14" t="str">
        <f>IF(ISBLANK(Raw_Data!D2249),AVERAGE(Raw_Data!D$2:D$5002),Raw_Data!D2249)</f>
        <v>73927.86</v>
      </c>
      <c r="E2249" s="15" t="str">
        <f>IF(ISBLANK(Raw_Data!E2249),AVERAGE(Raw_Data!E$2:E$5002),Raw_Data!E2249)</f>
        <v>24922.89</v>
      </c>
      <c r="F2249" s="15" t="str">
        <f>IF(ISBLANK(Raw_Data!F2249),AVERAGE(Raw_Data!F$2:F$5002),Raw_Data!F2249)</f>
        <v>18365.18</v>
      </c>
      <c r="G2249" s="14" t="str">
        <f>IF(ISBLANK(Raw_Data!G2249),AVERAGE(Raw_Data!G$2:G$5002),Raw_Data!G2249)</f>
        <v>14958.58</v>
      </c>
      <c r="H2249" s="15" t="str">
        <f t="shared" si="1"/>
        <v>117216.00</v>
      </c>
      <c r="I2249" s="14" t="str">
        <f t="shared" si="2"/>
        <v>102257.00</v>
      </c>
      <c r="J2249" s="16" t="str">
        <f>TEXT(Raw_Data!J2249,"MMM-YYY")</f>
        <v>Dec-2025</v>
      </c>
      <c r="K2249" s="13" t="str">
        <f>Raw_Data!K2249</f>
        <v>7</v>
      </c>
      <c r="L2249" s="17" t="str">
        <f>Raw_Data!L2249</f>
        <v>Kolkata-East</v>
      </c>
      <c r="M2249" s="13" t="str">
        <f t="shared" si="3"/>
        <v>OK</v>
      </c>
      <c r="N2249" s="18" t="str">
        <f t="shared" si="4"/>
        <v>VALID</v>
      </c>
    </row>
    <row r="2250" ht="15.75" customHeight="1">
      <c r="A2250" s="13" t="str">
        <f>Raw_Data!A2250</f>
        <v>EMP2370</v>
      </c>
      <c r="B2250" s="13" t="str">
        <f>TRIM(CLEAN(Raw_Data!B2250))</f>
        <v>Customer Support</v>
      </c>
      <c r="C2250" s="18" t="s">
        <v>26</v>
      </c>
      <c r="D2250" s="14" t="str">
        <f>IF(ISBLANK(Raw_Data!D2250),AVERAGE(Raw_Data!D$2:D$5002),Raw_Data!D2250)</f>
        <v>73938.75</v>
      </c>
      <c r="E2250" s="15" t="str">
        <f>IF(ISBLANK(Raw_Data!E2250),AVERAGE(Raw_Data!E$2:E$5002),Raw_Data!E2250)</f>
        <v>24927.51</v>
      </c>
      <c r="F2250" s="15" t="str">
        <f>IF(ISBLANK(Raw_Data!F2250),AVERAGE(Raw_Data!F$2:F$5002),Raw_Data!F2250)</f>
        <v>18372.86</v>
      </c>
      <c r="G2250" s="14" t="str">
        <f>IF(ISBLANK(Raw_Data!G2250),AVERAGE(Raw_Data!G$2:G$5002),Raw_Data!G2250)</f>
        <v>14961.97</v>
      </c>
      <c r="H2250" s="15" t="str">
        <f t="shared" si="1"/>
        <v>117239.00</v>
      </c>
      <c r="I2250" s="14" t="str">
        <f t="shared" si="2"/>
        <v>102277.00</v>
      </c>
      <c r="J2250" s="16" t="str">
        <f>TEXT(Raw_Data!J2250,"MMM-YYY")</f>
        <v>May-2025</v>
      </c>
      <c r="K2250" s="13" t="str">
        <f>Raw_Data!K2250</f>
        <v>10</v>
      </c>
      <c r="L2250" s="17" t="str">
        <f>Raw_Data!L2250</f>
        <v>Pune-West</v>
      </c>
      <c r="M2250" s="13" t="str">
        <f t="shared" si="3"/>
        <v>OK</v>
      </c>
      <c r="N2250" s="18" t="str">
        <f t="shared" si="4"/>
        <v>VALID</v>
      </c>
    </row>
    <row r="2251" ht="15.75" customHeight="1">
      <c r="A2251" s="13" t="str">
        <f>Raw_Data!A2251</f>
        <v>EMP2371</v>
      </c>
      <c r="B2251" s="13" t="str">
        <f>TRIM(CLEAN(Raw_Data!B2251))</f>
        <v>Finance</v>
      </c>
      <c r="C2251" s="18" t="s">
        <v>14</v>
      </c>
      <c r="D2251" s="14" t="str">
        <f>IF(ISBLANK(Raw_Data!D2251),AVERAGE(Raw_Data!D$2:D$5002),Raw_Data!D2251)</f>
        <v>73949.63</v>
      </c>
      <c r="E2251" s="15" t="str">
        <f>IF(ISBLANK(Raw_Data!E2251),AVERAGE(Raw_Data!E$2:E$5002),Raw_Data!E2251)</f>
        <v>24932.12</v>
      </c>
      <c r="F2251" s="15" t="str">
        <f>IF(ISBLANK(Raw_Data!F2251),AVERAGE(Raw_Data!F$2:F$5002),Raw_Data!F2251)</f>
        <v>18380.54</v>
      </c>
      <c r="G2251" s="14" t="str">
        <f>IF(ISBLANK(Raw_Data!G2251),AVERAGE(Raw_Data!G$2:G$5002),Raw_Data!G2251)</f>
        <v>14965.37</v>
      </c>
      <c r="H2251" s="15" t="str">
        <f t="shared" si="1"/>
        <v>117262.00</v>
      </c>
      <c r="I2251" s="14" t="str">
        <f t="shared" si="2"/>
        <v>102297.00</v>
      </c>
      <c r="J2251" s="16" t="str">
        <f>TEXT(Raw_Data!J2251,"MMM-YYY")</f>
        <v>Jan-2025</v>
      </c>
      <c r="K2251" s="13" t="str">
        <f>Raw_Data!K2251</f>
        <v>2</v>
      </c>
      <c r="L2251" s="17" t="str">
        <f>Raw_Data!L2251</f>
        <v>Delhi-North</v>
      </c>
      <c r="M2251" s="13" t="str">
        <f t="shared" si="3"/>
        <v>OK</v>
      </c>
      <c r="N2251" s="18" t="str">
        <f t="shared" si="4"/>
        <v>VALID</v>
      </c>
    </row>
    <row r="2252" ht="15.75" customHeight="1">
      <c r="A2252" s="13" t="str">
        <f>Raw_Data!A2252</f>
        <v>EMP2372</v>
      </c>
      <c r="B2252" s="13" t="str">
        <f>TRIM(CLEAN(Raw_Data!B2252))</f>
        <v>IT</v>
      </c>
      <c r="C2252" s="18" t="s">
        <v>30</v>
      </c>
      <c r="D2252" s="14" t="str">
        <f>IF(ISBLANK(Raw_Data!D2252),AVERAGE(Raw_Data!D$2:D$5002),Raw_Data!D2252)</f>
        <v>73960.51</v>
      </c>
      <c r="E2252" s="15" t="str">
        <f>IF(ISBLANK(Raw_Data!E2252),AVERAGE(Raw_Data!E$2:E$5002),Raw_Data!E2252)</f>
        <v>24936.74</v>
      </c>
      <c r="F2252" s="15" t="str">
        <f>IF(ISBLANK(Raw_Data!F2252),AVERAGE(Raw_Data!F$2:F$5002),Raw_Data!F2252)</f>
        <v>18388.22</v>
      </c>
      <c r="G2252" s="14" t="str">
        <f>IF(ISBLANK(Raw_Data!G2252),AVERAGE(Raw_Data!G$2:G$5002),Raw_Data!G2252)</f>
        <v>14968.77</v>
      </c>
      <c r="H2252" s="15" t="str">
        <f t="shared" si="1"/>
        <v>117285.00</v>
      </c>
      <c r="I2252" s="14" t="str">
        <f t="shared" si="2"/>
        <v>102316.00</v>
      </c>
      <c r="J2252" s="16" t="str">
        <f>TEXT(Raw_Data!J2252,"MMM-YYY")</f>
        <v>Jun-2025</v>
      </c>
      <c r="K2252" s="13" t="str">
        <f>Raw_Data!K2252</f>
        <v>18</v>
      </c>
      <c r="L2252" s="17" t="str">
        <f>Raw_Data!L2252</f>
        <v>Bangalore-South</v>
      </c>
      <c r="M2252" s="13" t="str">
        <f t="shared" si="3"/>
        <v>OK</v>
      </c>
      <c r="N2252" s="18" t="str">
        <f t="shared" si="4"/>
        <v>VALID</v>
      </c>
    </row>
    <row r="2253" ht="15.75" customHeight="1">
      <c r="A2253" s="13" t="str">
        <f>Raw_Data!A2253</f>
        <v>EMP2373</v>
      </c>
      <c r="B2253" s="13" t="str">
        <f>TRIM(CLEAN(Raw_Data!B2253))</f>
        <v>Operations</v>
      </c>
      <c r="C2253" s="18" t="s">
        <v>54</v>
      </c>
      <c r="D2253" s="14" t="str">
        <f>IF(ISBLANK(Raw_Data!D2253),AVERAGE(Raw_Data!D$2:D$5002),Raw_Data!D2253)</f>
        <v>73971.40</v>
      </c>
      <c r="E2253" s="15" t="str">
        <f>IF(ISBLANK(Raw_Data!E2253),AVERAGE(Raw_Data!E$2:E$5002),Raw_Data!E2253)</f>
        <v>24941.35</v>
      </c>
      <c r="F2253" s="15" t="str">
        <f>IF(ISBLANK(Raw_Data!F2253),AVERAGE(Raw_Data!F$2:F$5002),Raw_Data!F2253)</f>
        <v>18395.90</v>
      </c>
      <c r="G2253" s="14" t="str">
        <f>IF(ISBLANK(Raw_Data!G2253),AVERAGE(Raw_Data!G$2:G$5002),Raw_Data!G2253)</f>
        <v>14972.17</v>
      </c>
      <c r="H2253" s="15" t="str">
        <f t="shared" si="1"/>
        <v>117309.00</v>
      </c>
      <c r="I2253" s="14" t="str">
        <f t="shared" si="2"/>
        <v>102337.00</v>
      </c>
      <c r="J2253" s="16" t="str">
        <f>TEXT(Raw_Data!J2253,"MMM-YYY")</f>
        <v>Jan-2025</v>
      </c>
      <c r="K2253" s="13" t="str">
        <f>Raw_Data!K2253</f>
        <v>18</v>
      </c>
      <c r="L2253" s="17" t="str">
        <f>Raw_Data!L2253</f>
        <v>Chandigarh-North</v>
      </c>
      <c r="M2253" s="13" t="str">
        <f t="shared" si="3"/>
        <v>OK</v>
      </c>
      <c r="N2253" s="18" t="str">
        <f t="shared" si="4"/>
        <v>VALID</v>
      </c>
    </row>
    <row r="2254" ht="15.75" customHeight="1">
      <c r="A2254" s="13" t="str">
        <f>Raw_Data!A2254</f>
        <v>EMP2374</v>
      </c>
      <c r="B2254" s="13" t="str">
        <f>TRIM(CLEAN(Raw_Data!B2254))</f>
        <v>HR</v>
      </c>
      <c r="C2254" s="18" t="s">
        <v>33</v>
      </c>
      <c r="D2254" s="14" t="str">
        <f>IF(ISBLANK(Raw_Data!D2254),AVERAGE(Raw_Data!D$2:D$5002),Raw_Data!D2254)</f>
        <v>73982.28</v>
      </c>
      <c r="E2254" s="15" t="str">
        <f>IF(ISBLANK(Raw_Data!E2254),AVERAGE(Raw_Data!E$2:E$5002),Raw_Data!E2254)</f>
        <v>24945.97</v>
      </c>
      <c r="F2254" s="15" t="str">
        <f>IF(ISBLANK(Raw_Data!F2254),AVERAGE(Raw_Data!F$2:F$5002),Raw_Data!F2254)</f>
        <v>18403.58</v>
      </c>
      <c r="G2254" s="14" t="str">
        <f>IF(ISBLANK(Raw_Data!G2254),AVERAGE(Raw_Data!G$2:G$5002),Raw_Data!G2254)</f>
        <v>14975.56</v>
      </c>
      <c r="H2254" s="15" t="str">
        <f t="shared" si="1"/>
        <v>117332.00</v>
      </c>
      <c r="I2254" s="14" t="str">
        <f t="shared" si="2"/>
        <v>102356.00</v>
      </c>
      <c r="J2254" s="16" t="str">
        <f>TEXT(Raw_Data!J2254,"MMM-YYY")</f>
        <v>Jun-2025</v>
      </c>
      <c r="K2254" s="13" t="str">
        <f>Raw_Data!K2254</f>
        <v>9</v>
      </c>
      <c r="L2254" s="17" t="str">
        <f>Raw_Data!L2254</f>
        <v>Kolkata-East</v>
      </c>
      <c r="M2254" s="13" t="str">
        <f t="shared" si="3"/>
        <v>OK</v>
      </c>
      <c r="N2254" s="18" t="str">
        <f t="shared" si="4"/>
        <v>VALID</v>
      </c>
    </row>
    <row r="2255" ht="15.75" customHeight="1">
      <c r="A2255" s="13" t="str">
        <f>Raw_Data!A2255</f>
        <v>EMP2375</v>
      </c>
      <c r="B2255" s="13" t="str">
        <f>TRIM(CLEAN(Raw_Data!B2255))</f>
        <v>IT</v>
      </c>
      <c r="C2255" s="18" t="s">
        <v>26</v>
      </c>
      <c r="D2255" s="14" t="str">
        <f>IF(ISBLANK(Raw_Data!D2255),AVERAGE(Raw_Data!D$2:D$5002),Raw_Data!D2255)</f>
        <v>73993.16</v>
      </c>
      <c r="E2255" s="15" t="str">
        <f>IF(ISBLANK(Raw_Data!E2255),AVERAGE(Raw_Data!E$2:E$5002),Raw_Data!E2255)</f>
        <v>24950.58</v>
      </c>
      <c r="F2255" s="15" t="str">
        <f>IF(ISBLANK(Raw_Data!F2255),AVERAGE(Raw_Data!F$2:F$5002),Raw_Data!F2255)</f>
        <v>18411.26</v>
      </c>
      <c r="G2255" s="14" t="str">
        <f>IF(ISBLANK(Raw_Data!G2255),AVERAGE(Raw_Data!G$2:G$5002),Raw_Data!G2255)</f>
        <v>14978.96</v>
      </c>
      <c r="H2255" s="15" t="str">
        <f t="shared" si="1"/>
        <v>117355.00</v>
      </c>
      <c r="I2255" s="14" t="str">
        <f t="shared" si="2"/>
        <v>102376.00</v>
      </c>
      <c r="J2255" s="16" t="str">
        <f>TEXT(Raw_Data!J2255,"MMM-YYY")</f>
        <v>Jul-2025</v>
      </c>
      <c r="K2255" s="13" t="str">
        <f>Raw_Data!K2255</f>
        <v>14</v>
      </c>
      <c r="L2255" s="17" t="str">
        <f>Raw_Data!L2255</f>
        <v>Chandigarh-North</v>
      </c>
      <c r="M2255" s="13" t="str">
        <f t="shared" si="3"/>
        <v>OK</v>
      </c>
      <c r="N2255" s="18" t="str">
        <f t="shared" si="4"/>
        <v>VALID</v>
      </c>
    </row>
    <row r="2256" ht="15.75" customHeight="1">
      <c r="A2256" s="13" t="str">
        <f>Raw_Data!A2256</f>
        <v>EMP2376</v>
      </c>
      <c r="B2256" s="13" t="str">
        <f>TRIM(CLEAN(Raw_Data!B2256))</f>
        <v>Operations</v>
      </c>
      <c r="C2256" s="18" t="s">
        <v>54</v>
      </c>
      <c r="D2256" s="14" t="str">
        <f>IF(ISBLANK(Raw_Data!D2256),AVERAGE(Raw_Data!D$2:D$5002),Raw_Data!D2256)</f>
        <v>74004.05</v>
      </c>
      <c r="E2256" s="15" t="str">
        <f>IF(ISBLANK(Raw_Data!E2256),AVERAGE(Raw_Data!E$2:E$5002),Raw_Data!E2256)</f>
        <v>24955.19</v>
      </c>
      <c r="F2256" s="15" t="str">
        <f>IF(ISBLANK(Raw_Data!F2256),AVERAGE(Raw_Data!F$2:F$5002),Raw_Data!F2256)</f>
        <v>18418.94</v>
      </c>
      <c r="G2256" s="14" t="str">
        <f>IF(ISBLANK(Raw_Data!G2256),AVERAGE(Raw_Data!G$2:G$5002),Raw_Data!G2256)</f>
        <v>14982.36</v>
      </c>
      <c r="H2256" s="15" t="str">
        <f t="shared" si="1"/>
        <v>117378.00</v>
      </c>
      <c r="I2256" s="14" t="str">
        <f t="shared" si="2"/>
        <v>102396.00</v>
      </c>
      <c r="J2256" s="16" t="str">
        <f>TEXT(Raw_Data!J2256,"MMM-YYY")</f>
        <v>Jul-2025</v>
      </c>
      <c r="K2256" s="13" t="str">
        <f>Raw_Data!K2256</f>
        <v>4</v>
      </c>
      <c r="L2256" s="17" t="str">
        <f>Raw_Data!L2256</f>
        <v>Bangalore-South</v>
      </c>
      <c r="M2256" s="13" t="str">
        <f t="shared" si="3"/>
        <v>OK</v>
      </c>
      <c r="N2256" s="18" t="str">
        <f t="shared" si="4"/>
        <v>VALID</v>
      </c>
    </row>
    <row r="2257" ht="15.75" customHeight="1">
      <c r="A2257" s="13" t="str">
        <f>Raw_Data!A2257</f>
        <v>EMP2377</v>
      </c>
      <c r="B2257" s="13" t="str">
        <f>TRIM(CLEAN(Raw_Data!B2257))</f>
        <v>Customer Support</v>
      </c>
      <c r="C2257" s="18" t="s">
        <v>30</v>
      </c>
      <c r="D2257" s="14" t="str">
        <f>IF(ISBLANK(Raw_Data!D2257),AVERAGE(Raw_Data!D$2:D$5002),Raw_Data!D2257)</f>
        <v>74014.93</v>
      </c>
      <c r="E2257" s="15" t="str">
        <f>IF(ISBLANK(Raw_Data!E2257),AVERAGE(Raw_Data!E$2:E$5002),Raw_Data!E2257)</f>
        <v>24959.81</v>
      </c>
      <c r="F2257" s="15" t="str">
        <f>IF(ISBLANK(Raw_Data!F2257),AVERAGE(Raw_Data!F$2:F$5002),Raw_Data!F2257)</f>
        <v>18426.62</v>
      </c>
      <c r="G2257" s="14" t="str">
        <f>IF(ISBLANK(Raw_Data!G2257),AVERAGE(Raw_Data!G$2:G$5002),Raw_Data!G2257)</f>
        <v>14985.76</v>
      </c>
      <c r="H2257" s="15" t="str">
        <f t="shared" si="1"/>
        <v>117401.00</v>
      </c>
      <c r="I2257" s="14" t="str">
        <f t="shared" si="2"/>
        <v>102415.00</v>
      </c>
      <c r="J2257" s="16" t="str">
        <f>TEXT(Raw_Data!J2257,"MMM-YYY")</f>
        <v>Jun-2025</v>
      </c>
      <c r="K2257" s="13" t="str">
        <f>Raw_Data!K2257</f>
        <v>21</v>
      </c>
      <c r="L2257" s="17" t="str">
        <f>Raw_Data!L2257</f>
        <v>Bangalore-South</v>
      </c>
      <c r="M2257" s="13" t="str">
        <f t="shared" si="3"/>
        <v>OK</v>
      </c>
      <c r="N2257" s="18" t="str">
        <f t="shared" si="4"/>
        <v>VALID</v>
      </c>
    </row>
    <row r="2258" ht="15.75" customHeight="1">
      <c r="A2258" s="13" t="str">
        <f>Raw_Data!A2258</f>
        <v>EMP2378</v>
      </c>
      <c r="B2258" s="13" t="str">
        <f>TRIM(CLEAN(Raw_Data!B2258))</f>
        <v>Customer Support</v>
      </c>
      <c r="C2258" s="18" t="s">
        <v>18</v>
      </c>
      <c r="D2258" s="14" t="str">
        <f>IF(ISBLANK(Raw_Data!D2258),AVERAGE(Raw_Data!D$2:D$5002),Raw_Data!D2258)</f>
        <v>74025.81</v>
      </c>
      <c r="E2258" s="15" t="str">
        <f>IF(ISBLANK(Raw_Data!E2258),AVERAGE(Raw_Data!E$2:E$5002),Raw_Data!E2258)</f>
        <v>24964.42</v>
      </c>
      <c r="F2258" s="15" t="str">
        <f>IF(ISBLANK(Raw_Data!F2258),AVERAGE(Raw_Data!F$2:F$5002),Raw_Data!F2258)</f>
        <v>18434.30</v>
      </c>
      <c r="G2258" s="14" t="str">
        <f>IF(ISBLANK(Raw_Data!G2258),AVERAGE(Raw_Data!G$2:G$5002),Raw_Data!G2258)</f>
        <v>14989.15</v>
      </c>
      <c r="H2258" s="15" t="str">
        <f t="shared" si="1"/>
        <v>117425.00</v>
      </c>
      <c r="I2258" s="14" t="str">
        <f t="shared" si="2"/>
        <v>102436.00</v>
      </c>
      <c r="J2258" s="16" t="str">
        <f>TEXT(Raw_Data!J2258,"MMM-YYY")</f>
        <v>Sep-2025</v>
      </c>
      <c r="K2258" s="13" t="str">
        <f>Raw_Data!K2258</f>
        <v>6</v>
      </c>
      <c r="L2258" s="17" t="str">
        <f>Raw_Data!L2258</f>
        <v>Chennai-South</v>
      </c>
      <c r="M2258" s="13" t="str">
        <f t="shared" si="3"/>
        <v>OK</v>
      </c>
      <c r="N2258" s="18" t="str">
        <f t="shared" si="4"/>
        <v>VALID</v>
      </c>
    </row>
    <row r="2259" ht="15.75" customHeight="1">
      <c r="A2259" s="13" t="str">
        <f>Raw_Data!A2259</f>
        <v>EMP2379</v>
      </c>
      <c r="B2259" s="13" t="str">
        <f>TRIM(CLEAN(Raw_Data!B2259))</f>
        <v>Operations</v>
      </c>
      <c r="C2259" s="18" t="s">
        <v>37</v>
      </c>
      <c r="D2259" s="14" t="str">
        <f>IF(ISBLANK(Raw_Data!D2259),AVERAGE(Raw_Data!D$2:D$5002),Raw_Data!D2259)</f>
        <v>74036.69</v>
      </c>
      <c r="E2259" s="15" t="str">
        <f>IF(ISBLANK(Raw_Data!E2259),AVERAGE(Raw_Data!E$2:E$5002),Raw_Data!E2259)</f>
        <v>24969.04</v>
      </c>
      <c r="F2259" s="15" t="str">
        <f>IF(ISBLANK(Raw_Data!F2259),AVERAGE(Raw_Data!F$2:F$5002),Raw_Data!F2259)</f>
        <v>18441.98</v>
      </c>
      <c r="G2259" s="14" t="str">
        <f>IF(ISBLANK(Raw_Data!G2259),AVERAGE(Raw_Data!G$2:G$5002),Raw_Data!G2259)</f>
        <v>14992.55</v>
      </c>
      <c r="H2259" s="15" t="str">
        <f t="shared" si="1"/>
        <v>117448.00</v>
      </c>
      <c r="I2259" s="14" t="str">
        <f t="shared" si="2"/>
        <v>102455.00</v>
      </c>
      <c r="J2259" s="16" t="str">
        <f>TEXT(Raw_Data!J2259,"MMM-YYY")</f>
        <v>Sep-2025</v>
      </c>
      <c r="K2259" s="13" t="str">
        <f>Raw_Data!K2259</f>
        <v>9</v>
      </c>
      <c r="L2259" s="17" t="str">
        <f>Raw_Data!L2259</f>
        <v>Jaipur-North</v>
      </c>
      <c r="M2259" s="13" t="str">
        <f t="shared" si="3"/>
        <v>OK</v>
      </c>
      <c r="N2259" s="18" t="str">
        <f t="shared" si="4"/>
        <v>VALID</v>
      </c>
    </row>
    <row r="2260" ht="15.75" customHeight="1">
      <c r="A2260" s="13" t="str">
        <f>Raw_Data!A2260</f>
        <v>EMP2380</v>
      </c>
      <c r="B2260" s="13" t="str">
        <f>TRIM(CLEAN(Raw_Data!B2260))</f>
        <v>Operations</v>
      </c>
      <c r="C2260" s="18" t="s">
        <v>37</v>
      </c>
      <c r="D2260" s="14" t="str">
        <f>IF(ISBLANK(Raw_Data!D2260),AVERAGE(Raw_Data!D$2:D$5002),Raw_Data!D2260)</f>
        <v>74047.58</v>
      </c>
      <c r="E2260" s="15" t="str">
        <f>IF(ISBLANK(Raw_Data!E2260),AVERAGE(Raw_Data!E$2:E$5002),Raw_Data!E2260)</f>
        <v>24973.65</v>
      </c>
      <c r="F2260" s="15" t="str">
        <f>IF(ISBLANK(Raw_Data!F2260),AVERAGE(Raw_Data!F$2:F$5002),Raw_Data!F2260)</f>
        <v>18449.66</v>
      </c>
      <c r="G2260" s="14" t="str">
        <f>IF(ISBLANK(Raw_Data!G2260),AVERAGE(Raw_Data!G$2:G$5002),Raw_Data!G2260)</f>
        <v>14995.95</v>
      </c>
      <c r="H2260" s="15" t="str">
        <f t="shared" si="1"/>
        <v>117471.00</v>
      </c>
      <c r="I2260" s="14" t="str">
        <f t="shared" si="2"/>
        <v>102475.00</v>
      </c>
      <c r="J2260" s="16" t="str">
        <f>TEXT(Raw_Data!J2260,"MMM-YYY")</f>
        <v>Dec-2025</v>
      </c>
      <c r="K2260" s="13" t="str">
        <f>Raw_Data!K2260</f>
        <v>19</v>
      </c>
      <c r="L2260" s="17" t="str">
        <f>Raw_Data!L2260</f>
        <v>Pune-West</v>
      </c>
      <c r="M2260" s="13" t="str">
        <f t="shared" si="3"/>
        <v>OK</v>
      </c>
      <c r="N2260" s="18" t="str">
        <f t="shared" si="4"/>
        <v>VALID</v>
      </c>
    </row>
    <row r="2261" ht="15.75" customHeight="1">
      <c r="A2261" s="13" t="str">
        <f>Raw_Data!A2261</f>
        <v>EMP2381</v>
      </c>
      <c r="B2261" s="13" t="str">
        <f>TRIM(CLEAN(Raw_Data!B2261))</f>
        <v>IT</v>
      </c>
      <c r="C2261" s="18" t="s">
        <v>54</v>
      </c>
      <c r="D2261" s="14" t="str">
        <f>IF(ISBLANK(Raw_Data!D2261),AVERAGE(Raw_Data!D$2:D$5002),Raw_Data!D2261)</f>
        <v>74058.46</v>
      </c>
      <c r="E2261" s="15" t="str">
        <f>IF(ISBLANK(Raw_Data!E2261),AVERAGE(Raw_Data!E$2:E$5002),Raw_Data!E2261)</f>
        <v>24978.27</v>
      </c>
      <c r="F2261" s="15" t="str">
        <f>IF(ISBLANK(Raw_Data!F2261),AVERAGE(Raw_Data!F$2:F$5002),Raw_Data!F2261)</f>
        <v>18457.34</v>
      </c>
      <c r="G2261" s="14" t="str">
        <f>IF(ISBLANK(Raw_Data!G2261),AVERAGE(Raw_Data!G$2:G$5002),Raw_Data!G2261)</f>
        <v>14999.35</v>
      </c>
      <c r="H2261" s="15" t="str">
        <f t="shared" si="1"/>
        <v>117494.00</v>
      </c>
      <c r="I2261" s="14" t="str">
        <f t="shared" si="2"/>
        <v>102495.00</v>
      </c>
      <c r="J2261" s="16" t="str">
        <f>TEXT(Raw_Data!J2261,"MMM-YYY")</f>
        <v>Apr-2025</v>
      </c>
      <c r="K2261" s="13" t="str">
        <f>Raw_Data!K2261</f>
        <v>2</v>
      </c>
      <c r="L2261" s="17" t="str">
        <f>Raw_Data!L2261</f>
        <v>Mumbai-HO</v>
      </c>
      <c r="M2261" s="13" t="str">
        <f t="shared" si="3"/>
        <v>OK</v>
      </c>
      <c r="N2261" s="18" t="str">
        <f t="shared" si="4"/>
        <v>VALID</v>
      </c>
    </row>
    <row r="2262" ht="15.75" customHeight="1">
      <c r="A2262" s="13" t="str">
        <f>Raw_Data!A2262</f>
        <v>EMP2382</v>
      </c>
      <c r="B2262" s="13" t="str">
        <f>TRIM(CLEAN(Raw_Data!B2262))</f>
        <v>Sales</v>
      </c>
      <c r="C2262" s="18" t="s">
        <v>33</v>
      </c>
      <c r="D2262" s="14" t="str">
        <f>IF(ISBLANK(Raw_Data!D2262),AVERAGE(Raw_Data!D$2:D$5002),Raw_Data!D2262)</f>
        <v>74069.34</v>
      </c>
      <c r="E2262" s="15" t="str">
        <f>IF(ISBLANK(Raw_Data!E2262),AVERAGE(Raw_Data!E$2:E$5002),Raw_Data!E2262)</f>
        <v>24982.88</v>
      </c>
      <c r="F2262" s="15" t="str">
        <f>IF(ISBLANK(Raw_Data!F2262),AVERAGE(Raw_Data!F$2:F$5002),Raw_Data!F2262)</f>
        <v>18465.02</v>
      </c>
      <c r="G2262" s="14" t="str">
        <f>IF(ISBLANK(Raw_Data!G2262),AVERAGE(Raw_Data!G$2:G$5002),Raw_Data!G2262)</f>
        <v>15002.74</v>
      </c>
      <c r="H2262" s="15" t="str">
        <f t="shared" si="1"/>
        <v>117517.00</v>
      </c>
      <c r="I2262" s="14" t="str">
        <f t="shared" si="2"/>
        <v>102514.00</v>
      </c>
      <c r="J2262" s="16" t="str">
        <f>TEXT(Raw_Data!J2262,"MMM-YYY")</f>
        <v>Apr-2025</v>
      </c>
      <c r="K2262" s="13" t="str">
        <f>Raw_Data!K2262</f>
        <v>23</v>
      </c>
      <c r="L2262" s="17" t="str">
        <f>Raw_Data!L2262</f>
        <v>Ahmedabad-West</v>
      </c>
      <c r="M2262" s="13" t="str">
        <f t="shared" si="3"/>
        <v>OK</v>
      </c>
      <c r="N2262" s="18" t="str">
        <f t="shared" si="4"/>
        <v>VALID</v>
      </c>
    </row>
    <row r="2263" ht="15.75" customHeight="1">
      <c r="A2263" s="13" t="str">
        <f>Raw_Data!A2263</f>
        <v>EMP2383</v>
      </c>
      <c r="B2263" s="13" t="str">
        <f>TRIM(CLEAN(Raw_Data!B2263))</f>
        <v>Finance</v>
      </c>
      <c r="C2263" s="18" t="s">
        <v>14</v>
      </c>
      <c r="D2263" s="14" t="str">
        <f>IF(ISBLANK(Raw_Data!D2263),AVERAGE(Raw_Data!D$2:D$5002),Raw_Data!D2263)</f>
        <v>74080.23</v>
      </c>
      <c r="E2263" s="15" t="str">
        <f>IF(ISBLANK(Raw_Data!E2263),AVERAGE(Raw_Data!E$2:E$5002),Raw_Data!E2263)</f>
        <v>24987.50</v>
      </c>
      <c r="F2263" s="15" t="str">
        <f>IF(ISBLANK(Raw_Data!F2263),AVERAGE(Raw_Data!F$2:F$5002),Raw_Data!F2263)</f>
        <v>18472.70</v>
      </c>
      <c r="G2263" s="14" t="str">
        <f>IF(ISBLANK(Raw_Data!G2263),AVERAGE(Raw_Data!G$2:G$5002),Raw_Data!G2263)</f>
        <v>15006.14</v>
      </c>
      <c r="H2263" s="15" t="str">
        <f t="shared" si="1"/>
        <v>117540.00</v>
      </c>
      <c r="I2263" s="14" t="str">
        <f t="shared" si="2"/>
        <v>102534.00</v>
      </c>
      <c r="J2263" s="16" t="str">
        <f>TEXT(Raw_Data!J2263,"MMM-YYY")</f>
        <v>Oct-2025</v>
      </c>
      <c r="K2263" s="13" t="str">
        <f>Raw_Data!K2263</f>
        <v>15</v>
      </c>
      <c r="L2263" s="17" t="str">
        <f>Raw_Data!L2263</f>
        <v>Bangalore-South</v>
      </c>
      <c r="M2263" s="13" t="str">
        <f t="shared" si="3"/>
        <v>OK</v>
      </c>
      <c r="N2263" s="18" t="str">
        <f t="shared" si="4"/>
        <v>VALID</v>
      </c>
    </row>
    <row r="2264" ht="15.75" customHeight="1">
      <c r="A2264" s="13" t="str">
        <f>Raw_Data!A2264</f>
        <v>EMP2384</v>
      </c>
      <c r="B2264" s="13" t="str">
        <f>TRIM(CLEAN(Raw_Data!B2264))</f>
        <v>Customer Support</v>
      </c>
      <c r="C2264" s="18" t="s">
        <v>33</v>
      </c>
      <c r="D2264" s="14" t="str">
        <f>IF(ISBLANK(Raw_Data!D2264),AVERAGE(Raw_Data!D$2:D$5002),Raw_Data!D2264)</f>
        <v>74091.11</v>
      </c>
      <c r="E2264" s="15" t="str">
        <f>IF(ISBLANK(Raw_Data!E2264),AVERAGE(Raw_Data!E$2:E$5002),Raw_Data!E2264)</f>
        <v>24992.11</v>
      </c>
      <c r="F2264" s="15" t="str">
        <f>IF(ISBLANK(Raw_Data!F2264),AVERAGE(Raw_Data!F$2:F$5002),Raw_Data!F2264)</f>
        <v>18480.38</v>
      </c>
      <c r="G2264" s="14" t="str">
        <f>IF(ISBLANK(Raw_Data!G2264),AVERAGE(Raw_Data!G$2:G$5002),Raw_Data!G2264)</f>
        <v>15009.54</v>
      </c>
      <c r="H2264" s="15" t="str">
        <f t="shared" si="1"/>
        <v>117564.00</v>
      </c>
      <c r="I2264" s="14" t="str">
        <f t="shared" si="2"/>
        <v>102554.00</v>
      </c>
      <c r="J2264" s="16" t="str">
        <f>TEXT(Raw_Data!J2264,"MMM-YYY")</f>
        <v>Sep-2025</v>
      </c>
      <c r="K2264" s="13" t="str">
        <f>Raw_Data!K2264</f>
        <v>6</v>
      </c>
      <c r="L2264" s="17" t="str">
        <f>Raw_Data!L2264</f>
        <v>Jaipur-North</v>
      </c>
      <c r="M2264" s="13" t="str">
        <f t="shared" si="3"/>
        <v>OK</v>
      </c>
      <c r="N2264" s="18" t="str">
        <f t="shared" si="4"/>
        <v>VALID</v>
      </c>
    </row>
    <row r="2265" ht="15.75" customHeight="1">
      <c r="A2265" s="13" t="str">
        <f>Raw_Data!A2265</f>
        <v>EMP2386</v>
      </c>
      <c r="B2265" s="13" t="str">
        <f>TRIM(CLEAN(Raw_Data!B2265))</f>
        <v>HR</v>
      </c>
      <c r="C2265" s="18" t="s">
        <v>30</v>
      </c>
      <c r="D2265" s="14" t="str">
        <f>IF(ISBLANK(Raw_Data!D2265),AVERAGE(Raw_Data!D$2:D$5002),Raw_Data!D2265)</f>
        <v>74112.88</v>
      </c>
      <c r="E2265" s="15" t="str">
        <f>IF(ISBLANK(Raw_Data!E2265),AVERAGE(Raw_Data!E$2:E$5002),Raw_Data!E2265)</f>
        <v>25001.34</v>
      </c>
      <c r="F2265" s="15" t="str">
        <f>IF(ISBLANK(Raw_Data!F2265),AVERAGE(Raw_Data!F$2:F$5002),Raw_Data!F2265)</f>
        <v>18495.74</v>
      </c>
      <c r="G2265" s="14" t="str">
        <f>IF(ISBLANK(Raw_Data!G2265),AVERAGE(Raw_Data!G$2:G$5002),Raw_Data!G2265)</f>
        <v>15016.33</v>
      </c>
      <c r="H2265" s="15" t="str">
        <f t="shared" si="1"/>
        <v>117610.00</v>
      </c>
      <c r="I2265" s="14" t="str">
        <f t="shared" si="2"/>
        <v>102594.00</v>
      </c>
      <c r="J2265" s="16" t="str">
        <f>TEXT(Raw_Data!J2265,"MMM-YYY")</f>
        <v>May-2025</v>
      </c>
      <c r="K2265" s="13" t="str">
        <f>Raw_Data!K2265</f>
        <v>18</v>
      </c>
      <c r="L2265" s="17" t="str">
        <f>Raw_Data!L2265</f>
        <v>Mumbai-HO</v>
      </c>
      <c r="M2265" s="13" t="str">
        <f t="shared" si="3"/>
        <v>OK</v>
      </c>
      <c r="N2265" s="18" t="str">
        <f t="shared" si="4"/>
        <v>VALID</v>
      </c>
    </row>
    <row r="2266" ht="15.75" customHeight="1">
      <c r="A2266" s="13" t="str">
        <f>Raw_Data!A2266</f>
        <v>EMP2387</v>
      </c>
      <c r="B2266" s="13" t="str">
        <f>TRIM(CLEAN(Raw_Data!B2266))</f>
        <v>Sales</v>
      </c>
      <c r="C2266" s="18" t="s">
        <v>33</v>
      </c>
      <c r="D2266" s="14" t="str">
        <f>IF(ISBLANK(Raw_Data!D2266),AVERAGE(Raw_Data!D$2:D$5002),Raw_Data!D2266)</f>
        <v>74123.76</v>
      </c>
      <c r="E2266" s="15" t="str">
        <f>IF(ISBLANK(Raw_Data!E2266),AVERAGE(Raw_Data!E$2:E$5002),Raw_Data!E2266)</f>
        <v>25005.96</v>
      </c>
      <c r="F2266" s="15" t="str">
        <f>IF(ISBLANK(Raw_Data!F2266),AVERAGE(Raw_Data!F$2:F$5002),Raw_Data!F2266)</f>
        <v>18503.42</v>
      </c>
      <c r="G2266" s="14" t="str">
        <f>IF(ISBLANK(Raw_Data!G2266),AVERAGE(Raw_Data!G$2:G$5002),Raw_Data!G2266)</f>
        <v>15019.73</v>
      </c>
      <c r="H2266" s="15" t="str">
        <f t="shared" si="1"/>
        <v>117633.00</v>
      </c>
      <c r="I2266" s="14" t="str">
        <f t="shared" si="2"/>
        <v>102613.00</v>
      </c>
      <c r="J2266" s="16" t="str">
        <f>TEXT(Raw_Data!J2266,"MMM-YYY")</f>
        <v>Feb-2025</v>
      </c>
      <c r="K2266" s="13" t="str">
        <f>Raw_Data!K2266</f>
        <v>20</v>
      </c>
      <c r="L2266" s="17" t="str">
        <f>Raw_Data!L2266</f>
        <v>Pune-West</v>
      </c>
      <c r="M2266" s="13" t="str">
        <f t="shared" si="3"/>
        <v>OK</v>
      </c>
      <c r="N2266" s="18" t="str">
        <f t="shared" si="4"/>
        <v>VALID</v>
      </c>
    </row>
    <row r="2267" ht="15.75" customHeight="1">
      <c r="A2267" s="13" t="str">
        <f>Raw_Data!A2267</f>
        <v>EMP2388</v>
      </c>
      <c r="B2267" s="13" t="str">
        <f>TRIM(CLEAN(Raw_Data!B2267))</f>
        <v>Sales</v>
      </c>
      <c r="C2267" s="18" t="s">
        <v>37</v>
      </c>
      <c r="D2267" s="14" t="str">
        <f>IF(ISBLANK(Raw_Data!D2267),AVERAGE(Raw_Data!D$2:D$5002),Raw_Data!D2267)</f>
        <v>74134.64</v>
      </c>
      <c r="E2267" s="15" t="str">
        <f>IF(ISBLANK(Raw_Data!E2267),AVERAGE(Raw_Data!E$2:E$5002),Raw_Data!E2267)</f>
        <v>25010.57</v>
      </c>
      <c r="F2267" s="15" t="str">
        <f>IF(ISBLANK(Raw_Data!F2267),AVERAGE(Raw_Data!F$2:F$5002),Raw_Data!F2267)</f>
        <v>18511.10</v>
      </c>
      <c r="G2267" s="14" t="str">
        <f>IF(ISBLANK(Raw_Data!G2267),AVERAGE(Raw_Data!G$2:G$5002),Raw_Data!G2267)</f>
        <v>15023.13</v>
      </c>
      <c r="H2267" s="15" t="str">
        <f t="shared" si="1"/>
        <v>117656.00</v>
      </c>
      <c r="I2267" s="14" t="str">
        <f t="shared" si="2"/>
        <v>102633.00</v>
      </c>
      <c r="J2267" s="16" t="str">
        <f>TEXT(Raw_Data!J2267,"MMM-YYY")</f>
        <v>Feb-2025</v>
      </c>
      <c r="K2267" s="13" t="str">
        <f>Raw_Data!K2267</f>
        <v>15</v>
      </c>
      <c r="L2267" s="17" t="str">
        <f>Raw_Data!L2267</f>
        <v>Jaipur-North</v>
      </c>
      <c r="M2267" s="13" t="str">
        <f t="shared" si="3"/>
        <v>OK</v>
      </c>
      <c r="N2267" s="18" t="str">
        <f t="shared" si="4"/>
        <v>VALID</v>
      </c>
    </row>
    <row r="2268" ht="15.75" customHeight="1">
      <c r="A2268" s="13" t="str">
        <f>Raw_Data!A2268</f>
        <v>EMP2390</v>
      </c>
      <c r="B2268" s="13" t="str">
        <f>TRIM(CLEAN(Raw_Data!B2268))</f>
        <v>Finance</v>
      </c>
      <c r="C2268" s="18" t="s">
        <v>14</v>
      </c>
      <c r="D2268" s="14" t="str">
        <f>IF(ISBLANK(Raw_Data!D2268),AVERAGE(Raw_Data!D$2:D$5002),Raw_Data!D2268)</f>
        <v>74156.41</v>
      </c>
      <c r="E2268" s="15" t="str">
        <f>IF(ISBLANK(Raw_Data!E2268),AVERAGE(Raw_Data!E$2:E$5002),Raw_Data!E2268)</f>
        <v>25019.80</v>
      </c>
      <c r="F2268" s="15" t="str">
        <f>IF(ISBLANK(Raw_Data!F2268),AVERAGE(Raw_Data!F$2:F$5002),Raw_Data!F2268)</f>
        <v>18526.46</v>
      </c>
      <c r="G2268" s="14" t="str">
        <f>IF(ISBLANK(Raw_Data!G2268),AVERAGE(Raw_Data!G$2:G$5002),Raw_Data!G2268)</f>
        <v>15029.93</v>
      </c>
      <c r="H2268" s="15" t="str">
        <f t="shared" si="1"/>
        <v>117703.00</v>
      </c>
      <c r="I2268" s="14" t="str">
        <f t="shared" si="2"/>
        <v>102673.00</v>
      </c>
      <c r="J2268" s="16" t="str">
        <f>TEXT(Raw_Data!J2268,"MMM-YYY")</f>
        <v>Mar-2025</v>
      </c>
      <c r="K2268" s="13" t="str">
        <f>Raw_Data!K2268</f>
        <v>20</v>
      </c>
      <c r="L2268" s="17" t="str">
        <f>Raw_Data!L2268</f>
        <v>Mumbai-HO</v>
      </c>
      <c r="M2268" s="13" t="str">
        <f t="shared" si="3"/>
        <v>OK</v>
      </c>
      <c r="N2268" s="18" t="str">
        <f t="shared" si="4"/>
        <v>VALID</v>
      </c>
    </row>
    <row r="2269" ht="15.75" customHeight="1">
      <c r="A2269" s="13" t="str">
        <f>Raw_Data!A2269</f>
        <v>EMP2391</v>
      </c>
      <c r="B2269" s="13" t="str">
        <f>TRIM(CLEAN(Raw_Data!B2269))</f>
        <v>Finance</v>
      </c>
      <c r="C2269" s="18" t="s">
        <v>14</v>
      </c>
      <c r="D2269" s="14" t="str">
        <f>IF(ISBLANK(Raw_Data!D2269),AVERAGE(Raw_Data!D$2:D$5002),Raw_Data!D2269)</f>
        <v>74167.29</v>
      </c>
      <c r="E2269" s="15" t="str">
        <f>IF(ISBLANK(Raw_Data!E2269),AVERAGE(Raw_Data!E$2:E$5002),Raw_Data!E2269)</f>
        <v>25024.42</v>
      </c>
      <c r="F2269" s="15" t="str">
        <f>IF(ISBLANK(Raw_Data!F2269),AVERAGE(Raw_Data!F$2:F$5002),Raw_Data!F2269)</f>
        <v>18534.14</v>
      </c>
      <c r="G2269" s="14" t="str">
        <f>IF(ISBLANK(Raw_Data!G2269),AVERAGE(Raw_Data!G$2:G$5002),Raw_Data!G2269)</f>
        <v>15033.32</v>
      </c>
      <c r="H2269" s="15" t="str">
        <f t="shared" si="1"/>
        <v>117726.00</v>
      </c>
      <c r="I2269" s="14" t="str">
        <f t="shared" si="2"/>
        <v>102693.00</v>
      </c>
      <c r="J2269" s="16" t="str">
        <f>TEXT(Raw_Data!J2269,"MMM-YYY")</f>
        <v>Jun-2025</v>
      </c>
      <c r="K2269" s="13" t="str">
        <f>Raw_Data!K2269</f>
        <v>9</v>
      </c>
      <c r="L2269" s="17" t="str">
        <f>Raw_Data!L2269</f>
        <v>Bangalore-South</v>
      </c>
      <c r="M2269" s="13" t="str">
        <f t="shared" si="3"/>
        <v>OK</v>
      </c>
      <c r="N2269" s="18" t="str">
        <f t="shared" si="4"/>
        <v>VALID</v>
      </c>
    </row>
    <row r="2270" ht="15.75" customHeight="1">
      <c r="A2270" s="13" t="str">
        <f>Raw_Data!A2270</f>
        <v>EMP2392</v>
      </c>
      <c r="B2270" s="13" t="str">
        <f>TRIM(CLEAN(Raw_Data!B2270))</f>
        <v>Marketing</v>
      </c>
      <c r="C2270" s="18" t="s">
        <v>26</v>
      </c>
      <c r="D2270" s="14" t="str">
        <f>IF(ISBLANK(Raw_Data!D2270),AVERAGE(Raw_Data!D$2:D$5002),Raw_Data!D2270)</f>
        <v>74178.17</v>
      </c>
      <c r="E2270" s="15" t="str">
        <f>IF(ISBLANK(Raw_Data!E2270),AVERAGE(Raw_Data!E$2:E$5002),Raw_Data!E2270)</f>
        <v>25029.03</v>
      </c>
      <c r="F2270" s="15" t="str">
        <f>IF(ISBLANK(Raw_Data!F2270),AVERAGE(Raw_Data!F$2:F$5002),Raw_Data!F2270)</f>
        <v>18541.82</v>
      </c>
      <c r="G2270" s="14" t="str">
        <f>IF(ISBLANK(Raw_Data!G2270),AVERAGE(Raw_Data!G$2:G$5002),Raw_Data!G2270)</f>
        <v>14562.73</v>
      </c>
      <c r="H2270" s="15" t="str">
        <f t="shared" si="1"/>
        <v>117749.00</v>
      </c>
      <c r="I2270" s="14" t="str">
        <f t="shared" si="2"/>
        <v>103186.00</v>
      </c>
      <c r="J2270" s="16" t="str">
        <f>TEXT(Raw_Data!J2270,"MMM-YYY")</f>
        <v>Dec-2025</v>
      </c>
      <c r="K2270" s="13" t="str">
        <f>Raw_Data!K2270</f>
        <v>20</v>
      </c>
      <c r="L2270" s="17" t="str">
        <f>Raw_Data!L2270</f>
        <v>Delhi-North</v>
      </c>
      <c r="M2270" s="13" t="str">
        <f t="shared" si="3"/>
        <v>OK</v>
      </c>
      <c r="N2270" s="18" t="str">
        <f t="shared" si="4"/>
        <v>VALID</v>
      </c>
    </row>
    <row r="2271" ht="15.75" customHeight="1">
      <c r="A2271" s="13" t="str">
        <f>Raw_Data!A2271</f>
        <v>EMP2393</v>
      </c>
      <c r="B2271" s="13" t="str">
        <f>TRIM(CLEAN(Raw_Data!B2271))</f>
        <v>Finance</v>
      </c>
      <c r="C2271" s="18" t="s">
        <v>18</v>
      </c>
      <c r="D2271" s="14" t="str">
        <f>IF(ISBLANK(Raw_Data!D2271),AVERAGE(Raw_Data!D$2:D$5002),Raw_Data!D2271)</f>
        <v>74189.06</v>
      </c>
      <c r="E2271" s="15" t="str">
        <f>IF(ISBLANK(Raw_Data!E2271),AVERAGE(Raw_Data!E$2:E$5002),Raw_Data!E2271)</f>
        <v>25033.65</v>
      </c>
      <c r="F2271" s="15" t="str">
        <f>IF(ISBLANK(Raw_Data!F2271),AVERAGE(Raw_Data!F$2:F$5002),Raw_Data!F2271)</f>
        <v>18549.50</v>
      </c>
      <c r="G2271" s="14" t="str">
        <f>IF(ISBLANK(Raw_Data!G2271),AVERAGE(Raw_Data!G$2:G$5002),Raw_Data!G2271)</f>
        <v>15040.12</v>
      </c>
      <c r="H2271" s="15" t="str">
        <f t="shared" si="1"/>
        <v>117772.00</v>
      </c>
      <c r="I2271" s="14" t="str">
        <f t="shared" si="2"/>
        <v>102732.00</v>
      </c>
      <c r="J2271" s="16" t="str">
        <f>TEXT(Raw_Data!J2271,"MMM-YYY")</f>
        <v>Aug-2025</v>
      </c>
      <c r="K2271" s="13" t="str">
        <f>Raw_Data!K2271</f>
        <v>21</v>
      </c>
      <c r="L2271" s="17" t="str">
        <f>Raw_Data!L2271</f>
        <v>Chennai-South</v>
      </c>
      <c r="M2271" s="13" t="str">
        <f t="shared" si="3"/>
        <v>OK</v>
      </c>
      <c r="N2271" s="18" t="str">
        <f t="shared" si="4"/>
        <v>VALID</v>
      </c>
    </row>
    <row r="2272" ht="15.75" customHeight="1">
      <c r="A2272" s="13" t="str">
        <f>Raw_Data!A2272</f>
        <v>EMP2394</v>
      </c>
      <c r="B2272" s="13" t="str">
        <f>TRIM(CLEAN(Raw_Data!B2272))</f>
        <v>Finance</v>
      </c>
      <c r="C2272" s="18" t="s">
        <v>14</v>
      </c>
      <c r="D2272" s="14" t="str">
        <f>IF(ISBLANK(Raw_Data!D2272),AVERAGE(Raw_Data!D$2:D$5002),Raw_Data!D2272)</f>
        <v>74199.94</v>
      </c>
      <c r="E2272" s="15" t="str">
        <f>IF(ISBLANK(Raw_Data!E2272),AVERAGE(Raw_Data!E$2:E$5002),Raw_Data!E2272)</f>
        <v>25038.26</v>
      </c>
      <c r="F2272" s="15" t="str">
        <f>IF(ISBLANK(Raw_Data!F2272),AVERAGE(Raw_Data!F$2:F$5002),Raw_Data!F2272)</f>
        <v>18557.18</v>
      </c>
      <c r="G2272" s="14" t="str">
        <f>IF(ISBLANK(Raw_Data!G2272),AVERAGE(Raw_Data!G$2:G$5002),Raw_Data!G2272)</f>
        <v>15043.52</v>
      </c>
      <c r="H2272" s="15" t="str">
        <f t="shared" si="1"/>
        <v>117795.00</v>
      </c>
      <c r="I2272" s="14" t="str">
        <f t="shared" si="2"/>
        <v>102751.00</v>
      </c>
      <c r="J2272" s="16" t="str">
        <f>TEXT(Raw_Data!J2272,"MMM-YYY")</f>
        <v>Dec-2025</v>
      </c>
      <c r="K2272" s="13" t="str">
        <f>Raw_Data!K2272</f>
        <v>11</v>
      </c>
      <c r="L2272" s="17" t="str">
        <f>Raw_Data!L2272</f>
        <v>Hyderabad-South</v>
      </c>
      <c r="M2272" s="13" t="str">
        <f t="shared" si="3"/>
        <v>OK</v>
      </c>
      <c r="N2272" s="18" t="str">
        <f t="shared" si="4"/>
        <v>VALID</v>
      </c>
    </row>
    <row r="2273" ht="15.75" customHeight="1">
      <c r="A2273" s="13" t="str">
        <f>Raw_Data!A2273</f>
        <v>EMP2395</v>
      </c>
      <c r="B2273" s="13" t="str">
        <f>TRIM(CLEAN(Raw_Data!B2273))</f>
        <v>Sales</v>
      </c>
      <c r="C2273" s="18" t="s">
        <v>26</v>
      </c>
      <c r="D2273" s="14" t="str">
        <f>IF(ISBLANK(Raw_Data!D2273),AVERAGE(Raw_Data!D$2:D$5002),Raw_Data!D2273)</f>
        <v>74210.82</v>
      </c>
      <c r="E2273" s="15" t="str">
        <f>IF(ISBLANK(Raw_Data!E2273),AVERAGE(Raw_Data!E$2:E$5002),Raw_Data!E2273)</f>
        <v>25042.87</v>
      </c>
      <c r="F2273" s="15" t="str">
        <f>IF(ISBLANK(Raw_Data!F2273),AVERAGE(Raw_Data!F$2:F$5002),Raw_Data!F2273)</f>
        <v>18564.86</v>
      </c>
      <c r="G2273" s="14" t="str">
        <f>IF(ISBLANK(Raw_Data!G2273),AVERAGE(Raw_Data!G$2:G$5002),Raw_Data!G2273)</f>
        <v>15046.91</v>
      </c>
      <c r="H2273" s="15" t="str">
        <f t="shared" si="1"/>
        <v>117819.00</v>
      </c>
      <c r="I2273" s="14" t="str">
        <f t="shared" si="2"/>
        <v>102772.00</v>
      </c>
      <c r="J2273" s="16" t="str">
        <f>TEXT(Raw_Data!J2273,"MMM-YYY")</f>
        <v>Oct-2025</v>
      </c>
      <c r="K2273" s="13" t="str">
        <f>Raw_Data!K2273</f>
        <v>7</v>
      </c>
      <c r="L2273" s="17" t="str">
        <f>Raw_Data!L2273</f>
        <v>Chandigarh-North</v>
      </c>
      <c r="M2273" s="13" t="str">
        <f t="shared" si="3"/>
        <v>OK</v>
      </c>
      <c r="N2273" s="18" t="str">
        <f t="shared" si="4"/>
        <v>VALID</v>
      </c>
    </row>
    <row r="2274" ht="15.75" customHeight="1">
      <c r="A2274" s="13" t="str">
        <f>Raw_Data!A2274</f>
        <v>EMP2396</v>
      </c>
      <c r="B2274" s="13" t="str">
        <f>TRIM(CLEAN(Raw_Data!B2274))</f>
        <v>IT</v>
      </c>
      <c r="C2274" s="18" t="s">
        <v>26</v>
      </c>
      <c r="D2274" s="14" t="str">
        <f>IF(ISBLANK(Raw_Data!D2274),AVERAGE(Raw_Data!D$2:D$5002),Raw_Data!D2274)</f>
        <v>74221.71</v>
      </c>
      <c r="E2274" s="15" t="str">
        <f>IF(ISBLANK(Raw_Data!E2274),AVERAGE(Raw_Data!E$2:E$5002),Raw_Data!E2274)</f>
        <v>25047.49</v>
      </c>
      <c r="F2274" s="15" t="str">
        <f>IF(ISBLANK(Raw_Data!F2274),AVERAGE(Raw_Data!F$2:F$5002),Raw_Data!F2274)</f>
        <v>18572.54</v>
      </c>
      <c r="G2274" s="14" t="str">
        <f>IF(ISBLANK(Raw_Data!G2274),AVERAGE(Raw_Data!G$2:G$5002),Raw_Data!G2274)</f>
        <v>15050.31</v>
      </c>
      <c r="H2274" s="15" t="str">
        <f t="shared" si="1"/>
        <v>117842.00</v>
      </c>
      <c r="I2274" s="14" t="str">
        <f t="shared" si="2"/>
        <v>102792.00</v>
      </c>
      <c r="J2274" s="16" t="str">
        <f>TEXT(Raw_Data!J2274,"MMM-YYY")</f>
        <v>Aug-2025</v>
      </c>
      <c r="K2274" s="13" t="str">
        <f>Raw_Data!K2274</f>
        <v>12</v>
      </c>
      <c r="L2274" s="17" t="str">
        <f>Raw_Data!L2274</f>
        <v>Chennai-South</v>
      </c>
      <c r="M2274" s="13" t="str">
        <f t="shared" si="3"/>
        <v>OK</v>
      </c>
      <c r="N2274" s="18" t="str">
        <f t="shared" si="4"/>
        <v>VALID</v>
      </c>
    </row>
    <row r="2275" ht="15.75" customHeight="1">
      <c r="A2275" s="13" t="str">
        <f>Raw_Data!A2275</f>
        <v>EMP2397</v>
      </c>
      <c r="B2275" s="13" t="str">
        <f>TRIM(CLEAN(Raw_Data!B2275))</f>
        <v>HR</v>
      </c>
      <c r="C2275" s="18" t="s">
        <v>26</v>
      </c>
      <c r="D2275" s="14" t="str">
        <f>IF(ISBLANK(Raw_Data!D2275),AVERAGE(Raw_Data!D$2:D$5002),Raw_Data!D2275)</f>
        <v>74232.59</v>
      </c>
      <c r="E2275" s="15" t="str">
        <f>IF(ISBLANK(Raw_Data!E2275),AVERAGE(Raw_Data!E$2:E$5002),Raw_Data!E2275)</f>
        <v>25052.10</v>
      </c>
      <c r="F2275" s="15" t="str">
        <f>IF(ISBLANK(Raw_Data!F2275),AVERAGE(Raw_Data!F$2:F$5002),Raw_Data!F2275)</f>
        <v>18580.22</v>
      </c>
      <c r="G2275" s="14" t="str">
        <f>IF(ISBLANK(Raw_Data!G2275),AVERAGE(Raw_Data!G$2:G$5002),Raw_Data!G2275)</f>
        <v>15053.71</v>
      </c>
      <c r="H2275" s="15" t="str">
        <f t="shared" si="1"/>
        <v>117865.00</v>
      </c>
      <c r="I2275" s="14" t="str">
        <f t="shared" si="2"/>
        <v>102811.00</v>
      </c>
      <c r="J2275" s="16" t="str">
        <f>TEXT(Raw_Data!J2275,"MMM-YYY")</f>
        <v>Jan-2025</v>
      </c>
      <c r="K2275" s="13" t="str">
        <f>Raw_Data!K2275</f>
        <v>18</v>
      </c>
      <c r="L2275" s="17" t="str">
        <f>Raw_Data!L2275</f>
        <v>Hyderabad-South</v>
      </c>
      <c r="M2275" s="13" t="str">
        <f t="shared" si="3"/>
        <v>OK</v>
      </c>
      <c r="N2275" s="18" t="str">
        <f t="shared" si="4"/>
        <v>VALID</v>
      </c>
    </row>
    <row r="2276" ht="15.75" customHeight="1">
      <c r="A2276" s="13" t="str">
        <f>Raw_Data!A2276</f>
        <v>EMP2398</v>
      </c>
      <c r="B2276" s="13" t="str">
        <f>TRIM(CLEAN(Raw_Data!B2276))</f>
        <v>Operations</v>
      </c>
      <c r="C2276" s="18" t="s">
        <v>30</v>
      </c>
      <c r="D2276" s="14" t="str">
        <f>IF(ISBLANK(Raw_Data!D2276),AVERAGE(Raw_Data!D$2:D$5002),Raw_Data!D2276)</f>
        <v>74243.47</v>
      </c>
      <c r="E2276" s="15" t="str">
        <f>IF(ISBLANK(Raw_Data!E2276),AVERAGE(Raw_Data!E$2:E$5002),Raw_Data!E2276)</f>
        <v>25056.72</v>
      </c>
      <c r="F2276" s="15" t="str">
        <f>IF(ISBLANK(Raw_Data!F2276),AVERAGE(Raw_Data!F$2:F$5002),Raw_Data!F2276)</f>
        <v>18587.90</v>
      </c>
      <c r="G2276" s="14" t="str">
        <f>IF(ISBLANK(Raw_Data!G2276),AVERAGE(Raw_Data!G$2:G$5002),Raw_Data!G2276)</f>
        <v>15057.11</v>
      </c>
      <c r="H2276" s="15" t="str">
        <f t="shared" si="1"/>
        <v>117888.00</v>
      </c>
      <c r="I2276" s="14" t="str">
        <f t="shared" si="2"/>
        <v>102831.00</v>
      </c>
      <c r="J2276" s="16" t="str">
        <f>TEXT(Raw_Data!J2276,"MMM-YYY")</f>
        <v>Nov-2025</v>
      </c>
      <c r="K2276" s="13" t="str">
        <f>Raw_Data!K2276</f>
        <v>9</v>
      </c>
      <c r="L2276" s="17" t="str">
        <f>Raw_Data!L2276</f>
        <v>Jaipur-North</v>
      </c>
      <c r="M2276" s="13" t="str">
        <f t="shared" si="3"/>
        <v>OK</v>
      </c>
      <c r="N2276" s="18" t="str">
        <f t="shared" si="4"/>
        <v>VALID</v>
      </c>
    </row>
    <row r="2277" ht="15.75" customHeight="1">
      <c r="A2277" s="13" t="str">
        <f>Raw_Data!A2277</f>
        <v>EMP2399</v>
      </c>
      <c r="B2277" s="13" t="str">
        <f>TRIM(CLEAN(Raw_Data!B2277))</f>
        <v>Operations</v>
      </c>
      <c r="C2277" s="18" t="s">
        <v>54</v>
      </c>
      <c r="D2277" s="14" t="str">
        <f>IF(ISBLANK(Raw_Data!D2277),AVERAGE(Raw_Data!D$2:D$5002),Raw_Data!D2277)</f>
        <v>74254.35</v>
      </c>
      <c r="E2277" s="15" t="str">
        <f>IF(ISBLANK(Raw_Data!E2277),AVERAGE(Raw_Data!E$2:E$5002),Raw_Data!E2277)</f>
        <v>25061.33</v>
      </c>
      <c r="F2277" s="15" t="str">
        <f>IF(ISBLANK(Raw_Data!F2277),AVERAGE(Raw_Data!F$2:F$5002),Raw_Data!F2277)</f>
        <v>18595.58</v>
      </c>
      <c r="G2277" s="14" t="str">
        <f>IF(ISBLANK(Raw_Data!G2277),AVERAGE(Raw_Data!G$2:G$5002),Raw_Data!G2277)</f>
        <v>15060.50</v>
      </c>
      <c r="H2277" s="15" t="str">
        <f t="shared" si="1"/>
        <v>117911.00</v>
      </c>
      <c r="I2277" s="14" t="str">
        <f t="shared" si="2"/>
        <v>102850.00</v>
      </c>
      <c r="J2277" s="16" t="str">
        <f>TEXT(Raw_Data!J2277,"MMM-YYY")</f>
        <v>Jul-2025</v>
      </c>
      <c r="K2277" s="13" t="str">
        <f>Raw_Data!K2277</f>
        <v>8</v>
      </c>
      <c r="L2277" s="17" t="str">
        <f>Raw_Data!L2277</f>
        <v>Jaipur-North</v>
      </c>
      <c r="M2277" s="13" t="str">
        <f t="shared" si="3"/>
        <v>OK</v>
      </c>
      <c r="N2277" s="18" t="str">
        <f t="shared" si="4"/>
        <v>VALID</v>
      </c>
    </row>
    <row r="2278" ht="15.75" customHeight="1">
      <c r="A2278" s="13" t="str">
        <f>Raw_Data!A2278</f>
        <v>EMP2400</v>
      </c>
      <c r="B2278" s="13" t="str">
        <f>TRIM(CLEAN(Raw_Data!B2278))</f>
        <v>Operations</v>
      </c>
      <c r="C2278" s="18" t="s">
        <v>33</v>
      </c>
      <c r="D2278" s="14" t="str">
        <f>IF(ISBLANK(Raw_Data!D2278),AVERAGE(Raw_Data!D$2:D$5002),Raw_Data!D2278)</f>
        <v>74265.24</v>
      </c>
      <c r="E2278" s="15" t="str">
        <f>IF(ISBLANK(Raw_Data!E2278),AVERAGE(Raw_Data!E$2:E$5002),Raw_Data!E2278)</f>
        <v>25065.95</v>
      </c>
      <c r="F2278" s="15" t="str">
        <f>IF(ISBLANK(Raw_Data!F2278),AVERAGE(Raw_Data!F$2:F$5002),Raw_Data!F2278)</f>
        <v>18603.26</v>
      </c>
      <c r="G2278" s="14" t="str">
        <f>IF(ISBLANK(Raw_Data!G2278),AVERAGE(Raw_Data!G$2:G$5002),Raw_Data!G2278)</f>
        <v>15063.90</v>
      </c>
      <c r="H2278" s="15" t="str">
        <f t="shared" si="1"/>
        <v>117934.00</v>
      </c>
      <c r="I2278" s="14" t="str">
        <f t="shared" si="2"/>
        <v>102870.00</v>
      </c>
      <c r="J2278" s="16" t="str">
        <f>TEXT(Raw_Data!J2278,"MMM-YYY")</f>
        <v>Dec-2025</v>
      </c>
      <c r="K2278" s="13" t="str">
        <f>Raw_Data!K2278</f>
        <v>24</v>
      </c>
      <c r="L2278" s="17" t="str">
        <f>Raw_Data!L2278</f>
        <v>Mumbai-HO</v>
      </c>
      <c r="M2278" s="13" t="str">
        <f t="shared" si="3"/>
        <v>OK</v>
      </c>
      <c r="N2278" s="18" t="str">
        <f t="shared" si="4"/>
        <v>VALID</v>
      </c>
    </row>
    <row r="2279" ht="15.75" customHeight="1">
      <c r="A2279" s="13" t="str">
        <f>Raw_Data!A2279</f>
        <v>EMP2401</v>
      </c>
      <c r="B2279" s="13" t="str">
        <f>TRIM(CLEAN(Raw_Data!B2279))</f>
        <v>IT</v>
      </c>
      <c r="C2279" s="18" t="s">
        <v>14</v>
      </c>
      <c r="D2279" s="14" t="str">
        <f>IF(ISBLANK(Raw_Data!D2279),AVERAGE(Raw_Data!D$2:D$5002),Raw_Data!D2279)</f>
        <v>74276.12</v>
      </c>
      <c r="E2279" s="15" t="str">
        <f>IF(ISBLANK(Raw_Data!E2279),AVERAGE(Raw_Data!E$2:E$5002),Raw_Data!E2279)</f>
        <v>25070.56</v>
      </c>
      <c r="F2279" s="15" t="str">
        <f>IF(ISBLANK(Raw_Data!F2279),AVERAGE(Raw_Data!F$2:F$5002),Raw_Data!F2279)</f>
        <v>18610.94</v>
      </c>
      <c r="G2279" s="14" t="str">
        <f>IF(ISBLANK(Raw_Data!G2279),AVERAGE(Raw_Data!G$2:G$5002),Raw_Data!G2279)</f>
        <v>15067.30</v>
      </c>
      <c r="H2279" s="15" t="str">
        <f t="shared" si="1"/>
        <v>117958.00</v>
      </c>
      <c r="I2279" s="14" t="str">
        <f t="shared" si="2"/>
        <v>102891.00</v>
      </c>
      <c r="J2279" s="16" t="str">
        <f>TEXT(Raw_Data!J2279,"MMM-YYY")</f>
        <v>Dec-2025</v>
      </c>
      <c r="K2279" s="13" t="str">
        <f>Raw_Data!K2279</f>
        <v>13</v>
      </c>
      <c r="L2279" s="17" t="str">
        <f>Raw_Data!L2279</f>
        <v>Chandigarh-North</v>
      </c>
      <c r="M2279" s="13" t="str">
        <f t="shared" si="3"/>
        <v>OK</v>
      </c>
      <c r="N2279" s="18" t="str">
        <f t="shared" si="4"/>
        <v>VALID</v>
      </c>
    </row>
    <row r="2280" ht="15.75" customHeight="1">
      <c r="A2280" s="13" t="str">
        <f>Raw_Data!A2280</f>
        <v>EMP2402</v>
      </c>
      <c r="B2280" s="13" t="str">
        <f>TRIM(CLEAN(Raw_Data!B2280))</f>
        <v>HR</v>
      </c>
      <c r="C2280" s="18" t="s">
        <v>33</v>
      </c>
      <c r="D2280" s="14" t="str">
        <f>IF(ISBLANK(Raw_Data!D2280),AVERAGE(Raw_Data!D$2:D$5002),Raw_Data!D2280)</f>
        <v>74287.00</v>
      </c>
      <c r="E2280" s="15" t="str">
        <f>IF(ISBLANK(Raw_Data!E2280),AVERAGE(Raw_Data!E$2:E$5002),Raw_Data!E2280)</f>
        <v>25075.18</v>
      </c>
      <c r="F2280" s="15" t="str">
        <f>IF(ISBLANK(Raw_Data!F2280),AVERAGE(Raw_Data!F$2:F$5002),Raw_Data!F2280)</f>
        <v>18618.62</v>
      </c>
      <c r="G2280" s="14" t="str">
        <f>IF(ISBLANK(Raw_Data!G2280),AVERAGE(Raw_Data!G$2:G$5002),Raw_Data!G2280)</f>
        <v>15070.70</v>
      </c>
      <c r="H2280" s="15" t="str">
        <f t="shared" si="1"/>
        <v>117981.00</v>
      </c>
      <c r="I2280" s="14" t="str">
        <f t="shared" si="2"/>
        <v>102910.00</v>
      </c>
      <c r="J2280" s="16" t="str">
        <f>TEXT(Raw_Data!J2280,"MMM-YYY")</f>
        <v>Aug-2025</v>
      </c>
      <c r="K2280" s="13" t="str">
        <f>Raw_Data!K2280</f>
        <v>2</v>
      </c>
      <c r="L2280" s="17" t="str">
        <f>Raw_Data!L2280</f>
        <v>Ahmedabad-West</v>
      </c>
      <c r="M2280" s="13" t="str">
        <f t="shared" si="3"/>
        <v>OK</v>
      </c>
      <c r="N2280" s="18" t="str">
        <f t="shared" si="4"/>
        <v>VALID</v>
      </c>
    </row>
    <row r="2281" ht="15.75" customHeight="1">
      <c r="A2281" s="13" t="str">
        <f>Raw_Data!A2281</f>
        <v>EMP2403</v>
      </c>
      <c r="B2281" s="13" t="str">
        <f>TRIM(CLEAN(Raw_Data!B2281))</f>
        <v>Marketing</v>
      </c>
      <c r="C2281" s="18" t="s">
        <v>26</v>
      </c>
      <c r="D2281" s="14" t="str">
        <f>IF(ISBLANK(Raw_Data!D2281),AVERAGE(Raw_Data!D$2:D$5002),Raw_Data!D2281)</f>
        <v>74297.89</v>
      </c>
      <c r="E2281" s="15" t="str">
        <f>IF(ISBLANK(Raw_Data!E2281),AVERAGE(Raw_Data!E$2:E$5002),Raw_Data!E2281)</f>
        <v>25079.79</v>
      </c>
      <c r="F2281" s="15" t="str">
        <f>IF(ISBLANK(Raw_Data!F2281),AVERAGE(Raw_Data!F$2:F$5002),Raw_Data!F2281)</f>
        <v>18626.30</v>
      </c>
      <c r="G2281" s="14" t="str">
        <f>IF(ISBLANK(Raw_Data!G2281),AVERAGE(Raw_Data!G$2:G$5002),Raw_Data!G2281)</f>
        <v>15074.09</v>
      </c>
      <c r="H2281" s="15" t="str">
        <f t="shared" si="1"/>
        <v>118004.00</v>
      </c>
      <c r="I2281" s="14" t="str">
        <f t="shared" si="2"/>
        <v>102930.00</v>
      </c>
      <c r="J2281" s="16" t="str">
        <f>TEXT(Raw_Data!J2281,"MMM-YYY")</f>
        <v>Apr-2025</v>
      </c>
      <c r="K2281" s="13" t="str">
        <f>Raw_Data!K2281</f>
        <v>11</v>
      </c>
      <c r="L2281" s="17" t="str">
        <f>Raw_Data!L2281</f>
        <v>Mumbai-HO</v>
      </c>
      <c r="M2281" s="13" t="str">
        <f t="shared" si="3"/>
        <v>OK</v>
      </c>
      <c r="N2281" s="18" t="str">
        <f t="shared" si="4"/>
        <v>VALID</v>
      </c>
    </row>
    <row r="2282" ht="15.75" customHeight="1">
      <c r="A2282" s="13" t="str">
        <f>Raw_Data!A2282</f>
        <v>EMP2404</v>
      </c>
      <c r="B2282" s="13" t="str">
        <f>TRIM(CLEAN(Raw_Data!B2282))</f>
        <v>Operations</v>
      </c>
      <c r="C2282" s="18" t="s">
        <v>33</v>
      </c>
      <c r="D2282" s="14" t="str">
        <f>IF(ISBLANK(Raw_Data!D2282),AVERAGE(Raw_Data!D$2:D$5002),Raw_Data!D2282)</f>
        <v>74308.77</v>
      </c>
      <c r="E2282" s="15" t="str">
        <f>IF(ISBLANK(Raw_Data!E2282),AVERAGE(Raw_Data!E$2:E$5002),Raw_Data!E2282)</f>
        <v>25084.41</v>
      </c>
      <c r="F2282" s="15" t="str">
        <f>IF(ISBLANK(Raw_Data!F2282),AVERAGE(Raw_Data!F$2:F$5002),Raw_Data!F2282)</f>
        <v>18633.98</v>
      </c>
      <c r="G2282" s="14" t="str">
        <f>IF(ISBLANK(Raw_Data!G2282),AVERAGE(Raw_Data!G$2:G$5002),Raw_Data!G2282)</f>
        <v>15077.49</v>
      </c>
      <c r="H2282" s="15" t="str">
        <f t="shared" si="1"/>
        <v>118027.00</v>
      </c>
      <c r="I2282" s="14" t="str">
        <f t="shared" si="2"/>
        <v>102950.00</v>
      </c>
      <c r="J2282" s="16" t="str">
        <f>TEXT(Raw_Data!J2282,"MMM-YYY")</f>
        <v>May-2025</v>
      </c>
      <c r="K2282" s="13" t="str">
        <f>Raw_Data!K2282</f>
        <v>19</v>
      </c>
      <c r="L2282" s="17" t="str">
        <f>Raw_Data!L2282</f>
        <v>Chennai-South</v>
      </c>
      <c r="M2282" s="13" t="str">
        <f t="shared" si="3"/>
        <v>OK</v>
      </c>
      <c r="N2282" s="18" t="str">
        <f t="shared" si="4"/>
        <v>VALID</v>
      </c>
    </row>
    <row r="2283" ht="15.75" customHeight="1">
      <c r="A2283" s="13" t="str">
        <f>Raw_Data!A2283</f>
        <v>EMP2405</v>
      </c>
      <c r="B2283" s="13" t="str">
        <f>TRIM(CLEAN(Raw_Data!B2283))</f>
        <v>Customer Support</v>
      </c>
      <c r="C2283" s="18" t="s">
        <v>37</v>
      </c>
      <c r="D2283" s="14" t="str">
        <f>IF(ISBLANK(Raw_Data!D2283),AVERAGE(Raw_Data!D$2:D$5002),Raw_Data!D2283)</f>
        <v>74319.65</v>
      </c>
      <c r="E2283" s="15" t="str">
        <f>IF(ISBLANK(Raw_Data!E2283),AVERAGE(Raw_Data!E$2:E$5002),Raw_Data!E2283)</f>
        <v>25089.02</v>
      </c>
      <c r="F2283" s="15" t="str">
        <f>IF(ISBLANK(Raw_Data!F2283),AVERAGE(Raw_Data!F$2:F$5002),Raw_Data!F2283)</f>
        <v>18641.66</v>
      </c>
      <c r="G2283" s="14" t="str">
        <f>IF(ISBLANK(Raw_Data!G2283),AVERAGE(Raw_Data!G$2:G$5002),Raw_Data!G2283)</f>
        <v>15080.89</v>
      </c>
      <c r="H2283" s="15" t="str">
        <f t="shared" si="1"/>
        <v>118050.00</v>
      </c>
      <c r="I2283" s="14" t="str">
        <f t="shared" si="2"/>
        <v>102969.00</v>
      </c>
      <c r="J2283" s="16" t="str">
        <f>TEXT(Raw_Data!J2283,"MMM-YYY")</f>
        <v>Oct-2025</v>
      </c>
      <c r="K2283" s="13" t="str">
        <f>Raw_Data!K2283</f>
        <v>21</v>
      </c>
      <c r="L2283" s="17" t="str">
        <f>Raw_Data!L2283</f>
        <v>Pune-West</v>
      </c>
      <c r="M2283" s="13" t="str">
        <f t="shared" si="3"/>
        <v>OK</v>
      </c>
      <c r="N2283" s="18" t="str">
        <f t="shared" si="4"/>
        <v>VALID</v>
      </c>
    </row>
    <row r="2284" ht="15.75" customHeight="1">
      <c r="A2284" s="13" t="str">
        <f>Raw_Data!A2284</f>
        <v>EMP2406</v>
      </c>
      <c r="B2284" s="13" t="str">
        <f>TRIM(CLEAN(Raw_Data!B2284))</f>
        <v>Finance</v>
      </c>
      <c r="C2284" s="18" t="s">
        <v>18</v>
      </c>
      <c r="D2284" s="14" t="str">
        <f>IF(ISBLANK(Raw_Data!D2284),AVERAGE(Raw_Data!D$2:D$5002),Raw_Data!D2284)</f>
        <v>74330.53</v>
      </c>
      <c r="E2284" s="15" t="str">
        <f>IF(ISBLANK(Raw_Data!E2284),AVERAGE(Raw_Data!E$2:E$5002),Raw_Data!E2284)</f>
        <v>25093.64</v>
      </c>
      <c r="F2284" s="15" t="str">
        <f>IF(ISBLANK(Raw_Data!F2284),AVERAGE(Raw_Data!F$2:F$5002),Raw_Data!F2284)</f>
        <v>18649.34</v>
      </c>
      <c r="G2284" s="14" t="str">
        <f>IF(ISBLANK(Raw_Data!G2284),AVERAGE(Raw_Data!G$2:G$5002),Raw_Data!G2284)</f>
        <v>15084.29</v>
      </c>
      <c r="H2284" s="15" t="str">
        <f t="shared" si="1"/>
        <v>118074.00</v>
      </c>
      <c r="I2284" s="14" t="str">
        <f t="shared" si="2"/>
        <v>102990.00</v>
      </c>
      <c r="J2284" s="16" t="str">
        <f>TEXT(Raw_Data!J2284,"MMM-YYY")</f>
        <v>Oct-2025</v>
      </c>
      <c r="K2284" s="13" t="str">
        <f>Raw_Data!K2284</f>
        <v>24</v>
      </c>
      <c r="L2284" s="17" t="str">
        <f>Raw_Data!L2284</f>
        <v>Delhi-North</v>
      </c>
      <c r="M2284" s="13" t="str">
        <f t="shared" si="3"/>
        <v>OK</v>
      </c>
      <c r="N2284" s="18" t="str">
        <f t="shared" si="4"/>
        <v>VALID</v>
      </c>
    </row>
    <row r="2285" ht="15.75" customHeight="1">
      <c r="A2285" s="13" t="str">
        <f>Raw_Data!A2285</f>
        <v>EMP2407</v>
      </c>
      <c r="B2285" s="13" t="str">
        <f>TRIM(CLEAN(Raw_Data!B2285))</f>
        <v>HR</v>
      </c>
      <c r="C2285" s="18" t="s">
        <v>26</v>
      </c>
      <c r="D2285" s="14" t="str">
        <f>IF(ISBLANK(Raw_Data!D2285),AVERAGE(Raw_Data!D$2:D$5002),Raw_Data!D2285)</f>
        <v>74341.42</v>
      </c>
      <c r="E2285" s="15" t="str">
        <f>IF(ISBLANK(Raw_Data!E2285),AVERAGE(Raw_Data!E$2:E$5002),Raw_Data!E2285)</f>
        <v>25098.25</v>
      </c>
      <c r="F2285" s="15" t="str">
        <f>IF(ISBLANK(Raw_Data!F2285),AVERAGE(Raw_Data!F$2:F$5002),Raw_Data!F2285)</f>
        <v>18657.02</v>
      </c>
      <c r="G2285" s="14" t="str">
        <f>IF(ISBLANK(Raw_Data!G2285),AVERAGE(Raw_Data!G$2:G$5002),Raw_Data!G2285)</f>
        <v>15087.68</v>
      </c>
      <c r="H2285" s="15" t="str">
        <f t="shared" si="1"/>
        <v>118097.00</v>
      </c>
      <c r="I2285" s="14" t="str">
        <f t="shared" si="2"/>
        <v>103009.00</v>
      </c>
      <c r="J2285" s="16" t="str">
        <f>TEXT(Raw_Data!J2285,"MMM-YYY")</f>
        <v>Jul-2025</v>
      </c>
      <c r="K2285" s="13" t="str">
        <f>Raw_Data!K2285</f>
        <v>14</v>
      </c>
      <c r="L2285" s="17" t="str">
        <f>Raw_Data!L2285</f>
        <v>Jaipur-North</v>
      </c>
      <c r="M2285" s="13" t="str">
        <f t="shared" si="3"/>
        <v>OK</v>
      </c>
      <c r="N2285" s="18" t="str">
        <f t="shared" si="4"/>
        <v>VALID</v>
      </c>
    </row>
    <row r="2286" ht="15.75" customHeight="1">
      <c r="A2286" s="13" t="str">
        <f>Raw_Data!A2286</f>
        <v>EMP2408</v>
      </c>
      <c r="B2286" s="13" t="str">
        <f>TRIM(CLEAN(Raw_Data!B2286))</f>
        <v>HR</v>
      </c>
      <c r="C2286" s="18" t="s">
        <v>26</v>
      </c>
      <c r="D2286" s="14" t="str">
        <f>IF(ISBLANK(Raw_Data!D2286),AVERAGE(Raw_Data!D$2:D$5002),Raw_Data!D2286)</f>
        <v>74352.30</v>
      </c>
      <c r="E2286" s="15" t="str">
        <f>IF(ISBLANK(Raw_Data!E2286),AVERAGE(Raw_Data!E$2:E$5002),Raw_Data!E2286)</f>
        <v>25102.87</v>
      </c>
      <c r="F2286" s="15" t="str">
        <f>IF(ISBLANK(Raw_Data!F2286),AVERAGE(Raw_Data!F$2:F$5002),Raw_Data!F2286)</f>
        <v>18664.70</v>
      </c>
      <c r="G2286" s="14" t="str">
        <f>IF(ISBLANK(Raw_Data!G2286),AVERAGE(Raw_Data!G$2:G$5002),Raw_Data!G2286)</f>
        <v>15091.08</v>
      </c>
      <c r="H2286" s="15" t="str">
        <f t="shared" si="1"/>
        <v>118120.00</v>
      </c>
      <c r="I2286" s="14" t="str">
        <f t="shared" si="2"/>
        <v>103029.00</v>
      </c>
      <c r="J2286" s="16" t="str">
        <f>TEXT(Raw_Data!J2286,"MMM-YYY")</f>
        <v>Jan-2025</v>
      </c>
      <c r="K2286" s="13" t="str">
        <f>Raw_Data!K2286</f>
        <v>24</v>
      </c>
      <c r="L2286" s="17" t="str">
        <f>Raw_Data!L2286</f>
        <v>Chennai-South</v>
      </c>
      <c r="M2286" s="13" t="str">
        <f t="shared" si="3"/>
        <v>OK</v>
      </c>
      <c r="N2286" s="18" t="str">
        <f t="shared" si="4"/>
        <v>VALID</v>
      </c>
    </row>
    <row r="2287" ht="15.75" customHeight="1">
      <c r="A2287" s="13" t="str">
        <f>Raw_Data!A2287</f>
        <v>EMP2409</v>
      </c>
      <c r="B2287" s="13" t="str">
        <f>TRIM(CLEAN(Raw_Data!B2287))</f>
        <v>HR</v>
      </c>
      <c r="C2287" s="18" t="s">
        <v>26</v>
      </c>
      <c r="D2287" s="14" t="str">
        <f>IF(ISBLANK(Raw_Data!D2287),AVERAGE(Raw_Data!D$2:D$5002),Raw_Data!D2287)</f>
        <v>74363.18</v>
      </c>
      <c r="E2287" s="15" t="str">
        <f>IF(ISBLANK(Raw_Data!E2287),AVERAGE(Raw_Data!E$2:E$5002),Raw_Data!E2287)</f>
        <v>25107.48</v>
      </c>
      <c r="F2287" s="15" t="str">
        <f>IF(ISBLANK(Raw_Data!F2287),AVERAGE(Raw_Data!F$2:F$5002),Raw_Data!F2287)</f>
        <v>18672.38</v>
      </c>
      <c r="G2287" s="14" t="str">
        <f>IF(ISBLANK(Raw_Data!G2287),AVERAGE(Raw_Data!G$2:G$5002),Raw_Data!G2287)</f>
        <v>15094.48</v>
      </c>
      <c r="H2287" s="15" t="str">
        <f t="shared" si="1"/>
        <v>118143.00</v>
      </c>
      <c r="I2287" s="14" t="str">
        <f t="shared" si="2"/>
        <v>103049.00</v>
      </c>
      <c r="J2287" s="16" t="str">
        <f>TEXT(Raw_Data!J2287,"MMM-YYY")</f>
        <v>Dec-2025</v>
      </c>
      <c r="K2287" s="13" t="str">
        <f>Raw_Data!K2287</f>
        <v>16</v>
      </c>
      <c r="L2287" s="17" t="str">
        <f>Raw_Data!L2287</f>
        <v>Jaipur-North</v>
      </c>
      <c r="M2287" s="13" t="str">
        <f t="shared" si="3"/>
        <v>OK</v>
      </c>
      <c r="N2287" s="18" t="str">
        <f t="shared" si="4"/>
        <v>VALID</v>
      </c>
    </row>
    <row r="2288" ht="15.75" customHeight="1">
      <c r="A2288" s="13" t="str">
        <f>Raw_Data!A2288</f>
        <v>EMP2410</v>
      </c>
      <c r="B2288" s="13" t="str">
        <f>TRIM(CLEAN(Raw_Data!B2288))</f>
        <v>HR</v>
      </c>
      <c r="C2288" s="18" t="s">
        <v>33</v>
      </c>
      <c r="D2288" s="14" t="str">
        <f>IF(ISBLANK(Raw_Data!D2288),AVERAGE(Raw_Data!D$2:D$5002),Raw_Data!D2288)</f>
        <v>74374.07</v>
      </c>
      <c r="E2288" s="15" t="str">
        <f>IF(ISBLANK(Raw_Data!E2288),AVERAGE(Raw_Data!E$2:E$5002),Raw_Data!E2288)</f>
        <v>25112.10</v>
      </c>
      <c r="F2288" s="15" t="str">
        <f>IF(ISBLANK(Raw_Data!F2288),AVERAGE(Raw_Data!F$2:F$5002),Raw_Data!F2288)</f>
        <v>18680.06</v>
      </c>
      <c r="G2288" s="14" t="str">
        <f>IF(ISBLANK(Raw_Data!G2288),AVERAGE(Raw_Data!G$2:G$5002),Raw_Data!G2288)</f>
        <v>15097.88</v>
      </c>
      <c r="H2288" s="15" t="str">
        <f t="shared" si="1"/>
        <v>118166.00</v>
      </c>
      <c r="I2288" s="14" t="str">
        <f t="shared" si="2"/>
        <v>103068.00</v>
      </c>
      <c r="J2288" s="16" t="str">
        <f>TEXT(Raw_Data!J2288,"MMM-YYY")</f>
        <v>Jan-2025</v>
      </c>
      <c r="K2288" s="13" t="str">
        <f>Raw_Data!K2288</f>
        <v>20</v>
      </c>
      <c r="L2288" s="17" t="str">
        <f>Raw_Data!L2288</f>
        <v>Mumbai-HO</v>
      </c>
      <c r="M2288" s="13" t="str">
        <f t="shared" si="3"/>
        <v>OK</v>
      </c>
      <c r="N2288" s="18" t="str">
        <f t="shared" si="4"/>
        <v>VALID</v>
      </c>
    </row>
    <row r="2289" ht="15.75" customHeight="1">
      <c r="A2289" s="13" t="str">
        <f>Raw_Data!A2289</f>
        <v>EMP2411</v>
      </c>
      <c r="B2289" s="13" t="str">
        <f>TRIM(CLEAN(Raw_Data!B2289))</f>
        <v>Sales</v>
      </c>
      <c r="C2289" s="18" t="s">
        <v>33</v>
      </c>
      <c r="D2289" s="14" t="str">
        <f>IF(ISBLANK(Raw_Data!D2289),AVERAGE(Raw_Data!D$2:D$5002),Raw_Data!D2289)</f>
        <v>74384.95</v>
      </c>
      <c r="E2289" s="15" t="str">
        <f>IF(ISBLANK(Raw_Data!E2289),AVERAGE(Raw_Data!E$2:E$5002),Raw_Data!E2289)</f>
        <v>25116.71</v>
      </c>
      <c r="F2289" s="15" t="str">
        <f>IF(ISBLANK(Raw_Data!F2289),AVERAGE(Raw_Data!F$2:F$5002),Raw_Data!F2289)</f>
        <v>18687.74</v>
      </c>
      <c r="G2289" s="14" t="str">
        <f>IF(ISBLANK(Raw_Data!G2289),AVERAGE(Raw_Data!G$2:G$5002),Raw_Data!G2289)</f>
        <v>15101.27</v>
      </c>
      <c r="H2289" s="15" t="str">
        <f t="shared" si="1"/>
        <v>118189.00</v>
      </c>
      <c r="I2289" s="14" t="str">
        <f t="shared" si="2"/>
        <v>103088.00</v>
      </c>
      <c r="J2289" s="16" t="str">
        <f>TEXT(Raw_Data!J2289,"MMM-YYY")</f>
        <v>Apr-2025</v>
      </c>
      <c r="K2289" s="13" t="str">
        <f>Raw_Data!K2289</f>
        <v>10</v>
      </c>
      <c r="L2289" s="17" t="str">
        <f>Raw_Data!L2289</f>
        <v>Delhi-North</v>
      </c>
      <c r="M2289" s="13" t="str">
        <f t="shared" si="3"/>
        <v>OK</v>
      </c>
      <c r="N2289" s="18" t="str">
        <f t="shared" si="4"/>
        <v>VALID</v>
      </c>
    </row>
    <row r="2290" ht="15.75" customHeight="1">
      <c r="A2290" s="13" t="str">
        <f>Raw_Data!A2290</f>
        <v>EMP2412</v>
      </c>
      <c r="B2290" s="13" t="str">
        <f>TRIM(CLEAN(Raw_Data!B2290))</f>
        <v>HR</v>
      </c>
      <c r="C2290" s="18" t="s">
        <v>54</v>
      </c>
      <c r="D2290" s="14" t="str">
        <f>IF(ISBLANK(Raw_Data!D2290),AVERAGE(Raw_Data!D$2:D$5002),Raw_Data!D2290)</f>
        <v>74395.83</v>
      </c>
      <c r="E2290" s="15" t="str">
        <f>IF(ISBLANK(Raw_Data!E2290),AVERAGE(Raw_Data!E$2:E$5002),Raw_Data!E2290)</f>
        <v>25121.32</v>
      </c>
      <c r="F2290" s="15" t="str">
        <f>IF(ISBLANK(Raw_Data!F2290),AVERAGE(Raw_Data!F$2:F$5002),Raw_Data!F2290)</f>
        <v>18695.42</v>
      </c>
      <c r="G2290" s="14" t="str">
        <f>IF(ISBLANK(Raw_Data!G2290),AVERAGE(Raw_Data!G$2:G$5002),Raw_Data!G2290)</f>
        <v>15104.67</v>
      </c>
      <c r="H2290" s="15" t="str">
        <f t="shared" si="1"/>
        <v>118213.00</v>
      </c>
      <c r="I2290" s="14" t="str">
        <f t="shared" si="2"/>
        <v>103108.00</v>
      </c>
      <c r="J2290" s="16" t="str">
        <f>TEXT(Raw_Data!J2290,"MMM-YYY")</f>
        <v>May-2025</v>
      </c>
      <c r="K2290" s="13" t="str">
        <f>Raw_Data!K2290</f>
        <v>20</v>
      </c>
      <c r="L2290" s="17" t="str">
        <f>Raw_Data!L2290</f>
        <v>Bangalore-South</v>
      </c>
      <c r="M2290" s="13" t="str">
        <f t="shared" si="3"/>
        <v>OK</v>
      </c>
      <c r="N2290" s="18" t="str">
        <f t="shared" si="4"/>
        <v>VALID</v>
      </c>
    </row>
    <row r="2291" ht="15.75" customHeight="1">
      <c r="A2291" s="13" t="str">
        <f>Raw_Data!A2291</f>
        <v>EMP2413</v>
      </c>
      <c r="B2291" s="13" t="str">
        <f>TRIM(CLEAN(Raw_Data!B2291))</f>
        <v>HR</v>
      </c>
      <c r="C2291" s="18" t="s">
        <v>30</v>
      </c>
      <c r="D2291" s="14" t="str">
        <f>IF(ISBLANK(Raw_Data!D2291),AVERAGE(Raw_Data!D$2:D$5002),Raw_Data!D2291)</f>
        <v>74406.72</v>
      </c>
      <c r="E2291" s="15" t="str">
        <f>IF(ISBLANK(Raw_Data!E2291),AVERAGE(Raw_Data!E$2:E$5002),Raw_Data!E2291)</f>
        <v>25125.94</v>
      </c>
      <c r="F2291" s="15" t="str">
        <f>IF(ISBLANK(Raw_Data!F2291),AVERAGE(Raw_Data!F$2:F$5002),Raw_Data!F2291)</f>
        <v>18703.10</v>
      </c>
      <c r="G2291" s="14" t="str">
        <f>IF(ISBLANK(Raw_Data!G2291),AVERAGE(Raw_Data!G$2:G$5002),Raw_Data!G2291)</f>
        <v>15108.07</v>
      </c>
      <c r="H2291" s="15" t="str">
        <f t="shared" si="1"/>
        <v>118236.00</v>
      </c>
      <c r="I2291" s="14" t="str">
        <f t="shared" si="2"/>
        <v>103128.00</v>
      </c>
      <c r="J2291" s="16" t="str">
        <f>TEXT(Raw_Data!J2291,"MMM-YYY")</f>
        <v>Jun-2025</v>
      </c>
      <c r="K2291" s="13" t="str">
        <f>Raw_Data!K2291</f>
        <v>2</v>
      </c>
      <c r="L2291" s="17" t="str">
        <f>Raw_Data!L2291</f>
        <v>Chennai-South</v>
      </c>
      <c r="M2291" s="13" t="str">
        <f t="shared" si="3"/>
        <v>OK</v>
      </c>
      <c r="N2291" s="18" t="str">
        <f t="shared" si="4"/>
        <v>VALID</v>
      </c>
    </row>
    <row r="2292" ht="15.75" customHeight="1">
      <c r="A2292" s="13" t="str">
        <f>Raw_Data!A2292</f>
        <v>EMP2414</v>
      </c>
      <c r="B2292" s="13" t="str">
        <f>TRIM(CLEAN(Raw_Data!B2292))</f>
        <v>Sales</v>
      </c>
      <c r="C2292" s="18" t="s">
        <v>33</v>
      </c>
      <c r="D2292" s="14" t="str">
        <f>IF(ISBLANK(Raw_Data!D2292),AVERAGE(Raw_Data!D$2:D$5002),Raw_Data!D2292)</f>
        <v>74417.60</v>
      </c>
      <c r="E2292" s="15" t="str">
        <f>IF(ISBLANK(Raw_Data!E2292),AVERAGE(Raw_Data!E$2:E$5002),Raw_Data!E2292)</f>
        <v>25130.55</v>
      </c>
      <c r="F2292" s="15" t="str">
        <f>IF(ISBLANK(Raw_Data!F2292),AVERAGE(Raw_Data!F$2:F$5002),Raw_Data!F2292)</f>
        <v>18710.78</v>
      </c>
      <c r="G2292" s="14" t="str">
        <f>IF(ISBLANK(Raw_Data!G2292),AVERAGE(Raw_Data!G$2:G$5002),Raw_Data!G2292)</f>
        <v>15111.47</v>
      </c>
      <c r="H2292" s="15" t="str">
        <f t="shared" si="1"/>
        <v>118259.00</v>
      </c>
      <c r="I2292" s="14" t="str">
        <f t="shared" si="2"/>
        <v>103148.00</v>
      </c>
      <c r="J2292" s="16" t="str">
        <f>TEXT(Raw_Data!J2292,"MMM-YYY")</f>
        <v>Jul-2025</v>
      </c>
      <c r="K2292" s="13" t="str">
        <f>Raw_Data!K2292</f>
        <v>8</v>
      </c>
      <c r="L2292" s="17" t="str">
        <f>Raw_Data!L2292</f>
        <v>Kolkata-East</v>
      </c>
      <c r="M2292" s="13" t="str">
        <f t="shared" si="3"/>
        <v>OK</v>
      </c>
      <c r="N2292" s="18" t="str">
        <f t="shared" si="4"/>
        <v>VALID</v>
      </c>
    </row>
    <row r="2293" ht="15.75" customHeight="1">
      <c r="A2293" s="13" t="str">
        <f>Raw_Data!A2293</f>
        <v>EMP2415</v>
      </c>
      <c r="B2293" s="13" t="str">
        <f>TRIM(CLEAN(Raw_Data!B2293))</f>
        <v>Customer Support</v>
      </c>
      <c r="C2293" s="18" t="s">
        <v>30</v>
      </c>
      <c r="D2293" s="14" t="str">
        <f>IF(ISBLANK(Raw_Data!D2293),AVERAGE(Raw_Data!D$2:D$5002),Raw_Data!D2293)</f>
        <v>74428.48</v>
      </c>
      <c r="E2293" s="15" t="str">
        <f>IF(ISBLANK(Raw_Data!E2293),AVERAGE(Raw_Data!E$2:E$5002),Raw_Data!E2293)</f>
        <v>25135.17</v>
      </c>
      <c r="F2293" s="15" t="str">
        <f>IF(ISBLANK(Raw_Data!F2293),AVERAGE(Raw_Data!F$2:F$5002),Raw_Data!F2293)</f>
        <v>18718.46</v>
      </c>
      <c r="G2293" s="14" t="str">
        <f>IF(ISBLANK(Raw_Data!G2293),AVERAGE(Raw_Data!G$2:G$5002),Raw_Data!G2293)</f>
        <v>15114.86</v>
      </c>
      <c r="H2293" s="15" t="str">
        <f t="shared" si="1"/>
        <v>118282.00</v>
      </c>
      <c r="I2293" s="14" t="str">
        <f t="shared" si="2"/>
        <v>103167.00</v>
      </c>
      <c r="J2293" s="16" t="str">
        <f>TEXT(Raw_Data!J2293,"MMM-YYY")</f>
        <v>Dec-2025</v>
      </c>
      <c r="K2293" s="13" t="str">
        <f>Raw_Data!K2293</f>
        <v>23</v>
      </c>
      <c r="L2293" s="17" t="str">
        <f>Raw_Data!L2293</f>
        <v>Pune-West</v>
      </c>
      <c r="M2293" s="13" t="str">
        <f t="shared" si="3"/>
        <v>OK</v>
      </c>
      <c r="N2293" s="18" t="str">
        <f t="shared" si="4"/>
        <v>VALID</v>
      </c>
    </row>
    <row r="2294" ht="15.75" customHeight="1">
      <c r="A2294" s="13" t="str">
        <f>Raw_Data!A2294</f>
        <v>EMP2416</v>
      </c>
      <c r="B2294" s="13" t="str">
        <f>TRIM(CLEAN(Raw_Data!B2294))</f>
        <v>IT</v>
      </c>
      <c r="C2294" s="18" t="s">
        <v>14</v>
      </c>
      <c r="D2294" s="14" t="str">
        <f>IF(ISBLANK(Raw_Data!D2294),AVERAGE(Raw_Data!D$2:D$5002),Raw_Data!D2294)</f>
        <v>20500.00</v>
      </c>
      <c r="E2294" s="15" t="str">
        <f>IF(ISBLANK(Raw_Data!E2294),AVERAGE(Raw_Data!E$2:E$5002),Raw_Data!E2294)</f>
        <v>25139.78</v>
      </c>
      <c r="F2294" s="15" t="str">
        <f>IF(ISBLANK(Raw_Data!F2294),AVERAGE(Raw_Data!F$2:F$5002),Raw_Data!F2294)</f>
        <v>18726.14</v>
      </c>
      <c r="G2294" s="14" t="str">
        <f>IF(ISBLANK(Raw_Data!G2294),AVERAGE(Raw_Data!G$2:G$5002),Raw_Data!G2294)</f>
        <v>15118.26</v>
      </c>
      <c r="H2294" s="15" t="str">
        <f t="shared" si="1"/>
        <v>64366.00</v>
      </c>
      <c r="I2294" s="14" t="str">
        <f t="shared" si="2"/>
        <v>49248.00</v>
      </c>
      <c r="J2294" s="16" t="str">
        <f>TEXT(Raw_Data!J2294,"MMM-YYY")</f>
        <v>May-2025</v>
      </c>
      <c r="K2294" s="13" t="str">
        <f>Raw_Data!K2294</f>
        <v>2</v>
      </c>
      <c r="L2294" s="17" t="str">
        <f>Raw_Data!L2294</f>
        <v>Hyderabad-South</v>
      </c>
      <c r="M2294" s="13" t="str">
        <f t="shared" si="3"/>
        <v>OK</v>
      </c>
      <c r="N2294" s="18" t="str">
        <f t="shared" si="4"/>
        <v>VALID</v>
      </c>
    </row>
    <row r="2295" ht="15.75" customHeight="1">
      <c r="A2295" s="13" t="str">
        <f>Raw_Data!A2295</f>
        <v>EMP2417</v>
      </c>
      <c r="B2295" s="13" t="str">
        <f>TRIM(CLEAN(Raw_Data!B2295))</f>
        <v>HR</v>
      </c>
      <c r="C2295" s="18" t="s">
        <v>18</v>
      </c>
      <c r="D2295" s="14" t="str">
        <f>IF(ISBLANK(Raw_Data!D2295),AVERAGE(Raw_Data!D$2:D$5002),Raw_Data!D2295)</f>
        <v>21000.00</v>
      </c>
      <c r="E2295" s="15" t="str">
        <f>IF(ISBLANK(Raw_Data!E2295),AVERAGE(Raw_Data!E$2:E$5002),Raw_Data!E2295)</f>
        <v>25144.40</v>
      </c>
      <c r="F2295" s="15" t="str">
        <f>IF(ISBLANK(Raw_Data!F2295),AVERAGE(Raw_Data!F$2:F$5002),Raw_Data!F2295)</f>
        <v>18733.82</v>
      </c>
      <c r="G2295" s="14" t="str">
        <f>IF(ISBLANK(Raw_Data!G2295),AVERAGE(Raw_Data!G$2:G$5002),Raw_Data!G2295)</f>
        <v>15121.66</v>
      </c>
      <c r="H2295" s="15" t="str">
        <f t="shared" si="1"/>
        <v>64878.00</v>
      </c>
      <c r="I2295" s="14" t="str">
        <f t="shared" si="2"/>
        <v>49756.00</v>
      </c>
      <c r="J2295" s="16" t="str">
        <f>TEXT(Raw_Data!J2295,"MMM-YYY")</f>
        <v>Dec-2025</v>
      </c>
      <c r="K2295" s="13" t="str">
        <f>Raw_Data!K2295</f>
        <v>9</v>
      </c>
      <c r="L2295" s="17" t="str">
        <f>Raw_Data!L2295</f>
        <v>Chandigarh-North</v>
      </c>
      <c r="M2295" s="13" t="str">
        <f t="shared" si="3"/>
        <v>OK</v>
      </c>
      <c r="N2295" s="18" t="str">
        <f t="shared" si="4"/>
        <v>VALID</v>
      </c>
    </row>
    <row r="2296" ht="15.75" customHeight="1">
      <c r="A2296" s="13" t="str">
        <f>Raw_Data!A2296</f>
        <v>EMP2418</v>
      </c>
      <c r="B2296" s="13" t="str">
        <f>TRIM(CLEAN(Raw_Data!B2296))</f>
        <v>Marketing</v>
      </c>
      <c r="C2296" s="18" t="s">
        <v>18</v>
      </c>
      <c r="D2296" s="14" t="str">
        <f>IF(ISBLANK(Raw_Data!D2296),AVERAGE(Raw_Data!D$2:D$5002),Raw_Data!D2296)</f>
        <v>21500.00</v>
      </c>
      <c r="E2296" s="15" t="str">
        <f>IF(ISBLANK(Raw_Data!E2296),AVERAGE(Raw_Data!E$2:E$5002),Raw_Data!E2296)</f>
        <v>25149.01</v>
      </c>
      <c r="F2296" s="15" t="str">
        <f>IF(ISBLANK(Raw_Data!F2296),AVERAGE(Raw_Data!F$2:F$5002),Raw_Data!F2296)</f>
        <v>18741.50</v>
      </c>
      <c r="G2296" s="14" t="str">
        <f>IF(ISBLANK(Raw_Data!G2296),AVERAGE(Raw_Data!G$2:G$5002),Raw_Data!G2296)</f>
        <v>15125.06</v>
      </c>
      <c r="H2296" s="15" t="str">
        <f t="shared" si="1"/>
        <v>65391.00</v>
      </c>
      <c r="I2296" s="14" t="str">
        <f t="shared" si="2"/>
        <v>50266.00</v>
      </c>
      <c r="J2296" s="16" t="str">
        <f>TEXT(Raw_Data!J2296,"MMM-YYY")</f>
        <v>Apr-2025</v>
      </c>
      <c r="K2296" s="13" t="str">
        <f>Raw_Data!K2296</f>
        <v>8</v>
      </c>
      <c r="L2296" s="17" t="str">
        <f>Raw_Data!L2296</f>
        <v>Ahmedabad-West</v>
      </c>
      <c r="M2296" s="13" t="str">
        <f t="shared" si="3"/>
        <v>OK</v>
      </c>
      <c r="N2296" s="18" t="str">
        <f t="shared" si="4"/>
        <v>VALID</v>
      </c>
    </row>
    <row r="2297" ht="15.75" customHeight="1">
      <c r="A2297" s="13" t="str">
        <f>Raw_Data!A2297</f>
        <v>EMP2419</v>
      </c>
      <c r="B2297" s="13" t="str">
        <f>TRIM(CLEAN(Raw_Data!B2297))</f>
        <v>Customer Support</v>
      </c>
      <c r="C2297" s="18" t="s">
        <v>14</v>
      </c>
      <c r="D2297" s="14" t="str">
        <f>IF(ISBLANK(Raw_Data!D2297),AVERAGE(Raw_Data!D$2:D$5002),Raw_Data!D2297)</f>
        <v>21500.00</v>
      </c>
      <c r="E2297" s="15" t="str">
        <f>IF(ISBLANK(Raw_Data!E2297),AVERAGE(Raw_Data!E$2:E$5002),Raw_Data!E2297)</f>
        <v>25153.63</v>
      </c>
      <c r="F2297" s="15" t="str">
        <f>IF(ISBLANK(Raw_Data!F2297),AVERAGE(Raw_Data!F$2:F$5002),Raw_Data!F2297)</f>
        <v>18749.18</v>
      </c>
      <c r="G2297" s="14" t="str">
        <f>IF(ISBLANK(Raw_Data!G2297),AVERAGE(Raw_Data!G$2:G$5002),Raw_Data!G2297)</f>
        <v>15128.45</v>
      </c>
      <c r="H2297" s="15" t="str">
        <f t="shared" si="1"/>
        <v>65403.00</v>
      </c>
      <c r="I2297" s="14" t="str">
        <f t="shared" si="2"/>
        <v>50275.00</v>
      </c>
      <c r="J2297" s="16" t="str">
        <f>TEXT(Raw_Data!J2297,"MMM-YYY")</f>
        <v>Mar-2025</v>
      </c>
      <c r="K2297" s="13" t="str">
        <f>Raw_Data!K2297</f>
        <v>22</v>
      </c>
      <c r="L2297" s="17" t="str">
        <f>Raw_Data!L2297</f>
        <v>Jaipur-North</v>
      </c>
      <c r="M2297" s="13" t="str">
        <f t="shared" si="3"/>
        <v>OK</v>
      </c>
      <c r="N2297" s="18" t="str">
        <f t="shared" si="4"/>
        <v>VALID</v>
      </c>
    </row>
    <row r="2298" ht="15.75" customHeight="1">
      <c r="A2298" s="13" t="str">
        <f>Raw_Data!A2298</f>
        <v>EMP2420</v>
      </c>
      <c r="B2298" s="13" t="str">
        <f>TRIM(CLEAN(Raw_Data!B2298))</f>
        <v>HR</v>
      </c>
      <c r="C2298" s="18" t="s">
        <v>33</v>
      </c>
      <c r="D2298" s="14" t="str">
        <f>IF(ISBLANK(Raw_Data!D2298),AVERAGE(Raw_Data!D$2:D$5002),Raw_Data!D2298)</f>
        <v>240200.00</v>
      </c>
      <c r="E2298" s="15" t="str">
        <f>IF(ISBLANK(Raw_Data!E2298),AVERAGE(Raw_Data!E$2:E$5002),Raw_Data!E2298)</f>
        <v>25158.24</v>
      </c>
      <c r="F2298" s="15" t="str">
        <f>IF(ISBLANK(Raw_Data!F2298),AVERAGE(Raw_Data!F$2:F$5002),Raw_Data!F2298)</f>
        <v>18756.86</v>
      </c>
      <c r="G2298" s="14" t="str">
        <f>IF(ISBLANK(Raw_Data!G2298),AVERAGE(Raw_Data!G$2:G$5002),Raw_Data!G2298)</f>
        <v>15131.85</v>
      </c>
      <c r="H2298" s="15" t="str">
        <f t="shared" si="1"/>
        <v>284115.00</v>
      </c>
      <c r="I2298" s="14" t="str">
        <f t="shared" si="2"/>
        <v>268983.00</v>
      </c>
      <c r="J2298" s="16" t="str">
        <f>TEXT(Raw_Data!J2298,"MMM-YYY")</f>
        <v>Nov-2025</v>
      </c>
      <c r="K2298" s="13" t="str">
        <f>Raw_Data!K2298</f>
        <v>8</v>
      </c>
      <c r="L2298" s="17" t="str">
        <f>Raw_Data!L2298</f>
        <v>Mumbai-HO</v>
      </c>
      <c r="M2298" s="13" t="str">
        <f t="shared" si="3"/>
        <v>OK</v>
      </c>
      <c r="N2298" s="18" t="str">
        <f t="shared" si="4"/>
        <v>VALID</v>
      </c>
    </row>
    <row r="2299" ht="15.75" customHeight="1">
      <c r="A2299" s="13" t="str">
        <f>Raw_Data!A2299</f>
        <v>EMP2421</v>
      </c>
      <c r="B2299" s="13" t="str">
        <f>TRIM(CLEAN(Raw_Data!B2299))</f>
        <v>Customer Support</v>
      </c>
      <c r="C2299" s="18" t="s">
        <v>37</v>
      </c>
      <c r="D2299" s="14" t="str">
        <f>IF(ISBLANK(Raw_Data!D2299),AVERAGE(Raw_Data!D$2:D$5002),Raw_Data!D2299)</f>
        <v>74439.36</v>
      </c>
      <c r="E2299" s="15" t="str">
        <f>IF(ISBLANK(Raw_Data!E2299),AVERAGE(Raw_Data!E$2:E$5002),Raw_Data!E2299)</f>
        <v>25162.86</v>
      </c>
      <c r="F2299" s="15" t="str">
        <f>IF(ISBLANK(Raw_Data!F2299),AVERAGE(Raw_Data!F$2:F$5002),Raw_Data!F2299)</f>
        <v>18764.54</v>
      </c>
      <c r="G2299" s="14" t="str">
        <f>IF(ISBLANK(Raw_Data!G2299),AVERAGE(Raw_Data!G$2:G$5002),Raw_Data!G2299)</f>
        <v>15135.25</v>
      </c>
      <c r="H2299" s="15" t="str">
        <f t="shared" si="1"/>
        <v>118367.00</v>
      </c>
      <c r="I2299" s="14" t="str">
        <f t="shared" si="2"/>
        <v>103232.00</v>
      </c>
      <c r="J2299" s="16" t="str">
        <f>TEXT(Raw_Data!J2299,"MMM-YYY")</f>
        <v>Aug-2025</v>
      </c>
      <c r="K2299" s="13" t="str">
        <f>Raw_Data!K2299</f>
        <v>13</v>
      </c>
      <c r="L2299" s="17" t="str">
        <f>Raw_Data!L2299</f>
        <v>Delhi-North</v>
      </c>
      <c r="M2299" s="13" t="str">
        <f t="shared" si="3"/>
        <v>OK</v>
      </c>
      <c r="N2299" s="18" t="str">
        <f t="shared" si="4"/>
        <v>VALID</v>
      </c>
    </row>
    <row r="2300" ht="15.75" customHeight="1">
      <c r="A2300" s="13" t="str">
        <f>Raw_Data!A2300</f>
        <v>EMP2422</v>
      </c>
      <c r="B2300" s="13" t="str">
        <f>TRIM(CLEAN(Raw_Data!B2300))</f>
        <v>IT</v>
      </c>
      <c r="C2300" s="18" t="s">
        <v>54</v>
      </c>
      <c r="D2300" s="14" t="str">
        <f>IF(ISBLANK(Raw_Data!D2300),AVERAGE(Raw_Data!D$2:D$5002),Raw_Data!D2300)</f>
        <v>74450.25</v>
      </c>
      <c r="E2300" s="15" t="str">
        <f>IF(ISBLANK(Raw_Data!E2300),AVERAGE(Raw_Data!E$2:E$5002),Raw_Data!E2300)</f>
        <v>25167.47</v>
      </c>
      <c r="F2300" s="15" t="str">
        <f>IF(ISBLANK(Raw_Data!F2300),AVERAGE(Raw_Data!F$2:F$5002),Raw_Data!F2300)</f>
        <v>18772.22</v>
      </c>
      <c r="G2300" s="14" t="str">
        <f>IF(ISBLANK(Raw_Data!G2300),AVERAGE(Raw_Data!G$2:G$5002),Raw_Data!G2300)</f>
        <v>15138.65</v>
      </c>
      <c r="H2300" s="15" t="str">
        <f t="shared" si="1"/>
        <v>118390.00</v>
      </c>
      <c r="I2300" s="14" t="str">
        <f t="shared" si="2"/>
        <v>103251.00</v>
      </c>
      <c r="J2300" s="16" t="str">
        <f>TEXT(Raw_Data!J2300,"MMM-YYY")</f>
        <v>Nov-2025</v>
      </c>
      <c r="K2300" s="13" t="str">
        <f>Raw_Data!K2300</f>
        <v>7</v>
      </c>
      <c r="L2300" s="17" t="str">
        <f>Raw_Data!L2300</f>
        <v>Bangalore-South</v>
      </c>
      <c r="M2300" s="13" t="str">
        <f t="shared" si="3"/>
        <v>OK</v>
      </c>
      <c r="N2300" s="18" t="str">
        <f t="shared" si="4"/>
        <v>VALID</v>
      </c>
    </row>
    <row r="2301" ht="15.75" customHeight="1">
      <c r="A2301" s="13" t="str">
        <f>Raw_Data!A2301</f>
        <v>EMP2423</v>
      </c>
      <c r="B2301" s="13" t="str">
        <f>TRIM(CLEAN(Raw_Data!B2301))</f>
        <v>HR</v>
      </c>
      <c r="C2301" s="18" t="s">
        <v>33</v>
      </c>
      <c r="D2301" s="14" t="str">
        <f>IF(ISBLANK(Raw_Data!D2301),AVERAGE(Raw_Data!D$2:D$5002),Raw_Data!D2301)</f>
        <v>74461.13</v>
      </c>
      <c r="E2301" s="15" t="str">
        <f>IF(ISBLANK(Raw_Data!E2301),AVERAGE(Raw_Data!E$2:E$5002),Raw_Data!E2301)</f>
        <v>25172.09</v>
      </c>
      <c r="F2301" s="15" t="str">
        <f>IF(ISBLANK(Raw_Data!F2301),AVERAGE(Raw_Data!F$2:F$5002),Raw_Data!F2301)</f>
        <v>18779.90</v>
      </c>
      <c r="G2301" s="14" t="str">
        <f>IF(ISBLANK(Raw_Data!G2301),AVERAGE(Raw_Data!G$2:G$5002),Raw_Data!G2301)</f>
        <v>15142.04</v>
      </c>
      <c r="H2301" s="15" t="str">
        <f t="shared" si="1"/>
        <v>118413.00</v>
      </c>
      <c r="I2301" s="14" t="str">
        <f t="shared" si="2"/>
        <v>103271.00</v>
      </c>
      <c r="J2301" s="16" t="str">
        <f>TEXT(Raw_Data!J2301,"MMM-YYY")</f>
        <v>Jun-2025</v>
      </c>
      <c r="K2301" s="13" t="str">
        <f>Raw_Data!K2301</f>
        <v>1</v>
      </c>
      <c r="L2301" s="17" t="str">
        <f>Raw_Data!L2301</f>
        <v>Chennai-South</v>
      </c>
      <c r="M2301" s="13" t="str">
        <f t="shared" si="3"/>
        <v>OK</v>
      </c>
      <c r="N2301" s="18" t="str">
        <f t="shared" si="4"/>
        <v>VALID</v>
      </c>
    </row>
    <row r="2302" ht="15.75" customHeight="1">
      <c r="A2302" s="13" t="str">
        <f>Raw_Data!A2302</f>
        <v>EMP2424</v>
      </c>
      <c r="B2302" s="13" t="str">
        <f>TRIM(CLEAN(Raw_Data!B2302))</f>
        <v>Marketing</v>
      </c>
      <c r="C2302" s="18" t="s">
        <v>26</v>
      </c>
      <c r="D2302" s="14" t="str">
        <f>IF(ISBLANK(Raw_Data!D2302),AVERAGE(Raw_Data!D$2:D$5002),Raw_Data!D2302)</f>
        <v>74472.01</v>
      </c>
      <c r="E2302" s="15" t="str">
        <f>IF(ISBLANK(Raw_Data!E2302),AVERAGE(Raw_Data!E$2:E$5002),Raw_Data!E2302)</f>
        <v>25176.70</v>
      </c>
      <c r="F2302" s="15" t="str">
        <f>IF(ISBLANK(Raw_Data!F2302),AVERAGE(Raw_Data!F$2:F$5002),Raw_Data!F2302)</f>
        <v>18787.58</v>
      </c>
      <c r="G2302" s="14" t="str">
        <f>IF(ISBLANK(Raw_Data!G2302),AVERAGE(Raw_Data!G$2:G$5002),Raw_Data!G2302)</f>
        <v>15145.44</v>
      </c>
      <c r="H2302" s="15" t="str">
        <f t="shared" si="1"/>
        <v>118436.00</v>
      </c>
      <c r="I2302" s="14" t="str">
        <f t="shared" si="2"/>
        <v>103291.00</v>
      </c>
      <c r="J2302" s="16" t="str">
        <f>TEXT(Raw_Data!J2302,"MMM-YYY")</f>
        <v>Dec-2025</v>
      </c>
      <c r="K2302" s="13" t="str">
        <f>Raw_Data!K2302</f>
        <v>23</v>
      </c>
      <c r="L2302" s="17" t="str">
        <f>Raw_Data!L2302</f>
        <v>Kolkata-East</v>
      </c>
      <c r="M2302" s="13" t="str">
        <f t="shared" si="3"/>
        <v>OK</v>
      </c>
      <c r="N2302" s="18" t="str">
        <f t="shared" si="4"/>
        <v>VALID</v>
      </c>
    </row>
    <row r="2303" ht="15.75" customHeight="1">
      <c r="A2303" s="13" t="str">
        <f>Raw_Data!A2303</f>
        <v>EMP2425</v>
      </c>
      <c r="B2303" s="13" t="str">
        <f>TRIM(CLEAN(Raw_Data!B2303))</f>
        <v>IT</v>
      </c>
      <c r="C2303" s="18" t="s">
        <v>37</v>
      </c>
      <c r="D2303" s="14" t="str">
        <f>IF(ISBLANK(Raw_Data!D2303),AVERAGE(Raw_Data!D$2:D$5002),Raw_Data!D2303)</f>
        <v>74482.90</v>
      </c>
      <c r="E2303" s="15" t="str">
        <f>IF(ISBLANK(Raw_Data!E2303),AVERAGE(Raw_Data!E$2:E$5002),Raw_Data!E2303)</f>
        <v>25181.32</v>
      </c>
      <c r="F2303" s="15" t="str">
        <f>IF(ISBLANK(Raw_Data!F2303),AVERAGE(Raw_Data!F$2:F$5002),Raw_Data!F2303)</f>
        <v>18795.26</v>
      </c>
      <c r="G2303" s="14" t="str">
        <f>IF(ISBLANK(Raw_Data!G2303),AVERAGE(Raw_Data!G$2:G$5002),Raw_Data!G2303)</f>
        <v>15148.84</v>
      </c>
      <c r="H2303" s="15" t="str">
        <f t="shared" si="1"/>
        <v>118459.00</v>
      </c>
      <c r="I2303" s="14" t="str">
        <f t="shared" si="2"/>
        <v>103310.00</v>
      </c>
      <c r="J2303" s="16" t="str">
        <f>TEXT(Raw_Data!J2303,"MMM-YYY")</f>
        <v>Aug-2025</v>
      </c>
      <c r="K2303" s="13" t="str">
        <f>Raw_Data!K2303</f>
        <v>6</v>
      </c>
      <c r="L2303" s="17" t="str">
        <f>Raw_Data!L2303</f>
        <v>Pune-West</v>
      </c>
      <c r="M2303" s="13" t="str">
        <f t="shared" si="3"/>
        <v>OK</v>
      </c>
      <c r="N2303" s="18" t="str">
        <f t="shared" si="4"/>
        <v>VALID</v>
      </c>
    </row>
    <row r="2304" ht="15.75" customHeight="1">
      <c r="A2304" s="13" t="str">
        <f>Raw_Data!A2304</f>
        <v>EMP2426</v>
      </c>
      <c r="B2304" s="13" t="str">
        <f>TRIM(CLEAN(Raw_Data!B2304))</f>
        <v>Marketing</v>
      </c>
      <c r="C2304" s="18" t="s">
        <v>30</v>
      </c>
      <c r="D2304" s="14" t="str">
        <f>IF(ISBLANK(Raw_Data!D2304),AVERAGE(Raw_Data!D$2:D$5002),Raw_Data!D2304)</f>
        <v>74493.78</v>
      </c>
      <c r="E2304" s="15" t="str">
        <f>IF(ISBLANK(Raw_Data!E2304),AVERAGE(Raw_Data!E$2:E$5002),Raw_Data!E2304)</f>
        <v>25185.93</v>
      </c>
      <c r="F2304" s="15" t="str">
        <f>IF(ISBLANK(Raw_Data!F2304),AVERAGE(Raw_Data!F$2:F$5002),Raw_Data!F2304)</f>
        <v>18802.94</v>
      </c>
      <c r="G2304" s="14" t="str">
        <f>IF(ISBLANK(Raw_Data!G2304),AVERAGE(Raw_Data!G$2:G$5002),Raw_Data!G2304)</f>
        <v>15152.24</v>
      </c>
      <c r="H2304" s="15" t="str">
        <f t="shared" si="1"/>
        <v>118483.00</v>
      </c>
      <c r="I2304" s="14" t="str">
        <f t="shared" si="2"/>
        <v>103331.00</v>
      </c>
      <c r="J2304" s="16" t="str">
        <f>TEXT(Raw_Data!J2304,"MMM-YYY")</f>
        <v>Dec-2025</v>
      </c>
      <c r="K2304" s="13" t="str">
        <f>Raw_Data!K2304</f>
        <v>17</v>
      </c>
      <c r="L2304" s="17" t="str">
        <f>Raw_Data!L2304</f>
        <v>Hyderabad-South</v>
      </c>
      <c r="M2304" s="13" t="str">
        <f t="shared" si="3"/>
        <v>OK</v>
      </c>
      <c r="N2304" s="18" t="str">
        <f t="shared" si="4"/>
        <v>VALID</v>
      </c>
    </row>
    <row r="2305" ht="15.75" customHeight="1">
      <c r="A2305" s="13" t="str">
        <f>Raw_Data!A2305</f>
        <v>EMP2427</v>
      </c>
      <c r="B2305" s="13" t="str">
        <f>TRIM(CLEAN(Raw_Data!B2305))</f>
        <v>IT</v>
      </c>
      <c r="C2305" s="18" t="s">
        <v>26</v>
      </c>
      <c r="D2305" s="14" t="str">
        <f>IF(ISBLANK(Raw_Data!D2305),AVERAGE(Raw_Data!D$2:D$5002),Raw_Data!D2305)</f>
        <v>74504.66</v>
      </c>
      <c r="E2305" s="15" t="str">
        <f>IF(ISBLANK(Raw_Data!E2305),AVERAGE(Raw_Data!E$2:E$5002),Raw_Data!E2305)</f>
        <v>25190.55</v>
      </c>
      <c r="F2305" s="15" t="str">
        <f>IF(ISBLANK(Raw_Data!F2305),AVERAGE(Raw_Data!F$2:F$5002),Raw_Data!F2305)</f>
        <v>18810.62</v>
      </c>
      <c r="G2305" s="14" t="str">
        <f>IF(ISBLANK(Raw_Data!G2305),AVERAGE(Raw_Data!G$2:G$5002),Raw_Data!G2305)</f>
        <v>15155.63</v>
      </c>
      <c r="H2305" s="15" t="str">
        <f t="shared" si="1"/>
        <v>118506.00</v>
      </c>
      <c r="I2305" s="14" t="str">
        <f t="shared" si="2"/>
        <v>103350.00</v>
      </c>
      <c r="J2305" s="16" t="str">
        <f>TEXT(Raw_Data!J2305,"MMM-YYY")</f>
        <v>Mar-2025</v>
      </c>
      <c r="K2305" s="13" t="str">
        <f>Raw_Data!K2305</f>
        <v>10</v>
      </c>
      <c r="L2305" s="17" t="str">
        <f>Raw_Data!L2305</f>
        <v>Chandigarh-North</v>
      </c>
      <c r="M2305" s="13" t="str">
        <f t="shared" si="3"/>
        <v>OK</v>
      </c>
      <c r="N2305" s="18" t="str">
        <f t="shared" si="4"/>
        <v>VALID</v>
      </c>
    </row>
    <row r="2306" ht="15.75" customHeight="1">
      <c r="A2306" s="13" t="str">
        <f>Raw_Data!A2306</f>
        <v>EMP2428</v>
      </c>
      <c r="B2306" s="13" t="str">
        <f>TRIM(CLEAN(Raw_Data!B2306))</f>
        <v>Finance</v>
      </c>
      <c r="C2306" s="18" t="s">
        <v>18</v>
      </c>
      <c r="D2306" s="14" t="str">
        <f>IF(ISBLANK(Raw_Data!D2306),AVERAGE(Raw_Data!D$2:D$5002),Raw_Data!D2306)</f>
        <v>74515.55</v>
      </c>
      <c r="E2306" s="15" t="str">
        <f>IF(ISBLANK(Raw_Data!E2306),AVERAGE(Raw_Data!E$2:E$5002),Raw_Data!E2306)</f>
        <v>25195.16</v>
      </c>
      <c r="F2306" s="15" t="str">
        <f>IF(ISBLANK(Raw_Data!F2306),AVERAGE(Raw_Data!F$2:F$5002),Raw_Data!F2306)</f>
        <v>18818.30</v>
      </c>
      <c r="G2306" s="14" t="str">
        <f>IF(ISBLANK(Raw_Data!G2306),AVERAGE(Raw_Data!G$2:G$5002),Raw_Data!G2306)</f>
        <v>15159.03</v>
      </c>
      <c r="H2306" s="15" t="str">
        <f t="shared" si="1"/>
        <v>118529.00</v>
      </c>
      <c r="I2306" s="14" t="str">
        <f t="shared" si="2"/>
        <v>103370.00</v>
      </c>
      <c r="J2306" s="16" t="str">
        <f>TEXT(Raw_Data!J2306,"MMM-YYY")</f>
        <v>Nov-2025</v>
      </c>
      <c r="K2306" s="13" t="str">
        <f>Raw_Data!K2306</f>
        <v>3</v>
      </c>
      <c r="L2306" s="17" t="str">
        <f>Raw_Data!L2306</f>
        <v>Ahmedabad-West</v>
      </c>
      <c r="M2306" s="13" t="str">
        <f t="shared" si="3"/>
        <v>OK</v>
      </c>
      <c r="N2306" s="18" t="str">
        <f t="shared" si="4"/>
        <v>VALID</v>
      </c>
    </row>
    <row r="2307" ht="15.75" customHeight="1">
      <c r="A2307" s="13" t="str">
        <f>Raw_Data!A2307</f>
        <v>EMP2429</v>
      </c>
      <c r="B2307" s="13" t="str">
        <f>TRIM(CLEAN(Raw_Data!B2307))</f>
        <v>Operations</v>
      </c>
      <c r="C2307" s="18" t="s">
        <v>37</v>
      </c>
      <c r="D2307" s="14" t="str">
        <f>IF(ISBLANK(Raw_Data!D2307),AVERAGE(Raw_Data!D$2:D$5002),Raw_Data!D2307)</f>
        <v>74526.43</v>
      </c>
      <c r="E2307" s="15" t="str">
        <f>IF(ISBLANK(Raw_Data!E2307),AVERAGE(Raw_Data!E$2:E$5002),Raw_Data!E2307)</f>
        <v>25199.77</v>
      </c>
      <c r="F2307" s="15" t="str">
        <f>IF(ISBLANK(Raw_Data!F2307),AVERAGE(Raw_Data!F$2:F$5002),Raw_Data!F2307)</f>
        <v>18825.98</v>
      </c>
      <c r="G2307" s="14" t="str">
        <f>IF(ISBLANK(Raw_Data!G2307),AVERAGE(Raw_Data!G$2:G$5002),Raw_Data!G2307)</f>
        <v>14562.73</v>
      </c>
      <c r="H2307" s="15" t="str">
        <f t="shared" si="1"/>
        <v>118552.00</v>
      </c>
      <c r="I2307" s="14" t="str">
        <f t="shared" si="2"/>
        <v>103989.00</v>
      </c>
      <c r="J2307" s="16" t="str">
        <f>TEXT(Raw_Data!J2307,"MMM-YYY")</f>
        <v>Oct-2025</v>
      </c>
      <c r="K2307" s="13" t="str">
        <f>Raw_Data!K2307</f>
        <v>4</v>
      </c>
      <c r="L2307" s="17" t="str">
        <f>Raw_Data!L2307</f>
        <v>Jaipur-North</v>
      </c>
      <c r="M2307" s="13" t="str">
        <f t="shared" si="3"/>
        <v>OK</v>
      </c>
      <c r="N2307" s="18" t="str">
        <f t="shared" si="4"/>
        <v>VALID</v>
      </c>
    </row>
    <row r="2308" ht="15.75" customHeight="1">
      <c r="A2308" s="13" t="str">
        <f>Raw_Data!A2308</f>
        <v>EMP2430</v>
      </c>
      <c r="B2308" s="13" t="str">
        <f>TRIM(CLEAN(Raw_Data!B2308))</f>
        <v>Operations</v>
      </c>
      <c r="C2308" s="18" t="s">
        <v>26</v>
      </c>
      <c r="D2308" s="14" t="str">
        <f>IF(ISBLANK(Raw_Data!D2308),AVERAGE(Raw_Data!D$2:D$5002),Raw_Data!D2308)</f>
        <v>74537.31</v>
      </c>
      <c r="E2308" s="15" t="str">
        <f>IF(ISBLANK(Raw_Data!E2308),AVERAGE(Raw_Data!E$2:E$5002),Raw_Data!E2308)</f>
        <v>25204.39</v>
      </c>
      <c r="F2308" s="15" t="str">
        <f>IF(ISBLANK(Raw_Data!F2308),AVERAGE(Raw_Data!F$2:F$5002),Raw_Data!F2308)</f>
        <v>18833.66</v>
      </c>
      <c r="G2308" s="14" t="str">
        <f>IF(ISBLANK(Raw_Data!G2308),AVERAGE(Raw_Data!G$2:G$5002),Raw_Data!G2308)</f>
        <v>15165.83</v>
      </c>
      <c r="H2308" s="15" t="str">
        <f t="shared" si="1"/>
        <v>118575.00</v>
      </c>
      <c r="I2308" s="14" t="str">
        <f t="shared" si="2"/>
        <v>103409.00</v>
      </c>
      <c r="J2308" s="16" t="str">
        <f>TEXT(Raw_Data!J2308,"MMM-YYY")</f>
        <v>Nov-2025</v>
      </c>
      <c r="K2308" s="13" t="str">
        <f>Raw_Data!K2308</f>
        <v>2</v>
      </c>
      <c r="L2308" s="17" t="str">
        <f>Raw_Data!L2308</f>
        <v>Mumbai-HO</v>
      </c>
      <c r="M2308" s="13" t="str">
        <f t="shared" si="3"/>
        <v>OK</v>
      </c>
      <c r="N2308" s="18" t="str">
        <f t="shared" si="4"/>
        <v>VALID</v>
      </c>
    </row>
    <row r="2309" ht="15.75" customHeight="1">
      <c r="A2309" s="13" t="str">
        <f>Raw_Data!A2309</f>
        <v>EMP2431</v>
      </c>
      <c r="B2309" s="13" t="str">
        <f>TRIM(CLEAN(Raw_Data!B2309))</f>
        <v>Finance</v>
      </c>
      <c r="C2309" s="18" t="s">
        <v>18</v>
      </c>
      <c r="D2309" s="14" t="str">
        <f>IF(ISBLANK(Raw_Data!D2309),AVERAGE(Raw_Data!D$2:D$5002),Raw_Data!D2309)</f>
        <v>74548.19</v>
      </c>
      <c r="E2309" s="15" t="str">
        <f>IF(ISBLANK(Raw_Data!E2309),AVERAGE(Raw_Data!E$2:E$5002),Raw_Data!E2309)</f>
        <v>25209.00</v>
      </c>
      <c r="F2309" s="15" t="str">
        <f>IF(ISBLANK(Raw_Data!F2309),AVERAGE(Raw_Data!F$2:F$5002),Raw_Data!F2309)</f>
        <v>18841.34</v>
      </c>
      <c r="G2309" s="14" t="str">
        <f>IF(ISBLANK(Raw_Data!G2309),AVERAGE(Raw_Data!G$2:G$5002),Raw_Data!G2309)</f>
        <v>15169.22</v>
      </c>
      <c r="H2309" s="15" t="str">
        <f t="shared" si="1"/>
        <v>118599.00</v>
      </c>
      <c r="I2309" s="14" t="str">
        <f t="shared" si="2"/>
        <v>103430.00</v>
      </c>
      <c r="J2309" s="16" t="str">
        <f>TEXT(Raw_Data!J2309,"MMM-YYY")</f>
        <v>Nov-2025</v>
      </c>
      <c r="K2309" s="13" t="str">
        <f>Raw_Data!K2309</f>
        <v>6</v>
      </c>
      <c r="L2309" s="17" t="str">
        <f>Raw_Data!L2309</f>
        <v>Delhi-North</v>
      </c>
      <c r="M2309" s="13" t="str">
        <f t="shared" si="3"/>
        <v>OK</v>
      </c>
      <c r="N2309" s="18" t="str">
        <f t="shared" si="4"/>
        <v>VALID</v>
      </c>
    </row>
    <row r="2310" ht="15.75" customHeight="1">
      <c r="A2310" s="13" t="str">
        <f>Raw_Data!A2310</f>
        <v>EMP2432</v>
      </c>
      <c r="B2310" s="13" t="str">
        <f>TRIM(CLEAN(Raw_Data!B2310))</f>
        <v>Marketing</v>
      </c>
      <c r="C2310" s="18" t="s">
        <v>37</v>
      </c>
      <c r="D2310" s="14" t="str">
        <f>IF(ISBLANK(Raw_Data!D2310),AVERAGE(Raw_Data!D$2:D$5002),Raw_Data!D2310)</f>
        <v>74559.08</v>
      </c>
      <c r="E2310" s="15" t="str">
        <f>IF(ISBLANK(Raw_Data!E2310),AVERAGE(Raw_Data!E$2:E$5002),Raw_Data!E2310)</f>
        <v>25213.62</v>
      </c>
      <c r="F2310" s="15" t="str">
        <f>IF(ISBLANK(Raw_Data!F2310),AVERAGE(Raw_Data!F$2:F$5002),Raw_Data!F2310)</f>
        <v>18849.02</v>
      </c>
      <c r="G2310" s="14" t="str">
        <f>IF(ISBLANK(Raw_Data!G2310),AVERAGE(Raw_Data!G$2:G$5002),Raw_Data!G2310)</f>
        <v>15172.62</v>
      </c>
      <c r="H2310" s="15" t="str">
        <f t="shared" si="1"/>
        <v>118622.00</v>
      </c>
      <c r="I2310" s="14" t="str">
        <f t="shared" si="2"/>
        <v>103449.00</v>
      </c>
      <c r="J2310" s="16" t="str">
        <f>TEXT(Raw_Data!J2310,"MMM-YYY")</f>
        <v>Dec-2025</v>
      </c>
      <c r="K2310" s="13" t="str">
        <f>Raw_Data!K2310</f>
        <v>23</v>
      </c>
      <c r="L2310" s="17" t="str">
        <f>Raw_Data!L2310</f>
        <v>Bangalore-South</v>
      </c>
      <c r="M2310" s="13" t="str">
        <f t="shared" si="3"/>
        <v>OK</v>
      </c>
      <c r="N2310" s="18" t="str">
        <f t="shared" si="4"/>
        <v>VALID</v>
      </c>
    </row>
    <row r="2311" ht="15.75" customHeight="1">
      <c r="A2311" s="13" t="str">
        <f>Raw_Data!A2311</f>
        <v>EMP2433</v>
      </c>
      <c r="B2311" s="13" t="str">
        <f>TRIM(CLEAN(Raw_Data!B2311))</f>
        <v>Sales</v>
      </c>
      <c r="C2311" s="18" t="s">
        <v>33</v>
      </c>
      <c r="D2311" s="14" t="str">
        <f>IF(ISBLANK(Raw_Data!D2311),AVERAGE(Raw_Data!D$2:D$5002),Raw_Data!D2311)</f>
        <v>74569.96</v>
      </c>
      <c r="E2311" s="15" t="str">
        <f>IF(ISBLANK(Raw_Data!E2311),AVERAGE(Raw_Data!E$2:E$5002),Raw_Data!E2311)</f>
        <v>25218.23</v>
      </c>
      <c r="F2311" s="15" t="str">
        <f>IF(ISBLANK(Raw_Data!F2311),AVERAGE(Raw_Data!F$2:F$5002),Raw_Data!F2311)</f>
        <v>18856.70</v>
      </c>
      <c r="G2311" s="14" t="str">
        <f>IF(ISBLANK(Raw_Data!G2311),AVERAGE(Raw_Data!G$2:G$5002),Raw_Data!G2311)</f>
        <v>15176.02</v>
      </c>
      <c r="H2311" s="15" t="str">
        <f t="shared" si="1"/>
        <v>118645.00</v>
      </c>
      <c r="I2311" s="14" t="str">
        <f t="shared" si="2"/>
        <v>103469.00</v>
      </c>
      <c r="J2311" s="16" t="str">
        <f>TEXT(Raw_Data!J2311,"MMM-YYY")</f>
        <v>Feb-2025</v>
      </c>
      <c r="K2311" s="13" t="str">
        <f>Raw_Data!K2311</f>
        <v>20</v>
      </c>
      <c r="L2311" s="17" t="str">
        <f>Raw_Data!L2311</f>
        <v>Chennai-South</v>
      </c>
      <c r="M2311" s="13" t="str">
        <f t="shared" si="3"/>
        <v>OK</v>
      </c>
      <c r="N2311" s="18" t="str">
        <f t="shared" si="4"/>
        <v>VALID</v>
      </c>
    </row>
    <row r="2312" ht="15.75" customHeight="1">
      <c r="A2312" s="13" t="str">
        <f>Raw_Data!A2312</f>
        <v>EMP2434</v>
      </c>
      <c r="B2312" s="13" t="str">
        <f>TRIM(CLEAN(Raw_Data!B2312))</f>
        <v>IT</v>
      </c>
      <c r="C2312" s="18" t="s">
        <v>14</v>
      </c>
      <c r="D2312" s="14" t="str">
        <f>IF(ISBLANK(Raw_Data!D2312),AVERAGE(Raw_Data!D$2:D$5002),Raw_Data!D2312)</f>
        <v>74580.84</v>
      </c>
      <c r="E2312" s="15" t="str">
        <f>IF(ISBLANK(Raw_Data!E2312),AVERAGE(Raw_Data!E$2:E$5002),Raw_Data!E2312)</f>
        <v>25222.85</v>
      </c>
      <c r="F2312" s="15" t="str">
        <f>IF(ISBLANK(Raw_Data!F2312),AVERAGE(Raw_Data!F$2:F$5002),Raw_Data!F2312)</f>
        <v>18864.38</v>
      </c>
      <c r="G2312" s="14" t="str">
        <f>IF(ISBLANK(Raw_Data!G2312),AVERAGE(Raw_Data!G$2:G$5002),Raw_Data!G2312)</f>
        <v>15179.42</v>
      </c>
      <c r="H2312" s="15" t="str">
        <f t="shared" si="1"/>
        <v>118668.00</v>
      </c>
      <c r="I2312" s="14" t="str">
        <f t="shared" si="2"/>
        <v>103489.00</v>
      </c>
      <c r="J2312" s="16" t="str">
        <f>TEXT(Raw_Data!J2312,"MMM-YYY")</f>
        <v>Mar-2025</v>
      </c>
      <c r="K2312" s="13" t="str">
        <f>Raw_Data!K2312</f>
        <v>4</v>
      </c>
      <c r="L2312" s="17" t="str">
        <f>Raw_Data!L2312</f>
        <v>Kolkata-East</v>
      </c>
      <c r="M2312" s="13" t="str">
        <f t="shared" si="3"/>
        <v>OK</v>
      </c>
      <c r="N2312" s="18" t="str">
        <f t="shared" si="4"/>
        <v>VALID</v>
      </c>
    </row>
    <row r="2313" ht="15.75" customHeight="1">
      <c r="A2313" s="13" t="str">
        <f>Raw_Data!A2313</f>
        <v>EMP2435</v>
      </c>
      <c r="B2313" s="13" t="str">
        <f>TRIM(CLEAN(Raw_Data!B2313))</f>
        <v>Sales</v>
      </c>
      <c r="C2313" s="18" t="s">
        <v>33</v>
      </c>
      <c r="D2313" s="14" t="str">
        <f>IF(ISBLANK(Raw_Data!D2313),AVERAGE(Raw_Data!D$2:D$5002),Raw_Data!D2313)</f>
        <v>74591.73</v>
      </c>
      <c r="E2313" s="15" t="str">
        <f>IF(ISBLANK(Raw_Data!E2313),AVERAGE(Raw_Data!E$2:E$5002),Raw_Data!E2313)</f>
        <v>25227.46</v>
      </c>
      <c r="F2313" s="15" t="str">
        <f>IF(ISBLANK(Raw_Data!F2313),AVERAGE(Raw_Data!F$2:F$5002),Raw_Data!F2313)</f>
        <v>18872.06</v>
      </c>
      <c r="G2313" s="14" t="str">
        <f>IF(ISBLANK(Raw_Data!G2313),AVERAGE(Raw_Data!G$2:G$5002),Raw_Data!G2313)</f>
        <v>15182.81</v>
      </c>
      <c r="H2313" s="15" t="str">
        <f t="shared" si="1"/>
        <v>118691.00</v>
      </c>
      <c r="I2313" s="14" t="str">
        <f t="shared" si="2"/>
        <v>103508.00</v>
      </c>
      <c r="J2313" s="16" t="str">
        <f>TEXT(Raw_Data!J2313,"MMM-YYY")</f>
        <v>Jan-2025</v>
      </c>
      <c r="K2313" s="13" t="str">
        <f>Raw_Data!K2313</f>
        <v>16</v>
      </c>
      <c r="L2313" s="17" t="str">
        <f>Raw_Data!L2313</f>
        <v>Pune-West</v>
      </c>
      <c r="M2313" s="13" t="str">
        <f t="shared" si="3"/>
        <v>OK</v>
      </c>
      <c r="N2313" s="18" t="str">
        <f t="shared" si="4"/>
        <v>VALID</v>
      </c>
    </row>
    <row r="2314" ht="15.75" customHeight="1">
      <c r="A2314" s="13" t="str">
        <f>Raw_Data!A2314</f>
        <v>EMP2436</v>
      </c>
      <c r="B2314" s="13" t="str">
        <f>TRIM(CLEAN(Raw_Data!B2314))</f>
        <v>Customer Support</v>
      </c>
      <c r="C2314" s="18" t="s">
        <v>33</v>
      </c>
      <c r="D2314" s="14" t="str">
        <f>IF(ISBLANK(Raw_Data!D2314),AVERAGE(Raw_Data!D$2:D$5002),Raw_Data!D2314)</f>
        <v>74602.61</v>
      </c>
      <c r="E2314" s="15" t="str">
        <f>IF(ISBLANK(Raw_Data!E2314),AVERAGE(Raw_Data!E$2:E$5002),Raw_Data!E2314)</f>
        <v>25232.08</v>
      </c>
      <c r="F2314" s="15" t="str">
        <f>IF(ISBLANK(Raw_Data!F2314),AVERAGE(Raw_Data!F$2:F$5002),Raw_Data!F2314)</f>
        <v>18879.74</v>
      </c>
      <c r="G2314" s="14" t="str">
        <f>IF(ISBLANK(Raw_Data!G2314),AVERAGE(Raw_Data!G$2:G$5002),Raw_Data!G2314)</f>
        <v>15186.21</v>
      </c>
      <c r="H2314" s="15" t="str">
        <f t="shared" si="1"/>
        <v>118714.00</v>
      </c>
      <c r="I2314" s="14" t="str">
        <f t="shared" si="2"/>
        <v>103528.00</v>
      </c>
      <c r="J2314" s="16" t="str">
        <f>TEXT(Raw_Data!J2314,"MMM-YYY")</f>
        <v>May-2025</v>
      </c>
      <c r="K2314" s="13" t="str">
        <f>Raw_Data!K2314</f>
        <v>5</v>
      </c>
      <c r="L2314" s="17" t="str">
        <f>Raw_Data!L2314</f>
        <v>Hyderabad-South</v>
      </c>
      <c r="M2314" s="13" t="str">
        <f t="shared" si="3"/>
        <v>OK</v>
      </c>
      <c r="N2314" s="18" t="str">
        <f t="shared" si="4"/>
        <v>VALID</v>
      </c>
    </row>
    <row r="2315" ht="15.75" customHeight="1">
      <c r="A2315" s="13" t="str">
        <f>Raw_Data!A2315</f>
        <v>EMP2437</v>
      </c>
      <c r="B2315" s="13" t="str">
        <f>TRIM(CLEAN(Raw_Data!B2315))</f>
        <v>IT</v>
      </c>
      <c r="C2315" s="18" t="s">
        <v>33</v>
      </c>
      <c r="D2315" s="14" t="str">
        <f>IF(ISBLANK(Raw_Data!D2315),AVERAGE(Raw_Data!D$2:D$5002),Raw_Data!D2315)</f>
        <v>74613.49</v>
      </c>
      <c r="E2315" s="15" t="str">
        <f>IF(ISBLANK(Raw_Data!E2315),AVERAGE(Raw_Data!E$2:E$5002),Raw_Data!E2315)</f>
        <v>25236.69</v>
      </c>
      <c r="F2315" s="15" t="str">
        <f>IF(ISBLANK(Raw_Data!F2315),AVERAGE(Raw_Data!F$2:F$5002),Raw_Data!F2315)</f>
        <v>18887.42</v>
      </c>
      <c r="G2315" s="14" t="str">
        <f>IF(ISBLANK(Raw_Data!G2315),AVERAGE(Raw_Data!G$2:G$5002),Raw_Data!G2315)</f>
        <v>15189.61</v>
      </c>
      <c r="H2315" s="15" t="str">
        <f t="shared" si="1"/>
        <v>118738.00</v>
      </c>
      <c r="I2315" s="14" t="str">
        <f t="shared" si="2"/>
        <v>103548.00</v>
      </c>
      <c r="J2315" s="16" t="str">
        <f>TEXT(Raw_Data!J2315,"MMM-YYY")</f>
        <v>Dec-2025</v>
      </c>
      <c r="K2315" s="13" t="str">
        <f>Raw_Data!K2315</f>
        <v>17</v>
      </c>
      <c r="L2315" s="17" t="str">
        <f>Raw_Data!L2315</f>
        <v>Chandigarh-North</v>
      </c>
      <c r="M2315" s="13" t="str">
        <f t="shared" si="3"/>
        <v>OK</v>
      </c>
      <c r="N2315" s="18" t="str">
        <f t="shared" si="4"/>
        <v>VALID</v>
      </c>
    </row>
    <row r="2316" ht="15.75" customHeight="1">
      <c r="A2316" s="13" t="str">
        <f>Raw_Data!A2316</f>
        <v>EMP2438</v>
      </c>
      <c r="B2316" s="13" t="str">
        <f>TRIM(CLEAN(Raw_Data!B2316))</f>
        <v>Operations</v>
      </c>
      <c r="C2316" s="18" t="s">
        <v>14</v>
      </c>
      <c r="D2316" s="14" t="str">
        <f>IF(ISBLANK(Raw_Data!D2316),AVERAGE(Raw_Data!D$2:D$5002),Raw_Data!D2316)</f>
        <v>74624.37</v>
      </c>
      <c r="E2316" s="15" t="str">
        <f>IF(ISBLANK(Raw_Data!E2316),AVERAGE(Raw_Data!E$2:E$5002),Raw_Data!E2316)</f>
        <v>25241.31</v>
      </c>
      <c r="F2316" s="15" t="str">
        <f>IF(ISBLANK(Raw_Data!F2316),AVERAGE(Raw_Data!F$2:F$5002),Raw_Data!F2316)</f>
        <v>18895.10</v>
      </c>
      <c r="G2316" s="14" t="str">
        <f>IF(ISBLANK(Raw_Data!G2316),AVERAGE(Raw_Data!G$2:G$5002),Raw_Data!G2316)</f>
        <v>15193.01</v>
      </c>
      <c r="H2316" s="15" t="str">
        <f t="shared" si="1"/>
        <v>118761.00</v>
      </c>
      <c r="I2316" s="14" t="str">
        <f t="shared" si="2"/>
        <v>103568.00</v>
      </c>
      <c r="J2316" s="16" t="str">
        <f>TEXT(Raw_Data!J2316,"MMM-YYY")</f>
        <v>Mar-2025</v>
      </c>
      <c r="K2316" s="13" t="str">
        <f>Raw_Data!K2316</f>
        <v>25</v>
      </c>
      <c r="L2316" s="17" t="str">
        <f>Raw_Data!L2316</f>
        <v>Ahmedabad-West</v>
      </c>
      <c r="M2316" s="13" t="str">
        <f t="shared" si="3"/>
        <v>OK</v>
      </c>
      <c r="N2316" s="18" t="str">
        <f t="shared" si="4"/>
        <v>VALID</v>
      </c>
    </row>
    <row r="2317" ht="15.75" customHeight="1">
      <c r="A2317" s="13" t="str">
        <f>Raw_Data!A2317</f>
        <v>EMP2439</v>
      </c>
      <c r="B2317" s="13" t="str">
        <f>TRIM(CLEAN(Raw_Data!B2317))</f>
        <v>Finance</v>
      </c>
      <c r="C2317" s="18" t="s">
        <v>30</v>
      </c>
      <c r="D2317" s="14" t="str">
        <f>IF(ISBLANK(Raw_Data!D2317),AVERAGE(Raw_Data!D$2:D$5002),Raw_Data!D2317)</f>
        <v>74635.26</v>
      </c>
      <c r="E2317" s="15" t="str">
        <f>IF(ISBLANK(Raw_Data!E2317),AVERAGE(Raw_Data!E$2:E$5002),Raw_Data!E2317)</f>
        <v>25245.92</v>
      </c>
      <c r="F2317" s="15" t="str">
        <f>IF(ISBLANK(Raw_Data!F2317),AVERAGE(Raw_Data!F$2:F$5002),Raw_Data!F2317)</f>
        <v>18902.78</v>
      </c>
      <c r="G2317" s="14" t="str">
        <f>IF(ISBLANK(Raw_Data!G2317),AVERAGE(Raw_Data!G$2:G$5002),Raw_Data!G2317)</f>
        <v>15196.41</v>
      </c>
      <c r="H2317" s="15" t="str">
        <f t="shared" si="1"/>
        <v>118784.00</v>
      </c>
      <c r="I2317" s="14" t="str">
        <f t="shared" si="2"/>
        <v>103588.00</v>
      </c>
      <c r="J2317" s="16" t="str">
        <f>TEXT(Raw_Data!J2317,"MMM-YYY")</f>
        <v>Oct-2025</v>
      </c>
      <c r="K2317" s="13" t="str">
        <f>Raw_Data!K2317</f>
        <v>21</v>
      </c>
      <c r="L2317" s="17" t="str">
        <f>Raw_Data!L2317</f>
        <v>Jaipur-North</v>
      </c>
      <c r="M2317" s="13" t="str">
        <f t="shared" si="3"/>
        <v>OK</v>
      </c>
      <c r="N2317" s="18" t="str">
        <f t="shared" si="4"/>
        <v>VALID</v>
      </c>
    </row>
    <row r="2318" ht="15.75" customHeight="1">
      <c r="A2318" s="13" t="str">
        <f>Raw_Data!A2318</f>
        <v>EMP2440</v>
      </c>
      <c r="B2318" s="13" t="str">
        <f>TRIM(CLEAN(Raw_Data!B2318))</f>
        <v>Marketing</v>
      </c>
      <c r="C2318" s="18" t="s">
        <v>30</v>
      </c>
      <c r="D2318" s="14" t="str">
        <f>IF(ISBLANK(Raw_Data!D2318),AVERAGE(Raw_Data!D$2:D$5002),Raw_Data!D2318)</f>
        <v>74646.14</v>
      </c>
      <c r="E2318" s="15" t="str">
        <f>IF(ISBLANK(Raw_Data!E2318),AVERAGE(Raw_Data!E$2:E$5002),Raw_Data!E2318)</f>
        <v>25250.54</v>
      </c>
      <c r="F2318" s="15" t="str">
        <f>IF(ISBLANK(Raw_Data!F2318),AVERAGE(Raw_Data!F$2:F$5002),Raw_Data!F2318)</f>
        <v>18910.46</v>
      </c>
      <c r="G2318" s="14" t="str">
        <f>IF(ISBLANK(Raw_Data!G2318),AVERAGE(Raw_Data!G$2:G$5002),Raw_Data!G2318)</f>
        <v>15199.80</v>
      </c>
      <c r="H2318" s="15" t="str">
        <f t="shared" si="1"/>
        <v>118807.00</v>
      </c>
      <c r="I2318" s="14" t="str">
        <f t="shared" si="2"/>
        <v>103607.00</v>
      </c>
      <c r="J2318" s="16" t="str">
        <f>TEXT(Raw_Data!J2318,"MMM-YYY")</f>
        <v>Dec-2025</v>
      </c>
      <c r="K2318" s="13" t="str">
        <f>Raw_Data!K2318</f>
        <v>10</v>
      </c>
      <c r="L2318" s="17" t="str">
        <f>Raw_Data!L2318</f>
        <v>Mumbai-HO</v>
      </c>
      <c r="M2318" s="13" t="str">
        <f t="shared" si="3"/>
        <v>OK</v>
      </c>
      <c r="N2318" s="18" t="str">
        <f t="shared" si="4"/>
        <v>VALID</v>
      </c>
    </row>
    <row r="2319" ht="15.75" customHeight="1">
      <c r="A2319" s="13" t="str">
        <f>Raw_Data!A2319</f>
        <v>EMP2441</v>
      </c>
      <c r="B2319" s="13" t="str">
        <f>TRIM(CLEAN(Raw_Data!B2319))</f>
        <v>Sales</v>
      </c>
      <c r="C2319" s="18" t="s">
        <v>14</v>
      </c>
      <c r="D2319" s="14" t="str">
        <f>IF(ISBLANK(Raw_Data!D2319),AVERAGE(Raw_Data!D$2:D$5002),Raw_Data!D2319)</f>
        <v>71831.17</v>
      </c>
      <c r="E2319" s="15" t="str">
        <f>IF(ISBLANK(Raw_Data!E2319),AVERAGE(Raw_Data!E$2:E$5002),Raw_Data!E2319)</f>
        <v>25255.15</v>
      </c>
      <c r="F2319" s="15" t="str">
        <f>IF(ISBLANK(Raw_Data!F2319),AVERAGE(Raw_Data!F$2:F$5002),Raw_Data!F2319)</f>
        <v>18918.14</v>
      </c>
      <c r="G2319" s="14" t="str">
        <f>IF(ISBLANK(Raw_Data!G2319),AVERAGE(Raw_Data!G$2:G$5002),Raw_Data!G2319)</f>
        <v>15203.20</v>
      </c>
      <c r="H2319" s="15" t="str">
        <f t="shared" si="1"/>
        <v>116004.00</v>
      </c>
      <c r="I2319" s="14" t="str">
        <f t="shared" si="2"/>
        <v>100801.00</v>
      </c>
      <c r="J2319" s="16" t="str">
        <f>TEXT(Raw_Data!J2319,"MMM-YYY")</f>
        <v>Sep-2025</v>
      </c>
      <c r="K2319" s="13" t="str">
        <f>Raw_Data!K2319</f>
        <v>24</v>
      </c>
      <c r="L2319" s="17" t="str">
        <f>Raw_Data!L2319</f>
        <v>Delhi-North</v>
      </c>
      <c r="M2319" s="13" t="str">
        <f t="shared" si="3"/>
        <v>OK</v>
      </c>
      <c r="N2319" s="18" t="str">
        <f t="shared" si="4"/>
        <v>VALID</v>
      </c>
    </row>
    <row r="2320" ht="15.75" customHeight="1">
      <c r="A2320" s="13" t="str">
        <f>Raw_Data!A2320</f>
        <v>EMP2442</v>
      </c>
      <c r="B2320" s="13" t="str">
        <f>TRIM(CLEAN(Raw_Data!B2320))</f>
        <v>Marketing</v>
      </c>
      <c r="C2320" s="18" t="s">
        <v>37</v>
      </c>
      <c r="D2320" s="14" t="str">
        <f>IF(ISBLANK(Raw_Data!D2320),AVERAGE(Raw_Data!D$2:D$5002),Raw_Data!D2320)</f>
        <v>74667.91</v>
      </c>
      <c r="E2320" s="15" t="str">
        <f>IF(ISBLANK(Raw_Data!E2320),AVERAGE(Raw_Data!E$2:E$5002),Raw_Data!E2320)</f>
        <v>25259.77</v>
      </c>
      <c r="F2320" s="15" t="str">
        <f>IF(ISBLANK(Raw_Data!F2320),AVERAGE(Raw_Data!F$2:F$5002),Raw_Data!F2320)</f>
        <v>18925.82</v>
      </c>
      <c r="G2320" s="14" t="str">
        <f>IF(ISBLANK(Raw_Data!G2320),AVERAGE(Raw_Data!G$2:G$5002),Raw_Data!G2320)</f>
        <v>15206.60</v>
      </c>
      <c r="H2320" s="15" t="str">
        <f t="shared" si="1"/>
        <v>118853.00</v>
      </c>
      <c r="I2320" s="14" t="str">
        <f t="shared" si="2"/>
        <v>103646.00</v>
      </c>
      <c r="J2320" s="16" t="str">
        <f>TEXT(Raw_Data!J2320,"MMM-YYY")</f>
        <v>Sep-2025</v>
      </c>
      <c r="K2320" s="13" t="str">
        <f>Raw_Data!K2320</f>
        <v>20</v>
      </c>
      <c r="L2320" s="17" t="str">
        <f>Raw_Data!L2320</f>
        <v>Bangalore-South</v>
      </c>
      <c r="M2320" s="13" t="str">
        <f t="shared" si="3"/>
        <v>OK</v>
      </c>
      <c r="N2320" s="18" t="str">
        <f t="shared" si="4"/>
        <v>VALID</v>
      </c>
    </row>
    <row r="2321" ht="15.75" customHeight="1">
      <c r="A2321" s="13" t="str">
        <f>Raw_Data!A2321</f>
        <v>EMP2445</v>
      </c>
      <c r="B2321" s="13" t="str">
        <f>TRIM(CLEAN(Raw_Data!B2321))</f>
        <v>Finance</v>
      </c>
      <c r="C2321" s="18" t="s">
        <v>37</v>
      </c>
      <c r="D2321" s="14" t="str">
        <f>IF(ISBLANK(Raw_Data!D2321),AVERAGE(Raw_Data!D$2:D$5002),Raw_Data!D2321)</f>
        <v>74700.56</v>
      </c>
      <c r="E2321" s="15" t="str">
        <f>IF(ISBLANK(Raw_Data!E2321),AVERAGE(Raw_Data!E$2:E$5002),Raw_Data!E2321)</f>
        <v>25273.61</v>
      </c>
      <c r="F2321" s="15" t="str">
        <f>IF(ISBLANK(Raw_Data!F2321),AVERAGE(Raw_Data!F$2:F$5002),Raw_Data!F2321)</f>
        <v>18948.86</v>
      </c>
      <c r="G2321" s="14" t="str">
        <f>IF(ISBLANK(Raw_Data!G2321),AVERAGE(Raw_Data!G$2:G$5002),Raw_Data!G2321)</f>
        <v>15216.79</v>
      </c>
      <c r="H2321" s="15" t="str">
        <f t="shared" si="1"/>
        <v>118923.00</v>
      </c>
      <c r="I2321" s="14" t="str">
        <f t="shared" si="2"/>
        <v>103706.00</v>
      </c>
      <c r="J2321" s="16" t="str">
        <f>TEXT(Raw_Data!J2321,"MMM-YYY")</f>
        <v>Oct-2025</v>
      </c>
      <c r="K2321" s="13" t="str">
        <f>Raw_Data!K2321</f>
        <v>17</v>
      </c>
      <c r="L2321" s="17" t="str">
        <f>Raw_Data!L2321</f>
        <v>Pune-West</v>
      </c>
      <c r="M2321" s="13" t="str">
        <f t="shared" si="3"/>
        <v>OK</v>
      </c>
      <c r="N2321" s="18" t="str">
        <f t="shared" si="4"/>
        <v>VALID</v>
      </c>
    </row>
    <row r="2322" ht="15.75" customHeight="1">
      <c r="A2322" s="13" t="str">
        <f>Raw_Data!A2322</f>
        <v>EMP2446</v>
      </c>
      <c r="B2322" s="13" t="str">
        <f>TRIM(CLEAN(Raw_Data!B2322))</f>
        <v>HR</v>
      </c>
      <c r="C2322" s="18" t="s">
        <v>26</v>
      </c>
      <c r="D2322" s="14" t="str">
        <f>IF(ISBLANK(Raw_Data!D2322),AVERAGE(Raw_Data!D$2:D$5002),Raw_Data!D2322)</f>
        <v>74711.44</v>
      </c>
      <c r="E2322" s="15" t="str">
        <f>IF(ISBLANK(Raw_Data!E2322),AVERAGE(Raw_Data!E$2:E$5002),Raw_Data!E2322)</f>
        <v>25278.23</v>
      </c>
      <c r="F2322" s="15" t="str">
        <f>IF(ISBLANK(Raw_Data!F2322),AVERAGE(Raw_Data!F$2:F$5002),Raw_Data!F2322)</f>
        <v>18956.54</v>
      </c>
      <c r="G2322" s="14" t="str">
        <f>IF(ISBLANK(Raw_Data!G2322),AVERAGE(Raw_Data!G$2:G$5002),Raw_Data!G2322)</f>
        <v>15220.19</v>
      </c>
      <c r="H2322" s="15" t="str">
        <f t="shared" si="1"/>
        <v>118946.00</v>
      </c>
      <c r="I2322" s="14" t="str">
        <f t="shared" si="2"/>
        <v>103726.00</v>
      </c>
      <c r="J2322" s="16" t="str">
        <f>TEXT(Raw_Data!J2322,"MMM-YYY")</f>
        <v>Feb-2025</v>
      </c>
      <c r="K2322" s="13" t="str">
        <f>Raw_Data!K2322</f>
        <v>25</v>
      </c>
      <c r="L2322" s="17" t="str">
        <f>Raw_Data!L2322</f>
        <v>Hyderabad-South</v>
      </c>
      <c r="M2322" s="13" t="str">
        <f t="shared" si="3"/>
        <v>OK</v>
      </c>
      <c r="N2322" s="18" t="str">
        <f t="shared" si="4"/>
        <v>VALID</v>
      </c>
    </row>
    <row r="2323" ht="15.75" customHeight="1">
      <c r="A2323" s="13" t="str">
        <f>Raw_Data!A2323</f>
        <v>EMP2447</v>
      </c>
      <c r="B2323" s="13" t="str">
        <f>TRIM(CLEAN(Raw_Data!B2323))</f>
        <v>Marketing</v>
      </c>
      <c r="C2323" s="18" t="s">
        <v>30</v>
      </c>
      <c r="D2323" s="14" t="str">
        <f>IF(ISBLANK(Raw_Data!D2323),AVERAGE(Raw_Data!D$2:D$5002),Raw_Data!D2323)</f>
        <v>74722.32</v>
      </c>
      <c r="E2323" s="15" t="str">
        <f>IF(ISBLANK(Raw_Data!E2323),AVERAGE(Raw_Data!E$2:E$5002),Raw_Data!E2323)</f>
        <v>25282.84</v>
      </c>
      <c r="F2323" s="15" t="str">
        <f>IF(ISBLANK(Raw_Data!F2323),AVERAGE(Raw_Data!F$2:F$5002),Raw_Data!F2323)</f>
        <v>18964.22</v>
      </c>
      <c r="G2323" s="14" t="str">
        <f>IF(ISBLANK(Raw_Data!G2323),AVERAGE(Raw_Data!G$2:G$5002),Raw_Data!G2323)</f>
        <v>15223.59</v>
      </c>
      <c r="H2323" s="15" t="str">
        <f t="shared" si="1"/>
        <v>118969.00</v>
      </c>
      <c r="I2323" s="14" t="str">
        <f t="shared" si="2"/>
        <v>103745.00</v>
      </c>
      <c r="J2323" s="16" t="str">
        <f>TEXT(Raw_Data!J2323,"MMM-YYY")</f>
        <v>Jan-2025</v>
      </c>
      <c r="K2323" s="13" t="str">
        <f>Raw_Data!K2323</f>
        <v>22</v>
      </c>
      <c r="L2323" s="17" t="str">
        <f>Raw_Data!L2323</f>
        <v>Chandigarh-North</v>
      </c>
      <c r="M2323" s="13" t="str">
        <f t="shared" si="3"/>
        <v>OK</v>
      </c>
      <c r="N2323" s="18" t="str">
        <f t="shared" si="4"/>
        <v>VALID</v>
      </c>
    </row>
    <row r="2324" ht="15.75" customHeight="1">
      <c r="A2324" s="13" t="str">
        <f>Raw_Data!A2324</f>
        <v>EMP2448</v>
      </c>
      <c r="B2324" s="13" t="str">
        <f>TRIM(CLEAN(Raw_Data!B2324))</f>
        <v>Marketing</v>
      </c>
      <c r="C2324" s="18" t="s">
        <v>33</v>
      </c>
      <c r="D2324" s="14" t="str">
        <f>IF(ISBLANK(Raw_Data!D2324),AVERAGE(Raw_Data!D$2:D$5002),Raw_Data!D2324)</f>
        <v>74733.20</v>
      </c>
      <c r="E2324" s="15" t="str">
        <f>IF(ISBLANK(Raw_Data!E2324),AVERAGE(Raw_Data!E$2:E$5002),Raw_Data!E2324)</f>
        <v>25287.45</v>
      </c>
      <c r="F2324" s="15" t="str">
        <f>IF(ISBLANK(Raw_Data!F2324),AVERAGE(Raw_Data!F$2:F$5002),Raw_Data!F2324)</f>
        <v>18971.90</v>
      </c>
      <c r="G2324" s="14" t="str">
        <f>IF(ISBLANK(Raw_Data!G2324),AVERAGE(Raw_Data!G$2:G$5002),Raw_Data!G2324)</f>
        <v>15226.98</v>
      </c>
      <c r="H2324" s="15" t="str">
        <f t="shared" si="1"/>
        <v>118993.00</v>
      </c>
      <c r="I2324" s="14" t="str">
        <f t="shared" si="2"/>
        <v>103766.00</v>
      </c>
      <c r="J2324" s="16" t="str">
        <f>TEXT(Raw_Data!J2324,"MMM-YYY")</f>
        <v>Jun-2025</v>
      </c>
      <c r="K2324" s="13" t="str">
        <f>Raw_Data!K2324</f>
        <v>13</v>
      </c>
      <c r="L2324" s="17" t="str">
        <f>Raw_Data!L2324</f>
        <v>Ahmedabad-West</v>
      </c>
      <c r="M2324" s="13" t="str">
        <f t="shared" si="3"/>
        <v>OK</v>
      </c>
      <c r="N2324" s="18" t="str">
        <f t="shared" si="4"/>
        <v>VALID</v>
      </c>
    </row>
    <row r="2325" ht="15.75" customHeight="1">
      <c r="A2325" s="13" t="str">
        <f>Raw_Data!A2325</f>
        <v>EMP2449</v>
      </c>
      <c r="B2325" s="13" t="str">
        <f>TRIM(CLEAN(Raw_Data!B2325))</f>
        <v>Sales</v>
      </c>
      <c r="C2325" s="18" t="s">
        <v>14</v>
      </c>
      <c r="D2325" s="14" t="str">
        <f>IF(ISBLANK(Raw_Data!D2325),AVERAGE(Raw_Data!D$2:D$5002),Raw_Data!D2325)</f>
        <v>74744.09</v>
      </c>
      <c r="E2325" s="15" t="str">
        <f>IF(ISBLANK(Raw_Data!E2325),AVERAGE(Raw_Data!E$2:E$5002),Raw_Data!E2325)</f>
        <v>25292.07</v>
      </c>
      <c r="F2325" s="15" t="str">
        <f>IF(ISBLANK(Raw_Data!F2325),AVERAGE(Raw_Data!F$2:F$5002),Raw_Data!F2325)</f>
        <v>18979.58</v>
      </c>
      <c r="G2325" s="14" t="str">
        <f>IF(ISBLANK(Raw_Data!G2325),AVERAGE(Raw_Data!G$2:G$5002),Raw_Data!G2325)</f>
        <v>15230.38</v>
      </c>
      <c r="H2325" s="15" t="str">
        <f t="shared" si="1"/>
        <v>119016.00</v>
      </c>
      <c r="I2325" s="14" t="str">
        <f t="shared" si="2"/>
        <v>103786.00</v>
      </c>
      <c r="J2325" s="16" t="str">
        <f>TEXT(Raw_Data!J2325,"MMM-YYY")</f>
        <v>Mar-2025</v>
      </c>
      <c r="K2325" s="13" t="str">
        <f>Raw_Data!K2325</f>
        <v>4</v>
      </c>
      <c r="L2325" s="17" t="str">
        <f>Raw_Data!L2325</f>
        <v>Jaipur-North</v>
      </c>
      <c r="M2325" s="13" t="str">
        <f t="shared" si="3"/>
        <v>OK</v>
      </c>
      <c r="N2325" s="18" t="str">
        <f t="shared" si="4"/>
        <v>VALID</v>
      </c>
    </row>
    <row r="2326" ht="15.75" customHeight="1">
      <c r="A2326" s="13" t="str">
        <f>Raw_Data!A2326</f>
        <v>EMP2452</v>
      </c>
      <c r="B2326" s="13" t="str">
        <f>TRIM(CLEAN(Raw_Data!B2326))</f>
        <v>Marketing</v>
      </c>
      <c r="C2326" s="18" t="s">
        <v>37</v>
      </c>
      <c r="D2326" s="14" t="str">
        <f>IF(ISBLANK(Raw_Data!D2326),AVERAGE(Raw_Data!D$2:D$5002),Raw_Data!D2326)</f>
        <v>74776.74</v>
      </c>
      <c r="E2326" s="15" t="str">
        <f>IF(ISBLANK(Raw_Data!E2326),AVERAGE(Raw_Data!E$2:E$5002),Raw_Data!E2326)</f>
        <v>25305.91</v>
      </c>
      <c r="F2326" s="15" t="str">
        <f>IF(ISBLANK(Raw_Data!F2326),AVERAGE(Raw_Data!F$2:F$5002),Raw_Data!F2326)</f>
        <v>19002.62</v>
      </c>
      <c r="G2326" s="14" t="str">
        <f>IF(ISBLANK(Raw_Data!G2326),AVERAGE(Raw_Data!G$2:G$5002),Raw_Data!G2326)</f>
        <v>15240.57</v>
      </c>
      <c r="H2326" s="15" t="str">
        <f t="shared" si="1"/>
        <v>119085.00</v>
      </c>
      <c r="I2326" s="14" t="str">
        <f t="shared" si="2"/>
        <v>103844.00</v>
      </c>
      <c r="J2326" s="16" t="str">
        <f>TEXT(Raw_Data!J2326,"MMM-YYY")</f>
        <v>Mar-2025</v>
      </c>
      <c r="K2326" s="13" t="str">
        <f>Raw_Data!K2326</f>
        <v>24</v>
      </c>
      <c r="L2326" s="17" t="str">
        <f>Raw_Data!L2326</f>
        <v>Bangalore-South</v>
      </c>
      <c r="M2326" s="13" t="str">
        <f t="shared" si="3"/>
        <v>OK</v>
      </c>
      <c r="N2326" s="18" t="str">
        <f t="shared" si="4"/>
        <v>VALID</v>
      </c>
    </row>
    <row r="2327" ht="15.75" customHeight="1">
      <c r="A2327" s="13" t="str">
        <f>Raw_Data!A2327</f>
        <v>EMP2453</v>
      </c>
      <c r="B2327" s="13" t="str">
        <f>TRIM(CLEAN(Raw_Data!B2327))</f>
        <v>Customer Support</v>
      </c>
      <c r="C2327" s="18" t="s">
        <v>26</v>
      </c>
      <c r="D2327" s="14" t="str">
        <f>IF(ISBLANK(Raw_Data!D2327),AVERAGE(Raw_Data!D$2:D$5002),Raw_Data!D2327)</f>
        <v>74787.62</v>
      </c>
      <c r="E2327" s="15" t="str">
        <f>IF(ISBLANK(Raw_Data!E2327),AVERAGE(Raw_Data!E$2:E$5002),Raw_Data!E2327)</f>
        <v>25310.53</v>
      </c>
      <c r="F2327" s="15" t="str">
        <f>IF(ISBLANK(Raw_Data!F2327),AVERAGE(Raw_Data!F$2:F$5002),Raw_Data!F2327)</f>
        <v>19010.30</v>
      </c>
      <c r="G2327" s="14" t="str">
        <f>IF(ISBLANK(Raw_Data!G2327),AVERAGE(Raw_Data!G$2:G$5002),Raw_Data!G2327)</f>
        <v>15243.97</v>
      </c>
      <c r="H2327" s="15" t="str">
        <f t="shared" si="1"/>
        <v>119108.00</v>
      </c>
      <c r="I2327" s="14" t="str">
        <f t="shared" si="2"/>
        <v>103864.00</v>
      </c>
      <c r="J2327" s="16" t="str">
        <f>TEXT(Raw_Data!J2327,"MMM-YYY")</f>
        <v>Mar-2025</v>
      </c>
      <c r="K2327" s="13" t="str">
        <f>Raw_Data!K2327</f>
        <v>10</v>
      </c>
      <c r="L2327" s="17" t="str">
        <f>Raw_Data!L2327</f>
        <v>Chennai-South</v>
      </c>
      <c r="M2327" s="13" t="str">
        <f t="shared" si="3"/>
        <v>OK</v>
      </c>
      <c r="N2327" s="18" t="str">
        <f t="shared" si="4"/>
        <v>VALID</v>
      </c>
    </row>
    <row r="2328" ht="15.75" customHeight="1">
      <c r="A2328" s="13" t="str">
        <f>Raw_Data!A2328</f>
        <v>EMP2455</v>
      </c>
      <c r="B2328" s="13" t="str">
        <f>TRIM(CLEAN(Raw_Data!B2328))</f>
        <v>Marketing</v>
      </c>
      <c r="C2328" s="18" t="s">
        <v>54</v>
      </c>
      <c r="D2328" s="14" t="str">
        <f>IF(ISBLANK(Raw_Data!D2328),AVERAGE(Raw_Data!D$2:D$5002),Raw_Data!D2328)</f>
        <v>74809.39</v>
      </c>
      <c r="E2328" s="15" t="str">
        <f>IF(ISBLANK(Raw_Data!E2328),AVERAGE(Raw_Data!E$2:E$5002),Raw_Data!E2328)</f>
        <v>25319.76</v>
      </c>
      <c r="F2328" s="15" t="str">
        <f>IF(ISBLANK(Raw_Data!F2328),AVERAGE(Raw_Data!F$2:F$5002),Raw_Data!F2328)</f>
        <v>19025.66</v>
      </c>
      <c r="G2328" s="14" t="str">
        <f>IF(ISBLANK(Raw_Data!G2328),AVERAGE(Raw_Data!G$2:G$5002),Raw_Data!G2328)</f>
        <v>15250.77</v>
      </c>
      <c r="H2328" s="15" t="str">
        <f t="shared" si="1"/>
        <v>119155.00</v>
      </c>
      <c r="I2328" s="14" t="str">
        <f t="shared" si="2"/>
        <v>103904.00</v>
      </c>
      <c r="J2328" s="16" t="str">
        <f>TEXT(Raw_Data!J2328,"MMM-YYY")</f>
        <v>Nov-2025</v>
      </c>
      <c r="K2328" s="13" t="str">
        <f>Raw_Data!K2328</f>
        <v>19</v>
      </c>
      <c r="L2328" s="17" t="str">
        <f>Raw_Data!L2328</f>
        <v>Pune-West</v>
      </c>
      <c r="M2328" s="13" t="str">
        <f t="shared" si="3"/>
        <v>OK</v>
      </c>
      <c r="N2328" s="18" t="str">
        <f t="shared" si="4"/>
        <v>VALID</v>
      </c>
    </row>
    <row r="2329" ht="15.75" customHeight="1">
      <c r="A2329" s="13" t="str">
        <f>Raw_Data!A2329</f>
        <v>EMP2456</v>
      </c>
      <c r="B2329" s="13" t="str">
        <f>TRIM(CLEAN(Raw_Data!B2329))</f>
        <v>Marketing</v>
      </c>
      <c r="C2329" s="18" t="s">
        <v>30</v>
      </c>
      <c r="D2329" s="14" t="str">
        <f>IF(ISBLANK(Raw_Data!D2329),AVERAGE(Raw_Data!D$2:D$5002),Raw_Data!D2329)</f>
        <v>74820.27</v>
      </c>
      <c r="E2329" s="15" t="str">
        <f>IF(ISBLANK(Raw_Data!E2329),AVERAGE(Raw_Data!E$2:E$5002),Raw_Data!E2329)</f>
        <v>25324.37</v>
      </c>
      <c r="F2329" s="15" t="str">
        <f>IF(ISBLANK(Raw_Data!F2329),AVERAGE(Raw_Data!F$2:F$5002),Raw_Data!F2329)</f>
        <v>19033.34</v>
      </c>
      <c r="G2329" s="14" t="str">
        <f>IF(ISBLANK(Raw_Data!G2329),AVERAGE(Raw_Data!G$2:G$5002),Raw_Data!G2329)</f>
        <v>15254.16</v>
      </c>
      <c r="H2329" s="15" t="str">
        <f t="shared" si="1"/>
        <v>119178.00</v>
      </c>
      <c r="I2329" s="14" t="str">
        <f t="shared" si="2"/>
        <v>103924.00</v>
      </c>
      <c r="J2329" s="16" t="str">
        <f>TEXT(Raw_Data!J2329,"MMM-YYY")</f>
        <v>Oct-2025</v>
      </c>
      <c r="K2329" s="13" t="str">
        <f>Raw_Data!K2329</f>
        <v>6</v>
      </c>
      <c r="L2329" s="17" t="str">
        <f>Raw_Data!L2329</f>
        <v>Hyderabad-South</v>
      </c>
      <c r="M2329" s="13" t="str">
        <f t="shared" si="3"/>
        <v>OK</v>
      </c>
      <c r="N2329" s="18" t="str">
        <f t="shared" si="4"/>
        <v>VALID</v>
      </c>
    </row>
    <row r="2330" ht="15.75" customHeight="1">
      <c r="A2330" s="13" t="str">
        <f>Raw_Data!A2330</f>
        <v>EMP2458</v>
      </c>
      <c r="B2330" s="13" t="str">
        <f>TRIM(CLEAN(Raw_Data!B2330))</f>
        <v>Sales</v>
      </c>
      <c r="C2330" s="18" t="s">
        <v>37</v>
      </c>
      <c r="D2330" s="14" t="str">
        <f>IF(ISBLANK(Raw_Data!D2330),AVERAGE(Raw_Data!D$2:D$5002),Raw_Data!D2330)</f>
        <v>74842.03</v>
      </c>
      <c r="E2330" s="15" t="str">
        <f>IF(ISBLANK(Raw_Data!E2330),AVERAGE(Raw_Data!E$2:E$5002),Raw_Data!E2330)</f>
        <v>25333.60</v>
      </c>
      <c r="F2330" s="15" t="str">
        <f>IF(ISBLANK(Raw_Data!F2330),AVERAGE(Raw_Data!F$2:F$5002),Raw_Data!F2330)</f>
        <v>19048.70</v>
      </c>
      <c r="G2330" s="14" t="str">
        <f>IF(ISBLANK(Raw_Data!G2330),AVERAGE(Raw_Data!G$2:G$5002),Raw_Data!G2330)</f>
        <v>15260.96</v>
      </c>
      <c r="H2330" s="15" t="str">
        <f t="shared" si="1"/>
        <v>119224.00</v>
      </c>
      <c r="I2330" s="14" t="str">
        <f t="shared" si="2"/>
        <v>103963.00</v>
      </c>
      <c r="J2330" s="16" t="str">
        <f>TEXT(Raw_Data!J2330,"MMM-YYY")</f>
        <v>Mar-2025</v>
      </c>
      <c r="K2330" s="13" t="str">
        <f>Raw_Data!K2330</f>
        <v>7</v>
      </c>
      <c r="L2330" s="17" t="str">
        <f>Raw_Data!L2330</f>
        <v>Ahmedabad-West</v>
      </c>
      <c r="M2330" s="13" t="str">
        <f t="shared" si="3"/>
        <v>OK</v>
      </c>
      <c r="N2330" s="18" t="str">
        <f t="shared" si="4"/>
        <v>VALID</v>
      </c>
    </row>
    <row r="2331" ht="15.75" customHeight="1">
      <c r="A2331" s="13" t="str">
        <f>Raw_Data!A2331</f>
        <v>EMP2459</v>
      </c>
      <c r="B2331" s="13" t="s">
        <v>51</v>
      </c>
      <c r="C2331" s="18" t="s">
        <v>30</v>
      </c>
      <c r="D2331" s="14" t="str">
        <f>IF(ISBLANK(Raw_Data!D2331),AVERAGE(Raw_Data!D$2:D$5002),Raw_Data!D2331)</f>
        <v>74852.92</v>
      </c>
      <c r="E2331" s="15" t="str">
        <f>IF(ISBLANK(Raw_Data!E2331),AVERAGE(Raw_Data!E$2:E$5002),Raw_Data!E2331)</f>
        <v>25338.22</v>
      </c>
      <c r="F2331" s="15" t="str">
        <f>IF(ISBLANK(Raw_Data!F2331),AVERAGE(Raw_Data!F$2:F$5002),Raw_Data!F2331)</f>
        <v>19056.38</v>
      </c>
      <c r="G2331" s="14" t="str">
        <f>IF(ISBLANK(Raw_Data!G2331),AVERAGE(Raw_Data!G$2:G$5002),Raw_Data!G2331)</f>
        <v>15264.36</v>
      </c>
      <c r="H2331" s="15" t="str">
        <f t="shared" si="1"/>
        <v>119248.00</v>
      </c>
      <c r="I2331" s="14" t="str">
        <f t="shared" si="2"/>
        <v>103984.00</v>
      </c>
      <c r="J2331" s="16" t="str">
        <f>TEXT(Raw_Data!J2331,"MMM-YYY")</f>
        <v>Oct-2025</v>
      </c>
      <c r="K2331" s="13" t="str">
        <f>Raw_Data!K2331</f>
        <v>6</v>
      </c>
      <c r="L2331" s="17" t="str">
        <f>Raw_Data!L2331</f>
        <v>Jaipur-North</v>
      </c>
      <c r="M2331" s="13" t="str">
        <f t="shared" si="3"/>
        <v>OK</v>
      </c>
      <c r="N2331" s="18" t="str">
        <f t="shared" si="4"/>
        <v>VALID</v>
      </c>
    </row>
    <row r="2332" ht="15.75" customHeight="1">
      <c r="A2332" s="13" t="str">
        <f>Raw_Data!A2332</f>
        <v>EMP2460</v>
      </c>
      <c r="B2332" s="13" t="str">
        <f>TRIM(CLEAN(Raw_Data!B2332))</f>
        <v>Operations</v>
      </c>
      <c r="C2332" s="18" t="s">
        <v>26</v>
      </c>
      <c r="D2332" s="14" t="str">
        <f>IF(ISBLANK(Raw_Data!D2332),AVERAGE(Raw_Data!D$2:D$5002),Raw_Data!D2332)</f>
        <v>74863.80</v>
      </c>
      <c r="E2332" s="15" t="str">
        <f>IF(ISBLANK(Raw_Data!E2332),AVERAGE(Raw_Data!E$2:E$5002),Raw_Data!E2332)</f>
        <v>25342.83</v>
      </c>
      <c r="F2332" s="15" t="str">
        <f>IF(ISBLANK(Raw_Data!F2332),AVERAGE(Raw_Data!F$2:F$5002),Raw_Data!F2332)</f>
        <v>19064.06</v>
      </c>
      <c r="G2332" s="14" t="str">
        <f>IF(ISBLANK(Raw_Data!G2332),AVERAGE(Raw_Data!G$2:G$5002),Raw_Data!G2332)</f>
        <v>15267.75</v>
      </c>
      <c r="H2332" s="15" t="str">
        <f t="shared" si="1"/>
        <v>119271.00</v>
      </c>
      <c r="I2332" s="14" t="str">
        <f t="shared" si="2"/>
        <v>104003.00</v>
      </c>
      <c r="J2332" s="16" t="str">
        <f>TEXT(Raw_Data!J2332,"MMM-YYY")</f>
        <v>Oct-2025</v>
      </c>
      <c r="K2332" s="13" t="str">
        <f>Raw_Data!K2332</f>
        <v>21</v>
      </c>
      <c r="L2332" s="17" t="str">
        <f>Raw_Data!L2332</f>
        <v>Mumbai-HO</v>
      </c>
      <c r="M2332" s="13" t="str">
        <f t="shared" si="3"/>
        <v>OK</v>
      </c>
      <c r="N2332" s="18" t="str">
        <f t="shared" si="4"/>
        <v>VALID</v>
      </c>
    </row>
    <row r="2333" ht="15.75" customHeight="1">
      <c r="A2333" s="13" t="str">
        <f>Raw_Data!A2333</f>
        <v>EMP2461</v>
      </c>
      <c r="B2333" s="13" t="str">
        <f>TRIM(CLEAN(Raw_Data!B2333))</f>
        <v>HR</v>
      </c>
      <c r="C2333" s="18" t="s">
        <v>37</v>
      </c>
      <c r="D2333" s="14" t="str">
        <f>IF(ISBLANK(Raw_Data!D2333),AVERAGE(Raw_Data!D$2:D$5002),Raw_Data!D2333)</f>
        <v>74874.68</v>
      </c>
      <c r="E2333" s="15" t="str">
        <f>IF(ISBLANK(Raw_Data!E2333),AVERAGE(Raw_Data!E$2:E$5002),Raw_Data!E2333)</f>
        <v>25347.45</v>
      </c>
      <c r="F2333" s="15" t="str">
        <f>IF(ISBLANK(Raw_Data!F2333),AVERAGE(Raw_Data!F$2:F$5002),Raw_Data!F2333)</f>
        <v>19071.74</v>
      </c>
      <c r="G2333" s="14" t="str">
        <f>IF(ISBLANK(Raw_Data!G2333),AVERAGE(Raw_Data!G$2:G$5002),Raw_Data!G2333)</f>
        <v>15271.15</v>
      </c>
      <c r="H2333" s="15" t="str">
        <f t="shared" si="1"/>
        <v>119294.00</v>
      </c>
      <c r="I2333" s="14" t="str">
        <f t="shared" si="2"/>
        <v>104023.00</v>
      </c>
      <c r="J2333" s="16" t="str">
        <f>TEXT(Raw_Data!J2333,"MMM-YYY")</f>
        <v>Jun-2025</v>
      </c>
      <c r="K2333" s="13" t="str">
        <f>Raw_Data!K2333</f>
        <v>7</v>
      </c>
      <c r="L2333" s="17" t="str">
        <f>Raw_Data!L2333</f>
        <v>Delhi-North</v>
      </c>
      <c r="M2333" s="13" t="str">
        <f t="shared" si="3"/>
        <v>OK</v>
      </c>
      <c r="N2333" s="18" t="str">
        <f t="shared" si="4"/>
        <v>VALID</v>
      </c>
    </row>
    <row r="2334" ht="15.75" customHeight="1">
      <c r="A2334" s="13" t="str">
        <f>Raw_Data!A2334</f>
        <v>EMP2462</v>
      </c>
      <c r="B2334" s="13" t="str">
        <f>TRIM(CLEAN(Raw_Data!B2334))</f>
        <v>Finance</v>
      </c>
      <c r="C2334" s="18" t="s">
        <v>54</v>
      </c>
      <c r="D2334" s="14" t="str">
        <f>IF(ISBLANK(Raw_Data!D2334),AVERAGE(Raw_Data!D$2:D$5002),Raw_Data!D2334)</f>
        <v>74885.57</v>
      </c>
      <c r="E2334" s="15" t="str">
        <f>IF(ISBLANK(Raw_Data!E2334),AVERAGE(Raw_Data!E$2:E$5002),Raw_Data!E2334)</f>
        <v>25352.06</v>
      </c>
      <c r="F2334" s="15" t="str">
        <f>IF(ISBLANK(Raw_Data!F2334),AVERAGE(Raw_Data!F$2:F$5002),Raw_Data!F2334)</f>
        <v>19079.42</v>
      </c>
      <c r="G2334" s="14" t="str">
        <f>IF(ISBLANK(Raw_Data!G2334),AVERAGE(Raw_Data!G$2:G$5002),Raw_Data!G2334)</f>
        <v>15274.55</v>
      </c>
      <c r="H2334" s="15" t="str">
        <f t="shared" si="1"/>
        <v>119317.00</v>
      </c>
      <c r="I2334" s="14" t="str">
        <f t="shared" si="2"/>
        <v>104042.00</v>
      </c>
      <c r="J2334" s="16" t="str">
        <f>TEXT(Raw_Data!J2334,"MMM-YYY")</f>
        <v>Jun-2025</v>
      </c>
      <c r="K2334" s="13" t="str">
        <f>Raw_Data!K2334</f>
        <v>22</v>
      </c>
      <c r="L2334" s="17" t="str">
        <f>Raw_Data!L2334</f>
        <v>Bangalore-South</v>
      </c>
      <c r="M2334" s="13" t="str">
        <f t="shared" si="3"/>
        <v>OK</v>
      </c>
      <c r="N2334" s="18" t="str">
        <f t="shared" si="4"/>
        <v>VALID</v>
      </c>
    </row>
    <row r="2335" ht="15.75" customHeight="1">
      <c r="A2335" s="13" t="str">
        <f>Raw_Data!A2335</f>
        <v>EMP2463</v>
      </c>
      <c r="B2335" s="13" t="str">
        <f>TRIM(CLEAN(Raw_Data!B2335))</f>
        <v>Operations</v>
      </c>
      <c r="C2335" s="18" t="s">
        <v>18</v>
      </c>
      <c r="D2335" s="14" t="str">
        <f>IF(ISBLANK(Raw_Data!D2335),AVERAGE(Raw_Data!D$2:D$5002),Raw_Data!D2335)</f>
        <v>74896.45</v>
      </c>
      <c r="E2335" s="15" t="str">
        <f>IF(ISBLANK(Raw_Data!E2335),AVERAGE(Raw_Data!E$2:E$5002),Raw_Data!E2335)</f>
        <v>25356.68</v>
      </c>
      <c r="F2335" s="15" t="str">
        <f>IF(ISBLANK(Raw_Data!F2335),AVERAGE(Raw_Data!F$2:F$5002),Raw_Data!F2335)</f>
        <v>19087.10</v>
      </c>
      <c r="G2335" s="14" t="str">
        <f>IF(ISBLANK(Raw_Data!G2335),AVERAGE(Raw_Data!G$2:G$5002),Raw_Data!G2335)</f>
        <v>15277.95</v>
      </c>
      <c r="H2335" s="15" t="str">
        <f t="shared" si="1"/>
        <v>119340.00</v>
      </c>
      <c r="I2335" s="14" t="str">
        <f t="shared" si="2"/>
        <v>104062.00</v>
      </c>
      <c r="J2335" s="16" t="str">
        <f>TEXT(Raw_Data!J2335,"MMM-YYY")</f>
        <v>Feb-2025</v>
      </c>
      <c r="K2335" s="13" t="str">
        <f>Raw_Data!K2335</f>
        <v>12</v>
      </c>
      <c r="L2335" s="17" t="str">
        <f>Raw_Data!L2335</f>
        <v>Chennai-South</v>
      </c>
      <c r="M2335" s="13" t="str">
        <f t="shared" si="3"/>
        <v>OK</v>
      </c>
      <c r="N2335" s="18" t="str">
        <f t="shared" si="4"/>
        <v>VALID</v>
      </c>
    </row>
    <row r="2336" ht="15.75" customHeight="1">
      <c r="A2336" s="13" t="str">
        <f>Raw_Data!A2336</f>
        <v>EMP2464</v>
      </c>
      <c r="B2336" s="13" t="str">
        <f>TRIM(CLEAN(Raw_Data!B2336))</f>
        <v>Finance</v>
      </c>
      <c r="C2336" s="18" t="s">
        <v>37</v>
      </c>
      <c r="D2336" s="14" t="str">
        <f>IF(ISBLANK(Raw_Data!D2336),AVERAGE(Raw_Data!D$2:D$5002),Raw_Data!D2336)</f>
        <v>74907.33</v>
      </c>
      <c r="E2336" s="15" t="str">
        <f>IF(ISBLANK(Raw_Data!E2336),AVERAGE(Raw_Data!E$2:E$5002),Raw_Data!E2336)</f>
        <v>25361.29</v>
      </c>
      <c r="F2336" s="15" t="str">
        <f>IF(ISBLANK(Raw_Data!F2336),AVERAGE(Raw_Data!F$2:F$5002),Raw_Data!F2336)</f>
        <v>19094.78</v>
      </c>
      <c r="G2336" s="14" t="str">
        <f>IF(ISBLANK(Raw_Data!G2336),AVERAGE(Raw_Data!G$2:G$5002),Raw_Data!G2336)</f>
        <v>15281.34</v>
      </c>
      <c r="H2336" s="15" t="str">
        <f t="shared" si="1"/>
        <v>119363.00</v>
      </c>
      <c r="I2336" s="14" t="str">
        <f t="shared" si="2"/>
        <v>104082.00</v>
      </c>
      <c r="J2336" s="16" t="str">
        <f>TEXT(Raw_Data!J2336,"MMM-YYY")</f>
        <v>Feb-2025</v>
      </c>
      <c r="K2336" s="13" t="str">
        <f>Raw_Data!K2336</f>
        <v>10</v>
      </c>
      <c r="L2336" s="17" t="str">
        <f>Raw_Data!L2336</f>
        <v>Kolkata-East</v>
      </c>
      <c r="M2336" s="13" t="str">
        <f t="shared" si="3"/>
        <v>OK</v>
      </c>
      <c r="N2336" s="18" t="str">
        <f t="shared" si="4"/>
        <v>VALID</v>
      </c>
    </row>
    <row r="2337" ht="15.75" customHeight="1">
      <c r="A2337" s="13" t="str">
        <f>Raw_Data!A2337</f>
        <v>EMP2465</v>
      </c>
      <c r="B2337" s="13" t="str">
        <f>TRIM(CLEAN(Raw_Data!B2337))</f>
        <v>Customer Support</v>
      </c>
      <c r="C2337" s="18" t="s">
        <v>30</v>
      </c>
      <c r="D2337" s="14" t="str">
        <f>IF(ISBLANK(Raw_Data!D2337),AVERAGE(Raw_Data!D$2:D$5002),Raw_Data!D2337)</f>
        <v>74918.22</v>
      </c>
      <c r="E2337" s="15" t="str">
        <f>IF(ISBLANK(Raw_Data!E2337),AVERAGE(Raw_Data!E$2:E$5002),Raw_Data!E2337)</f>
        <v>25365.90</v>
      </c>
      <c r="F2337" s="15" t="str">
        <f>IF(ISBLANK(Raw_Data!F2337),AVERAGE(Raw_Data!F$2:F$5002),Raw_Data!F2337)</f>
        <v>19102.46</v>
      </c>
      <c r="G2337" s="14" t="str">
        <f>IF(ISBLANK(Raw_Data!G2337),AVERAGE(Raw_Data!G$2:G$5002),Raw_Data!G2337)</f>
        <v>15284.74</v>
      </c>
      <c r="H2337" s="15" t="str">
        <f t="shared" si="1"/>
        <v>119387.00</v>
      </c>
      <c r="I2337" s="14" t="str">
        <f t="shared" si="2"/>
        <v>104102.00</v>
      </c>
      <c r="J2337" s="16" t="str">
        <f>TEXT(Raw_Data!J2337,"MMM-YYY")</f>
        <v>May-2025</v>
      </c>
      <c r="K2337" s="13" t="str">
        <f>Raw_Data!K2337</f>
        <v>24</v>
      </c>
      <c r="L2337" s="17" t="str">
        <f>Raw_Data!L2337</f>
        <v>Pune-West</v>
      </c>
      <c r="M2337" s="13" t="str">
        <f t="shared" si="3"/>
        <v>OK</v>
      </c>
      <c r="N2337" s="18" t="str">
        <f t="shared" si="4"/>
        <v>VALID</v>
      </c>
    </row>
    <row r="2338" ht="15.75" customHeight="1">
      <c r="A2338" s="13" t="str">
        <f>Raw_Data!A2338</f>
        <v>EMP2466</v>
      </c>
      <c r="B2338" s="13" t="str">
        <f>TRIM(CLEAN(Raw_Data!B2338))</f>
        <v>HR</v>
      </c>
      <c r="C2338" s="18" t="s">
        <v>18</v>
      </c>
      <c r="D2338" s="14" t="str">
        <f>IF(ISBLANK(Raw_Data!D2338),AVERAGE(Raw_Data!D$2:D$5002),Raw_Data!D2338)</f>
        <v>74929.10</v>
      </c>
      <c r="E2338" s="15" t="str">
        <f>IF(ISBLANK(Raw_Data!E2338),AVERAGE(Raw_Data!E$2:E$5002),Raw_Data!E2338)</f>
        <v>25370.52</v>
      </c>
      <c r="F2338" s="15" t="str">
        <f>IF(ISBLANK(Raw_Data!F2338),AVERAGE(Raw_Data!F$2:F$5002),Raw_Data!F2338)</f>
        <v>19110.14</v>
      </c>
      <c r="G2338" s="14" t="str">
        <f>IF(ISBLANK(Raw_Data!G2338),AVERAGE(Raw_Data!G$2:G$5002),Raw_Data!G2338)</f>
        <v>15288.14</v>
      </c>
      <c r="H2338" s="15" t="str">
        <f t="shared" si="1"/>
        <v>119410.00</v>
      </c>
      <c r="I2338" s="14" t="str">
        <f t="shared" si="2"/>
        <v>104122.00</v>
      </c>
      <c r="J2338" s="16" t="str">
        <f>TEXT(Raw_Data!J2338,"MMM-YYY")</f>
        <v>May-2025</v>
      </c>
      <c r="K2338" s="13" t="str">
        <f>Raw_Data!K2338</f>
        <v>6</v>
      </c>
      <c r="L2338" s="17" t="str">
        <f>Raw_Data!L2338</f>
        <v>Hyderabad-South</v>
      </c>
      <c r="M2338" s="13" t="str">
        <f t="shared" si="3"/>
        <v>OK</v>
      </c>
      <c r="N2338" s="18" t="str">
        <f t="shared" si="4"/>
        <v>VALID</v>
      </c>
    </row>
    <row r="2339" ht="15.75" customHeight="1">
      <c r="A2339" s="13" t="str">
        <f>Raw_Data!A2339</f>
        <v>EMP2467</v>
      </c>
      <c r="B2339" s="13" t="str">
        <f>TRIM(CLEAN(Raw_Data!B2339))</f>
        <v>Finance</v>
      </c>
      <c r="C2339" s="18" t="s">
        <v>26</v>
      </c>
      <c r="D2339" s="14" t="str">
        <f>IF(ISBLANK(Raw_Data!D2339),AVERAGE(Raw_Data!D$2:D$5002),Raw_Data!D2339)</f>
        <v>74939.98</v>
      </c>
      <c r="E2339" s="15" t="str">
        <f>IF(ISBLANK(Raw_Data!E2339),AVERAGE(Raw_Data!E$2:E$5002),Raw_Data!E2339)</f>
        <v>25375.13</v>
      </c>
      <c r="F2339" s="15" t="str">
        <f>IF(ISBLANK(Raw_Data!F2339),AVERAGE(Raw_Data!F$2:F$5002),Raw_Data!F2339)</f>
        <v>19117.82</v>
      </c>
      <c r="G2339" s="14" t="str">
        <f>IF(ISBLANK(Raw_Data!G2339),AVERAGE(Raw_Data!G$2:G$5002),Raw_Data!G2339)</f>
        <v>15291.54</v>
      </c>
      <c r="H2339" s="15" t="str">
        <f t="shared" si="1"/>
        <v>119433.00</v>
      </c>
      <c r="I2339" s="14" t="str">
        <f t="shared" si="2"/>
        <v>104141.00</v>
      </c>
      <c r="J2339" s="16" t="str">
        <f>TEXT(Raw_Data!J2339,"MMM-YYY")</f>
        <v>Feb-2025</v>
      </c>
      <c r="K2339" s="13" t="str">
        <f>Raw_Data!K2339</f>
        <v>11</v>
      </c>
      <c r="L2339" s="17" t="str">
        <f>Raw_Data!L2339</f>
        <v>Chandigarh-North</v>
      </c>
      <c r="M2339" s="13" t="str">
        <f t="shared" si="3"/>
        <v>OK</v>
      </c>
      <c r="N2339" s="18" t="str">
        <f t="shared" si="4"/>
        <v>VALID</v>
      </c>
    </row>
    <row r="2340" ht="15.75" customHeight="1">
      <c r="A2340" s="13" t="str">
        <f>Raw_Data!A2340</f>
        <v>EMP2469</v>
      </c>
      <c r="B2340" s="13" t="str">
        <f>TRIM(CLEAN(Raw_Data!B2340))</f>
        <v>Sales</v>
      </c>
      <c r="C2340" s="18" t="s">
        <v>30</v>
      </c>
      <c r="D2340" s="14" t="str">
        <f>IF(ISBLANK(Raw_Data!D2340),AVERAGE(Raw_Data!D$2:D$5002),Raw_Data!D2340)</f>
        <v>74961.75</v>
      </c>
      <c r="E2340" s="15" t="str">
        <f>IF(ISBLANK(Raw_Data!E2340),AVERAGE(Raw_Data!E$2:E$5002),Raw_Data!E2340)</f>
        <v>25384.36</v>
      </c>
      <c r="F2340" s="15" t="str">
        <f>IF(ISBLANK(Raw_Data!F2340),AVERAGE(Raw_Data!F$2:F$5002),Raw_Data!F2340)</f>
        <v>19133.18</v>
      </c>
      <c r="G2340" s="14" t="str">
        <f>IF(ISBLANK(Raw_Data!G2340),AVERAGE(Raw_Data!G$2:G$5002),Raw_Data!G2340)</f>
        <v>15298.33</v>
      </c>
      <c r="H2340" s="15" t="str">
        <f t="shared" si="1"/>
        <v>119479.00</v>
      </c>
      <c r="I2340" s="14" t="str">
        <f t="shared" si="2"/>
        <v>104181.00</v>
      </c>
      <c r="J2340" s="16" t="str">
        <f>TEXT(Raw_Data!J2340,"MMM-YYY")</f>
        <v>Jan-2025</v>
      </c>
      <c r="K2340" s="13" t="str">
        <f>Raw_Data!K2340</f>
        <v>16</v>
      </c>
      <c r="L2340" s="17" t="str">
        <f>Raw_Data!L2340</f>
        <v>Jaipur-North</v>
      </c>
      <c r="M2340" s="13" t="str">
        <f t="shared" si="3"/>
        <v>OK</v>
      </c>
      <c r="N2340" s="18" t="str">
        <f t="shared" si="4"/>
        <v>VALID</v>
      </c>
    </row>
    <row r="2341" ht="15.75" customHeight="1">
      <c r="A2341" s="13" t="str">
        <f>Raw_Data!A2341</f>
        <v>EMP2470</v>
      </c>
      <c r="B2341" s="13" t="str">
        <f>TRIM(CLEAN(Raw_Data!B2341))</f>
        <v>Sales</v>
      </c>
      <c r="C2341" s="18" t="s">
        <v>30</v>
      </c>
      <c r="D2341" s="14" t="str">
        <f>IF(ISBLANK(Raw_Data!D2341),AVERAGE(Raw_Data!D$2:D$5002),Raw_Data!D2341)</f>
        <v>74972.63</v>
      </c>
      <c r="E2341" s="15" t="str">
        <f>IF(ISBLANK(Raw_Data!E2341),AVERAGE(Raw_Data!E$2:E$5002),Raw_Data!E2341)</f>
        <v>25388.98</v>
      </c>
      <c r="F2341" s="15" t="str">
        <f>IF(ISBLANK(Raw_Data!F2341),AVERAGE(Raw_Data!F$2:F$5002),Raw_Data!F2341)</f>
        <v>19140.86</v>
      </c>
      <c r="G2341" s="14" t="str">
        <f>IF(ISBLANK(Raw_Data!G2341),AVERAGE(Raw_Data!G$2:G$5002),Raw_Data!G2341)</f>
        <v>15301.73</v>
      </c>
      <c r="H2341" s="15" t="str">
        <f t="shared" si="1"/>
        <v>119502.00</v>
      </c>
      <c r="I2341" s="14" t="str">
        <f t="shared" si="2"/>
        <v>104200.00</v>
      </c>
      <c r="J2341" s="16" t="str">
        <f>TEXT(Raw_Data!J2341,"MMM-YYY")</f>
        <v>Mar-2025</v>
      </c>
      <c r="K2341" s="13" t="str">
        <f>Raw_Data!K2341</f>
        <v>25</v>
      </c>
      <c r="L2341" s="17" t="str">
        <f>Raw_Data!L2341</f>
        <v>Mumbai-HO</v>
      </c>
      <c r="M2341" s="13" t="str">
        <f t="shared" si="3"/>
        <v>OK</v>
      </c>
      <c r="N2341" s="18" t="str">
        <f t="shared" si="4"/>
        <v>VALID</v>
      </c>
    </row>
    <row r="2342" ht="15.75" customHeight="1">
      <c r="A2342" s="13" t="str">
        <f>Raw_Data!A2342</f>
        <v>EMP2471</v>
      </c>
      <c r="B2342" s="13" t="str">
        <f>TRIM(CLEAN(Raw_Data!B2342))</f>
        <v>Finance</v>
      </c>
      <c r="C2342" s="18" t="s">
        <v>37</v>
      </c>
      <c r="D2342" s="14" t="str">
        <f>IF(ISBLANK(Raw_Data!D2342),AVERAGE(Raw_Data!D$2:D$5002),Raw_Data!D2342)</f>
        <v>74983.51</v>
      </c>
      <c r="E2342" s="15" t="str">
        <f>IF(ISBLANK(Raw_Data!E2342),AVERAGE(Raw_Data!E$2:E$5002),Raw_Data!E2342)</f>
        <v>25393.59</v>
      </c>
      <c r="F2342" s="15" t="str">
        <f>IF(ISBLANK(Raw_Data!F2342),AVERAGE(Raw_Data!F$2:F$5002),Raw_Data!F2342)</f>
        <v>19148.54</v>
      </c>
      <c r="G2342" s="14" t="str">
        <f>IF(ISBLANK(Raw_Data!G2342),AVERAGE(Raw_Data!G$2:G$5002),Raw_Data!G2342)</f>
        <v>15305.13</v>
      </c>
      <c r="H2342" s="15" t="str">
        <f t="shared" si="1"/>
        <v>119526.00</v>
      </c>
      <c r="I2342" s="14" t="str">
        <f t="shared" si="2"/>
        <v>104221.00</v>
      </c>
      <c r="J2342" s="16" t="str">
        <f>TEXT(Raw_Data!J2342,"MMM-YYY")</f>
        <v>Sep-2025</v>
      </c>
      <c r="K2342" s="13" t="str">
        <f>Raw_Data!K2342</f>
        <v>15</v>
      </c>
      <c r="L2342" s="17" t="str">
        <f>Raw_Data!L2342</f>
        <v>Delhi-North</v>
      </c>
      <c r="M2342" s="13" t="str">
        <f t="shared" si="3"/>
        <v>OK</v>
      </c>
      <c r="N2342" s="18" t="str">
        <f t="shared" si="4"/>
        <v>VALID</v>
      </c>
    </row>
    <row r="2343" ht="15.75" customHeight="1">
      <c r="A2343" s="13" t="str">
        <f>Raw_Data!A2343</f>
        <v>EMP2472</v>
      </c>
      <c r="B2343" s="13" t="str">
        <f>TRIM(CLEAN(Raw_Data!B2343))</f>
        <v>HR</v>
      </c>
      <c r="C2343" s="18" t="s">
        <v>54</v>
      </c>
      <c r="D2343" s="14" t="str">
        <f>IF(ISBLANK(Raw_Data!D2343),AVERAGE(Raw_Data!D$2:D$5002),Raw_Data!D2343)</f>
        <v>74994.40</v>
      </c>
      <c r="E2343" s="15" t="str">
        <f>IF(ISBLANK(Raw_Data!E2343),AVERAGE(Raw_Data!E$2:E$5002),Raw_Data!E2343)</f>
        <v>25398.21</v>
      </c>
      <c r="F2343" s="15" t="str">
        <f>IF(ISBLANK(Raw_Data!F2343),AVERAGE(Raw_Data!F$2:F$5002),Raw_Data!F2343)</f>
        <v>19156.22</v>
      </c>
      <c r="G2343" s="14" t="str">
        <f>IF(ISBLANK(Raw_Data!G2343),AVERAGE(Raw_Data!G$2:G$5002),Raw_Data!G2343)</f>
        <v>15308.52</v>
      </c>
      <c r="H2343" s="15" t="str">
        <f t="shared" si="1"/>
        <v>119549.00</v>
      </c>
      <c r="I2343" s="14" t="str">
        <f t="shared" si="2"/>
        <v>104240.00</v>
      </c>
      <c r="J2343" s="16" t="str">
        <f>TEXT(Raw_Data!J2343,"MMM-YYY")</f>
        <v>Sep-2025</v>
      </c>
      <c r="K2343" s="13" t="str">
        <f>Raw_Data!K2343</f>
        <v>7</v>
      </c>
      <c r="L2343" s="17" t="str">
        <f>Raw_Data!L2343</f>
        <v>Bangalore-South</v>
      </c>
      <c r="M2343" s="13" t="str">
        <f t="shared" si="3"/>
        <v>OK</v>
      </c>
      <c r="N2343" s="18" t="str">
        <f t="shared" si="4"/>
        <v>VALID</v>
      </c>
    </row>
    <row r="2344" ht="15.75" customHeight="1">
      <c r="A2344" s="13" t="str">
        <f>Raw_Data!A2344</f>
        <v>EMP2473</v>
      </c>
      <c r="B2344" s="13" t="str">
        <f>TRIM(CLEAN(Raw_Data!B2344))</f>
        <v>Sales</v>
      </c>
      <c r="C2344" s="18" t="s">
        <v>54</v>
      </c>
      <c r="D2344" s="14" t="str">
        <f>IF(ISBLANK(Raw_Data!D2344),AVERAGE(Raw_Data!D$2:D$5002),Raw_Data!D2344)</f>
        <v>71831.17</v>
      </c>
      <c r="E2344" s="15" t="str">
        <f>IF(ISBLANK(Raw_Data!E2344),AVERAGE(Raw_Data!E$2:E$5002),Raw_Data!E2344)</f>
        <v>25402.82</v>
      </c>
      <c r="F2344" s="15" t="str">
        <f>IF(ISBLANK(Raw_Data!F2344),AVERAGE(Raw_Data!F$2:F$5002),Raw_Data!F2344)</f>
        <v>19163.90</v>
      </c>
      <c r="G2344" s="14" t="str">
        <f>IF(ISBLANK(Raw_Data!G2344),AVERAGE(Raw_Data!G$2:G$5002),Raw_Data!G2344)</f>
        <v>15311.92</v>
      </c>
      <c r="H2344" s="15" t="str">
        <f t="shared" si="1"/>
        <v>116398.00</v>
      </c>
      <c r="I2344" s="14" t="str">
        <f t="shared" si="2"/>
        <v>101086.00</v>
      </c>
      <c r="J2344" s="16" t="str">
        <f>TEXT(Raw_Data!J2344,"MMM-YYY")</f>
        <v>Jan-2025</v>
      </c>
      <c r="K2344" s="13" t="str">
        <f>Raw_Data!K2344</f>
        <v>20</v>
      </c>
      <c r="L2344" s="17" t="str">
        <f>Raw_Data!L2344</f>
        <v>Chennai-South</v>
      </c>
      <c r="M2344" s="13" t="str">
        <f t="shared" si="3"/>
        <v>OK</v>
      </c>
      <c r="N2344" s="18" t="str">
        <f t="shared" si="4"/>
        <v>VALID</v>
      </c>
    </row>
    <row r="2345" ht="15.75" customHeight="1">
      <c r="A2345" s="13" t="str">
        <f>Raw_Data!A2345</f>
        <v>EMP2474</v>
      </c>
      <c r="B2345" s="13" t="str">
        <f>TRIM(CLEAN(Raw_Data!B2345))</f>
        <v>HR</v>
      </c>
      <c r="C2345" s="18" t="s">
        <v>26</v>
      </c>
      <c r="D2345" s="14" t="str">
        <f>IF(ISBLANK(Raw_Data!D2345),AVERAGE(Raw_Data!D$2:D$5002),Raw_Data!D2345)</f>
        <v>75016.16</v>
      </c>
      <c r="E2345" s="15" t="str">
        <f>IF(ISBLANK(Raw_Data!E2345),AVERAGE(Raw_Data!E$2:E$5002),Raw_Data!E2345)</f>
        <v>25407.44</v>
      </c>
      <c r="F2345" s="15" t="str">
        <f>IF(ISBLANK(Raw_Data!F2345),AVERAGE(Raw_Data!F$2:F$5002),Raw_Data!F2345)</f>
        <v>19171.58</v>
      </c>
      <c r="G2345" s="14" t="str">
        <f>IF(ISBLANK(Raw_Data!G2345),AVERAGE(Raw_Data!G$2:G$5002),Raw_Data!G2345)</f>
        <v>15315.32</v>
      </c>
      <c r="H2345" s="15" t="str">
        <f t="shared" si="1"/>
        <v>119595.00</v>
      </c>
      <c r="I2345" s="14" t="str">
        <f t="shared" si="2"/>
        <v>104280.00</v>
      </c>
      <c r="J2345" s="16" t="str">
        <f>TEXT(Raw_Data!J2345,"MMM-YYY")</f>
        <v>Jun-2025</v>
      </c>
      <c r="K2345" s="13" t="str">
        <f>Raw_Data!K2345</f>
        <v>5</v>
      </c>
      <c r="L2345" s="17" t="str">
        <f>Raw_Data!L2345</f>
        <v>Kolkata-East</v>
      </c>
      <c r="M2345" s="13" t="str">
        <f t="shared" si="3"/>
        <v>OK</v>
      </c>
      <c r="N2345" s="18" t="str">
        <f t="shared" si="4"/>
        <v>VALID</v>
      </c>
    </row>
    <row r="2346" ht="15.75" customHeight="1">
      <c r="A2346" s="13" t="str">
        <f>Raw_Data!A2346</f>
        <v>EMP2475</v>
      </c>
      <c r="B2346" s="13" t="str">
        <f>TRIM(CLEAN(Raw_Data!B2346))</f>
        <v>HR</v>
      </c>
      <c r="C2346" s="18" t="s">
        <v>37</v>
      </c>
      <c r="D2346" s="14" t="str">
        <f>IF(ISBLANK(Raw_Data!D2346),AVERAGE(Raw_Data!D$2:D$5002),Raw_Data!D2346)</f>
        <v>75027.04</v>
      </c>
      <c r="E2346" s="15" t="str">
        <f>IF(ISBLANK(Raw_Data!E2346),AVERAGE(Raw_Data!E$2:E$5002),Raw_Data!E2346)</f>
        <v>25412.05</v>
      </c>
      <c r="F2346" s="15" t="str">
        <f>IF(ISBLANK(Raw_Data!F2346),AVERAGE(Raw_Data!F$2:F$5002),Raw_Data!F2346)</f>
        <v>19179.26</v>
      </c>
      <c r="G2346" s="14" t="str">
        <f>IF(ISBLANK(Raw_Data!G2346),AVERAGE(Raw_Data!G$2:G$5002),Raw_Data!G2346)</f>
        <v>15318.72</v>
      </c>
      <c r="H2346" s="15" t="str">
        <f t="shared" si="1"/>
        <v>119618.00</v>
      </c>
      <c r="I2346" s="14" t="str">
        <f t="shared" si="2"/>
        <v>104299.00</v>
      </c>
      <c r="J2346" s="16" t="str">
        <f>TEXT(Raw_Data!J2346,"MMM-YYY")</f>
        <v>Jul-2025</v>
      </c>
      <c r="K2346" s="13" t="str">
        <f>Raw_Data!K2346</f>
        <v>7</v>
      </c>
      <c r="L2346" s="17" t="str">
        <f>Raw_Data!L2346</f>
        <v>Pune-West</v>
      </c>
      <c r="M2346" s="13" t="str">
        <f t="shared" si="3"/>
        <v>OK</v>
      </c>
      <c r="N2346" s="18" t="str">
        <f t="shared" si="4"/>
        <v>VALID</v>
      </c>
    </row>
    <row r="2347" ht="15.75" customHeight="1">
      <c r="A2347" s="13" t="str">
        <f>Raw_Data!A2347</f>
        <v>EMP2476</v>
      </c>
      <c r="B2347" s="13" t="str">
        <f>TRIM(CLEAN(Raw_Data!B2347))</f>
        <v>IT</v>
      </c>
      <c r="C2347" s="18" t="s">
        <v>54</v>
      </c>
      <c r="D2347" s="14" t="str">
        <f>IF(ISBLANK(Raw_Data!D2347),AVERAGE(Raw_Data!D$2:D$5002),Raw_Data!D2347)</f>
        <v>75037.93</v>
      </c>
      <c r="E2347" s="15" t="str">
        <f>IF(ISBLANK(Raw_Data!E2347),AVERAGE(Raw_Data!E$2:E$5002),Raw_Data!E2347)</f>
        <v>25416.67</v>
      </c>
      <c r="F2347" s="15" t="str">
        <f>IF(ISBLANK(Raw_Data!F2347),AVERAGE(Raw_Data!F$2:F$5002),Raw_Data!F2347)</f>
        <v>19186.94</v>
      </c>
      <c r="G2347" s="14" t="str">
        <f>IF(ISBLANK(Raw_Data!G2347),AVERAGE(Raw_Data!G$2:G$5002),Raw_Data!G2347)</f>
        <v>15322.11</v>
      </c>
      <c r="H2347" s="15" t="str">
        <f t="shared" si="1"/>
        <v>119642.00</v>
      </c>
      <c r="I2347" s="14" t="str">
        <f t="shared" si="2"/>
        <v>104320.00</v>
      </c>
      <c r="J2347" s="16" t="str">
        <f>TEXT(Raw_Data!J2347,"MMM-YYY")</f>
        <v>Mar-2025</v>
      </c>
      <c r="K2347" s="13" t="str">
        <f>Raw_Data!K2347</f>
        <v>8</v>
      </c>
      <c r="L2347" s="17" t="str">
        <f>Raw_Data!L2347</f>
        <v>Hyderabad-South</v>
      </c>
      <c r="M2347" s="13" t="str">
        <f t="shared" si="3"/>
        <v>OK</v>
      </c>
      <c r="N2347" s="18" t="str">
        <f t="shared" si="4"/>
        <v>VALID</v>
      </c>
    </row>
    <row r="2348" ht="15.75" customHeight="1">
      <c r="A2348" s="13" t="str">
        <f>Raw_Data!A2348</f>
        <v>EMP2478</v>
      </c>
      <c r="B2348" s="13" t="str">
        <f>TRIM(CLEAN(Raw_Data!B2348))</f>
        <v>Operations</v>
      </c>
      <c r="C2348" s="18" t="s">
        <v>14</v>
      </c>
      <c r="D2348" s="14" t="str">
        <f>IF(ISBLANK(Raw_Data!D2348),AVERAGE(Raw_Data!D$2:D$5002),Raw_Data!D2348)</f>
        <v>75059.69</v>
      </c>
      <c r="E2348" s="15" t="str">
        <f>IF(ISBLANK(Raw_Data!E2348),AVERAGE(Raw_Data!E$2:E$5002),Raw_Data!E2348)</f>
        <v>25425.90</v>
      </c>
      <c r="F2348" s="15" t="str">
        <f>IF(ISBLANK(Raw_Data!F2348),AVERAGE(Raw_Data!F$2:F$5002),Raw_Data!F2348)</f>
        <v>19202.30</v>
      </c>
      <c r="G2348" s="14" t="str">
        <f>IF(ISBLANK(Raw_Data!G2348),AVERAGE(Raw_Data!G$2:G$5002),Raw_Data!G2348)</f>
        <v>14562.73</v>
      </c>
      <c r="H2348" s="15" t="str">
        <f t="shared" si="1"/>
        <v>119688.00</v>
      </c>
      <c r="I2348" s="14" t="str">
        <f t="shared" si="2"/>
        <v>105125.00</v>
      </c>
      <c r="J2348" s="16" t="str">
        <f>TEXT(Raw_Data!J2348,"MMM-YYY")</f>
        <v>Dec-2025</v>
      </c>
      <c r="K2348" s="13" t="str">
        <f>Raw_Data!K2348</f>
        <v>8</v>
      </c>
      <c r="L2348" s="17" t="str">
        <f>Raw_Data!L2348</f>
        <v>Ahmedabad-West</v>
      </c>
      <c r="M2348" s="13" t="str">
        <f t="shared" si="3"/>
        <v>OK</v>
      </c>
      <c r="N2348" s="18" t="str">
        <f t="shared" si="4"/>
        <v>VALID</v>
      </c>
    </row>
    <row r="2349" ht="15.75" customHeight="1">
      <c r="A2349" s="13" t="str">
        <f>Raw_Data!A2349</f>
        <v>EMP2479</v>
      </c>
      <c r="B2349" s="13" t="str">
        <f>TRIM(CLEAN(Raw_Data!B2349))</f>
        <v>Marketing</v>
      </c>
      <c r="C2349" s="18" t="s">
        <v>54</v>
      </c>
      <c r="D2349" s="14" t="str">
        <f>IF(ISBLANK(Raw_Data!D2349),AVERAGE(Raw_Data!D$2:D$5002),Raw_Data!D2349)</f>
        <v>75070.58</v>
      </c>
      <c r="E2349" s="15" t="str">
        <f>IF(ISBLANK(Raw_Data!E2349),AVERAGE(Raw_Data!E$2:E$5002),Raw_Data!E2349)</f>
        <v>25430.51</v>
      </c>
      <c r="F2349" s="15" t="str">
        <f>IF(ISBLANK(Raw_Data!F2349),AVERAGE(Raw_Data!F$2:F$5002),Raw_Data!F2349)</f>
        <v>19209.98</v>
      </c>
      <c r="G2349" s="14" t="str">
        <f>IF(ISBLANK(Raw_Data!G2349),AVERAGE(Raw_Data!G$2:G$5002),Raw_Data!G2349)</f>
        <v>15332.31</v>
      </c>
      <c r="H2349" s="15" t="str">
        <f t="shared" si="1"/>
        <v>119711.00</v>
      </c>
      <c r="I2349" s="14" t="str">
        <f t="shared" si="2"/>
        <v>104379.00</v>
      </c>
      <c r="J2349" s="16" t="str">
        <f>TEXT(Raw_Data!J2349,"MMM-YYY")</f>
        <v>Aug-2025</v>
      </c>
      <c r="K2349" s="13" t="str">
        <f>Raw_Data!K2349</f>
        <v>22</v>
      </c>
      <c r="L2349" s="17" t="str">
        <f>Raw_Data!L2349</f>
        <v>Jaipur-North</v>
      </c>
      <c r="M2349" s="13" t="str">
        <f t="shared" si="3"/>
        <v>OK</v>
      </c>
      <c r="N2349" s="18" t="str">
        <f t="shared" si="4"/>
        <v>VALID</v>
      </c>
    </row>
    <row r="2350" ht="15.75" customHeight="1">
      <c r="A2350" s="13" t="str">
        <f>Raw_Data!A2350</f>
        <v>EMP2480</v>
      </c>
      <c r="B2350" s="13" t="str">
        <f>TRIM(CLEAN(Raw_Data!B2350))</f>
        <v>Customer Support</v>
      </c>
      <c r="C2350" s="18" t="s">
        <v>37</v>
      </c>
      <c r="D2350" s="14" t="str">
        <f>IF(ISBLANK(Raw_Data!D2350),AVERAGE(Raw_Data!D$2:D$5002),Raw_Data!D2350)</f>
        <v>75081.46</v>
      </c>
      <c r="E2350" s="15" t="str">
        <f>IF(ISBLANK(Raw_Data!E2350),AVERAGE(Raw_Data!E$2:E$5002),Raw_Data!E2350)</f>
        <v>25435.13</v>
      </c>
      <c r="F2350" s="15" t="str">
        <f>IF(ISBLANK(Raw_Data!F2350),AVERAGE(Raw_Data!F$2:F$5002),Raw_Data!F2350)</f>
        <v>19217.66</v>
      </c>
      <c r="G2350" s="14" t="str">
        <f>IF(ISBLANK(Raw_Data!G2350),AVERAGE(Raw_Data!G$2:G$5002),Raw_Data!G2350)</f>
        <v>15335.70</v>
      </c>
      <c r="H2350" s="15" t="str">
        <f t="shared" si="1"/>
        <v>119734.00</v>
      </c>
      <c r="I2350" s="14" t="str">
        <f t="shared" si="2"/>
        <v>104398.00</v>
      </c>
      <c r="J2350" s="16" t="str">
        <f>TEXT(Raw_Data!J2350,"MMM-YYY")</f>
        <v>Nov-2025</v>
      </c>
      <c r="K2350" s="13" t="str">
        <f>Raw_Data!K2350</f>
        <v>22</v>
      </c>
      <c r="L2350" s="17" t="str">
        <f>Raw_Data!L2350</f>
        <v>Mumbai-HO</v>
      </c>
      <c r="M2350" s="13" t="str">
        <f t="shared" si="3"/>
        <v>OK</v>
      </c>
      <c r="N2350" s="18" t="str">
        <f t="shared" si="4"/>
        <v>VALID</v>
      </c>
    </row>
    <row r="2351" ht="15.75" customHeight="1">
      <c r="A2351" s="13" t="str">
        <f>Raw_Data!A2351</f>
        <v>EMP2481</v>
      </c>
      <c r="B2351" s="13" t="str">
        <f>TRIM(CLEAN(Raw_Data!B2351))</f>
        <v>HR</v>
      </c>
      <c r="C2351" s="18" t="s">
        <v>54</v>
      </c>
      <c r="D2351" s="14" t="str">
        <f>IF(ISBLANK(Raw_Data!D2351),AVERAGE(Raw_Data!D$2:D$5002),Raw_Data!D2351)</f>
        <v>75092.34</v>
      </c>
      <c r="E2351" s="15" t="str">
        <f>IF(ISBLANK(Raw_Data!E2351),AVERAGE(Raw_Data!E$2:E$5002),Raw_Data!E2351)</f>
        <v>25439.74</v>
      </c>
      <c r="F2351" s="15" t="str">
        <f>IF(ISBLANK(Raw_Data!F2351),AVERAGE(Raw_Data!F$2:F$5002),Raw_Data!F2351)</f>
        <v>19225.34</v>
      </c>
      <c r="G2351" s="14" t="str">
        <f>IF(ISBLANK(Raw_Data!G2351),AVERAGE(Raw_Data!G$2:G$5002),Raw_Data!G2351)</f>
        <v>15339.10</v>
      </c>
      <c r="H2351" s="15" t="str">
        <f t="shared" si="1"/>
        <v>119757.00</v>
      </c>
      <c r="I2351" s="14" t="str">
        <f t="shared" si="2"/>
        <v>104418.00</v>
      </c>
      <c r="J2351" s="16" t="str">
        <f>TEXT(Raw_Data!J2351,"MMM-YYY")</f>
        <v>May-2025</v>
      </c>
      <c r="K2351" s="13" t="str">
        <f>Raw_Data!K2351</f>
        <v>9</v>
      </c>
      <c r="L2351" s="17" t="str">
        <f>Raw_Data!L2351</f>
        <v>Delhi-North</v>
      </c>
      <c r="M2351" s="13" t="str">
        <f t="shared" si="3"/>
        <v>OK</v>
      </c>
      <c r="N2351" s="18" t="str">
        <f t="shared" si="4"/>
        <v>VALID</v>
      </c>
    </row>
    <row r="2352" ht="15.75" customHeight="1">
      <c r="A2352" s="13" t="str">
        <f>Raw_Data!A2352</f>
        <v>EMP2482</v>
      </c>
      <c r="B2352" s="13" t="str">
        <f>TRIM(CLEAN(Raw_Data!B2352))</f>
        <v>IT</v>
      </c>
      <c r="C2352" s="18" t="s">
        <v>33</v>
      </c>
      <c r="D2352" s="14" t="str">
        <f>IF(ISBLANK(Raw_Data!D2352),AVERAGE(Raw_Data!D$2:D$5002),Raw_Data!D2352)</f>
        <v>75103.23</v>
      </c>
      <c r="E2352" s="15" t="str">
        <f>IF(ISBLANK(Raw_Data!E2352),AVERAGE(Raw_Data!E$2:E$5002),Raw_Data!E2352)</f>
        <v>25444.36</v>
      </c>
      <c r="F2352" s="15" t="str">
        <f>IF(ISBLANK(Raw_Data!F2352),AVERAGE(Raw_Data!F$2:F$5002),Raw_Data!F2352)</f>
        <v>19233.02</v>
      </c>
      <c r="G2352" s="14" t="str">
        <f>IF(ISBLANK(Raw_Data!G2352),AVERAGE(Raw_Data!G$2:G$5002),Raw_Data!G2352)</f>
        <v>15342.50</v>
      </c>
      <c r="H2352" s="15" t="str">
        <f t="shared" si="1"/>
        <v>119781.00</v>
      </c>
      <c r="I2352" s="14" t="str">
        <f t="shared" si="2"/>
        <v>104439.00</v>
      </c>
      <c r="J2352" s="16" t="str">
        <f>TEXT(Raw_Data!J2352,"MMM-YYY")</f>
        <v>Jun-2025</v>
      </c>
      <c r="K2352" s="13" t="str">
        <f>Raw_Data!K2352</f>
        <v>24</v>
      </c>
      <c r="L2352" s="17" t="str">
        <f>Raw_Data!L2352</f>
        <v>Bangalore-South</v>
      </c>
      <c r="M2352" s="13" t="str">
        <f t="shared" si="3"/>
        <v>OK</v>
      </c>
      <c r="N2352" s="18" t="str">
        <f t="shared" si="4"/>
        <v>VALID</v>
      </c>
    </row>
    <row r="2353" ht="15.75" customHeight="1">
      <c r="A2353" s="13" t="str">
        <f>Raw_Data!A2353</f>
        <v>EMP2483</v>
      </c>
      <c r="B2353" s="13" t="str">
        <f>TRIM(CLEAN(Raw_Data!B2353))</f>
        <v>Finance</v>
      </c>
      <c r="C2353" s="18" t="s">
        <v>26</v>
      </c>
      <c r="D2353" s="14" t="str">
        <f>IF(ISBLANK(Raw_Data!D2353),AVERAGE(Raw_Data!D$2:D$5002),Raw_Data!D2353)</f>
        <v>75114.11</v>
      </c>
      <c r="E2353" s="15" t="str">
        <f>IF(ISBLANK(Raw_Data!E2353),AVERAGE(Raw_Data!E$2:E$5002),Raw_Data!E2353)</f>
        <v>25448.97</v>
      </c>
      <c r="F2353" s="15" t="str">
        <f>IF(ISBLANK(Raw_Data!F2353),AVERAGE(Raw_Data!F$2:F$5002),Raw_Data!F2353)</f>
        <v>19240.70</v>
      </c>
      <c r="G2353" s="14" t="str">
        <f>IF(ISBLANK(Raw_Data!G2353),AVERAGE(Raw_Data!G$2:G$5002),Raw_Data!G2353)</f>
        <v>15345.90</v>
      </c>
      <c r="H2353" s="15" t="str">
        <f t="shared" si="1"/>
        <v>119804.00</v>
      </c>
      <c r="I2353" s="14" t="str">
        <f t="shared" si="2"/>
        <v>104458.00</v>
      </c>
      <c r="J2353" s="16" t="str">
        <f>TEXT(Raw_Data!J2353,"MMM-YYY")</f>
        <v>May-2025</v>
      </c>
      <c r="K2353" s="13" t="str">
        <f>Raw_Data!K2353</f>
        <v>16</v>
      </c>
      <c r="L2353" s="17" t="str">
        <f>Raw_Data!L2353</f>
        <v>Chennai-South</v>
      </c>
      <c r="M2353" s="13" t="str">
        <f t="shared" si="3"/>
        <v>OK</v>
      </c>
      <c r="N2353" s="18" t="str">
        <f t="shared" si="4"/>
        <v>VALID</v>
      </c>
    </row>
    <row r="2354" ht="15.75" customHeight="1">
      <c r="A2354" s="13" t="str">
        <f>Raw_Data!A2354</f>
        <v>EMP2484</v>
      </c>
      <c r="B2354" s="13" t="str">
        <f>TRIM(CLEAN(Raw_Data!B2354))</f>
        <v>IT</v>
      </c>
      <c r="C2354" s="18" t="s">
        <v>30</v>
      </c>
      <c r="D2354" s="14" t="str">
        <f>IF(ISBLANK(Raw_Data!D2354),AVERAGE(Raw_Data!D$2:D$5002),Raw_Data!D2354)</f>
        <v>75124.99</v>
      </c>
      <c r="E2354" s="15" t="str">
        <f>IF(ISBLANK(Raw_Data!E2354),AVERAGE(Raw_Data!E$2:E$5002),Raw_Data!E2354)</f>
        <v>25453.58</v>
      </c>
      <c r="F2354" s="15" t="str">
        <f>IF(ISBLANK(Raw_Data!F2354),AVERAGE(Raw_Data!F$2:F$5002),Raw_Data!F2354)</f>
        <v>19248.38</v>
      </c>
      <c r="G2354" s="14" t="str">
        <f>IF(ISBLANK(Raw_Data!G2354),AVERAGE(Raw_Data!G$2:G$5002),Raw_Data!G2354)</f>
        <v>15349.29</v>
      </c>
      <c r="H2354" s="15" t="str">
        <f t="shared" si="1"/>
        <v>119827.00</v>
      </c>
      <c r="I2354" s="14" t="str">
        <f t="shared" si="2"/>
        <v>104478.00</v>
      </c>
      <c r="J2354" s="16" t="str">
        <f>TEXT(Raw_Data!J2354,"MMM-YYY")</f>
        <v>Jul-2025</v>
      </c>
      <c r="K2354" s="13" t="str">
        <f>Raw_Data!K2354</f>
        <v>3</v>
      </c>
      <c r="L2354" s="17" t="str">
        <f>Raw_Data!L2354</f>
        <v>Kolkata-East</v>
      </c>
      <c r="M2354" s="13" t="str">
        <f t="shared" si="3"/>
        <v>OK</v>
      </c>
      <c r="N2354" s="18" t="str">
        <f t="shared" si="4"/>
        <v>VALID</v>
      </c>
    </row>
    <row r="2355" ht="15.75" customHeight="1">
      <c r="A2355" s="13" t="str">
        <f>Raw_Data!A2355</f>
        <v>EMP2485</v>
      </c>
      <c r="B2355" s="13" t="str">
        <f>TRIM(CLEAN(Raw_Data!B2355))</f>
        <v>HR</v>
      </c>
      <c r="C2355" s="18" t="s">
        <v>54</v>
      </c>
      <c r="D2355" s="14" t="str">
        <f>IF(ISBLANK(Raw_Data!D2355),AVERAGE(Raw_Data!D$2:D$5002),Raw_Data!D2355)</f>
        <v>75135.87</v>
      </c>
      <c r="E2355" s="15" t="str">
        <f>IF(ISBLANK(Raw_Data!E2355),AVERAGE(Raw_Data!E$2:E$5002),Raw_Data!E2355)</f>
        <v>25458.20</v>
      </c>
      <c r="F2355" s="15" t="str">
        <f>IF(ISBLANK(Raw_Data!F2355),AVERAGE(Raw_Data!F$2:F$5002),Raw_Data!F2355)</f>
        <v>19256.06</v>
      </c>
      <c r="G2355" s="14" t="str">
        <f>IF(ISBLANK(Raw_Data!G2355),AVERAGE(Raw_Data!G$2:G$5002),Raw_Data!G2355)</f>
        <v>15352.69</v>
      </c>
      <c r="H2355" s="15" t="str">
        <f t="shared" si="1"/>
        <v>119850.00</v>
      </c>
      <c r="I2355" s="14" t="str">
        <f t="shared" si="2"/>
        <v>104497.00</v>
      </c>
      <c r="J2355" s="16" t="str">
        <f>TEXT(Raw_Data!J2355,"MMM-YYY")</f>
        <v>Jan-2025</v>
      </c>
      <c r="K2355" s="13" t="str">
        <f>Raw_Data!K2355</f>
        <v>25</v>
      </c>
      <c r="L2355" s="17" t="str">
        <f>Raw_Data!L2355</f>
        <v>Pune-West</v>
      </c>
      <c r="M2355" s="13" t="str">
        <f t="shared" si="3"/>
        <v>OK</v>
      </c>
      <c r="N2355" s="18" t="str">
        <f t="shared" si="4"/>
        <v>VALID</v>
      </c>
    </row>
    <row r="2356" ht="15.75" customHeight="1">
      <c r="A2356" s="13" t="str">
        <f>Raw_Data!A2356</f>
        <v>EMP2486</v>
      </c>
      <c r="B2356" s="13" t="str">
        <f>TRIM(CLEAN(Raw_Data!B2356))</f>
        <v>HR</v>
      </c>
      <c r="C2356" s="18" t="s">
        <v>14</v>
      </c>
      <c r="D2356" s="14" t="str">
        <f>IF(ISBLANK(Raw_Data!D2356),AVERAGE(Raw_Data!D$2:D$5002),Raw_Data!D2356)</f>
        <v>75146.76</v>
      </c>
      <c r="E2356" s="15" t="str">
        <f>IF(ISBLANK(Raw_Data!E2356),AVERAGE(Raw_Data!E$2:E$5002),Raw_Data!E2356)</f>
        <v>25462.81</v>
      </c>
      <c r="F2356" s="15" t="str">
        <f>IF(ISBLANK(Raw_Data!F2356),AVERAGE(Raw_Data!F$2:F$5002),Raw_Data!F2356)</f>
        <v>19263.74</v>
      </c>
      <c r="G2356" s="14" t="str">
        <f>IF(ISBLANK(Raw_Data!G2356),AVERAGE(Raw_Data!G$2:G$5002),Raw_Data!G2356)</f>
        <v>15356.09</v>
      </c>
      <c r="H2356" s="15" t="str">
        <f t="shared" si="1"/>
        <v>119873.00</v>
      </c>
      <c r="I2356" s="14" t="str">
        <f t="shared" si="2"/>
        <v>104517.00</v>
      </c>
      <c r="J2356" s="16" t="str">
        <f>TEXT(Raw_Data!J2356,"MMM-YYY")</f>
        <v>Dec-2025</v>
      </c>
      <c r="K2356" s="13" t="str">
        <f>Raw_Data!K2356</f>
        <v>9</v>
      </c>
      <c r="L2356" s="17" t="str">
        <f>Raw_Data!L2356</f>
        <v>Hyderabad-South</v>
      </c>
      <c r="M2356" s="13" t="str">
        <f t="shared" si="3"/>
        <v>OK</v>
      </c>
      <c r="N2356" s="18" t="str">
        <f t="shared" si="4"/>
        <v>VALID</v>
      </c>
    </row>
    <row r="2357" ht="15.75" customHeight="1">
      <c r="A2357" s="13" t="str">
        <f>Raw_Data!A2357</f>
        <v>EMP2487</v>
      </c>
      <c r="B2357" s="13" t="str">
        <f>TRIM(CLEAN(Raw_Data!B2357))</f>
        <v>Operations</v>
      </c>
      <c r="C2357" s="18" t="s">
        <v>54</v>
      </c>
      <c r="D2357" s="14" t="str">
        <f>IF(ISBLANK(Raw_Data!D2357),AVERAGE(Raw_Data!D$2:D$5002),Raw_Data!D2357)</f>
        <v>75157.64</v>
      </c>
      <c r="E2357" s="15" t="str">
        <f>IF(ISBLANK(Raw_Data!E2357),AVERAGE(Raw_Data!E$2:E$5002),Raw_Data!E2357)</f>
        <v>25467.43</v>
      </c>
      <c r="F2357" s="15" t="str">
        <f>IF(ISBLANK(Raw_Data!F2357),AVERAGE(Raw_Data!F$2:F$5002),Raw_Data!F2357)</f>
        <v>19271.42</v>
      </c>
      <c r="G2357" s="14" t="str">
        <f>IF(ISBLANK(Raw_Data!G2357),AVERAGE(Raw_Data!G$2:G$5002),Raw_Data!G2357)</f>
        <v>15359.49</v>
      </c>
      <c r="H2357" s="15" t="str">
        <f t="shared" si="1"/>
        <v>119896.00</v>
      </c>
      <c r="I2357" s="14" t="str">
        <f t="shared" si="2"/>
        <v>104537.00</v>
      </c>
      <c r="J2357" s="16" t="str">
        <f>TEXT(Raw_Data!J2357,"MMM-YYY")</f>
        <v>Nov-2025</v>
      </c>
      <c r="K2357" s="13" t="str">
        <f>Raw_Data!K2357</f>
        <v>10</v>
      </c>
      <c r="L2357" s="17" t="str">
        <f>Raw_Data!L2357</f>
        <v>Chandigarh-North</v>
      </c>
      <c r="M2357" s="13" t="str">
        <f t="shared" si="3"/>
        <v>OK</v>
      </c>
      <c r="N2357" s="18" t="str">
        <f t="shared" si="4"/>
        <v>VALID</v>
      </c>
    </row>
    <row r="2358" ht="15.75" customHeight="1">
      <c r="A2358" s="13" t="str">
        <f>Raw_Data!A2358</f>
        <v>EMP2488</v>
      </c>
      <c r="B2358" s="13" t="str">
        <f>TRIM(CLEAN(Raw_Data!B2358))</f>
        <v>Sales</v>
      </c>
      <c r="C2358" s="18" t="s">
        <v>33</v>
      </c>
      <c r="D2358" s="14" t="str">
        <f>IF(ISBLANK(Raw_Data!D2358),AVERAGE(Raw_Data!D$2:D$5002),Raw_Data!D2358)</f>
        <v>75168.52</v>
      </c>
      <c r="E2358" s="15" t="str">
        <f>IF(ISBLANK(Raw_Data!E2358),AVERAGE(Raw_Data!E$2:E$5002),Raw_Data!E2358)</f>
        <v>25472.04</v>
      </c>
      <c r="F2358" s="15" t="str">
        <f>IF(ISBLANK(Raw_Data!F2358),AVERAGE(Raw_Data!F$2:F$5002),Raw_Data!F2358)</f>
        <v>19279.10</v>
      </c>
      <c r="G2358" s="14" t="str">
        <f>IF(ISBLANK(Raw_Data!G2358),AVERAGE(Raw_Data!G$2:G$5002),Raw_Data!G2358)</f>
        <v>15362.89</v>
      </c>
      <c r="H2358" s="15" t="str">
        <f t="shared" si="1"/>
        <v>119920.00</v>
      </c>
      <c r="I2358" s="14" t="str">
        <f t="shared" si="2"/>
        <v>104557.00</v>
      </c>
      <c r="J2358" s="16" t="str">
        <f>TEXT(Raw_Data!J2358,"MMM-YYY")</f>
        <v>May-2025</v>
      </c>
      <c r="K2358" s="13" t="str">
        <f>Raw_Data!K2358</f>
        <v>2</v>
      </c>
      <c r="L2358" s="17" t="str">
        <f>Raw_Data!L2358</f>
        <v>Ahmedabad-West</v>
      </c>
      <c r="M2358" s="13" t="str">
        <f t="shared" si="3"/>
        <v>OK</v>
      </c>
      <c r="N2358" s="18" t="str">
        <f t="shared" si="4"/>
        <v>VALID</v>
      </c>
    </row>
    <row r="2359" ht="15.75" customHeight="1">
      <c r="A2359" s="13" t="str">
        <f>Raw_Data!A2359</f>
        <v>EMP2489</v>
      </c>
      <c r="B2359" s="13" t="str">
        <f>TRIM(CLEAN(Raw_Data!B2359))</f>
        <v>Sales</v>
      </c>
      <c r="C2359" s="18" t="s">
        <v>30</v>
      </c>
      <c r="D2359" s="14" t="str">
        <f>IF(ISBLANK(Raw_Data!D2359),AVERAGE(Raw_Data!D$2:D$5002),Raw_Data!D2359)</f>
        <v>75179.41</v>
      </c>
      <c r="E2359" s="15" t="str">
        <f>IF(ISBLANK(Raw_Data!E2359),AVERAGE(Raw_Data!E$2:E$5002),Raw_Data!E2359)</f>
        <v>25476.66</v>
      </c>
      <c r="F2359" s="15" t="str">
        <f>IF(ISBLANK(Raw_Data!F2359),AVERAGE(Raw_Data!F$2:F$5002),Raw_Data!F2359)</f>
        <v>19286.78</v>
      </c>
      <c r="G2359" s="14" t="str">
        <f>IF(ISBLANK(Raw_Data!G2359),AVERAGE(Raw_Data!G$2:G$5002),Raw_Data!G2359)</f>
        <v>15366.28</v>
      </c>
      <c r="H2359" s="15" t="str">
        <f t="shared" si="1"/>
        <v>119943.00</v>
      </c>
      <c r="I2359" s="14" t="str">
        <f t="shared" si="2"/>
        <v>104577.00</v>
      </c>
      <c r="J2359" s="16" t="str">
        <f>TEXT(Raw_Data!J2359,"MMM-YYY")</f>
        <v>Sep-2025</v>
      </c>
      <c r="K2359" s="13" t="str">
        <f>Raw_Data!K2359</f>
        <v>5</v>
      </c>
      <c r="L2359" s="17" t="str">
        <f>Raw_Data!L2359</f>
        <v>Jaipur-North</v>
      </c>
      <c r="M2359" s="13" t="str">
        <f t="shared" si="3"/>
        <v>OK</v>
      </c>
      <c r="N2359" s="18" t="str">
        <f t="shared" si="4"/>
        <v>VALID</v>
      </c>
    </row>
    <row r="2360" ht="15.75" customHeight="1">
      <c r="A2360" s="13" t="str">
        <f>Raw_Data!A2360</f>
        <v>EMP2490</v>
      </c>
      <c r="B2360" s="13" t="str">
        <f>TRIM(CLEAN(Raw_Data!B2360))</f>
        <v>IT</v>
      </c>
      <c r="C2360" s="18" t="s">
        <v>33</v>
      </c>
      <c r="D2360" s="14" t="str">
        <f>IF(ISBLANK(Raw_Data!D2360),AVERAGE(Raw_Data!D$2:D$5002),Raw_Data!D2360)</f>
        <v>75190.29</v>
      </c>
      <c r="E2360" s="15" t="str">
        <f>IF(ISBLANK(Raw_Data!E2360),AVERAGE(Raw_Data!E$2:E$5002),Raw_Data!E2360)</f>
        <v>25481.27</v>
      </c>
      <c r="F2360" s="15" t="str">
        <f>IF(ISBLANK(Raw_Data!F2360),AVERAGE(Raw_Data!F$2:F$5002),Raw_Data!F2360)</f>
        <v>19294.46</v>
      </c>
      <c r="G2360" s="14" t="str">
        <f>IF(ISBLANK(Raw_Data!G2360),AVERAGE(Raw_Data!G$2:G$5002),Raw_Data!G2360)</f>
        <v>15369.68</v>
      </c>
      <c r="H2360" s="15" t="str">
        <f t="shared" si="1"/>
        <v>119966.00</v>
      </c>
      <c r="I2360" s="14" t="str">
        <f t="shared" si="2"/>
        <v>104596.00</v>
      </c>
      <c r="J2360" s="16" t="str">
        <f>TEXT(Raw_Data!J2360,"MMM-YYY")</f>
        <v>Mar-2025</v>
      </c>
      <c r="K2360" s="13" t="str">
        <f>Raw_Data!K2360</f>
        <v>21</v>
      </c>
      <c r="L2360" s="17" t="str">
        <f>Raw_Data!L2360</f>
        <v>Mumbai-HO</v>
      </c>
      <c r="M2360" s="13" t="str">
        <f t="shared" si="3"/>
        <v>OK</v>
      </c>
      <c r="N2360" s="18" t="str">
        <f t="shared" si="4"/>
        <v>VALID</v>
      </c>
    </row>
    <row r="2361" ht="15.75" customHeight="1">
      <c r="A2361" s="13" t="str">
        <f>Raw_Data!A2361</f>
        <v>EMP2491</v>
      </c>
      <c r="B2361" s="13" t="str">
        <f>TRIM(CLEAN(Raw_Data!B2361))</f>
        <v>Operations</v>
      </c>
      <c r="C2361" s="18" t="s">
        <v>18</v>
      </c>
      <c r="D2361" s="14" t="str">
        <f>IF(ISBLANK(Raw_Data!D2361),AVERAGE(Raw_Data!D$2:D$5002),Raw_Data!D2361)</f>
        <v>75201.17</v>
      </c>
      <c r="E2361" s="15" t="str">
        <f>IF(ISBLANK(Raw_Data!E2361),AVERAGE(Raw_Data!E$2:E$5002),Raw_Data!E2361)</f>
        <v>25485.89</v>
      </c>
      <c r="F2361" s="15" t="str">
        <f>IF(ISBLANK(Raw_Data!F2361),AVERAGE(Raw_Data!F$2:F$5002),Raw_Data!F2361)</f>
        <v>19302.14</v>
      </c>
      <c r="G2361" s="14" t="str">
        <f>IF(ISBLANK(Raw_Data!G2361),AVERAGE(Raw_Data!G$2:G$5002),Raw_Data!G2361)</f>
        <v>15373.08</v>
      </c>
      <c r="H2361" s="15" t="str">
        <f t="shared" si="1"/>
        <v>119989.00</v>
      </c>
      <c r="I2361" s="14" t="str">
        <f t="shared" si="2"/>
        <v>104616.00</v>
      </c>
      <c r="J2361" s="16" t="str">
        <f>TEXT(Raw_Data!J2361,"MMM-YYY")</f>
        <v>May-2025</v>
      </c>
      <c r="K2361" s="13" t="str">
        <f>Raw_Data!K2361</f>
        <v>8</v>
      </c>
      <c r="L2361" s="17" t="str">
        <f>Raw_Data!L2361</f>
        <v>Delhi-North</v>
      </c>
      <c r="M2361" s="13" t="str">
        <f t="shared" si="3"/>
        <v>OK</v>
      </c>
      <c r="N2361" s="18" t="str">
        <f t="shared" si="4"/>
        <v>VALID</v>
      </c>
    </row>
    <row r="2362" ht="15.75" customHeight="1">
      <c r="A2362" s="13" t="str">
        <f>Raw_Data!A2362</f>
        <v>EMP2492</v>
      </c>
      <c r="B2362" s="13" t="str">
        <f>TRIM(CLEAN(Raw_Data!B2362))</f>
        <v>Finance</v>
      </c>
      <c r="C2362" s="18" t="s">
        <v>26</v>
      </c>
      <c r="D2362" s="14" t="str">
        <f>IF(ISBLANK(Raw_Data!D2362),AVERAGE(Raw_Data!D$2:D$5002),Raw_Data!D2362)</f>
        <v>75212.06</v>
      </c>
      <c r="E2362" s="15" t="str">
        <f>IF(ISBLANK(Raw_Data!E2362),AVERAGE(Raw_Data!E$2:E$5002),Raw_Data!E2362)</f>
        <v>25490.50</v>
      </c>
      <c r="F2362" s="15" t="str">
        <f>IF(ISBLANK(Raw_Data!F2362),AVERAGE(Raw_Data!F$2:F$5002),Raw_Data!F2362)</f>
        <v>19309.82</v>
      </c>
      <c r="G2362" s="14" t="str">
        <f>IF(ISBLANK(Raw_Data!G2362),AVERAGE(Raw_Data!G$2:G$5002),Raw_Data!G2362)</f>
        <v>15376.48</v>
      </c>
      <c r="H2362" s="15" t="str">
        <f t="shared" si="1"/>
        <v>120012.00</v>
      </c>
      <c r="I2362" s="14" t="str">
        <f t="shared" si="2"/>
        <v>104636.00</v>
      </c>
      <c r="J2362" s="16" t="str">
        <f>TEXT(Raw_Data!J2362,"MMM-YYY")</f>
        <v>Aug-2025</v>
      </c>
      <c r="K2362" s="13" t="str">
        <f>Raw_Data!K2362</f>
        <v>5</v>
      </c>
      <c r="L2362" s="17" t="str">
        <f>Raw_Data!L2362</f>
        <v>Bangalore-South</v>
      </c>
      <c r="M2362" s="13" t="str">
        <f t="shared" si="3"/>
        <v>OK</v>
      </c>
      <c r="N2362" s="18" t="str">
        <f t="shared" si="4"/>
        <v>VALID</v>
      </c>
    </row>
    <row r="2363" ht="15.75" customHeight="1">
      <c r="A2363" s="13" t="str">
        <f>Raw_Data!A2363</f>
        <v>EMP2493</v>
      </c>
      <c r="B2363" s="13" t="str">
        <f>TRIM(CLEAN(Raw_Data!B2363))</f>
        <v>Operations</v>
      </c>
      <c r="C2363" s="18" t="s">
        <v>14</v>
      </c>
      <c r="D2363" s="14" t="str">
        <f>IF(ISBLANK(Raw_Data!D2363),AVERAGE(Raw_Data!D$2:D$5002),Raw_Data!D2363)</f>
        <v>75222.94</v>
      </c>
      <c r="E2363" s="15" t="str">
        <f>IF(ISBLANK(Raw_Data!E2363),AVERAGE(Raw_Data!E$2:E$5002),Raw_Data!E2363)</f>
        <v>25495.12</v>
      </c>
      <c r="F2363" s="15" t="str">
        <f>IF(ISBLANK(Raw_Data!F2363),AVERAGE(Raw_Data!F$2:F$5002),Raw_Data!F2363)</f>
        <v>19317.50</v>
      </c>
      <c r="G2363" s="14" t="str">
        <f>IF(ISBLANK(Raw_Data!G2363),AVERAGE(Raw_Data!G$2:G$5002),Raw_Data!G2363)</f>
        <v>15379.87</v>
      </c>
      <c r="H2363" s="15" t="str">
        <f t="shared" si="1"/>
        <v>120036.00</v>
      </c>
      <c r="I2363" s="14" t="str">
        <f t="shared" si="2"/>
        <v>104656.00</v>
      </c>
      <c r="J2363" s="16" t="str">
        <f>TEXT(Raw_Data!J2363,"MMM-YYY")</f>
        <v>Dec-2025</v>
      </c>
      <c r="K2363" s="13" t="str">
        <f>Raw_Data!K2363</f>
        <v>17</v>
      </c>
      <c r="L2363" s="17" t="str">
        <f>Raw_Data!L2363</f>
        <v>Chennai-South</v>
      </c>
      <c r="M2363" s="13" t="str">
        <f t="shared" si="3"/>
        <v>OK</v>
      </c>
      <c r="N2363" s="18" t="str">
        <f t="shared" si="4"/>
        <v>VALID</v>
      </c>
    </row>
    <row r="2364" ht="15.75" customHeight="1">
      <c r="A2364" s="13" t="str">
        <f>Raw_Data!A2364</f>
        <v>EMP2494</v>
      </c>
      <c r="B2364" s="13" t="str">
        <f>TRIM(CLEAN(Raw_Data!B2364))</f>
        <v>Finance</v>
      </c>
      <c r="C2364" s="18" t="s">
        <v>30</v>
      </c>
      <c r="D2364" s="14" t="str">
        <f>IF(ISBLANK(Raw_Data!D2364),AVERAGE(Raw_Data!D$2:D$5002),Raw_Data!D2364)</f>
        <v>75233.82</v>
      </c>
      <c r="E2364" s="15" t="str">
        <f>IF(ISBLANK(Raw_Data!E2364),AVERAGE(Raw_Data!E$2:E$5002),Raw_Data!E2364)</f>
        <v>25499.73</v>
      </c>
      <c r="F2364" s="15" t="str">
        <f>IF(ISBLANK(Raw_Data!F2364),AVERAGE(Raw_Data!F$2:F$5002),Raw_Data!F2364)</f>
        <v>19325.18</v>
      </c>
      <c r="G2364" s="14" t="str">
        <f>IF(ISBLANK(Raw_Data!G2364),AVERAGE(Raw_Data!G$2:G$5002),Raw_Data!G2364)</f>
        <v>15383.27</v>
      </c>
      <c r="H2364" s="15" t="str">
        <f t="shared" si="1"/>
        <v>120059.00</v>
      </c>
      <c r="I2364" s="14" t="str">
        <f t="shared" si="2"/>
        <v>104676.00</v>
      </c>
      <c r="J2364" s="16" t="str">
        <f>TEXT(Raw_Data!J2364,"MMM-YYY")</f>
        <v>Jun-2025</v>
      </c>
      <c r="K2364" s="13" t="str">
        <f>Raw_Data!K2364</f>
        <v>6</v>
      </c>
      <c r="L2364" s="17" t="str">
        <f>Raw_Data!L2364</f>
        <v>Kolkata-East</v>
      </c>
      <c r="M2364" s="13" t="str">
        <f t="shared" si="3"/>
        <v>OK</v>
      </c>
      <c r="N2364" s="18" t="str">
        <f t="shared" si="4"/>
        <v>VALID</v>
      </c>
    </row>
    <row r="2365" ht="15.75" customHeight="1">
      <c r="A2365" s="13" t="str">
        <f>Raw_Data!A2365</f>
        <v>EMP2495</v>
      </c>
      <c r="B2365" s="13" t="str">
        <f>TRIM(CLEAN(Raw_Data!B2365))</f>
        <v>Marketing</v>
      </c>
      <c r="C2365" s="18" t="s">
        <v>18</v>
      </c>
      <c r="D2365" s="14" t="str">
        <f>IF(ISBLANK(Raw_Data!D2365),AVERAGE(Raw_Data!D$2:D$5002),Raw_Data!D2365)</f>
        <v>75244.70</v>
      </c>
      <c r="E2365" s="15" t="str">
        <f>IF(ISBLANK(Raw_Data!E2365),AVERAGE(Raw_Data!E$2:E$5002),Raw_Data!E2365)</f>
        <v>25504.35</v>
      </c>
      <c r="F2365" s="15" t="str">
        <f>IF(ISBLANK(Raw_Data!F2365),AVERAGE(Raw_Data!F$2:F$5002),Raw_Data!F2365)</f>
        <v>19332.86</v>
      </c>
      <c r="G2365" s="14" t="str">
        <f>IF(ISBLANK(Raw_Data!G2365),AVERAGE(Raw_Data!G$2:G$5002),Raw_Data!G2365)</f>
        <v>15386.67</v>
      </c>
      <c r="H2365" s="15" t="str">
        <f t="shared" si="1"/>
        <v>120082.00</v>
      </c>
      <c r="I2365" s="14" t="str">
        <f t="shared" si="2"/>
        <v>104695.00</v>
      </c>
      <c r="J2365" s="16" t="str">
        <f>TEXT(Raw_Data!J2365,"MMM-YYY")</f>
        <v>Apr-2025</v>
      </c>
      <c r="K2365" s="13" t="str">
        <f>Raw_Data!K2365</f>
        <v>11</v>
      </c>
      <c r="L2365" s="17" t="str">
        <f>Raw_Data!L2365</f>
        <v>Pune-West</v>
      </c>
      <c r="M2365" s="13" t="str">
        <f t="shared" si="3"/>
        <v>OK</v>
      </c>
      <c r="N2365" s="18" t="str">
        <f t="shared" si="4"/>
        <v>VALID</v>
      </c>
    </row>
    <row r="2366" ht="15.75" customHeight="1">
      <c r="A2366" s="13" t="str">
        <f>Raw_Data!A2366</f>
        <v>EMP2496</v>
      </c>
      <c r="B2366" s="13" t="str">
        <f>TRIM(CLEAN(Raw_Data!B2366))</f>
        <v>Finance</v>
      </c>
      <c r="C2366" s="18" t="s">
        <v>30</v>
      </c>
      <c r="D2366" s="14" t="str">
        <f>IF(ISBLANK(Raw_Data!D2366),AVERAGE(Raw_Data!D$2:D$5002),Raw_Data!D2366)</f>
        <v>75255.59</v>
      </c>
      <c r="E2366" s="15" t="str">
        <f>IF(ISBLANK(Raw_Data!E2366),AVERAGE(Raw_Data!E$2:E$5002),Raw_Data!E2366)</f>
        <v>25508.96</v>
      </c>
      <c r="F2366" s="15" t="str">
        <f>IF(ISBLANK(Raw_Data!F2366),AVERAGE(Raw_Data!F$2:F$5002),Raw_Data!F2366)</f>
        <v>19340.54</v>
      </c>
      <c r="G2366" s="14" t="str">
        <f>IF(ISBLANK(Raw_Data!G2366),AVERAGE(Raw_Data!G$2:G$5002),Raw_Data!G2366)</f>
        <v>15390.07</v>
      </c>
      <c r="H2366" s="15" t="str">
        <f t="shared" si="1"/>
        <v>120105.00</v>
      </c>
      <c r="I2366" s="14" t="str">
        <f t="shared" si="2"/>
        <v>104715.00</v>
      </c>
      <c r="J2366" s="16" t="str">
        <f>TEXT(Raw_Data!J2366,"MMM-YYY")</f>
        <v>Feb-2025</v>
      </c>
      <c r="K2366" s="13" t="str">
        <f>Raw_Data!K2366</f>
        <v>10</v>
      </c>
      <c r="L2366" s="17" t="str">
        <f>Raw_Data!L2366</f>
        <v>Hyderabad-South</v>
      </c>
      <c r="M2366" s="13" t="str">
        <f t="shared" si="3"/>
        <v>OK</v>
      </c>
      <c r="N2366" s="18" t="str">
        <f t="shared" si="4"/>
        <v>VALID</v>
      </c>
    </row>
    <row r="2367" ht="15.75" customHeight="1">
      <c r="A2367" s="13" t="str">
        <f>Raw_Data!A2367</f>
        <v>EMP2497</v>
      </c>
      <c r="B2367" s="13" t="str">
        <f>TRIM(CLEAN(Raw_Data!B2367))</f>
        <v>HR</v>
      </c>
      <c r="C2367" s="18" t="s">
        <v>26</v>
      </c>
      <c r="D2367" s="14" t="str">
        <f>IF(ISBLANK(Raw_Data!D2367),AVERAGE(Raw_Data!D$2:D$5002),Raw_Data!D2367)</f>
        <v>75266.47</v>
      </c>
      <c r="E2367" s="15" t="str">
        <f>IF(ISBLANK(Raw_Data!E2367),AVERAGE(Raw_Data!E$2:E$5002),Raw_Data!E2367)</f>
        <v>25513.58</v>
      </c>
      <c r="F2367" s="15" t="str">
        <f>IF(ISBLANK(Raw_Data!F2367),AVERAGE(Raw_Data!F$2:F$5002),Raw_Data!F2367)</f>
        <v>19348.22</v>
      </c>
      <c r="G2367" s="14" t="str">
        <f>IF(ISBLANK(Raw_Data!G2367),AVERAGE(Raw_Data!G$2:G$5002),Raw_Data!G2367)</f>
        <v>15393.46</v>
      </c>
      <c r="H2367" s="15" t="str">
        <f t="shared" si="1"/>
        <v>120128.00</v>
      </c>
      <c r="I2367" s="14" t="str">
        <f t="shared" si="2"/>
        <v>104735.00</v>
      </c>
      <c r="J2367" s="16" t="str">
        <f>TEXT(Raw_Data!J2367,"MMM-YYY")</f>
        <v>Jul-2025</v>
      </c>
      <c r="K2367" s="13" t="str">
        <f>Raw_Data!K2367</f>
        <v>1</v>
      </c>
      <c r="L2367" s="17" t="str">
        <f>Raw_Data!L2367</f>
        <v>Chandigarh-North</v>
      </c>
      <c r="M2367" s="13" t="str">
        <f t="shared" si="3"/>
        <v>OK</v>
      </c>
      <c r="N2367" s="18" t="str">
        <f t="shared" si="4"/>
        <v>VALID</v>
      </c>
    </row>
    <row r="2368" ht="15.75" customHeight="1">
      <c r="A2368" s="13" t="str">
        <f>Raw_Data!A2368</f>
        <v>EMP2498</v>
      </c>
      <c r="B2368" s="13" t="str">
        <f>TRIM(CLEAN(Raw_Data!B2368))</f>
        <v>Finance</v>
      </c>
      <c r="C2368" s="18" t="s">
        <v>30</v>
      </c>
      <c r="D2368" s="14" t="str">
        <f>IF(ISBLANK(Raw_Data!D2368),AVERAGE(Raw_Data!D$2:D$5002),Raw_Data!D2368)</f>
        <v>75277.35</v>
      </c>
      <c r="E2368" s="15" t="str">
        <f>IF(ISBLANK(Raw_Data!E2368),AVERAGE(Raw_Data!E$2:E$5002),Raw_Data!E2368)</f>
        <v>25518.19</v>
      </c>
      <c r="F2368" s="15" t="str">
        <f>IF(ISBLANK(Raw_Data!F2368),AVERAGE(Raw_Data!F$2:F$5002),Raw_Data!F2368)</f>
        <v>19355.90</v>
      </c>
      <c r="G2368" s="14" t="str">
        <f>IF(ISBLANK(Raw_Data!G2368),AVERAGE(Raw_Data!G$2:G$5002),Raw_Data!G2368)</f>
        <v>15396.86</v>
      </c>
      <c r="H2368" s="15" t="str">
        <f t="shared" si="1"/>
        <v>120151.00</v>
      </c>
      <c r="I2368" s="14" t="str">
        <f t="shared" si="2"/>
        <v>104754.00</v>
      </c>
      <c r="J2368" s="16" t="str">
        <f>TEXT(Raw_Data!J2368,"MMM-YYY")</f>
        <v>Feb-2025</v>
      </c>
      <c r="K2368" s="13" t="str">
        <f>Raw_Data!K2368</f>
        <v>16</v>
      </c>
      <c r="L2368" s="17" t="str">
        <f>Raw_Data!L2368</f>
        <v>Ahmedabad-West</v>
      </c>
      <c r="M2368" s="13" t="str">
        <f t="shared" si="3"/>
        <v>OK</v>
      </c>
      <c r="N2368" s="18" t="str">
        <f t="shared" si="4"/>
        <v>VALID</v>
      </c>
    </row>
    <row r="2369" ht="15.75" customHeight="1">
      <c r="A2369" s="13" t="str">
        <f>Raw_Data!A2369</f>
        <v>EMP2499</v>
      </c>
      <c r="B2369" s="13" t="str">
        <f>TRIM(CLEAN(Raw_Data!B2369))</f>
        <v>Marketing</v>
      </c>
      <c r="C2369" s="18" t="s">
        <v>14</v>
      </c>
      <c r="D2369" s="14" t="str">
        <f>IF(ISBLANK(Raw_Data!D2369),AVERAGE(Raw_Data!D$2:D$5002),Raw_Data!D2369)</f>
        <v>75288.24</v>
      </c>
      <c r="E2369" s="15" t="str">
        <f>IF(ISBLANK(Raw_Data!E2369),AVERAGE(Raw_Data!E$2:E$5002),Raw_Data!E2369)</f>
        <v>25522.81</v>
      </c>
      <c r="F2369" s="15" t="str">
        <f>IF(ISBLANK(Raw_Data!F2369),AVERAGE(Raw_Data!F$2:F$5002),Raw_Data!F2369)</f>
        <v>19363.58</v>
      </c>
      <c r="G2369" s="14" t="str">
        <f>IF(ISBLANK(Raw_Data!G2369),AVERAGE(Raw_Data!G$2:G$5002),Raw_Data!G2369)</f>
        <v>15400.26</v>
      </c>
      <c r="H2369" s="15" t="str">
        <f t="shared" si="1"/>
        <v>120175.00</v>
      </c>
      <c r="I2369" s="14" t="str">
        <f t="shared" si="2"/>
        <v>104775.00</v>
      </c>
      <c r="J2369" s="16" t="str">
        <f>TEXT(Raw_Data!J2369,"MMM-YYY")</f>
        <v>Aug-2025</v>
      </c>
      <c r="K2369" s="13" t="str">
        <f>Raw_Data!K2369</f>
        <v>11</v>
      </c>
      <c r="L2369" s="17" t="str">
        <f>Raw_Data!L2369</f>
        <v>Jaipur-North</v>
      </c>
      <c r="M2369" s="13" t="str">
        <f t="shared" si="3"/>
        <v>OK</v>
      </c>
      <c r="N2369" s="18" t="str">
        <f t="shared" si="4"/>
        <v>VALID</v>
      </c>
    </row>
    <row r="2370" ht="15.75" customHeight="1">
      <c r="A2370" s="13" t="str">
        <f>Raw_Data!A2370</f>
        <v>EMP2500</v>
      </c>
      <c r="B2370" s="13" t="str">
        <f>TRIM(CLEAN(Raw_Data!B2370))</f>
        <v>Marketing</v>
      </c>
      <c r="C2370" s="18" t="s">
        <v>54</v>
      </c>
      <c r="D2370" s="14" t="str">
        <f>IF(ISBLANK(Raw_Data!D2370),AVERAGE(Raw_Data!D$2:D$5002),Raw_Data!D2370)</f>
        <v>75299.12</v>
      </c>
      <c r="E2370" s="15" t="str">
        <f>IF(ISBLANK(Raw_Data!E2370),AVERAGE(Raw_Data!E$2:E$5002),Raw_Data!E2370)</f>
        <v>25527.42</v>
      </c>
      <c r="F2370" s="15" t="str">
        <f>IF(ISBLANK(Raw_Data!F2370),AVERAGE(Raw_Data!F$2:F$5002),Raw_Data!F2370)</f>
        <v>19371.26</v>
      </c>
      <c r="G2370" s="14" t="str">
        <f>IF(ISBLANK(Raw_Data!G2370),AVERAGE(Raw_Data!G$2:G$5002),Raw_Data!G2370)</f>
        <v>15403.66</v>
      </c>
      <c r="H2370" s="15" t="str">
        <f t="shared" si="1"/>
        <v>120198.00</v>
      </c>
      <c r="I2370" s="14" t="str">
        <f t="shared" si="2"/>
        <v>104794.00</v>
      </c>
      <c r="J2370" s="16" t="str">
        <f>TEXT(Raw_Data!J2370,"MMM-YYY")</f>
        <v>Aug-2025</v>
      </c>
      <c r="K2370" s="13" t="str">
        <f>Raw_Data!K2370</f>
        <v>7</v>
      </c>
      <c r="L2370" s="17" t="str">
        <f>Raw_Data!L2370</f>
        <v>Mumbai-HO</v>
      </c>
      <c r="M2370" s="13" t="str">
        <f t="shared" si="3"/>
        <v>OK</v>
      </c>
      <c r="N2370" s="18" t="str">
        <f t="shared" si="4"/>
        <v>VALID</v>
      </c>
    </row>
    <row r="2371" ht="15.75" customHeight="1">
      <c r="A2371" s="13" t="str">
        <f>Raw_Data!A2371</f>
        <v>EMP2501</v>
      </c>
      <c r="B2371" s="13" t="str">
        <f>TRIM(CLEAN(Raw_Data!B2371))</f>
        <v>Customer Support</v>
      </c>
      <c r="C2371" s="18" t="s">
        <v>54</v>
      </c>
      <c r="D2371" s="14" t="str">
        <f>IF(ISBLANK(Raw_Data!D2371),AVERAGE(Raw_Data!D$2:D$5002),Raw_Data!D2371)</f>
        <v>75310.00</v>
      </c>
      <c r="E2371" s="15" t="str">
        <f>IF(ISBLANK(Raw_Data!E2371),AVERAGE(Raw_Data!E$2:E$5002),Raw_Data!E2371)</f>
        <v>25532.03</v>
      </c>
      <c r="F2371" s="15" t="str">
        <f>IF(ISBLANK(Raw_Data!F2371),AVERAGE(Raw_Data!F$2:F$5002),Raw_Data!F2371)</f>
        <v>19378.94</v>
      </c>
      <c r="G2371" s="14" t="str">
        <f>IF(ISBLANK(Raw_Data!G2371),AVERAGE(Raw_Data!G$2:G$5002),Raw_Data!G2371)</f>
        <v>15407.05</v>
      </c>
      <c r="H2371" s="15" t="str">
        <f t="shared" si="1"/>
        <v>120221.00</v>
      </c>
      <c r="I2371" s="14" t="str">
        <f t="shared" si="2"/>
        <v>104814.00</v>
      </c>
      <c r="J2371" s="16" t="str">
        <f>TEXT(Raw_Data!J2371,"MMM-YYY")</f>
        <v>Aug-2025</v>
      </c>
      <c r="K2371" s="13" t="str">
        <f>Raw_Data!K2371</f>
        <v>4</v>
      </c>
      <c r="L2371" s="17" t="str">
        <f>Raw_Data!L2371</f>
        <v>Delhi-North</v>
      </c>
      <c r="M2371" s="13" t="str">
        <f t="shared" si="3"/>
        <v>OK</v>
      </c>
      <c r="N2371" s="18" t="str">
        <f t="shared" si="4"/>
        <v>VALID</v>
      </c>
    </row>
    <row r="2372" ht="15.75" customHeight="1">
      <c r="A2372" s="13" t="str">
        <f>Raw_Data!A2372</f>
        <v>EMP2502</v>
      </c>
      <c r="B2372" s="13" t="str">
        <f>TRIM(CLEAN(Raw_Data!B2372))</f>
        <v>HR</v>
      </c>
      <c r="C2372" s="18" t="s">
        <v>14</v>
      </c>
      <c r="D2372" s="14" t="str">
        <f>IF(ISBLANK(Raw_Data!D2372),AVERAGE(Raw_Data!D$2:D$5002),Raw_Data!D2372)</f>
        <v>75320.89</v>
      </c>
      <c r="E2372" s="15" t="str">
        <f>IF(ISBLANK(Raw_Data!E2372),AVERAGE(Raw_Data!E$2:E$5002),Raw_Data!E2372)</f>
        <v>25536.65</v>
      </c>
      <c r="F2372" s="15" t="str">
        <f>IF(ISBLANK(Raw_Data!F2372),AVERAGE(Raw_Data!F$2:F$5002),Raw_Data!F2372)</f>
        <v>19386.62</v>
      </c>
      <c r="G2372" s="14" t="str">
        <f>IF(ISBLANK(Raw_Data!G2372),AVERAGE(Raw_Data!G$2:G$5002),Raw_Data!G2372)</f>
        <v>15410.45</v>
      </c>
      <c r="H2372" s="15" t="str">
        <f t="shared" si="1"/>
        <v>120244.00</v>
      </c>
      <c r="I2372" s="14" t="str">
        <f t="shared" si="2"/>
        <v>104834.00</v>
      </c>
      <c r="J2372" s="16" t="str">
        <f>TEXT(Raw_Data!J2372,"MMM-YYY")</f>
        <v>Sep-2025</v>
      </c>
      <c r="K2372" s="13" t="str">
        <f>Raw_Data!K2372</f>
        <v>25</v>
      </c>
      <c r="L2372" s="17" t="str">
        <f>Raw_Data!L2372</f>
        <v>Bangalore-South</v>
      </c>
      <c r="M2372" s="13" t="str">
        <f t="shared" si="3"/>
        <v>OK</v>
      </c>
      <c r="N2372" s="18" t="str">
        <f t="shared" si="4"/>
        <v>VALID</v>
      </c>
    </row>
    <row r="2373" ht="15.75" customHeight="1">
      <c r="A2373" s="13" t="str">
        <f>Raw_Data!A2373</f>
        <v>EMP2503</v>
      </c>
      <c r="B2373" s="13" t="str">
        <f>TRIM(CLEAN(Raw_Data!B2373))</f>
        <v>Sales</v>
      </c>
      <c r="C2373" s="18" t="s">
        <v>33</v>
      </c>
      <c r="D2373" s="14" t="str">
        <f>IF(ISBLANK(Raw_Data!D2373),AVERAGE(Raw_Data!D$2:D$5002),Raw_Data!D2373)</f>
        <v>75331.77</v>
      </c>
      <c r="E2373" s="15" t="str">
        <f>IF(ISBLANK(Raw_Data!E2373),AVERAGE(Raw_Data!E$2:E$5002),Raw_Data!E2373)</f>
        <v>25541.26</v>
      </c>
      <c r="F2373" s="15" t="str">
        <f>IF(ISBLANK(Raw_Data!F2373),AVERAGE(Raw_Data!F$2:F$5002),Raw_Data!F2373)</f>
        <v>19394.30</v>
      </c>
      <c r="G2373" s="14" t="str">
        <f>IF(ISBLANK(Raw_Data!G2373),AVERAGE(Raw_Data!G$2:G$5002),Raw_Data!G2373)</f>
        <v>15413.85</v>
      </c>
      <c r="H2373" s="15" t="str">
        <f t="shared" si="1"/>
        <v>120267.00</v>
      </c>
      <c r="I2373" s="14" t="str">
        <f t="shared" si="2"/>
        <v>104853.00</v>
      </c>
      <c r="J2373" s="16" t="str">
        <f>TEXT(Raw_Data!J2373,"MMM-YYY")</f>
        <v>Apr-2025</v>
      </c>
      <c r="K2373" s="13" t="str">
        <f>Raw_Data!K2373</f>
        <v>23</v>
      </c>
      <c r="L2373" s="17" t="str">
        <f>Raw_Data!L2373</f>
        <v>Chennai-South</v>
      </c>
      <c r="M2373" s="13" t="str">
        <f t="shared" si="3"/>
        <v>OK</v>
      </c>
      <c r="N2373" s="18" t="str">
        <f t="shared" si="4"/>
        <v>VALID</v>
      </c>
    </row>
    <row r="2374" ht="15.75" customHeight="1">
      <c r="A2374" s="13" t="str">
        <f>Raw_Data!A2374</f>
        <v>EMP2505</v>
      </c>
      <c r="B2374" s="13" t="str">
        <f>TRIM(CLEAN(Raw_Data!B2374))</f>
        <v>Marketing</v>
      </c>
      <c r="C2374" s="18" t="s">
        <v>18</v>
      </c>
      <c r="D2374" s="14" t="str">
        <f>IF(ISBLANK(Raw_Data!D2374),AVERAGE(Raw_Data!D$2:D$5002),Raw_Data!D2374)</f>
        <v>75353.53</v>
      </c>
      <c r="E2374" s="15" t="str">
        <f>IF(ISBLANK(Raw_Data!E2374),AVERAGE(Raw_Data!E$2:E$5002),Raw_Data!E2374)</f>
        <v>25550.49</v>
      </c>
      <c r="F2374" s="15" t="str">
        <f>IF(ISBLANK(Raw_Data!F2374),AVERAGE(Raw_Data!F$2:F$5002),Raw_Data!F2374)</f>
        <v>19409.66</v>
      </c>
      <c r="G2374" s="14" t="str">
        <f>IF(ISBLANK(Raw_Data!G2374),AVERAGE(Raw_Data!G$2:G$5002),Raw_Data!G2374)</f>
        <v>15420.64</v>
      </c>
      <c r="H2374" s="15" t="str">
        <f t="shared" si="1"/>
        <v>120314.00</v>
      </c>
      <c r="I2374" s="14" t="str">
        <f t="shared" si="2"/>
        <v>104893.00</v>
      </c>
      <c r="J2374" s="16" t="str">
        <f>TEXT(Raw_Data!J2374,"MMM-YYY")</f>
        <v>Jun-2025</v>
      </c>
      <c r="K2374" s="13" t="str">
        <f>Raw_Data!K2374</f>
        <v>24</v>
      </c>
      <c r="L2374" s="17" t="str">
        <f>Raw_Data!L2374</f>
        <v>Pune-West</v>
      </c>
      <c r="M2374" s="13" t="str">
        <f t="shared" si="3"/>
        <v>OK</v>
      </c>
      <c r="N2374" s="18" t="str">
        <f t="shared" si="4"/>
        <v>VALID</v>
      </c>
    </row>
    <row r="2375" ht="15.75" customHeight="1">
      <c r="A2375" s="13" t="str">
        <f>Raw_Data!A2375</f>
        <v>EMP2506</v>
      </c>
      <c r="B2375" s="13" t="str">
        <f>TRIM(CLEAN(Raw_Data!B2375))</f>
        <v>Customer Support</v>
      </c>
      <c r="C2375" s="18" t="s">
        <v>33</v>
      </c>
      <c r="D2375" s="14" t="str">
        <f>IF(ISBLANK(Raw_Data!D2375),AVERAGE(Raw_Data!D$2:D$5002),Raw_Data!D2375)</f>
        <v>75364.42</v>
      </c>
      <c r="E2375" s="15" t="str">
        <f>IF(ISBLANK(Raw_Data!E2375),AVERAGE(Raw_Data!E$2:E$5002),Raw_Data!E2375)</f>
        <v>25555.11</v>
      </c>
      <c r="F2375" s="15" t="str">
        <f>IF(ISBLANK(Raw_Data!F2375),AVERAGE(Raw_Data!F$2:F$5002),Raw_Data!F2375)</f>
        <v>19417.34</v>
      </c>
      <c r="G2375" s="14" t="str">
        <f>IF(ISBLANK(Raw_Data!G2375),AVERAGE(Raw_Data!G$2:G$5002),Raw_Data!G2375)</f>
        <v>15424.04</v>
      </c>
      <c r="H2375" s="15" t="str">
        <f t="shared" si="1"/>
        <v>120337.00</v>
      </c>
      <c r="I2375" s="14" t="str">
        <f t="shared" si="2"/>
        <v>104913.00</v>
      </c>
      <c r="J2375" s="16" t="str">
        <f>TEXT(Raw_Data!J2375,"MMM-YYY")</f>
        <v>Dec-2025</v>
      </c>
      <c r="K2375" s="13" t="str">
        <f>Raw_Data!K2375</f>
        <v>14</v>
      </c>
      <c r="L2375" s="17" t="str">
        <f>Raw_Data!L2375</f>
        <v>Hyderabad-South</v>
      </c>
      <c r="M2375" s="13" t="str">
        <f t="shared" si="3"/>
        <v>OK</v>
      </c>
      <c r="N2375" s="18" t="str">
        <f t="shared" si="4"/>
        <v>VALID</v>
      </c>
    </row>
    <row r="2376" ht="15.75" customHeight="1">
      <c r="A2376" s="13" t="str">
        <f>Raw_Data!A2376</f>
        <v>EMP2507</v>
      </c>
      <c r="B2376" s="13" t="str">
        <f>TRIM(CLEAN(Raw_Data!B2376))</f>
        <v>IT</v>
      </c>
      <c r="C2376" s="18" t="s">
        <v>26</v>
      </c>
      <c r="D2376" s="14" t="str">
        <f>IF(ISBLANK(Raw_Data!D2376),AVERAGE(Raw_Data!D$2:D$5002),Raw_Data!D2376)</f>
        <v>75375.30</v>
      </c>
      <c r="E2376" s="15" t="str">
        <f>IF(ISBLANK(Raw_Data!E2376),AVERAGE(Raw_Data!E$2:E$5002),Raw_Data!E2376)</f>
        <v>25559.72</v>
      </c>
      <c r="F2376" s="15" t="str">
        <f>IF(ISBLANK(Raw_Data!F2376),AVERAGE(Raw_Data!F$2:F$5002),Raw_Data!F2376)</f>
        <v>19425.02</v>
      </c>
      <c r="G2376" s="14" t="str">
        <f>IF(ISBLANK(Raw_Data!G2376),AVERAGE(Raw_Data!G$2:G$5002),Raw_Data!G2376)</f>
        <v>15427.44</v>
      </c>
      <c r="H2376" s="15" t="str">
        <f t="shared" si="1"/>
        <v>120360.00</v>
      </c>
      <c r="I2376" s="14" t="str">
        <f t="shared" si="2"/>
        <v>104933.00</v>
      </c>
      <c r="J2376" s="16" t="str">
        <f>TEXT(Raw_Data!J2376,"MMM-YYY")</f>
        <v>Jan-2025</v>
      </c>
      <c r="K2376" s="13" t="str">
        <f>Raw_Data!K2376</f>
        <v>20</v>
      </c>
      <c r="L2376" s="17" t="str">
        <f>Raw_Data!L2376</f>
        <v>Chandigarh-North</v>
      </c>
      <c r="M2376" s="13" t="str">
        <f t="shared" si="3"/>
        <v>OK</v>
      </c>
      <c r="N2376" s="18" t="str">
        <f t="shared" si="4"/>
        <v>VALID</v>
      </c>
    </row>
    <row r="2377" ht="15.75" customHeight="1">
      <c r="A2377" s="13" t="str">
        <f>Raw_Data!A2377</f>
        <v>EMP2508</v>
      </c>
      <c r="B2377" s="13" t="str">
        <f>TRIM(CLEAN(Raw_Data!B2377))</f>
        <v>Operations</v>
      </c>
      <c r="C2377" s="18" t="s">
        <v>30</v>
      </c>
      <c r="D2377" s="14" t="str">
        <f>IF(ISBLANK(Raw_Data!D2377),AVERAGE(Raw_Data!D$2:D$5002),Raw_Data!D2377)</f>
        <v>75386.18</v>
      </c>
      <c r="E2377" s="15" t="str">
        <f>IF(ISBLANK(Raw_Data!E2377),AVERAGE(Raw_Data!E$2:E$5002),Raw_Data!E2377)</f>
        <v>25564.34</v>
      </c>
      <c r="F2377" s="15" t="str">
        <f>IF(ISBLANK(Raw_Data!F2377),AVERAGE(Raw_Data!F$2:F$5002),Raw_Data!F2377)</f>
        <v>19432.70</v>
      </c>
      <c r="G2377" s="14" t="str">
        <f>IF(ISBLANK(Raw_Data!G2377),AVERAGE(Raw_Data!G$2:G$5002),Raw_Data!G2377)</f>
        <v>15430.84</v>
      </c>
      <c r="H2377" s="15" t="str">
        <f t="shared" si="1"/>
        <v>120383.00</v>
      </c>
      <c r="I2377" s="14" t="str">
        <f t="shared" si="2"/>
        <v>104952.00</v>
      </c>
      <c r="J2377" s="16" t="str">
        <f>TEXT(Raw_Data!J2377,"MMM-YYY")</f>
        <v>Dec-2025</v>
      </c>
      <c r="K2377" s="13" t="str">
        <f>Raw_Data!K2377</f>
        <v>18</v>
      </c>
      <c r="L2377" s="17" t="str">
        <f>Raw_Data!L2377</f>
        <v>Ahmedabad-West</v>
      </c>
      <c r="M2377" s="13" t="str">
        <f t="shared" si="3"/>
        <v>OK</v>
      </c>
      <c r="N2377" s="18" t="str">
        <f t="shared" si="4"/>
        <v>VALID</v>
      </c>
    </row>
    <row r="2378" ht="15.75" customHeight="1">
      <c r="A2378" s="13" t="str">
        <f>Raw_Data!A2378</f>
        <v>EMP2509</v>
      </c>
      <c r="B2378" s="13" t="str">
        <f>TRIM(CLEAN(Raw_Data!B2378))</f>
        <v>Finance</v>
      </c>
      <c r="C2378" s="18" t="s">
        <v>26</v>
      </c>
      <c r="D2378" s="14" t="str">
        <f>IF(ISBLANK(Raw_Data!D2378),AVERAGE(Raw_Data!D$2:D$5002),Raw_Data!D2378)</f>
        <v>75397.07</v>
      </c>
      <c r="E2378" s="15" t="str">
        <f>IF(ISBLANK(Raw_Data!E2378),AVERAGE(Raw_Data!E$2:E$5002),Raw_Data!E2378)</f>
        <v>25568.95</v>
      </c>
      <c r="F2378" s="15" t="str">
        <f>IF(ISBLANK(Raw_Data!F2378),AVERAGE(Raw_Data!F$2:F$5002),Raw_Data!F2378)</f>
        <v>19440.38</v>
      </c>
      <c r="G2378" s="14" t="str">
        <f>IF(ISBLANK(Raw_Data!G2378),AVERAGE(Raw_Data!G$2:G$5002),Raw_Data!G2378)</f>
        <v>15434.23</v>
      </c>
      <c r="H2378" s="15" t="str">
        <f t="shared" si="1"/>
        <v>120406.00</v>
      </c>
      <c r="I2378" s="14" t="str">
        <f t="shared" si="2"/>
        <v>104972.00</v>
      </c>
      <c r="J2378" s="16" t="str">
        <f>TEXT(Raw_Data!J2378,"MMM-YYY")</f>
        <v>Jun-2025</v>
      </c>
      <c r="K2378" s="13" t="str">
        <f>Raw_Data!K2378</f>
        <v>14</v>
      </c>
      <c r="L2378" s="17" t="str">
        <f>Raw_Data!L2378</f>
        <v>Jaipur-North</v>
      </c>
      <c r="M2378" s="13" t="str">
        <f t="shared" si="3"/>
        <v>OK</v>
      </c>
      <c r="N2378" s="18" t="str">
        <f t="shared" si="4"/>
        <v>VALID</v>
      </c>
    </row>
    <row r="2379" ht="15.75" customHeight="1">
      <c r="A2379" s="13" t="str">
        <f>Raw_Data!A2379</f>
        <v>EMP2510</v>
      </c>
      <c r="B2379" s="13" t="str">
        <f>TRIM(CLEAN(Raw_Data!B2379))</f>
        <v>Finance</v>
      </c>
      <c r="C2379" s="18" t="s">
        <v>30</v>
      </c>
      <c r="D2379" s="14" t="str">
        <f>IF(ISBLANK(Raw_Data!D2379),AVERAGE(Raw_Data!D$2:D$5002),Raw_Data!D2379)</f>
        <v>75407.95</v>
      </c>
      <c r="E2379" s="15" t="str">
        <f>IF(ISBLANK(Raw_Data!E2379),AVERAGE(Raw_Data!E$2:E$5002),Raw_Data!E2379)</f>
        <v>25573.57</v>
      </c>
      <c r="F2379" s="15" t="str">
        <f>IF(ISBLANK(Raw_Data!F2379),AVERAGE(Raw_Data!F$2:F$5002),Raw_Data!F2379)</f>
        <v>19448.06</v>
      </c>
      <c r="G2379" s="14" t="str">
        <f>IF(ISBLANK(Raw_Data!G2379),AVERAGE(Raw_Data!G$2:G$5002),Raw_Data!G2379)</f>
        <v>15437.63</v>
      </c>
      <c r="H2379" s="15" t="str">
        <f t="shared" si="1"/>
        <v>120430.00</v>
      </c>
      <c r="I2379" s="14" t="str">
        <f t="shared" si="2"/>
        <v>104992.00</v>
      </c>
      <c r="J2379" s="16" t="str">
        <f>TEXT(Raw_Data!J2379,"MMM-YYY")</f>
        <v>Sep-2025</v>
      </c>
      <c r="K2379" s="13" t="str">
        <f>Raw_Data!K2379</f>
        <v>23</v>
      </c>
      <c r="L2379" s="17" t="str">
        <f>Raw_Data!L2379</f>
        <v>Mumbai-HO</v>
      </c>
      <c r="M2379" s="13" t="str">
        <f t="shared" si="3"/>
        <v>OK</v>
      </c>
      <c r="N2379" s="18" t="str">
        <f t="shared" si="4"/>
        <v>VALID</v>
      </c>
    </row>
    <row r="2380" ht="15.75" customHeight="1">
      <c r="A2380" s="13" t="str">
        <f>Raw_Data!A2380</f>
        <v>EMP2511</v>
      </c>
      <c r="B2380" s="13" t="str">
        <f>TRIM(CLEAN(Raw_Data!B2380))</f>
        <v>HR</v>
      </c>
      <c r="C2380" s="18" t="s">
        <v>26</v>
      </c>
      <c r="D2380" s="14" t="str">
        <f>IF(ISBLANK(Raw_Data!D2380),AVERAGE(Raw_Data!D$2:D$5002),Raw_Data!D2380)</f>
        <v>75418.83</v>
      </c>
      <c r="E2380" s="15" t="str">
        <f>IF(ISBLANK(Raw_Data!E2380),AVERAGE(Raw_Data!E$2:E$5002),Raw_Data!E2380)</f>
        <v>25578.18</v>
      </c>
      <c r="F2380" s="15" t="str">
        <f>IF(ISBLANK(Raw_Data!F2380),AVERAGE(Raw_Data!F$2:F$5002),Raw_Data!F2380)</f>
        <v>19455.74</v>
      </c>
      <c r="G2380" s="14" t="str">
        <f>IF(ISBLANK(Raw_Data!G2380),AVERAGE(Raw_Data!G$2:G$5002),Raw_Data!G2380)</f>
        <v>15441.03</v>
      </c>
      <c r="H2380" s="15" t="str">
        <f t="shared" si="1"/>
        <v>120453.00</v>
      </c>
      <c r="I2380" s="14" t="str">
        <f t="shared" si="2"/>
        <v>105012.00</v>
      </c>
      <c r="J2380" s="16" t="str">
        <f>TEXT(Raw_Data!J2380,"MMM-YYY")</f>
        <v>Apr-2025</v>
      </c>
      <c r="K2380" s="13" t="str">
        <f>Raw_Data!K2380</f>
        <v>4</v>
      </c>
      <c r="L2380" s="17" t="str">
        <f>Raw_Data!L2380</f>
        <v>Delhi-North</v>
      </c>
      <c r="M2380" s="13" t="str">
        <f t="shared" si="3"/>
        <v>OK</v>
      </c>
      <c r="N2380" s="18" t="str">
        <f t="shared" si="4"/>
        <v>VALID</v>
      </c>
    </row>
    <row r="2381" ht="15.75" customHeight="1">
      <c r="A2381" s="13" t="str">
        <f>Raw_Data!A2381</f>
        <v>EMP2512</v>
      </c>
      <c r="B2381" s="13" t="str">
        <f>TRIM(CLEAN(Raw_Data!B2381))</f>
        <v>IT</v>
      </c>
      <c r="C2381" s="18" t="s">
        <v>33</v>
      </c>
      <c r="D2381" s="14" t="str">
        <f>IF(ISBLANK(Raw_Data!D2381),AVERAGE(Raw_Data!D$2:D$5002),Raw_Data!D2381)</f>
        <v>75429.71</v>
      </c>
      <c r="E2381" s="15" t="str">
        <f>IF(ISBLANK(Raw_Data!E2381),AVERAGE(Raw_Data!E$2:E$5002),Raw_Data!E2381)</f>
        <v>25582.80</v>
      </c>
      <c r="F2381" s="15" t="str">
        <f>IF(ISBLANK(Raw_Data!F2381),AVERAGE(Raw_Data!F$2:F$5002),Raw_Data!F2381)</f>
        <v>19463.42</v>
      </c>
      <c r="G2381" s="14" t="str">
        <f>IF(ISBLANK(Raw_Data!G2381),AVERAGE(Raw_Data!G$2:G$5002),Raw_Data!G2381)</f>
        <v>15444.43</v>
      </c>
      <c r="H2381" s="15" t="str">
        <f t="shared" si="1"/>
        <v>120476.00</v>
      </c>
      <c r="I2381" s="14" t="str">
        <f t="shared" si="2"/>
        <v>105032.00</v>
      </c>
      <c r="J2381" s="16" t="str">
        <f>TEXT(Raw_Data!J2381,"MMM-YYY")</f>
        <v>Jul-2025</v>
      </c>
      <c r="K2381" s="13" t="str">
        <f>Raw_Data!K2381</f>
        <v>13</v>
      </c>
      <c r="L2381" s="17" t="str">
        <f>Raw_Data!L2381</f>
        <v>Bangalore-South</v>
      </c>
      <c r="M2381" s="13" t="str">
        <f t="shared" si="3"/>
        <v>OK</v>
      </c>
      <c r="N2381" s="18" t="str">
        <f t="shared" si="4"/>
        <v>VALID</v>
      </c>
    </row>
    <row r="2382" ht="15.75" customHeight="1">
      <c r="A2382" s="13" t="str">
        <f>Raw_Data!A2382</f>
        <v>EMP2513</v>
      </c>
      <c r="B2382" s="13" t="str">
        <f>TRIM(CLEAN(Raw_Data!B2382))</f>
        <v>Sales</v>
      </c>
      <c r="C2382" s="18" t="s">
        <v>54</v>
      </c>
      <c r="D2382" s="14" t="str">
        <f>IF(ISBLANK(Raw_Data!D2382),AVERAGE(Raw_Data!D$2:D$5002),Raw_Data!D2382)</f>
        <v>75440.60</v>
      </c>
      <c r="E2382" s="15" t="str">
        <f>IF(ISBLANK(Raw_Data!E2382),AVERAGE(Raw_Data!E$2:E$5002),Raw_Data!E2382)</f>
        <v>25587.41</v>
      </c>
      <c r="F2382" s="15" t="str">
        <f>IF(ISBLANK(Raw_Data!F2382),AVERAGE(Raw_Data!F$2:F$5002),Raw_Data!F2382)</f>
        <v>19471.10</v>
      </c>
      <c r="G2382" s="14" t="str">
        <f>IF(ISBLANK(Raw_Data!G2382),AVERAGE(Raw_Data!G$2:G$5002),Raw_Data!G2382)</f>
        <v>15447.82</v>
      </c>
      <c r="H2382" s="15" t="str">
        <f t="shared" si="1"/>
        <v>120499.00</v>
      </c>
      <c r="I2382" s="14" t="str">
        <f t="shared" si="2"/>
        <v>105051.00</v>
      </c>
      <c r="J2382" s="16" t="str">
        <f>TEXT(Raw_Data!J2382,"MMM-YYY")</f>
        <v>Sep-2025</v>
      </c>
      <c r="K2382" s="13" t="str">
        <f>Raw_Data!K2382</f>
        <v>18</v>
      </c>
      <c r="L2382" s="17" t="str">
        <f>Raw_Data!L2382</f>
        <v>Chennai-South</v>
      </c>
      <c r="M2382" s="13" t="str">
        <f t="shared" si="3"/>
        <v>OK</v>
      </c>
      <c r="N2382" s="18" t="str">
        <f t="shared" si="4"/>
        <v>VALID</v>
      </c>
    </row>
    <row r="2383" ht="15.75" customHeight="1">
      <c r="A2383" s="13" t="str">
        <f>Raw_Data!A2383</f>
        <v>EMP2514</v>
      </c>
      <c r="B2383" s="13" t="str">
        <f>TRIM(CLEAN(Raw_Data!B2383))</f>
        <v>IT</v>
      </c>
      <c r="C2383" s="18" t="s">
        <v>18</v>
      </c>
      <c r="D2383" s="14" t="str">
        <f>IF(ISBLANK(Raw_Data!D2383),AVERAGE(Raw_Data!D$2:D$5002),Raw_Data!D2383)</f>
        <v>75451.48</v>
      </c>
      <c r="E2383" s="15" t="str">
        <f>IF(ISBLANK(Raw_Data!E2383),AVERAGE(Raw_Data!E$2:E$5002),Raw_Data!E2383)</f>
        <v>25592.03</v>
      </c>
      <c r="F2383" s="15" t="str">
        <f>IF(ISBLANK(Raw_Data!F2383),AVERAGE(Raw_Data!F$2:F$5002),Raw_Data!F2383)</f>
        <v>19478.78</v>
      </c>
      <c r="G2383" s="14" t="str">
        <f>IF(ISBLANK(Raw_Data!G2383),AVERAGE(Raw_Data!G$2:G$5002),Raw_Data!G2383)</f>
        <v>15451.22</v>
      </c>
      <c r="H2383" s="15" t="str">
        <f t="shared" si="1"/>
        <v>120522.00</v>
      </c>
      <c r="I2383" s="14" t="str">
        <f t="shared" si="2"/>
        <v>105071.00</v>
      </c>
      <c r="J2383" s="16" t="str">
        <f>TEXT(Raw_Data!J2383,"MMM-YYY")</f>
        <v>Jul-2025</v>
      </c>
      <c r="K2383" s="13" t="str">
        <f>Raw_Data!K2383</f>
        <v>1</v>
      </c>
      <c r="L2383" s="17" t="str">
        <f>Raw_Data!L2383</f>
        <v>Kolkata-East</v>
      </c>
      <c r="M2383" s="13" t="str">
        <f t="shared" si="3"/>
        <v>OK</v>
      </c>
      <c r="N2383" s="18" t="str">
        <f t="shared" si="4"/>
        <v>VALID</v>
      </c>
    </row>
    <row r="2384" ht="15.75" customHeight="1">
      <c r="A2384" s="13" t="str">
        <f>Raw_Data!A2384</f>
        <v>EMP2515</v>
      </c>
      <c r="B2384" s="13" t="str">
        <f>TRIM(CLEAN(Raw_Data!B2384))</f>
        <v>Sales</v>
      </c>
      <c r="C2384" s="18" t="s">
        <v>18</v>
      </c>
      <c r="D2384" s="14" t="str">
        <f>IF(ISBLANK(Raw_Data!D2384),AVERAGE(Raw_Data!D$2:D$5002),Raw_Data!D2384)</f>
        <v>75462.36</v>
      </c>
      <c r="E2384" s="15" t="str">
        <f>IF(ISBLANK(Raw_Data!E2384),AVERAGE(Raw_Data!E$2:E$5002),Raw_Data!E2384)</f>
        <v>25596.64</v>
      </c>
      <c r="F2384" s="15" t="str">
        <f>IF(ISBLANK(Raw_Data!F2384),AVERAGE(Raw_Data!F$2:F$5002),Raw_Data!F2384)</f>
        <v>19486.46</v>
      </c>
      <c r="G2384" s="14" t="str">
        <f>IF(ISBLANK(Raw_Data!G2384),AVERAGE(Raw_Data!G$2:G$5002),Raw_Data!G2384)</f>
        <v>15454.62</v>
      </c>
      <c r="H2384" s="15" t="str">
        <f t="shared" si="1"/>
        <v>120545.00</v>
      </c>
      <c r="I2384" s="14" t="str">
        <f t="shared" si="2"/>
        <v>105090.00</v>
      </c>
      <c r="J2384" s="16" t="str">
        <f>TEXT(Raw_Data!J2384,"MMM-YYY")</f>
        <v>Apr-2025</v>
      </c>
      <c r="K2384" s="13" t="str">
        <f>Raw_Data!K2384</f>
        <v>25</v>
      </c>
      <c r="L2384" s="17" t="str">
        <f>Raw_Data!L2384</f>
        <v>Pune-West</v>
      </c>
      <c r="M2384" s="13" t="str">
        <f t="shared" si="3"/>
        <v>OK</v>
      </c>
      <c r="N2384" s="18" t="str">
        <f t="shared" si="4"/>
        <v>VALID</v>
      </c>
    </row>
    <row r="2385" ht="15.75" customHeight="1">
      <c r="A2385" s="13" t="str">
        <f>Raw_Data!A2385</f>
        <v>EMP2516</v>
      </c>
      <c r="B2385" s="13" t="str">
        <f>TRIM(CLEAN(Raw_Data!B2385))</f>
        <v>HR</v>
      </c>
      <c r="C2385" s="18" t="s">
        <v>33</v>
      </c>
      <c r="D2385" s="14" t="str">
        <f>IF(ISBLANK(Raw_Data!D2385),AVERAGE(Raw_Data!D$2:D$5002),Raw_Data!D2385)</f>
        <v>75473.25</v>
      </c>
      <c r="E2385" s="15" t="str">
        <f>IF(ISBLANK(Raw_Data!E2385),AVERAGE(Raw_Data!E$2:E$5002),Raw_Data!E2385)</f>
        <v>25601.26</v>
      </c>
      <c r="F2385" s="15" t="str">
        <f>IF(ISBLANK(Raw_Data!F2385),AVERAGE(Raw_Data!F$2:F$5002),Raw_Data!F2385)</f>
        <v>19494.14</v>
      </c>
      <c r="G2385" s="14" t="str">
        <f>IF(ISBLANK(Raw_Data!G2385),AVERAGE(Raw_Data!G$2:G$5002),Raw_Data!G2385)</f>
        <v>15458.02</v>
      </c>
      <c r="H2385" s="15" t="str">
        <f t="shared" si="1"/>
        <v>120569.00</v>
      </c>
      <c r="I2385" s="14" t="str">
        <f t="shared" si="2"/>
        <v>105111.00</v>
      </c>
      <c r="J2385" s="16" t="str">
        <f>TEXT(Raw_Data!J2385,"MMM-YYY")</f>
        <v>Jul-2025</v>
      </c>
      <c r="K2385" s="13" t="str">
        <f>Raw_Data!K2385</f>
        <v>8</v>
      </c>
      <c r="L2385" s="17" t="str">
        <f>Raw_Data!L2385</f>
        <v>Hyderabad-South</v>
      </c>
      <c r="M2385" s="13" t="str">
        <f t="shared" si="3"/>
        <v>OK</v>
      </c>
      <c r="N2385" s="18" t="str">
        <f t="shared" si="4"/>
        <v>VALID</v>
      </c>
    </row>
    <row r="2386" ht="15.75" customHeight="1">
      <c r="A2386" s="13" t="str">
        <f>Raw_Data!A2386</f>
        <v>EMP2517</v>
      </c>
      <c r="B2386" s="13" t="str">
        <f>TRIM(CLEAN(Raw_Data!B2386))</f>
        <v>Finance</v>
      </c>
      <c r="C2386" s="18" t="s">
        <v>26</v>
      </c>
      <c r="D2386" s="14" t="str">
        <f>IF(ISBLANK(Raw_Data!D2386),AVERAGE(Raw_Data!D$2:D$5002),Raw_Data!D2386)</f>
        <v>75484.13</v>
      </c>
      <c r="E2386" s="15" t="str">
        <f>IF(ISBLANK(Raw_Data!E2386),AVERAGE(Raw_Data!E$2:E$5002),Raw_Data!E2386)</f>
        <v>25605.87</v>
      </c>
      <c r="F2386" s="15" t="str">
        <f>IF(ISBLANK(Raw_Data!F2386),AVERAGE(Raw_Data!F$2:F$5002),Raw_Data!F2386)</f>
        <v>19501.82</v>
      </c>
      <c r="G2386" s="14" t="str">
        <f>IF(ISBLANK(Raw_Data!G2386),AVERAGE(Raw_Data!G$2:G$5002),Raw_Data!G2386)</f>
        <v>15461.41</v>
      </c>
      <c r="H2386" s="15" t="str">
        <f t="shared" si="1"/>
        <v>120592.00</v>
      </c>
      <c r="I2386" s="14" t="str">
        <f t="shared" si="2"/>
        <v>105131.00</v>
      </c>
      <c r="J2386" s="16" t="str">
        <f>TEXT(Raw_Data!J2386,"MMM-YYY")</f>
        <v>Jun-2025</v>
      </c>
      <c r="K2386" s="13" t="str">
        <f>Raw_Data!K2386</f>
        <v>21</v>
      </c>
      <c r="L2386" s="17" t="str">
        <f>Raw_Data!L2386</f>
        <v>Chandigarh-North</v>
      </c>
      <c r="M2386" s="13" t="str">
        <f t="shared" si="3"/>
        <v>OK</v>
      </c>
      <c r="N2386" s="18" t="str">
        <f t="shared" si="4"/>
        <v>VALID</v>
      </c>
    </row>
    <row r="2387" ht="15.75" customHeight="1">
      <c r="A2387" s="13" t="str">
        <f>Raw_Data!A2387</f>
        <v>EMP2518</v>
      </c>
      <c r="B2387" s="13" t="str">
        <f>TRIM(CLEAN(Raw_Data!B2387))</f>
        <v>Marketing</v>
      </c>
      <c r="C2387" s="18" t="s">
        <v>54</v>
      </c>
      <c r="D2387" s="14" t="str">
        <f>IF(ISBLANK(Raw_Data!D2387),AVERAGE(Raw_Data!D$2:D$5002),Raw_Data!D2387)</f>
        <v>75495.01</v>
      </c>
      <c r="E2387" s="15" t="str">
        <f>IF(ISBLANK(Raw_Data!E2387),AVERAGE(Raw_Data!E$2:E$5002),Raw_Data!E2387)</f>
        <v>25610.48</v>
      </c>
      <c r="F2387" s="15" t="str">
        <f>IF(ISBLANK(Raw_Data!F2387),AVERAGE(Raw_Data!F$2:F$5002),Raw_Data!F2387)</f>
        <v>19509.50</v>
      </c>
      <c r="G2387" s="14" t="str">
        <f>IF(ISBLANK(Raw_Data!G2387),AVERAGE(Raw_Data!G$2:G$5002),Raw_Data!G2387)</f>
        <v>15464.81</v>
      </c>
      <c r="H2387" s="15" t="str">
        <f t="shared" si="1"/>
        <v>120615.00</v>
      </c>
      <c r="I2387" s="14" t="str">
        <f t="shared" si="2"/>
        <v>105150.00</v>
      </c>
      <c r="J2387" s="16" t="str">
        <f>TEXT(Raw_Data!J2387,"MMM-YYY")</f>
        <v>Jan-2025</v>
      </c>
      <c r="K2387" s="13" t="str">
        <f>Raw_Data!K2387</f>
        <v>23</v>
      </c>
      <c r="L2387" s="17" t="str">
        <f>Raw_Data!L2387</f>
        <v>Ahmedabad-West</v>
      </c>
      <c r="M2387" s="13" t="str">
        <f t="shared" si="3"/>
        <v>OK</v>
      </c>
      <c r="N2387" s="18" t="str">
        <f t="shared" si="4"/>
        <v>VALID</v>
      </c>
    </row>
    <row r="2388" ht="15.75" customHeight="1">
      <c r="A2388" s="13" t="str">
        <f>Raw_Data!A2388</f>
        <v>EMP2519</v>
      </c>
      <c r="B2388" s="13" t="str">
        <f>TRIM(CLEAN(Raw_Data!B2388))</f>
        <v>IT</v>
      </c>
      <c r="C2388" s="18" t="s">
        <v>18</v>
      </c>
      <c r="D2388" s="14" t="str">
        <f>IF(ISBLANK(Raw_Data!D2388),AVERAGE(Raw_Data!D$2:D$5002),Raw_Data!D2388)</f>
        <v>75505.90</v>
      </c>
      <c r="E2388" s="15" t="str">
        <f>IF(ISBLANK(Raw_Data!E2388),AVERAGE(Raw_Data!E$2:E$5002),Raw_Data!E2388)</f>
        <v>25615.10</v>
      </c>
      <c r="F2388" s="15" t="str">
        <f>IF(ISBLANK(Raw_Data!F2388),AVERAGE(Raw_Data!F$2:F$5002),Raw_Data!F2388)</f>
        <v>19517.18</v>
      </c>
      <c r="G2388" s="14" t="str">
        <f>IF(ISBLANK(Raw_Data!G2388),AVERAGE(Raw_Data!G$2:G$5002),Raw_Data!G2388)</f>
        <v>15468.21</v>
      </c>
      <c r="H2388" s="15" t="str">
        <f t="shared" si="1"/>
        <v>120638.00</v>
      </c>
      <c r="I2388" s="14" t="str">
        <f t="shared" si="2"/>
        <v>105170.00</v>
      </c>
      <c r="J2388" s="16" t="str">
        <f>TEXT(Raw_Data!J2388,"MMM-YYY")</f>
        <v>Aug-2025</v>
      </c>
      <c r="K2388" s="13" t="str">
        <f>Raw_Data!K2388</f>
        <v>9</v>
      </c>
      <c r="L2388" s="17" t="str">
        <f>Raw_Data!L2388</f>
        <v>Jaipur-North</v>
      </c>
      <c r="M2388" s="13" t="str">
        <f t="shared" si="3"/>
        <v>OK</v>
      </c>
      <c r="N2388" s="18" t="str">
        <f t="shared" si="4"/>
        <v>VALID</v>
      </c>
    </row>
    <row r="2389" ht="15.75" customHeight="1">
      <c r="A2389" s="13" t="str">
        <f>Raw_Data!A2389</f>
        <v>EMP2520</v>
      </c>
      <c r="B2389" s="13" t="str">
        <f>TRIM(CLEAN(Raw_Data!B2389))</f>
        <v>Finance</v>
      </c>
      <c r="C2389" s="18" t="s">
        <v>26</v>
      </c>
      <c r="D2389" s="14" t="str">
        <f>IF(ISBLANK(Raw_Data!D2389),AVERAGE(Raw_Data!D$2:D$5002),Raw_Data!D2389)</f>
        <v>75516.78</v>
      </c>
      <c r="E2389" s="15" t="str">
        <f>IF(ISBLANK(Raw_Data!E2389),AVERAGE(Raw_Data!E$2:E$5002),Raw_Data!E2389)</f>
        <v>25619.71</v>
      </c>
      <c r="F2389" s="15" t="str">
        <f>IF(ISBLANK(Raw_Data!F2389),AVERAGE(Raw_Data!F$2:F$5002),Raw_Data!F2389)</f>
        <v>19524.86</v>
      </c>
      <c r="G2389" s="14" t="str">
        <f>IF(ISBLANK(Raw_Data!G2389),AVERAGE(Raw_Data!G$2:G$5002),Raw_Data!G2389)</f>
        <v>15471.61</v>
      </c>
      <c r="H2389" s="15" t="str">
        <f t="shared" si="1"/>
        <v>120661.00</v>
      </c>
      <c r="I2389" s="14" t="str">
        <f t="shared" si="2"/>
        <v>105189.00</v>
      </c>
      <c r="J2389" s="16" t="str">
        <f>TEXT(Raw_Data!J2389,"MMM-YYY")</f>
        <v>Jun-2025</v>
      </c>
      <c r="K2389" s="13" t="str">
        <f>Raw_Data!K2389</f>
        <v>24</v>
      </c>
      <c r="L2389" s="17" t="str">
        <f>Raw_Data!L2389</f>
        <v>Mumbai-HO</v>
      </c>
      <c r="M2389" s="13" t="str">
        <f t="shared" si="3"/>
        <v>OK</v>
      </c>
      <c r="N2389" s="18" t="str">
        <f t="shared" si="4"/>
        <v>VALID</v>
      </c>
    </row>
    <row r="2390" ht="15.75" customHeight="1">
      <c r="A2390" s="13" t="str">
        <f>Raw_Data!A2390</f>
        <v>EMP2521</v>
      </c>
      <c r="B2390" s="13" t="str">
        <f>TRIM(CLEAN(Raw_Data!B2390))</f>
        <v>Finance</v>
      </c>
      <c r="C2390" s="18" t="s">
        <v>26</v>
      </c>
      <c r="D2390" s="14" t="str">
        <f>IF(ISBLANK(Raw_Data!D2390),AVERAGE(Raw_Data!D$2:D$5002),Raw_Data!D2390)</f>
        <v>75527.66</v>
      </c>
      <c r="E2390" s="15" t="str">
        <f>IF(ISBLANK(Raw_Data!E2390),AVERAGE(Raw_Data!E$2:E$5002),Raw_Data!E2390)</f>
        <v>25624.33</v>
      </c>
      <c r="F2390" s="15" t="str">
        <f>IF(ISBLANK(Raw_Data!F2390),AVERAGE(Raw_Data!F$2:F$5002),Raw_Data!F2390)</f>
        <v>19532.54</v>
      </c>
      <c r="G2390" s="14" t="str">
        <f>IF(ISBLANK(Raw_Data!G2390),AVERAGE(Raw_Data!G$2:G$5002),Raw_Data!G2390)</f>
        <v>15475.00</v>
      </c>
      <c r="H2390" s="15" t="str">
        <f t="shared" si="1"/>
        <v>120685.00</v>
      </c>
      <c r="I2390" s="14" t="str">
        <f t="shared" si="2"/>
        <v>105210.00</v>
      </c>
      <c r="J2390" s="16" t="str">
        <f>TEXT(Raw_Data!J2390,"MMM-YYY")</f>
        <v>Mar-2025</v>
      </c>
      <c r="K2390" s="13" t="str">
        <f>Raw_Data!K2390</f>
        <v>4</v>
      </c>
      <c r="L2390" s="17" t="str">
        <f>Raw_Data!L2390</f>
        <v>Delhi-North</v>
      </c>
      <c r="M2390" s="13" t="str">
        <f t="shared" si="3"/>
        <v>OK</v>
      </c>
      <c r="N2390" s="18" t="str">
        <f t="shared" si="4"/>
        <v>VALID</v>
      </c>
    </row>
    <row r="2391" ht="15.75" customHeight="1">
      <c r="A2391" s="13" t="str">
        <f>Raw_Data!A2391</f>
        <v>EMP2522</v>
      </c>
      <c r="B2391" s="13" t="str">
        <f>TRIM(CLEAN(Raw_Data!B2391))</f>
        <v>Sales</v>
      </c>
      <c r="C2391" s="18" t="s">
        <v>30</v>
      </c>
      <c r="D2391" s="14" t="str">
        <f>IF(ISBLANK(Raw_Data!D2391),AVERAGE(Raw_Data!D$2:D$5002),Raw_Data!D2391)</f>
        <v>75538.54</v>
      </c>
      <c r="E2391" s="15" t="str">
        <f>IF(ISBLANK(Raw_Data!E2391),AVERAGE(Raw_Data!E$2:E$5002),Raw_Data!E2391)</f>
        <v>25628.94</v>
      </c>
      <c r="F2391" s="15" t="str">
        <f>IF(ISBLANK(Raw_Data!F2391),AVERAGE(Raw_Data!F$2:F$5002),Raw_Data!F2391)</f>
        <v>19540.22</v>
      </c>
      <c r="G2391" s="14" t="str">
        <f>IF(ISBLANK(Raw_Data!G2391),AVERAGE(Raw_Data!G$2:G$5002),Raw_Data!G2391)</f>
        <v>15478.40</v>
      </c>
      <c r="H2391" s="15" t="str">
        <f t="shared" si="1"/>
        <v>120708.00</v>
      </c>
      <c r="I2391" s="14" t="str">
        <f t="shared" si="2"/>
        <v>105230.00</v>
      </c>
      <c r="J2391" s="16" t="str">
        <f>TEXT(Raw_Data!J2391,"MMM-YYY")</f>
        <v>Jul-2025</v>
      </c>
      <c r="K2391" s="13" t="str">
        <f>Raw_Data!K2391</f>
        <v>10</v>
      </c>
      <c r="L2391" s="17" t="str">
        <f>Raw_Data!L2391</f>
        <v>Bangalore-South</v>
      </c>
      <c r="M2391" s="13" t="str">
        <f t="shared" si="3"/>
        <v>OK</v>
      </c>
      <c r="N2391" s="18" t="str">
        <f t="shared" si="4"/>
        <v>VALID</v>
      </c>
    </row>
    <row r="2392" ht="15.75" customHeight="1">
      <c r="A2392" s="13" t="str">
        <f>Raw_Data!A2392</f>
        <v>EMP2523</v>
      </c>
      <c r="B2392" s="13" t="str">
        <f>TRIM(CLEAN(Raw_Data!B2392))</f>
        <v>Finance</v>
      </c>
      <c r="C2392" s="18" t="s">
        <v>30</v>
      </c>
      <c r="D2392" s="14" t="str">
        <f>IF(ISBLANK(Raw_Data!D2392),AVERAGE(Raw_Data!D$2:D$5002),Raw_Data!D2392)</f>
        <v>75549.43</v>
      </c>
      <c r="E2392" s="15" t="str">
        <f>IF(ISBLANK(Raw_Data!E2392),AVERAGE(Raw_Data!E$2:E$5002),Raw_Data!E2392)</f>
        <v>25633.56</v>
      </c>
      <c r="F2392" s="15" t="str">
        <f>IF(ISBLANK(Raw_Data!F2392),AVERAGE(Raw_Data!F$2:F$5002),Raw_Data!F2392)</f>
        <v>19547.90</v>
      </c>
      <c r="G2392" s="14" t="str">
        <f>IF(ISBLANK(Raw_Data!G2392),AVERAGE(Raw_Data!G$2:G$5002),Raw_Data!G2392)</f>
        <v>15481.80</v>
      </c>
      <c r="H2392" s="15" t="str">
        <f t="shared" si="1"/>
        <v>120731.00</v>
      </c>
      <c r="I2392" s="14" t="str">
        <f t="shared" si="2"/>
        <v>105249.00</v>
      </c>
      <c r="J2392" s="16" t="str">
        <f>TEXT(Raw_Data!J2392,"MMM-YYY")</f>
        <v>Apr-2025</v>
      </c>
      <c r="K2392" s="13" t="str">
        <f>Raw_Data!K2392</f>
        <v>20</v>
      </c>
      <c r="L2392" s="17" t="str">
        <f>Raw_Data!L2392</f>
        <v>Chennai-South</v>
      </c>
      <c r="M2392" s="13" t="str">
        <f t="shared" si="3"/>
        <v>OK</v>
      </c>
      <c r="N2392" s="18" t="str">
        <f t="shared" si="4"/>
        <v>VALID</v>
      </c>
    </row>
    <row r="2393" ht="15.75" customHeight="1">
      <c r="A2393" s="13" t="str">
        <f>Raw_Data!A2393</f>
        <v>EMP2524</v>
      </c>
      <c r="B2393" s="13" t="str">
        <f>TRIM(CLEAN(Raw_Data!B2393))</f>
        <v>IT</v>
      </c>
      <c r="C2393" s="18" t="s">
        <v>18</v>
      </c>
      <c r="D2393" s="14" t="str">
        <f>IF(ISBLANK(Raw_Data!D2393),AVERAGE(Raw_Data!D$2:D$5002),Raw_Data!D2393)</f>
        <v>75560.31</v>
      </c>
      <c r="E2393" s="15" t="str">
        <f>IF(ISBLANK(Raw_Data!E2393),AVERAGE(Raw_Data!E$2:E$5002),Raw_Data!E2393)</f>
        <v>25638.17</v>
      </c>
      <c r="F2393" s="15" t="str">
        <f>IF(ISBLANK(Raw_Data!F2393),AVERAGE(Raw_Data!F$2:F$5002),Raw_Data!F2393)</f>
        <v>19555.58</v>
      </c>
      <c r="G2393" s="14" t="str">
        <f>IF(ISBLANK(Raw_Data!G2393),AVERAGE(Raw_Data!G$2:G$5002),Raw_Data!G2393)</f>
        <v>15485.20</v>
      </c>
      <c r="H2393" s="15" t="str">
        <f t="shared" si="1"/>
        <v>120754.00</v>
      </c>
      <c r="I2393" s="14" t="str">
        <f t="shared" si="2"/>
        <v>105269.00</v>
      </c>
      <c r="J2393" s="16" t="str">
        <f>TEXT(Raw_Data!J2393,"MMM-YYY")</f>
        <v>Feb-2025</v>
      </c>
      <c r="K2393" s="13" t="str">
        <f>Raw_Data!K2393</f>
        <v>23</v>
      </c>
      <c r="L2393" s="17" t="str">
        <f>Raw_Data!L2393</f>
        <v>Kolkata-East</v>
      </c>
      <c r="M2393" s="13" t="str">
        <f t="shared" si="3"/>
        <v>OK</v>
      </c>
      <c r="N2393" s="18" t="str">
        <f t="shared" si="4"/>
        <v>VALID</v>
      </c>
    </row>
    <row r="2394" ht="15.75" customHeight="1">
      <c r="A2394" s="13" t="str">
        <f>Raw_Data!A2394</f>
        <v>EMP2525</v>
      </c>
      <c r="B2394" s="13" t="str">
        <f>TRIM(CLEAN(Raw_Data!B2394))</f>
        <v>Marketing</v>
      </c>
      <c r="C2394" s="18" t="s">
        <v>26</v>
      </c>
      <c r="D2394" s="14" t="str">
        <f>IF(ISBLANK(Raw_Data!D2394),AVERAGE(Raw_Data!D$2:D$5002),Raw_Data!D2394)</f>
        <v>75571.19</v>
      </c>
      <c r="E2394" s="15" t="str">
        <f>IF(ISBLANK(Raw_Data!E2394),AVERAGE(Raw_Data!E$2:E$5002),Raw_Data!E2394)</f>
        <v>25642.79</v>
      </c>
      <c r="F2394" s="15" t="str">
        <f>IF(ISBLANK(Raw_Data!F2394),AVERAGE(Raw_Data!F$2:F$5002),Raw_Data!F2394)</f>
        <v>19563.26</v>
      </c>
      <c r="G2394" s="14" t="str">
        <f>IF(ISBLANK(Raw_Data!G2394),AVERAGE(Raw_Data!G$2:G$5002),Raw_Data!G2394)</f>
        <v>15488.59</v>
      </c>
      <c r="H2394" s="15" t="str">
        <f t="shared" si="1"/>
        <v>120777.00</v>
      </c>
      <c r="I2394" s="14" t="str">
        <f t="shared" si="2"/>
        <v>105288.00</v>
      </c>
      <c r="J2394" s="16" t="str">
        <f>TEXT(Raw_Data!J2394,"MMM-YYY")</f>
        <v>Jun-2025</v>
      </c>
      <c r="K2394" s="13" t="str">
        <f>Raw_Data!K2394</f>
        <v>6</v>
      </c>
      <c r="L2394" s="17" t="str">
        <f>Raw_Data!L2394</f>
        <v>Pune-West</v>
      </c>
      <c r="M2394" s="13" t="str">
        <f t="shared" si="3"/>
        <v>OK</v>
      </c>
      <c r="N2394" s="18" t="str">
        <f t="shared" si="4"/>
        <v>VALID</v>
      </c>
    </row>
    <row r="2395" ht="15.75" customHeight="1">
      <c r="A2395" s="13" t="str">
        <f>Raw_Data!A2395</f>
        <v>EMP2526</v>
      </c>
      <c r="B2395" s="13" t="str">
        <f>TRIM(CLEAN(Raw_Data!B2395))</f>
        <v>HR</v>
      </c>
      <c r="C2395" s="18" t="s">
        <v>33</v>
      </c>
      <c r="D2395" s="14" t="str">
        <f>IF(ISBLANK(Raw_Data!D2395),AVERAGE(Raw_Data!D$2:D$5002),Raw_Data!D2395)</f>
        <v>75582.08</v>
      </c>
      <c r="E2395" s="15" t="str">
        <f>IF(ISBLANK(Raw_Data!E2395),AVERAGE(Raw_Data!E$2:E$5002),Raw_Data!E2395)</f>
        <v>25647.40</v>
      </c>
      <c r="F2395" s="15" t="str">
        <f>IF(ISBLANK(Raw_Data!F2395),AVERAGE(Raw_Data!F$2:F$5002),Raw_Data!F2395)</f>
        <v>19570.94</v>
      </c>
      <c r="G2395" s="14" t="str">
        <f>IF(ISBLANK(Raw_Data!G2395),AVERAGE(Raw_Data!G$2:G$5002),Raw_Data!G2395)</f>
        <v>15491.99</v>
      </c>
      <c r="H2395" s="15" t="str">
        <f t="shared" si="1"/>
        <v>120800.00</v>
      </c>
      <c r="I2395" s="14" t="str">
        <f t="shared" si="2"/>
        <v>105308.00</v>
      </c>
      <c r="J2395" s="16" t="str">
        <f>TEXT(Raw_Data!J2395,"MMM-YYY")</f>
        <v>Aug-2025</v>
      </c>
      <c r="K2395" s="13" t="str">
        <f>Raw_Data!K2395</f>
        <v>8</v>
      </c>
      <c r="L2395" s="17" t="str">
        <f>Raw_Data!L2395</f>
        <v>Hyderabad-South</v>
      </c>
      <c r="M2395" s="13" t="str">
        <f t="shared" si="3"/>
        <v>OK</v>
      </c>
      <c r="N2395" s="18" t="str">
        <f t="shared" si="4"/>
        <v>VALID</v>
      </c>
    </row>
    <row r="2396" ht="15.75" customHeight="1">
      <c r="A2396" s="13" t="str">
        <f>Raw_Data!A2396</f>
        <v>EMP2527</v>
      </c>
      <c r="B2396" s="13" t="str">
        <f>TRIM(CLEAN(Raw_Data!B2396))</f>
        <v>Customer Support</v>
      </c>
      <c r="C2396" s="18" t="s">
        <v>26</v>
      </c>
      <c r="D2396" s="14" t="str">
        <f>IF(ISBLANK(Raw_Data!D2396),AVERAGE(Raw_Data!D$2:D$5002),Raw_Data!D2396)</f>
        <v>71831.17</v>
      </c>
      <c r="E2396" s="15" t="str">
        <f>IF(ISBLANK(Raw_Data!E2396),AVERAGE(Raw_Data!E$2:E$5002),Raw_Data!E2396)</f>
        <v>25652.02</v>
      </c>
      <c r="F2396" s="15" t="str">
        <f>IF(ISBLANK(Raw_Data!F2396),AVERAGE(Raw_Data!F$2:F$5002),Raw_Data!F2396)</f>
        <v>19578.62</v>
      </c>
      <c r="G2396" s="14" t="str">
        <f>IF(ISBLANK(Raw_Data!G2396),AVERAGE(Raw_Data!G$2:G$5002),Raw_Data!G2396)</f>
        <v>15495.39</v>
      </c>
      <c r="H2396" s="15" t="str">
        <f t="shared" si="1"/>
        <v>117062.00</v>
      </c>
      <c r="I2396" s="14" t="str">
        <f t="shared" si="2"/>
        <v>101567.00</v>
      </c>
      <c r="J2396" s="16" t="str">
        <f>TEXT(Raw_Data!J2396,"MMM-YYY")</f>
        <v>Dec-2025</v>
      </c>
      <c r="K2396" s="13" t="str">
        <f>Raw_Data!K2396</f>
        <v>18</v>
      </c>
      <c r="L2396" s="17" t="str">
        <f>Raw_Data!L2396</f>
        <v>Chandigarh-North</v>
      </c>
      <c r="M2396" s="13" t="str">
        <f t="shared" si="3"/>
        <v>OK</v>
      </c>
      <c r="N2396" s="18" t="str">
        <f t="shared" si="4"/>
        <v>VALID</v>
      </c>
    </row>
    <row r="2397" ht="15.75" customHeight="1">
      <c r="A2397" s="13" t="str">
        <f>Raw_Data!A2397</f>
        <v>EMP2528</v>
      </c>
      <c r="B2397" s="13" t="str">
        <f>TRIM(CLEAN(Raw_Data!B2397))</f>
        <v>HR</v>
      </c>
      <c r="C2397" s="18" t="s">
        <v>37</v>
      </c>
      <c r="D2397" s="14" t="str">
        <f>IF(ISBLANK(Raw_Data!D2397),AVERAGE(Raw_Data!D$2:D$5002),Raw_Data!D2397)</f>
        <v>75603.84</v>
      </c>
      <c r="E2397" s="15" t="str">
        <f>IF(ISBLANK(Raw_Data!E2397),AVERAGE(Raw_Data!E$2:E$5002),Raw_Data!E2397)</f>
        <v>25656.63</v>
      </c>
      <c r="F2397" s="15" t="str">
        <f>IF(ISBLANK(Raw_Data!F2397),AVERAGE(Raw_Data!F$2:F$5002),Raw_Data!F2397)</f>
        <v>19586.30</v>
      </c>
      <c r="G2397" s="14" t="str">
        <f>IF(ISBLANK(Raw_Data!G2397),AVERAGE(Raw_Data!G$2:G$5002),Raw_Data!G2397)</f>
        <v>15498.79</v>
      </c>
      <c r="H2397" s="15" t="str">
        <f t="shared" si="1"/>
        <v>120847.00</v>
      </c>
      <c r="I2397" s="14" t="str">
        <f t="shared" si="2"/>
        <v>105348.00</v>
      </c>
      <c r="J2397" s="16" t="str">
        <f>TEXT(Raw_Data!J2397,"MMM-YYY")</f>
        <v>Oct-2025</v>
      </c>
      <c r="K2397" s="13" t="str">
        <f>Raw_Data!K2397</f>
        <v>2</v>
      </c>
      <c r="L2397" s="17" t="str">
        <f>Raw_Data!L2397</f>
        <v>Ahmedabad-West</v>
      </c>
      <c r="M2397" s="13" t="str">
        <f t="shared" si="3"/>
        <v>OK</v>
      </c>
      <c r="N2397" s="18" t="str">
        <f t="shared" si="4"/>
        <v>VALID</v>
      </c>
    </row>
    <row r="2398" ht="15.75" customHeight="1">
      <c r="A2398" s="13" t="str">
        <f>Raw_Data!A2398</f>
        <v>EMP2529</v>
      </c>
      <c r="B2398" s="13" t="str">
        <f>TRIM(CLEAN(Raw_Data!B2398))</f>
        <v>HR</v>
      </c>
      <c r="C2398" s="18" t="s">
        <v>37</v>
      </c>
      <c r="D2398" s="14" t="str">
        <f>IF(ISBLANK(Raw_Data!D2398),AVERAGE(Raw_Data!D$2:D$5002),Raw_Data!D2398)</f>
        <v>75614.73</v>
      </c>
      <c r="E2398" s="15" t="str">
        <f>IF(ISBLANK(Raw_Data!E2398),AVERAGE(Raw_Data!E$2:E$5002),Raw_Data!E2398)</f>
        <v>25661.25</v>
      </c>
      <c r="F2398" s="15" t="str">
        <f>IF(ISBLANK(Raw_Data!F2398),AVERAGE(Raw_Data!F$2:F$5002),Raw_Data!F2398)</f>
        <v>19593.98</v>
      </c>
      <c r="G2398" s="14" t="str">
        <f>IF(ISBLANK(Raw_Data!G2398),AVERAGE(Raw_Data!G$2:G$5002),Raw_Data!G2398)</f>
        <v>15502.18</v>
      </c>
      <c r="H2398" s="15" t="str">
        <f t="shared" si="1"/>
        <v>120870.00</v>
      </c>
      <c r="I2398" s="14" t="str">
        <f t="shared" si="2"/>
        <v>105368.00</v>
      </c>
      <c r="J2398" s="16" t="str">
        <f>TEXT(Raw_Data!J2398,"MMM-YYY")</f>
        <v>Oct-2025</v>
      </c>
      <c r="K2398" s="13" t="str">
        <f>Raw_Data!K2398</f>
        <v>23</v>
      </c>
      <c r="L2398" s="17" t="str">
        <f>Raw_Data!L2398</f>
        <v>Jaipur-North</v>
      </c>
      <c r="M2398" s="13" t="str">
        <f t="shared" si="3"/>
        <v>OK</v>
      </c>
      <c r="N2398" s="18" t="str">
        <f t="shared" si="4"/>
        <v>VALID</v>
      </c>
    </row>
    <row r="2399" ht="15.75" customHeight="1">
      <c r="A2399" s="13" t="str">
        <f>Raw_Data!A2399</f>
        <v>EMP2530</v>
      </c>
      <c r="B2399" s="13" t="str">
        <f>TRIM(CLEAN(Raw_Data!B2399))</f>
        <v>Finance</v>
      </c>
      <c r="C2399" s="18" t="s">
        <v>37</v>
      </c>
      <c r="D2399" s="14" t="str">
        <f>IF(ISBLANK(Raw_Data!D2399),AVERAGE(Raw_Data!D$2:D$5002),Raw_Data!D2399)</f>
        <v>75625.61</v>
      </c>
      <c r="E2399" s="15" t="str">
        <f>IF(ISBLANK(Raw_Data!E2399),AVERAGE(Raw_Data!E$2:E$5002),Raw_Data!E2399)</f>
        <v>25665.86</v>
      </c>
      <c r="F2399" s="15" t="str">
        <f>IF(ISBLANK(Raw_Data!F2399),AVERAGE(Raw_Data!F$2:F$5002),Raw_Data!F2399)</f>
        <v>19601.66</v>
      </c>
      <c r="G2399" s="14" t="str">
        <f>IF(ISBLANK(Raw_Data!G2399),AVERAGE(Raw_Data!G$2:G$5002),Raw_Data!G2399)</f>
        <v>15505.58</v>
      </c>
      <c r="H2399" s="15" t="str">
        <f t="shared" si="1"/>
        <v>120893.00</v>
      </c>
      <c r="I2399" s="14" t="str">
        <f t="shared" si="2"/>
        <v>105387.00</v>
      </c>
      <c r="J2399" s="16" t="str">
        <f>TEXT(Raw_Data!J2399,"MMM-YYY")</f>
        <v>Aug-2025</v>
      </c>
      <c r="K2399" s="13" t="str">
        <f>Raw_Data!K2399</f>
        <v>22</v>
      </c>
      <c r="L2399" s="17" t="str">
        <f>Raw_Data!L2399</f>
        <v>Mumbai-HO</v>
      </c>
      <c r="M2399" s="13" t="str">
        <f t="shared" si="3"/>
        <v>OK</v>
      </c>
      <c r="N2399" s="18" t="str">
        <f t="shared" si="4"/>
        <v>VALID</v>
      </c>
    </row>
    <row r="2400" ht="15.75" customHeight="1">
      <c r="A2400" s="13" t="str">
        <f>Raw_Data!A2400</f>
        <v>EMP2531</v>
      </c>
      <c r="B2400" s="13" t="str">
        <f>TRIM(CLEAN(Raw_Data!B2400))</f>
        <v>Customer Support</v>
      </c>
      <c r="C2400" s="18" t="s">
        <v>33</v>
      </c>
      <c r="D2400" s="14" t="str">
        <f>IF(ISBLANK(Raw_Data!D2400),AVERAGE(Raw_Data!D$2:D$5002),Raw_Data!D2400)</f>
        <v>75636.49</v>
      </c>
      <c r="E2400" s="15" t="str">
        <f>IF(ISBLANK(Raw_Data!E2400),AVERAGE(Raw_Data!E$2:E$5002),Raw_Data!E2400)</f>
        <v>25670.48</v>
      </c>
      <c r="F2400" s="15" t="str">
        <f>IF(ISBLANK(Raw_Data!F2400),AVERAGE(Raw_Data!F$2:F$5002),Raw_Data!F2400)</f>
        <v>19609.34</v>
      </c>
      <c r="G2400" s="14" t="str">
        <f>IF(ISBLANK(Raw_Data!G2400),AVERAGE(Raw_Data!G$2:G$5002),Raw_Data!G2400)</f>
        <v>15508.98</v>
      </c>
      <c r="H2400" s="15" t="str">
        <f t="shared" si="1"/>
        <v>120916.00</v>
      </c>
      <c r="I2400" s="14" t="str">
        <f t="shared" si="2"/>
        <v>105407.00</v>
      </c>
      <c r="J2400" s="16" t="str">
        <f>TEXT(Raw_Data!J2400,"MMM-YYY")</f>
        <v>Jan-2025</v>
      </c>
      <c r="K2400" s="13" t="str">
        <f>Raw_Data!K2400</f>
        <v>19</v>
      </c>
      <c r="L2400" s="17" t="str">
        <f>Raw_Data!L2400</f>
        <v>Delhi-North</v>
      </c>
      <c r="M2400" s="13" t="str">
        <f t="shared" si="3"/>
        <v>OK</v>
      </c>
      <c r="N2400" s="18" t="str">
        <f t="shared" si="4"/>
        <v>VALID</v>
      </c>
    </row>
    <row r="2401" ht="15.75" customHeight="1">
      <c r="A2401" s="13" t="str">
        <f>Raw_Data!A2401</f>
        <v>EMP2532</v>
      </c>
      <c r="B2401" s="13" t="str">
        <f>TRIM(CLEAN(Raw_Data!B2401))</f>
        <v>IT</v>
      </c>
      <c r="C2401" s="18" t="s">
        <v>54</v>
      </c>
      <c r="D2401" s="14" t="str">
        <f>IF(ISBLANK(Raw_Data!D2401),AVERAGE(Raw_Data!D$2:D$5002),Raw_Data!D2401)</f>
        <v>71831.17</v>
      </c>
      <c r="E2401" s="15" t="str">
        <f>IF(ISBLANK(Raw_Data!E2401),AVERAGE(Raw_Data!E$2:E$5002),Raw_Data!E2401)</f>
        <v>25675.09</v>
      </c>
      <c r="F2401" s="15" t="str">
        <f>IF(ISBLANK(Raw_Data!F2401),AVERAGE(Raw_Data!F$2:F$5002),Raw_Data!F2401)</f>
        <v>19617.02</v>
      </c>
      <c r="G2401" s="14" t="str">
        <f>IF(ISBLANK(Raw_Data!G2401),AVERAGE(Raw_Data!G$2:G$5002),Raw_Data!G2401)</f>
        <v>15512.38</v>
      </c>
      <c r="H2401" s="15" t="str">
        <f t="shared" si="1"/>
        <v>117123.00</v>
      </c>
      <c r="I2401" s="14" t="str">
        <f t="shared" si="2"/>
        <v>101611.00</v>
      </c>
      <c r="J2401" s="16" t="str">
        <f>TEXT(Raw_Data!J2401,"MMM-YYY")</f>
        <v>May-2025</v>
      </c>
      <c r="K2401" s="13" t="str">
        <f>Raw_Data!K2401</f>
        <v>25</v>
      </c>
      <c r="L2401" s="17" t="str">
        <f>Raw_Data!L2401</f>
        <v>Bangalore-South</v>
      </c>
      <c r="M2401" s="13" t="str">
        <f t="shared" si="3"/>
        <v>OK</v>
      </c>
      <c r="N2401" s="18" t="str">
        <f t="shared" si="4"/>
        <v>VALID</v>
      </c>
    </row>
    <row r="2402" ht="15.75" customHeight="1">
      <c r="A2402" s="13" t="str">
        <f>Raw_Data!A2402</f>
        <v>EMP2533</v>
      </c>
      <c r="B2402" s="13" t="str">
        <f>TRIM(CLEAN(Raw_Data!B2402))</f>
        <v>Finance</v>
      </c>
      <c r="C2402" s="18" t="s">
        <v>54</v>
      </c>
      <c r="D2402" s="14" t="str">
        <f>IF(ISBLANK(Raw_Data!D2402),AVERAGE(Raw_Data!D$2:D$5002),Raw_Data!D2402)</f>
        <v>75658.26</v>
      </c>
      <c r="E2402" s="15" t="str">
        <f>IF(ISBLANK(Raw_Data!E2402),AVERAGE(Raw_Data!E$2:E$5002),Raw_Data!E2402)</f>
        <v>25679.71</v>
      </c>
      <c r="F2402" s="15" t="str">
        <f>IF(ISBLANK(Raw_Data!F2402),AVERAGE(Raw_Data!F$2:F$5002),Raw_Data!F2402)</f>
        <v>19624.70</v>
      </c>
      <c r="G2402" s="14" t="str">
        <f>IF(ISBLANK(Raw_Data!G2402),AVERAGE(Raw_Data!G$2:G$5002),Raw_Data!G2402)</f>
        <v>15515.77</v>
      </c>
      <c r="H2402" s="15" t="str">
        <f t="shared" si="1"/>
        <v>120963.00</v>
      </c>
      <c r="I2402" s="14" t="str">
        <f t="shared" si="2"/>
        <v>105447.00</v>
      </c>
      <c r="J2402" s="16" t="str">
        <f>TEXT(Raw_Data!J2402,"MMM-YYY")</f>
        <v>Jan-2025</v>
      </c>
      <c r="K2402" s="13" t="str">
        <f>Raw_Data!K2402</f>
        <v>17</v>
      </c>
      <c r="L2402" s="17" t="str">
        <f>Raw_Data!L2402</f>
        <v>Chennai-South</v>
      </c>
      <c r="M2402" s="13" t="str">
        <f t="shared" si="3"/>
        <v>OK</v>
      </c>
      <c r="N2402" s="18" t="str">
        <f t="shared" si="4"/>
        <v>VALID</v>
      </c>
    </row>
    <row r="2403" ht="15.75" customHeight="1">
      <c r="A2403" s="13" t="str">
        <f>Raw_Data!A2403</f>
        <v>EMP2534</v>
      </c>
      <c r="B2403" s="13" t="str">
        <f>TRIM(CLEAN(Raw_Data!B2403))</f>
        <v>Marketing</v>
      </c>
      <c r="C2403" s="18" t="s">
        <v>14</v>
      </c>
      <c r="D2403" s="14" t="str">
        <f>IF(ISBLANK(Raw_Data!D2403),AVERAGE(Raw_Data!D$2:D$5002),Raw_Data!D2403)</f>
        <v>75669.14</v>
      </c>
      <c r="E2403" s="15" t="str">
        <f>IF(ISBLANK(Raw_Data!E2403),AVERAGE(Raw_Data!E$2:E$5002),Raw_Data!E2403)</f>
        <v>25684.32</v>
      </c>
      <c r="F2403" s="15" t="str">
        <f>IF(ISBLANK(Raw_Data!F2403),AVERAGE(Raw_Data!F$2:F$5002),Raw_Data!F2403)</f>
        <v>19632.38</v>
      </c>
      <c r="G2403" s="14" t="str">
        <f>IF(ISBLANK(Raw_Data!G2403),AVERAGE(Raw_Data!G$2:G$5002),Raw_Data!G2403)</f>
        <v>15519.17</v>
      </c>
      <c r="H2403" s="15" t="str">
        <f t="shared" si="1"/>
        <v>120986.00</v>
      </c>
      <c r="I2403" s="14" t="str">
        <f t="shared" si="2"/>
        <v>105467.00</v>
      </c>
      <c r="J2403" s="16" t="str">
        <f>TEXT(Raw_Data!J2403,"MMM-YYY")</f>
        <v>Apr-2025</v>
      </c>
      <c r="K2403" s="13" t="str">
        <f>Raw_Data!K2403</f>
        <v>22</v>
      </c>
      <c r="L2403" s="17" t="str">
        <f>Raw_Data!L2403</f>
        <v>Kolkata-East</v>
      </c>
      <c r="M2403" s="13" t="str">
        <f t="shared" si="3"/>
        <v>OK</v>
      </c>
      <c r="N2403" s="18" t="str">
        <f t="shared" si="4"/>
        <v>VALID</v>
      </c>
    </row>
    <row r="2404" ht="15.75" customHeight="1">
      <c r="A2404" s="13" t="str">
        <f>Raw_Data!A2404</f>
        <v>EMP2535</v>
      </c>
      <c r="B2404" s="13" t="str">
        <f>TRIM(CLEAN(Raw_Data!B2404))</f>
        <v>IT</v>
      </c>
      <c r="C2404" s="18" t="s">
        <v>14</v>
      </c>
      <c r="D2404" s="14" t="str">
        <f>IF(ISBLANK(Raw_Data!D2404),AVERAGE(Raw_Data!D$2:D$5002),Raw_Data!D2404)</f>
        <v>75680.02</v>
      </c>
      <c r="E2404" s="15" t="str">
        <f>IF(ISBLANK(Raw_Data!E2404),AVERAGE(Raw_Data!E$2:E$5002),Raw_Data!E2404)</f>
        <v>25688.94</v>
      </c>
      <c r="F2404" s="15" t="str">
        <f>IF(ISBLANK(Raw_Data!F2404),AVERAGE(Raw_Data!F$2:F$5002),Raw_Data!F2404)</f>
        <v>19640.06</v>
      </c>
      <c r="G2404" s="14" t="str">
        <f>IF(ISBLANK(Raw_Data!G2404),AVERAGE(Raw_Data!G$2:G$5002),Raw_Data!G2404)</f>
        <v>15522.57</v>
      </c>
      <c r="H2404" s="15" t="str">
        <f t="shared" si="1"/>
        <v>121009.00</v>
      </c>
      <c r="I2404" s="14" t="str">
        <f t="shared" si="2"/>
        <v>105486.00</v>
      </c>
      <c r="J2404" s="16" t="str">
        <f>TEXT(Raw_Data!J2404,"MMM-YYY")</f>
        <v>Feb-2025</v>
      </c>
      <c r="K2404" s="13" t="str">
        <f>Raw_Data!K2404</f>
        <v>8</v>
      </c>
      <c r="L2404" s="17" t="str">
        <f>Raw_Data!L2404</f>
        <v>Pune-West</v>
      </c>
      <c r="M2404" s="13" t="str">
        <f t="shared" si="3"/>
        <v>OK</v>
      </c>
      <c r="N2404" s="18" t="str">
        <f t="shared" si="4"/>
        <v>VALID</v>
      </c>
    </row>
    <row r="2405" ht="15.75" customHeight="1">
      <c r="A2405" s="13" t="str">
        <f>Raw_Data!A2405</f>
        <v>EMP2536</v>
      </c>
      <c r="B2405" s="13" t="str">
        <f>TRIM(CLEAN(Raw_Data!B2405))</f>
        <v>Operations</v>
      </c>
      <c r="C2405" s="18" t="s">
        <v>14</v>
      </c>
      <c r="D2405" s="14" t="str">
        <f>IF(ISBLANK(Raw_Data!D2405),AVERAGE(Raw_Data!D$2:D$5002),Raw_Data!D2405)</f>
        <v>75690.91</v>
      </c>
      <c r="E2405" s="15" t="str">
        <f>IF(ISBLANK(Raw_Data!E2405),AVERAGE(Raw_Data!E$2:E$5002),Raw_Data!E2405)</f>
        <v>25693.55</v>
      </c>
      <c r="F2405" s="15" t="str">
        <f>IF(ISBLANK(Raw_Data!F2405),AVERAGE(Raw_Data!F$2:F$5002),Raw_Data!F2405)</f>
        <v>19647.74</v>
      </c>
      <c r="G2405" s="14" t="str">
        <f>IF(ISBLANK(Raw_Data!G2405),AVERAGE(Raw_Data!G$2:G$5002),Raw_Data!G2405)</f>
        <v>15525.97</v>
      </c>
      <c r="H2405" s="15" t="str">
        <f t="shared" si="1"/>
        <v>121032.00</v>
      </c>
      <c r="I2405" s="14" t="str">
        <f t="shared" si="2"/>
        <v>105506.00</v>
      </c>
      <c r="J2405" s="16" t="str">
        <f>TEXT(Raw_Data!J2405,"MMM-YYY")</f>
        <v>Jun-2025</v>
      </c>
      <c r="K2405" s="13" t="str">
        <f>Raw_Data!K2405</f>
        <v>2</v>
      </c>
      <c r="L2405" s="17" t="str">
        <f>Raw_Data!L2405</f>
        <v>Hyderabad-South</v>
      </c>
      <c r="M2405" s="13" t="str">
        <f t="shared" si="3"/>
        <v>OK</v>
      </c>
      <c r="N2405" s="18" t="str">
        <f t="shared" si="4"/>
        <v>VALID</v>
      </c>
    </row>
    <row r="2406" ht="15.75" customHeight="1">
      <c r="A2406" s="13" t="str">
        <f>Raw_Data!A2406</f>
        <v>EMP2537</v>
      </c>
      <c r="B2406" s="13" t="str">
        <f>TRIM(CLEAN(Raw_Data!B2406))</f>
        <v>Sales</v>
      </c>
      <c r="C2406" s="18" t="s">
        <v>37</v>
      </c>
      <c r="D2406" s="14" t="str">
        <f>IF(ISBLANK(Raw_Data!D2406),AVERAGE(Raw_Data!D$2:D$5002),Raw_Data!D2406)</f>
        <v>75701.79</v>
      </c>
      <c r="E2406" s="15" t="str">
        <f>IF(ISBLANK(Raw_Data!E2406),AVERAGE(Raw_Data!E$2:E$5002),Raw_Data!E2406)</f>
        <v>25698.16</v>
      </c>
      <c r="F2406" s="15" t="str">
        <f>IF(ISBLANK(Raw_Data!F2406),AVERAGE(Raw_Data!F$2:F$5002),Raw_Data!F2406)</f>
        <v>19655.42</v>
      </c>
      <c r="G2406" s="14" t="str">
        <f>IF(ISBLANK(Raw_Data!G2406),AVERAGE(Raw_Data!G$2:G$5002),Raw_Data!G2406)</f>
        <v>15529.36</v>
      </c>
      <c r="H2406" s="15" t="str">
        <f t="shared" si="1"/>
        <v>121055.00</v>
      </c>
      <c r="I2406" s="14" t="str">
        <f t="shared" si="2"/>
        <v>105526.00</v>
      </c>
      <c r="J2406" s="16" t="str">
        <f>TEXT(Raw_Data!J2406,"MMM-YYY")</f>
        <v>Jun-2025</v>
      </c>
      <c r="K2406" s="13" t="str">
        <f>Raw_Data!K2406</f>
        <v>9</v>
      </c>
      <c r="L2406" s="17" t="str">
        <f>Raw_Data!L2406</f>
        <v>Chandigarh-North</v>
      </c>
      <c r="M2406" s="13" t="str">
        <f t="shared" si="3"/>
        <v>OK</v>
      </c>
      <c r="N2406" s="18" t="str">
        <f t="shared" si="4"/>
        <v>VALID</v>
      </c>
    </row>
    <row r="2407" ht="15.75" customHeight="1">
      <c r="A2407" s="13" t="str">
        <f>Raw_Data!A2407</f>
        <v>EMP2538</v>
      </c>
      <c r="B2407" s="13" t="str">
        <f>TRIM(CLEAN(Raw_Data!B2407))</f>
        <v>IT</v>
      </c>
      <c r="C2407" s="18" t="s">
        <v>54</v>
      </c>
      <c r="D2407" s="14" t="str">
        <f>IF(ISBLANK(Raw_Data!D2407),AVERAGE(Raw_Data!D$2:D$5002),Raw_Data!D2407)</f>
        <v>75712.67</v>
      </c>
      <c r="E2407" s="15" t="str">
        <f>IF(ISBLANK(Raw_Data!E2407),AVERAGE(Raw_Data!E$2:E$5002),Raw_Data!E2407)</f>
        <v>25702.78</v>
      </c>
      <c r="F2407" s="15" t="str">
        <f>IF(ISBLANK(Raw_Data!F2407),AVERAGE(Raw_Data!F$2:F$5002),Raw_Data!F2407)</f>
        <v>19663.10</v>
      </c>
      <c r="G2407" s="14" t="str">
        <f>IF(ISBLANK(Raw_Data!G2407),AVERAGE(Raw_Data!G$2:G$5002),Raw_Data!G2407)</f>
        <v>15532.76</v>
      </c>
      <c r="H2407" s="15" t="str">
        <f t="shared" si="1"/>
        <v>121079.00</v>
      </c>
      <c r="I2407" s="14" t="str">
        <f t="shared" si="2"/>
        <v>105546.00</v>
      </c>
      <c r="J2407" s="16" t="str">
        <f>TEXT(Raw_Data!J2407,"MMM-YYY")</f>
        <v>Dec-2025</v>
      </c>
      <c r="K2407" s="13" t="str">
        <f>Raw_Data!K2407</f>
        <v>3</v>
      </c>
      <c r="L2407" s="17" t="str">
        <f>Raw_Data!L2407</f>
        <v>Ahmedabad-West</v>
      </c>
      <c r="M2407" s="13" t="str">
        <f t="shared" si="3"/>
        <v>OK</v>
      </c>
      <c r="N2407" s="18" t="str">
        <f t="shared" si="4"/>
        <v>VALID</v>
      </c>
    </row>
    <row r="2408" ht="15.75" customHeight="1">
      <c r="A2408" s="13" t="str">
        <f>Raw_Data!A2408</f>
        <v>EMP2539</v>
      </c>
      <c r="B2408" s="13" t="str">
        <f>TRIM(CLEAN(Raw_Data!B2408))</f>
        <v>Marketing</v>
      </c>
      <c r="C2408" s="18" t="s">
        <v>37</v>
      </c>
      <c r="D2408" s="14" t="str">
        <f>IF(ISBLANK(Raw_Data!D2408),AVERAGE(Raw_Data!D$2:D$5002),Raw_Data!D2408)</f>
        <v>75723.55</v>
      </c>
      <c r="E2408" s="15" t="str">
        <f>IF(ISBLANK(Raw_Data!E2408),AVERAGE(Raw_Data!E$2:E$5002),Raw_Data!E2408)</f>
        <v>25707.39</v>
      </c>
      <c r="F2408" s="15" t="str">
        <f>IF(ISBLANK(Raw_Data!F2408),AVERAGE(Raw_Data!F$2:F$5002),Raw_Data!F2408)</f>
        <v>19670.78</v>
      </c>
      <c r="G2408" s="14" t="str">
        <f>IF(ISBLANK(Raw_Data!G2408),AVERAGE(Raw_Data!G$2:G$5002),Raw_Data!G2408)</f>
        <v>15536.16</v>
      </c>
      <c r="H2408" s="15" t="str">
        <f t="shared" si="1"/>
        <v>121102.00</v>
      </c>
      <c r="I2408" s="14" t="str">
        <f t="shared" si="2"/>
        <v>105566.00</v>
      </c>
      <c r="J2408" s="16" t="str">
        <f>TEXT(Raw_Data!J2408,"MMM-YYY")</f>
        <v>Mar-2025</v>
      </c>
      <c r="K2408" s="13" t="str">
        <f>Raw_Data!K2408</f>
        <v>22</v>
      </c>
      <c r="L2408" s="17" t="str">
        <f>Raw_Data!L2408</f>
        <v>Jaipur-North</v>
      </c>
      <c r="M2408" s="13" t="str">
        <f t="shared" si="3"/>
        <v>OK</v>
      </c>
      <c r="N2408" s="18" t="str">
        <f t="shared" si="4"/>
        <v>VALID</v>
      </c>
    </row>
    <row r="2409" ht="15.75" customHeight="1">
      <c r="A2409" s="13" t="str">
        <f>Raw_Data!A2409</f>
        <v>EMP2540</v>
      </c>
      <c r="B2409" s="13" t="str">
        <f>TRIM(CLEAN(Raw_Data!B2409))</f>
        <v>IT</v>
      </c>
      <c r="C2409" s="18" t="s">
        <v>14</v>
      </c>
      <c r="D2409" s="14" t="str">
        <f>IF(ISBLANK(Raw_Data!D2409),AVERAGE(Raw_Data!D$2:D$5002),Raw_Data!D2409)</f>
        <v>75734.44</v>
      </c>
      <c r="E2409" s="15" t="str">
        <f>IF(ISBLANK(Raw_Data!E2409),AVERAGE(Raw_Data!E$2:E$5002),Raw_Data!E2409)</f>
        <v>25712.01</v>
      </c>
      <c r="F2409" s="15" t="str">
        <f>IF(ISBLANK(Raw_Data!F2409),AVERAGE(Raw_Data!F$2:F$5002),Raw_Data!F2409)</f>
        <v>19678.47</v>
      </c>
      <c r="G2409" s="14" t="str">
        <f>IF(ISBLANK(Raw_Data!G2409),AVERAGE(Raw_Data!G$2:G$5002),Raw_Data!G2409)</f>
        <v>15539.56</v>
      </c>
      <c r="H2409" s="15" t="str">
        <f t="shared" si="1"/>
        <v>121125.00</v>
      </c>
      <c r="I2409" s="14" t="str">
        <f t="shared" si="2"/>
        <v>105585.00</v>
      </c>
      <c r="J2409" s="16" t="str">
        <f>TEXT(Raw_Data!J2409,"MMM-YYY")</f>
        <v>Sep-2025</v>
      </c>
      <c r="K2409" s="13" t="str">
        <f>Raw_Data!K2409</f>
        <v>4</v>
      </c>
      <c r="L2409" s="17" t="str">
        <f>Raw_Data!L2409</f>
        <v>Mumbai-HO</v>
      </c>
      <c r="M2409" s="13" t="str">
        <f t="shared" si="3"/>
        <v>OK</v>
      </c>
      <c r="N2409" s="18" t="str">
        <f t="shared" si="4"/>
        <v>VALID</v>
      </c>
    </row>
    <row r="2410" ht="15.75" customHeight="1">
      <c r="A2410" s="13" t="str">
        <f>Raw_Data!A2410</f>
        <v>EMP2541</v>
      </c>
      <c r="B2410" s="13" t="str">
        <f>TRIM(CLEAN(Raw_Data!B2410))</f>
        <v>Finance</v>
      </c>
      <c r="C2410" s="18" t="s">
        <v>33</v>
      </c>
      <c r="D2410" s="14" t="str">
        <f>IF(ISBLANK(Raw_Data!D2410),AVERAGE(Raw_Data!D$2:D$5002),Raw_Data!D2410)</f>
        <v>75745.32</v>
      </c>
      <c r="E2410" s="15" t="str">
        <f>IF(ISBLANK(Raw_Data!E2410),AVERAGE(Raw_Data!E$2:E$5002),Raw_Data!E2410)</f>
        <v>25716.62</v>
      </c>
      <c r="F2410" s="15" t="str">
        <f>IF(ISBLANK(Raw_Data!F2410),AVERAGE(Raw_Data!F$2:F$5002),Raw_Data!F2410)</f>
        <v>19686.15</v>
      </c>
      <c r="G2410" s="14" t="str">
        <f>IF(ISBLANK(Raw_Data!G2410),AVERAGE(Raw_Data!G$2:G$5002),Raw_Data!G2410)</f>
        <v>15542.96</v>
      </c>
      <c r="H2410" s="15" t="str">
        <f t="shared" si="1"/>
        <v>121148.00</v>
      </c>
      <c r="I2410" s="14" t="str">
        <f t="shared" si="2"/>
        <v>105605.00</v>
      </c>
      <c r="J2410" s="16" t="str">
        <f>TEXT(Raw_Data!J2410,"MMM-YYY")</f>
        <v>Jun-2025</v>
      </c>
      <c r="K2410" s="13" t="str">
        <f>Raw_Data!K2410</f>
        <v>16</v>
      </c>
      <c r="L2410" s="17" t="str">
        <f>Raw_Data!L2410</f>
        <v>Delhi-North</v>
      </c>
      <c r="M2410" s="13" t="str">
        <f t="shared" si="3"/>
        <v>OK</v>
      </c>
      <c r="N2410" s="18" t="str">
        <f t="shared" si="4"/>
        <v>VALID</v>
      </c>
    </row>
    <row r="2411" ht="15.75" customHeight="1">
      <c r="A2411" s="13" t="str">
        <f>Raw_Data!A2411</f>
        <v>EMP2542</v>
      </c>
      <c r="B2411" s="13" t="str">
        <f>TRIM(CLEAN(Raw_Data!B2411))</f>
        <v>Finance</v>
      </c>
      <c r="C2411" s="18" t="s">
        <v>37</v>
      </c>
      <c r="D2411" s="14" t="str">
        <f>IF(ISBLANK(Raw_Data!D2411),AVERAGE(Raw_Data!D$2:D$5002),Raw_Data!D2411)</f>
        <v>75756.20</v>
      </c>
      <c r="E2411" s="15" t="str">
        <f>IF(ISBLANK(Raw_Data!E2411),AVERAGE(Raw_Data!E$2:E$5002),Raw_Data!E2411)</f>
        <v>25721.24</v>
      </c>
      <c r="F2411" s="15" t="str">
        <f>IF(ISBLANK(Raw_Data!F2411),AVERAGE(Raw_Data!F$2:F$5002),Raw_Data!F2411)</f>
        <v>19693.83</v>
      </c>
      <c r="G2411" s="14" t="str">
        <f>IF(ISBLANK(Raw_Data!G2411),AVERAGE(Raw_Data!G$2:G$5002),Raw_Data!G2411)</f>
        <v>15546.35</v>
      </c>
      <c r="H2411" s="15" t="str">
        <f t="shared" si="1"/>
        <v>121171.00</v>
      </c>
      <c r="I2411" s="14" t="str">
        <f t="shared" si="2"/>
        <v>105625.00</v>
      </c>
      <c r="J2411" s="16" t="str">
        <f>TEXT(Raw_Data!J2411,"MMM-YYY")</f>
        <v>Jan-2025</v>
      </c>
      <c r="K2411" s="13" t="str">
        <f>Raw_Data!K2411</f>
        <v>9</v>
      </c>
      <c r="L2411" s="17" t="str">
        <f>Raw_Data!L2411</f>
        <v>Bangalore-South</v>
      </c>
      <c r="M2411" s="13" t="str">
        <f t="shared" si="3"/>
        <v>OK</v>
      </c>
      <c r="N2411" s="18" t="str">
        <f t="shared" si="4"/>
        <v>VALID</v>
      </c>
    </row>
    <row r="2412" ht="15.75" customHeight="1">
      <c r="A2412" s="13" t="str">
        <f>Raw_Data!A2412</f>
        <v>EMP2543</v>
      </c>
      <c r="B2412" s="13" t="str">
        <f>TRIM(CLEAN(Raw_Data!B2412))</f>
        <v>Operations</v>
      </c>
      <c r="C2412" s="18" t="s">
        <v>26</v>
      </c>
      <c r="D2412" s="14" t="str">
        <f>IF(ISBLANK(Raw_Data!D2412),AVERAGE(Raw_Data!D$2:D$5002),Raw_Data!D2412)</f>
        <v>75767.09</v>
      </c>
      <c r="E2412" s="15" t="str">
        <f>IF(ISBLANK(Raw_Data!E2412),AVERAGE(Raw_Data!E$2:E$5002),Raw_Data!E2412)</f>
        <v>25725.85</v>
      </c>
      <c r="F2412" s="15" t="str">
        <f>IF(ISBLANK(Raw_Data!F2412),AVERAGE(Raw_Data!F$2:F$5002),Raw_Data!F2412)</f>
        <v>19701.51</v>
      </c>
      <c r="G2412" s="14" t="str">
        <f>IF(ISBLANK(Raw_Data!G2412),AVERAGE(Raw_Data!G$2:G$5002),Raw_Data!G2412)</f>
        <v>15549.75</v>
      </c>
      <c r="H2412" s="15" t="str">
        <f t="shared" si="1"/>
        <v>121194.00</v>
      </c>
      <c r="I2412" s="14" t="str">
        <f t="shared" si="2"/>
        <v>105644.00</v>
      </c>
      <c r="J2412" s="16" t="str">
        <f>TEXT(Raw_Data!J2412,"MMM-YYY")</f>
        <v>Aug-2025</v>
      </c>
      <c r="K2412" s="13" t="str">
        <f>Raw_Data!K2412</f>
        <v>13</v>
      </c>
      <c r="L2412" s="17" t="str">
        <f>Raw_Data!L2412</f>
        <v>Chennai-South</v>
      </c>
      <c r="M2412" s="13" t="str">
        <f t="shared" si="3"/>
        <v>OK</v>
      </c>
      <c r="N2412" s="18" t="str">
        <f t="shared" si="4"/>
        <v>VALID</v>
      </c>
    </row>
    <row r="2413" ht="15.75" customHeight="1">
      <c r="A2413" s="13" t="str">
        <f>Raw_Data!A2413</f>
        <v>EMP2544</v>
      </c>
      <c r="B2413" s="13" t="str">
        <f>TRIM(CLEAN(Raw_Data!B2413))</f>
        <v>Finance</v>
      </c>
      <c r="C2413" s="18" t="s">
        <v>54</v>
      </c>
      <c r="D2413" s="14" t="str">
        <f>IF(ISBLANK(Raw_Data!D2413),AVERAGE(Raw_Data!D$2:D$5002),Raw_Data!D2413)</f>
        <v>75777.97</v>
      </c>
      <c r="E2413" s="15" t="str">
        <f>IF(ISBLANK(Raw_Data!E2413),AVERAGE(Raw_Data!E$2:E$5002),Raw_Data!E2413)</f>
        <v>25730.47</v>
      </c>
      <c r="F2413" s="15" t="str">
        <f>IF(ISBLANK(Raw_Data!F2413),AVERAGE(Raw_Data!F$2:F$5002),Raw_Data!F2413)</f>
        <v>19709.19</v>
      </c>
      <c r="G2413" s="14" t="str">
        <f>IF(ISBLANK(Raw_Data!G2413),AVERAGE(Raw_Data!G$2:G$5002),Raw_Data!G2413)</f>
        <v>15553.15</v>
      </c>
      <c r="H2413" s="15" t="str">
        <f t="shared" si="1"/>
        <v>121218.00</v>
      </c>
      <c r="I2413" s="14" t="str">
        <f t="shared" si="2"/>
        <v>105665.00</v>
      </c>
      <c r="J2413" s="16" t="str">
        <f>TEXT(Raw_Data!J2413,"MMM-YYY")</f>
        <v>Jun-2025</v>
      </c>
      <c r="K2413" s="13" t="str">
        <f>Raw_Data!K2413</f>
        <v>19</v>
      </c>
      <c r="L2413" s="17" t="str">
        <f>Raw_Data!L2413</f>
        <v>Kolkata-East</v>
      </c>
      <c r="M2413" s="13" t="str">
        <f t="shared" si="3"/>
        <v>OK</v>
      </c>
      <c r="N2413" s="18" t="str">
        <f t="shared" si="4"/>
        <v>VALID</v>
      </c>
    </row>
    <row r="2414" ht="15.75" customHeight="1">
      <c r="A2414" s="13" t="str">
        <f>Raw_Data!A2414</f>
        <v>EMP2545</v>
      </c>
      <c r="B2414" s="13" t="str">
        <f>TRIM(CLEAN(Raw_Data!B2414))</f>
        <v>Operations</v>
      </c>
      <c r="C2414" s="18" t="s">
        <v>54</v>
      </c>
      <c r="D2414" s="14" t="str">
        <f>IF(ISBLANK(Raw_Data!D2414),AVERAGE(Raw_Data!D$2:D$5002),Raw_Data!D2414)</f>
        <v>75788.85</v>
      </c>
      <c r="E2414" s="15" t="str">
        <f>IF(ISBLANK(Raw_Data!E2414),AVERAGE(Raw_Data!E$2:E$5002),Raw_Data!E2414)</f>
        <v>25735.08</v>
      </c>
      <c r="F2414" s="15" t="str">
        <f>IF(ISBLANK(Raw_Data!F2414),AVERAGE(Raw_Data!F$2:F$5002),Raw_Data!F2414)</f>
        <v>19716.87</v>
      </c>
      <c r="G2414" s="14" t="str">
        <f>IF(ISBLANK(Raw_Data!G2414),AVERAGE(Raw_Data!G$2:G$5002),Raw_Data!G2414)</f>
        <v>15556.55</v>
      </c>
      <c r="H2414" s="15" t="str">
        <f t="shared" si="1"/>
        <v>121241.00</v>
      </c>
      <c r="I2414" s="14" t="str">
        <f t="shared" si="2"/>
        <v>105684.00</v>
      </c>
      <c r="J2414" s="16" t="str">
        <f>TEXT(Raw_Data!J2414,"MMM-YYY")</f>
        <v>Feb-2025</v>
      </c>
      <c r="K2414" s="13" t="str">
        <f>Raw_Data!K2414</f>
        <v>15</v>
      </c>
      <c r="L2414" s="17" t="str">
        <f>Raw_Data!L2414</f>
        <v>Pune-West</v>
      </c>
      <c r="M2414" s="13" t="str">
        <f t="shared" si="3"/>
        <v>OK</v>
      </c>
      <c r="N2414" s="18" t="str">
        <f t="shared" si="4"/>
        <v>VALID</v>
      </c>
    </row>
    <row r="2415" ht="15.75" customHeight="1">
      <c r="A2415" s="13" t="str">
        <f>Raw_Data!A2415</f>
        <v>EMP2546</v>
      </c>
      <c r="B2415" s="13" t="str">
        <f>TRIM(CLEAN(Raw_Data!B2415))</f>
        <v>HR</v>
      </c>
      <c r="C2415" s="18" t="s">
        <v>14</v>
      </c>
      <c r="D2415" s="14" t="str">
        <f>IF(ISBLANK(Raw_Data!D2415),AVERAGE(Raw_Data!D$2:D$5002),Raw_Data!D2415)</f>
        <v>75799.74</v>
      </c>
      <c r="E2415" s="15" t="str">
        <f>IF(ISBLANK(Raw_Data!E2415),AVERAGE(Raw_Data!E$2:E$5002),Raw_Data!E2415)</f>
        <v>25739.70</v>
      </c>
      <c r="F2415" s="15" t="str">
        <f>IF(ISBLANK(Raw_Data!F2415),AVERAGE(Raw_Data!F$2:F$5002),Raw_Data!F2415)</f>
        <v>19724.55</v>
      </c>
      <c r="G2415" s="14" t="str">
        <f>IF(ISBLANK(Raw_Data!G2415),AVERAGE(Raw_Data!G$2:G$5002),Raw_Data!G2415)</f>
        <v>15559.94</v>
      </c>
      <c r="H2415" s="15" t="str">
        <f t="shared" si="1"/>
        <v>121264.00</v>
      </c>
      <c r="I2415" s="14" t="str">
        <f t="shared" si="2"/>
        <v>105704.00</v>
      </c>
      <c r="J2415" s="16" t="str">
        <f>TEXT(Raw_Data!J2415,"MMM-YYY")</f>
        <v>Mar-2025</v>
      </c>
      <c r="K2415" s="13" t="str">
        <f>Raw_Data!K2415</f>
        <v>5</v>
      </c>
      <c r="L2415" s="17" t="str">
        <f>Raw_Data!L2415</f>
        <v>Hyderabad-South</v>
      </c>
      <c r="M2415" s="13" t="str">
        <f t="shared" si="3"/>
        <v>OK</v>
      </c>
      <c r="N2415" s="18" t="str">
        <f t="shared" si="4"/>
        <v>VALID</v>
      </c>
    </row>
    <row r="2416" ht="15.75" customHeight="1">
      <c r="A2416" s="13" t="str">
        <f>Raw_Data!A2416</f>
        <v>EMP2547</v>
      </c>
      <c r="B2416" s="13" t="str">
        <f>TRIM(CLEAN(Raw_Data!B2416))</f>
        <v>Finance</v>
      </c>
      <c r="C2416" s="18" t="s">
        <v>33</v>
      </c>
      <c r="D2416" s="14" t="str">
        <f>IF(ISBLANK(Raw_Data!D2416),AVERAGE(Raw_Data!D$2:D$5002),Raw_Data!D2416)</f>
        <v>75810.62</v>
      </c>
      <c r="E2416" s="15" t="str">
        <f>IF(ISBLANK(Raw_Data!E2416),AVERAGE(Raw_Data!E$2:E$5002),Raw_Data!E2416)</f>
        <v>25744.31</v>
      </c>
      <c r="F2416" s="15" t="str">
        <f>IF(ISBLANK(Raw_Data!F2416),AVERAGE(Raw_Data!F$2:F$5002),Raw_Data!F2416)</f>
        <v>19732.23</v>
      </c>
      <c r="G2416" s="14" t="str">
        <f>IF(ISBLANK(Raw_Data!G2416),AVERAGE(Raw_Data!G$2:G$5002),Raw_Data!G2416)</f>
        <v>15563.34</v>
      </c>
      <c r="H2416" s="15" t="str">
        <f t="shared" si="1"/>
        <v>121287.00</v>
      </c>
      <c r="I2416" s="14" t="str">
        <f t="shared" si="2"/>
        <v>105724.00</v>
      </c>
      <c r="J2416" s="16" t="str">
        <f>TEXT(Raw_Data!J2416,"MMM-YYY")</f>
        <v>Sep-2025</v>
      </c>
      <c r="K2416" s="13" t="str">
        <f>Raw_Data!K2416</f>
        <v>1</v>
      </c>
      <c r="L2416" s="17" t="str">
        <f>Raw_Data!L2416</f>
        <v>Chandigarh-North</v>
      </c>
      <c r="M2416" s="13" t="str">
        <f t="shared" si="3"/>
        <v>OK</v>
      </c>
      <c r="N2416" s="18" t="str">
        <f t="shared" si="4"/>
        <v>VALID</v>
      </c>
    </row>
    <row r="2417" ht="15.75" customHeight="1">
      <c r="A2417" s="13" t="str">
        <f>Raw_Data!A2417</f>
        <v>EMP2548</v>
      </c>
      <c r="B2417" s="13" t="str">
        <f>TRIM(CLEAN(Raw_Data!B2417))</f>
        <v>Marketing</v>
      </c>
      <c r="C2417" s="18" t="s">
        <v>18</v>
      </c>
      <c r="D2417" s="14" t="str">
        <f>IF(ISBLANK(Raw_Data!D2417),AVERAGE(Raw_Data!D$2:D$5002),Raw_Data!D2417)</f>
        <v>75821.50</v>
      </c>
      <c r="E2417" s="15" t="str">
        <f>IF(ISBLANK(Raw_Data!E2417),AVERAGE(Raw_Data!E$2:E$5002),Raw_Data!E2417)</f>
        <v>25748.93</v>
      </c>
      <c r="F2417" s="15" t="str">
        <f>IF(ISBLANK(Raw_Data!F2417),AVERAGE(Raw_Data!F$2:F$5002),Raw_Data!F2417)</f>
        <v>19739.91</v>
      </c>
      <c r="G2417" s="14" t="str">
        <f>IF(ISBLANK(Raw_Data!G2417),AVERAGE(Raw_Data!G$2:G$5002),Raw_Data!G2417)</f>
        <v>15566.74</v>
      </c>
      <c r="H2417" s="15" t="str">
        <f t="shared" si="1"/>
        <v>121310.00</v>
      </c>
      <c r="I2417" s="14" t="str">
        <f t="shared" si="2"/>
        <v>105743.00</v>
      </c>
      <c r="J2417" s="16" t="str">
        <f>TEXT(Raw_Data!J2417,"MMM-YYY")</f>
        <v>Sep-2025</v>
      </c>
      <c r="K2417" s="13" t="str">
        <f>Raw_Data!K2417</f>
        <v>15</v>
      </c>
      <c r="L2417" s="17" t="str">
        <f>Raw_Data!L2417</f>
        <v>Ahmedabad-West</v>
      </c>
      <c r="M2417" s="13" t="str">
        <f t="shared" si="3"/>
        <v>OK</v>
      </c>
      <c r="N2417" s="18" t="str">
        <f t="shared" si="4"/>
        <v>VALID</v>
      </c>
    </row>
    <row r="2418" ht="15.75" customHeight="1">
      <c r="A2418" s="13" t="str">
        <f>Raw_Data!A2418</f>
        <v>EMP2549</v>
      </c>
      <c r="B2418" s="13" t="str">
        <f>TRIM(CLEAN(Raw_Data!B2418))</f>
        <v>Customer Support</v>
      </c>
      <c r="C2418" s="18" t="s">
        <v>30</v>
      </c>
      <c r="D2418" s="14" t="str">
        <f>IF(ISBLANK(Raw_Data!D2418),AVERAGE(Raw_Data!D$2:D$5002),Raw_Data!D2418)</f>
        <v>75832.38</v>
      </c>
      <c r="E2418" s="15" t="str">
        <f>IF(ISBLANK(Raw_Data!E2418),AVERAGE(Raw_Data!E$2:E$5002),Raw_Data!E2418)</f>
        <v>25753.54</v>
      </c>
      <c r="F2418" s="15" t="str">
        <f>IF(ISBLANK(Raw_Data!F2418),AVERAGE(Raw_Data!F$2:F$5002),Raw_Data!F2418)</f>
        <v>19747.59</v>
      </c>
      <c r="G2418" s="14" t="str">
        <f>IF(ISBLANK(Raw_Data!G2418),AVERAGE(Raw_Data!G$2:G$5002),Raw_Data!G2418)</f>
        <v>15570.14</v>
      </c>
      <c r="H2418" s="15" t="str">
        <f t="shared" si="1"/>
        <v>121334.00</v>
      </c>
      <c r="I2418" s="14" t="str">
        <f t="shared" si="2"/>
        <v>105764.00</v>
      </c>
      <c r="J2418" s="16" t="str">
        <f>TEXT(Raw_Data!J2418,"MMM-YYY")</f>
        <v>Jul-2025</v>
      </c>
      <c r="K2418" s="13" t="str">
        <f>Raw_Data!K2418</f>
        <v>11</v>
      </c>
      <c r="L2418" s="17" t="str">
        <f>Raw_Data!L2418</f>
        <v>Jaipur-North</v>
      </c>
      <c r="M2418" s="13" t="str">
        <f t="shared" si="3"/>
        <v>OK</v>
      </c>
      <c r="N2418" s="18" t="str">
        <f t="shared" si="4"/>
        <v>VALID</v>
      </c>
    </row>
    <row r="2419" ht="15.75" customHeight="1">
      <c r="A2419" s="13" t="str">
        <f>Raw_Data!A2419</f>
        <v>EMP2550</v>
      </c>
      <c r="B2419" s="13" t="str">
        <f>TRIM(CLEAN(Raw_Data!B2419))</f>
        <v>Customer Support</v>
      </c>
      <c r="C2419" s="18" t="s">
        <v>30</v>
      </c>
      <c r="D2419" s="14" t="str">
        <f>IF(ISBLANK(Raw_Data!D2419),AVERAGE(Raw_Data!D$2:D$5002),Raw_Data!D2419)</f>
        <v>75843.27</v>
      </c>
      <c r="E2419" s="15" t="str">
        <f>IF(ISBLANK(Raw_Data!E2419),AVERAGE(Raw_Data!E$2:E$5002),Raw_Data!E2419)</f>
        <v>25758.16</v>
      </c>
      <c r="F2419" s="15" t="str">
        <f>IF(ISBLANK(Raw_Data!F2419),AVERAGE(Raw_Data!F$2:F$5002),Raw_Data!F2419)</f>
        <v>19755.27</v>
      </c>
      <c r="G2419" s="14" t="str">
        <f>IF(ISBLANK(Raw_Data!G2419),AVERAGE(Raw_Data!G$2:G$5002),Raw_Data!G2419)</f>
        <v>15573.53</v>
      </c>
      <c r="H2419" s="15" t="str">
        <f t="shared" si="1"/>
        <v>121357.00</v>
      </c>
      <c r="I2419" s="14" t="str">
        <f t="shared" si="2"/>
        <v>105783.00</v>
      </c>
      <c r="J2419" s="16" t="str">
        <f>TEXT(Raw_Data!J2419,"MMM-YYY")</f>
        <v>Apr-2025</v>
      </c>
      <c r="K2419" s="13" t="str">
        <f>Raw_Data!K2419</f>
        <v>22</v>
      </c>
      <c r="L2419" s="17" t="str">
        <f>Raw_Data!L2419</f>
        <v>Mumbai-HO</v>
      </c>
      <c r="M2419" s="13" t="str">
        <f t="shared" si="3"/>
        <v>OK</v>
      </c>
      <c r="N2419" s="18" t="str">
        <f t="shared" si="4"/>
        <v>VALID</v>
      </c>
    </row>
    <row r="2420" ht="15.75" customHeight="1">
      <c r="A2420" s="13" t="str">
        <f>Raw_Data!A2420</f>
        <v>EMP2551</v>
      </c>
      <c r="B2420" s="13" t="str">
        <f>TRIM(CLEAN(Raw_Data!B2420))</f>
        <v>Marketing</v>
      </c>
      <c r="C2420" s="18" t="s">
        <v>33</v>
      </c>
      <c r="D2420" s="14" t="str">
        <f>IF(ISBLANK(Raw_Data!D2420),AVERAGE(Raw_Data!D$2:D$5002),Raw_Data!D2420)</f>
        <v>75854.15</v>
      </c>
      <c r="E2420" s="15" t="str">
        <f>IF(ISBLANK(Raw_Data!E2420),AVERAGE(Raw_Data!E$2:E$5002),Raw_Data!E2420)</f>
        <v>25762.77</v>
      </c>
      <c r="F2420" s="15" t="str">
        <f>IF(ISBLANK(Raw_Data!F2420),AVERAGE(Raw_Data!F$2:F$5002),Raw_Data!F2420)</f>
        <v>19762.95</v>
      </c>
      <c r="G2420" s="14" t="str">
        <f>IF(ISBLANK(Raw_Data!G2420),AVERAGE(Raw_Data!G$2:G$5002),Raw_Data!G2420)</f>
        <v>15576.93</v>
      </c>
      <c r="H2420" s="15" t="str">
        <f t="shared" si="1"/>
        <v>121380.00</v>
      </c>
      <c r="I2420" s="14" t="str">
        <f t="shared" si="2"/>
        <v>105803.00</v>
      </c>
      <c r="J2420" s="16" t="str">
        <f>TEXT(Raw_Data!J2420,"MMM-YYY")</f>
        <v>Sep-2025</v>
      </c>
      <c r="K2420" s="13" t="str">
        <f>Raw_Data!K2420</f>
        <v>15</v>
      </c>
      <c r="L2420" s="17" t="str">
        <f>Raw_Data!L2420</f>
        <v>Delhi-North</v>
      </c>
      <c r="M2420" s="13" t="str">
        <f t="shared" si="3"/>
        <v>OK</v>
      </c>
      <c r="N2420" s="18" t="str">
        <f t="shared" si="4"/>
        <v>VALID</v>
      </c>
    </row>
    <row r="2421" ht="15.75" customHeight="1">
      <c r="A2421" s="13" t="str">
        <f>Raw_Data!A2421</f>
        <v>EMP2552</v>
      </c>
      <c r="B2421" s="13" t="str">
        <f>TRIM(CLEAN(Raw_Data!B2421))</f>
        <v>IT</v>
      </c>
      <c r="C2421" s="18" t="s">
        <v>14</v>
      </c>
      <c r="D2421" s="14" t="str">
        <f>IF(ISBLANK(Raw_Data!D2421),AVERAGE(Raw_Data!D$2:D$5002),Raw_Data!D2421)</f>
        <v>75865.03</v>
      </c>
      <c r="E2421" s="15" t="str">
        <f>IF(ISBLANK(Raw_Data!E2421),AVERAGE(Raw_Data!E$2:E$5002),Raw_Data!E2421)</f>
        <v>25767.39</v>
      </c>
      <c r="F2421" s="15" t="str">
        <f>IF(ISBLANK(Raw_Data!F2421),AVERAGE(Raw_Data!F$2:F$5002),Raw_Data!F2421)</f>
        <v>19770.63</v>
      </c>
      <c r="G2421" s="14" t="str">
        <f>IF(ISBLANK(Raw_Data!G2421),AVERAGE(Raw_Data!G$2:G$5002),Raw_Data!G2421)</f>
        <v>15580.33</v>
      </c>
      <c r="H2421" s="15" t="str">
        <f t="shared" si="1"/>
        <v>121403.00</v>
      </c>
      <c r="I2421" s="14" t="str">
        <f t="shared" si="2"/>
        <v>105823.00</v>
      </c>
      <c r="J2421" s="16" t="str">
        <f>TEXT(Raw_Data!J2421,"MMM-YYY")</f>
        <v>May-2025</v>
      </c>
      <c r="K2421" s="13" t="str">
        <f>Raw_Data!K2421</f>
        <v>12</v>
      </c>
      <c r="L2421" s="17" t="str">
        <f>Raw_Data!L2421</f>
        <v>Bangalore-South</v>
      </c>
      <c r="M2421" s="13" t="str">
        <f t="shared" si="3"/>
        <v>OK</v>
      </c>
      <c r="N2421" s="18" t="str">
        <f t="shared" si="4"/>
        <v>VALID</v>
      </c>
    </row>
    <row r="2422" ht="15.75" customHeight="1">
      <c r="A2422" s="13" t="str">
        <f>Raw_Data!A2422</f>
        <v>EMP2553</v>
      </c>
      <c r="B2422" s="13" t="str">
        <f>TRIM(CLEAN(Raw_Data!B2422))</f>
        <v>Sales</v>
      </c>
      <c r="C2422" s="18" t="s">
        <v>26</v>
      </c>
      <c r="D2422" s="14" t="str">
        <f>IF(ISBLANK(Raw_Data!D2422),AVERAGE(Raw_Data!D$2:D$5002),Raw_Data!D2422)</f>
        <v>75875.92</v>
      </c>
      <c r="E2422" s="15" t="str">
        <f>IF(ISBLANK(Raw_Data!E2422),AVERAGE(Raw_Data!E$2:E$5002),Raw_Data!E2422)</f>
        <v>25772.00</v>
      </c>
      <c r="F2422" s="15" t="str">
        <f>IF(ISBLANK(Raw_Data!F2422),AVERAGE(Raw_Data!F$2:F$5002),Raw_Data!F2422)</f>
        <v>19778.31</v>
      </c>
      <c r="G2422" s="14" t="str">
        <f>IF(ISBLANK(Raw_Data!G2422),AVERAGE(Raw_Data!G$2:G$5002),Raw_Data!G2422)</f>
        <v>15583.73</v>
      </c>
      <c r="H2422" s="15" t="str">
        <f t="shared" si="1"/>
        <v>121426.00</v>
      </c>
      <c r="I2422" s="14" t="str">
        <f t="shared" si="2"/>
        <v>105842.00</v>
      </c>
      <c r="J2422" s="16" t="str">
        <f>TEXT(Raw_Data!J2422,"MMM-YYY")</f>
        <v>Feb-2025</v>
      </c>
      <c r="K2422" s="13" t="str">
        <f>Raw_Data!K2422</f>
        <v>6</v>
      </c>
      <c r="L2422" s="17" t="str">
        <f>Raw_Data!L2422</f>
        <v>Chennai-South</v>
      </c>
      <c r="M2422" s="13" t="str">
        <f t="shared" si="3"/>
        <v>OK</v>
      </c>
      <c r="N2422" s="18" t="str">
        <f t="shared" si="4"/>
        <v>VALID</v>
      </c>
    </row>
    <row r="2423" ht="15.75" customHeight="1">
      <c r="A2423" s="13" t="str">
        <f>Raw_Data!A2423</f>
        <v>EMP2554</v>
      </c>
      <c r="B2423" s="13" t="str">
        <f>TRIM(CLEAN(Raw_Data!B2423))</f>
        <v>HR</v>
      </c>
      <c r="C2423" s="18" t="s">
        <v>26</v>
      </c>
      <c r="D2423" s="14" t="str">
        <f>IF(ISBLANK(Raw_Data!D2423),AVERAGE(Raw_Data!D$2:D$5002),Raw_Data!D2423)</f>
        <v>75886.80</v>
      </c>
      <c r="E2423" s="15" t="str">
        <f>IF(ISBLANK(Raw_Data!E2423),AVERAGE(Raw_Data!E$2:E$5002),Raw_Data!E2423)</f>
        <v>25776.61</v>
      </c>
      <c r="F2423" s="15" t="str">
        <f>IF(ISBLANK(Raw_Data!F2423),AVERAGE(Raw_Data!F$2:F$5002),Raw_Data!F2423)</f>
        <v>19785.99</v>
      </c>
      <c r="G2423" s="14" t="str">
        <f>IF(ISBLANK(Raw_Data!G2423),AVERAGE(Raw_Data!G$2:G$5002),Raw_Data!G2423)</f>
        <v>15587.12</v>
      </c>
      <c r="H2423" s="15" t="str">
        <f t="shared" si="1"/>
        <v>121449.00</v>
      </c>
      <c r="I2423" s="14" t="str">
        <f t="shared" si="2"/>
        <v>105862.00</v>
      </c>
      <c r="J2423" s="16" t="str">
        <f>TEXT(Raw_Data!J2423,"MMM-YYY")</f>
        <v>Nov-2025</v>
      </c>
      <c r="K2423" s="13" t="str">
        <f>Raw_Data!K2423</f>
        <v>10</v>
      </c>
      <c r="L2423" s="17" t="str">
        <f>Raw_Data!L2423</f>
        <v>Kolkata-East</v>
      </c>
      <c r="M2423" s="13" t="str">
        <f t="shared" si="3"/>
        <v>OK</v>
      </c>
      <c r="N2423" s="18" t="str">
        <f t="shared" si="4"/>
        <v>VALID</v>
      </c>
    </row>
    <row r="2424" ht="15.75" customHeight="1">
      <c r="A2424" s="13" t="str">
        <f>Raw_Data!A2424</f>
        <v>EMP2555</v>
      </c>
      <c r="B2424" s="13" t="str">
        <f>TRIM(CLEAN(Raw_Data!B2424))</f>
        <v>HR</v>
      </c>
      <c r="C2424" s="18" t="s">
        <v>30</v>
      </c>
      <c r="D2424" s="14" t="str">
        <f>IF(ISBLANK(Raw_Data!D2424),AVERAGE(Raw_Data!D$2:D$5002),Raw_Data!D2424)</f>
        <v>75897.68</v>
      </c>
      <c r="E2424" s="15" t="str">
        <f>IF(ISBLANK(Raw_Data!E2424),AVERAGE(Raw_Data!E$2:E$5002),Raw_Data!E2424)</f>
        <v>25781.23</v>
      </c>
      <c r="F2424" s="15" t="str">
        <f>IF(ISBLANK(Raw_Data!F2424),AVERAGE(Raw_Data!F$2:F$5002),Raw_Data!F2424)</f>
        <v>19793.67</v>
      </c>
      <c r="G2424" s="14" t="str">
        <f>IF(ISBLANK(Raw_Data!G2424),AVERAGE(Raw_Data!G$2:G$5002),Raw_Data!G2424)</f>
        <v>15590.52</v>
      </c>
      <c r="H2424" s="15" t="str">
        <f t="shared" si="1"/>
        <v>121473.00</v>
      </c>
      <c r="I2424" s="14" t="str">
        <f t="shared" si="2"/>
        <v>105882.00</v>
      </c>
      <c r="J2424" s="16" t="str">
        <f>TEXT(Raw_Data!J2424,"MMM-YYY")</f>
        <v>May-2025</v>
      </c>
      <c r="K2424" s="13" t="str">
        <f>Raw_Data!K2424</f>
        <v>8</v>
      </c>
      <c r="L2424" s="17" t="str">
        <f>Raw_Data!L2424</f>
        <v>Pune-West</v>
      </c>
      <c r="M2424" s="13" t="str">
        <f t="shared" si="3"/>
        <v>OK</v>
      </c>
      <c r="N2424" s="18" t="str">
        <f t="shared" si="4"/>
        <v>VALID</v>
      </c>
    </row>
    <row r="2425" ht="15.75" customHeight="1">
      <c r="A2425" s="13" t="str">
        <f>Raw_Data!A2425</f>
        <v>EMP2556</v>
      </c>
      <c r="B2425" s="13" t="str">
        <f>TRIM(CLEAN(Raw_Data!B2425))</f>
        <v>Sales</v>
      </c>
      <c r="C2425" s="18" t="s">
        <v>18</v>
      </c>
      <c r="D2425" s="14" t="str">
        <f>IF(ISBLANK(Raw_Data!D2425),AVERAGE(Raw_Data!D$2:D$5002),Raw_Data!D2425)</f>
        <v>75908.57</v>
      </c>
      <c r="E2425" s="15" t="str">
        <f>IF(ISBLANK(Raw_Data!E2425),AVERAGE(Raw_Data!E$2:E$5002),Raw_Data!E2425)</f>
        <v>25785.84</v>
      </c>
      <c r="F2425" s="15" t="str">
        <f>IF(ISBLANK(Raw_Data!F2425),AVERAGE(Raw_Data!F$2:F$5002),Raw_Data!F2425)</f>
        <v>19801.35</v>
      </c>
      <c r="G2425" s="14" t="str">
        <f>IF(ISBLANK(Raw_Data!G2425),AVERAGE(Raw_Data!G$2:G$5002),Raw_Data!G2425)</f>
        <v>15593.92</v>
      </c>
      <c r="H2425" s="15" t="str">
        <f t="shared" si="1"/>
        <v>121496.00</v>
      </c>
      <c r="I2425" s="14" t="str">
        <f t="shared" si="2"/>
        <v>105902.00</v>
      </c>
      <c r="J2425" s="16" t="str">
        <f>TEXT(Raw_Data!J2425,"MMM-YYY")</f>
        <v>Dec-2025</v>
      </c>
      <c r="K2425" s="13" t="str">
        <f>Raw_Data!K2425</f>
        <v>15</v>
      </c>
      <c r="L2425" s="17" t="str">
        <f>Raw_Data!L2425</f>
        <v>Hyderabad-South</v>
      </c>
      <c r="M2425" s="13" t="str">
        <f t="shared" si="3"/>
        <v>OK</v>
      </c>
      <c r="N2425" s="18" t="str">
        <f t="shared" si="4"/>
        <v>VALID</v>
      </c>
    </row>
    <row r="2426" ht="15.75" customHeight="1">
      <c r="A2426" s="13" t="str">
        <f>Raw_Data!A2426</f>
        <v>EMP2557</v>
      </c>
      <c r="B2426" s="13" t="str">
        <f>TRIM(CLEAN(Raw_Data!B2426))</f>
        <v>Customer Support</v>
      </c>
      <c r="C2426" s="18" t="s">
        <v>14</v>
      </c>
      <c r="D2426" s="14" t="str">
        <f>IF(ISBLANK(Raw_Data!D2426),AVERAGE(Raw_Data!D$2:D$5002),Raw_Data!D2426)</f>
        <v>75919.45</v>
      </c>
      <c r="E2426" s="15" t="str">
        <f>IF(ISBLANK(Raw_Data!E2426),AVERAGE(Raw_Data!E$2:E$5002),Raw_Data!E2426)</f>
        <v>25790.46</v>
      </c>
      <c r="F2426" s="15" t="str">
        <f>IF(ISBLANK(Raw_Data!F2426),AVERAGE(Raw_Data!F$2:F$5002),Raw_Data!F2426)</f>
        <v>19809.03</v>
      </c>
      <c r="G2426" s="14" t="str">
        <f>IF(ISBLANK(Raw_Data!G2426),AVERAGE(Raw_Data!G$2:G$5002),Raw_Data!G2426)</f>
        <v>15597.32</v>
      </c>
      <c r="H2426" s="15" t="str">
        <f t="shared" si="1"/>
        <v>121519.00</v>
      </c>
      <c r="I2426" s="14" t="str">
        <f t="shared" si="2"/>
        <v>105922.00</v>
      </c>
      <c r="J2426" s="16" t="str">
        <f>TEXT(Raw_Data!J2426,"MMM-YYY")</f>
        <v>May-2025</v>
      </c>
      <c r="K2426" s="13" t="str">
        <f>Raw_Data!K2426</f>
        <v>5</v>
      </c>
      <c r="L2426" s="17" t="str">
        <f>Raw_Data!L2426</f>
        <v>Chandigarh-North</v>
      </c>
      <c r="M2426" s="13" t="str">
        <f t="shared" si="3"/>
        <v>OK</v>
      </c>
      <c r="N2426" s="18" t="str">
        <f t="shared" si="4"/>
        <v>VALID</v>
      </c>
    </row>
    <row r="2427" ht="15.75" customHeight="1">
      <c r="A2427" s="13" t="str">
        <f>Raw_Data!A2427</f>
        <v>EMP2558</v>
      </c>
      <c r="B2427" s="13" t="str">
        <f>TRIM(CLEAN(Raw_Data!B2427))</f>
        <v>Customer Support</v>
      </c>
      <c r="C2427" s="18" t="s">
        <v>18</v>
      </c>
      <c r="D2427" s="14" t="str">
        <f>IF(ISBLANK(Raw_Data!D2427),AVERAGE(Raw_Data!D$2:D$5002),Raw_Data!D2427)</f>
        <v>75930.33</v>
      </c>
      <c r="E2427" s="15" t="str">
        <f>IF(ISBLANK(Raw_Data!E2427),AVERAGE(Raw_Data!E$2:E$5002),Raw_Data!E2427)</f>
        <v>25795.07</v>
      </c>
      <c r="F2427" s="15" t="str">
        <f>IF(ISBLANK(Raw_Data!F2427),AVERAGE(Raw_Data!F$2:F$5002),Raw_Data!F2427)</f>
        <v>19816.71</v>
      </c>
      <c r="G2427" s="14" t="str">
        <f>IF(ISBLANK(Raw_Data!G2427),AVERAGE(Raw_Data!G$2:G$5002),Raw_Data!G2427)</f>
        <v>15600.71</v>
      </c>
      <c r="H2427" s="15" t="str">
        <f t="shared" si="1"/>
        <v>121542.00</v>
      </c>
      <c r="I2427" s="14" t="str">
        <f t="shared" si="2"/>
        <v>105941.00</v>
      </c>
      <c r="J2427" s="16" t="str">
        <f>TEXT(Raw_Data!J2427,"MMM-YYY")</f>
        <v>Feb-2025</v>
      </c>
      <c r="K2427" s="13" t="str">
        <f>Raw_Data!K2427</f>
        <v>24</v>
      </c>
      <c r="L2427" s="17" t="str">
        <f>Raw_Data!L2427</f>
        <v>Ahmedabad-West</v>
      </c>
      <c r="M2427" s="13" t="str">
        <f t="shared" si="3"/>
        <v>OK</v>
      </c>
      <c r="N2427" s="18" t="str">
        <f t="shared" si="4"/>
        <v>VALID</v>
      </c>
    </row>
    <row r="2428" ht="15.75" customHeight="1">
      <c r="A2428" s="13" t="str">
        <f>Raw_Data!A2428</f>
        <v>EMP2559</v>
      </c>
      <c r="B2428" s="13" t="str">
        <f>TRIM(CLEAN(Raw_Data!B2428))</f>
        <v>Customer Support</v>
      </c>
      <c r="C2428" s="18" t="s">
        <v>33</v>
      </c>
      <c r="D2428" s="14" t="str">
        <f>IF(ISBLANK(Raw_Data!D2428),AVERAGE(Raw_Data!D$2:D$5002),Raw_Data!D2428)</f>
        <v>75941.21</v>
      </c>
      <c r="E2428" s="15" t="str">
        <f>IF(ISBLANK(Raw_Data!E2428),AVERAGE(Raw_Data!E$2:E$5002),Raw_Data!E2428)</f>
        <v>25799.69</v>
      </c>
      <c r="F2428" s="15" t="str">
        <f>IF(ISBLANK(Raw_Data!F2428),AVERAGE(Raw_Data!F$2:F$5002),Raw_Data!F2428)</f>
        <v>19824.39</v>
      </c>
      <c r="G2428" s="14" t="str">
        <f>IF(ISBLANK(Raw_Data!G2428),AVERAGE(Raw_Data!G$2:G$5002),Raw_Data!G2428)</f>
        <v>15604.11</v>
      </c>
      <c r="H2428" s="15" t="str">
        <f t="shared" si="1"/>
        <v>121565.00</v>
      </c>
      <c r="I2428" s="14" t="str">
        <f t="shared" si="2"/>
        <v>105961.00</v>
      </c>
      <c r="J2428" s="16" t="str">
        <f>TEXT(Raw_Data!J2428,"MMM-YYY")</f>
        <v>Jan-2025</v>
      </c>
      <c r="K2428" s="13" t="str">
        <f>Raw_Data!K2428</f>
        <v>20</v>
      </c>
      <c r="L2428" s="17" t="str">
        <f>Raw_Data!L2428</f>
        <v>Jaipur-North</v>
      </c>
      <c r="M2428" s="13" t="str">
        <f t="shared" si="3"/>
        <v>OK</v>
      </c>
      <c r="N2428" s="18" t="str">
        <f t="shared" si="4"/>
        <v>VALID</v>
      </c>
    </row>
    <row r="2429" ht="15.75" customHeight="1">
      <c r="A2429" s="13" t="str">
        <f>Raw_Data!A2429</f>
        <v>EMP2560</v>
      </c>
      <c r="B2429" s="13" t="str">
        <f>TRIM(CLEAN(Raw_Data!B2429))</f>
        <v>Sales</v>
      </c>
      <c r="C2429" s="18" t="s">
        <v>37</v>
      </c>
      <c r="D2429" s="14" t="str">
        <f>IF(ISBLANK(Raw_Data!D2429),AVERAGE(Raw_Data!D$2:D$5002),Raw_Data!D2429)</f>
        <v>75952.10</v>
      </c>
      <c r="E2429" s="15" t="str">
        <f>IF(ISBLANK(Raw_Data!E2429),AVERAGE(Raw_Data!E$2:E$5002),Raw_Data!E2429)</f>
        <v>25804.30</v>
      </c>
      <c r="F2429" s="15" t="str">
        <f>IF(ISBLANK(Raw_Data!F2429),AVERAGE(Raw_Data!F$2:F$5002),Raw_Data!F2429)</f>
        <v>19832.07</v>
      </c>
      <c r="G2429" s="14" t="str">
        <f>IF(ISBLANK(Raw_Data!G2429),AVERAGE(Raw_Data!G$2:G$5002),Raw_Data!G2429)</f>
        <v>14562.73</v>
      </c>
      <c r="H2429" s="15" t="str">
        <f t="shared" si="1"/>
        <v>121588.00</v>
      </c>
      <c r="I2429" s="14" t="str">
        <f t="shared" si="2"/>
        <v>107025.00</v>
      </c>
      <c r="J2429" s="16" t="str">
        <f>TEXT(Raw_Data!J2429,"MMM-YYY")</f>
        <v>Jan-2025</v>
      </c>
      <c r="K2429" s="13" t="str">
        <f>Raw_Data!K2429</f>
        <v>25</v>
      </c>
      <c r="L2429" s="17" t="str">
        <f>Raw_Data!L2429</f>
        <v>Mumbai-HO</v>
      </c>
      <c r="M2429" s="13" t="str">
        <f t="shared" si="3"/>
        <v>OK</v>
      </c>
      <c r="N2429" s="18" t="str">
        <f t="shared" si="4"/>
        <v>VALID</v>
      </c>
    </row>
    <row r="2430" ht="15.75" customHeight="1">
      <c r="A2430" s="13" t="str">
        <f>Raw_Data!A2430</f>
        <v>EMP2561</v>
      </c>
      <c r="B2430" s="13" t="str">
        <f>TRIM(CLEAN(Raw_Data!B2430))</f>
        <v>Operations</v>
      </c>
      <c r="C2430" s="18" t="s">
        <v>14</v>
      </c>
      <c r="D2430" s="14" t="str">
        <f>IF(ISBLANK(Raw_Data!D2430),AVERAGE(Raw_Data!D$2:D$5002),Raw_Data!D2430)</f>
        <v>75962.98</v>
      </c>
      <c r="E2430" s="15" t="str">
        <f>IF(ISBLANK(Raw_Data!E2430),AVERAGE(Raw_Data!E$2:E$5002),Raw_Data!E2430)</f>
        <v>25808.92</v>
      </c>
      <c r="F2430" s="15" t="str">
        <f>IF(ISBLANK(Raw_Data!F2430),AVERAGE(Raw_Data!F$2:F$5002),Raw_Data!F2430)</f>
        <v>19839.75</v>
      </c>
      <c r="G2430" s="14" t="str">
        <f>IF(ISBLANK(Raw_Data!G2430),AVERAGE(Raw_Data!G$2:G$5002),Raw_Data!G2430)</f>
        <v>15610.91</v>
      </c>
      <c r="H2430" s="15" t="str">
        <f t="shared" si="1"/>
        <v>121612.00</v>
      </c>
      <c r="I2430" s="14" t="str">
        <f t="shared" si="2"/>
        <v>106001.00</v>
      </c>
      <c r="J2430" s="16" t="str">
        <f>TEXT(Raw_Data!J2430,"MMM-YYY")</f>
        <v>Mar-2025</v>
      </c>
      <c r="K2430" s="13" t="str">
        <f>Raw_Data!K2430</f>
        <v>23</v>
      </c>
      <c r="L2430" s="17" t="str">
        <f>Raw_Data!L2430</f>
        <v>Delhi-North</v>
      </c>
      <c r="M2430" s="13" t="str">
        <f t="shared" si="3"/>
        <v>OK</v>
      </c>
      <c r="N2430" s="18" t="str">
        <f t="shared" si="4"/>
        <v>VALID</v>
      </c>
    </row>
    <row r="2431" ht="15.75" customHeight="1">
      <c r="A2431" s="13" t="str">
        <f>Raw_Data!A2431</f>
        <v>EMP2562</v>
      </c>
      <c r="B2431" s="13" t="str">
        <f>TRIM(CLEAN(Raw_Data!B2431))</f>
        <v>HR</v>
      </c>
      <c r="C2431" s="18" t="s">
        <v>54</v>
      </c>
      <c r="D2431" s="14" t="str">
        <f>IF(ISBLANK(Raw_Data!D2431),AVERAGE(Raw_Data!D$2:D$5002),Raw_Data!D2431)</f>
        <v>75973.86</v>
      </c>
      <c r="E2431" s="15" t="str">
        <f>IF(ISBLANK(Raw_Data!E2431),AVERAGE(Raw_Data!E$2:E$5002),Raw_Data!E2431)</f>
        <v>25813.53</v>
      </c>
      <c r="F2431" s="15" t="str">
        <f>IF(ISBLANK(Raw_Data!F2431),AVERAGE(Raw_Data!F$2:F$5002),Raw_Data!F2431)</f>
        <v>19847.43</v>
      </c>
      <c r="G2431" s="14" t="str">
        <f>IF(ISBLANK(Raw_Data!G2431),AVERAGE(Raw_Data!G$2:G$5002),Raw_Data!G2431)</f>
        <v>15614.30</v>
      </c>
      <c r="H2431" s="15" t="str">
        <f t="shared" si="1"/>
        <v>121635.00</v>
      </c>
      <c r="I2431" s="14" t="str">
        <f t="shared" si="2"/>
        <v>106021.00</v>
      </c>
      <c r="J2431" s="16" t="str">
        <f>TEXT(Raw_Data!J2431,"MMM-YYY")</f>
        <v>Oct-2025</v>
      </c>
      <c r="K2431" s="13" t="str">
        <f>Raw_Data!K2431</f>
        <v>11</v>
      </c>
      <c r="L2431" s="17" t="str">
        <f>Raw_Data!L2431</f>
        <v>Bangalore-South</v>
      </c>
      <c r="M2431" s="13" t="str">
        <f t="shared" si="3"/>
        <v>OK</v>
      </c>
      <c r="N2431" s="18" t="str">
        <f t="shared" si="4"/>
        <v>VALID</v>
      </c>
    </row>
    <row r="2432" ht="15.75" customHeight="1">
      <c r="A2432" s="13" t="str">
        <f>Raw_Data!A2432</f>
        <v>EMP2563</v>
      </c>
      <c r="B2432" s="13" t="str">
        <f>TRIM(CLEAN(Raw_Data!B2432))</f>
        <v>Customer Support</v>
      </c>
      <c r="C2432" s="18" t="s">
        <v>37</v>
      </c>
      <c r="D2432" s="14" t="str">
        <f>IF(ISBLANK(Raw_Data!D2432),AVERAGE(Raw_Data!D$2:D$5002),Raw_Data!D2432)</f>
        <v>75984.75</v>
      </c>
      <c r="E2432" s="15" t="str">
        <f>IF(ISBLANK(Raw_Data!E2432),AVERAGE(Raw_Data!E$2:E$5002),Raw_Data!E2432)</f>
        <v>25818.15</v>
      </c>
      <c r="F2432" s="15" t="str">
        <f>IF(ISBLANK(Raw_Data!F2432),AVERAGE(Raw_Data!F$2:F$5002),Raw_Data!F2432)</f>
        <v>19855.11</v>
      </c>
      <c r="G2432" s="14" t="str">
        <f>IF(ISBLANK(Raw_Data!G2432),AVERAGE(Raw_Data!G$2:G$5002),Raw_Data!G2432)</f>
        <v>15617.70</v>
      </c>
      <c r="H2432" s="15" t="str">
        <f t="shared" si="1"/>
        <v>121658.00</v>
      </c>
      <c r="I2432" s="14" t="str">
        <f t="shared" si="2"/>
        <v>106040.00</v>
      </c>
      <c r="J2432" s="16" t="str">
        <f>TEXT(Raw_Data!J2432,"MMM-YYY")</f>
        <v>Jul-2025</v>
      </c>
      <c r="K2432" s="13" t="str">
        <f>Raw_Data!K2432</f>
        <v>18</v>
      </c>
      <c r="L2432" s="17" t="str">
        <f>Raw_Data!L2432</f>
        <v>Chennai-South</v>
      </c>
      <c r="M2432" s="13" t="str">
        <f t="shared" si="3"/>
        <v>OK</v>
      </c>
      <c r="N2432" s="18" t="str">
        <f t="shared" si="4"/>
        <v>VALID</v>
      </c>
    </row>
    <row r="2433" ht="15.75" customHeight="1">
      <c r="A2433" s="13" t="str">
        <f>Raw_Data!A2433</f>
        <v>EMP2564</v>
      </c>
      <c r="B2433" s="13" t="str">
        <f>TRIM(CLEAN(Raw_Data!B2433))</f>
        <v>Marketing</v>
      </c>
      <c r="C2433" s="18" t="s">
        <v>54</v>
      </c>
      <c r="D2433" s="14" t="str">
        <f>IF(ISBLANK(Raw_Data!D2433),AVERAGE(Raw_Data!D$2:D$5002),Raw_Data!D2433)</f>
        <v>75995.63</v>
      </c>
      <c r="E2433" s="15" t="str">
        <f>IF(ISBLANK(Raw_Data!E2433),AVERAGE(Raw_Data!E$2:E$5002),Raw_Data!E2433)</f>
        <v>25822.76</v>
      </c>
      <c r="F2433" s="15" t="str">
        <f>IF(ISBLANK(Raw_Data!F2433),AVERAGE(Raw_Data!F$2:F$5002),Raw_Data!F2433)</f>
        <v>19862.79</v>
      </c>
      <c r="G2433" s="14" t="str">
        <f>IF(ISBLANK(Raw_Data!G2433),AVERAGE(Raw_Data!G$2:G$5002),Raw_Data!G2433)</f>
        <v>15621.10</v>
      </c>
      <c r="H2433" s="15" t="str">
        <f t="shared" si="1"/>
        <v>121681.00</v>
      </c>
      <c r="I2433" s="14" t="str">
        <f t="shared" si="2"/>
        <v>106060.00</v>
      </c>
      <c r="J2433" s="16" t="str">
        <f>TEXT(Raw_Data!J2433,"MMM-YYY")</f>
        <v>Dec-2025</v>
      </c>
      <c r="K2433" s="13" t="str">
        <f>Raw_Data!K2433</f>
        <v>21</v>
      </c>
      <c r="L2433" s="17" t="str">
        <f>Raw_Data!L2433</f>
        <v>Kolkata-East</v>
      </c>
      <c r="M2433" s="13" t="str">
        <f t="shared" si="3"/>
        <v>OK</v>
      </c>
      <c r="N2433" s="18" t="str">
        <f t="shared" si="4"/>
        <v>VALID</v>
      </c>
    </row>
    <row r="2434" ht="15.75" customHeight="1">
      <c r="A2434" s="13" t="str">
        <f>Raw_Data!A2434</f>
        <v>EMP2565</v>
      </c>
      <c r="B2434" s="13" t="str">
        <f>TRIM(CLEAN(Raw_Data!B2434))</f>
        <v>Marketing</v>
      </c>
      <c r="C2434" s="18" t="s">
        <v>26</v>
      </c>
      <c r="D2434" s="14" t="str">
        <f>IF(ISBLANK(Raw_Data!D2434),AVERAGE(Raw_Data!D$2:D$5002),Raw_Data!D2434)</f>
        <v>76006.51</v>
      </c>
      <c r="E2434" s="15" t="str">
        <f>IF(ISBLANK(Raw_Data!E2434),AVERAGE(Raw_Data!E$2:E$5002),Raw_Data!E2434)</f>
        <v>25827.38</v>
      </c>
      <c r="F2434" s="15" t="str">
        <f>IF(ISBLANK(Raw_Data!F2434),AVERAGE(Raw_Data!F$2:F$5002),Raw_Data!F2434)</f>
        <v>19870.47</v>
      </c>
      <c r="G2434" s="14" t="str">
        <f>IF(ISBLANK(Raw_Data!G2434),AVERAGE(Raw_Data!G$2:G$5002),Raw_Data!G2434)</f>
        <v>15624.50</v>
      </c>
      <c r="H2434" s="15" t="str">
        <f t="shared" si="1"/>
        <v>121704.00</v>
      </c>
      <c r="I2434" s="14" t="str">
        <f t="shared" si="2"/>
        <v>106080.00</v>
      </c>
      <c r="J2434" s="16" t="str">
        <f>TEXT(Raw_Data!J2434,"MMM-YYY")</f>
        <v>Jan-2025</v>
      </c>
      <c r="K2434" s="13" t="str">
        <f>Raw_Data!K2434</f>
        <v>24</v>
      </c>
      <c r="L2434" s="17" t="str">
        <f>Raw_Data!L2434</f>
        <v>Pune-West</v>
      </c>
      <c r="M2434" s="13" t="str">
        <f t="shared" si="3"/>
        <v>OK</v>
      </c>
      <c r="N2434" s="18" t="str">
        <f t="shared" si="4"/>
        <v>VALID</v>
      </c>
    </row>
    <row r="2435" ht="15.75" customHeight="1">
      <c r="A2435" s="13" t="str">
        <f>Raw_Data!A2435</f>
        <v>EMP2566</v>
      </c>
      <c r="B2435" s="13" t="str">
        <f>TRIM(CLEAN(Raw_Data!B2435))</f>
        <v>IT</v>
      </c>
      <c r="C2435" s="18" t="s">
        <v>37</v>
      </c>
      <c r="D2435" s="14" t="str">
        <f>IF(ISBLANK(Raw_Data!D2435),AVERAGE(Raw_Data!D$2:D$5002),Raw_Data!D2435)</f>
        <v>76017.40</v>
      </c>
      <c r="E2435" s="15" t="str">
        <f>IF(ISBLANK(Raw_Data!E2435),AVERAGE(Raw_Data!E$2:E$5002),Raw_Data!E2435)</f>
        <v>25831.99</v>
      </c>
      <c r="F2435" s="15" t="str">
        <f>IF(ISBLANK(Raw_Data!F2435),AVERAGE(Raw_Data!F$2:F$5002),Raw_Data!F2435)</f>
        <v>19878.15</v>
      </c>
      <c r="G2435" s="14" t="str">
        <f>IF(ISBLANK(Raw_Data!G2435),AVERAGE(Raw_Data!G$2:G$5002),Raw_Data!G2435)</f>
        <v>15627.89</v>
      </c>
      <c r="H2435" s="15" t="str">
        <f t="shared" si="1"/>
        <v>121728.00</v>
      </c>
      <c r="I2435" s="14" t="str">
        <f t="shared" si="2"/>
        <v>106100.00</v>
      </c>
      <c r="J2435" s="16" t="str">
        <f>TEXT(Raw_Data!J2435,"MMM-YYY")</f>
        <v>Jul-2025</v>
      </c>
      <c r="K2435" s="13" t="str">
        <f>Raw_Data!K2435</f>
        <v>18</v>
      </c>
      <c r="L2435" s="17" t="str">
        <f>Raw_Data!L2435</f>
        <v>Hyderabad-South</v>
      </c>
      <c r="M2435" s="13" t="str">
        <f t="shared" si="3"/>
        <v>OK</v>
      </c>
      <c r="N2435" s="18" t="str">
        <f t="shared" si="4"/>
        <v>VALID</v>
      </c>
    </row>
    <row r="2436" ht="15.75" customHeight="1">
      <c r="A2436" s="13" t="str">
        <f>Raw_Data!A2436</f>
        <v>EMP2567</v>
      </c>
      <c r="B2436" s="13" t="str">
        <f>TRIM(CLEAN(Raw_Data!B2436))</f>
        <v>Marketing</v>
      </c>
      <c r="C2436" s="18" t="s">
        <v>33</v>
      </c>
      <c r="D2436" s="14" t="str">
        <f>IF(ISBLANK(Raw_Data!D2436),AVERAGE(Raw_Data!D$2:D$5002),Raw_Data!D2436)</f>
        <v>76028.28</v>
      </c>
      <c r="E2436" s="15" t="str">
        <f>IF(ISBLANK(Raw_Data!E2436),AVERAGE(Raw_Data!E$2:E$5002),Raw_Data!E2436)</f>
        <v>25836.61</v>
      </c>
      <c r="F2436" s="15" t="str">
        <f>IF(ISBLANK(Raw_Data!F2436),AVERAGE(Raw_Data!F$2:F$5002),Raw_Data!F2436)</f>
        <v>19885.83</v>
      </c>
      <c r="G2436" s="14" t="str">
        <f>IF(ISBLANK(Raw_Data!G2436),AVERAGE(Raw_Data!G$2:G$5002),Raw_Data!G2436)</f>
        <v>15631.29</v>
      </c>
      <c r="H2436" s="15" t="str">
        <f t="shared" si="1"/>
        <v>121751.00</v>
      </c>
      <c r="I2436" s="14" t="str">
        <f t="shared" si="2"/>
        <v>106120.00</v>
      </c>
      <c r="J2436" s="16" t="str">
        <f>TEXT(Raw_Data!J2436,"MMM-YYY")</f>
        <v>Aug-2025</v>
      </c>
      <c r="K2436" s="13" t="str">
        <f>Raw_Data!K2436</f>
        <v>18</v>
      </c>
      <c r="L2436" s="17" t="str">
        <f>Raw_Data!L2436</f>
        <v>Chandigarh-North</v>
      </c>
      <c r="M2436" s="13" t="str">
        <f t="shared" si="3"/>
        <v>OK</v>
      </c>
      <c r="N2436" s="18" t="str">
        <f t="shared" si="4"/>
        <v>VALID</v>
      </c>
    </row>
    <row r="2437" ht="15.75" customHeight="1">
      <c r="A2437" s="13" t="str">
        <f>Raw_Data!A2437</f>
        <v>EMP2568</v>
      </c>
      <c r="B2437" s="13" t="str">
        <f>TRIM(CLEAN(Raw_Data!B2437))</f>
        <v>Marketing</v>
      </c>
      <c r="C2437" s="18" t="s">
        <v>54</v>
      </c>
      <c r="D2437" s="14" t="str">
        <f>IF(ISBLANK(Raw_Data!D2437),AVERAGE(Raw_Data!D$2:D$5002),Raw_Data!D2437)</f>
        <v>76039.16</v>
      </c>
      <c r="E2437" s="15" t="str">
        <f>IF(ISBLANK(Raw_Data!E2437),AVERAGE(Raw_Data!E$2:E$5002),Raw_Data!E2437)</f>
        <v>25841.22</v>
      </c>
      <c r="F2437" s="15" t="str">
        <f>IF(ISBLANK(Raw_Data!F2437),AVERAGE(Raw_Data!F$2:F$5002),Raw_Data!F2437)</f>
        <v>19893.51</v>
      </c>
      <c r="G2437" s="14" t="str">
        <f>IF(ISBLANK(Raw_Data!G2437),AVERAGE(Raw_Data!G$2:G$5002),Raw_Data!G2437)</f>
        <v>15634.69</v>
      </c>
      <c r="H2437" s="15" t="str">
        <f t="shared" si="1"/>
        <v>121774.00</v>
      </c>
      <c r="I2437" s="14" t="str">
        <f t="shared" si="2"/>
        <v>106139.00</v>
      </c>
      <c r="J2437" s="16" t="str">
        <f>TEXT(Raw_Data!J2437,"MMM-YYY")</f>
        <v>Nov-2025</v>
      </c>
      <c r="K2437" s="13" t="str">
        <f>Raw_Data!K2437</f>
        <v>3</v>
      </c>
      <c r="L2437" s="17" t="str">
        <f>Raw_Data!L2437</f>
        <v>Ahmedabad-West</v>
      </c>
      <c r="M2437" s="13" t="str">
        <f t="shared" si="3"/>
        <v>OK</v>
      </c>
      <c r="N2437" s="18" t="str">
        <f t="shared" si="4"/>
        <v>VALID</v>
      </c>
    </row>
    <row r="2438" ht="15.75" customHeight="1">
      <c r="A2438" s="13" t="str">
        <f>Raw_Data!A2438</f>
        <v>EMP2569</v>
      </c>
      <c r="B2438" s="13" t="str">
        <f>TRIM(CLEAN(Raw_Data!B2438))</f>
        <v>Customer Support</v>
      </c>
      <c r="C2438" s="18" t="s">
        <v>33</v>
      </c>
      <c r="D2438" s="14" t="str">
        <f>IF(ISBLANK(Raw_Data!D2438),AVERAGE(Raw_Data!D$2:D$5002),Raw_Data!D2438)</f>
        <v>76050.04</v>
      </c>
      <c r="E2438" s="15" t="str">
        <f>IF(ISBLANK(Raw_Data!E2438),AVERAGE(Raw_Data!E$2:E$5002),Raw_Data!E2438)</f>
        <v>25845.84</v>
      </c>
      <c r="F2438" s="15" t="str">
        <f>IF(ISBLANK(Raw_Data!F2438),AVERAGE(Raw_Data!F$2:F$5002),Raw_Data!F2438)</f>
        <v>19901.19</v>
      </c>
      <c r="G2438" s="14" t="str">
        <f>IF(ISBLANK(Raw_Data!G2438),AVERAGE(Raw_Data!G$2:G$5002),Raw_Data!G2438)</f>
        <v>15638.09</v>
      </c>
      <c r="H2438" s="15" t="str">
        <f t="shared" si="1"/>
        <v>121797.00</v>
      </c>
      <c r="I2438" s="14" t="str">
        <f t="shared" si="2"/>
        <v>106159.00</v>
      </c>
      <c r="J2438" s="16" t="str">
        <f>TEXT(Raw_Data!J2438,"MMM-YYY")</f>
        <v>May-2025</v>
      </c>
      <c r="K2438" s="13" t="str">
        <f>Raw_Data!K2438</f>
        <v>18</v>
      </c>
      <c r="L2438" s="17" t="str">
        <f>Raw_Data!L2438</f>
        <v>Jaipur-North</v>
      </c>
      <c r="M2438" s="13" t="str">
        <f t="shared" si="3"/>
        <v>OK</v>
      </c>
      <c r="N2438" s="18" t="str">
        <f t="shared" si="4"/>
        <v>VALID</v>
      </c>
    </row>
    <row r="2439" ht="15.75" customHeight="1">
      <c r="A2439" s="13" t="str">
        <f>Raw_Data!A2439</f>
        <v>EMP2570</v>
      </c>
      <c r="B2439" s="13" t="str">
        <f>TRIM(CLEAN(Raw_Data!B2439))</f>
        <v>Marketing</v>
      </c>
      <c r="C2439" s="18" t="s">
        <v>33</v>
      </c>
      <c r="D2439" s="14" t="str">
        <f>IF(ISBLANK(Raw_Data!D2439),AVERAGE(Raw_Data!D$2:D$5002),Raw_Data!D2439)</f>
        <v>76060.93</v>
      </c>
      <c r="E2439" s="15" t="str">
        <f>IF(ISBLANK(Raw_Data!E2439),AVERAGE(Raw_Data!E$2:E$5002),Raw_Data!E2439)</f>
        <v>25850.45</v>
      </c>
      <c r="F2439" s="15" t="str">
        <f>IF(ISBLANK(Raw_Data!F2439),AVERAGE(Raw_Data!F$2:F$5002),Raw_Data!F2439)</f>
        <v>19908.87</v>
      </c>
      <c r="G2439" s="14" t="str">
        <f>IF(ISBLANK(Raw_Data!G2439),AVERAGE(Raw_Data!G$2:G$5002),Raw_Data!G2439)</f>
        <v>15641.48</v>
      </c>
      <c r="H2439" s="15" t="str">
        <f t="shared" si="1"/>
        <v>121820.00</v>
      </c>
      <c r="I2439" s="14" t="str">
        <f t="shared" si="2"/>
        <v>106179.00</v>
      </c>
      <c r="J2439" s="16" t="str">
        <f>TEXT(Raw_Data!J2439,"MMM-YYY")</f>
        <v>Apr-2025</v>
      </c>
      <c r="K2439" s="13" t="str">
        <f>Raw_Data!K2439</f>
        <v>25</v>
      </c>
      <c r="L2439" s="17" t="str">
        <f>Raw_Data!L2439</f>
        <v>Mumbai-HO</v>
      </c>
      <c r="M2439" s="13" t="str">
        <f t="shared" si="3"/>
        <v>OK</v>
      </c>
      <c r="N2439" s="18" t="str">
        <f t="shared" si="4"/>
        <v>VALID</v>
      </c>
    </row>
    <row r="2440" ht="15.75" customHeight="1">
      <c r="A2440" s="13" t="str">
        <f>Raw_Data!A2440</f>
        <v>EMP2571</v>
      </c>
      <c r="B2440" s="13" t="str">
        <f>TRIM(CLEAN(Raw_Data!B2440))</f>
        <v>Marketing</v>
      </c>
      <c r="C2440" s="18" t="s">
        <v>30</v>
      </c>
      <c r="D2440" s="14" t="str">
        <f>IF(ISBLANK(Raw_Data!D2440),AVERAGE(Raw_Data!D$2:D$5002),Raw_Data!D2440)</f>
        <v>76071.81</v>
      </c>
      <c r="E2440" s="15" t="str">
        <f>IF(ISBLANK(Raw_Data!E2440),AVERAGE(Raw_Data!E$2:E$5002),Raw_Data!E2440)</f>
        <v>25855.06</v>
      </c>
      <c r="F2440" s="15" t="str">
        <f>IF(ISBLANK(Raw_Data!F2440),AVERAGE(Raw_Data!F$2:F$5002),Raw_Data!F2440)</f>
        <v>19916.55</v>
      </c>
      <c r="G2440" s="14" t="str">
        <f>IF(ISBLANK(Raw_Data!G2440),AVERAGE(Raw_Data!G$2:G$5002),Raw_Data!G2440)</f>
        <v>15644.88</v>
      </c>
      <c r="H2440" s="15" t="str">
        <f t="shared" si="1"/>
        <v>121843.00</v>
      </c>
      <c r="I2440" s="14" t="str">
        <f t="shared" si="2"/>
        <v>106198.00</v>
      </c>
      <c r="J2440" s="16" t="str">
        <f>TEXT(Raw_Data!J2440,"MMM-YYY")</f>
        <v>Apr-2025</v>
      </c>
      <c r="K2440" s="13" t="str">
        <f>Raw_Data!K2440</f>
        <v>17</v>
      </c>
      <c r="L2440" s="17" t="str">
        <f>Raw_Data!L2440</f>
        <v>Delhi-North</v>
      </c>
      <c r="M2440" s="13" t="str">
        <f t="shared" si="3"/>
        <v>OK</v>
      </c>
      <c r="N2440" s="18" t="str">
        <f t="shared" si="4"/>
        <v>VALID</v>
      </c>
    </row>
    <row r="2441" ht="15.75" customHeight="1">
      <c r="A2441" s="13" t="str">
        <f>Raw_Data!A2441</f>
        <v>EMP2572</v>
      </c>
      <c r="B2441" s="13" t="str">
        <f>TRIM(CLEAN(Raw_Data!B2441))</f>
        <v>Marketing</v>
      </c>
      <c r="C2441" s="18" t="s">
        <v>37</v>
      </c>
      <c r="D2441" s="14" t="str">
        <f>IF(ISBLANK(Raw_Data!D2441),AVERAGE(Raw_Data!D$2:D$5002),Raw_Data!D2441)</f>
        <v>76082.69</v>
      </c>
      <c r="E2441" s="15" t="str">
        <f>IF(ISBLANK(Raw_Data!E2441),AVERAGE(Raw_Data!E$2:E$5002),Raw_Data!E2441)</f>
        <v>25859.68</v>
      </c>
      <c r="F2441" s="15" t="str">
        <f>IF(ISBLANK(Raw_Data!F2441),AVERAGE(Raw_Data!F$2:F$5002),Raw_Data!F2441)</f>
        <v>19924.23</v>
      </c>
      <c r="G2441" s="14" t="str">
        <f>IF(ISBLANK(Raw_Data!G2441),AVERAGE(Raw_Data!G$2:G$5002),Raw_Data!G2441)</f>
        <v>15648.28</v>
      </c>
      <c r="H2441" s="15" t="str">
        <f t="shared" si="1"/>
        <v>121867.00</v>
      </c>
      <c r="I2441" s="14" t="str">
        <f t="shared" si="2"/>
        <v>106219.00</v>
      </c>
      <c r="J2441" s="16" t="str">
        <f>TEXT(Raw_Data!J2441,"MMM-YYY")</f>
        <v>Aug-2025</v>
      </c>
      <c r="K2441" s="13" t="str">
        <f>Raw_Data!K2441</f>
        <v>25</v>
      </c>
      <c r="L2441" s="17" t="str">
        <f>Raw_Data!L2441</f>
        <v>Bangalore-South</v>
      </c>
      <c r="M2441" s="13" t="str">
        <f t="shared" si="3"/>
        <v>OK</v>
      </c>
      <c r="N2441" s="18" t="str">
        <f t="shared" si="4"/>
        <v>VALID</v>
      </c>
    </row>
    <row r="2442" ht="15.75" customHeight="1">
      <c r="A2442" s="13" t="str">
        <f>Raw_Data!A2442</f>
        <v>EMP2573</v>
      </c>
      <c r="B2442" s="13" t="str">
        <f>TRIM(CLEAN(Raw_Data!B2442))</f>
        <v>Sales</v>
      </c>
      <c r="C2442" s="18" t="s">
        <v>18</v>
      </c>
      <c r="D2442" s="14" t="str">
        <f>IF(ISBLANK(Raw_Data!D2442),AVERAGE(Raw_Data!D$2:D$5002),Raw_Data!D2442)</f>
        <v>76093.58</v>
      </c>
      <c r="E2442" s="15" t="str">
        <f>IF(ISBLANK(Raw_Data!E2442),AVERAGE(Raw_Data!E$2:E$5002),Raw_Data!E2442)</f>
        <v>25864.29</v>
      </c>
      <c r="F2442" s="15" t="str">
        <f>IF(ISBLANK(Raw_Data!F2442),AVERAGE(Raw_Data!F$2:F$5002),Raw_Data!F2442)</f>
        <v>19931.91</v>
      </c>
      <c r="G2442" s="14" t="str">
        <f>IF(ISBLANK(Raw_Data!G2442),AVERAGE(Raw_Data!G$2:G$5002),Raw_Data!G2442)</f>
        <v>15651.68</v>
      </c>
      <c r="H2442" s="15" t="str">
        <f t="shared" si="1"/>
        <v>121890.00</v>
      </c>
      <c r="I2442" s="14" t="str">
        <f t="shared" si="2"/>
        <v>106238.00</v>
      </c>
      <c r="J2442" s="16" t="str">
        <f>TEXT(Raw_Data!J2442,"MMM-YYY")</f>
        <v>Aug-2025</v>
      </c>
      <c r="K2442" s="13" t="str">
        <f>Raw_Data!K2442</f>
        <v>2</v>
      </c>
      <c r="L2442" s="17" t="str">
        <f>Raw_Data!L2442</f>
        <v>Chennai-South</v>
      </c>
      <c r="M2442" s="13" t="str">
        <f t="shared" si="3"/>
        <v>OK</v>
      </c>
      <c r="N2442" s="18" t="str">
        <f t="shared" si="4"/>
        <v>VALID</v>
      </c>
    </row>
    <row r="2443" ht="15.75" customHeight="1">
      <c r="A2443" s="13" t="str">
        <f>Raw_Data!A2443</f>
        <v>EMP2574</v>
      </c>
      <c r="B2443" s="13" t="str">
        <f>TRIM(CLEAN(Raw_Data!B2443))</f>
        <v>Customer Support</v>
      </c>
      <c r="C2443" s="18" t="s">
        <v>18</v>
      </c>
      <c r="D2443" s="14" t="str">
        <f>IF(ISBLANK(Raw_Data!D2443),AVERAGE(Raw_Data!D$2:D$5002),Raw_Data!D2443)</f>
        <v>76104.46</v>
      </c>
      <c r="E2443" s="15" t="str">
        <f>IF(ISBLANK(Raw_Data!E2443),AVERAGE(Raw_Data!E$2:E$5002),Raw_Data!E2443)</f>
        <v>25868.91</v>
      </c>
      <c r="F2443" s="15" t="str">
        <f>IF(ISBLANK(Raw_Data!F2443),AVERAGE(Raw_Data!F$2:F$5002),Raw_Data!F2443)</f>
        <v>19939.59</v>
      </c>
      <c r="G2443" s="14" t="str">
        <f>IF(ISBLANK(Raw_Data!G2443),AVERAGE(Raw_Data!G$2:G$5002),Raw_Data!G2443)</f>
        <v>15655.07</v>
      </c>
      <c r="H2443" s="15" t="str">
        <f t="shared" si="1"/>
        <v>121913.00</v>
      </c>
      <c r="I2443" s="14" t="str">
        <f t="shared" si="2"/>
        <v>106258.00</v>
      </c>
      <c r="J2443" s="16" t="str">
        <f>TEXT(Raw_Data!J2443,"MMM-YYY")</f>
        <v>Sep-2025</v>
      </c>
      <c r="K2443" s="13" t="str">
        <f>Raw_Data!K2443</f>
        <v>1</v>
      </c>
      <c r="L2443" s="17" t="str">
        <f>Raw_Data!L2443</f>
        <v>Kolkata-East</v>
      </c>
      <c r="M2443" s="13" t="str">
        <f t="shared" si="3"/>
        <v>OK</v>
      </c>
      <c r="N2443" s="18" t="str">
        <f t="shared" si="4"/>
        <v>VALID</v>
      </c>
    </row>
    <row r="2444" ht="15.75" customHeight="1">
      <c r="A2444" s="13" t="str">
        <f>Raw_Data!A2444</f>
        <v>EMP2575</v>
      </c>
      <c r="B2444" s="13" t="str">
        <f>TRIM(CLEAN(Raw_Data!B2444))</f>
        <v>Sales</v>
      </c>
      <c r="C2444" s="18" t="s">
        <v>30</v>
      </c>
      <c r="D2444" s="14" t="str">
        <f>IF(ISBLANK(Raw_Data!D2444),AVERAGE(Raw_Data!D$2:D$5002),Raw_Data!D2444)</f>
        <v>76115.34</v>
      </c>
      <c r="E2444" s="15" t="str">
        <f>IF(ISBLANK(Raw_Data!E2444),AVERAGE(Raw_Data!E$2:E$5002),Raw_Data!E2444)</f>
        <v>25873.52</v>
      </c>
      <c r="F2444" s="15" t="str">
        <f>IF(ISBLANK(Raw_Data!F2444),AVERAGE(Raw_Data!F$2:F$5002),Raw_Data!F2444)</f>
        <v>19947.27</v>
      </c>
      <c r="G2444" s="14" t="str">
        <f>IF(ISBLANK(Raw_Data!G2444),AVERAGE(Raw_Data!G$2:G$5002),Raw_Data!G2444)</f>
        <v>15658.47</v>
      </c>
      <c r="H2444" s="15" t="str">
        <f t="shared" si="1"/>
        <v>121936.00</v>
      </c>
      <c r="I2444" s="14" t="str">
        <f t="shared" si="2"/>
        <v>106278.00</v>
      </c>
      <c r="J2444" s="16" t="str">
        <f>TEXT(Raw_Data!J2444,"MMM-YYY")</f>
        <v>Jul-2025</v>
      </c>
      <c r="K2444" s="13" t="str">
        <f>Raw_Data!K2444</f>
        <v>7</v>
      </c>
      <c r="L2444" s="17" t="str">
        <f>Raw_Data!L2444</f>
        <v>Pune-West</v>
      </c>
      <c r="M2444" s="13" t="str">
        <f t="shared" si="3"/>
        <v>OK</v>
      </c>
      <c r="N2444" s="18" t="str">
        <f t="shared" si="4"/>
        <v>VALID</v>
      </c>
    </row>
    <row r="2445" ht="15.75" customHeight="1">
      <c r="A2445" s="13" t="str">
        <f>Raw_Data!A2445</f>
        <v>EMP2576</v>
      </c>
      <c r="B2445" s="13" t="str">
        <f>TRIM(CLEAN(Raw_Data!B2445))</f>
        <v>Finance</v>
      </c>
      <c r="C2445" s="18" t="s">
        <v>26</v>
      </c>
      <c r="D2445" s="14" t="str">
        <f>IF(ISBLANK(Raw_Data!D2445),AVERAGE(Raw_Data!D$2:D$5002),Raw_Data!D2445)</f>
        <v>76126.22</v>
      </c>
      <c r="E2445" s="15" t="str">
        <f>IF(ISBLANK(Raw_Data!E2445),AVERAGE(Raw_Data!E$2:E$5002),Raw_Data!E2445)</f>
        <v>25878.14</v>
      </c>
      <c r="F2445" s="15" t="str">
        <f>IF(ISBLANK(Raw_Data!F2445),AVERAGE(Raw_Data!F$2:F$5002),Raw_Data!F2445)</f>
        <v>19954.95</v>
      </c>
      <c r="G2445" s="14" t="str">
        <f>IF(ISBLANK(Raw_Data!G2445),AVERAGE(Raw_Data!G$2:G$5002),Raw_Data!G2445)</f>
        <v>15661.87</v>
      </c>
      <c r="H2445" s="15" t="str">
        <f t="shared" si="1"/>
        <v>121959.00</v>
      </c>
      <c r="I2445" s="14" t="str">
        <f t="shared" si="2"/>
        <v>106297.00</v>
      </c>
      <c r="J2445" s="16" t="str">
        <f>TEXT(Raw_Data!J2445,"MMM-YYY")</f>
        <v>May-2025</v>
      </c>
      <c r="K2445" s="13" t="str">
        <f>Raw_Data!K2445</f>
        <v>5</v>
      </c>
      <c r="L2445" s="17" t="str">
        <f>Raw_Data!L2445</f>
        <v>Hyderabad-South</v>
      </c>
      <c r="M2445" s="13" t="str">
        <f t="shared" si="3"/>
        <v>OK</v>
      </c>
      <c r="N2445" s="18" t="str">
        <f t="shared" si="4"/>
        <v>VALID</v>
      </c>
    </row>
    <row r="2446" ht="15.75" customHeight="1">
      <c r="A2446" s="13" t="str">
        <f>Raw_Data!A2446</f>
        <v>EMP2577</v>
      </c>
      <c r="B2446" s="13" t="str">
        <f>TRIM(CLEAN(Raw_Data!B2446))</f>
        <v>Sales</v>
      </c>
      <c r="C2446" s="18" t="s">
        <v>37</v>
      </c>
      <c r="D2446" s="14" t="str">
        <f>IF(ISBLANK(Raw_Data!D2446),AVERAGE(Raw_Data!D$2:D$5002),Raw_Data!D2446)</f>
        <v>76137.11</v>
      </c>
      <c r="E2446" s="15" t="str">
        <f>IF(ISBLANK(Raw_Data!E2446),AVERAGE(Raw_Data!E$2:E$5002),Raw_Data!E2446)</f>
        <v>25882.75</v>
      </c>
      <c r="F2446" s="15" t="str">
        <f>IF(ISBLANK(Raw_Data!F2446),AVERAGE(Raw_Data!F$2:F$5002),Raw_Data!F2446)</f>
        <v>19962.63</v>
      </c>
      <c r="G2446" s="14" t="str">
        <f>IF(ISBLANK(Raw_Data!G2446),AVERAGE(Raw_Data!G$2:G$5002),Raw_Data!G2446)</f>
        <v>15665.27</v>
      </c>
      <c r="H2446" s="15" t="str">
        <f t="shared" si="1"/>
        <v>121982.00</v>
      </c>
      <c r="I2446" s="14" t="str">
        <f t="shared" si="2"/>
        <v>106317.00</v>
      </c>
      <c r="J2446" s="16" t="str">
        <f>TEXT(Raw_Data!J2446,"MMM-YYY")</f>
        <v>Aug-2025</v>
      </c>
      <c r="K2446" s="13" t="str">
        <f>Raw_Data!K2446</f>
        <v>19</v>
      </c>
      <c r="L2446" s="17" t="str">
        <f>Raw_Data!L2446</f>
        <v>Chandigarh-North</v>
      </c>
      <c r="M2446" s="13" t="str">
        <f t="shared" si="3"/>
        <v>OK</v>
      </c>
      <c r="N2446" s="18" t="str">
        <f t="shared" si="4"/>
        <v>VALID</v>
      </c>
    </row>
    <row r="2447" ht="15.75" customHeight="1">
      <c r="A2447" s="13" t="str">
        <f>Raw_Data!A2447</f>
        <v>EMP2578</v>
      </c>
      <c r="B2447" s="13" t="str">
        <f>TRIM(CLEAN(Raw_Data!B2447))</f>
        <v>IT</v>
      </c>
      <c r="C2447" s="18" t="s">
        <v>26</v>
      </c>
      <c r="D2447" s="14" t="str">
        <f>IF(ISBLANK(Raw_Data!D2447),AVERAGE(Raw_Data!D$2:D$5002),Raw_Data!D2447)</f>
        <v>76147.99</v>
      </c>
      <c r="E2447" s="15" t="str">
        <f>IF(ISBLANK(Raw_Data!E2447),AVERAGE(Raw_Data!E$2:E$5002),Raw_Data!E2447)</f>
        <v>25887.37</v>
      </c>
      <c r="F2447" s="15" t="str">
        <f>IF(ISBLANK(Raw_Data!F2447),AVERAGE(Raw_Data!F$2:F$5002),Raw_Data!F2447)</f>
        <v>19970.31</v>
      </c>
      <c r="G2447" s="14" t="str">
        <f>IF(ISBLANK(Raw_Data!G2447),AVERAGE(Raw_Data!G$2:G$5002),Raw_Data!G2447)</f>
        <v>15668.66</v>
      </c>
      <c r="H2447" s="15" t="str">
        <f t="shared" si="1"/>
        <v>122006.00</v>
      </c>
      <c r="I2447" s="14" t="str">
        <f t="shared" si="2"/>
        <v>106337.00</v>
      </c>
      <c r="J2447" s="16" t="str">
        <f>TEXT(Raw_Data!J2447,"MMM-YYY")</f>
        <v>Aug-2025</v>
      </c>
      <c r="K2447" s="13" t="str">
        <f>Raw_Data!K2447</f>
        <v>21</v>
      </c>
      <c r="L2447" s="17" t="str">
        <f>Raw_Data!L2447</f>
        <v>Ahmedabad-West</v>
      </c>
      <c r="M2447" s="13" t="str">
        <f t="shared" si="3"/>
        <v>OK</v>
      </c>
      <c r="N2447" s="18" t="str">
        <f t="shared" si="4"/>
        <v>VALID</v>
      </c>
    </row>
    <row r="2448" ht="15.75" customHeight="1">
      <c r="A2448" s="13" t="str">
        <f>Raw_Data!A2448</f>
        <v>EMP2579</v>
      </c>
      <c r="B2448" s="13" t="str">
        <f>TRIM(CLEAN(Raw_Data!B2448))</f>
        <v>Customer Support</v>
      </c>
      <c r="C2448" s="18" t="s">
        <v>14</v>
      </c>
      <c r="D2448" s="14" t="str">
        <f>IF(ISBLANK(Raw_Data!D2448),AVERAGE(Raw_Data!D$2:D$5002),Raw_Data!D2448)</f>
        <v>76158.87</v>
      </c>
      <c r="E2448" s="15" t="str">
        <f>IF(ISBLANK(Raw_Data!E2448),AVERAGE(Raw_Data!E$2:E$5002),Raw_Data!E2448)</f>
        <v>25891.98</v>
      </c>
      <c r="F2448" s="15" t="str">
        <f>IF(ISBLANK(Raw_Data!F2448),AVERAGE(Raw_Data!F$2:F$5002),Raw_Data!F2448)</f>
        <v>19977.99</v>
      </c>
      <c r="G2448" s="14" t="str">
        <f>IF(ISBLANK(Raw_Data!G2448),AVERAGE(Raw_Data!G$2:G$5002),Raw_Data!G2448)</f>
        <v>15672.06</v>
      </c>
      <c r="H2448" s="15" t="str">
        <f t="shared" si="1"/>
        <v>122029.00</v>
      </c>
      <c r="I2448" s="14" t="str">
        <f t="shared" si="2"/>
        <v>106357.00</v>
      </c>
      <c r="J2448" s="16" t="str">
        <f>TEXT(Raw_Data!J2448,"MMM-YYY")</f>
        <v>Apr-2025</v>
      </c>
      <c r="K2448" s="13" t="str">
        <f>Raw_Data!K2448</f>
        <v>4</v>
      </c>
      <c r="L2448" s="17" t="str">
        <f>Raw_Data!L2448</f>
        <v>Jaipur-North</v>
      </c>
      <c r="M2448" s="13" t="str">
        <f t="shared" si="3"/>
        <v>OK</v>
      </c>
      <c r="N2448" s="18" t="str">
        <f t="shared" si="4"/>
        <v>VALID</v>
      </c>
    </row>
    <row r="2449" ht="15.75" customHeight="1">
      <c r="A2449" s="13" t="str">
        <f>Raw_Data!A2449</f>
        <v>EMP2580</v>
      </c>
      <c r="B2449" s="13" t="str">
        <f>TRIM(CLEAN(Raw_Data!B2449))</f>
        <v>Operations</v>
      </c>
      <c r="C2449" s="18" t="s">
        <v>37</v>
      </c>
      <c r="D2449" s="14" t="str">
        <f>IF(ISBLANK(Raw_Data!D2449),AVERAGE(Raw_Data!D$2:D$5002),Raw_Data!D2449)</f>
        <v>76169.76</v>
      </c>
      <c r="E2449" s="15" t="str">
        <f>IF(ISBLANK(Raw_Data!E2449),AVERAGE(Raw_Data!E$2:E$5002),Raw_Data!E2449)</f>
        <v>25896.60</v>
      </c>
      <c r="F2449" s="15" t="str">
        <f>IF(ISBLANK(Raw_Data!F2449),AVERAGE(Raw_Data!F$2:F$5002),Raw_Data!F2449)</f>
        <v>19985.67</v>
      </c>
      <c r="G2449" s="14" t="str">
        <f>IF(ISBLANK(Raw_Data!G2449),AVERAGE(Raw_Data!G$2:G$5002),Raw_Data!G2449)</f>
        <v>15675.46</v>
      </c>
      <c r="H2449" s="15" t="str">
        <f t="shared" si="1"/>
        <v>122052.00</v>
      </c>
      <c r="I2449" s="14" t="str">
        <f t="shared" si="2"/>
        <v>106377.00</v>
      </c>
      <c r="J2449" s="16" t="str">
        <f>TEXT(Raw_Data!J2449,"MMM-YYY")</f>
        <v>Jul-2025</v>
      </c>
      <c r="K2449" s="13" t="str">
        <f>Raw_Data!K2449</f>
        <v>22</v>
      </c>
      <c r="L2449" s="17" t="str">
        <f>Raw_Data!L2449</f>
        <v>Mumbai-HO</v>
      </c>
      <c r="M2449" s="13" t="str">
        <f t="shared" si="3"/>
        <v>OK</v>
      </c>
      <c r="N2449" s="18" t="str">
        <f t="shared" si="4"/>
        <v>VALID</v>
      </c>
    </row>
    <row r="2450" ht="15.75" customHeight="1">
      <c r="A2450" s="13" t="str">
        <f>Raw_Data!A2450</f>
        <v>EMP2581</v>
      </c>
      <c r="B2450" s="13" t="str">
        <f>TRIM(CLEAN(Raw_Data!B2450))</f>
        <v>IT</v>
      </c>
      <c r="C2450" s="18" t="s">
        <v>33</v>
      </c>
      <c r="D2450" s="14" t="str">
        <f>IF(ISBLANK(Raw_Data!D2450),AVERAGE(Raw_Data!D$2:D$5002),Raw_Data!D2450)</f>
        <v>76180.64</v>
      </c>
      <c r="E2450" s="15" t="str">
        <f>IF(ISBLANK(Raw_Data!E2450),AVERAGE(Raw_Data!E$2:E$5002),Raw_Data!E2450)</f>
        <v>25901.21</v>
      </c>
      <c r="F2450" s="15" t="str">
        <f>IF(ISBLANK(Raw_Data!F2450),AVERAGE(Raw_Data!F$2:F$5002),Raw_Data!F2450)</f>
        <v>19993.35</v>
      </c>
      <c r="G2450" s="14" t="str">
        <f>IF(ISBLANK(Raw_Data!G2450),AVERAGE(Raw_Data!G$2:G$5002),Raw_Data!G2450)</f>
        <v>15678.86</v>
      </c>
      <c r="H2450" s="15" t="str">
        <f t="shared" si="1"/>
        <v>122075.00</v>
      </c>
      <c r="I2450" s="14" t="str">
        <f t="shared" si="2"/>
        <v>106396.00</v>
      </c>
      <c r="J2450" s="16" t="str">
        <f>TEXT(Raw_Data!J2450,"MMM-YYY")</f>
        <v>Jan-2025</v>
      </c>
      <c r="K2450" s="13" t="str">
        <f>Raw_Data!K2450</f>
        <v>17</v>
      </c>
      <c r="L2450" s="17" t="str">
        <f>Raw_Data!L2450</f>
        <v>Delhi-North</v>
      </c>
      <c r="M2450" s="13" t="str">
        <f t="shared" si="3"/>
        <v>OK</v>
      </c>
      <c r="N2450" s="18" t="str">
        <f t="shared" si="4"/>
        <v>VALID</v>
      </c>
    </row>
    <row r="2451" ht="15.75" customHeight="1">
      <c r="A2451" s="13" t="str">
        <f>Raw_Data!A2451</f>
        <v>EMP2582</v>
      </c>
      <c r="B2451" s="13" t="str">
        <f>TRIM(CLEAN(Raw_Data!B2451))</f>
        <v>Customer Support</v>
      </c>
      <c r="C2451" s="18" t="s">
        <v>37</v>
      </c>
      <c r="D2451" s="14" t="str">
        <f>IF(ISBLANK(Raw_Data!D2451),AVERAGE(Raw_Data!D$2:D$5002),Raw_Data!D2451)</f>
        <v>76191.52</v>
      </c>
      <c r="E2451" s="15" t="str">
        <f>IF(ISBLANK(Raw_Data!E2451),AVERAGE(Raw_Data!E$2:E$5002),Raw_Data!E2451)</f>
        <v>25905.83</v>
      </c>
      <c r="F2451" s="15" t="str">
        <f>IF(ISBLANK(Raw_Data!F2451),AVERAGE(Raw_Data!F$2:F$5002),Raw_Data!F2451)</f>
        <v>20001.03</v>
      </c>
      <c r="G2451" s="14" t="str">
        <f>IF(ISBLANK(Raw_Data!G2451),AVERAGE(Raw_Data!G$2:G$5002),Raw_Data!G2451)</f>
        <v>15682.25</v>
      </c>
      <c r="H2451" s="15" t="str">
        <f t="shared" si="1"/>
        <v>122098.00</v>
      </c>
      <c r="I2451" s="14" t="str">
        <f t="shared" si="2"/>
        <v>106416.00</v>
      </c>
      <c r="J2451" s="16" t="str">
        <f>TEXT(Raw_Data!J2451,"MMM-YYY")</f>
        <v>Aug-2025</v>
      </c>
      <c r="K2451" s="13" t="str">
        <f>Raw_Data!K2451</f>
        <v>7</v>
      </c>
      <c r="L2451" s="17" t="str">
        <f>Raw_Data!L2451</f>
        <v>Bangalore-South</v>
      </c>
      <c r="M2451" s="13" t="str">
        <f t="shared" si="3"/>
        <v>OK</v>
      </c>
      <c r="N2451" s="18" t="str">
        <f t="shared" si="4"/>
        <v>VALID</v>
      </c>
    </row>
    <row r="2452" ht="15.75" customHeight="1">
      <c r="A2452" s="13" t="str">
        <f>Raw_Data!A2452</f>
        <v>EMP2583</v>
      </c>
      <c r="B2452" s="13" t="str">
        <f>TRIM(CLEAN(Raw_Data!B2452))</f>
        <v>Marketing</v>
      </c>
      <c r="C2452" s="18" t="s">
        <v>33</v>
      </c>
      <c r="D2452" s="14" t="str">
        <f>IF(ISBLANK(Raw_Data!D2452),AVERAGE(Raw_Data!D$2:D$5002),Raw_Data!D2452)</f>
        <v>76202.41</v>
      </c>
      <c r="E2452" s="15" t="str">
        <f>IF(ISBLANK(Raw_Data!E2452),AVERAGE(Raw_Data!E$2:E$5002),Raw_Data!E2452)</f>
        <v>25910.44</v>
      </c>
      <c r="F2452" s="15" t="str">
        <f>IF(ISBLANK(Raw_Data!F2452),AVERAGE(Raw_Data!F$2:F$5002),Raw_Data!F2452)</f>
        <v>20008.71</v>
      </c>
      <c r="G2452" s="14" t="str">
        <f>IF(ISBLANK(Raw_Data!G2452),AVERAGE(Raw_Data!G$2:G$5002),Raw_Data!G2452)</f>
        <v>15685.65</v>
      </c>
      <c r="H2452" s="15" t="str">
        <f t="shared" si="1"/>
        <v>122122.00</v>
      </c>
      <c r="I2452" s="14" t="str">
        <f t="shared" si="2"/>
        <v>106436.00</v>
      </c>
      <c r="J2452" s="16" t="str">
        <f>TEXT(Raw_Data!J2452,"MMM-YYY")</f>
        <v>Nov-2025</v>
      </c>
      <c r="K2452" s="13" t="str">
        <f>Raw_Data!K2452</f>
        <v>6</v>
      </c>
      <c r="L2452" s="17" t="str">
        <f>Raw_Data!L2452</f>
        <v>Chennai-South</v>
      </c>
      <c r="M2452" s="13" t="str">
        <f t="shared" si="3"/>
        <v>OK</v>
      </c>
      <c r="N2452" s="18" t="str">
        <f t="shared" si="4"/>
        <v>VALID</v>
      </c>
    </row>
    <row r="2453" ht="15.75" customHeight="1">
      <c r="A2453" s="13" t="str">
        <f>Raw_Data!A2453</f>
        <v>EMP2584</v>
      </c>
      <c r="B2453" s="13" t="str">
        <f>TRIM(CLEAN(Raw_Data!B2453))</f>
        <v>Finance</v>
      </c>
      <c r="C2453" s="18" t="s">
        <v>33</v>
      </c>
      <c r="D2453" s="14" t="str">
        <f>IF(ISBLANK(Raw_Data!D2453),AVERAGE(Raw_Data!D$2:D$5002),Raw_Data!D2453)</f>
        <v>76213.29</v>
      </c>
      <c r="E2453" s="15" t="str">
        <f>IF(ISBLANK(Raw_Data!E2453),AVERAGE(Raw_Data!E$2:E$5002),Raw_Data!E2453)</f>
        <v>25915.06</v>
      </c>
      <c r="F2453" s="15" t="str">
        <f>IF(ISBLANK(Raw_Data!F2453),AVERAGE(Raw_Data!F$2:F$5002),Raw_Data!F2453)</f>
        <v>20016.39</v>
      </c>
      <c r="G2453" s="14" t="str">
        <f>IF(ISBLANK(Raw_Data!G2453),AVERAGE(Raw_Data!G$2:G$5002),Raw_Data!G2453)</f>
        <v>15689.05</v>
      </c>
      <c r="H2453" s="15" t="str">
        <f t="shared" si="1"/>
        <v>122145.00</v>
      </c>
      <c r="I2453" s="14" t="str">
        <f t="shared" si="2"/>
        <v>106456.00</v>
      </c>
      <c r="J2453" s="16" t="str">
        <f>TEXT(Raw_Data!J2453,"MMM-YYY")</f>
        <v>Dec-2025</v>
      </c>
      <c r="K2453" s="13" t="str">
        <f>Raw_Data!K2453</f>
        <v>2</v>
      </c>
      <c r="L2453" s="17" t="str">
        <f>Raw_Data!L2453</f>
        <v>Kolkata-East</v>
      </c>
      <c r="M2453" s="13" t="str">
        <f t="shared" si="3"/>
        <v>OK</v>
      </c>
      <c r="N2453" s="18" t="str">
        <f t="shared" si="4"/>
        <v>VALID</v>
      </c>
    </row>
    <row r="2454" ht="15.75" customHeight="1">
      <c r="A2454" s="13" t="str">
        <f>Raw_Data!A2454</f>
        <v>EMP2585</v>
      </c>
      <c r="B2454" s="13" t="str">
        <f>TRIM(CLEAN(Raw_Data!B2454))</f>
        <v>HR</v>
      </c>
      <c r="C2454" s="18" t="s">
        <v>26</v>
      </c>
      <c r="D2454" s="14" t="str">
        <f>IF(ISBLANK(Raw_Data!D2454),AVERAGE(Raw_Data!D$2:D$5002),Raw_Data!D2454)</f>
        <v>76224.17</v>
      </c>
      <c r="E2454" s="15" t="str">
        <f>IF(ISBLANK(Raw_Data!E2454),AVERAGE(Raw_Data!E$2:E$5002),Raw_Data!E2454)</f>
        <v>25919.67</v>
      </c>
      <c r="F2454" s="15" t="str">
        <f>IF(ISBLANK(Raw_Data!F2454),AVERAGE(Raw_Data!F$2:F$5002),Raw_Data!F2454)</f>
        <v>20024.07</v>
      </c>
      <c r="G2454" s="14" t="str">
        <f>IF(ISBLANK(Raw_Data!G2454),AVERAGE(Raw_Data!G$2:G$5002),Raw_Data!G2454)</f>
        <v>15692.45</v>
      </c>
      <c r="H2454" s="15" t="str">
        <f t="shared" si="1"/>
        <v>122168.00</v>
      </c>
      <c r="I2454" s="14" t="str">
        <f t="shared" si="2"/>
        <v>106476.00</v>
      </c>
      <c r="J2454" s="16" t="str">
        <f>TEXT(Raw_Data!J2454,"MMM-YYY")</f>
        <v>Sep-2025</v>
      </c>
      <c r="K2454" s="13" t="str">
        <f>Raw_Data!K2454</f>
        <v>2</v>
      </c>
      <c r="L2454" s="17" t="str">
        <f>Raw_Data!L2454</f>
        <v>Pune-West</v>
      </c>
      <c r="M2454" s="13" t="str">
        <f t="shared" si="3"/>
        <v>OK</v>
      </c>
      <c r="N2454" s="18" t="str">
        <f t="shared" si="4"/>
        <v>VALID</v>
      </c>
    </row>
    <row r="2455" ht="15.75" customHeight="1">
      <c r="A2455" s="13" t="str">
        <f>Raw_Data!A2455</f>
        <v>EMP2586</v>
      </c>
      <c r="B2455" s="13" t="str">
        <f>TRIM(CLEAN(Raw_Data!B2455))</f>
        <v>Finance</v>
      </c>
      <c r="C2455" s="18" t="s">
        <v>30</v>
      </c>
      <c r="D2455" s="14" t="str">
        <f>IF(ISBLANK(Raw_Data!D2455),AVERAGE(Raw_Data!D$2:D$5002),Raw_Data!D2455)</f>
        <v>76235.05</v>
      </c>
      <c r="E2455" s="15" t="str">
        <f>IF(ISBLANK(Raw_Data!E2455),AVERAGE(Raw_Data!E$2:E$5002),Raw_Data!E2455)</f>
        <v>25924.29</v>
      </c>
      <c r="F2455" s="15" t="str">
        <f>IF(ISBLANK(Raw_Data!F2455),AVERAGE(Raw_Data!F$2:F$5002),Raw_Data!F2455)</f>
        <v>20031.75</v>
      </c>
      <c r="G2455" s="14" t="str">
        <f>IF(ISBLANK(Raw_Data!G2455),AVERAGE(Raw_Data!G$2:G$5002),Raw_Data!G2455)</f>
        <v>15695.84</v>
      </c>
      <c r="H2455" s="15" t="str">
        <f t="shared" si="1"/>
        <v>122191.00</v>
      </c>
      <c r="I2455" s="14" t="str">
        <f t="shared" si="2"/>
        <v>106495.00</v>
      </c>
      <c r="J2455" s="16" t="str">
        <f>TEXT(Raw_Data!J2455,"MMM-YYY")</f>
        <v>Sep-2025</v>
      </c>
      <c r="K2455" s="13" t="str">
        <f>Raw_Data!K2455</f>
        <v>7</v>
      </c>
      <c r="L2455" s="17" t="str">
        <f>Raw_Data!L2455</f>
        <v>Hyderabad-South</v>
      </c>
      <c r="M2455" s="13" t="str">
        <f t="shared" si="3"/>
        <v>OK</v>
      </c>
      <c r="N2455" s="18" t="str">
        <f t="shared" si="4"/>
        <v>VALID</v>
      </c>
    </row>
    <row r="2456" ht="15.75" customHeight="1">
      <c r="A2456" s="13" t="str">
        <f>Raw_Data!A2456</f>
        <v>EMP2587</v>
      </c>
      <c r="B2456" s="13" t="str">
        <f>TRIM(CLEAN(Raw_Data!B2456))</f>
        <v>Marketing</v>
      </c>
      <c r="C2456" s="18" t="s">
        <v>54</v>
      </c>
      <c r="D2456" s="14" t="str">
        <f>IF(ISBLANK(Raw_Data!D2456),AVERAGE(Raw_Data!D$2:D$5002),Raw_Data!D2456)</f>
        <v>76245.94</v>
      </c>
      <c r="E2456" s="15" t="str">
        <f>IF(ISBLANK(Raw_Data!E2456),AVERAGE(Raw_Data!E$2:E$5002),Raw_Data!E2456)</f>
        <v>25928.90</v>
      </c>
      <c r="F2456" s="15" t="str">
        <f>IF(ISBLANK(Raw_Data!F2456),AVERAGE(Raw_Data!F$2:F$5002),Raw_Data!F2456)</f>
        <v>20039.43</v>
      </c>
      <c r="G2456" s="14" t="str">
        <f>IF(ISBLANK(Raw_Data!G2456),AVERAGE(Raw_Data!G$2:G$5002),Raw_Data!G2456)</f>
        <v>15699.24</v>
      </c>
      <c r="H2456" s="15" t="str">
        <f t="shared" si="1"/>
        <v>122214.00</v>
      </c>
      <c r="I2456" s="14" t="str">
        <f t="shared" si="2"/>
        <v>106515.00</v>
      </c>
      <c r="J2456" s="16" t="str">
        <f>TEXT(Raw_Data!J2456,"MMM-YYY")</f>
        <v>Apr-2025</v>
      </c>
      <c r="K2456" s="13" t="str">
        <f>Raw_Data!K2456</f>
        <v>20</v>
      </c>
      <c r="L2456" s="17" t="str">
        <f>Raw_Data!L2456</f>
        <v>Chandigarh-North</v>
      </c>
      <c r="M2456" s="13" t="str">
        <f t="shared" si="3"/>
        <v>OK</v>
      </c>
      <c r="N2456" s="18" t="str">
        <f t="shared" si="4"/>
        <v>VALID</v>
      </c>
    </row>
    <row r="2457" ht="15.75" customHeight="1">
      <c r="A2457" s="13" t="str">
        <f>Raw_Data!A2457</f>
        <v>EMP2588</v>
      </c>
      <c r="B2457" s="13" t="str">
        <f>TRIM(CLEAN(Raw_Data!B2457))</f>
        <v>Marketing</v>
      </c>
      <c r="C2457" s="18" t="s">
        <v>26</v>
      </c>
      <c r="D2457" s="14" t="str">
        <f>IF(ISBLANK(Raw_Data!D2457),AVERAGE(Raw_Data!D$2:D$5002),Raw_Data!D2457)</f>
        <v>76256.82</v>
      </c>
      <c r="E2457" s="15" t="str">
        <f>IF(ISBLANK(Raw_Data!E2457),AVERAGE(Raw_Data!E$2:E$5002),Raw_Data!E2457)</f>
        <v>25933.52</v>
      </c>
      <c r="F2457" s="15" t="str">
        <f>IF(ISBLANK(Raw_Data!F2457),AVERAGE(Raw_Data!F$2:F$5002),Raw_Data!F2457)</f>
        <v>20047.11</v>
      </c>
      <c r="G2457" s="14" t="str">
        <f>IF(ISBLANK(Raw_Data!G2457),AVERAGE(Raw_Data!G$2:G$5002),Raw_Data!G2457)</f>
        <v>15702.64</v>
      </c>
      <c r="H2457" s="15" t="str">
        <f t="shared" si="1"/>
        <v>122237.00</v>
      </c>
      <c r="I2457" s="14" t="str">
        <f t="shared" si="2"/>
        <v>106534.00</v>
      </c>
      <c r="J2457" s="16" t="str">
        <f>TEXT(Raw_Data!J2457,"MMM-YYY")</f>
        <v>Feb-2025</v>
      </c>
      <c r="K2457" s="13" t="str">
        <f>Raw_Data!K2457</f>
        <v>22</v>
      </c>
      <c r="L2457" s="17" t="str">
        <f>Raw_Data!L2457</f>
        <v>Ahmedabad-West</v>
      </c>
      <c r="M2457" s="13" t="str">
        <f t="shared" si="3"/>
        <v>OK</v>
      </c>
      <c r="N2457" s="18" t="str">
        <f t="shared" si="4"/>
        <v>VALID</v>
      </c>
    </row>
    <row r="2458" ht="15.75" customHeight="1">
      <c r="A2458" s="13" t="str">
        <f>Raw_Data!A2458</f>
        <v>EMP2589</v>
      </c>
      <c r="B2458" s="13" t="str">
        <f>TRIM(CLEAN(Raw_Data!B2458))</f>
        <v>HR</v>
      </c>
      <c r="C2458" s="18" t="s">
        <v>37</v>
      </c>
      <c r="D2458" s="14" t="str">
        <f>IF(ISBLANK(Raw_Data!D2458),AVERAGE(Raw_Data!D$2:D$5002),Raw_Data!D2458)</f>
        <v>76267.70</v>
      </c>
      <c r="E2458" s="15" t="str">
        <f>IF(ISBLANK(Raw_Data!E2458),AVERAGE(Raw_Data!E$2:E$5002),Raw_Data!E2458)</f>
        <v>25938.13</v>
      </c>
      <c r="F2458" s="15" t="str">
        <f>IF(ISBLANK(Raw_Data!F2458),AVERAGE(Raw_Data!F$2:F$5002),Raw_Data!F2458)</f>
        <v>20054.79</v>
      </c>
      <c r="G2458" s="14" t="str">
        <f>IF(ISBLANK(Raw_Data!G2458),AVERAGE(Raw_Data!G$2:G$5002),Raw_Data!G2458)</f>
        <v>15706.04</v>
      </c>
      <c r="H2458" s="15" t="str">
        <f t="shared" si="1"/>
        <v>122261.00</v>
      </c>
      <c r="I2458" s="14" t="str">
        <f t="shared" si="2"/>
        <v>106555.00</v>
      </c>
      <c r="J2458" s="16" t="str">
        <f>TEXT(Raw_Data!J2458,"MMM-YYY")</f>
        <v>Jan-2025</v>
      </c>
      <c r="K2458" s="13" t="str">
        <f>Raw_Data!K2458</f>
        <v>14</v>
      </c>
      <c r="L2458" s="17" t="str">
        <f>Raw_Data!L2458</f>
        <v>Jaipur-North</v>
      </c>
      <c r="M2458" s="13" t="str">
        <f t="shared" si="3"/>
        <v>OK</v>
      </c>
      <c r="N2458" s="18" t="str">
        <f t="shared" si="4"/>
        <v>VALID</v>
      </c>
    </row>
    <row r="2459" ht="15.75" customHeight="1">
      <c r="A2459" s="13" t="str">
        <f>Raw_Data!A2459</f>
        <v>EMP2590</v>
      </c>
      <c r="B2459" s="13" t="str">
        <f>TRIM(CLEAN(Raw_Data!B2459))</f>
        <v>Sales</v>
      </c>
      <c r="C2459" s="18" t="s">
        <v>26</v>
      </c>
      <c r="D2459" s="14" t="str">
        <f>IF(ISBLANK(Raw_Data!D2459),AVERAGE(Raw_Data!D$2:D$5002),Raw_Data!D2459)</f>
        <v>76278.59</v>
      </c>
      <c r="E2459" s="15" t="str">
        <f>IF(ISBLANK(Raw_Data!E2459),AVERAGE(Raw_Data!E$2:E$5002),Raw_Data!E2459)</f>
        <v>25942.74</v>
      </c>
      <c r="F2459" s="15" t="str">
        <f>IF(ISBLANK(Raw_Data!F2459),AVERAGE(Raw_Data!F$2:F$5002),Raw_Data!F2459)</f>
        <v>20062.47</v>
      </c>
      <c r="G2459" s="14" t="str">
        <f>IF(ISBLANK(Raw_Data!G2459),AVERAGE(Raw_Data!G$2:G$5002),Raw_Data!G2459)</f>
        <v>15709.44</v>
      </c>
      <c r="H2459" s="15" t="str">
        <f t="shared" si="1"/>
        <v>122284.00</v>
      </c>
      <c r="I2459" s="14" t="str">
        <f t="shared" si="2"/>
        <v>106575.00</v>
      </c>
      <c r="J2459" s="16" t="str">
        <f>TEXT(Raw_Data!J2459,"MMM-YYY")</f>
        <v>Oct-2025</v>
      </c>
      <c r="K2459" s="13" t="str">
        <f>Raw_Data!K2459</f>
        <v>22</v>
      </c>
      <c r="L2459" s="17" t="str">
        <f>Raw_Data!L2459</f>
        <v>Mumbai-HO</v>
      </c>
      <c r="M2459" s="13" t="str">
        <f t="shared" si="3"/>
        <v>OK</v>
      </c>
      <c r="N2459" s="18" t="str">
        <f t="shared" si="4"/>
        <v>VALID</v>
      </c>
    </row>
    <row r="2460" ht="15.75" customHeight="1">
      <c r="A2460" s="13" t="str">
        <f>Raw_Data!A2460</f>
        <v>EMP2591</v>
      </c>
      <c r="B2460" s="13" t="str">
        <f>TRIM(CLEAN(Raw_Data!B2460))</f>
        <v>Marketing</v>
      </c>
      <c r="C2460" s="18" t="s">
        <v>14</v>
      </c>
      <c r="D2460" s="14" t="str">
        <f>IF(ISBLANK(Raw_Data!D2460),AVERAGE(Raw_Data!D$2:D$5002),Raw_Data!D2460)</f>
        <v>76289.47</v>
      </c>
      <c r="E2460" s="15" t="str">
        <f>IF(ISBLANK(Raw_Data!E2460),AVERAGE(Raw_Data!E$2:E$5002),Raw_Data!E2460)</f>
        <v>25947.36</v>
      </c>
      <c r="F2460" s="15" t="str">
        <f>IF(ISBLANK(Raw_Data!F2460),AVERAGE(Raw_Data!F$2:F$5002),Raw_Data!F2460)</f>
        <v>20070.15</v>
      </c>
      <c r="G2460" s="14" t="str">
        <f>IF(ISBLANK(Raw_Data!G2460),AVERAGE(Raw_Data!G$2:G$5002),Raw_Data!G2460)</f>
        <v>15712.83</v>
      </c>
      <c r="H2460" s="15" t="str">
        <f t="shared" si="1"/>
        <v>122307.00</v>
      </c>
      <c r="I2460" s="14" t="str">
        <f t="shared" si="2"/>
        <v>106594.00</v>
      </c>
      <c r="J2460" s="16" t="str">
        <f>TEXT(Raw_Data!J2460,"MMM-YYY")</f>
        <v>Jul-2025</v>
      </c>
      <c r="K2460" s="13" t="str">
        <f>Raw_Data!K2460</f>
        <v>6</v>
      </c>
      <c r="L2460" s="17" t="str">
        <f>Raw_Data!L2460</f>
        <v>Delhi-North</v>
      </c>
      <c r="M2460" s="13" t="str">
        <f t="shared" si="3"/>
        <v>OK</v>
      </c>
      <c r="N2460" s="18" t="str">
        <f t="shared" si="4"/>
        <v>VALID</v>
      </c>
    </row>
    <row r="2461" ht="15.75" customHeight="1">
      <c r="A2461" s="13" t="str">
        <f>Raw_Data!A2461</f>
        <v>EMP2592</v>
      </c>
      <c r="B2461" s="13" t="str">
        <f>TRIM(CLEAN(Raw_Data!B2461))</f>
        <v>IT</v>
      </c>
      <c r="C2461" s="18" t="s">
        <v>14</v>
      </c>
      <c r="D2461" s="14" t="str">
        <f>IF(ISBLANK(Raw_Data!D2461),AVERAGE(Raw_Data!D$2:D$5002),Raw_Data!D2461)</f>
        <v>76300.35</v>
      </c>
      <c r="E2461" s="15" t="str">
        <f>IF(ISBLANK(Raw_Data!E2461),AVERAGE(Raw_Data!E$2:E$5002),Raw_Data!E2461)</f>
        <v>25951.97</v>
      </c>
      <c r="F2461" s="15" t="str">
        <f>IF(ISBLANK(Raw_Data!F2461),AVERAGE(Raw_Data!F$2:F$5002),Raw_Data!F2461)</f>
        <v>20077.83</v>
      </c>
      <c r="G2461" s="14" t="str">
        <f>IF(ISBLANK(Raw_Data!G2461),AVERAGE(Raw_Data!G$2:G$5002),Raw_Data!G2461)</f>
        <v>15716.23</v>
      </c>
      <c r="H2461" s="15" t="str">
        <f t="shared" si="1"/>
        <v>122330.00</v>
      </c>
      <c r="I2461" s="14" t="str">
        <f t="shared" si="2"/>
        <v>106614.00</v>
      </c>
      <c r="J2461" s="16" t="str">
        <f>TEXT(Raw_Data!J2461,"MMM-YYY")</f>
        <v>Aug-2025</v>
      </c>
      <c r="K2461" s="13" t="str">
        <f>Raw_Data!K2461</f>
        <v>11</v>
      </c>
      <c r="L2461" s="17" t="str">
        <f>Raw_Data!L2461</f>
        <v>Bangalore-South</v>
      </c>
      <c r="M2461" s="13" t="str">
        <f t="shared" si="3"/>
        <v>OK</v>
      </c>
      <c r="N2461" s="18" t="str">
        <f t="shared" si="4"/>
        <v>VALID</v>
      </c>
    </row>
    <row r="2462" ht="15.75" customHeight="1">
      <c r="A2462" s="13" t="str">
        <f>Raw_Data!A2462</f>
        <v>EMP2593</v>
      </c>
      <c r="B2462" s="13" t="str">
        <f>TRIM(CLEAN(Raw_Data!B2462))</f>
        <v>Sales</v>
      </c>
      <c r="C2462" s="18" t="s">
        <v>14</v>
      </c>
      <c r="D2462" s="14" t="str">
        <f>IF(ISBLANK(Raw_Data!D2462),AVERAGE(Raw_Data!D$2:D$5002),Raw_Data!D2462)</f>
        <v>76311.24</v>
      </c>
      <c r="E2462" s="15" t="str">
        <f>IF(ISBLANK(Raw_Data!E2462),AVERAGE(Raw_Data!E$2:E$5002),Raw_Data!E2462)</f>
        <v>25956.59</v>
      </c>
      <c r="F2462" s="15" t="str">
        <f>IF(ISBLANK(Raw_Data!F2462),AVERAGE(Raw_Data!F$2:F$5002),Raw_Data!F2462)</f>
        <v>20085.51</v>
      </c>
      <c r="G2462" s="14" t="str">
        <f>IF(ISBLANK(Raw_Data!G2462),AVERAGE(Raw_Data!G$2:G$5002),Raw_Data!G2462)</f>
        <v>15719.63</v>
      </c>
      <c r="H2462" s="15" t="str">
        <f t="shared" si="1"/>
        <v>122353.00</v>
      </c>
      <c r="I2462" s="14" t="str">
        <f t="shared" si="2"/>
        <v>106633.00</v>
      </c>
      <c r="J2462" s="16" t="str">
        <f>TEXT(Raw_Data!J2462,"MMM-YYY")</f>
        <v>Aug-2025</v>
      </c>
      <c r="K2462" s="13" t="str">
        <f>Raw_Data!K2462</f>
        <v>15</v>
      </c>
      <c r="L2462" s="17" t="str">
        <f>Raw_Data!L2462</f>
        <v>Chennai-South</v>
      </c>
      <c r="M2462" s="13" t="str">
        <f t="shared" si="3"/>
        <v>OK</v>
      </c>
      <c r="N2462" s="18" t="str">
        <f t="shared" si="4"/>
        <v>VALID</v>
      </c>
    </row>
    <row r="2463" ht="15.75" customHeight="1">
      <c r="A2463" s="13" t="str">
        <f>Raw_Data!A2463</f>
        <v>EMP2594</v>
      </c>
      <c r="B2463" s="13" t="str">
        <f>TRIM(CLEAN(Raw_Data!B2463))</f>
        <v>Operations</v>
      </c>
      <c r="C2463" s="18" t="s">
        <v>14</v>
      </c>
      <c r="D2463" s="14" t="str">
        <f>IF(ISBLANK(Raw_Data!D2463),AVERAGE(Raw_Data!D$2:D$5002),Raw_Data!D2463)</f>
        <v>76322.12</v>
      </c>
      <c r="E2463" s="15" t="str">
        <f>IF(ISBLANK(Raw_Data!E2463),AVERAGE(Raw_Data!E$2:E$5002),Raw_Data!E2463)</f>
        <v>25961.20</v>
      </c>
      <c r="F2463" s="15" t="str">
        <f>IF(ISBLANK(Raw_Data!F2463),AVERAGE(Raw_Data!F$2:F$5002),Raw_Data!F2463)</f>
        <v>20093.19</v>
      </c>
      <c r="G2463" s="14" t="str">
        <f>IF(ISBLANK(Raw_Data!G2463),AVERAGE(Raw_Data!G$2:G$5002),Raw_Data!G2463)</f>
        <v>15723.03</v>
      </c>
      <c r="H2463" s="15" t="str">
        <f t="shared" si="1"/>
        <v>122377.00</v>
      </c>
      <c r="I2463" s="14" t="str">
        <f t="shared" si="2"/>
        <v>106654.00</v>
      </c>
      <c r="J2463" s="16" t="str">
        <f>TEXT(Raw_Data!J2463,"MMM-YYY")</f>
        <v>Oct-2025</v>
      </c>
      <c r="K2463" s="13" t="str">
        <f>Raw_Data!K2463</f>
        <v>12</v>
      </c>
      <c r="L2463" s="17" t="str">
        <f>Raw_Data!L2463</f>
        <v>Kolkata-East</v>
      </c>
      <c r="M2463" s="13" t="str">
        <f t="shared" si="3"/>
        <v>OK</v>
      </c>
      <c r="N2463" s="18" t="str">
        <f t="shared" si="4"/>
        <v>VALID</v>
      </c>
    </row>
    <row r="2464" ht="15.75" customHeight="1">
      <c r="A2464" s="13" t="str">
        <f>Raw_Data!A2464</f>
        <v>EMP2595</v>
      </c>
      <c r="B2464" s="13" t="str">
        <f>TRIM(CLEAN(Raw_Data!B2464))</f>
        <v>Sales</v>
      </c>
      <c r="C2464" s="18" t="s">
        <v>37</v>
      </c>
      <c r="D2464" s="14" t="str">
        <f>IF(ISBLANK(Raw_Data!D2464),AVERAGE(Raw_Data!D$2:D$5002),Raw_Data!D2464)</f>
        <v>76333.00</v>
      </c>
      <c r="E2464" s="15" t="str">
        <f>IF(ISBLANK(Raw_Data!E2464),AVERAGE(Raw_Data!E$2:E$5002),Raw_Data!E2464)</f>
        <v>25965.82</v>
      </c>
      <c r="F2464" s="15" t="str">
        <f>IF(ISBLANK(Raw_Data!F2464),AVERAGE(Raw_Data!F$2:F$5002),Raw_Data!F2464)</f>
        <v>20100.87</v>
      </c>
      <c r="G2464" s="14" t="str">
        <f>IF(ISBLANK(Raw_Data!G2464),AVERAGE(Raw_Data!G$2:G$5002),Raw_Data!G2464)</f>
        <v>15726.42</v>
      </c>
      <c r="H2464" s="15" t="str">
        <f t="shared" si="1"/>
        <v>122400.00</v>
      </c>
      <c r="I2464" s="14" t="str">
        <f t="shared" si="2"/>
        <v>106674.00</v>
      </c>
      <c r="J2464" s="16" t="str">
        <f>TEXT(Raw_Data!J2464,"MMM-YYY")</f>
        <v>May-2025</v>
      </c>
      <c r="K2464" s="13" t="str">
        <f>Raw_Data!K2464</f>
        <v>24</v>
      </c>
      <c r="L2464" s="17" t="str">
        <f>Raw_Data!L2464</f>
        <v>Pune-West</v>
      </c>
      <c r="M2464" s="13" t="str">
        <f t="shared" si="3"/>
        <v>OK</v>
      </c>
      <c r="N2464" s="18" t="str">
        <f t="shared" si="4"/>
        <v>VALID</v>
      </c>
    </row>
    <row r="2465" ht="15.75" customHeight="1">
      <c r="A2465" s="13" t="str">
        <f>Raw_Data!A2465</f>
        <v>EMP2596</v>
      </c>
      <c r="B2465" s="13" t="str">
        <f>TRIM(CLEAN(Raw_Data!B2465))</f>
        <v>IT</v>
      </c>
      <c r="C2465" s="18" t="s">
        <v>54</v>
      </c>
      <c r="D2465" s="14" t="str">
        <f>IF(ISBLANK(Raw_Data!D2465),AVERAGE(Raw_Data!D$2:D$5002),Raw_Data!D2465)</f>
        <v>76343.88</v>
      </c>
      <c r="E2465" s="15" t="str">
        <f>IF(ISBLANK(Raw_Data!E2465),AVERAGE(Raw_Data!E$2:E$5002),Raw_Data!E2465)</f>
        <v>25970.43</v>
      </c>
      <c r="F2465" s="15" t="str">
        <f>IF(ISBLANK(Raw_Data!F2465),AVERAGE(Raw_Data!F$2:F$5002),Raw_Data!F2465)</f>
        <v>20108.55</v>
      </c>
      <c r="G2465" s="14" t="str">
        <f>IF(ISBLANK(Raw_Data!G2465),AVERAGE(Raw_Data!G$2:G$5002),Raw_Data!G2465)</f>
        <v>15729.82</v>
      </c>
      <c r="H2465" s="15" t="str">
        <f t="shared" si="1"/>
        <v>122423.00</v>
      </c>
      <c r="I2465" s="14" t="str">
        <f t="shared" si="2"/>
        <v>106693.00</v>
      </c>
      <c r="J2465" s="16" t="str">
        <f>TEXT(Raw_Data!J2465,"MMM-YYY")</f>
        <v>Jun-2025</v>
      </c>
      <c r="K2465" s="13" t="str">
        <f>Raw_Data!K2465</f>
        <v>6</v>
      </c>
      <c r="L2465" s="17" t="str">
        <f>Raw_Data!L2465</f>
        <v>Hyderabad-South</v>
      </c>
      <c r="M2465" s="13" t="str">
        <f t="shared" si="3"/>
        <v>OK</v>
      </c>
      <c r="N2465" s="18" t="str">
        <f t="shared" si="4"/>
        <v>VALID</v>
      </c>
    </row>
    <row r="2466" ht="15.75" customHeight="1">
      <c r="A2466" s="13" t="str">
        <f>Raw_Data!A2466</f>
        <v>EMP2597</v>
      </c>
      <c r="B2466" s="13" t="str">
        <f>TRIM(CLEAN(Raw_Data!B2466))</f>
        <v>IT</v>
      </c>
      <c r="C2466" s="18" t="s">
        <v>37</v>
      </c>
      <c r="D2466" s="14" t="str">
        <f>IF(ISBLANK(Raw_Data!D2466),AVERAGE(Raw_Data!D$2:D$5002),Raw_Data!D2466)</f>
        <v>76354.77</v>
      </c>
      <c r="E2466" s="15" t="str">
        <f>IF(ISBLANK(Raw_Data!E2466),AVERAGE(Raw_Data!E$2:E$5002),Raw_Data!E2466)</f>
        <v>25975.05</v>
      </c>
      <c r="F2466" s="15" t="str">
        <f>IF(ISBLANK(Raw_Data!F2466),AVERAGE(Raw_Data!F$2:F$5002),Raw_Data!F2466)</f>
        <v>20116.23</v>
      </c>
      <c r="G2466" s="14" t="str">
        <f>IF(ISBLANK(Raw_Data!G2466),AVERAGE(Raw_Data!G$2:G$5002),Raw_Data!G2466)</f>
        <v>15733.22</v>
      </c>
      <c r="H2466" s="15" t="str">
        <f t="shared" si="1"/>
        <v>122446.00</v>
      </c>
      <c r="I2466" s="14" t="str">
        <f t="shared" si="2"/>
        <v>106713.00</v>
      </c>
      <c r="J2466" s="16" t="str">
        <f>TEXT(Raw_Data!J2466,"MMM-YYY")</f>
        <v>Nov-2025</v>
      </c>
      <c r="K2466" s="13" t="str">
        <f>Raw_Data!K2466</f>
        <v>5</v>
      </c>
      <c r="L2466" s="17" t="str">
        <f>Raw_Data!L2466</f>
        <v>Chandigarh-North</v>
      </c>
      <c r="M2466" s="13" t="str">
        <f t="shared" si="3"/>
        <v>OK</v>
      </c>
      <c r="N2466" s="18" t="str">
        <f t="shared" si="4"/>
        <v>VALID</v>
      </c>
    </row>
    <row r="2467" ht="15.75" customHeight="1">
      <c r="A2467" s="13" t="str">
        <f>Raw_Data!A2467</f>
        <v>EMP2598</v>
      </c>
      <c r="B2467" s="13" t="str">
        <f>TRIM(CLEAN(Raw_Data!B2467))</f>
        <v>Finance</v>
      </c>
      <c r="C2467" s="18" t="s">
        <v>30</v>
      </c>
      <c r="D2467" s="14" t="str">
        <f>IF(ISBLANK(Raw_Data!D2467),AVERAGE(Raw_Data!D$2:D$5002),Raw_Data!D2467)</f>
        <v>76365.65</v>
      </c>
      <c r="E2467" s="15" t="str">
        <f>IF(ISBLANK(Raw_Data!E2467),AVERAGE(Raw_Data!E$2:E$5002),Raw_Data!E2467)</f>
        <v>25979.66</v>
      </c>
      <c r="F2467" s="15" t="str">
        <f>IF(ISBLANK(Raw_Data!F2467),AVERAGE(Raw_Data!F$2:F$5002),Raw_Data!F2467)</f>
        <v>20123.91</v>
      </c>
      <c r="G2467" s="14" t="str">
        <f>IF(ISBLANK(Raw_Data!G2467),AVERAGE(Raw_Data!G$2:G$5002),Raw_Data!G2467)</f>
        <v>15736.62</v>
      </c>
      <c r="H2467" s="15" t="str">
        <f t="shared" si="1"/>
        <v>122469.00</v>
      </c>
      <c r="I2467" s="14" t="str">
        <f t="shared" si="2"/>
        <v>106732.00</v>
      </c>
      <c r="J2467" s="16" t="str">
        <f>TEXT(Raw_Data!J2467,"MMM-YYY")</f>
        <v>Jan-2025</v>
      </c>
      <c r="K2467" s="13" t="str">
        <f>Raw_Data!K2467</f>
        <v>14</v>
      </c>
      <c r="L2467" s="17" t="str">
        <f>Raw_Data!L2467</f>
        <v>Ahmedabad-West</v>
      </c>
      <c r="M2467" s="13" t="str">
        <f t="shared" si="3"/>
        <v>OK</v>
      </c>
      <c r="N2467" s="18" t="str">
        <f t="shared" si="4"/>
        <v>VALID</v>
      </c>
    </row>
    <row r="2468" ht="15.75" customHeight="1">
      <c r="A2468" s="13" t="str">
        <f>Raw_Data!A2468</f>
        <v>EMP2599</v>
      </c>
      <c r="B2468" s="13" t="str">
        <f>TRIM(CLEAN(Raw_Data!B2468))</f>
        <v>Operations</v>
      </c>
      <c r="C2468" s="18" t="s">
        <v>37</v>
      </c>
      <c r="D2468" s="14" t="str">
        <f>IF(ISBLANK(Raw_Data!D2468),AVERAGE(Raw_Data!D$2:D$5002),Raw_Data!D2468)</f>
        <v>76376.53</v>
      </c>
      <c r="E2468" s="15" t="str">
        <f>IF(ISBLANK(Raw_Data!E2468),AVERAGE(Raw_Data!E$2:E$5002),Raw_Data!E2468)</f>
        <v>25984.28</v>
      </c>
      <c r="F2468" s="15" t="str">
        <f>IF(ISBLANK(Raw_Data!F2468),AVERAGE(Raw_Data!F$2:F$5002),Raw_Data!F2468)</f>
        <v>20131.59</v>
      </c>
      <c r="G2468" s="14" t="str">
        <f>IF(ISBLANK(Raw_Data!G2468),AVERAGE(Raw_Data!G$2:G$5002),Raw_Data!G2468)</f>
        <v>15740.01</v>
      </c>
      <c r="H2468" s="15" t="str">
        <f t="shared" si="1"/>
        <v>122492.00</v>
      </c>
      <c r="I2468" s="14" t="str">
        <f t="shared" si="2"/>
        <v>106752.00</v>
      </c>
      <c r="J2468" s="16" t="str">
        <f>TEXT(Raw_Data!J2468,"MMM-YYY")</f>
        <v>Apr-2025</v>
      </c>
      <c r="K2468" s="13" t="str">
        <f>Raw_Data!K2468</f>
        <v>11</v>
      </c>
      <c r="L2468" s="17" t="str">
        <f>Raw_Data!L2468</f>
        <v>Jaipur-North</v>
      </c>
      <c r="M2468" s="13" t="str">
        <f t="shared" si="3"/>
        <v>OK</v>
      </c>
      <c r="N2468" s="18" t="str">
        <f t="shared" si="4"/>
        <v>VALID</v>
      </c>
    </row>
    <row r="2469" ht="15.75" customHeight="1">
      <c r="A2469" s="13" t="str">
        <f>Raw_Data!A2469</f>
        <v>EMP2600</v>
      </c>
      <c r="B2469" s="13" t="str">
        <f>TRIM(CLEAN(Raw_Data!B2469))</f>
        <v>Marketing</v>
      </c>
      <c r="C2469" s="18" t="s">
        <v>30</v>
      </c>
      <c r="D2469" s="14" t="str">
        <f>IF(ISBLANK(Raw_Data!D2469),AVERAGE(Raw_Data!D$2:D$5002),Raw_Data!D2469)</f>
        <v>76387.42</v>
      </c>
      <c r="E2469" s="15" t="str">
        <f>IF(ISBLANK(Raw_Data!E2469),AVERAGE(Raw_Data!E$2:E$5002),Raw_Data!E2469)</f>
        <v>25988.89</v>
      </c>
      <c r="F2469" s="15" t="str">
        <f>IF(ISBLANK(Raw_Data!F2469),AVERAGE(Raw_Data!F$2:F$5002),Raw_Data!F2469)</f>
        <v>20139.27</v>
      </c>
      <c r="G2469" s="14" t="str">
        <f>IF(ISBLANK(Raw_Data!G2469),AVERAGE(Raw_Data!G$2:G$5002),Raw_Data!G2469)</f>
        <v>15743.41</v>
      </c>
      <c r="H2469" s="15" t="str">
        <f t="shared" si="1"/>
        <v>122516.00</v>
      </c>
      <c r="I2469" s="14" t="str">
        <f t="shared" si="2"/>
        <v>106773.00</v>
      </c>
      <c r="J2469" s="16" t="str">
        <f>TEXT(Raw_Data!J2469,"MMM-YYY")</f>
        <v>Nov-2025</v>
      </c>
      <c r="K2469" s="13" t="str">
        <f>Raw_Data!K2469</f>
        <v>14</v>
      </c>
      <c r="L2469" s="17" t="str">
        <f>Raw_Data!L2469</f>
        <v>Mumbai-HO</v>
      </c>
      <c r="M2469" s="13" t="str">
        <f t="shared" si="3"/>
        <v>OK</v>
      </c>
      <c r="N2469" s="18" t="str">
        <f t="shared" si="4"/>
        <v>VALID</v>
      </c>
    </row>
    <row r="2470" ht="15.75" customHeight="1">
      <c r="A2470" s="13" t="str">
        <f>Raw_Data!A2470</f>
        <v>EMP2601</v>
      </c>
      <c r="B2470" s="13" t="str">
        <f>TRIM(CLEAN(Raw_Data!B2470))</f>
        <v>Operations</v>
      </c>
      <c r="C2470" s="18" t="s">
        <v>54</v>
      </c>
      <c r="D2470" s="14" t="str">
        <f>IF(ISBLANK(Raw_Data!D2470),AVERAGE(Raw_Data!D$2:D$5002),Raw_Data!D2470)</f>
        <v>76398.30</v>
      </c>
      <c r="E2470" s="15" t="str">
        <f>IF(ISBLANK(Raw_Data!E2470),AVERAGE(Raw_Data!E$2:E$5002),Raw_Data!E2470)</f>
        <v>25993.51</v>
      </c>
      <c r="F2470" s="15" t="str">
        <f>IF(ISBLANK(Raw_Data!F2470),AVERAGE(Raw_Data!F$2:F$5002),Raw_Data!F2470)</f>
        <v>20146.95</v>
      </c>
      <c r="G2470" s="14" t="str">
        <f>IF(ISBLANK(Raw_Data!G2470),AVERAGE(Raw_Data!G$2:G$5002),Raw_Data!G2470)</f>
        <v>15746.81</v>
      </c>
      <c r="H2470" s="15" t="str">
        <f t="shared" si="1"/>
        <v>122539.00</v>
      </c>
      <c r="I2470" s="14" t="str">
        <f t="shared" si="2"/>
        <v>106792.00</v>
      </c>
      <c r="J2470" s="16" t="str">
        <f>TEXT(Raw_Data!J2470,"MMM-YYY")</f>
        <v>Feb-2025</v>
      </c>
      <c r="K2470" s="13" t="str">
        <f>Raw_Data!K2470</f>
        <v>17</v>
      </c>
      <c r="L2470" s="17" t="str">
        <f>Raw_Data!L2470</f>
        <v>Delhi-North</v>
      </c>
      <c r="M2470" s="13" t="str">
        <f t="shared" si="3"/>
        <v>OK</v>
      </c>
      <c r="N2470" s="18" t="str">
        <f t="shared" si="4"/>
        <v>VALID</v>
      </c>
    </row>
    <row r="2471" ht="15.75" customHeight="1">
      <c r="A2471" s="13" t="str">
        <f>Raw_Data!A2471</f>
        <v>EMP2602</v>
      </c>
      <c r="B2471" s="13" t="str">
        <f>TRIM(CLEAN(Raw_Data!B2471))</f>
        <v>Operations</v>
      </c>
      <c r="C2471" s="18" t="s">
        <v>30</v>
      </c>
      <c r="D2471" s="14" t="str">
        <f>IF(ISBLANK(Raw_Data!D2471),AVERAGE(Raw_Data!D$2:D$5002),Raw_Data!D2471)</f>
        <v>76409.18</v>
      </c>
      <c r="E2471" s="15" t="str">
        <f>IF(ISBLANK(Raw_Data!E2471),AVERAGE(Raw_Data!E$2:E$5002),Raw_Data!E2471)</f>
        <v>25998.12</v>
      </c>
      <c r="F2471" s="15" t="str">
        <f>IF(ISBLANK(Raw_Data!F2471),AVERAGE(Raw_Data!F$2:F$5002),Raw_Data!F2471)</f>
        <v>20154.63</v>
      </c>
      <c r="G2471" s="14" t="str">
        <f>IF(ISBLANK(Raw_Data!G2471),AVERAGE(Raw_Data!G$2:G$5002),Raw_Data!G2471)</f>
        <v>15750.21</v>
      </c>
      <c r="H2471" s="15" t="str">
        <f t="shared" si="1"/>
        <v>122562.00</v>
      </c>
      <c r="I2471" s="14" t="str">
        <f t="shared" si="2"/>
        <v>106812.00</v>
      </c>
      <c r="J2471" s="16" t="str">
        <f>TEXT(Raw_Data!J2471,"MMM-YYY")</f>
        <v>Jun-2025</v>
      </c>
      <c r="K2471" s="13" t="str">
        <f>Raw_Data!K2471</f>
        <v>18</v>
      </c>
      <c r="L2471" s="17" t="str">
        <f>Raw_Data!L2471</f>
        <v>Bangalore-South</v>
      </c>
      <c r="M2471" s="13" t="str">
        <f t="shared" si="3"/>
        <v>OK</v>
      </c>
      <c r="N2471" s="18" t="str">
        <f t="shared" si="4"/>
        <v>VALID</v>
      </c>
    </row>
    <row r="2472" ht="15.75" customHeight="1">
      <c r="A2472" s="13" t="str">
        <f>Raw_Data!A2472</f>
        <v>EMP2603</v>
      </c>
      <c r="B2472" s="13" t="str">
        <f>TRIM(CLEAN(Raw_Data!B2472))</f>
        <v>Customer Support</v>
      </c>
      <c r="C2472" s="18" t="s">
        <v>18</v>
      </c>
      <c r="D2472" s="14" t="str">
        <f>IF(ISBLANK(Raw_Data!D2472),AVERAGE(Raw_Data!D$2:D$5002),Raw_Data!D2472)</f>
        <v>76420.07</v>
      </c>
      <c r="E2472" s="15" t="str">
        <f>IF(ISBLANK(Raw_Data!E2472),AVERAGE(Raw_Data!E$2:E$5002),Raw_Data!E2472)</f>
        <v>26002.74</v>
      </c>
      <c r="F2472" s="15" t="str">
        <f>IF(ISBLANK(Raw_Data!F2472),AVERAGE(Raw_Data!F$2:F$5002),Raw_Data!F2472)</f>
        <v>20162.31</v>
      </c>
      <c r="G2472" s="14" t="str">
        <f>IF(ISBLANK(Raw_Data!G2472),AVERAGE(Raw_Data!G$2:G$5002),Raw_Data!G2472)</f>
        <v>15753.60</v>
      </c>
      <c r="H2472" s="15" t="str">
        <f t="shared" si="1"/>
        <v>122585.00</v>
      </c>
      <c r="I2472" s="14" t="str">
        <f t="shared" si="2"/>
        <v>106831.00</v>
      </c>
      <c r="J2472" s="16" t="str">
        <f>TEXT(Raw_Data!J2472,"MMM-YYY")</f>
        <v>Mar-2025</v>
      </c>
      <c r="K2472" s="13" t="str">
        <f>Raw_Data!K2472</f>
        <v>20</v>
      </c>
      <c r="L2472" s="17" t="str">
        <f>Raw_Data!L2472</f>
        <v>Chennai-South</v>
      </c>
      <c r="M2472" s="13" t="str">
        <f t="shared" si="3"/>
        <v>OK</v>
      </c>
      <c r="N2472" s="18" t="str">
        <f t="shared" si="4"/>
        <v>VALID</v>
      </c>
    </row>
    <row r="2473" ht="15.75" customHeight="1">
      <c r="A2473" s="13" t="str">
        <f>Raw_Data!A2473</f>
        <v>EMP2605</v>
      </c>
      <c r="B2473" s="13" t="str">
        <f>TRIM(CLEAN(Raw_Data!B2473))</f>
        <v>Sales</v>
      </c>
      <c r="C2473" s="18" t="s">
        <v>37</v>
      </c>
      <c r="D2473" s="14" t="str">
        <f>IF(ISBLANK(Raw_Data!D2473),AVERAGE(Raw_Data!D$2:D$5002),Raw_Data!D2473)</f>
        <v>76441.83</v>
      </c>
      <c r="E2473" s="15" t="str">
        <f>IF(ISBLANK(Raw_Data!E2473),AVERAGE(Raw_Data!E$2:E$5002),Raw_Data!E2473)</f>
        <v>26011.97</v>
      </c>
      <c r="F2473" s="15" t="str">
        <f>IF(ISBLANK(Raw_Data!F2473),AVERAGE(Raw_Data!F$2:F$5002),Raw_Data!F2473)</f>
        <v>20177.67</v>
      </c>
      <c r="G2473" s="14" t="str">
        <f>IF(ISBLANK(Raw_Data!G2473),AVERAGE(Raw_Data!G$2:G$5002),Raw_Data!G2473)</f>
        <v>15760.40</v>
      </c>
      <c r="H2473" s="15" t="str">
        <f t="shared" si="1"/>
        <v>122631.00</v>
      </c>
      <c r="I2473" s="14" t="str">
        <f t="shared" si="2"/>
        <v>106871.00</v>
      </c>
      <c r="J2473" s="16" t="str">
        <f>TEXT(Raw_Data!J2473,"MMM-YYY")</f>
        <v>May-2025</v>
      </c>
      <c r="K2473" s="13" t="str">
        <f>Raw_Data!K2473</f>
        <v>24</v>
      </c>
      <c r="L2473" s="17" t="str">
        <f>Raw_Data!L2473</f>
        <v>Pune-West</v>
      </c>
      <c r="M2473" s="13" t="str">
        <f t="shared" si="3"/>
        <v>OK</v>
      </c>
      <c r="N2473" s="18" t="str">
        <f t="shared" si="4"/>
        <v>VALID</v>
      </c>
    </row>
    <row r="2474" ht="15.75" customHeight="1">
      <c r="A2474" s="13" t="str">
        <f>Raw_Data!A2474</f>
        <v>EMP2606</v>
      </c>
      <c r="B2474" s="13" t="str">
        <f>TRIM(CLEAN(Raw_Data!B2474))</f>
        <v>Finance</v>
      </c>
      <c r="C2474" s="18" t="s">
        <v>37</v>
      </c>
      <c r="D2474" s="14" t="str">
        <f>IF(ISBLANK(Raw_Data!D2474),AVERAGE(Raw_Data!D$2:D$5002),Raw_Data!D2474)</f>
        <v>76452.71</v>
      </c>
      <c r="E2474" s="15" t="str">
        <f>IF(ISBLANK(Raw_Data!E2474),AVERAGE(Raw_Data!E$2:E$5002),Raw_Data!E2474)</f>
        <v>26016.58</v>
      </c>
      <c r="F2474" s="15" t="str">
        <f>IF(ISBLANK(Raw_Data!F2474),AVERAGE(Raw_Data!F$2:F$5002),Raw_Data!F2474)</f>
        <v>20185.35</v>
      </c>
      <c r="G2474" s="14" t="str">
        <f>IF(ISBLANK(Raw_Data!G2474),AVERAGE(Raw_Data!G$2:G$5002),Raw_Data!G2474)</f>
        <v>15763.80</v>
      </c>
      <c r="H2474" s="15" t="str">
        <f t="shared" si="1"/>
        <v>122655.00</v>
      </c>
      <c r="I2474" s="14" t="str">
        <f t="shared" si="2"/>
        <v>106891.00</v>
      </c>
      <c r="J2474" s="16" t="str">
        <f>TEXT(Raw_Data!J2474,"MMM-YYY")</f>
        <v>Mar-2025</v>
      </c>
      <c r="K2474" s="13" t="str">
        <f>Raw_Data!K2474</f>
        <v>19</v>
      </c>
      <c r="L2474" s="17" t="str">
        <f>Raw_Data!L2474</f>
        <v>Hyderabad-South</v>
      </c>
      <c r="M2474" s="13" t="str">
        <f t="shared" si="3"/>
        <v>OK</v>
      </c>
      <c r="N2474" s="18" t="str">
        <f t="shared" si="4"/>
        <v>VALID</v>
      </c>
    </row>
    <row r="2475" ht="15.75" customHeight="1">
      <c r="A2475" s="13" t="str">
        <f>Raw_Data!A2475</f>
        <v>EMP2607</v>
      </c>
      <c r="B2475" s="13" t="str">
        <f>TRIM(CLEAN(Raw_Data!B2475))</f>
        <v>IT</v>
      </c>
      <c r="C2475" s="18" t="s">
        <v>26</v>
      </c>
      <c r="D2475" s="14" t="str">
        <f>IF(ISBLANK(Raw_Data!D2475),AVERAGE(Raw_Data!D$2:D$5002),Raw_Data!D2475)</f>
        <v>76463.60</v>
      </c>
      <c r="E2475" s="15" t="str">
        <f>IF(ISBLANK(Raw_Data!E2475),AVERAGE(Raw_Data!E$2:E$5002),Raw_Data!E2475)</f>
        <v>26021.19</v>
      </c>
      <c r="F2475" s="15" t="str">
        <f>IF(ISBLANK(Raw_Data!F2475),AVERAGE(Raw_Data!F$2:F$5002),Raw_Data!F2475)</f>
        <v>20193.03</v>
      </c>
      <c r="G2475" s="14" t="str">
        <f>IF(ISBLANK(Raw_Data!G2475),AVERAGE(Raw_Data!G$2:G$5002),Raw_Data!G2475)</f>
        <v>15767.19</v>
      </c>
      <c r="H2475" s="15" t="str">
        <f t="shared" si="1"/>
        <v>122678.00</v>
      </c>
      <c r="I2475" s="14" t="str">
        <f t="shared" si="2"/>
        <v>106911.00</v>
      </c>
      <c r="J2475" s="16" t="str">
        <f>TEXT(Raw_Data!J2475,"MMM-YYY")</f>
        <v>Sep-2025</v>
      </c>
      <c r="K2475" s="13" t="str">
        <f>Raw_Data!K2475</f>
        <v>5</v>
      </c>
      <c r="L2475" s="17" t="str">
        <f>Raw_Data!L2475</f>
        <v>Chandigarh-North</v>
      </c>
      <c r="M2475" s="13" t="str">
        <f t="shared" si="3"/>
        <v>OK</v>
      </c>
      <c r="N2475" s="18" t="str">
        <f t="shared" si="4"/>
        <v>VALID</v>
      </c>
    </row>
    <row r="2476" ht="15.75" customHeight="1">
      <c r="A2476" s="13" t="str">
        <f>Raw_Data!A2476</f>
        <v>EMP2608</v>
      </c>
      <c r="B2476" s="13" t="str">
        <f>TRIM(CLEAN(Raw_Data!B2476))</f>
        <v>Sales</v>
      </c>
      <c r="C2476" s="18" t="s">
        <v>14</v>
      </c>
      <c r="D2476" s="14" t="str">
        <f>IF(ISBLANK(Raw_Data!D2476),AVERAGE(Raw_Data!D$2:D$5002),Raw_Data!D2476)</f>
        <v>76474.48</v>
      </c>
      <c r="E2476" s="15" t="str">
        <f>IF(ISBLANK(Raw_Data!E2476),AVERAGE(Raw_Data!E$2:E$5002),Raw_Data!E2476)</f>
        <v>26025.81</v>
      </c>
      <c r="F2476" s="15" t="str">
        <f>IF(ISBLANK(Raw_Data!F2476),AVERAGE(Raw_Data!F$2:F$5002),Raw_Data!F2476)</f>
        <v>20200.71</v>
      </c>
      <c r="G2476" s="14" t="str">
        <f>IF(ISBLANK(Raw_Data!G2476),AVERAGE(Raw_Data!G$2:G$5002),Raw_Data!G2476)</f>
        <v>15770.59</v>
      </c>
      <c r="H2476" s="15" t="str">
        <f t="shared" si="1"/>
        <v>122701.00</v>
      </c>
      <c r="I2476" s="14" t="str">
        <f t="shared" si="2"/>
        <v>106930.00</v>
      </c>
      <c r="J2476" s="16" t="str">
        <f>TEXT(Raw_Data!J2476,"MMM-YYY")</f>
        <v>Aug-2025</v>
      </c>
      <c r="K2476" s="13" t="str">
        <f>Raw_Data!K2476</f>
        <v>7</v>
      </c>
      <c r="L2476" s="17" t="str">
        <f>Raw_Data!L2476</f>
        <v>Ahmedabad-West</v>
      </c>
      <c r="M2476" s="13" t="str">
        <f t="shared" si="3"/>
        <v>OK</v>
      </c>
      <c r="N2476" s="18" t="str">
        <f t="shared" si="4"/>
        <v>VALID</v>
      </c>
    </row>
    <row r="2477" ht="15.75" customHeight="1">
      <c r="A2477" s="13" t="str">
        <f>Raw_Data!A2477</f>
        <v>EMP2609</v>
      </c>
      <c r="B2477" s="13" t="str">
        <f>TRIM(CLEAN(Raw_Data!B2477))</f>
        <v>Customer Support</v>
      </c>
      <c r="C2477" s="18" t="s">
        <v>33</v>
      </c>
      <c r="D2477" s="14" t="str">
        <f>IF(ISBLANK(Raw_Data!D2477),AVERAGE(Raw_Data!D$2:D$5002),Raw_Data!D2477)</f>
        <v>76485.36</v>
      </c>
      <c r="E2477" s="15" t="str">
        <f>IF(ISBLANK(Raw_Data!E2477),AVERAGE(Raw_Data!E$2:E$5002),Raw_Data!E2477)</f>
        <v>26030.42</v>
      </c>
      <c r="F2477" s="15" t="str">
        <f>IF(ISBLANK(Raw_Data!F2477),AVERAGE(Raw_Data!F$2:F$5002),Raw_Data!F2477)</f>
        <v>20208.39</v>
      </c>
      <c r="G2477" s="14" t="str">
        <f>IF(ISBLANK(Raw_Data!G2477),AVERAGE(Raw_Data!G$2:G$5002),Raw_Data!G2477)</f>
        <v>15773.99</v>
      </c>
      <c r="H2477" s="15" t="str">
        <f t="shared" si="1"/>
        <v>122724.00</v>
      </c>
      <c r="I2477" s="14" t="str">
        <f t="shared" si="2"/>
        <v>106950.00</v>
      </c>
      <c r="J2477" s="16" t="str">
        <f>TEXT(Raw_Data!J2477,"MMM-YYY")</f>
        <v>Nov-2025</v>
      </c>
      <c r="K2477" s="13" t="str">
        <f>Raw_Data!K2477</f>
        <v>4</v>
      </c>
      <c r="L2477" s="17" t="str">
        <f>Raw_Data!L2477</f>
        <v>Jaipur-North</v>
      </c>
      <c r="M2477" s="13" t="str">
        <f t="shared" si="3"/>
        <v>OK</v>
      </c>
      <c r="N2477" s="18" t="str">
        <f t="shared" si="4"/>
        <v>VALID</v>
      </c>
    </row>
    <row r="2478" ht="15.75" customHeight="1">
      <c r="A2478" s="13" t="str">
        <f>Raw_Data!A2478</f>
        <v>EMP2610</v>
      </c>
      <c r="B2478" s="13" t="str">
        <f>TRIM(CLEAN(Raw_Data!B2478))</f>
        <v>IT</v>
      </c>
      <c r="C2478" s="18" t="s">
        <v>26</v>
      </c>
      <c r="D2478" s="14" t="str">
        <f>IF(ISBLANK(Raw_Data!D2478),AVERAGE(Raw_Data!D$2:D$5002),Raw_Data!D2478)</f>
        <v>76496.25</v>
      </c>
      <c r="E2478" s="15" t="str">
        <f>IF(ISBLANK(Raw_Data!E2478),AVERAGE(Raw_Data!E$2:E$5002),Raw_Data!E2478)</f>
        <v>26035.04</v>
      </c>
      <c r="F2478" s="15" t="str">
        <f>IF(ISBLANK(Raw_Data!F2478),AVERAGE(Raw_Data!F$2:F$5002),Raw_Data!F2478)</f>
        <v>20216.07</v>
      </c>
      <c r="G2478" s="14" t="str">
        <f>IF(ISBLANK(Raw_Data!G2478),AVERAGE(Raw_Data!G$2:G$5002),Raw_Data!G2478)</f>
        <v>15777.39</v>
      </c>
      <c r="H2478" s="15" t="str">
        <f t="shared" si="1"/>
        <v>122747.00</v>
      </c>
      <c r="I2478" s="14" t="str">
        <f t="shared" si="2"/>
        <v>106970.00</v>
      </c>
      <c r="J2478" s="16" t="str">
        <f>TEXT(Raw_Data!J2478,"MMM-YYY")</f>
        <v>Sep-2025</v>
      </c>
      <c r="K2478" s="13" t="str">
        <f>Raw_Data!K2478</f>
        <v>2</v>
      </c>
      <c r="L2478" s="17" t="str">
        <f>Raw_Data!L2478</f>
        <v>Mumbai-HO</v>
      </c>
      <c r="M2478" s="13" t="str">
        <f t="shared" si="3"/>
        <v>OK</v>
      </c>
      <c r="N2478" s="18" t="str">
        <f t="shared" si="4"/>
        <v>VALID</v>
      </c>
    </row>
    <row r="2479" ht="15.75" customHeight="1">
      <c r="A2479" s="13" t="str">
        <f>Raw_Data!A2479</f>
        <v>EMP2611</v>
      </c>
      <c r="B2479" s="13" t="str">
        <f>TRIM(CLEAN(Raw_Data!B2479))</f>
        <v>IT</v>
      </c>
      <c r="C2479" s="18" t="s">
        <v>18</v>
      </c>
      <c r="D2479" s="14" t="str">
        <f>IF(ISBLANK(Raw_Data!D2479),AVERAGE(Raw_Data!D$2:D$5002),Raw_Data!D2479)</f>
        <v>76507.13</v>
      </c>
      <c r="E2479" s="15" t="str">
        <f>IF(ISBLANK(Raw_Data!E2479),AVERAGE(Raw_Data!E$2:E$5002),Raw_Data!E2479)</f>
        <v>26039.65</v>
      </c>
      <c r="F2479" s="15" t="str">
        <f>IF(ISBLANK(Raw_Data!F2479),AVERAGE(Raw_Data!F$2:F$5002),Raw_Data!F2479)</f>
        <v>20223.75</v>
      </c>
      <c r="G2479" s="14" t="str">
        <f>IF(ISBLANK(Raw_Data!G2479),AVERAGE(Raw_Data!G$2:G$5002),Raw_Data!G2479)</f>
        <v>15780.78</v>
      </c>
      <c r="H2479" s="15" t="str">
        <f t="shared" si="1"/>
        <v>122771.00</v>
      </c>
      <c r="I2479" s="14" t="str">
        <f t="shared" si="2"/>
        <v>106990.00</v>
      </c>
      <c r="J2479" s="16" t="str">
        <f>TEXT(Raw_Data!J2479,"MMM-YYY")</f>
        <v>Dec-2025</v>
      </c>
      <c r="K2479" s="13" t="str">
        <f>Raw_Data!K2479</f>
        <v>19</v>
      </c>
      <c r="L2479" s="17" t="str">
        <f>Raw_Data!L2479</f>
        <v>Delhi-North</v>
      </c>
      <c r="M2479" s="13" t="str">
        <f t="shared" si="3"/>
        <v>OK</v>
      </c>
      <c r="N2479" s="18" t="str">
        <f t="shared" si="4"/>
        <v>VALID</v>
      </c>
    </row>
    <row r="2480" ht="15.75" customHeight="1">
      <c r="A2480" s="13" t="str">
        <f>Raw_Data!A2480</f>
        <v>EMP2612</v>
      </c>
      <c r="B2480" s="13" t="str">
        <f>TRIM(CLEAN(Raw_Data!B2480))</f>
        <v>IT</v>
      </c>
      <c r="C2480" s="18" t="s">
        <v>30</v>
      </c>
      <c r="D2480" s="14" t="str">
        <f>IF(ISBLANK(Raw_Data!D2480),AVERAGE(Raw_Data!D$2:D$5002),Raw_Data!D2480)</f>
        <v>76518.01</v>
      </c>
      <c r="E2480" s="15" t="str">
        <f>IF(ISBLANK(Raw_Data!E2480),AVERAGE(Raw_Data!E$2:E$5002),Raw_Data!E2480)</f>
        <v>26044.27</v>
      </c>
      <c r="F2480" s="15" t="str">
        <f>IF(ISBLANK(Raw_Data!F2480),AVERAGE(Raw_Data!F$2:F$5002),Raw_Data!F2480)</f>
        <v>20231.43</v>
      </c>
      <c r="G2480" s="14" t="str">
        <f>IF(ISBLANK(Raw_Data!G2480),AVERAGE(Raw_Data!G$2:G$5002),Raw_Data!G2480)</f>
        <v>15784.18</v>
      </c>
      <c r="H2480" s="15" t="str">
        <f t="shared" si="1"/>
        <v>122794.00</v>
      </c>
      <c r="I2480" s="14" t="str">
        <f t="shared" si="2"/>
        <v>107010.00</v>
      </c>
      <c r="J2480" s="16" t="str">
        <f>TEXT(Raw_Data!J2480,"MMM-YYY")</f>
        <v>May-2025</v>
      </c>
      <c r="K2480" s="13" t="str">
        <f>Raw_Data!K2480</f>
        <v>21</v>
      </c>
      <c r="L2480" s="17" t="str">
        <f>Raw_Data!L2480</f>
        <v>Bangalore-South</v>
      </c>
      <c r="M2480" s="13" t="str">
        <f t="shared" si="3"/>
        <v>OK</v>
      </c>
      <c r="N2480" s="18" t="str">
        <f t="shared" si="4"/>
        <v>VALID</v>
      </c>
    </row>
    <row r="2481" ht="15.75" customHeight="1">
      <c r="A2481" s="13" t="str">
        <f>Raw_Data!A2481</f>
        <v>EMP2613</v>
      </c>
      <c r="B2481" s="13" t="str">
        <f>TRIM(CLEAN(Raw_Data!B2481))</f>
        <v>IT</v>
      </c>
      <c r="C2481" s="18" t="s">
        <v>30</v>
      </c>
      <c r="D2481" s="14" t="str">
        <f>IF(ISBLANK(Raw_Data!D2481),AVERAGE(Raw_Data!D$2:D$5002),Raw_Data!D2481)</f>
        <v>76528.89</v>
      </c>
      <c r="E2481" s="15" t="str">
        <f>IF(ISBLANK(Raw_Data!E2481),AVERAGE(Raw_Data!E$2:E$5002),Raw_Data!E2481)</f>
        <v>26048.88</v>
      </c>
      <c r="F2481" s="15" t="str">
        <f>IF(ISBLANK(Raw_Data!F2481),AVERAGE(Raw_Data!F$2:F$5002),Raw_Data!F2481)</f>
        <v>20239.11</v>
      </c>
      <c r="G2481" s="14" t="str">
        <f>IF(ISBLANK(Raw_Data!G2481),AVERAGE(Raw_Data!G$2:G$5002),Raw_Data!G2481)</f>
        <v>15787.58</v>
      </c>
      <c r="H2481" s="15" t="str">
        <f t="shared" si="1"/>
        <v>122817.00</v>
      </c>
      <c r="I2481" s="14" t="str">
        <f t="shared" si="2"/>
        <v>107029.00</v>
      </c>
      <c r="J2481" s="16" t="str">
        <f>TEXT(Raw_Data!J2481,"MMM-YYY")</f>
        <v>Aug-2025</v>
      </c>
      <c r="K2481" s="13" t="str">
        <f>Raw_Data!K2481</f>
        <v>13</v>
      </c>
      <c r="L2481" s="17" t="str">
        <f>Raw_Data!L2481</f>
        <v>Chennai-South</v>
      </c>
      <c r="M2481" s="13" t="str">
        <f t="shared" si="3"/>
        <v>OK</v>
      </c>
      <c r="N2481" s="18" t="str">
        <f t="shared" si="4"/>
        <v>VALID</v>
      </c>
    </row>
    <row r="2482" ht="15.75" customHeight="1">
      <c r="A2482" s="13" t="str">
        <f>Raw_Data!A2482</f>
        <v>EMP2614</v>
      </c>
      <c r="B2482" s="13" t="str">
        <f>TRIM(CLEAN(Raw_Data!B2482))</f>
        <v>IT</v>
      </c>
      <c r="C2482" s="18" t="s">
        <v>37</v>
      </c>
      <c r="D2482" s="14" t="str">
        <f>IF(ISBLANK(Raw_Data!D2482),AVERAGE(Raw_Data!D$2:D$5002),Raw_Data!D2482)</f>
        <v>71831.17</v>
      </c>
      <c r="E2482" s="15" t="str">
        <f>IF(ISBLANK(Raw_Data!E2482),AVERAGE(Raw_Data!E$2:E$5002),Raw_Data!E2482)</f>
        <v>26053.50</v>
      </c>
      <c r="F2482" s="15" t="str">
        <f>IF(ISBLANK(Raw_Data!F2482),AVERAGE(Raw_Data!F$2:F$5002),Raw_Data!F2482)</f>
        <v>20246.79</v>
      </c>
      <c r="G2482" s="14" t="str">
        <f>IF(ISBLANK(Raw_Data!G2482),AVERAGE(Raw_Data!G$2:G$5002),Raw_Data!G2482)</f>
        <v>15790.98</v>
      </c>
      <c r="H2482" s="15" t="str">
        <f t="shared" si="1"/>
        <v>118131.00</v>
      </c>
      <c r="I2482" s="14" t="str">
        <f t="shared" si="2"/>
        <v>102340.00</v>
      </c>
      <c r="J2482" s="16" t="str">
        <f>TEXT(Raw_Data!J2482,"MMM-YYY")</f>
        <v>Oct-2025</v>
      </c>
      <c r="K2482" s="13" t="str">
        <f>Raw_Data!K2482</f>
        <v>18</v>
      </c>
      <c r="L2482" s="17" t="str">
        <f>Raw_Data!L2482</f>
        <v>Kolkata-East</v>
      </c>
      <c r="M2482" s="13" t="str">
        <f t="shared" si="3"/>
        <v>OK</v>
      </c>
      <c r="N2482" s="18" t="str">
        <f t="shared" si="4"/>
        <v>VALID</v>
      </c>
    </row>
    <row r="2483" ht="15.75" customHeight="1">
      <c r="A2483" s="13" t="str">
        <f>Raw_Data!A2483</f>
        <v>EMP2615</v>
      </c>
      <c r="B2483" s="13" t="str">
        <f>TRIM(CLEAN(Raw_Data!B2483))</f>
        <v>Marketing</v>
      </c>
      <c r="C2483" s="18" t="s">
        <v>33</v>
      </c>
      <c r="D2483" s="14" t="str">
        <f>IF(ISBLANK(Raw_Data!D2483),AVERAGE(Raw_Data!D$2:D$5002),Raw_Data!D2483)</f>
        <v>76550.66</v>
      </c>
      <c r="E2483" s="15" t="str">
        <f>IF(ISBLANK(Raw_Data!E2483),AVERAGE(Raw_Data!E$2:E$5002),Raw_Data!E2483)</f>
        <v>26058.11</v>
      </c>
      <c r="F2483" s="15" t="str">
        <f>IF(ISBLANK(Raw_Data!F2483),AVERAGE(Raw_Data!F$2:F$5002),Raw_Data!F2483)</f>
        <v>20254.47</v>
      </c>
      <c r="G2483" s="14" t="str">
        <f>IF(ISBLANK(Raw_Data!G2483),AVERAGE(Raw_Data!G$2:G$5002),Raw_Data!G2483)</f>
        <v>15794.37</v>
      </c>
      <c r="H2483" s="15" t="str">
        <f t="shared" si="1"/>
        <v>122863.00</v>
      </c>
      <c r="I2483" s="14" t="str">
        <f t="shared" si="2"/>
        <v>107069.00</v>
      </c>
      <c r="J2483" s="16" t="str">
        <f>TEXT(Raw_Data!J2483,"MMM-YYY")</f>
        <v>Aug-2025</v>
      </c>
      <c r="K2483" s="13" t="str">
        <f>Raw_Data!K2483</f>
        <v>2</v>
      </c>
      <c r="L2483" s="17" t="str">
        <f>Raw_Data!L2483</f>
        <v>Pune-West</v>
      </c>
      <c r="M2483" s="13" t="str">
        <f t="shared" si="3"/>
        <v>OK</v>
      </c>
      <c r="N2483" s="18" t="str">
        <f t="shared" si="4"/>
        <v>VALID</v>
      </c>
    </row>
    <row r="2484" ht="15.75" customHeight="1">
      <c r="A2484" s="13" t="str">
        <f>Raw_Data!A2484</f>
        <v>EMP2616</v>
      </c>
      <c r="B2484" s="13" t="str">
        <f>TRIM(CLEAN(Raw_Data!B2484))</f>
        <v>IT</v>
      </c>
      <c r="C2484" s="18" t="s">
        <v>18</v>
      </c>
      <c r="D2484" s="14" t="str">
        <f>IF(ISBLANK(Raw_Data!D2484),AVERAGE(Raw_Data!D$2:D$5002),Raw_Data!D2484)</f>
        <v>76561.54</v>
      </c>
      <c r="E2484" s="15" t="str">
        <f>IF(ISBLANK(Raw_Data!E2484),AVERAGE(Raw_Data!E$2:E$5002),Raw_Data!E2484)</f>
        <v>26062.73</v>
      </c>
      <c r="F2484" s="15" t="str">
        <f>IF(ISBLANK(Raw_Data!F2484),AVERAGE(Raw_Data!F$2:F$5002),Raw_Data!F2484)</f>
        <v>20262.15</v>
      </c>
      <c r="G2484" s="14" t="str">
        <f>IF(ISBLANK(Raw_Data!G2484),AVERAGE(Raw_Data!G$2:G$5002),Raw_Data!G2484)</f>
        <v>15797.77</v>
      </c>
      <c r="H2484" s="15" t="str">
        <f t="shared" si="1"/>
        <v>122886.00</v>
      </c>
      <c r="I2484" s="14" t="str">
        <f t="shared" si="2"/>
        <v>107088.00</v>
      </c>
      <c r="J2484" s="16" t="str">
        <f>TEXT(Raw_Data!J2484,"MMM-YYY")</f>
        <v>Apr-2025</v>
      </c>
      <c r="K2484" s="13" t="str">
        <f>Raw_Data!K2484</f>
        <v>3</v>
      </c>
      <c r="L2484" s="17" t="str">
        <f>Raw_Data!L2484</f>
        <v>Hyderabad-South</v>
      </c>
      <c r="M2484" s="13" t="str">
        <f t="shared" si="3"/>
        <v>OK</v>
      </c>
      <c r="N2484" s="18" t="str">
        <f t="shared" si="4"/>
        <v>VALID</v>
      </c>
    </row>
    <row r="2485" ht="15.75" customHeight="1">
      <c r="A2485" s="13" t="str">
        <f>Raw_Data!A2485</f>
        <v>EMP2617</v>
      </c>
      <c r="B2485" s="13" t="str">
        <f>TRIM(CLEAN(Raw_Data!B2485))</f>
        <v>Sales</v>
      </c>
      <c r="C2485" s="18" t="s">
        <v>30</v>
      </c>
      <c r="D2485" s="14" t="str">
        <f>IF(ISBLANK(Raw_Data!D2485),AVERAGE(Raw_Data!D$2:D$5002),Raw_Data!D2485)</f>
        <v>76572.43</v>
      </c>
      <c r="E2485" s="15" t="str">
        <f>IF(ISBLANK(Raw_Data!E2485),AVERAGE(Raw_Data!E$2:E$5002),Raw_Data!E2485)</f>
        <v>26067.34</v>
      </c>
      <c r="F2485" s="15" t="str">
        <f>IF(ISBLANK(Raw_Data!F2485),AVERAGE(Raw_Data!F$2:F$5002),Raw_Data!F2485)</f>
        <v>20269.83</v>
      </c>
      <c r="G2485" s="14" t="str">
        <f>IF(ISBLANK(Raw_Data!G2485),AVERAGE(Raw_Data!G$2:G$5002),Raw_Data!G2485)</f>
        <v>15801.17</v>
      </c>
      <c r="H2485" s="15" t="str">
        <f t="shared" si="1"/>
        <v>122910.00</v>
      </c>
      <c r="I2485" s="14" t="str">
        <f t="shared" si="2"/>
        <v>107109.00</v>
      </c>
      <c r="J2485" s="16" t="str">
        <f>TEXT(Raw_Data!J2485,"MMM-YYY")</f>
        <v>Nov-2025</v>
      </c>
      <c r="K2485" s="13" t="str">
        <f>Raw_Data!K2485</f>
        <v>8</v>
      </c>
      <c r="L2485" s="17" t="str">
        <f>Raw_Data!L2485</f>
        <v>Chandigarh-North</v>
      </c>
      <c r="M2485" s="13" t="str">
        <f t="shared" si="3"/>
        <v>OK</v>
      </c>
      <c r="N2485" s="18" t="str">
        <f t="shared" si="4"/>
        <v>VALID</v>
      </c>
    </row>
    <row r="2486" ht="15.75" customHeight="1">
      <c r="A2486" s="13" t="str">
        <f>Raw_Data!A2486</f>
        <v>EMP2618</v>
      </c>
      <c r="B2486" s="13" t="str">
        <f>TRIM(CLEAN(Raw_Data!B2486))</f>
        <v>Operations</v>
      </c>
      <c r="C2486" s="18" t="s">
        <v>18</v>
      </c>
      <c r="D2486" s="14" t="str">
        <f>IF(ISBLANK(Raw_Data!D2486),AVERAGE(Raw_Data!D$2:D$5002),Raw_Data!D2486)</f>
        <v>76583.31</v>
      </c>
      <c r="E2486" s="15" t="str">
        <f>IF(ISBLANK(Raw_Data!E2486),AVERAGE(Raw_Data!E$2:E$5002),Raw_Data!E2486)</f>
        <v>26071.96</v>
      </c>
      <c r="F2486" s="15" t="str">
        <f>IF(ISBLANK(Raw_Data!F2486),AVERAGE(Raw_Data!F$2:F$5002),Raw_Data!F2486)</f>
        <v>20277.51</v>
      </c>
      <c r="G2486" s="14" t="str">
        <f>IF(ISBLANK(Raw_Data!G2486),AVERAGE(Raw_Data!G$2:G$5002),Raw_Data!G2486)</f>
        <v>15804.57</v>
      </c>
      <c r="H2486" s="15" t="str">
        <f t="shared" si="1"/>
        <v>122933.00</v>
      </c>
      <c r="I2486" s="14" t="str">
        <f t="shared" si="2"/>
        <v>107128.00</v>
      </c>
      <c r="J2486" s="16" t="str">
        <f>TEXT(Raw_Data!J2486,"MMM-YYY")</f>
        <v>May-2025</v>
      </c>
      <c r="K2486" s="13" t="str">
        <f>Raw_Data!K2486</f>
        <v>21</v>
      </c>
      <c r="L2486" s="17" t="str">
        <f>Raw_Data!L2486</f>
        <v>Ahmedabad-West</v>
      </c>
      <c r="M2486" s="13" t="str">
        <f t="shared" si="3"/>
        <v>OK</v>
      </c>
      <c r="N2486" s="18" t="str">
        <f t="shared" si="4"/>
        <v>VALID</v>
      </c>
    </row>
    <row r="2487" ht="15.75" customHeight="1">
      <c r="A2487" s="13" t="str">
        <f>Raw_Data!A2487</f>
        <v>EMP2619</v>
      </c>
      <c r="B2487" s="13" t="str">
        <f>TRIM(CLEAN(Raw_Data!B2487))</f>
        <v>Marketing</v>
      </c>
      <c r="C2487" s="18" t="s">
        <v>18</v>
      </c>
      <c r="D2487" s="14" t="str">
        <f>IF(ISBLANK(Raw_Data!D2487),AVERAGE(Raw_Data!D$2:D$5002),Raw_Data!D2487)</f>
        <v>76594.19</v>
      </c>
      <c r="E2487" s="15" t="str">
        <f>IF(ISBLANK(Raw_Data!E2487),AVERAGE(Raw_Data!E$2:E$5002),Raw_Data!E2487)</f>
        <v>26076.57</v>
      </c>
      <c r="F2487" s="15" t="str">
        <f>IF(ISBLANK(Raw_Data!F2487),AVERAGE(Raw_Data!F$2:F$5002),Raw_Data!F2487)</f>
        <v>20285.19</v>
      </c>
      <c r="G2487" s="14" t="str">
        <f>IF(ISBLANK(Raw_Data!G2487),AVERAGE(Raw_Data!G$2:G$5002),Raw_Data!G2487)</f>
        <v>15807.96</v>
      </c>
      <c r="H2487" s="15" t="str">
        <f t="shared" si="1"/>
        <v>122956.00</v>
      </c>
      <c r="I2487" s="14" t="str">
        <f t="shared" si="2"/>
        <v>107148.00</v>
      </c>
      <c r="J2487" s="16" t="str">
        <f>TEXT(Raw_Data!J2487,"MMM-YYY")</f>
        <v>Apr-2025</v>
      </c>
      <c r="K2487" s="13" t="str">
        <f>Raw_Data!K2487</f>
        <v>20</v>
      </c>
      <c r="L2487" s="17" t="str">
        <f>Raw_Data!L2487</f>
        <v>Jaipur-North</v>
      </c>
      <c r="M2487" s="13" t="str">
        <f t="shared" si="3"/>
        <v>OK</v>
      </c>
      <c r="N2487" s="18" t="str">
        <f t="shared" si="4"/>
        <v>VALID</v>
      </c>
    </row>
    <row r="2488" ht="15.75" customHeight="1">
      <c r="A2488" s="13" t="str">
        <f>Raw_Data!A2488</f>
        <v>EMP2620</v>
      </c>
      <c r="B2488" s="13" t="str">
        <f>TRIM(CLEAN(Raw_Data!B2488))</f>
        <v>IT</v>
      </c>
      <c r="C2488" s="18" t="s">
        <v>14</v>
      </c>
      <c r="D2488" s="14" t="str">
        <f>IF(ISBLANK(Raw_Data!D2488),AVERAGE(Raw_Data!D$2:D$5002),Raw_Data!D2488)</f>
        <v>76605.08</v>
      </c>
      <c r="E2488" s="15" t="str">
        <f>IF(ISBLANK(Raw_Data!E2488),AVERAGE(Raw_Data!E$2:E$5002),Raw_Data!E2488)</f>
        <v>26081.19</v>
      </c>
      <c r="F2488" s="15" t="str">
        <f>IF(ISBLANK(Raw_Data!F2488),AVERAGE(Raw_Data!F$2:F$5002),Raw_Data!F2488)</f>
        <v>20292.87</v>
      </c>
      <c r="G2488" s="14" t="str">
        <f>IF(ISBLANK(Raw_Data!G2488),AVERAGE(Raw_Data!G$2:G$5002),Raw_Data!G2488)</f>
        <v>15811.36</v>
      </c>
      <c r="H2488" s="15" t="str">
        <f t="shared" si="1"/>
        <v>122979.00</v>
      </c>
      <c r="I2488" s="14" t="str">
        <f t="shared" si="2"/>
        <v>107168.00</v>
      </c>
      <c r="J2488" s="16" t="str">
        <f>TEXT(Raw_Data!J2488,"MMM-YYY")</f>
        <v>Apr-2025</v>
      </c>
      <c r="K2488" s="13" t="str">
        <f>Raw_Data!K2488</f>
        <v>23</v>
      </c>
      <c r="L2488" s="17" t="str">
        <f>Raw_Data!L2488</f>
        <v>Mumbai-HO</v>
      </c>
      <c r="M2488" s="13" t="str">
        <f t="shared" si="3"/>
        <v>OK</v>
      </c>
      <c r="N2488" s="18" t="str">
        <f t="shared" si="4"/>
        <v>VALID</v>
      </c>
    </row>
    <row r="2489" ht="15.75" customHeight="1">
      <c r="A2489" s="13" t="str">
        <f>Raw_Data!A2489</f>
        <v>EMP2621</v>
      </c>
      <c r="B2489" s="13" t="str">
        <f>TRIM(CLEAN(Raw_Data!B2489))</f>
        <v>Finance</v>
      </c>
      <c r="C2489" s="18" t="s">
        <v>18</v>
      </c>
      <c r="D2489" s="14" t="str">
        <f>IF(ISBLANK(Raw_Data!D2489),AVERAGE(Raw_Data!D$2:D$5002),Raw_Data!D2489)</f>
        <v>76615.96</v>
      </c>
      <c r="E2489" s="15" t="str">
        <f>IF(ISBLANK(Raw_Data!E2489),AVERAGE(Raw_Data!E$2:E$5002),Raw_Data!E2489)</f>
        <v>26085.80</v>
      </c>
      <c r="F2489" s="15" t="str">
        <f>IF(ISBLANK(Raw_Data!F2489),AVERAGE(Raw_Data!F$2:F$5002),Raw_Data!F2489)</f>
        <v>20300.55</v>
      </c>
      <c r="G2489" s="14" t="str">
        <f>IF(ISBLANK(Raw_Data!G2489),AVERAGE(Raw_Data!G$2:G$5002),Raw_Data!G2489)</f>
        <v>15814.76</v>
      </c>
      <c r="H2489" s="15" t="str">
        <f t="shared" si="1"/>
        <v>123002.00</v>
      </c>
      <c r="I2489" s="14" t="str">
        <f t="shared" si="2"/>
        <v>107187.00</v>
      </c>
      <c r="J2489" s="16" t="str">
        <f>TEXT(Raw_Data!J2489,"MMM-YYY")</f>
        <v>Apr-2025</v>
      </c>
      <c r="K2489" s="13" t="str">
        <f>Raw_Data!K2489</f>
        <v>17</v>
      </c>
      <c r="L2489" s="17" t="str">
        <f>Raw_Data!L2489</f>
        <v>Delhi-North</v>
      </c>
      <c r="M2489" s="13" t="str">
        <f t="shared" si="3"/>
        <v>OK</v>
      </c>
      <c r="N2489" s="18" t="str">
        <f t="shared" si="4"/>
        <v>VALID</v>
      </c>
    </row>
    <row r="2490" ht="15.75" customHeight="1">
      <c r="A2490" s="13" t="str">
        <f>Raw_Data!A2490</f>
        <v>EMP2622</v>
      </c>
      <c r="B2490" s="13" t="str">
        <f>TRIM(CLEAN(Raw_Data!B2490))</f>
        <v>Sales</v>
      </c>
      <c r="C2490" s="18" t="s">
        <v>54</v>
      </c>
      <c r="D2490" s="14" t="str">
        <f>IF(ISBLANK(Raw_Data!D2490),AVERAGE(Raw_Data!D$2:D$5002),Raw_Data!D2490)</f>
        <v>76626.84</v>
      </c>
      <c r="E2490" s="15" t="str">
        <f>IF(ISBLANK(Raw_Data!E2490),AVERAGE(Raw_Data!E$2:E$5002),Raw_Data!E2490)</f>
        <v>26090.42</v>
      </c>
      <c r="F2490" s="15" t="str">
        <f>IF(ISBLANK(Raw_Data!F2490),AVERAGE(Raw_Data!F$2:F$5002),Raw_Data!F2490)</f>
        <v>20308.23</v>
      </c>
      <c r="G2490" s="14" t="str">
        <f>IF(ISBLANK(Raw_Data!G2490),AVERAGE(Raw_Data!G$2:G$5002),Raw_Data!G2490)</f>
        <v>15818.16</v>
      </c>
      <c r="H2490" s="15" t="str">
        <f t="shared" si="1"/>
        <v>123025.00</v>
      </c>
      <c r="I2490" s="14" t="str">
        <f t="shared" si="2"/>
        <v>107207.00</v>
      </c>
      <c r="J2490" s="16" t="str">
        <f>TEXT(Raw_Data!J2490,"MMM-YYY")</f>
        <v>Oct-2025</v>
      </c>
      <c r="K2490" s="13" t="str">
        <f>Raw_Data!K2490</f>
        <v>25</v>
      </c>
      <c r="L2490" s="17" t="str">
        <f>Raw_Data!L2490</f>
        <v>Bangalore-South</v>
      </c>
      <c r="M2490" s="13" t="str">
        <f t="shared" si="3"/>
        <v>OK</v>
      </c>
      <c r="N2490" s="18" t="str">
        <f t="shared" si="4"/>
        <v>VALID</v>
      </c>
    </row>
    <row r="2491" ht="15.75" customHeight="1">
      <c r="A2491" s="13" t="str">
        <f>Raw_Data!A2491</f>
        <v>EMP2623</v>
      </c>
      <c r="B2491" s="13" t="str">
        <f>TRIM(CLEAN(Raw_Data!B2491))</f>
        <v>Finance</v>
      </c>
      <c r="C2491" s="18" t="s">
        <v>37</v>
      </c>
      <c r="D2491" s="14" t="str">
        <f>IF(ISBLANK(Raw_Data!D2491),AVERAGE(Raw_Data!D$2:D$5002),Raw_Data!D2491)</f>
        <v>76637.72</v>
      </c>
      <c r="E2491" s="15" t="str">
        <f>IF(ISBLANK(Raw_Data!E2491),AVERAGE(Raw_Data!E$2:E$5002),Raw_Data!E2491)</f>
        <v>26095.03</v>
      </c>
      <c r="F2491" s="15" t="str">
        <f>IF(ISBLANK(Raw_Data!F2491),AVERAGE(Raw_Data!F$2:F$5002),Raw_Data!F2491)</f>
        <v>20315.91</v>
      </c>
      <c r="G2491" s="14" t="str">
        <f>IF(ISBLANK(Raw_Data!G2491),AVERAGE(Raw_Data!G$2:G$5002),Raw_Data!G2491)</f>
        <v>15821.55</v>
      </c>
      <c r="H2491" s="15" t="str">
        <f t="shared" si="1"/>
        <v>123049.00</v>
      </c>
      <c r="I2491" s="14" t="str">
        <f t="shared" si="2"/>
        <v>107227.00</v>
      </c>
      <c r="J2491" s="16" t="str">
        <f>TEXT(Raw_Data!J2491,"MMM-YYY")</f>
        <v>May-2025</v>
      </c>
      <c r="K2491" s="13" t="str">
        <f>Raw_Data!K2491</f>
        <v>20</v>
      </c>
      <c r="L2491" s="17" t="str">
        <f>Raw_Data!L2491</f>
        <v>Chennai-South</v>
      </c>
      <c r="M2491" s="13" t="str">
        <f t="shared" si="3"/>
        <v>OK</v>
      </c>
      <c r="N2491" s="18" t="str">
        <f t="shared" si="4"/>
        <v>VALID</v>
      </c>
    </row>
    <row r="2492" ht="15.75" customHeight="1">
      <c r="A2492" s="13" t="str">
        <f>Raw_Data!A2492</f>
        <v>EMP2624</v>
      </c>
      <c r="B2492" s="13" t="str">
        <f>TRIM(CLEAN(Raw_Data!B2492))</f>
        <v>Operations</v>
      </c>
      <c r="C2492" s="18" t="s">
        <v>26</v>
      </c>
      <c r="D2492" s="14" t="str">
        <f>IF(ISBLANK(Raw_Data!D2492),AVERAGE(Raw_Data!D$2:D$5002),Raw_Data!D2492)</f>
        <v>76648.61</v>
      </c>
      <c r="E2492" s="15" t="str">
        <f>IF(ISBLANK(Raw_Data!E2492),AVERAGE(Raw_Data!E$2:E$5002),Raw_Data!E2492)</f>
        <v>26099.65</v>
      </c>
      <c r="F2492" s="15" t="str">
        <f>IF(ISBLANK(Raw_Data!F2492),AVERAGE(Raw_Data!F$2:F$5002),Raw_Data!F2492)</f>
        <v>20323.59</v>
      </c>
      <c r="G2492" s="14" t="str">
        <f>IF(ISBLANK(Raw_Data!G2492),AVERAGE(Raw_Data!G$2:G$5002),Raw_Data!G2492)</f>
        <v>15824.95</v>
      </c>
      <c r="H2492" s="15" t="str">
        <f t="shared" si="1"/>
        <v>123072.00</v>
      </c>
      <c r="I2492" s="14" t="str">
        <f t="shared" si="2"/>
        <v>107247.00</v>
      </c>
      <c r="J2492" s="16" t="str">
        <f>TEXT(Raw_Data!J2492,"MMM-YYY")</f>
        <v>Jun-2025</v>
      </c>
      <c r="K2492" s="13" t="str">
        <f>Raw_Data!K2492</f>
        <v>4</v>
      </c>
      <c r="L2492" s="17" t="str">
        <f>Raw_Data!L2492</f>
        <v>Kolkata-East</v>
      </c>
      <c r="M2492" s="13" t="str">
        <f t="shared" si="3"/>
        <v>OK</v>
      </c>
      <c r="N2492" s="18" t="str">
        <f t="shared" si="4"/>
        <v>VALID</v>
      </c>
    </row>
    <row r="2493" ht="15.75" customHeight="1">
      <c r="A2493" s="13" t="str">
        <f>Raw_Data!A2493</f>
        <v>EMP2626</v>
      </c>
      <c r="B2493" s="13" t="str">
        <f>TRIM(CLEAN(Raw_Data!B2493))</f>
        <v>Customer Support</v>
      </c>
      <c r="C2493" s="18" t="s">
        <v>18</v>
      </c>
      <c r="D2493" s="14" t="str">
        <f>IF(ISBLANK(Raw_Data!D2493),AVERAGE(Raw_Data!D$2:D$5002),Raw_Data!D2493)</f>
        <v>76670.37</v>
      </c>
      <c r="E2493" s="15" t="str">
        <f>IF(ISBLANK(Raw_Data!E2493),AVERAGE(Raw_Data!E$2:E$5002),Raw_Data!E2493)</f>
        <v>26108.87</v>
      </c>
      <c r="F2493" s="15" t="str">
        <f>IF(ISBLANK(Raw_Data!F2493),AVERAGE(Raw_Data!F$2:F$5002),Raw_Data!F2493)</f>
        <v>20338.95</v>
      </c>
      <c r="G2493" s="14" t="str">
        <f>IF(ISBLANK(Raw_Data!G2493),AVERAGE(Raw_Data!G$2:G$5002),Raw_Data!G2493)</f>
        <v>15831.75</v>
      </c>
      <c r="H2493" s="15" t="str">
        <f t="shared" si="1"/>
        <v>123118.00</v>
      </c>
      <c r="I2493" s="14" t="str">
        <f t="shared" si="2"/>
        <v>107286.00</v>
      </c>
      <c r="J2493" s="16" t="str">
        <f>TEXT(Raw_Data!J2493,"MMM-YYY")</f>
        <v>Aug-2025</v>
      </c>
      <c r="K2493" s="13" t="str">
        <f>Raw_Data!K2493</f>
        <v>5</v>
      </c>
      <c r="L2493" s="17" t="str">
        <f>Raw_Data!L2493</f>
        <v>Hyderabad-South</v>
      </c>
      <c r="M2493" s="13" t="str">
        <f t="shared" si="3"/>
        <v>OK</v>
      </c>
      <c r="N2493" s="18" t="str">
        <f t="shared" si="4"/>
        <v>VALID</v>
      </c>
    </row>
    <row r="2494" ht="15.75" customHeight="1">
      <c r="A2494" s="13" t="str">
        <f>Raw_Data!A2494</f>
        <v>EMP2627</v>
      </c>
      <c r="B2494" s="13" t="str">
        <f>TRIM(CLEAN(Raw_Data!B2494))</f>
        <v>Customer Support</v>
      </c>
      <c r="C2494" s="18" t="s">
        <v>18</v>
      </c>
      <c r="D2494" s="14" t="str">
        <f>IF(ISBLANK(Raw_Data!D2494),AVERAGE(Raw_Data!D$2:D$5002),Raw_Data!D2494)</f>
        <v>76681.26</v>
      </c>
      <c r="E2494" s="15" t="str">
        <f>IF(ISBLANK(Raw_Data!E2494),AVERAGE(Raw_Data!E$2:E$5002),Raw_Data!E2494)</f>
        <v>26113.49</v>
      </c>
      <c r="F2494" s="15" t="str">
        <f>IF(ISBLANK(Raw_Data!F2494),AVERAGE(Raw_Data!F$2:F$5002),Raw_Data!F2494)</f>
        <v>20346.63</v>
      </c>
      <c r="G2494" s="14" t="str">
        <f>IF(ISBLANK(Raw_Data!G2494),AVERAGE(Raw_Data!G$2:G$5002),Raw_Data!G2494)</f>
        <v>15835.14</v>
      </c>
      <c r="H2494" s="15" t="str">
        <f t="shared" si="1"/>
        <v>123141.00</v>
      </c>
      <c r="I2494" s="14" t="str">
        <f t="shared" si="2"/>
        <v>107306.00</v>
      </c>
      <c r="J2494" s="16" t="str">
        <f>TEXT(Raw_Data!J2494,"MMM-YYY")</f>
        <v>Oct-2025</v>
      </c>
      <c r="K2494" s="13" t="str">
        <f>Raw_Data!K2494</f>
        <v>15</v>
      </c>
      <c r="L2494" s="17" t="str">
        <f>Raw_Data!L2494</f>
        <v>Chandigarh-North</v>
      </c>
      <c r="M2494" s="13" t="str">
        <f t="shared" si="3"/>
        <v>OK</v>
      </c>
      <c r="N2494" s="18" t="str">
        <f t="shared" si="4"/>
        <v>VALID</v>
      </c>
    </row>
    <row r="2495" ht="15.75" customHeight="1">
      <c r="A2495" s="13" t="str">
        <f>Raw_Data!A2495</f>
        <v>EMP2628</v>
      </c>
      <c r="B2495" s="13" t="str">
        <f>TRIM(CLEAN(Raw_Data!B2495))</f>
        <v>Finance</v>
      </c>
      <c r="C2495" s="18" t="s">
        <v>14</v>
      </c>
      <c r="D2495" s="14" t="str">
        <f>IF(ISBLANK(Raw_Data!D2495),AVERAGE(Raw_Data!D$2:D$5002),Raw_Data!D2495)</f>
        <v>76692.14</v>
      </c>
      <c r="E2495" s="15" t="str">
        <f>IF(ISBLANK(Raw_Data!E2495),AVERAGE(Raw_Data!E$2:E$5002),Raw_Data!E2495)</f>
        <v>26118.10</v>
      </c>
      <c r="F2495" s="15" t="str">
        <f>IF(ISBLANK(Raw_Data!F2495),AVERAGE(Raw_Data!F$2:F$5002),Raw_Data!F2495)</f>
        <v>20354.31</v>
      </c>
      <c r="G2495" s="14" t="str">
        <f>IF(ISBLANK(Raw_Data!G2495),AVERAGE(Raw_Data!G$2:G$5002),Raw_Data!G2495)</f>
        <v>15838.54</v>
      </c>
      <c r="H2495" s="15" t="str">
        <f t="shared" si="1"/>
        <v>123165.00</v>
      </c>
      <c r="I2495" s="14" t="str">
        <f t="shared" si="2"/>
        <v>107326.00</v>
      </c>
      <c r="J2495" s="16" t="str">
        <f>TEXT(Raw_Data!J2495,"MMM-YYY")</f>
        <v>Aug-2025</v>
      </c>
      <c r="K2495" s="13" t="str">
        <f>Raw_Data!K2495</f>
        <v>18</v>
      </c>
      <c r="L2495" s="17" t="str">
        <f>Raw_Data!L2495</f>
        <v>Ahmedabad-West</v>
      </c>
      <c r="M2495" s="13" t="str">
        <f t="shared" si="3"/>
        <v>OK</v>
      </c>
      <c r="N2495" s="18" t="str">
        <f t="shared" si="4"/>
        <v>VALID</v>
      </c>
    </row>
    <row r="2496" ht="15.75" customHeight="1">
      <c r="A2496" s="13" t="str">
        <f>Raw_Data!A2496</f>
        <v>EMP2629</v>
      </c>
      <c r="B2496" s="13" t="str">
        <f>TRIM(CLEAN(Raw_Data!B2496))</f>
        <v>Customer Support</v>
      </c>
      <c r="C2496" s="18" t="s">
        <v>18</v>
      </c>
      <c r="D2496" s="14" t="str">
        <f>IF(ISBLANK(Raw_Data!D2496),AVERAGE(Raw_Data!D$2:D$5002),Raw_Data!D2496)</f>
        <v>76703.02</v>
      </c>
      <c r="E2496" s="15" t="str">
        <f>IF(ISBLANK(Raw_Data!E2496),AVERAGE(Raw_Data!E$2:E$5002),Raw_Data!E2496)</f>
        <v>26122.72</v>
      </c>
      <c r="F2496" s="15" t="str">
        <f>IF(ISBLANK(Raw_Data!F2496),AVERAGE(Raw_Data!F$2:F$5002),Raw_Data!F2496)</f>
        <v>20361.99</v>
      </c>
      <c r="G2496" s="14" t="str">
        <f>IF(ISBLANK(Raw_Data!G2496),AVERAGE(Raw_Data!G$2:G$5002),Raw_Data!G2496)</f>
        <v>15841.94</v>
      </c>
      <c r="H2496" s="15" t="str">
        <f t="shared" si="1"/>
        <v>123188.00</v>
      </c>
      <c r="I2496" s="14" t="str">
        <f t="shared" si="2"/>
        <v>107346.00</v>
      </c>
      <c r="J2496" s="16" t="str">
        <f>TEXT(Raw_Data!J2496,"MMM-YYY")</f>
        <v>Nov-2025</v>
      </c>
      <c r="K2496" s="13" t="str">
        <f>Raw_Data!K2496</f>
        <v>2</v>
      </c>
      <c r="L2496" s="17" t="str">
        <f>Raw_Data!L2496</f>
        <v>Jaipur-North</v>
      </c>
      <c r="M2496" s="13" t="str">
        <f t="shared" si="3"/>
        <v>OK</v>
      </c>
      <c r="N2496" s="18" t="str">
        <f t="shared" si="4"/>
        <v>VALID</v>
      </c>
    </row>
    <row r="2497" ht="15.75" customHeight="1">
      <c r="A2497" s="13" t="str">
        <f>Raw_Data!A2497</f>
        <v>EMP2630</v>
      </c>
      <c r="B2497" s="13" t="str">
        <f>TRIM(CLEAN(Raw_Data!B2497))</f>
        <v>HR</v>
      </c>
      <c r="C2497" s="18" t="s">
        <v>37</v>
      </c>
      <c r="D2497" s="14" t="str">
        <f>IF(ISBLANK(Raw_Data!D2497),AVERAGE(Raw_Data!D$2:D$5002),Raw_Data!D2497)</f>
        <v>76713.91</v>
      </c>
      <c r="E2497" s="15" t="str">
        <f>IF(ISBLANK(Raw_Data!E2497),AVERAGE(Raw_Data!E$2:E$5002),Raw_Data!E2497)</f>
        <v>26127.33</v>
      </c>
      <c r="F2497" s="15" t="str">
        <f>IF(ISBLANK(Raw_Data!F2497),AVERAGE(Raw_Data!F$2:F$5002),Raw_Data!F2497)</f>
        <v>20369.67</v>
      </c>
      <c r="G2497" s="14" t="str">
        <f>IF(ISBLANK(Raw_Data!G2497),AVERAGE(Raw_Data!G$2:G$5002),Raw_Data!G2497)</f>
        <v>15845.34</v>
      </c>
      <c r="H2497" s="15" t="str">
        <f t="shared" si="1"/>
        <v>123211.00</v>
      </c>
      <c r="I2497" s="14" t="str">
        <f t="shared" si="2"/>
        <v>107366.00</v>
      </c>
      <c r="J2497" s="16" t="str">
        <f>TEXT(Raw_Data!J2497,"MMM-YYY")</f>
        <v>Jun-2025</v>
      </c>
      <c r="K2497" s="13" t="str">
        <f>Raw_Data!K2497</f>
        <v>9</v>
      </c>
      <c r="L2497" s="17" t="str">
        <f>Raw_Data!L2497</f>
        <v>Mumbai-HO</v>
      </c>
      <c r="M2497" s="13" t="str">
        <f t="shared" si="3"/>
        <v>OK</v>
      </c>
      <c r="N2497" s="18" t="str">
        <f t="shared" si="4"/>
        <v>VALID</v>
      </c>
    </row>
    <row r="2498" ht="15.75" customHeight="1">
      <c r="A2498" s="13" t="str">
        <f>Raw_Data!A2498</f>
        <v>EMP2631</v>
      </c>
      <c r="B2498" s="13" t="str">
        <f>TRIM(CLEAN(Raw_Data!B2498))</f>
        <v>Sales</v>
      </c>
      <c r="C2498" s="18" t="s">
        <v>26</v>
      </c>
      <c r="D2498" s="14" t="str">
        <f>IF(ISBLANK(Raw_Data!D2498),AVERAGE(Raw_Data!D$2:D$5002),Raw_Data!D2498)</f>
        <v>76724.79</v>
      </c>
      <c r="E2498" s="15" t="str">
        <f>IF(ISBLANK(Raw_Data!E2498),AVERAGE(Raw_Data!E$2:E$5002),Raw_Data!E2498)</f>
        <v>26131.95</v>
      </c>
      <c r="F2498" s="15" t="str">
        <f>IF(ISBLANK(Raw_Data!F2498),AVERAGE(Raw_Data!F$2:F$5002),Raw_Data!F2498)</f>
        <v>20377.35</v>
      </c>
      <c r="G2498" s="14" t="str">
        <f>IF(ISBLANK(Raw_Data!G2498),AVERAGE(Raw_Data!G$2:G$5002),Raw_Data!G2498)</f>
        <v>15848.73</v>
      </c>
      <c r="H2498" s="15" t="str">
        <f t="shared" si="1"/>
        <v>123234.00</v>
      </c>
      <c r="I2498" s="14" t="str">
        <f t="shared" si="2"/>
        <v>107385.00</v>
      </c>
      <c r="J2498" s="16" t="str">
        <f>TEXT(Raw_Data!J2498,"MMM-YYY")</f>
        <v>Sep-2025</v>
      </c>
      <c r="K2498" s="13" t="str">
        <f>Raw_Data!K2498</f>
        <v>13</v>
      </c>
      <c r="L2498" s="17" t="str">
        <f>Raw_Data!L2498</f>
        <v>Delhi-North</v>
      </c>
      <c r="M2498" s="13" t="str">
        <f t="shared" si="3"/>
        <v>OK</v>
      </c>
      <c r="N2498" s="18" t="str">
        <f t="shared" si="4"/>
        <v>VALID</v>
      </c>
    </row>
    <row r="2499" ht="15.75" customHeight="1">
      <c r="A2499" s="13" t="str">
        <f>Raw_Data!A2499</f>
        <v>EMP2632</v>
      </c>
      <c r="B2499" s="13" t="str">
        <f>TRIM(CLEAN(Raw_Data!B2499))</f>
        <v>HR</v>
      </c>
      <c r="C2499" s="18" t="s">
        <v>30</v>
      </c>
      <c r="D2499" s="14" t="str">
        <f>IF(ISBLANK(Raw_Data!D2499),AVERAGE(Raw_Data!D$2:D$5002),Raw_Data!D2499)</f>
        <v>76735.67</v>
      </c>
      <c r="E2499" s="15" t="str">
        <f>IF(ISBLANK(Raw_Data!E2499),AVERAGE(Raw_Data!E$2:E$5002),Raw_Data!E2499)</f>
        <v>26136.56</v>
      </c>
      <c r="F2499" s="15" t="str">
        <f>IF(ISBLANK(Raw_Data!F2499),AVERAGE(Raw_Data!F$2:F$5002),Raw_Data!F2499)</f>
        <v>20385.03</v>
      </c>
      <c r="G2499" s="14" t="str">
        <f>IF(ISBLANK(Raw_Data!G2499),AVERAGE(Raw_Data!G$2:G$5002),Raw_Data!G2499)</f>
        <v>15852.13</v>
      </c>
      <c r="H2499" s="15" t="str">
        <f t="shared" si="1"/>
        <v>123257.00</v>
      </c>
      <c r="I2499" s="14" t="str">
        <f t="shared" si="2"/>
        <v>107405.00</v>
      </c>
      <c r="J2499" s="16" t="str">
        <f>TEXT(Raw_Data!J2499,"MMM-YYY")</f>
        <v>Sep-2025</v>
      </c>
      <c r="K2499" s="13" t="str">
        <f>Raw_Data!K2499</f>
        <v>23</v>
      </c>
      <c r="L2499" s="17" t="str">
        <f>Raw_Data!L2499</f>
        <v>Bangalore-South</v>
      </c>
      <c r="M2499" s="13" t="str">
        <f t="shared" si="3"/>
        <v>OK</v>
      </c>
      <c r="N2499" s="18" t="str">
        <f t="shared" si="4"/>
        <v>VALID</v>
      </c>
    </row>
    <row r="2500" ht="15.75" customHeight="1">
      <c r="A2500" s="13" t="str">
        <f>Raw_Data!A2500</f>
        <v>EMP2633</v>
      </c>
      <c r="B2500" s="13" t="str">
        <f>TRIM(CLEAN(Raw_Data!B2500))</f>
        <v>Operations</v>
      </c>
      <c r="C2500" s="18" t="s">
        <v>33</v>
      </c>
      <c r="D2500" s="14" t="str">
        <f>IF(ISBLANK(Raw_Data!D2500),AVERAGE(Raw_Data!D$2:D$5002),Raw_Data!D2500)</f>
        <v>76746.55</v>
      </c>
      <c r="E2500" s="15" t="str">
        <f>IF(ISBLANK(Raw_Data!E2500),AVERAGE(Raw_Data!E$2:E$5002),Raw_Data!E2500)</f>
        <v>26141.18</v>
      </c>
      <c r="F2500" s="15" t="str">
        <f>IF(ISBLANK(Raw_Data!F2500),AVERAGE(Raw_Data!F$2:F$5002),Raw_Data!F2500)</f>
        <v>20392.71</v>
      </c>
      <c r="G2500" s="14" t="str">
        <f>IF(ISBLANK(Raw_Data!G2500),AVERAGE(Raw_Data!G$2:G$5002),Raw_Data!G2500)</f>
        <v>15855.53</v>
      </c>
      <c r="H2500" s="15" t="str">
        <f t="shared" si="1"/>
        <v>123280.00</v>
      </c>
      <c r="I2500" s="14" t="str">
        <f t="shared" si="2"/>
        <v>107424.00</v>
      </c>
      <c r="J2500" s="16" t="str">
        <f>TEXT(Raw_Data!J2500,"MMM-YYY")</f>
        <v>Nov-2025</v>
      </c>
      <c r="K2500" s="13" t="str">
        <f>Raw_Data!K2500</f>
        <v>21</v>
      </c>
      <c r="L2500" s="17" t="str">
        <f>Raw_Data!L2500</f>
        <v>Chennai-South</v>
      </c>
      <c r="M2500" s="13" t="str">
        <f t="shared" si="3"/>
        <v>OK</v>
      </c>
      <c r="N2500" s="18" t="str">
        <f t="shared" si="4"/>
        <v>VALID</v>
      </c>
    </row>
    <row r="2501" ht="15.75" customHeight="1">
      <c r="A2501" s="13" t="str">
        <f>Raw_Data!A2501</f>
        <v>EMP2634</v>
      </c>
      <c r="B2501" s="13" t="str">
        <f>TRIM(CLEAN(Raw_Data!B2501))</f>
        <v>Sales</v>
      </c>
      <c r="C2501" s="18" t="s">
        <v>18</v>
      </c>
      <c r="D2501" s="14" t="str">
        <f>IF(ISBLANK(Raw_Data!D2501),AVERAGE(Raw_Data!D$2:D$5002),Raw_Data!D2501)</f>
        <v>76757.44</v>
      </c>
      <c r="E2501" s="15" t="str">
        <f>IF(ISBLANK(Raw_Data!E2501),AVERAGE(Raw_Data!E$2:E$5002),Raw_Data!E2501)</f>
        <v>26145.79</v>
      </c>
      <c r="F2501" s="15" t="str">
        <f>IF(ISBLANK(Raw_Data!F2501),AVERAGE(Raw_Data!F$2:F$5002),Raw_Data!F2501)</f>
        <v>20400.39</v>
      </c>
      <c r="G2501" s="14" t="str">
        <f>IF(ISBLANK(Raw_Data!G2501),AVERAGE(Raw_Data!G$2:G$5002),Raw_Data!G2501)</f>
        <v>14562.73</v>
      </c>
      <c r="H2501" s="15" t="str">
        <f t="shared" si="1"/>
        <v>123304.00</v>
      </c>
      <c r="I2501" s="14" t="str">
        <f t="shared" si="2"/>
        <v>108741.00</v>
      </c>
      <c r="J2501" s="16" t="str">
        <f>TEXT(Raw_Data!J2501,"MMM-YYY")</f>
        <v>Apr-2025</v>
      </c>
      <c r="K2501" s="13" t="str">
        <f>Raw_Data!K2501</f>
        <v>24</v>
      </c>
      <c r="L2501" s="17" t="str">
        <f>Raw_Data!L2501</f>
        <v>Kolkata-East</v>
      </c>
      <c r="M2501" s="13" t="str">
        <f t="shared" si="3"/>
        <v>OK</v>
      </c>
      <c r="N2501" s="18" t="str">
        <f t="shared" si="4"/>
        <v>VALID</v>
      </c>
    </row>
    <row r="2502" ht="15.75" customHeight="1">
      <c r="A2502" s="13" t="str">
        <f>Raw_Data!A2502</f>
        <v>EMP2635</v>
      </c>
      <c r="B2502" s="13" t="str">
        <f>TRIM(CLEAN(Raw_Data!B2502))</f>
        <v>Operations</v>
      </c>
      <c r="C2502" s="18" t="s">
        <v>54</v>
      </c>
      <c r="D2502" s="14" t="str">
        <f>IF(ISBLANK(Raw_Data!D2502),AVERAGE(Raw_Data!D$2:D$5002),Raw_Data!D2502)</f>
        <v>76768.32</v>
      </c>
      <c r="E2502" s="15" t="str">
        <f>IF(ISBLANK(Raw_Data!E2502),AVERAGE(Raw_Data!E$2:E$5002),Raw_Data!E2502)</f>
        <v>26150.41</v>
      </c>
      <c r="F2502" s="15" t="str">
        <f>IF(ISBLANK(Raw_Data!F2502),AVERAGE(Raw_Data!F$2:F$5002),Raw_Data!F2502)</f>
        <v>20408.07</v>
      </c>
      <c r="G2502" s="14" t="str">
        <f>IF(ISBLANK(Raw_Data!G2502),AVERAGE(Raw_Data!G$2:G$5002),Raw_Data!G2502)</f>
        <v>15862.32</v>
      </c>
      <c r="H2502" s="15" t="str">
        <f t="shared" si="1"/>
        <v>123327.00</v>
      </c>
      <c r="I2502" s="14" t="str">
        <f t="shared" si="2"/>
        <v>107465.00</v>
      </c>
      <c r="J2502" s="16" t="str">
        <f>TEXT(Raw_Data!J2502,"MMM-YYY")</f>
        <v>Jun-2025</v>
      </c>
      <c r="K2502" s="13" t="str">
        <f>Raw_Data!K2502</f>
        <v>15</v>
      </c>
      <c r="L2502" s="17" t="str">
        <f>Raw_Data!L2502</f>
        <v>Pune-West</v>
      </c>
      <c r="M2502" s="13" t="str">
        <f t="shared" si="3"/>
        <v>OK</v>
      </c>
      <c r="N2502" s="18" t="str">
        <f t="shared" si="4"/>
        <v>VALID</v>
      </c>
    </row>
    <row r="2503" ht="15.75" customHeight="1">
      <c r="A2503" s="13" t="str">
        <f>Raw_Data!A2503</f>
        <v>EMP2636</v>
      </c>
      <c r="B2503" s="13" t="str">
        <f>TRIM(CLEAN(Raw_Data!B2503))</f>
        <v>Customer Support</v>
      </c>
      <c r="C2503" s="18" t="s">
        <v>18</v>
      </c>
      <c r="D2503" s="14" t="str">
        <f>IF(ISBLANK(Raw_Data!D2503),AVERAGE(Raw_Data!D$2:D$5002),Raw_Data!D2503)</f>
        <v>76779.20</v>
      </c>
      <c r="E2503" s="15" t="str">
        <f>IF(ISBLANK(Raw_Data!E2503),AVERAGE(Raw_Data!E$2:E$5002),Raw_Data!E2503)</f>
        <v>26155.02</v>
      </c>
      <c r="F2503" s="15" t="str">
        <f>IF(ISBLANK(Raw_Data!F2503),AVERAGE(Raw_Data!F$2:F$5002),Raw_Data!F2503)</f>
        <v>20415.75</v>
      </c>
      <c r="G2503" s="14" t="str">
        <f>IF(ISBLANK(Raw_Data!G2503),AVERAGE(Raw_Data!G$2:G$5002),Raw_Data!G2503)</f>
        <v>15865.72</v>
      </c>
      <c r="H2503" s="15" t="str">
        <f t="shared" si="1"/>
        <v>123350.00</v>
      </c>
      <c r="I2503" s="14" t="str">
        <f t="shared" si="2"/>
        <v>107484.00</v>
      </c>
      <c r="J2503" s="16" t="str">
        <f>TEXT(Raw_Data!J2503,"MMM-YYY")</f>
        <v>Aug-2025</v>
      </c>
      <c r="K2503" s="13" t="str">
        <f>Raw_Data!K2503</f>
        <v>20</v>
      </c>
      <c r="L2503" s="17" t="str">
        <f>Raw_Data!L2503</f>
        <v>Hyderabad-South</v>
      </c>
      <c r="M2503" s="13" t="str">
        <f t="shared" si="3"/>
        <v>OK</v>
      </c>
      <c r="N2503" s="18" t="str">
        <f t="shared" si="4"/>
        <v>VALID</v>
      </c>
    </row>
    <row r="2504" ht="15.75" customHeight="1">
      <c r="A2504" s="13" t="str">
        <f>Raw_Data!A2504</f>
        <v>EMP2637</v>
      </c>
      <c r="B2504" s="13" t="str">
        <f>TRIM(CLEAN(Raw_Data!B2504))</f>
        <v>Marketing</v>
      </c>
      <c r="C2504" s="18" t="s">
        <v>14</v>
      </c>
      <c r="D2504" s="14" t="str">
        <f>IF(ISBLANK(Raw_Data!D2504),AVERAGE(Raw_Data!D$2:D$5002),Raw_Data!D2504)</f>
        <v>76790.09</v>
      </c>
      <c r="E2504" s="15" t="str">
        <f>IF(ISBLANK(Raw_Data!E2504),AVERAGE(Raw_Data!E$2:E$5002),Raw_Data!E2504)</f>
        <v>26159.64</v>
      </c>
      <c r="F2504" s="15" t="str">
        <f>IF(ISBLANK(Raw_Data!F2504),AVERAGE(Raw_Data!F$2:F$5002),Raw_Data!F2504)</f>
        <v>20423.43</v>
      </c>
      <c r="G2504" s="14" t="str">
        <f>IF(ISBLANK(Raw_Data!G2504),AVERAGE(Raw_Data!G$2:G$5002),Raw_Data!G2504)</f>
        <v>15869.12</v>
      </c>
      <c r="H2504" s="15" t="str">
        <f t="shared" si="1"/>
        <v>123373.00</v>
      </c>
      <c r="I2504" s="14" t="str">
        <f t="shared" si="2"/>
        <v>107504.00</v>
      </c>
      <c r="J2504" s="16" t="str">
        <f>TEXT(Raw_Data!J2504,"MMM-YYY")</f>
        <v>Dec-2025</v>
      </c>
      <c r="K2504" s="13" t="str">
        <f>Raw_Data!K2504</f>
        <v>3</v>
      </c>
      <c r="L2504" s="17" t="str">
        <f>Raw_Data!L2504</f>
        <v>Chandigarh-North</v>
      </c>
      <c r="M2504" s="13" t="str">
        <f t="shared" si="3"/>
        <v>OK</v>
      </c>
      <c r="N2504" s="18" t="str">
        <f t="shared" si="4"/>
        <v>VALID</v>
      </c>
    </row>
    <row r="2505" ht="15.75" customHeight="1">
      <c r="A2505" s="13" t="str">
        <f>Raw_Data!A2505</f>
        <v>EMP2638</v>
      </c>
      <c r="B2505" s="13" t="str">
        <f>TRIM(CLEAN(Raw_Data!B2505))</f>
        <v>Marketing</v>
      </c>
      <c r="C2505" s="18" t="s">
        <v>30</v>
      </c>
      <c r="D2505" s="14" t="str">
        <f>IF(ISBLANK(Raw_Data!D2505),AVERAGE(Raw_Data!D$2:D$5002),Raw_Data!D2505)</f>
        <v>76800.97</v>
      </c>
      <c r="E2505" s="15" t="str">
        <f>IF(ISBLANK(Raw_Data!E2505),AVERAGE(Raw_Data!E$2:E$5002),Raw_Data!E2505)</f>
        <v>26164.25</v>
      </c>
      <c r="F2505" s="15" t="str">
        <f>IF(ISBLANK(Raw_Data!F2505),AVERAGE(Raw_Data!F$2:F$5002),Raw_Data!F2505)</f>
        <v>20431.11</v>
      </c>
      <c r="G2505" s="14" t="str">
        <f>IF(ISBLANK(Raw_Data!G2505),AVERAGE(Raw_Data!G$2:G$5002),Raw_Data!G2505)</f>
        <v>15872.52</v>
      </c>
      <c r="H2505" s="15" t="str">
        <f t="shared" si="1"/>
        <v>123396.00</v>
      </c>
      <c r="I2505" s="14" t="str">
        <f t="shared" si="2"/>
        <v>107523.00</v>
      </c>
      <c r="J2505" s="16" t="str">
        <f>TEXT(Raw_Data!J2505,"MMM-YYY")</f>
        <v>Sep-2025</v>
      </c>
      <c r="K2505" s="13" t="str">
        <f>Raw_Data!K2505</f>
        <v>1</v>
      </c>
      <c r="L2505" s="17" t="str">
        <f>Raw_Data!L2505</f>
        <v>Ahmedabad-West</v>
      </c>
      <c r="M2505" s="13" t="str">
        <f t="shared" si="3"/>
        <v>OK</v>
      </c>
      <c r="N2505" s="18" t="str">
        <f t="shared" si="4"/>
        <v>VALID</v>
      </c>
    </row>
    <row r="2506" ht="15.75" customHeight="1">
      <c r="A2506" s="13" t="str">
        <f>Raw_Data!A2506</f>
        <v>EMP2639</v>
      </c>
      <c r="B2506" s="13" t="str">
        <f>TRIM(CLEAN(Raw_Data!B2506))</f>
        <v>HR</v>
      </c>
      <c r="C2506" s="18" t="s">
        <v>18</v>
      </c>
      <c r="D2506" s="14" t="str">
        <f>IF(ISBLANK(Raw_Data!D2506),AVERAGE(Raw_Data!D$2:D$5002),Raw_Data!D2506)</f>
        <v>71831.17</v>
      </c>
      <c r="E2506" s="15" t="str">
        <f>IF(ISBLANK(Raw_Data!E2506),AVERAGE(Raw_Data!E$2:E$5002),Raw_Data!E2506)</f>
        <v>26168.87</v>
      </c>
      <c r="F2506" s="15" t="str">
        <f>IF(ISBLANK(Raw_Data!F2506),AVERAGE(Raw_Data!F$2:F$5002),Raw_Data!F2506)</f>
        <v>20438.79</v>
      </c>
      <c r="G2506" s="14" t="str">
        <f>IF(ISBLANK(Raw_Data!G2506),AVERAGE(Raw_Data!G$2:G$5002),Raw_Data!G2506)</f>
        <v>15875.92</v>
      </c>
      <c r="H2506" s="15" t="str">
        <f t="shared" si="1"/>
        <v>118439.00</v>
      </c>
      <c r="I2506" s="14" t="str">
        <f t="shared" si="2"/>
        <v>102563.00</v>
      </c>
      <c r="J2506" s="16" t="str">
        <f>TEXT(Raw_Data!J2506,"MMM-YYY")</f>
        <v>Jul-2025</v>
      </c>
      <c r="K2506" s="13" t="str">
        <f>Raw_Data!K2506</f>
        <v>4</v>
      </c>
      <c r="L2506" s="17" t="str">
        <f>Raw_Data!L2506</f>
        <v>Jaipur-North</v>
      </c>
      <c r="M2506" s="13" t="str">
        <f t="shared" si="3"/>
        <v>OK</v>
      </c>
      <c r="N2506" s="18" t="str">
        <f t="shared" si="4"/>
        <v>VALID</v>
      </c>
    </row>
    <row r="2507" ht="15.75" customHeight="1">
      <c r="A2507" s="13" t="str">
        <f>Raw_Data!A2507</f>
        <v>EMP2640</v>
      </c>
      <c r="B2507" s="13" t="str">
        <f>TRIM(CLEAN(Raw_Data!B2507))</f>
        <v>IT</v>
      </c>
      <c r="C2507" s="18" t="s">
        <v>30</v>
      </c>
      <c r="D2507" s="14" t="str">
        <f>IF(ISBLANK(Raw_Data!D2507),AVERAGE(Raw_Data!D$2:D$5002),Raw_Data!D2507)</f>
        <v>76822.73</v>
      </c>
      <c r="E2507" s="15" t="str">
        <f>IF(ISBLANK(Raw_Data!E2507),AVERAGE(Raw_Data!E$2:E$5002),Raw_Data!E2507)</f>
        <v>26173.48</v>
      </c>
      <c r="F2507" s="15" t="str">
        <f>IF(ISBLANK(Raw_Data!F2507),AVERAGE(Raw_Data!F$2:F$5002),Raw_Data!F2507)</f>
        <v>20446.47</v>
      </c>
      <c r="G2507" s="14" t="str">
        <f>IF(ISBLANK(Raw_Data!G2507),AVERAGE(Raw_Data!G$2:G$5002),Raw_Data!G2507)</f>
        <v>15879.31</v>
      </c>
      <c r="H2507" s="15" t="str">
        <f t="shared" si="1"/>
        <v>123443.00</v>
      </c>
      <c r="I2507" s="14" t="str">
        <f t="shared" si="2"/>
        <v>107564.00</v>
      </c>
      <c r="J2507" s="16" t="str">
        <f>TEXT(Raw_Data!J2507,"MMM-YYY")</f>
        <v>Feb-2025</v>
      </c>
      <c r="K2507" s="13" t="str">
        <f>Raw_Data!K2507</f>
        <v>25</v>
      </c>
      <c r="L2507" s="17" t="str">
        <f>Raw_Data!L2507</f>
        <v>Mumbai-HO</v>
      </c>
      <c r="M2507" s="13" t="str">
        <f t="shared" si="3"/>
        <v>OK</v>
      </c>
      <c r="N2507" s="18" t="str">
        <f t="shared" si="4"/>
        <v>VALID</v>
      </c>
    </row>
    <row r="2508" ht="15.75" customHeight="1">
      <c r="A2508" s="13" t="str">
        <f>Raw_Data!A2508</f>
        <v>EMP2641</v>
      </c>
      <c r="B2508" s="13" t="str">
        <f>TRIM(CLEAN(Raw_Data!B2508))</f>
        <v>IT</v>
      </c>
      <c r="C2508" s="18" t="s">
        <v>14</v>
      </c>
      <c r="D2508" s="14" t="str">
        <f>IF(ISBLANK(Raw_Data!D2508),AVERAGE(Raw_Data!D$2:D$5002),Raw_Data!D2508)</f>
        <v>76833.62</v>
      </c>
      <c r="E2508" s="15" t="str">
        <f>IF(ISBLANK(Raw_Data!E2508),AVERAGE(Raw_Data!E$2:E$5002),Raw_Data!E2508)</f>
        <v>26178.10</v>
      </c>
      <c r="F2508" s="15" t="str">
        <f>IF(ISBLANK(Raw_Data!F2508),AVERAGE(Raw_Data!F$2:F$5002),Raw_Data!F2508)</f>
        <v>20454.15</v>
      </c>
      <c r="G2508" s="14" t="str">
        <f>IF(ISBLANK(Raw_Data!G2508),AVERAGE(Raw_Data!G$2:G$5002),Raw_Data!G2508)</f>
        <v>15882.71</v>
      </c>
      <c r="H2508" s="15" t="str">
        <f t="shared" si="1"/>
        <v>123466.00</v>
      </c>
      <c r="I2508" s="14" t="str">
        <f t="shared" si="2"/>
        <v>107583.00</v>
      </c>
      <c r="J2508" s="16" t="str">
        <f>TEXT(Raw_Data!J2508,"MMM-YYY")</f>
        <v>Feb-2025</v>
      </c>
      <c r="K2508" s="13" t="str">
        <f>Raw_Data!K2508</f>
        <v>14</v>
      </c>
      <c r="L2508" s="17" t="str">
        <f>Raw_Data!L2508</f>
        <v>Delhi-North</v>
      </c>
      <c r="M2508" s="13" t="str">
        <f t="shared" si="3"/>
        <v>OK</v>
      </c>
      <c r="N2508" s="18" t="str">
        <f t="shared" si="4"/>
        <v>VALID</v>
      </c>
    </row>
    <row r="2509" ht="15.75" customHeight="1">
      <c r="A2509" s="13" t="str">
        <f>Raw_Data!A2509</f>
        <v>EMP2642</v>
      </c>
      <c r="B2509" s="13" t="str">
        <f>TRIM(CLEAN(Raw_Data!B2509))</f>
        <v>Customer Support</v>
      </c>
      <c r="C2509" s="18" t="s">
        <v>30</v>
      </c>
      <c r="D2509" s="14" t="str">
        <f>IF(ISBLANK(Raw_Data!D2509),AVERAGE(Raw_Data!D$2:D$5002),Raw_Data!D2509)</f>
        <v>76844.50</v>
      </c>
      <c r="E2509" s="15" t="str">
        <f>IF(ISBLANK(Raw_Data!E2509),AVERAGE(Raw_Data!E$2:E$5002),Raw_Data!E2509)</f>
        <v>26182.71</v>
      </c>
      <c r="F2509" s="15" t="str">
        <f>IF(ISBLANK(Raw_Data!F2509),AVERAGE(Raw_Data!F$2:F$5002),Raw_Data!F2509)</f>
        <v>20461.83</v>
      </c>
      <c r="G2509" s="14" t="str">
        <f>IF(ISBLANK(Raw_Data!G2509),AVERAGE(Raw_Data!G$2:G$5002),Raw_Data!G2509)</f>
        <v>15886.11</v>
      </c>
      <c r="H2509" s="15" t="str">
        <f t="shared" si="1"/>
        <v>123489.00</v>
      </c>
      <c r="I2509" s="14" t="str">
        <f t="shared" si="2"/>
        <v>107603.00</v>
      </c>
      <c r="J2509" s="16" t="str">
        <f>TEXT(Raw_Data!J2509,"MMM-YYY")</f>
        <v>Apr-2025</v>
      </c>
      <c r="K2509" s="13" t="str">
        <f>Raw_Data!K2509</f>
        <v>22</v>
      </c>
      <c r="L2509" s="17" t="str">
        <f>Raw_Data!L2509</f>
        <v>Bangalore-South</v>
      </c>
      <c r="M2509" s="13" t="str">
        <f t="shared" si="3"/>
        <v>OK</v>
      </c>
      <c r="N2509" s="18" t="str">
        <f t="shared" si="4"/>
        <v>VALID</v>
      </c>
    </row>
    <row r="2510" ht="15.75" customHeight="1">
      <c r="A2510" s="13" t="str">
        <f>Raw_Data!A2510</f>
        <v>EMP2643</v>
      </c>
      <c r="B2510" s="13" t="str">
        <f>TRIM(CLEAN(Raw_Data!B2510))</f>
        <v>Operations</v>
      </c>
      <c r="C2510" s="18" t="s">
        <v>33</v>
      </c>
      <c r="D2510" s="14" t="str">
        <f>IF(ISBLANK(Raw_Data!D2510),AVERAGE(Raw_Data!D$2:D$5002),Raw_Data!D2510)</f>
        <v>76855.38</v>
      </c>
      <c r="E2510" s="15" t="str">
        <f>IF(ISBLANK(Raw_Data!E2510),AVERAGE(Raw_Data!E$2:E$5002),Raw_Data!E2510)</f>
        <v>26187.32</v>
      </c>
      <c r="F2510" s="15" t="str">
        <f>IF(ISBLANK(Raw_Data!F2510),AVERAGE(Raw_Data!F$2:F$5002),Raw_Data!F2510)</f>
        <v>20469.51</v>
      </c>
      <c r="G2510" s="14" t="str">
        <f>IF(ISBLANK(Raw_Data!G2510),AVERAGE(Raw_Data!G$2:G$5002),Raw_Data!G2510)</f>
        <v>15889.51</v>
      </c>
      <c r="H2510" s="15" t="str">
        <f t="shared" si="1"/>
        <v>123512.00</v>
      </c>
      <c r="I2510" s="14" t="str">
        <f t="shared" si="2"/>
        <v>107622.00</v>
      </c>
      <c r="J2510" s="16" t="str">
        <f>TEXT(Raw_Data!J2510,"MMM-YYY")</f>
        <v>Oct-2025</v>
      </c>
      <c r="K2510" s="13" t="str">
        <f>Raw_Data!K2510</f>
        <v>12</v>
      </c>
      <c r="L2510" s="17" t="str">
        <f>Raw_Data!L2510</f>
        <v>Chennai-South</v>
      </c>
      <c r="M2510" s="13" t="str">
        <f t="shared" si="3"/>
        <v>OK</v>
      </c>
      <c r="N2510" s="18" t="str">
        <f t="shared" si="4"/>
        <v>VALID</v>
      </c>
    </row>
    <row r="2511" ht="15.75" customHeight="1">
      <c r="A2511" s="13" t="str">
        <f>Raw_Data!A2511</f>
        <v>EMP2644</v>
      </c>
      <c r="B2511" s="13" t="s">
        <v>25</v>
      </c>
      <c r="C2511" s="18" t="s">
        <v>18</v>
      </c>
      <c r="D2511" s="14" t="str">
        <f>IF(ISBLANK(Raw_Data!D2511),AVERAGE(Raw_Data!D$2:D$5002),Raw_Data!D2511)</f>
        <v>76866.27</v>
      </c>
      <c r="E2511" s="15" t="str">
        <f>IF(ISBLANK(Raw_Data!E2511),AVERAGE(Raw_Data!E$2:E$5002),Raw_Data!E2511)</f>
        <v>26191.94</v>
      </c>
      <c r="F2511" s="15" t="str">
        <f>IF(ISBLANK(Raw_Data!F2511),AVERAGE(Raw_Data!F$2:F$5002),Raw_Data!F2511)</f>
        <v>20477.19</v>
      </c>
      <c r="G2511" s="14" t="str">
        <f>IF(ISBLANK(Raw_Data!G2511),AVERAGE(Raw_Data!G$2:G$5002),Raw_Data!G2511)</f>
        <v>15892.90</v>
      </c>
      <c r="H2511" s="15" t="str">
        <f t="shared" si="1"/>
        <v>123535.00</v>
      </c>
      <c r="I2511" s="14" t="str">
        <f t="shared" si="2"/>
        <v>107642.00</v>
      </c>
      <c r="J2511" s="16" t="str">
        <f>TEXT(Raw_Data!J2511,"MMM-YYY")</f>
        <v>Dec-2025</v>
      </c>
      <c r="K2511" s="13" t="str">
        <f>Raw_Data!K2511</f>
        <v>1</v>
      </c>
      <c r="L2511" s="17" t="str">
        <f>Raw_Data!L2511</f>
        <v>Kolkata-East</v>
      </c>
      <c r="M2511" s="13" t="str">
        <f t="shared" si="3"/>
        <v>OK</v>
      </c>
      <c r="N2511" s="18" t="str">
        <f t="shared" si="4"/>
        <v>VALID</v>
      </c>
    </row>
    <row r="2512" ht="15.75" customHeight="1">
      <c r="A2512" s="13" t="str">
        <f>Raw_Data!A2512</f>
        <v>EMP2645</v>
      </c>
      <c r="B2512" s="13" t="str">
        <f>TRIM(CLEAN(Raw_Data!B2512))</f>
        <v>Customer Support</v>
      </c>
      <c r="C2512" s="18" t="s">
        <v>37</v>
      </c>
      <c r="D2512" s="14" t="str">
        <f>IF(ISBLANK(Raw_Data!D2512),AVERAGE(Raw_Data!D$2:D$5002),Raw_Data!D2512)</f>
        <v>76877.15</v>
      </c>
      <c r="E2512" s="15" t="str">
        <f>IF(ISBLANK(Raw_Data!E2512),AVERAGE(Raw_Data!E$2:E$5002),Raw_Data!E2512)</f>
        <v>26196.55</v>
      </c>
      <c r="F2512" s="15" t="str">
        <f>IF(ISBLANK(Raw_Data!F2512),AVERAGE(Raw_Data!F$2:F$5002),Raw_Data!F2512)</f>
        <v>20484.87</v>
      </c>
      <c r="G2512" s="14" t="str">
        <f>IF(ISBLANK(Raw_Data!G2512),AVERAGE(Raw_Data!G$2:G$5002),Raw_Data!G2512)</f>
        <v>15896.30</v>
      </c>
      <c r="H2512" s="15" t="str">
        <f t="shared" si="1"/>
        <v>123559.00</v>
      </c>
      <c r="I2512" s="14" t="str">
        <f t="shared" si="2"/>
        <v>107663.00</v>
      </c>
      <c r="J2512" s="16" t="str">
        <f>TEXT(Raw_Data!J2512,"MMM-YYY")</f>
        <v>Jun-2025</v>
      </c>
      <c r="K2512" s="13" t="str">
        <f>Raw_Data!K2512</f>
        <v>12</v>
      </c>
      <c r="L2512" s="17" t="str">
        <f>Raw_Data!L2512</f>
        <v>Pune-West</v>
      </c>
      <c r="M2512" s="13" t="str">
        <f t="shared" si="3"/>
        <v>OK</v>
      </c>
      <c r="N2512" s="18" t="str">
        <f t="shared" si="4"/>
        <v>VALID</v>
      </c>
    </row>
    <row r="2513" ht="15.75" customHeight="1">
      <c r="A2513" s="13" t="str">
        <f>Raw_Data!A2513</f>
        <v>EMP2646</v>
      </c>
      <c r="B2513" s="13" t="str">
        <f>TRIM(CLEAN(Raw_Data!B2513))</f>
        <v>Sales</v>
      </c>
      <c r="C2513" s="18" t="s">
        <v>54</v>
      </c>
      <c r="D2513" s="14" t="str">
        <f>IF(ISBLANK(Raw_Data!D2513),AVERAGE(Raw_Data!D$2:D$5002),Raw_Data!D2513)</f>
        <v>71831.17</v>
      </c>
      <c r="E2513" s="15" t="str">
        <f>IF(ISBLANK(Raw_Data!E2513),AVERAGE(Raw_Data!E$2:E$5002),Raw_Data!E2513)</f>
        <v>26201.17</v>
      </c>
      <c r="F2513" s="15" t="str">
        <f>IF(ISBLANK(Raw_Data!F2513),AVERAGE(Raw_Data!F$2:F$5002),Raw_Data!F2513)</f>
        <v>20492.55</v>
      </c>
      <c r="G2513" s="14" t="str">
        <f>IF(ISBLANK(Raw_Data!G2513),AVERAGE(Raw_Data!G$2:G$5002),Raw_Data!G2513)</f>
        <v>15899.70</v>
      </c>
      <c r="H2513" s="15" t="str">
        <f t="shared" si="1"/>
        <v>118525.00</v>
      </c>
      <c r="I2513" s="14" t="str">
        <f t="shared" si="2"/>
        <v>102625.00</v>
      </c>
      <c r="J2513" s="16" t="str">
        <f>TEXT(Raw_Data!J2513,"MMM-YYY")</f>
        <v>Feb-2025</v>
      </c>
      <c r="K2513" s="13" t="str">
        <f>Raw_Data!K2513</f>
        <v>16</v>
      </c>
      <c r="L2513" s="17" t="str">
        <f>Raw_Data!L2513</f>
        <v>Hyderabad-South</v>
      </c>
      <c r="M2513" s="13" t="str">
        <f t="shared" si="3"/>
        <v>OK</v>
      </c>
      <c r="N2513" s="18" t="str">
        <f t="shared" si="4"/>
        <v>VALID</v>
      </c>
    </row>
    <row r="2514" ht="15.75" customHeight="1">
      <c r="A2514" s="13" t="str">
        <f>Raw_Data!A2514</f>
        <v>EMP2647</v>
      </c>
      <c r="B2514" s="13" t="str">
        <f>TRIM(CLEAN(Raw_Data!B2514))</f>
        <v>IT</v>
      </c>
      <c r="C2514" s="18" t="s">
        <v>18</v>
      </c>
      <c r="D2514" s="14" t="str">
        <f>IF(ISBLANK(Raw_Data!D2514),AVERAGE(Raw_Data!D$2:D$5002),Raw_Data!D2514)</f>
        <v>76898.92</v>
      </c>
      <c r="E2514" s="15" t="str">
        <f>IF(ISBLANK(Raw_Data!E2514),AVERAGE(Raw_Data!E$2:E$5002),Raw_Data!E2514)</f>
        <v>26205.78</v>
      </c>
      <c r="F2514" s="15" t="str">
        <f>IF(ISBLANK(Raw_Data!F2514),AVERAGE(Raw_Data!F$2:F$5002),Raw_Data!F2514)</f>
        <v>20500.23</v>
      </c>
      <c r="G2514" s="14" t="str">
        <f>IF(ISBLANK(Raw_Data!G2514),AVERAGE(Raw_Data!G$2:G$5002),Raw_Data!G2514)</f>
        <v>15903.10</v>
      </c>
      <c r="H2514" s="15" t="str">
        <f t="shared" si="1"/>
        <v>123605.00</v>
      </c>
      <c r="I2514" s="14" t="str">
        <f t="shared" si="2"/>
        <v>107702.00</v>
      </c>
      <c r="J2514" s="16" t="str">
        <f>TEXT(Raw_Data!J2514,"MMM-YYY")</f>
        <v>Apr-2025</v>
      </c>
      <c r="K2514" s="13" t="str">
        <f>Raw_Data!K2514</f>
        <v>20</v>
      </c>
      <c r="L2514" s="17" t="str">
        <f>Raw_Data!L2514</f>
        <v>Chandigarh-North</v>
      </c>
      <c r="M2514" s="13" t="str">
        <f t="shared" si="3"/>
        <v>OK</v>
      </c>
      <c r="N2514" s="18" t="str">
        <f t="shared" si="4"/>
        <v>VALID</v>
      </c>
    </row>
    <row r="2515" ht="15.75" customHeight="1">
      <c r="A2515" s="13" t="str">
        <f>Raw_Data!A2515</f>
        <v>EMP2648</v>
      </c>
      <c r="B2515" s="13" t="str">
        <f>TRIM(CLEAN(Raw_Data!B2515))</f>
        <v>IT</v>
      </c>
      <c r="C2515" s="18" t="s">
        <v>14</v>
      </c>
      <c r="D2515" s="14" t="str">
        <f>IF(ISBLANK(Raw_Data!D2515),AVERAGE(Raw_Data!D$2:D$5002),Raw_Data!D2515)</f>
        <v>76909.80</v>
      </c>
      <c r="E2515" s="15" t="str">
        <f>IF(ISBLANK(Raw_Data!E2515),AVERAGE(Raw_Data!E$2:E$5002),Raw_Data!E2515)</f>
        <v>26210.40</v>
      </c>
      <c r="F2515" s="15" t="str">
        <f>IF(ISBLANK(Raw_Data!F2515),AVERAGE(Raw_Data!F$2:F$5002),Raw_Data!F2515)</f>
        <v>20507.91</v>
      </c>
      <c r="G2515" s="14" t="str">
        <f>IF(ISBLANK(Raw_Data!G2515),AVERAGE(Raw_Data!G$2:G$5002),Raw_Data!G2515)</f>
        <v>15906.49</v>
      </c>
      <c r="H2515" s="15" t="str">
        <f t="shared" si="1"/>
        <v>123628.00</v>
      </c>
      <c r="I2515" s="14" t="str">
        <f t="shared" si="2"/>
        <v>107722.00</v>
      </c>
      <c r="J2515" s="16" t="str">
        <f>TEXT(Raw_Data!J2515,"MMM-YYY")</f>
        <v>Jun-2025</v>
      </c>
      <c r="K2515" s="13" t="str">
        <f>Raw_Data!K2515</f>
        <v>7</v>
      </c>
      <c r="L2515" s="17" t="str">
        <f>Raw_Data!L2515</f>
        <v>Ahmedabad-West</v>
      </c>
      <c r="M2515" s="13" t="str">
        <f t="shared" si="3"/>
        <v>OK</v>
      </c>
      <c r="N2515" s="18" t="str">
        <f t="shared" si="4"/>
        <v>VALID</v>
      </c>
    </row>
    <row r="2516" ht="15.75" customHeight="1">
      <c r="A2516" s="13" t="str">
        <f>Raw_Data!A2516</f>
        <v>EMP2649</v>
      </c>
      <c r="B2516" s="13" t="str">
        <f>TRIM(CLEAN(Raw_Data!B2516))</f>
        <v>Finance</v>
      </c>
      <c r="C2516" s="18" t="s">
        <v>33</v>
      </c>
      <c r="D2516" s="14" t="str">
        <f>IF(ISBLANK(Raw_Data!D2516),AVERAGE(Raw_Data!D$2:D$5002),Raw_Data!D2516)</f>
        <v>76920.68</v>
      </c>
      <c r="E2516" s="15" t="str">
        <f>IF(ISBLANK(Raw_Data!E2516),AVERAGE(Raw_Data!E$2:E$5002),Raw_Data!E2516)</f>
        <v>26215.01</v>
      </c>
      <c r="F2516" s="15" t="str">
        <f>IF(ISBLANK(Raw_Data!F2516),AVERAGE(Raw_Data!F$2:F$5002),Raw_Data!F2516)</f>
        <v>20515.59</v>
      </c>
      <c r="G2516" s="14" t="str">
        <f>IF(ISBLANK(Raw_Data!G2516),AVERAGE(Raw_Data!G$2:G$5002),Raw_Data!G2516)</f>
        <v>15909.89</v>
      </c>
      <c r="H2516" s="15" t="str">
        <f t="shared" si="1"/>
        <v>123651.00</v>
      </c>
      <c r="I2516" s="14" t="str">
        <f t="shared" si="2"/>
        <v>107741.00</v>
      </c>
      <c r="J2516" s="16" t="str">
        <f>TEXT(Raw_Data!J2516,"MMM-YYY")</f>
        <v>Oct-2025</v>
      </c>
      <c r="K2516" s="13" t="str">
        <f>Raw_Data!K2516</f>
        <v>20</v>
      </c>
      <c r="L2516" s="17" t="str">
        <f>Raw_Data!L2516</f>
        <v>Jaipur-North</v>
      </c>
      <c r="M2516" s="13" t="str">
        <f t="shared" si="3"/>
        <v>OK</v>
      </c>
      <c r="N2516" s="18" t="str">
        <f t="shared" si="4"/>
        <v>VALID</v>
      </c>
    </row>
    <row r="2517" ht="15.75" customHeight="1">
      <c r="A2517" s="13" t="str">
        <f>Raw_Data!A2517</f>
        <v>EMP2651</v>
      </c>
      <c r="B2517" s="13" t="str">
        <f>TRIM(CLEAN(Raw_Data!B2517))</f>
        <v>Customer Support</v>
      </c>
      <c r="C2517" s="18" t="s">
        <v>30</v>
      </c>
      <c r="D2517" s="14" t="str">
        <f>IF(ISBLANK(Raw_Data!D2517),AVERAGE(Raw_Data!D$2:D$5002),Raw_Data!D2517)</f>
        <v>76942.45</v>
      </c>
      <c r="E2517" s="15" t="str">
        <f>IF(ISBLANK(Raw_Data!E2517),AVERAGE(Raw_Data!E$2:E$5002),Raw_Data!E2517)</f>
        <v>26224.24</v>
      </c>
      <c r="F2517" s="15" t="str">
        <f>IF(ISBLANK(Raw_Data!F2517),AVERAGE(Raw_Data!F$2:F$5002),Raw_Data!F2517)</f>
        <v>20530.95</v>
      </c>
      <c r="G2517" s="14" t="str">
        <f>IF(ISBLANK(Raw_Data!G2517),AVERAGE(Raw_Data!G$2:G$5002),Raw_Data!G2517)</f>
        <v>15916.69</v>
      </c>
      <c r="H2517" s="15" t="str">
        <f t="shared" si="1"/>
        <v>123698.00</v>
      </c>
      <c r="I2517" s="14" t="str">
        <f t="shared" si="2"/>
        <v>107781.00</v>
      </c>
      <c r="J2517" s="16" t="str">
        <f>TEXT(Raw_Data!J2517,"MMM-YYY")</f>
        <v>Jul-2025</v>
      </c>
      <c r="K2517" s="13" t="str">
        <f>Raw_Data!K2517</f>
        <v>24</v>
      </c>
      <c r="L2517" s="17" t="str">
        <f>Raw_Data!L2517</f>
        <v>Delhi-North</v>
      </c>
      <c r="M2517" s="13" t="str">
        <f t="shared" si="3"/>
        <v>OK</v>
      </c>
      <c r="N2517" s="18" t="str">
        <f t="shared" si="4"/>
        <v>VALID</v>
      </c>
    </row>
    <row r="2518" ht="15.75" customHeight="1">
      <c r="A2518" s="13" t="str">
        <f>Raw_Data!A2518</f>
        <v>EMP2652</v>
      </c>
      <c r="B2518" s="13" t="str">
        <f>TRIM(CLEAN(Raw_Data!B2518))</f>
        <v>HR</v>
      </c>
      <c r="C2518" s="18" t="s">
        <v>33</v>
      </c>
      <c r="D2518" s="14" t="str">
        <f>IF(ISBLANK(Raw_Data!D2518),AVERAGE(Raw_Data!D$2:D$5002),Raw_Data!D2518)</f>
        <v>76953.33</v>
      </c>
      <c r="E2518" s="15" t="str">
        <f>IF(ISBLANK(Raw_Data!E2518),AVERAGE(Raw_Data!E$2:E$5002),Raw_Data!E2518)</f>
        <v>26228.86</v>
      </c>
      <c r="F2518" s="15" t="str">
        <f>IF(ISBLANK(Raw_Data!F2518),AVERAGE(Raw_Data!F$2:F$5002),Raw_Data!F2518)</f>
        <v>20538.63</v>
      </c>
      <c r="G2518" s="14" t="str">
        <f>IF(ISBLANK(Raw_Data!G2518),AVERAGE(Raw_Data!G$2:G$5002),Raw_Data!G2518)</f>
        <v>15920.08</v>
      </c>
      <c r="H2518" s="15" t="str">
        <f t="shared" si="1"/>
        <v>123721.00</v>
      </c>
      <c r="I2518" s="14" t="str">
        <f t="shared" si="2"/>
        <v>107801.00</v>
      </c>
      <c r="J2518" s="16" t="str">
        <f>TEXT(Raw_Data!J2518,"MMM-YYY")</f>
        <v>May-2025</v>
      </c>
      <c r="K2518" s="13" t="str">
        <f>Raw_Data!K2518</f>
        <v>25</v>
      </c>
      <c r="L2518" s="17" t="str">
        <f>Raw_Data!L2518</f>
        <v>Bangalore-South</v>
      </c>
      <c r="M2518" s="13" t="str">
        <f t="shared" si="3"/>
        <v>OK</v>
      </c>
      <c r="N2518" s="18" t="str">
        <f t="shared" si="4"/>
        <v>VALID</v>
      </c>
    </row>
    <row r="2519" ht="15.75" customHeight="1">
      <c r="A2519" s="13" t="str">
        <f>Raw_Data!A2519</f>
        <v>EMP2653</v>
      </c>
      <c r="B2519" s="13" t="str">
        <f>TRIM(CLEAN(Raw_Data!B2519))</f>
        <v>Marketing</v>
      </c>
      <c r="C2519" s="18" t="s">
        <v>30</v>
      </c>
      <c r="D2519" s="14" t="str">
        <f>IF(ISBLANK(Raw_Data!D2519),AVERAGE(Raw_Data!D$2:D$5002),Raw_Data!D2519)</f>
        <v>76964.21</v>
      </c>
      <c r="E2519" s="15" t="str">
        <f>IF(ISBLANK(Raw_Data!E2519),AVERAGE(Raw_Data!E$2:E$5002),Raw_Data!E2519)</f>
        <v>26233.47</v>
      </c>
      <c r="F2519" s="15" t="str">
        <f>IF(ISBLANK(Raw_Data!F2519),AVERAGE(Raw_Data!F$2:F$5002),Raw_Data!F2519)</f>
        <v>20546.31</v>
      </c>
      <c r="G2519" s="14" t="str">
        <f>IF(ISBLANK(Raw_Data!G2519),AVERAGE(Raw_Data!G$2:G$5002),Raw_Data!G2519)</f>
        <v>15923.48</v>
      </c>
      <c r="H2519" s="15" t="str">
        <f t="shared" si="1"/>
        <v>123744.00</v>
      </c>
      <c r="I2519" s="14" t="str">
        <f t="shared" si="2"/>
        <v>107821.00</v>
      </c>
      <c r="J2519" s="16" t="str">
        <f>TEXT(Raw_Data!J2519,"MMM-YYY")</f>
        <v>May-2025</v>
      </c>
      <c r="K2519" s="13" t="str">
        <f>Raw_Data!K2519</f>
        <v>5</v>
      </c>
      <c r="L2519" s="17" t="str">
        <f>Raw_Data!L2519</f>
        <v>Chennai-South</v>
      </c>
      <c r="M2519" s="13" t="str">
        <f t="shared" si="3"/>
        <v>OK</v>
      </c>
      <c r="N2519" s="18" t="str">
        <f t="shared" si="4"/>
        <v>VALID</v>
      </c>
    </row>
    <row r="2520" ht="15.75" customHeight="1">
      <c r="A2520" s="13" t="str">
        <f>Raw_Data!A2520</f>
        <v>EMP2654</v>
      </c>
      <c r="B2520" s="13" t="str">
        <f>TRIM(CLEAN(Raw_Data!B2520))</f>
        <v>HR</v>
      </c>
      <c r="C2520" s="18" t="s">
        <v>26</v>
      </c>
      <c r="D2520" s="14" t="str">
        <f>IF(ISBLANK(Raw_Data!D2520),AVERAGE(Raw_Data!D$2:D$5002),Raw_Data!D2520)</f>
        <v>76975.10</v>
      </c>
      <c r="E2520" s="15" t="str">
        <f>IF(ISBLANK(Raw_Data!E2520),AVERAGE(Raw_Data!E$2:E$5002),Raw_Data!E2520)</f>
        <v>26238.09</v>
      </c>
      <c r="F2520" s="15" t="str">
        <f>IF(ISBLANK(Raw_Data!F2520),AVERAGE(Raw_Data!F$2:F$5002),Raw_Data!F2520)</f>
        <v>20553.99</v>
      </c>
      <c r="G2520" s="14" t="str">
        <f>IF(ISBLANK(Raw_Data!G2520),AVERAGE(Raw_Data!G$2:G$5002),Raw_Data!G2520)</f>
        <v>14562.73</v>
      </c>
      <c r="H2520" s="15" t="str">
        <f t="shared" si="1"/>
        <v>123767.00</v>
      </c>
      <c r="I2520" s="14" t="str">
        <f t="shared" si="2"/>
        <v>109204.00</v>
      </c>
      <c r="J2520" s="16" t="str">
        <f>TEXT(Raw_Data!J2520,"MMM-YYY")</f>
        <v>Jan-2025</v>
      </c>
      <c r="K2520" s="13" t="str">
        <f>Raw_Data!K2520</f>
        <v>2</v>
      </c>
      <c r="L2520" s="17" t="str">
        <f>Raw_Data!L2520</f>
        <v>Kolkata-East</v>
      </c>
      <c r="M2520" s="13" t="str">
        <f t="shared" si="3"/>
        <v>OK</v>
      </c>
      <c r="N2520" s="18" t="str">
        <f t="shared" si="4"/>
        <v>VALID</v>
      </c>
    </row>
    <row r="2521" ht="15.75" customHeight="1">
      <c r="A2521" s="13" t="str">
        <f>Raw_Data!A2521</f>
        <v>EMP2655</v>
      </c>
      <c r="B2521" s="13" t="str">
        <f>TRIM(CLEAN(Raw_Data!B2521))</f>
        <v>HR</v>
      </c>
      <c r="C2521" s="18" t="s">
        <v>26</v>
      </c>
      <c r="D2521" s="14" t="str">
        <f>IF(ISBLANK(Raw_Data!D2521),AVERAGE(Raw_Data!D$2:D$5002),Raw_Data!D2521)</f>
        <v>76985.98</v>
      </c>
      <c r="E2521" s="15" t="str">
        <f>IF(ISBLANK(Raw_Data!E2521),AVERAGE(Raw_Data!E$2:E$5002),Raw_Data!E2521)</f>
        <v>26242.70</v>
      </c>
      <c r="F2521" s="15" t="str">
        <f>IF(ISBLANK(Raw_Data!F2521),AVERAGE(Raw_Data!F$2:F$5002),Raw_Data!F2521)</f>
        <v>20561.67</v>
      </c>
      <c r="G2521" s="14" t="str">
        <f>IF(ISBLANK(Raw_Data!G2521),AVERAGE(Raw_Data!G$2:G$5002),Raw_Data!G2521)</f>
        <v>15930.28</v>
      </c>
      <c r="H2521" s="15" t="str">
        <f t="shared" si="1"/>
        <v>123790.00</v>
      </c>
      <c r="I2521" s="14" t="str">
        <f t="shared" si="2"/>
        <v>107860.00</v>
      </c>
      <c r="J2521" s="16" t="str">
        <f>TEXT(Raw_Data!J2521,"MMM-YYY")</f>
        <v>Apr-2025</v>
      </c>
      <c r="K2521" s="13" t="str">
        <f>Raw_Data!K2521</f>
        <v>24</v>
      </c>
      <c r="L2521" s="17" t="str">
        <f>Raw_Data!L2521</f>
        <v>Pune-West</v>
      </c>
      <c r="M2521" s="13" t="str">
        <f t="shared" si="3"/>
        <v>OK</v>
      </c>
      <c r="N2521" s="18" t="str">
        <f t="shared" si="4"/>
        <v>VALID</v>
      </c>
    </row>
    <row r="2522" ht="15.75" customHeight="1">
      <c r="A2522" s="13" t="str">
        <f>Raw_Data!A2522</f>
        <v>EMP2656</v>
      </c>
      <c r="B2522" s="13" t="str">
        <f>TRIM(CLEAN(Raw_Data!B2522))</f>
        <v>Finance</v>
      </c>
      <c r="C2522" s="18" t="s">
        <v>26</v>
      </c>
      <c r="D2522" s="14" t="str">
        <f>IF(ISBLANK(Raw_Data!D2522),AVERAGE(Raw_Data!D$2:D$5002),Raw_Data!D2522)</f>
        <v>76996.86</v>
      </c>
      <c r="E2522" s="15" t="str">
        <f>IF(ISBLANK(Raw_Data!E2522),AVERAGE(Raw_Data!E$2:E$5002),Raw_Data!E2522)</f>
        <v>26247.32</v>
      </c>
      <c r="F2522" s="15" t="str">
        <f>IF(ISBLANK(Raw_Data!F2522),AVERAGE(Raw_Data!F$2:F$5002),Raw_Data!F2522)</f>
        <v>20569.35</v>
      </c>
      <c r="G2522" s="14" t="str">
        <f>IF(ISBLANK(Raw_Data!G2522),AVERAGE(Raw_Data!G$2:G$5002),Raw_Data!G2522)</f>
        <v>15933.67</v>
      </c>
      <c r="H2522" s="15" t="str">
        <f t="shared" si="1"/>
        <v>123814.00</v>
      </c>
      <c r="I2522" s="14" t="str">
        <f t="shared" si="2"/>
        <v>107880.00</v>
      </c>
      <c r="J2522" s="16" t="str">
        <f>TEXT(Raw_Data!J2522,"MMM-YYY")</f>
        <v>Dec-2025</v>
      </c>
      <c r="K2522" s="13" t="str">
        <f>Raw_Data!K2522</f>
        <v>7</v>
      </c>
      <c r="L2522" s="17" t="str">
        <f>Raw_Data!L2522</f>
        <v>Hyderabad-South</v>
      </c>
      <c r="M2522" s="13" t="str">
        <f t="shared" si="3"/>
        <v>OK</v>
      </c>
      <c r="N2522" s="18" t="str">
        <f t="shared" si="4"/>
        <v>VALID</v>
      </c>
    </row>
    <row r="2523" ht="15.75" customHeight="1">
      <c r="A2523" s="13" t="str">
        <f>Raw_Data!A2523</f>
        <v>EMP2657</v>
      </c>
      <c r="B2523" s="13" t="str">
        <f>TRIM(CLEAN(Raw_Data!B2523))</f>
        <v>Marketing</v>
      </c>
      <c r="C2523" s="18" t="s">
        <v>14</v>
      </c>
      <c r="D2523" s="14" t="str">
        <f>IF(ISBLANK(Raw_Data!D2523),AVERAGE(Raw_Data!D$2:D$5002),Raw_Data!D2523)</f>
        <v>77007.75</v>
      </c>
      <c r="E2523" s="15" t="str">
        <f>IF(ISBLANK(Raw_Data!E2523),AVERAGE(Raw_Data!E$2:E$5002),Raw_Data!E2523)</f>
        <v>26251.93</v>
      </c>
      <c r="F2523" s="15" t="str">
        <f>IF(ISBLANK(Raw_Data!F2523),AVERAGE(Raw_Data!F$2:F$5002),Raw_Data!F2523)</f>
        <v>20577.03</v>
      </c>
      <c r="G2523" s="14" t="str">
        <f>IF(ISBLANK(Raw_Data!G2523),AVERAGE(Raw_Data!G$2:G$5002),Raw_Data!G2523)</f>
        <v>15937.07</v>
      </c>
      <c r="H2523" s="15" t="str">
        <f t="shared" si="1"/>
        <v>123837.00</v>
      </c>
      <c r="I2523" s="14" t="str">
        <f t="shared" si="2"/>
        <v>107900.00</v>
      </c>
      <c r="J2523" s="16" t="str">
        <f>TEXT(Raw_Data!J2523,"MMM-YYY")</f>
        <v>Oct-2025</v>
      </c>
      <c r="K2523" s="13" t="str">
        <f>Raw_Data!K2523</f>
        <v>6</v>
      </c>
      <c r="L2523" s="17" t="str">
        <f>Raw_Data!L2523</f>
        <v>Chandigarh-North</v>
      </c>
      <c r="M2523" s="13" t="str">
        <f t="shared" si="3"/>
        <v>OK</v>
      </c>
      <c r="N2523" s="18" t="str">
        <f t="shared" si="4"/>
        <v>VALID</v>
      </c>
    </row>
    <row r="2524" ht="15.75" customHeight="1">
      <c r="A2524" s="13" t="str">
        <f>Raw_Data!A2524</f>
        <v>EMP2658</v>
      </c>
      <c r="B2524" s="13" t="str">
        <f>TRIM(CLEAN(Raw_Data!B2524))</f>
        <v>Operations</v>
      </c>
      <c r="C2524" s="18" t="s">
        <v>33</v>
      </c>
      <c r="D2524" s="14" t="str">
        <f>IF(ISBLANK(Raw_Data!D2524),AVERAGE(Raw_Data!D$2:D$5002),Raw_Data!D2524)</f>
        <v>77018.63</v>
      </c>
      <c r="E2524" s="15" t="str">
        <f>IF(ISBLANK(Raw_Data!E2524),AVERAGE(Raw_Data!E$2:E$5002),Raw_Data!E2524)</f>
        <v>26256.55</v>
      </c>
      <c r="F2524" s="15" t="str">
        <f>IF(ISBLANK(Raw_Data!F2524),AVERAGE(Raw_Data!F$2:F$5002),Raw_Data!F2524)</f>
        <v>20584.71</v>
      </c>
      <c r="G2524" s="14" t="str">
        <f>IF(ISBLANK(Raw_Data!G2524),AVERAGE(Raw_Data!G$2:G$5002),Raw_Data!G2524)</f>
        <v>15940.47</v>
      </c>
      <c r="H2524" s="15" t="str">
        <f t="shared" si="1"/>
        <v>123860.00</v>
      </c>
      <c r="I2524" s="14" t="str">
        <f t="shared" si="2"/>
        <v>107920.00</v>
      </c>
      <c r="J2524" s="16" t="str">
        <f>TEXT(Raw_Data!J2524,"MMM-YYY")</f>
        <v>Jul-2025</v>
      </c>
      <c r="K2524" s="13" t="str">
        <f>Raw_Data!K2524</f>
        <v>9</v>
      </c>
      <c r="L2524" s="17" t="str">
        <f>Raw_Data!L2524</f>
        <v>Ahmedabad-West</v>
      </c>
      <c r="M2524" s="13" t="str">
        <f t="shared" si="3"/>
        <v>OK</v>
      </c>
      <c r="N2524" s="18" t="str">
        <f t="shared" si="4"/>
        <v>VALID</v>
      </c>
    </row>
    <row r="2525" ht="15.75" customHeight="1">
      <c r="A2525" s="13" t="str">
        <f>Raw_Data!A2525</f>
        <v>EMP2659</v>
      </c>
      <c r="B2525" s="13" t="str">
        <f>TRIM(CLEAN(Raw_Data!B2525))</f>
        <v>HR</v>
      </c>
      <c r="C2525" s="18" t="s">
        <v>14</v>
      </c>
      <c r="D2525" s="14" t="str">
        <f>IF(ISBLANK(Raw_Data!D2525),AVERAGE(Raw_Data!D$2:D$5002),Raw_Data!D2525)</f>
        <v>77029.51</v>
      </c>
      <c r="E2525" s="15" t="str">
        <f>IF(ISBLANK(Raw_Data!E2525),AVERAGE(Raw_Data!E$2:E$5002),Raw_Data!E2525)</f>
        <v>26261.16</v>
      </c>
      <c r="F2525" s="15" t="str">
        <f>IF(ISBLANK(Raw_Data!F2525),AVERAGE(Raw_Data!F$2:F$5002),Raw_Data!F2525)</f>
        <v>20592.39</v>
      </c>
      <c r="G2525" s="14" t="str">
        <f>IF(ISBLANK(Raw_Data!G2525),AVERAGE(Raw_Data!G$2:G$5002),Raw_Data!G2525)</f>
        <v>15943.87</v>
      </c>
      <c r="H2525" s="15" t="str">
        <f t="shared" si="1"/>
        <v>123883.00</v>
      </c>
      <c r="I2525" s="14" t="str">
        <f t="shared" si="2"/>
        <v>107939.00</v>
      </c>
      <c r="J2525" s="16" t="str">
        <f>TEXT(Raw_Data!J2525,"MMM-YYY")</f>
        <v>Dec-2025</v>
      </c>
      <c r="K2525" s="13" t="str">
        <f>Raw_Data!K2525</f>
        <v>23</v>
      </c>
      <c r="L2525" s="17" t="str">
        <f>Raw_Data!L2525</f>
        <v>Jaipur-North</v>
      </c>
      <c r="M2525" s="13" t="str">
        <f t="shared" si="3"/>
        <v>OK</v>
      </c>
      <c r="N2525" s="18" t="str">
        <f t="shared" si="4"/>
        <v>VALID</v>
      </c>
    </row>
    <row r="2526" ht="15.75" customHeight="1">
      <c r="A2526" s="13" t="str">
        <f>Raw_Data!A2526</f>
        <v>EMP2660</v>
      </c>
      <c r="B2526" s="13" t="str">
        <f>TRIM(CLEAN(Raw_Data!B2526))</f>
        <v>Marketing</v>
      </c>
      <c r="C2526" s="18" t="s">
        <v>14</v>
      </c>
      <c r="D2526" s="14" t="str">
        <f>IF(ISBLANK(Raw_Data!D2526),AVERAGE(Raw_Data!D$2:D$5002),Raw_Data!D2526)</f>
        <v>77040.39</v>
      </c>
      <c r="E2526" s="15" t="str">
        <f>IF(ISBLANK(Raw_Data!E2526),AVERAGE(Raw_Data!E$2:E$5002),Raw_Data!E2526)</f>
        <v>26265.77</v>
      </c>
      <c r="F2526" s="15" t="str">
        <f>IF(ISBLANK(Raw_Data!F2526),AVERAGE(Raw_Data!F$2:F$5002),Raw_Data!F2526)</f>
        <v>20600.07</v>
      </c>
      <c r="G2526" s="14" t="str">
        <f>IF(ISBLANK(Raw_Data!G2526),AVERAGE(Raw_Data!G$2:G$5002),Raw_Data!G2526)</f>
        <v>15947.26</v>
      </c>
      <c r="H2526" s="15" t="str">
        <f t="shared" si="1"/>
        <v>123906.00</v>
      </c>
      <c r="I2526" s="14" t="str">
        <f t="shared" si="2"/>
        <v>107959.00</v>
      </c>
      <c r="J2526" s="16" t="str">
        <f>TEXT(Raw_Data!J2526,"MMM-YYY")</f>
        <v>Jul-2025</v>
      </c>
      <c r="K2526" s="13" t="str">
        <f>Raw_Data!K2526</f>
        <v>24</v>
      </c>
      <c r="L2526" s="17" t="str">
        <f>Raw_Data!L2526</f>
        <v>Mumbai-HO</v>
      </c>
      <c r="M2526" s="13" t="str">
        <f t="shared" si="3"/>
        <v>OK</v>
      </c>
      <c r="N2526" s="18" t="str">
        <f t="shared" si="4"/>
        <v>VALID</v>
      </c>
    </row>
    <row r="2527" ht="15.75" customHeight="1">
      <c r="A2527" s="13" t="str">
        <f>Raw_Data!A2527</f>
        <v>EMP2661</v>
      </c>
      <c r="B2527" s="13" t="str">
        <f>TRIM(CLEAN(Raw_Data!B2527))</f>
        <v>HR</v>
      </c>
      <c r="C2527" s="18" t="s">
        <v>26</v>
      </c>
      <c r="D2527" s="14" t="str">
        <f>IF(ISBLANK(Raw_Data!D2527),AVERAGE(Raw_Data!D$2:D$5002),Raw_Data!D2527)</f>
        <v>77051.28</v>
      </c>
      <c r="E2527" s="15" t="str">
        <f>IF(ISBLANK(Raw_Data!E2527),AVERAGE(Raw_Data!E$2:E$5002),Raw_Data!E2527)</f>
        <v>26270.39</v>
      </c>
      <c r="F2527" s="15" t="str">
        <f>IF(ISBLANK(Raw_Data!F2527),AVERAGE(Raw_Data!F$2:F$5002),Raw_Data!F2527)</f>
        <v>20607.75</v>
      </c>
      <c r="G2527" s="14" t="str">
        <f>IF(ISBLANK(Raw_Data!G2527),AVERAGE(Raw_Data!G$2:G$5002),Raw_Data!G2527)</f>
        <v>15950.66</v>
      </c>
      <c r="H2527" s="15" t="str">
        <f t="shared" si="1"/>
        <v>123929.00</v>
      </c>
      <c r="I2527" s="14" t="str">
        <f t="shared" si="2"/>
        <v>107978.00</v>
      </c>
      <c r="J2527" s="16" t="str">
        <f>TEXT(Raw_Data!J2527,"MMM-YYY")</f>
        <v>Jun-2025</v>
      </c>
      <c r="K2527" s="13" t="str">
        <f>Raw_Data!K2527</f>
        <v>12</v>
      </c>
      <c r="L2527" s="17" t="str">
        <f>Raw_Data!L2527</f>
        <v>Delhi-North</v>
      </c>
      <c r="M2527" s="13" t="str">
        <f t="shared" si="3"/>
        <v>OK</v>
      </c>
      <c r="N2527" s="18" t="str">
        <f t="shared" si="4"/>
        <v>VALID</v>
      </c>
    </row>
    <row r="2528" ht="15.75" customHeight="1">
      <c r="A2528" s="13" t="str">
        <f>Raw_Data!A2528</f>
        <v>EMP2662</v>
      </c>
      <c r="B2528" s="13" t="str">
        <f>TRIM(CLEAN(Raw_Data!B2528))</f>
        <v>IT</v>
      </c>
      <c r="C2528" s="18" t="s">
        <v>54</v>
      </c>
      <c r="D2528" s="14" t="str">
        <f>IF(ISBLANK(Raw_Data!D2528),AVERAGE(Raw_Data!D$2:D$5002),Raw_Data!D2528)</f>
        <v>77062.16</v>
      </c>
      <c r="E2528" s="15" t="str">
        <f>IF(ISBLANK(Raw_Data!E2528),AVERAGE(Raw_Data!E$2:E$5002),Raw_Data!E2528)</f>
        <v>26275.00</v>
      </c>
      <c r="F2528" s="15" t="str">
        <f>IF(ISBLANK(Raw_Data!F2528),AVERAGE(Raw_Data!F$2:F$5002),Raw_Data!F2528)</f>
        <v>20615.43</v>
      </c>
      <c r="G2528" s="14" t="str">
        <f>IF(ISBLANK(Raw_Data!G2528),AVERAGE(Raw_Data!G$2:G$5002),Raw_Data!G2528)</f>
        <v>15954.06</v>
      </c>
      <c r="H2528" s="15" t="str">
        <f t="shared" si="1"/>
        <v>123953.00</v>
      </c>
      <c r="I2528" s="14" t="str">
        <f t="shared" si="2"/>
        <v>107999.00</v>
      </c>
      <c r="J2528" s="16" t="str">
        <f>TEXT(Raw_Data!J2528,"MMM-YYY")</f>
        <v>Apr-2025</v>
      </c>
      <c r="K2528" s="13" t="str">
        <f>Raw_Data!K2528</f>
        <v>9</v>
      </c>
      <c r="L2528" s="17" t="str">
        <f>Raw_Data!L2528</f>
        <v>Bangalore-South</v>
      </c>
      <c r="M2528" s="13" t="str">
        <f t="shared" si="3"/>
        <v>OK</v>
      </c>
      <c r="N2528" s="18" t="str">
        <f t="shared" si="4"/>
        <v>VALID</v>
      </c>
    </row>
    <row r="2529" ht="15.75" customHeight="1">
      <c r="A2529" s="13" t="str">
        <f>Raw_Data!A2529</f>
        <v>EMP2663</v>
      </c>
      <c r="B2529" s="13" t="str">
        <f>TRIM(CLEAN(Raw_Data!B2529))</f>
        <v>Operations</v>
      </c>
      <c r="C2529" s="18" t="s">
        <v>14</v>
      </c>
      <c r="D2529" s="14" t="str">
        <f>IF(ISBLANK(Raw_Data!D2529),AVERAGE(Raw_Data!D$2:D$5002),Raw_Data!D2529)</f>
        <v>77073.04</v>
      </c>
      <c r="E2529" s="15" t="str">
        <f>IF(ISBLANK(Raw_Data!E2529),AVERAGE(Raw_Data!E$2:E$5002),Raw_Data!E2529)</f>
        <v>26279.62</v>
      </c>
      <c r="F2529" s="15" t="str">
        <f>IF(ISBLANK(Raw_Data!F2529),AVERAGE(Raw_Data!F$2:F$5002),Raw_Data!F2529)</f>
        <v>20623.11</v>
      </c>
      <c r="G2529" s="14" t="str">
        <f>IF(ISBLANK(Raw_Data!G2529),AVERAGE(Raw_Data!G$2:G$5002),Raw_Data!G2529)</f>
        <v>15957.46</v>
      </c>
      <c r="H2529" s="15" t="str">
        <f t="shared" si="1"/>
        <v>123976.00</v>
      </c>
      <c r="I2529" s="14" t="str">
        <f t="shared" si="2"/>
        <v>108019.00</v>
      </c>
      <c r="J2529" s="16" t="str">
        <f>TEXT(Raw_Data!J2529,"MMM-YYY")</f>
        <v>Mar-2025</v>
      </c>
      <c r="K2529" s="13" t="str">
        <f>Raw_Data!K2529</f>
        <v>5</v>
      </c>
      <c r="L2529" s="17" t="str">
        <f>Raw_Data!L2529</f>
        <v>Chennai-South</v>
      </c>
      <c r="M2529" s="13" t="str">
        <f t="shared" si="3"/>
        <v>OK</v>
      </c>
      <c r="N2529" s="18" t="str">
        <f t="shared" si="4"/>
        <v>VALID</v>
      </c>
    </row>
    <row r="2530" ht="15.75" customHeight="1">
      <c r="A2530" s="13" t="str">
        <f>Raw_Data!A2530</f>
        <v>EMP2664</v>
      </c>
      <c r="B2530" s="13" t="str">
        <f>TRIM(CLEAN(Raw_Data!B2530))</f>
        <v>Customer Support</v>
      </c>
      <c r="C2530" s="18" t="s">
        <v>54</v>
      </c>
      <c r="D2530" s="14" t="str">
        <f>IF(ISBLANK(Raw_Data!D2530),AVERAGE(Raw_Data!D$2:D$5002),Raw_Data!D2530)</f>
        <v>77083.93</v>
      </c>
      <c r="E2530" s="15" t="str">
        <f>IF(ISBLANK(Raw_Data!E2530),AVERAGE(Raw_Data!E$2:E$5002),Raw_Data!E2530)</f>
        <v>26284.23</v>
      </c>
      <c r="F2530" s="15" t="str">
        <f>IF(ISBLANK(Raw_Data!F2530),AVERAGE(Raw_Data!F$2:F$5002),Raw_Data!F2530)</f>
        <v>20630.79</v>
      </c>
      <c r="G2530" s="14" t="str">
        <f>IF(ISBLANK(Raw_Data!G2530),AVERAGE(Raw_Data!G$2:G$5002),Raw_Data!G2530)</f>
        <v>15960.85</v>
      </c>
      <c r="H2530" s="15" t="str">
        <f t="shared" si="1"/>
        <v>123999.00</v>
      </c>
      <c r="I2530" s="14" t="str">
        <f t="shared" si="2"/>
        <v>108038.00</v>
      </c>
      <c r="J2530" s="16" t="str">
        <f>TEXT(Raw_Data!J2530,"MMM-YYY")</f>
        <v>Nov-2025</v>
      </c>
      <c r="K2530" s="13" t="str">
        <f>Raw_Data!K2530</f>
        <v>18</v>
      </c>
      <c r="L2530" s="17" t="str">
        <f>Raw_Data!L2530</f>
        <v>Kolkata-East</v>
      </c>
      <c r="M2530" s="13" t="str">
        <f t="shared" si="3"/>
        <v>OK</v>
      </c>
      <c r="N2530" s="18" t="str">
        <f t="shared" si="4"/>
        <v>VALID</v>
      </c>
    </row>
    <row r="2531" ht="15.75" customHeight="1">
      <c r="A2531" s="13" t="str">
        <f>Raw_Data!A2531</f>
        <v>EMP2665</v>
      </c>
      <c r="B2531" s="13" t="str">
        <f>TRIM(CLEAN(Raw_Data!B2531))</f>
        <v>Customer Support</v>
      </c>
      <c r="C2531" s="18" t="s">
        <v>14</v>
      </c>
      <c r="D2531" s="14" t="str">
        <f>IF(ISBLANK(Raw_Data!D2531),AVERAGE(Raw_Data!D$2:D$5002),Raw_Data!D2531)</f>
        <v>77094.81</v>
      </c>
      <c r="E2531" s="15" t="str">
        <f>IF(ISBLANK(Raw_Data!E2531),AVERAGE(Raw_Data!E$2:E$5002),Raw_Data!E2531)</f>
        <v>26288.85</v>
      </c>
      <c r="F2531" s="15" t="str">
        <f>IF(ISBLANK(Raw_Data!F2531),AVERAGE(Raw_Data!F$2:F$5002),Raw_Data!F2531)</f>
        <v>20638.47</v>
      </c>
      <c r="G2531" s="14" t="str">
        <f>IF(ISBLANK(Raw_Data!G2531),AVERAGE(Raw_Data!G$2:G$5002),Raw_Data!G2531)</f>
        <v>15964.25</v>
      </c>
      <c r="H2531" s="15" t="str">
        <f t="shared" si="1"/>
        <v>124022.00</v>
      </c>
      <c r="I2531" s="14" t="str">
        <f t="shared" si="2"/>
        <v>108058.00</v>
      </c>
      <c r="J2531" s="16" t="str">
        <f>TEXT(Raw_Data!J2531,"MMM-YYY")</f>
        <v>Oct-2025</v>
      </c>
      <c r="K2531" s="13" t="str">
        <f>Raw_Data!K2531</f>
        <v>10</v>
      </c>
      <c r="L2531" s="17" t="str">
        <f>Raw_Data!L2531</f>
        <v>Pune-West</v>
      </c>
      <c r="M2531" s="13" t="str">
        <f t="shared" si="3"/>
        <v>OK</v>
      </c>
      <c r="N2531" s="18" t="str">
        <f t="shared" si="4"/>
        <v>VALID</v>
      </c>
    </row>
    <row r="2532" ht="15.75" customHeight="1">
      <c r="A2532" s="13" t="str">
        <f>Raw_Data!A2532</f>
        <v>EMP2666</v>
      </c>
      <c r="B2532" s="13" t="str">
        <f>TRIM(CLEAN(Raw_Data!B2532))</f>
        <v>Finance</v>
      </c>
      <c r="C2532" s="18" t="s">
        <v>33</v>
      </c>
      <c r="D2532" s="14" t="str">
        <f>IF(ISBLANK(Raw_Data!D2532),AVERAGE(Raw_Data!D$2:D$5002),Raw_Data!D2532)</f>
        <v>77105.69</v>
      </c>
      <c r="E2532" s="15" t="str">
        <f>IF(ISBLANK(Raw_Data!E2532),AVERAGE(Raw_Data!E$2:E$5002),Raw_Data!E2532)</f>
        <v>26293.46</v>
      </c>
      <c r="F2532" s="15" t="str">
        <f>IF(ISBLANK(Raw_Data!F2532),AVERAGE(Raw_Data!F$2:F$5002),Raw_Data!F2532)</f>
        <v>20646.15</v>
      </c>
      <c r="G2532" s="14" t="str">
        <f>IF(ISBLANK(Raw_Data!G2532),AVERAGE(Raw_Data!G$2:G$5002),Raw_Data!G2532)</f>
        <v>15967.65</v>
      </c>
      <c r="H2532" s="15" t="str">
        <f t="shared" si="1"/>
        <v>124045.00</v>
      </c>
      <c r="I2532" s="14" t="str">
        <f t="shared" si="2"/>
        <v>108077.00</v>
      </c>
      <c r="J2532" s="16" t="str">
        <f>TEXT(Raw_Data!J2532,"MMM-YYY")</f>
        <v>Nov-2025</v>
      </c>
      <c r="K2532" s="13" t="str">
        <f>Raw_Data!K2532</f>
        <v>14</v>
      </c>
      <c r="L2532" s="17" t="str">
        <f>Raw_Data!L2532</f>
        <v>Hyderabad-South</v>
      </c>
      <c r="M2532" s="13" t="str">
        <f t="shared" si="3"/>
        <v>OK</v>
      </c>
      <c r="N2532" s="18" t="str">
        <f t="shared" si="4"/>
        <v>VALID</v>
      </c>
    </row>
    <row r="2533" ht="15.75" customHeight="1">
      <c r="A2533" s="13" t="str">
        <f>Raw_Data!A2533</f>
        <v>EMP2667</v>
      </c>
      <c r="B2533" s="13" t="str">
        <f>TRIM(CLEAN(Raw_Data!B2533))</f>
        <v>HR</v>
      </c>
      <c r="C2533" s="18" t="s">
        <v>26</v>
      </c>
      <c r="D2533" s="14" t="str">
        <f>IF(ISBLANK(Raw_Data!D2533),AVERAGE(Raw_Data!D$2:D$5002),Raw_Data!D2533)</f>
        <v>77116.58</v>
      </c>
      <c r="E2533" s="15" t="str">
        <f>IF(ISBLANK(Raw_Data!E2533),AVERAGE(Raw_Data!E$2:E$5002),Raw_Data!E2533)</f>
        <v>26298.08</v>
      </c>
      <c r="F2533" s="15" t="str">
        <f>IF(ISBLANK(Raw_Data!F2533),AVERAGE(Raw_Data!F$2:F$5002),Raw_Data!F2533)</f>
        <v>20653.83</v>
      </c>
      <c r="G2533" s="14" t="str">
        <f>IF(ISBLANK(Raw_Data!G2533),AVERAGE(Raw_Data!G$2:G$5002),Raw_Data!G2533)</f>
        <v>15971.05</v>
      </c>
      <c r="H2533" s="15" t="str">
        <f t="shared" si="1"/>
        <v>124068.00</v>
      </c>
      <c r="I2533" s="14" t="str">
        <f t="shared" si="2"/>
        <v>108097.00</v>
      </c>
      <c r="J2533" s="16" t="str">
        <f>TEXT(Raw_Data!J2533,"MMM-YYY")</f>
        <v>Feb-2025</v>
      </c>
      <c r="K2533" s="13" t="str">
        <f>Raw_Data!K2533</f>
        <v>23</v>
      </c>
      <c r="L2533" s="17" t="str">
        <f>Raw_Data!L2533</f>
        <v>Chandigarh-North</v>
      </c>
      <c r="M2533" s="13" t="str">
        <f t="shared" si="3"/>
        <v>OK</v>
      </c>
      <c r="N2533" s="18" t="str">
        <f t="shared" si="4"/>
        <v>VALID</v>
      </c>
    </row>
    <row r="2534" ht="15.75" customHeight="1">
      <c r="A2534" s="13" t="str">
        <f>Raw_Data!A2534</f>
        <v>EMP2668</v>
      </c>
      <c r="B2534" s="13" t="str">
        <f>TRIM(CLEAN(Raw_Data!B2534))</f>
        <v>Customer Support</v>
      </c>
      <c r="C2534" s="18" t="s">
        <v>14</v>
      </c>
      <c r="D2534" s="14" t="str">
        <f>IF(ISBLANK(Raw_Data!D2534),AVERAGE(Raw_Data!D$2:D$5002),Raw_Data!D2534)</f>
        <v>77127.46</v>
      </c>
      <c r="E2534" s="15" t="str">
        <f>IF(ISBLANK(Raw_Data!E2534),AVERAGE(Raw_Data!E$2:E$5002),Raw_Data!E2534)</f>
        <v>26302.69</v>
      </c>
      <c r="F2534" s="15" t="str">
        <f>IF(ISBLANK(Raw_Data!F2534),AVERAGE(Raw_Data!F$2:F$5002),Raw_Data!F2534)</f>
        <v>20661.51</v>
      </c>
      <c r="G2534" s="14" t="str">
        <f>IF(ISBLANK(Raw_Data!G2534),AVERAGE(Raw_Data!G$2:G$5002),Raw_Data!G2534)</f>
        <v>15974.44</v>
      </c>
      <c r="H2534" s="15" t="str">
        <f t="shared" si="1"/>
        <v>124092.00</v>
      </c>
      <c r="I2534" s="14" t="str">
        <f t="shared" si="2"/>
        <v>108118.00</v>
      </c>
      <c r="J2534" s="16" t="str">
        <f>TEXT(Raw_Data!J2534,"MMM-YYY")</f>
        <v>Jun-2025</v>
      </c>
      <c r="K2534" s="13" t="str">
        <f>Raw_Data!K2534</f>
        <v>16</v>
      </c>
      <c r="L2534" s="17" t="str">
        <f>Raw_Data!L2534</f>
        <v>Ahmedabad-West</v>
      </c>
      <c r="M2534" s="13" t="str">
        <f t="shared" si="3"/>
        <v>OK</v>
      </c>
      <c r="N2534" s="18" t="str">
        <f t="shared" si="4"/>
        <v>VALID</v>
      </c>
    </row>
    <row r="2535" ht="15.75" customHeight="1">
      <c r="A2535" s="13" t="str">
        <f>Raw_Data!A2535</f>
        <v>EMP2669</v>
      </c>
      <c r="B2535" s="13" t="str">
        <f>TRIM(CLEAN(Raw_Data!B2535))</f>
        <v>Operations</v>
      </c>
      <c r="C2535" s="18" t="s">
        <v>18</v>
      </c>
      <c r="D2535" s="14" t="str">
        <f>IF(ISBLANK(Raw_Data!D2535),AVERAGE(Raw_Data!D$2:D$5002),Raw_Data!D2535)</f>
        <v>77138.34</v>
      </c>
      <c r="E2535" s="15" t="str">
        <f>IF(ISBLANK(Raw_Data!E2535),AVERAGE(Raw_Data!E$2:E$5002),Raw_Data!E2535)</f>
        <v>26307.31</v>
      </c>
      <c r="F2535" s="15" t="str">
        <f>IF(ISBLANK(Raw_Data!F2535),AVERAGE(Raw_Data!F$2:F$5002),Raw_Data!F2535)</f>
        <v>20669.19</v>
      </c>
      <c r="G2535" s="14" t="str">
        <f>IF(ISBLANK(Raw_Data!G2535),AVERAGE(Raw_Data!G$2:G$5002),Raw_Data!G2535)</f>
        <v>15977.84</v>
      </c>
      <c r="H2535" s="15" t="str">
        <f t="shared" si="1"/>
        <v>124115.00</v>
      </c>
      <c r="I2535" s="14" t="str">
        <f t="shared" si="2"/>
        <v>108137.00</v>
      </c>
      <c r="J2535" s="16" t="str">
        <f>TEXT(Raw_Data!J2535,"MMM-YYY")</f>
        <v>May-2025</v>
      </c>
      <c r="K2535" s="13" t="str">
        <f>Raw_Data!K2535</f>
        <v>5</v>
      </c>
      <c r="L2535" s="17" t="str">
        <f>Raw_Data!L2535</f>
        <v>Jaipur-North</v>
      </c>
      <c r="M2535" s="13" t="str">
        <f t="shared" si="3"/>
        <v>OK</v>
      </c>
      <c r="N2535" s="18" t="str">
        <f t="shared" si="4"/>
        <v>VALID</v>
      </c>
    </row>
    <row r="2536" ht="15.75" customHeight="1">
      <c r="A2536" s="13" t="str">
        <f>Raw_Data!A2536</f>
        <v>EMP2670</v>
      </c>
      <c r="B2536" s="13" t="str">
        <f>TRIM(CLEAN(Raw_Data!B2536))</f>
        <v>Marketing</v>
      </c>
      <c r="C2536" s="18" t="s">
        <v>26</v>
      </c>
      <c r="D2536" s="14" t="str">
        <f>IF(ISBLANK(Raw_Data!D2536),AVERAGE(Raw_Data!D$2:D$5002),Raw_Data!D2536)</f>
        <v>77149.22</v>
      </c>
      <c r="E2536" s="15" t="str">
        <f>IF(ISBLANK(Raw_Data!E2536),AVERAGE(Raw_Data!E$2:E$5002),Raw_Data!E2536)</f>
        <v>26311.92</v>
      </c>
      <c r="F2536" s="15" t="str">
        <f>IF(ISBLANK(Raw_Data!F2536),AVERAGE(Raw_Data!F$2:F$5002),Raw_Data!F2536)</f>
        <v>20676.87</v>
      </c>
      <c r="G2536" s="14" t="str">
        <f>IF(ISBLANK(Raw_Data!G2536),AVERAGE(Raw_Data!G$2:G$5002),Raw_Data!G2536)</f>
        <v>14562.73</v>
      </c>
      <c r="H2536" s="15" t="str">
        <f t="shared" si="1"/>
        <v>124138.00</v>
      </c>
      <c r="I2536" s="14" t="str">
        <f t="shared" si="2"/>
        <v>109575.00</v>
      </c>
      <c r="J2536" s="16" t="str">
        <f>TEXT(Raw_Data!J2536,"MMM-YYY")</f>
        <v>Sep-2025</v>
      </c>
      <c r="K2536" s="13" t="str">
        <f>Raw_Data!K2536</f>
        <v>23</v>
      </c>
      <c r="L2536" s="17" t="str">
        <f>Raw_Data!L2536</f>
        <v>Mumbai-HO</v>
      </c>
      <c r="M2536" s="13" t="str">
        <f t="shared" si="3"/>
        <v>OK</v>
      </c>
      <c r="N2536" s="18" t="str">
        <f t="shared" si="4"/>
        <v>VALID</v>
      </c>
    </row>
    <row r="2537" ht="15.75" customHeight="1">
      <c r="A2537" s="13" t="str">
        <f>Raw_Data!A2537</f>
        <v>EMP2671</v>
      </c>
      <c r="B2537" s="13" t="str">
        <f>TRIM(CLEAN(Raw_Data!B2537))</f>
        <v>Operations</v>
      </c>
      <c r="C2537" s="18" t="s">
        <v>54</v>
      </c>
      <c r="D2537" s="14" t="str">
        <f>IF(ISBLANK(Raw_Data!D2537),AVERAGE(Raw_Data!D$2:D$5002),Raw_Data!D2537)</f>
        <v>77160.11</v>
      </c>
      <c r="E2537" s="15" t="str">
        <f>IF(ISBLANK(Raw_Data!E2537),AVERAGE(Raw_Data!E$2:E$5002),Raw_Data!E2537)</f>
        <v>26316.54</v>
      </c>
      <c r="F2537" s="15" t="str">
        <f>IF(ISBLANK(Raw_Data!F2537),AVERAGE(Raw_Data!F$2:F$5002),Raw_Data!F2537)</f>
        <v>20684.55</v>
      </c>
      <c r="G2537" s="14" t="str">
        <f>IF(ISBLANK(Raw_Data!G2537),AVERAGE(Raw_Data!G$2:G$5002),Raw_Data!G2537)</f>
        <v>15984.64</v>
      </c>
      <c r="H2537" s="15" t="str">
        <f t="shared" si="1"/>
        <v>124161.00</v>
      </c>
      <c r="I2537" s="14" t="str">
        <f t="shared" si="2"/>
        <v>108176.00</v>
      </c>
      <c r="J2537" s="16" t="str">
        <f>TEXT(Raw_Data!J2537,"MMM-YYY")</f>
        <v>Jan-2025</v>
      </c>
      <c r="K2537" s="13" t="str">
        <f>Raw_Data!K2537</f>
        <v>13</v>
      </c>
      <c r="L2537" s="17" t="str">
        <f>Raw_Data!L2537</f>
        <v>Delhi-North</v>
      </c>
      <c r="M2537" s="13" t="str">
        <f t="shared" si="3"/>
        <v>OK</v>
      </c>
      <c r="N2537" s="18" t="str">
        <f t="shared" si="4"/>
        <v>VALID</v>
      </c>
    </row>
    <row r="2538" ht="15.75" customHeight="1">
      <c r="A2538" s="13" t="str">
        <f>Raw_Data!A2538</f>
        <v>EMP2672</v>
      </c>
      <c r="B2538" s="13" t="str">
        <f>TRIM(CLEAN(Raw_Data!B2538))</f>
        <v>HR</v>
      </c>
      <c r="C2538" s="18" t="s">
        <v>14</v>
      </c>
      <c r="D2538" s="14" t="str">
        <f>IF(ISBLANK(Raw_Data!D2538),AVERAGE(Raw_Data!D$2:D$5002),Raw_Data!D2538)</f>
        <v>77170.99</v>
      </c>
      <c r="E2538" s="15" t="str">
        <f>IF(ISBLANK(Raw_Data!E2538),AVERAGE(Raw_Data!E$2:E$5002),Raw_Data!E2538)</f>
        <v>26321.15</v>
      </c>
      <c r="F2538" s="15" t="str">
        <f>IF(ISBLANK(Raw_Data!F2538),AVERAGE(Raw_Data!F$2:F$5002),Raw_Data!F2538)</f>
        <v>20692.23</v>
      </c>
      <c r="G2538" s="14" t="str">
        <f>IF(ISBLANK(Raw_Data!G2538),AVERAGE(Raw_Data!G$2:G$5002),Raw_Data!G2538)</f>
        <v>15988.03</v>
      </c>
      <c r="H2538" s="15" t="str">
        <f t="shared" si="1"/>
        <v>124184.00</v>
      </c>
      <c r="I2538" s="14" t="str">
        <f t="shared" si="2"/>
        <v>108196.00</v>
      </c>
      <c r="J2538" s="16" t="str">
        <f>TEXT(Raw_Data!J2538,"MMM-YYY")</f>
        <v>Sep-2025</v>
      </c>
      <c r="K2538" s="13" t="str">
        <f>Raw_Data!K2538</f>
        <v>5</v>
      </c>
      <c r="L2538" s="17" t="str">
        <f>Raw_Data!L2538</f>
        <v>Bangalore-South</v>
      </c>
      <c r="M2538" s="13" t="str">
        <f t="shared" si="3"/>
        <v>OK</v>
      </c>
      <c r="N2538" s="18" t="str">
        <f t="shared" si="4"/>
        <v>VALID</v>
      </c>
    </row>
    <row r="2539" ht="15.75" customHeight="1">
      <c r="A2539" s="13" t="str">
        <f>Raw_Data!A2539</f>
        <v>EMP2673</v>
      </c>
      <c r="B2539" s="13" t="str">
        <f>TRIM(CLEAN(Raw_Data!B2539))</f>
        <v>Marketing</v>
      </c>
      <c r="C2539" s="18" t="s">
        <v>54</v>
      </c>
      <c r="D2539" s="14" t="str">
        <f>IF(ISBLANK(Raw_Data!D2539),AVERAGE(Raw_Data!D$2:D$5002),Raw_Data!D2539)</f>
        <v>77181.87</v>
      </c>
      <c r="E2539" s="15" t="str">
        <f>IF(ISBLANK(Raw_Data!E2539),AVERAGE(Raw_Data!E$2:E$5002),Raw_Data!E2539)</f>
        <v>26325.77</v>
      </c>
      <c r="F2539" s="15" t="str">
        <f>IF(ISBLANK(Raw_Data!F2539),AVERAGE(Raw_Data!F$2:F$5002),Raw_Data!F2539)</f>
        <v>20699.91</v>
      </c>
      <c r="G2539" s="14" t="str">
        <f>IF(ISBLANK(Raw_Data!G2539),AVERAGE(Raw_Data!G$2:G$5002),Raw_Data!G2539)</f>
        <v>15991.43</v>
      </c>
      <c r="H2539" s="15" t="str">
        <f t="shared" si="1"/>
        <v>124208.00</v>
      </c>
      <c r="I2539" s="14" t="str">
        <f t="shared" si="2"/>
        <v>108217.00</v>
      </c>
      <c r="J2539" s="16" t="str">
        <f>TEXT(Raw_Data!J2539,"MMM-YYY")</f>
        <v>Dec-2025</v>
      </c>
      <c r="K2539" s="13" t="str">
        <f>Raw_Data!K2539</f>
        <v>18</v>
      </c>
      <c r="L2539" s="17" t="str">
        <f>Raw_Data!L2539</f>
        <v>Chennai-South</v>
      </c>
      <c r="M2539" s="13" t="str">
        <f t="shared" si="3"/>
        <v>OK</v>
      </c>
      <c r="N2539" s="18" t="str">
        <f t="shared" si="4"/>
        <v>VALID</v>
      </c>
    </row>
    <row r="2540" ht="15.75" customHeight="1">
      <c r="A2540" s="13" t="str">
        <f>Raw_Data!A2540</f>
        <v>EMP2674</v>
      </c>
      <c r="B2540" s="13" t="str">
        <f>TRIM(CLEAN(Raw_Data!B2540))</f>
        <v>Marketing</v>
      </c>
      <c r="C2540" s="18" t="s">
        <v>26</v>
      </c>
      <c r="D2540" s="14" t="str">
        <f>IF(ISBLANK(Raw_Data!D2540),AVERAGE(Raw_Data!D$2:D$5002),Raw_Data!D2540)</f>
        <v>77192.76</v>
      </c>
      <c r="E2540" s="15" t="str">
        <f>IF(ISBLANK(Raw_Data!E2540),AVERAGE(Raw_Data!E$2:E$5002),Raw_Data!E2540)</f>
        <v>26330.38</v>
      </c>
      <c r="F2540" s="15" t="str">
        <f>IF(ISBLANK(Raw_Data!F2540),AVERAGE(Raw_Data!F$2:F$5002),Raw_Data!F2540)</f>
        <v>20707.59</v>
      </c>
      <c r="G2540" s="14" t="str">
        <f>IF(ISBLANK(Raw_Data!G2540),AVERAGE(Raw_Data!G$2:G$5002),Raw_Data!G2540)</f>
        <v>15994.83</v>
      </c>
      <c r="H2540" s="15" t="str">
        <f t="shared" si="1"/>
        <v>124231.00</v>
      </c>
      <c r="I2540" s="14" t="str">
        <f t="shared" si="2"/>
        <v>108236.00</v>
      </c>
      <c r="J2540" s="16" t="str">
        <f>TEXT(Raw_Data!J2540,"MMM-YYY")</f>
        <v>Aug-2025</v>
      </c>
      <c r="K2540" s="13" t="str">
        <f>Raw_Data!K2540</f>
        <v>20</v>
      </c>
      <c r="L2540" s="17" t="str">
        <f>Raw_Data!L2540</f>
        <v>Kolkata-East</v>
      </c>
      <c r="M2540" s="13" t="str">
        <f t="shared" si="3"/>
        <v>OK</v>
      </c>
      <c r="N2540" s="18" t="str">
        <f t="shared" si="4"/>
        <v>VALID</v>
      </c>
    </row>
    <row r="2541" ht="15.75" customHeight="1">
      <c r="A2541" s="13" t="str">
        <f>Raw_Data!A2541</f>
        <v>EMP2675</v>
      </c>
      <c r="B2541" s="13" t="str">
        <f>TRIM(CLEAN(Raw_Data!B2541))</f>
        <v>Finance</v>
      </c>
      <c r="C2541" s="18" t="s">
        <v>30</v>
      </c>
      <c r="D2541" s="14" t="str">
        <f>IF(ISBLANK(Raw_Data!D2541),AVERAGE(Raw_Data!D$2:D$5002),Raw_Data!D2541)</f>
        <v>77203.64</v>
      </c>
      <c r="E2541" s="15" t="str">
        <f>IF(ISBLANK(Raw_Data!E2541),AVERAGE(Raw_Data!E$2:E$5002),Raw_Data!E2541)</f>
        <v>26335.00</v>
      </c>
      <c r="F2541" s="15" t="str">
        <f>IF(ISBLANK(Raw_Data!F2541),AVERAGE(Raw_Data!F$2:F$5002),Raw_Data!F2541)</f>
        <v>20715.27</v>
      </c>
      <c r="G2541" s="14" t="str">
        <f>IF(ISBLANK(Raw_Data!G2541),AVERAGE(Raw_Data!G$2:G$5002),Raw_Data!G2541)</f>
        <v>15998.23</v>
      </c>
      <c r="H2541" s="15" t="str">
        <f t="shared" si="1"/>
        <v>124254.00</v>
      </c>
      <c r="I2541" s="14" t="str">
        <f t="shared" si="2"/>
        <v>108256.00</v>
      </c>
      <c r="J2541" s="16" t="str">
        <f>TEXT(Raw_Data!J2541,"MMM-YYY")</f>
        <v>Jul-2025</v>
      </c>
      <c r="K2541" s="13" t="str">
        <f>Raw_Data!K2541</f>
        <v>22</v>
      </c>
      <c r="L2541" s="17" t="str">
        <f>Raw_Data!L2541</f>
        <v>Pune-West</v>
      </c>
      <c r="M2541" s="13" t="str">
        <f t="shared" si="3"/>
        <v>OK</v>
      </c>
      <c r="N2541" s="18" t="str">
        <f t="shared" si="4"/>
        <v>VALID</v>
      </c>
    </row>
    <row r="2542" ht="15.75" customHeight="1">
      <c r="A2542" s="13" t="str">
        <f>Raw_Data!A2542</f>
        <v>EMP2676</v>
      </c>
      <c r="B2542" s="13" t="str">
        <f>TRIM(CLEAN(Raw_Data!B2542))</f>
        <v>HR</v>
      </c>
      <c r="C2542" s="18" t="s">
        <v>26</v>
      </c>
      <c r="D2542" s="14" t="str">
        <f>IF(ISBLANK(Raw_Data!D2542),AVERAGE(Raw_Data!D$2:D$5002),Raw_Data!D2542)</f>
        <v>77214.52</v>
      </c>
      <c r="E2542" s="15" t="str">
        <f>IF(ISBLANK(Raw_Data!E2542),AVERAGE(Raw_Data!E$2:E$5002),Raw_Data!E2542)</f>
        <v>26339.61</v>
      </c>
      <c r="F2542" s="15" t="str">
        <f>IF(ISBLANK(Raw_Data!F2542),AVERAGE(Raw_Data!F$2:F$5002),Raw_Data!F2542)</f>
        <v>20722.95</v>
      </c>
      <c r="G2542" s="14" t="str">
        <f>IF(ISBLANK(Raw_Data!G2542),AVERAGE(Raw_Data!G$2:G$5002),Raw_Data!G2542)</f>
        <v>16001.62</v>
      </c>
      <c r="H2542" s="15" t="str">
        <f t="shared" si="1"/>
        <v>124277.00</v>
      </c>
      <c r="I2542" s="14" t="str">
        <f t="shared" si="2"/>
        <v>108275.00</v>
      </c>
      <c r="J2542" s="16" t="str">
        <f>TEXT(Raw_Data!J2542,"MMM-YYY")</f>
        <v>Nov-2025</v>
      </c>
      <c r="K2542" s="13" t="str">
        <f>Raw_Data!K2542</f>
        <v>7</v>
      </c>
      <c r="L2542" s="17" t="str">
        <f>Raw_Data!L2542</f>
        <v>Hyderabad-South</v>
      </c>
      <c r="M2542" s="13" t="str">
        <f t="shared" si="3"/>
        <v>OK</v>
      </c>
      <c r="N2542" s="18" t="str">
        <f t="shared" si="4"/>
        <v>VALID</v>
      </c>
    </row>
    <row r="2543" ht="15.75" customHeight="1">
      <c r="A2543" s="13" t="str">
        <f>Raw_Data!A2543</f>
        <v>EMP2677</v>
      </c>
      <c r="B2543" s="13" t="str">
        <f>TRIM(CLEAN(Raw_Data!B2543))</f>
        <v>Operations</v>
      </c>
      <c r="C2543" s="18" t="s">
        <v>30</v>
      </c>
      <c r="D2543" s="14" t="str">
        <f>IF(ISBLANK(Raw_Data!D2543),AVERAGE(Raw_Data!D$2:D$5002),Raw_Data!D2543)</f>
        <v>77225.40</v>
      </c>
      <c r="E2543" s="15" t="str">
        <f>IF(ISBLANK(Raw_Data!E2543),AVERAGE(Raw_Data!E$2:E$5002),Raw_Data!E2543)</f>
        <v>26344.23</v>
      </c>
      <c r="F2543" s="15" t="str">
        <f>IF(ISBLANK(Raw_Data!F2543),AVERAGE(Raw_Data!F$2:F$5002),Raw_Data!F2543)</f>
        <v>20730.63</v>
      </c>
      <c r="G2543" s="14" t="str">
        <f>IF(ISBLANK(Raw_Data!G2543),AVERAGE(Raw_Data!G$2:G$5002),Raw_Data!G2543)</f>
        <v>16005.02</v>
      </c>
      <c r="H2543" s="15" t="str">
        <f t="shared" si="1"/>
        <v>124300.00</v>
      </c>
      <c r="I2543" s="14" t="str">
        <f t="shared" si="2"/>
        <v>108295.00</v>
      </c>
      <c r="J2543" s="16" t="str">
        <f>TEXT(Raw_Data!J2543,"MMM-YYY")</f>
        <v>May-2025</v>
      </c>
      <c r="K2543" s="13" t="str">
        <f>Raw_Data!K2543</f>
        <v>1</v>
      </c>
      <c r="L2543" s="17" t="str">
        <f>Raw_Data!L2543</f>
        <v>Chandigarh-North</v>
      </c>
      <c r="M2543" s="13" t="str">
        <f t="shared" si="3"/>
        <v>OK</v>
      </c>
      <c r="N2543" s="18" t="str">
        <f t="shared" si="4"/>
        <v>VALID</v>
      </c>
    </row>
    <row r="2544" ht="15.75" customHeight="1">
      <c r="A2544" s="13" t="str">
        <f>Raw_Data!A2544</f>
        <v>EMP2678</v>
      </c>
      <c r="B2544" s="13" t="str">
        <f>TRIM(CLEAN(Raw_Data!B2544))</f>
        <v>Marketing</v>
      </c>
      <c r="C2544" s="18" t="s">
        <v>54</v>
      </c>
      <c r="D2544" s="14" t="str">
        <f>IF(ISBLANK(Raw_Data!D2544),AVERAGE(Raw_Data!D$2:D$5002),Raw_Data!D2544)</f>
        <v>77236.29</v>
      </c>
      <c r="E2544" s="15" t="str">
        <f>IF(ISBLANK(Raw_Data!E2544),AVERAGE(Raw_Data!E$2:E$5002),Raw_Data!E2544)</f>
        <v>26348.84</v>
      </c>
      <c r="F2544" s="15" t="str">
        <f>IF(ISBLANK(Raw_Data!F2544),AVERAGE(Raw_Data!F$2:F$5002),Raw_Data!F2544)</f>
        <v>20738.31</v>
      </c>
      <c r="G2544" s="14" t="str">
        <f>IF(ISBLANK(Raw_Data!G2544),AVERAGE(Raw_Data!G$2:G$5002),Raw_Data!G2544)</f>
        <v>16008.42</v>
      </c>
      <c r="H2544" s="15" t="str">
        <f t="shared" si="1"/>
        <v>124323.00</v>
      </c>
      <c r="I2544" s="14" t="str">
        <f t="shared" si="2"/>
        <v>108315.00</v>
      </c>
      <c r="J2544" s="16" t="str">
        <f>TEXT(Raw_Data!J2544,"MMM-YYY")</f>
        <v>Jun-2025</v>
      </c>
      <c r="K2544" s="13" t="str">
        <f>Raw_Data!K2544</f>
        <v>12</v>
      </c>
      <c r="L2544" s="17" t="str">
        <f>Raw_Data!L2544</f>
        <v>Ahmedabad-West</v>
      </c>
      <c r="M2544" s="13" t="str">
        <f t="shared" si="3"/>
        <v>OK</v>
      </c>
      <c r="N2544" s="18" t="str">
        <f t="shared" si="4"/>
        <v>VALID</v>
      </c>
    </row>
    <row r="2545" ht="15.75" customHeight="1">
      <c r="A2545" s="13" t="str">
        <f>Raw_Data!A2545</f>
        <v>EMP2679</v>
      </c>
      <c r="B2545" s="13" t="str">
        <f>TRIM(CLEAN(Raw_Data!B2545))</f>
        <v>IT</v>
      </c>
      <c r="C2545" s="18" t="s">
        <v>33</v>
      </c>
      <c r="D2545" s="14" t="str">
        <f>IF(ISBLANK(Raw_Data!D2545),AVERAGE(Raw_Data!D$2:D$5002),Raw_Data!D2545)</f>
        <v>77247.17</v>
      </c>
      <c r="E2545" s="15" t="str">
        <f>IF(ISBLANK(Raw_Data!E2545),AVERAGE(Raw_Data!E$2:E$5002),Raw_Data!E2545)</f>
        <v>26353.45</v>
      </c>
      <c r="F2545" s="15" t="str">
        <f>IF(ISBLANK(Raw_Data!F2545),AVERAGE(Raw_Data!F$2:F$5002),Raw_Data!F2545)</f>
        <v>20745.99</v>
      </c>
      <c r="G2545" s="14" t="str">
        <f>IF(ISBLANK(Raw_Data!G2545),AVERAGE(Raw_Data!G$2:G$5002),Raw_Data!G2545)</f>
        <v>16011.82</v>
      </c>
      <c r="H2545" s="15" t="str">
        <f t="shared" si="1"/>
        <v>124347.00</v>
      </c>
      <c r="I2545" s="14" t="str">
        <f t="shared" si="2"/>
        <v>108335.00</v>
      </c>
      <c r="J2545" s="16" t="str">
        <f>TEXT(Raw_Data!J2545,"MMM-YYY")</f>
        <v>Nov-2025</v>
      </c>
      <c r="K2545" s="13" t="str">
        <f>Raw_Data!K2545</f>
        <v>18</v>
      </c>
      <c r="L2545" s="17" t="str">
        <f>Raw_Data!L2545</f>
        <v>Jaipur-North</v>
      </c>
      <c r="M2545" s="13" t="str">
        <f t="shared" si="3"/>
        <v>OK</v>
      </c>
      <c r="N2545" s="18" t="str">
        <f t="shared" si="4"/>
        <v>VALID</v>
      </c>
    </row>
    <row r="2546" ht="15.75" customHeight="1">
      <c r="A2546" s="13" t="str">
        <f>Raw_Data!A2546</f>
        <v>EMP2680</v>
      </c>
      <c r="B2546" s="13" t="str">
        <f>TRIM(CLEAN(Raw_Data!B2546))</f>
        <v>Sales</v>
      </c>
      <c r="C2546" s="18" t="s">
        <v>26</v>
      </c>
      <c r="D2546" s="14" t="str">
        <f>IF(ISBLANK(Raw_Data!D2546),AVERAGE(Raw_Data!D$2:D$5002),Raw_Data!D2546)</f>
        <v>77258.05</v>
      </c>
      <c r="E2546" s="15" t="str">
        <f>IF(ISBLANK(Raw_Data!E2546),AVERAGE(Raw_Data!E$2:E$5002),Raw_Data!E2546)</f>
        <v>26358.07</v>
      </c>
      <c r="F2546" s="15" t="str">
        <f>IF(ISBLANK(Raw_Data!F2546),AVERAGE(Raw_Data!F$2:F$5002),Raw_Data!F2546)</f>
        <v>20753.67</v>
      </c>
      <c r="G2546" s="14" t="str">
        <f>IF(ISBLANK(Raw_Data!G2546),AVERAGE(Raw_Data!G$2:G$5002),Raw_Data!G2546)</f>
        <v>16015.21</v>
      </c>
      <c r="H2546" s="15" t="str">
        <f t="shared" si="1"/>
        <v>124370.00</v>
      </c>
      <c r="I2546" s="14" t="str">
        <f t="shared" si="2"/>
        <v>108355.00</v>
      </c>
      <c r="J2546" s="16" t="str">
        <f>TEXT(Raw_Data!J2546,"MMM-YYY")</f>
        <v>May-2025</v>
      </c>
      <c r="K2546" s="13" t="str">
        <f>Raw_Data!K2546</f>
        <v>3</v>
      </c>
      <c r="L2546" s="17" t="str">
        <f>Raw_Data!L2546</f>
        <v>Mumbai-HO</v>
      </c>
      <c r="M2546" s="13" t="str">
        <f t="shared" si="3"/>
        <v>OK</v>
      </c>
      <c r="N2546" s="18" t="str">
        <f t="shared" si="4"/>
        <v>VALID</v>
      </c>
    </row>
    <row r="2547" ht="15.75" customHeight="1">
      <c r="A2547" s="13" t="str">
        <f>Raw_Data!A2547</f>
        <v>EMP2681</v>
      </c>
      <c r="B2547" s="13" t="str">
        <f>TRIM(CLEAN(Raw_Data!B2547))</f>
        <v>HR</v>
      </c>
      <c r="C2547" s="18" t="s">
        <v>14</v>
      </c>
      <c r="D2547" s="14" t="str">
        <f>IF(ISBLANK(Raw_Data!D2547),AVERAGE(Raw_Data!D$2:D$5002),Raw_Data!D2547)</f>
        <v>77268.94</v>
      </c>
      <c r="E2547" s="15" t="str">
        <f>IF(ISBLANK(Raw_Data!E2547),AVERAGE(Raw_Data!E$2:E$5002),Raw_Data!E2547)</f>
        <v>26362.68</v>
      </c>
      <c r="F2547" s="15" t="str">
        <f>IF(ISBLANK(Raw_Data!F2547),AVERAGE(Raw_Data!F$2:F$5002),Raw_Data!F2547)</f>
        <v>20761.35</v>
      </c>
      <c r="G2547" s="14" t="str">
        <f>IF(ISBLANK(Raw_Data!G2547),AVERAGE(Raw_Data!G$2:G$5002),Raw_Data!G2547)</f>
        <v>16018.61</v>
      </c>
      <c r="H2547" s="15" t="str">
        <f t="shared" si="1"/>
        <v>124393.00</v>
      </c>
      <c r="I2547" s="14" t="str">
        <f t="shared" si="2"/>
        <v>108374.00</v>
      </c>
      <c r="J2547" s="16" t="str">
        <f>TEXT(Raw_Data!J2547,"MMM-YYY")</f>
        <v>Dec-2025</v>
      </c>
      <c r="K2547" s="13" t="str">
        <f>Raw_Data!K2547</f>
        <v>2</v>
      </c>
      <c r="L2547" s="17" t="str">
        <f>Raw_Data!L2547</f>
        <v>Delhi-North</v>
      </c>
      <c r="M2547" s="13" t="str">
        <f t="shared" si="3"/>
        <v>OK</v>
      </c>
      <c r="N2547" s="18" t="str">
        <f t="shared" si="4"/>
        <v>VALID</v>
      </c>
    </row>
    <row r="2548" ht="15.75" customHeight="1">
      <c r="A2548" s="13" t="str">
        <f>Raw_Data!A2548</f>
        <v>EMP2682</v>
      </c>
      <c r="B2548" s="13" t="str">
        <f>TRIM(CLEAN(Raw_Data!B2548))</f>
        <v>Sales</v>
      </c>
      <c r="C2548" s="18" t="s">
        <v>33</v>
      </c>
      <c r="D2548" s="14" t="str">
        <f>IF(ISBLANK(Raw_Data!D2548),AVERAGE(Raw_Data!D$2:D$5002),Raw_Data!D2548)</f>
        <v>77279.82</v>
      </c>
      <c r="E2548" s="15" t="str">
        <f>IF(ISBLANK(Raw_Data!E2548),AVERAGE(Raw_Data!E$2:E$5002),Raw_Data!E2548)</f>
        <v>26367.30</v>
      </c>
      <c r="F2548" s="15" t="str">
        <f>IF(ISBLANK(Raw_Data!F2548),AVERAGE(Raw_Data!F$2:F$5002),Raw_Data!F2548)</f>
        <v>20769.03</v>
      </c>
      <c r="G2548" s="14" t="str">
        <f>IF(ISBLANK(Raw_Data!G2548),AVERAGE(Raw_Data!G$2:G$5002),Raw_Data!G2548)</f>
        <v>16022.01</v>
      </c>
      <c r="H2548" s="15" t="str">
        <f t="shared" si="1"/>
        <v>124416.00</v>
      </c>
      <c r="I2548" s="14" t="str">
        <f t="shared" si="2"/>
        <v>108394.00</v>
      </c>
      <c r="J2548" s="16" t="str">
        <f>TEXT(Raw_Data!J2548,"MMM-YYY")</f>
        <v>Nov-2025</v>
      </c>
      <c r="K2548" s="13" t="str">
        <f>Raw_Data!K2548</f>
        <v>15</v>
      </c>
      <c r="L2548" s="17" t="str">
        <f>Raw_Data!L2548</f>
        <v>Bangalore-South</v>
      </c>
      <c r="M2548" s="13" t="str">
        <f t="shared" si="3"/>
        <v>OK</v>
      </c>
      <c r="N2548" s="18" t="str">
        <f t="shared" si="4"/>
        <v>VALID</v>
      </c>
    </row>
    <row r="2549" ht="15.75" customHeight="1">
      <c r="A2549" s="13" t="str">
        <f>Raw_Data!A2549</f>
        <v>EMP2683</v>
      </c>
      <c r="B2549" s="13" t="str">
        <f>TRIM(CLEAN(Raw_Data!B2549))</f>
        <v>Operations</v>
      </c>
      <c r="C2549" s="18" t="s">
        <v>54</v>
      </c>
      <c r="D2549" s="14" t="str">
        <f>IF(ISBLANK(Raw_Data!D2549),AVERAGE(Raw_Data!D$2:D$5002),Raw_Data!D2549)</f>
        <v>77290.70</v>
      </c>
      <c r="E2549" s="15" t="str">
        <f>IF(ISBLANK(Raw_Data!E2549),AVERAGE(Raw_Data!E$2:E$5002),Raw_Data!E2549)</f>
        <v>26371.91</v>
      </c>
      <c r="F2549" s="15" t="str">
        <f>IF(ISBLANK(Raw_Data!F2549),AVERAGE(Raw_Data!F$2:F$5002),Raw_Data!F2549)</f>
        <v>20776.71</v>
      </c>
      <c r="G2549" s="14" t="str">
        <f>IF(ISBLANK(Raw_Data!G2549),AVERAGE(Raw_Data!G$2:G$5002),Raw_Data!G2549)</f>
        <v>16025.41</v>
      </c>
      <c r="H2549" s="15" t="str">
        <f t="shared" si="1"/>
        <v>124439.00</v>
      </c>
      <c r="I2549" s="14" t="str">
        <f t="shared" si="2"/>
        <v>108414.00</v>
      </c>
      <c r="J2549" s="16" t="str">
        <f>TEXT(Raw_Data!J2549,"MMM-YYY")</f>
        <v>Jan-2025</v>
      </c>
      <c r="K2549" s="13" t="str">
        <f>Raw_Data!K2549</f>
        <v>17</v>
      </c>
      <c r="L2549" s="17" t="str">
        <f>Raw_Data!L2549</f>
        <v>Chennai-South</v>
      </c>
      <c r="M2549" s="13" t="str">
        <f t="shared" si="3"/>
        <v>OK</v>
      </c>
      <c r="N2549" s="18" t="str">
        <f t="shared" si="4"/>
        <v>VALID</v>
      </c>
    </row>
    <row r="2550" ht="15.75" customHeight="1">
      <c r="A2550" s="13" t="str">
        <f>Raw_Data!A2550</f>
        <v>EMP2684</v>
      </c>
      <c r="B2550" s="13" t="str">
        <f>TRIM(CLEAN(Raw_Data!B2550))</f>
        <v>Customer Support</v>
      </c>
      <c r="C2550" s="18" t="s">
        <v>26</v>
      </c>
      <c r="D2550" s="14" t="str">
        <f>IF(ISBLANK(Raw_Data!D2550),AVERAGE(Raw_Data!D$2:D$5002),Raw_Data!D2550)</f>
        <v>77301.59</v>
      </c>
      <c r="E2550" s="15" t="str">
        <f>IF(ISBLANK(Raw_Data!E2550),AVERAGE(Raw_Data!E$2:E$5002),Raw_Data!E2550)</f>
        <v>26376.53</v>
      </c>
      <c r="F2550" s="15" t="str">
        <f>IF(ISBLANK(Raw_Data!F2550),AVERAGE(Raw_Data!F$2:F$5002),Raw_Data!F2550)</f>
        <v>20784.39</v>
      </c>
      <c r="G2550" s="14" t="str">
        <f>IF(ISBLANK(Raw_Data!G2550),AVERAGE(Raw_Data!G$2:G$5002),Raw_Data!G2550)</f>
        <v>16028.80</v>
      </c>
      <c r="H2550" s="15" t="str">
        <f t="shared" si="1"/>
        <v>124462.00</v>
      </c>
      <c r="I2550" s="14" t="str">
        <f t="shared" si="2"/>
        <v>108433.00</v>
      </c>
      <c r="J2550" s="16" t="str">
        <f>TEXT(Raw_Data!J2550,"MMM-YYY")</f>
        <v>Feb-2025</v>
      </c>
      <c r="K2550" s="13" t="str">
        <f>Raw_Data!K2550</f>
        <v>7</v>
      </c>
      <c r="L2550" s="17" t="str">
        <f>Raw_Data!L2550</f>
        <v>Kolkata-East</v>
      </c>
      <c r="M2550" s="13" t="str">
        <f t="shared" si="3"/>
        <v>OK</v>
      </c>
      <c r="N2550" s="18" t="str">
        <f t="shared" si="4"/>
        <v>VALID</v>
      </c>
    </row>
    <row r="2551" ht="15.75" customHeight="1">
      <c r="A2551" s="13" t="str">
        <f>Raw_Data!A2551</f>
        <v>EMP2685</v>
      </c>
      <c r="B2551" s="13" t="str">
        <f>TRIM(CLEAN(Raw_Data!B2551))</f>
        <v>Marketing</v>
      </c>
      <c r="C2551" s="18" t="s">
        <v>30</v>
      </c>
      <c r="D2551" s="14" t="str">
        <f>IF(ISBLANK(Raw_Data!D2551),AVERAGE(Raw_Data!D$2:D$5002),Raw_Data!D2551)</f>
        <v>77312.47</v>
      </c>
      <c r="E2551" s="15" t="str">
        <f>IF(ISBLANK(Raw_Data!E2551),AVERAGE(Raw_Data!E$2:E$5002),Raw_Data!E2551)</f>
        <v>26381.14</v>
      </c>
      <c r="F2551" s="15" t="str">
        <f>IF(ISBLANK(Raw_Data!F2551),AVERAGE(Raw_Data!F$2:F$5002),Raw_Data!F2551)</f>
        <v>20792.07</v>
      </c>
      <c r="G2551" s="14" t="str">
        <f>IF(ISBLANK(Raw_Data!G2551),AVERAGE(Raw_Data!G$2:G$5002),Raw_Data!G2551)</f>
        <v>16032.20</v>
      </c>
      <c r="H2551" s="15" t="str">
        <f t="shared" si="1"/>
        <v>124486.00</v>
      </c>
      <c r="I2551" s="14" t="str">
        <f t="shared" si="2"/>
        <v>108454.00</v>
      </c>
      <c r="J2551" s="16" t="str">
        <f>TEXT(Raw_Data!J2551,"MMM-YYY")</f>
        <v>Dec-2025</v>
      </c>
      <c r="K2551" s="13" t="str">
        <f>Raw_Data!K2551</f>
        <v>2</v>
      </c>
      <c r="L2551" s="17" t="str">
        <f>Raw_Data!L2551</f>
        <v>Pune-West</v>
      </c>
      <c r="M2551" s="13" t="str">
        <f t="shared" si="3"/>
        <v>OK</v>
      </c>
      <c r="N2551" s="18" t="str">
        <f t="shared" si="4"/>
        <v>VALID</v>
      </c>
    </row>
    <row r="2552" ht="15.75" customHeight="1">
      <c r="A2552" s="13" t="str">
        <f>Raw_Data!A2552</f>
        <v>EMP2686</v>
      </c>
      <c r="B2552" s="13" t="str">
        <f>TRIM(CLEAN(Raw_Data!B2552))</f>
        <v>IT</v>
      </c>
      <c r="C2552" s="18" t="s">
        <v>37</v>
      </c>
      <c r="D2552" s="14" t="str">
        <f>IF(ISBLANK(Raw_Data!D2552),AVERAGE(Raw_Data!D$2:D$5002),Raw_Data!D2552)</f>
        <v>77323.35</v>
      </c>
      <c r="E2552" s="15" t="str">
        <f>IF(ISBLANK(Raw_Data!E2552),AVERAGE(Raw_Data!E$2:E$5002),Raw_Data!E2552)</f>
        <v>26385.76</v>
      </c>
      <c r="F2552" s="15" t="str">
        <f>IF(ISBLANK(Raw_Data!F2552),AVERAGE(Raw_Data!F$2:F$5002),Raw_Data!F2552)</f>
        <v>20799.75</v>
      </c>
      <c r="G2552" s="14" t="str">
        <f>IF(ISBLANK(Raw_Data!G2552),AVERAGE(Raw_Data!G$2:G$5002),Raw_Data!G2552)</f>
        <v>16035.60</v>
      </c>
      <c r="H2552" s="15" t="str">
        <f t="shared" si="1"/>
        <v>124509.00</v>
      </c>
      <c r="I2552" s="14" t="str">
        <f t="shared" si="2"/>
        <v>108473.00</v>
      </c>
      <c r="J2552" s="16" t="str">
        <f>TEXT(Raw_Data!J2552,"MMM-YYY")</f>
        <v>Oct-2025</v>
      </c>
      <c r="K2552" s="13" t="str">
        <f>Raw_Data!K2552</f>
        <v>21</v>
      </c>
      <c r="L2552" s="17" t="str">
        <f>Raw_Data!L2552</f>
        <v>Hyderabad-South</v>
      </c>
      <c r="M2552" s="13" t="str">
        <f t="shared" si="3"/>
        <v>OK</v>
      </c>
      <c r="N2552" s="18" t="str">
        <f t="shared" si="4"/>
        <v>VALID</v>
      </c>
    </row>
    <row r="2553" ht="15.75" customHeight="1">
      <c r="A2553" s="13" t="str">
        <f>Raw_Data!A2553</f>
        <v>EMP2687</v>
      </c>
      <c r="B2553" s="13" t="str">
        <f>TRIM(CLEAN(Raw_Data!B2553))</f>
        <v>IT</v>
      </c>
      <c r="C2553" s="18" t="s">
        <v>18</v>
      </c>
      <c r="D2553" s="14" t="str">
        <f>IF(ISBLANK(Raw_Data!D2553),AVERAGE(Raw_Data!D$2:D$5002),Raw_Data!D2553)</f>
        <v>77334.23</v>
      </c>
      <c r="E2553" s="15" t="str">
        <f>IF(ISBLANK(Raw_Data!E2553),AVERAGE(Raw_Data!E$2:E$5002),Raw_Data!E2553)</f>
        <v>26390.37</v>
      </c>
      <c r="F2553" s="15" t="str">
        <f>IF(ISBLANK(Raw_Data!F2553),AVERAGE(Raw_Data!F$2:F$5002),Raw_Data!F2553)</f>
        <v>20807.43</v>
      </c>
      <c r="G2553" s="14" t="str">
        <f>IF(ISBLANK(Raw_Data!G2553),AVERAGE(Raw_Data!G$2:G$5002),Raw_Data!G2553)</f>
        <v>16039.00</v>
      </c>
      <c r="H2553" s="15" t="str">
        <f t="shared" si="1"/>
        <v>124532.00</v>
      </c>
      <c r="I2553" s="14" t="str">
        <f t="shared" si="2"/>
        <v>108493.00</v>
      </c>
      <c r="J2553" s="16" t="str">
        <f>TEXT(Raw_Data!J2553,"MMM-YYY")</f>
        <v>Mar-2025</v>
      </c>
      <c r="K2553" s="13" t="str">
        <f>Raw_Data!K2553</f>
        <v>19</v>
      </c>
      <c r="L2553" s="17" t="str">
        <f>Raw_Data!L2553</f>
        <v>Chandigarh-North</v>
      </c>
      <c r="M2553" s="13" t="str">
        <f t="shared" si="3"/>
        <v>OK</v>
      </c>
      <c r="N2553" s="18" t="str">
        <f t="shared" si="4"/>
        <v>VALID</v>
      </c>
    </row>
    <row r="2554" ht="15.75" customHeight="1">
      <c r="A2554" s="13" t="str">
        <f>Raw_Data!A2554</f>
        <v>EMP2688</v>
      </c>
      <c r="B2554" s="13" t="str">
        <f>TRIM(CLEAN(Raw_Data!B2554))</f>
        <v>Operations</v>
      </c>
      <c r="C2554" s="18" t="s">
        <v>14</v>
      </c>
      <c r="D2554" s="14" t="str">
        <f>IF(ISBLANK(Raw_Data!D2554),AVERAGE(Raw_Data!D$2:D$5002),Raw_Data!D2554)</f>
        <v>77345.12</v>
      </c>
      <c r="E2554" s="15" t="str">
        <f>IF(ISBLANK(Raw_Data!E2554),AVERAGE(Raw_Data!E$2:E$5002),Raw_Data!E2554)</f>
        <v>26394.99</v>
      </c>
      <c r="F2554" s="15" t="str">
        <f>IF(ISBLANK(Raw_Data!F2554),AVERAGE(Raw_Data!F$2:F$5002),Raw_Data!F2554)</f>
        <v>20815.11</v>
      </c>
      <c r="G2554" s="14" t="str">
        <f>IF(ISBLANK(Raw_Data!G2554),AVERAGE(Raw_Data!G$2:G$5002),Raw_Data!G2554)</f>
        <v>16042.40</v>
      </c>
      <c r="H2554" s="15" t="str">
        <f t="shared" si="1"/>
        <v>124555.00</v>
      </c>
      <c r="I2554" s="14" t="str">
        <f t="shared" si="2"/>
        <v>108513.00</v>
      </c>
      <c r="J2554" s="16" t="str">
        <f>TEXT(Raw_Data!J2554,"MMM-YYY")</f>
        <v>Aug-2025</v>
      </c>
      <c r="K2554" s="13" t="str">
        <f>Raw_Data!K2554</f>
        <v>12</v>
      </c>
      <c r="L2554" s="17" t="str">
        <f>Raw_Data!L2554</f>
        <v>Ahmedabad-West</v>
      </c>
      <c r="M2554" s="13" t="str">
        <f t="shared" si="3"/>
        <v>OK</v>
      </c>
      <c r="N2554" s="18" t="str">
        <f t="shared" si="4"/>
        <v>VALID</v>
      </c>
    </row>
    <row r="2555" ht="15.75" customHeight="1">
      <c r="A2555" s="13" t="str">
        <f>Raw_Data!A2555</f>
        <v>EMP2689</v>
      </c>
      <c r="B2555" s="13" t="str">
        <f>TRIM(CLEAN(Raw_Data!B2555))</f>
        <v>Marketing</v>
      </c>
      <c r="C2555" s="18" t="s">
        <v>18</v>
      </c>
      <c r="D2555" s="14" t="str">
        <f>IF(ISBLANK(Raw_Data!D2555),AVERAGE(Raw_Data!D$2:D$5002),Raw_Data!D2555)</f>
        <v>77356.00</v>
      </c>
      <c r="E2555" s="15" t="str">
        <f>IF(ISBLANK(Raw_Data!E2555),AVERAGE(Raw_Data!E$2:E$5002),Raw_Data!E2555)</f>
        <v>26399.60</v>
      </c>
      <c r="F2555" s="15" t="str">
        <f>IF(ISBLANK(Raw_Data!F2555),AVERAGE(Raw_Data!F$2:F$5002),Raw_Data!F2555)</f>
        <v>20822.79</v>
      </c>
      <c r="G2555" s="14" t="str">
        <f>IF(ISBLANK(Raw_Data!G2555),AVERAGE(Raw_Data!G$2:G$5002),Raw_Data!G2555)</f>
        <v>16045.79</v>
      </c>
      <c r="H2555" s="15" t="str">
        <f t="shared" si="1"/>
        <v>124578.00</v>
      </c>
      <c r="I2555" s="14" t="str">
        <f t="shared" si="2"/>
        <v>108532.00</v>
      </c>
      <c r="J2555" s="16" t="str">
        <f>TEXT(Raw_Data!J2555,"MMM-YYY")</f>
        <v>Apr-2025</v>
      </c>
      <c r="K2555" s="13" t="str">
        <f>Raw_Data!K2555</f>
        <v>13</v>
      </c>
      <c r="L2555" s="17" t="str">
        <f>Raw_Data!L2555</f>
        <v>Jaipur-North</v>
      </c>
      <c r="M2555" s="13" t="str">
        <f t="shared" si="3"/>
        <v>OK</v>
      </c>
      <c r="N2555" s="18" t="str">
        <f t="shared" si="4"/>
        <v>VALID</v>
      </c>
    </row>
    <row r="2556" ht="15.75" customHeight="1">
      <c r="A2556" s="13" t="str">
        <f>Raw_Data!A2556</f>
        <v>EMP2690</v>
      </c>
      <c r="B2556" s="13" t="str">
        <f>TRIM(CLEAN(Raw_Data!B2556))</f>
        <v>Sales</v>
      </c>
      <c r="C2556" s="18" t="s">
        <v>30</v>
      </c>
      <c r="D2556" s="14" t="str">
        <f>IF(ISBLANK(Raw_Data!D2556),AVERAGE(Raw_Data!D$2:D$5002),Raw_Data!D2556)</f>
        <v>77366.88</v>
      </c>
      <c r="E2556" s="15" t="str">
        <f>IF(ISBLANK(Raw_Data!E2556),AVERAGE(Raw_Data!E$2:E$5002),Raw_Data!E2556)</f>
        <v>26404.22</v>
      </c>
      <c r="F2556" s="15" t="str">
        <f>IF(ISBLANK(Raw_Data!F2556),AVERAGE(Raw_Data!F$2:F$5002),Raw_Data!F2556)</f>
        <v>20830.47</v>
      </c>
      <c r="G2556" s="14" t="str">
        <f>IF(ISBLANK(Raw_Data!G2556),AVERAGE(Raw_Data!G$2:G$5002),Raw_Data!G2556)</f>
        <v>16049.19</v>
      </c>
      <c r="H2556" s="15" t="str">
        <f t="shared" si="1"/>
        <v>124602.00</v>
      </c>
      <c r="I2556" s="14" t="str">
        <f t="shared" si="2"/>
        <v>108553.00</v>
      </c>
      <c r="J2556" s="16" t="str">
        <f>TEXT(Raw_Data!J2556,"MMM-YYY")</f>
        <v>Nov-2025</v>
      </c>
      <c r="K2556" s="13" t="str">
        <f>Raw_Data!K2556</f>
        <v>18</v>
      </c>
      <c r="L2556" s="17" t="str">
        <f>Raw_Data!L2556</f>
        <v>Mumbai-HO</v>
      </c>
      <c r="M2556" s="13" t="str">
        <f t="shared" si="3"/>
        <v>OK</v>
      </c>
      <c r="N2556" s="18" t="str">
        <f t="shared" si="4"/>
        <v>VALID</v>
      </c>
    </row>
    <row r="2557" ht="15.75" customHeight="1">
      <c r="A2557" s="13" t="str">
        <f>Raw_Data!A2557</f>
        <v>EMP2691</v>
      </c>
      <c r="B2557" s="13" t="str">
        <f>TRIM(CLEAN(Raw_Data!B2557))</f>
        <v>Operations</v>
      </c>
      <c r="C2557" s="18" t="s">
        <v>37</v>
      </c>
      <c r="D2557" s="14" t="str">
        <f>IF(ISBLANK(Raw_Data!D2557),AVERAGE(Raw_Data!D$2:D$5002),Raw_Data!D2557)</f>
        <v>77377.77</v>
      </c>
      <c r="E2557" s="15" t="str">
        <f>IF(ISBLANK(Raw_Data!E2557),AVERAGE(Raw_Data!E$2:E$5002),Raw_Data!E2557)</f>
        <v>26408.83</v>
      </c>
      <c r="F2557" s="15" t="str">
        <f>IF(ISBLANK(Raw_Data!F2557),AVERAGE(Raw_Data!F$2:F$5002),Raw_Data!F2557)</f>
        <v>20838.15</v>
      </c>
      <c r="G2557" s="14" t="str">
        <f>IF(ISBLANK(Raw_Data!G2557),AVERAGE(Raw_Data!G$2:G$5002),Raw_Data!G2557)</f>
        <v>16052.59</v>
      </c>
      <c r="H2557" s="15" t="str">
        <f t="shared" si="1"/>
        <v>124625.00</v>
      </c>
      <c r="I2557" s="14" t="str">
        <f t="shared" si="2"/>
        <v>108572.00</v>
      </c>
      <c r="J2557" s="16" t="str">
        <f>TEXT(Raw_Data!J2557,"MMM-YYY")</f>
        <v>Sep-2025</v>
      </c>
      <c r="K2557" s="13" t="str">
        <f>Raw_Data!K2557</f>
        <v>4</v>
      </c>
      <c r="L2557" s="17" t="str">
        <f>Raw_Data!L2557</f>
        <v>Delhi-North</v>
      </c>
      <c r="M2557" s="13" t="str">
        <f t="shared" si="3"/>
        <v>OK</v>
      </c>
      <c r="N2557" s="18" t="str">
        <f t="shared" si="4"/>
        <v>VALID</v>
      </c>
    </row>
    <row r="2558" ht="15.75" customHeight="1">
      <c r="A2558" s="13" t="str">
        <f>Raw_Data!A2558</f>
        <v>EMP2692</v>
      </c>
      <c r="B2558" s="13" t="str">
        <f>TRIM(CLEAN(Raw_Data!B2558))</f>
        <v>IT</v>
      </c>
      <c r="C2558" s="18" t="s">
        <v>54</v>
      </c>
      <c r="D2558" s="14" t="str">
        <f>IF(ISBLANK(Raw_Data!D2558),AVERAGE(Raw_Data!D$2:D$5002),Raw_Data!D2558)</f>
        <v>77388.65</v>
      </c>
      <c r="E2558" s="15" t="str">
        <f>IF(ISBLANK(Raw_Data!E2558),AVERAGE(Raw_Data!E$2:E$5002),Raw_Data!E2558)</f>
        <v>26413.45</v>
      </c>
      <c r="F2558" s="15" t="str">
        <f>IF(ISBLANK(Raw_Data!F2558),AVERAGE(Raw_Data!F$2:F$5002),Raw_Data!F2558)</f>
        <v>20845.83</v>
      </c>
      <c r="G2558" s="14" t="str">
        <f>IF(ISBLANK(Raw_Data!G2558),AVERAGE(Raw_Data!G$2:G$5002),Raw_Data!G2558)</f>
        <v>16055.99</v>
      </c>
      <c r="H2558" s="15" t="str">
        <f t="shared" si="1"/>
        <v>124648.00</v>
      </c>
      <c r="I2558" s="14" t="str">
        <f t="shared" si="2"/>
        <v>108592.00</v>
      </c>
      <c r="J2558" s="16" t="str">
        <f>TEXT(Raw_Data!J2558,"MMM-YYY")</f>
        <v>May-2025</v>
      </c>
      <c r="K2558" s="13" t="str">
        <f>Raw_Data!K2558</f>
        <v>11</v>
      </c>
      <c r="L2558" s="17" t="str">
        <f>Raw_Data!L2558</f>
        <v>Bangalore-South</v>
      </c>
      <c r="M2558" s="13" t="str">
        <f t="shared" si="3"/>
        <v>OK</v>
      </c>
      <c r="N2558" s="18" t="str">
        <f t="shared" si="4"/>
        <v>VALID</v>
      </c>
    </row>
    <row r="2559" ht="15.75" customHeight="1">
      <c r="A2559" s="13" t="str">
        <f>Raw_Data!A2559</f>
        <v>EMP2693</v>
      </c>
      <c r="B2559" s="13" t="str">
        <f>TRIM(CLEAN(Raw_Data!B2559))</f>
        <v>Operations</v>
      </c>
      <c r="C2559" s="18" t="s">
        <v>26</v>
      </c>
      <c r="D2559" s="14" t="str">
        <f>IF(ISBLANK(Raw_Data!D2559),AVERAGE(Raw_Data!D$2:D$5002),Raw_Data!D2559)</f>
        <v>77399.53</v>
      </c>
      <c r="E2559" s="15" t="str">
        <f>IF(ISBLANK(Raw_Data!E2559),AVERAGE(Raw_Data!E$2:E$5002),Raw_Data!E2559)</f>
        <v>26418.06</v>
      </c>
      <c r="F2559" s="15" t="str">
        <f>IF(ISBLANK(Raw_Data!F2559),AVERAGE(Raw_Data!F$2:F$5002),Raw_Data!F2559)</f>
        <v>20853.51</v>
      </c>
      <c r="G2559" s="14" t="str">
        <f>IF(ISBLANK(Raw_Data!G2559),AVERAGE(Raw_Data!G$2:G$5002),Raw_Data!G2559)</f>
        <v>16059.38</v>
      </c>
      <c r="H2559" s="15" t="str">
        <f t="shared" si="1"/>
        <v>124671.00</v>
      </c>
      <c r="I2559" s="14" t="str">
        <f t="shared" si="2"/>
        <v>108612.00</v>
      </c>
      <c r="J2559" s="16" t="str">
        <f>TEXT(Raw_Data!J2559,"MMM-YYY")</f>
        <v>Dec-2025</v>
      </c>
      <c r="K2559" s="13" t="str">
        <f>Raw_Data!K2559</f>
        <v>17</v>
      </c>
      <c r="L2559" s="17" t="str">
        <f>Raw_Data!L2559</f>
        <v>Chennai-South</v>
      </c>
      <c r="M2559" s="13" t="str">
        <f t="shared" si="3"/>
        <v>OK</v>
      </c>
      <c r="N2559" s="18" t="str">
        <f t="shared" si="4"/>
        <v>VALID</v>
      </c>
    </row>
    <row r="2560" ht="15.75" customHeight="1">
      <c r="A2560" s="13" t="str">
        <f>Raw_Data!A2560</f>
        <v>EMP2694</v>
      </c>
      <c r="B2560" s="13" t="str">
        <f>TRIM(CLEAN(Raw_Data!B2560))</f>
        <v>Marketing</v>
      </c>
      <c r="C2560" s="18" t="s">
        <v>26</v>
      </c>
      <c r="D2560" s="14" t="str">
        <f>IF(ISBLANK(Raw_Data!D2560),AVERAGE(Raw_Data!D$2:D$5002),Raw_Data!D2560)</f>
        <v>77410.42</v>
      </c>
      <c r="E2560" s="15" t="str">
        <f>IF(ISBLANK(Raw_Data!E2560),AVERAGE(Raw_Data!E$2:E$5002),Raw_Data!E2560)</f>
        <v>26422.68</v>
      </c>
      <c r="F2560" s="15" t="str">
        <f>IF(ISBLANK(Raw_Data!F2560),AVERAGE(Raw_Data!F$2:F$5002),Raw_Data!F2560)</f>
        <v>20861.19</v>
      </c>
      <c r="G2560" s="14" t="str">
        <f>IF(ISBLANK(Raw_Data!G2560),AVERAGE(Raw_Data!G$2:G$5002),Raw_Data!G2560)</f>
        <v>16062.78</v>
      </c>
      <c r="H2560" s="15" t="str">
        <f t="shared" si="1"/>
        <v>124694.00</v>
      </c>
      <c r="I2560" s="14" t="str">
        <f t="shared" si="2"/>
        <v>108631.00</v>
      </c>
      <c r="J2560" s="16" t="str">
        <f>TEXT(Raw_Data!J2560,"MMM-YYY")</f>
        <v>May-2025</v>
      </c>
      <c r="K2560" s="13" t="str">
        <f>Raw_Data!K2560</f>
        <v>7</v>
      </c>
      <c r="L2560" s="17" t="str">
        <f>Raw_Data!L2560</f>
        <v>Kolkata-East</v>
      </c>
      <c r="M2560" s="13" t="str">
        <f t="shared" si="3"/>
        <v>OK</v>
      </c>
      <c r="N2560" s="18" t="str">
        <f t="shared" si="4"/>
        <v>VALID</v>
      </c>
    </row>
    <row r="2561" ht="15.75" customHeight="1">
      <c r="A2561" s="13" t="str">
        <f>Raw_Data!A2561</f>
        <v>EMP2695</v>
      </c>
      <c r="B2561" s="13" t="str">
        <f>TRIM(CLEAN(Raw_Data!B2561))</f>
        <v>HR</v>
      </c>
      <c r="C2561" s="18" t="s">
        <v>37</v>
      </c>
      <c r="D2561" s="14" t="str">
        <f>IF(ISBLANK(Raw_Data!D2561),AVERAGE(Raw_Data!D$2:D$5002),Raw_Data!D2561)</f>
        <v>77421.30</v>
      </c>
      <c r="E2561" s="15" t="str">
        <f>IF(ISBLANK(Raw_Data!E2561),AVERAGE(Raw_Data!E$2:E$5002),Raw_Data!E2561)</f>
        <v>26427.29</v>
      </c>
      <c r="F2561" s="15" t="str">
        <f>IF(ISBLANK(Raw_Data!F2561),AVERAGE(Raw_Data!F$2:F$5002),Raw_Data!F2561)</f>
        <v>20868.87</v>
      </c>
      <c r="G2561" s="14" t="str">
        <f>IF(ISBLANK(Raw_Data!G2561),AVERAGE(Raw_Data!G$2:G$5002),Raw_Data!G2561)</f>
        <v>16066.18</v>
      </c>
      <c r="H2561" s="15" t="str">
        <f t="shared" si="1"/>
        <v>124717.00</v>
      </c>
      <c r="I2561" s="14" t="str">
        <f t="shared" si="2"/>
        <v>108651.00</v>
      </c>
      <c r="J2561" s="16" t="str">
        <f>TEXT(Raw_Data!J2561,"MMM-YYY")</f>
        <v>Apr-2025</v>
      </c>
      <c r="K2561" s="13" t="str">
        <f>Raw_Data!K2561</f>
        <v>23</v>
      </c>
      <c r="L2561" s="17" t="str">
        <f>Raw_Data!L2561</f>
        <v>Pune-West</v>
      </c>
      <c r="M2561" s="13" t="str">
        <f t="shared" si="3"/>
        <v>OK</v>
      </c>
      <c r="N2561" s="18" t="str">
        <f t="shared" si="4"/>
        <v>VALID</v>
      </c>
    </row>
    <row r="2562" ht="15.75" customHeight="1">
      <c r="A2562" s="13" t="str">
        <f>Raw_Data!A2562</f>
        <v>EMP2696</v>
      </c>
      <c r="B2562" s="13" t="str">
        <f>TRIM(CLEAN(Raw_Data!B2562))</f>
        <v>Customer Support</v>
      </c>
      <c r="C2562" s="18" t="s">
        <v>14</v>
      </c>
      <c r="D2562" s="14" t="str">
        <f>IF(ISBLANK(Raw_Data!D2562),AVERAGE(Raw_Data!D$2:D$5002),Raw_Data!D2562)</f>
        <v>77432.18</v>
      </c>
      <c r="E2562" s="15" t="str">
        <f>IF(ISBLANK(Raw_Data!E2562),AVERAGE(Raw_Data!E$2:E$5002),Raw_Data!E2562)</f>
        <v>26431.90</v>
      </c>
      <c r="F2562" s="15" t="str">
        <f>IF(ISBLANK(Raw_Data!F2562),AVERAGE(Raw_Data!F$2:F$5002),Raw_Data!F2562)</f>
        <v>20876.55</v>
      </c>
      <c r="G2562" s="14" t="str">
        <f>IF(ISBLANK(Raw_Data!G2562),AVERAGE(Raw_Data!G$2:G$5002),Raw_Data!G2562)</f>
        <v>16069.58</v>
      </c>
      <c r="H2562" s="15" t="str">
        <f t="shared" si="1"/>
        <v>124741.00</v>
      </c>
      <c r="I2562" s="14" t="str">
        <f t="shared" si="2"/>
        <v>108671.00</v>
      </c>
      <c r="J2562" s="16" t="str">
        <f>TEXT(Raw_Data!J2562,"MMM-YYY")</f>
        <v>Jul-2025</v>
      </c>
      <c r="K2562" s="13" t="str">
        <f>Raw_Data!K2562</f>
        <v>21</v>
      </c>
      <c r="L2562" s="17" t="str">
        <f>Raw_Data!L2562</f>
        <v>Hyderabad-South</v>
      </c>
      <c r="M2562" s="13" t="str">
        <f t="shared" si="3"/>
        <v>OK</v>
      </c>
      <c r="N2562" s="18" t="str">
        <f t="shared" si="4"/>
        <v>VALID</v>
      </c>
    </row>
    <row r="2563" ht="15.75" customHeight="1">
      <c r="A2563" s="13" t="str">
        <f>Raw_Data!A2563</f>
        <v>EMP2697</v>
      </c>
      <c r="B2563" s="13" t="str">
        <f>TRIM(CLEAN(Raw_Data!B2563))</f>
        <v>Marketing</v>
      </c>
      <c r="C2563" s="18" t="s">
        <v>33</v>
      </c>
      <c r="D2563" s="14" t="str">
        <f>IF(ISBLANK(Raw_Data!D2563),AVERAGE(Raw_Data!D$2:D$5002),Raw_Data!D2563)</f>
        <v>77443.06</v>
      </c>
      <c r="E2563" s="15" t="str">
        <f>IF(ISBLANK(Raw_Data!E2563),AVERAGE(Raw_Data!E$2:E$5002),Raw_Data!E2563)</f>
        <v>26436.52</v>
      </c>
      <c r="F2563" s="15" t="str">
        <f>IF(ISBLANK(Raw_Data!F2563),AVERAGE(Raw_Data!F$2:F$5002),Raw_Data!F2563)</f>
        <v>20884.23</v>
      </c>
      <c r="G2563" s="14" t="str">
        <f>IF(ISBLANK(Raw_Data!G2563),AVERAGE(Raw_Data!G$2:G$5002),Raw_Data!G2563)</f>
        <v>16072.97</v>
      </c>
      <c r="H2563" s="15" t="str">
        <f t="shared" si="1"/>
        <v>124764.00</v>
      </c>
      <c r="I2563" s="14" t="str">
        <f t="shared" si="2"/>
        <v>108691.00</v>
      </c>
      <c r="J2563" s="16" t="str">
        <f>TEXT(Raw_Data!J2563,"MMM-YYY")</f>
        <v>Jan-2025</v>
      </c>
      <c r="K2563" s="13" t="str">
        <f>Raw_Data!K2563</f>
        <v>16</v>
      </c>
      <c r="L2563" s="17" t="str">
        <f>Raw_Data!L2563</f>
        <v>Chandigarh-North</v>
      </c>
      <c r="M2563" s="13" t="str">
        <f t="shared" si="3"/>
        <v>OK</v>
      </c>
      <c r="N2563" s="18" t="str">
        <f t="shared" si="4"/>
        <v>VALID</v>
      </c>
    </row>
    <row r="2564" ht="15.75" customHeight="1">
      <c r="A2564" s="13" t="str">
        <f>Raw_Data!A2564</f>
        <v>EMP2698</v>
      </c>
      <c r="B2564" s="13" t="str">
        <f>TRIM(CLEAN(Raw_Data!B2564))</f>
        <v>Customer Support</v>
      </c>
      <c r="C2564" s="18" t="s">
        <v>18</v>
      </c>
      <c r="D2564" s="14" t="str">
        <f>IF(ISBLANK(Raw_Data!D2564),AVERAGE(Raw_Data!D$2:D$5002),Raw_Data!D2564)</f>
        <v>77453.95</v>
      </c>
      <c r="E2564" s="15" t="str">
        <f>IF(ISBLANK(Raw_Data!E2564),AVERAGE(Raw_Data!E$2:E$5002),Raw_Data!E2564)</f>
        <v>26441.13</v>
      </c>
      <c r="F2564" s="15" t="str">
        <f>IF(ISBLANK(Raw_Data!F2564),AVERAGE(Raw_Data!F$2:F$5002),Raw_Data!F2564)</f>
        <v>20891.91</v>
      </c>
      <c r="G2564" s="14" t="str">
        <f>IF(ISBLANK(Raw_Data!G2564),AVERAGE(Raw_Data!G$2:G$5002),Raw_Data!G2564)</f>
        <v>16076.37</v>
      </c>
      <c r="H2564" s="15" t="str">
        <f t="shared" si="1"/>
        <v>124787.00</v>
      </c>
      <c r="I2564" s="14" t="str">
        <f t="shared" si="2"/>
        <v>108711.00</v>
      </c>
      <c r="J2564" s="16" t="str">
        <f>TEXT(Raw_Data!J2564,"MMM-YYY")</f>
        <v>Mar-2025</v>
      </c>
      <c r="K2564" s="13" t="str">
        <f>Raw_Data!K2564</f>
        <v>19</v>
      </c>
      <c r="L2564" s="17" t="str">
        <f>Raw_Data!L2564</f>
        <v>Ahmedabad-West</v>
      </c>
      <c r="M2564" s="13" t="str">
        <f t="shared" si="3"/>
        <v>OK</v>
      </c>
      <c r="N2564" s="18" t="str">
        <f t="shared" si="4"/>
        <v>VALID</v>
      </c>
    </row>
    <row r="2565" ht="15.75" customHeight="1">
      <c r="A2565" s="13" t="str">
        <f>Raw_Data!A2565</f>
        <v>EMP2701</v>
      </c>
      <c r="B2565" s="13" t="str">
        <f>TRIM(CLEAN(Raw_Data!B2565))</f>
        <v>HR</v>
      </c>
      <c r="C2565" s="18" t="s">
        <v>18</v>
      </c>
      <c r="D2565" s="14" t="str">
        <f>IF(ISBLANK(Raw_Data!D2565),AVERAGE(Raw_Data!D$2:D$5002),Raw_Data!D2565)</f>
        <v>77486.60</v>
      </c>
      <c r="E2565" s="15" t="str">
        <f>IF(ISBLANK(Raw_Data!E2565),AVERAGE(Raw_Data!E$2:E$5002),Raw_Data!E2565)</f>
        <v>26454.98</v>
      </c>
      <c r="F2565" s="15" t="str">
        <f>IF(ISBLANK(Raw_Data!F2565),AVERAGE(Raw_Data!F$2:F$5002),Raw_Data!F2565)</f>
        <v>20914.95</v>
      </c>
      <c r="G2565" s="14" t="str">
        <f>IF(ISBLANK(Raw_Data!G2565),AVERAGE(Raw_Data!G$2:G$5002),Raw_Data!G2565)</f>
        <v>16086.56</v>
      </c>
      <c r="H2565" s="15" t="str">
        <f t="shared" si="1"/>
        <v>124857.00</v>
      </c>
      <c r="I2565" s="14" t="str">
        <f t="shared" si="2"/>
        <v>108770.00</v>
      </c>
      <c r="J2565" s="16" t="str">
        <f>TEXT(Raw_Data!J2565,"MMM-YYY")</f>
        <v>Feb-2025</v>
      </c>
      <c r="K2565" s="13" t="str">
        <f>Raw_Data!K2565</f>
        <v>22</v>
      </c>
      <c r="L2565" s="17" t="str">
        <f>Raw_Data!L2565</f>
        <v>Delhi-North</v>
      </c>
      <c r="M2565" s="13" t="str">
        <f t="shared" si="3"/>
        <v>OK</v>
      </c>
      <c r="N2565" s="18" t="str">
        <f t="shared" si="4"/>
        <v>VALID</v>
      </c>
    </row>
    <row r="2566" ht="15.75" customHeight="1">
      <c r="A2566" s="13" t="str">
        <f>Raw_Data!A2566</f>
        <v>EMP2702</v>
      </c>
      <c r="B2566" s="13" t="str">
        <f>TRIM(CLEAN(Raw_Data!B2566))</f>
        <v>Marketing</v>
      </c>
      <c r="C2566" s="18" t="s">
        <v>37</v>
      </c>
      <c r="D2566" s="14" t="str">
        <f>IF(ISBLANK(Raw_Data!D2566),AVERAGE(Raw_Data!D$2:D$5002),Raw_Data!D2566)</f>
        <v>77497.48</v>
      </c>
      <c r="E2566" s="15" t="str">
        <f>IF(ISBLANK(Raw_Data!E2566),AVERAGE(Raw_Data!E$2:E$5002),Raw_Data!E2566)</f>
        <v>26459.59</v>
      </c>
      <c r="F2566" s="15" t="str">
        <f>IF(ISBLANK(Raw_Data!F2566),AVERAGE(Raw_Data!F$2:F$5002),Raw_Data!F2566)</f>
        <v>20922.63</v>
      </c>
      <c r="G2566" s="14" t="str">
        <f>IF(ISBLANK(Raw_Data!G2566),AVERAGE(Raw_Data!G$2:G$5002),Raw_Data!G2566)</f>
        <v>16089.96</v>
      </c>
      <c r="H2566" s="15" t="str">
        <f t="shared" si="1"/>
        <v>124880.00</v>
      </c>
      <c r="I2566" s="14" t="str">
        <f t="shared" si="2"/>
        <v>108790.00</v>
      </c>
      <c r="J2566" s="16" t="str">
        <f>TEXT(Raw_Data!J2566,"MMM-YYY")</f>
        <v>Nov-2025</v>
      </c>
      <c r="K2566" s="13" t="str">
        <f>Raw_Data!K2566</f>
        <v>3</v>
      </c>
      <c r="L2566" s="17" t="str">
        <f>Raw_Data!L2566</f>
        <v>Bangalore-South</v>
      </c>
      <c r="M2566" s="13" t="str">
        <f t="shared" si="3"/>
        <v>OK</v>
      </c>
      <c r="N2566" s="18" t="str">
        <f t="shared" si="4"/>
        <v>VALID</v>
      </c>
    </row>
    <row r="2567" ht="15.75" customHeight="1">
      <c r="A2567" s="13" t="str">
        <f>Raw_Data!A2567</f>
        <v>EMP2703</v>
      </c>
      <c r="B2567" s="13" t="str">
        <f>TRIM(CLEAN(Raw_Data!B2567))</f>
        <v>Customer Support</v>
      </c>
      <c r="C2567" s="18" t="s">
        <v>33</v>
      </c>
      <c r="D2567" s="14" t="str">
        <f>IF(ISBLANK(Raw_Data!D2567),AVERAGE(Raw_Data!D$2:D$5002),Raw_Data!D2567)</f>
        <v>77508.36</v>
      </c>
      <c r="E2567" s="15" t="str">
        <f>IF(ISBLANK(Raw_Data!E2567),AVERAGE(Raw_Data!E$2:E$5002),Raw_Data!E2567)</f>
        <v>26464.21</v>
      </c>
      <c r="F2567" s="15" t="str">
        <f>IF(ISBLANK(Raw_Data!F2567),AVERAGE(Raw_Data!F$2:F$5002),Raw_Data!F2567)</f>
        <v>20930.31</v>
      </c>
      <c r="G2567" s="14" t="str">
        <f>IF(ISBLANK(Raw_Data!G2567),AVERAGE(Raw_Data!G$2:G$5002),Raw_Data!G2567)</f>
        <v>16093.36</v>
      </c>
      <c r="H2567" s="15" t="str">
        <f t="shared" si="1"/>
        <v>124903.00</v>
      </c>
      <c r="I2567" s="14" t="str">
        <f t="shared" si="2"/>
        <v>108810.00</v>
      </c>
      <c r="J2567" s="16" t="str">
        <f>TEXT(Raw_Data!J2567,"MMM-YYY")</f>
        <v>Oct-2025</v>
      </c>
      <c r="K2567" s="13" t="str">
        <f>Raw_Data!K2567</f>
        <v>5</v>
      </c>
      <c r="L2567" s="17" t="str">
        <f>Raw_Data!L2567</f>
        <v>Chennai-South</v>
      </c>
      <c r="M2567" s="13" t="str">
        <f t="shared" si="3"/>
        <v>OK</v>
      </c>
      <c r="N2567" s="18" t="str">
        <f t="shared" si="4"/>
        <v>VALID</v>
      </c>
    </row>
    <row r="2568" ht="15.75" customHeight="1">
      <c r="A2568" s="13" t="str">
        <f>Raw_Data!A2568</f>
        <v>EMP2704</v>
      </c>
      <c r="B2568" s="13" t="str">
        <f>TRIM(CLEAN(Raw_Data!B2568))</f>
        <v>Customer Support</v>
      </c>
      <c r="C2568" s="18" t="s">
        <v>14</v>
      </c>
      <c r="D2568" s="14" t="str">
        <f>IF(ISBLANK(Raw_Data!D2568),AVERAGE(Raw_Data!D$2:D$5002),Raw_Data!D2568)</f>
        <v>77519.24</v>
      </c>
      <c r="E2568" s="15" t="str">
        <f>IF(ISBLANK(Raw_Data!E2568),AVERAGE(Raw_Data!E$2:E$5002),Raw_Data!E2568)</f>
        <v>26468.82</v>
      </c>
      <c r="F2568" s="15" t="str">
        <f>IF(ISBLANK(Raw_Data!F2568),AVERAGE(Raw_Data!F$2:F$5002),Raw_Data!F2568)</f>
        <v>20937.99</v>
      </c>
      <c r="G2568" s="14" t="str">
        <f>IF(ISBLANK(Raw_Data!G2568),AVERAGE(Raw_Data!G$2:G$5002),Raw_Data!G2568)</f>
        <v>16096.76</v>
      </c>
      <c r="H2568" s="15" t="str">
        <f t="shared" si="1"/>
        <v>124926.00</v>
      </c>
      <c r="I2568" s="14" t="str">
        <f t="shared" si="2"/>
        <v>108829.00</v>
      </c>
      <c r="J2568" s="16" t="str">
        <f>TEXT(Raw_Data!J2568,"MMM-YYY")</f>
        <v>May-2025</v>
      </c>
      <c r="K2568" s="13" t="str">
        <f>Raw_Data!K2568</f>
        <v>13</v>
      </c>
      <c r="L2568" s="17" t="str">
        <f>Raw_Data!L2568</f>
        <v>Kolkata-East</v>
      </c>
      <c r="M2568" s="13" t="str">
        <f t="shared" si="3"/>
        <v>OK</v>
      </c>
      <c r="N2568" s="18" t="str">
        <f t="shared" si="4"/>
        <v>VALID</v>
      </c>
    </row>
    <row r="2569" ht="15.75" customHeight="1">
      <c r="A2569" s="13" t="str">
        <f>Raw_Data!A2569</f>
        <v>EMP2705</v>
      </c>
      <c r="B2569" s="13" t="str">
        <f>TRIM(CLEAN(Raw_Data!B2569))</f>
        <v>Customer Support</v>
      </c>
      <c r="C2569" s="18" t="s">
        <v>30</v>
      </c>
      <c r="D2569" s="14" t="str">
        <f>IF(ISBLANK(Raw_Data!D2569),AVERAGE(Raw_Data!D$2:D$5002),Raw_Data!D2569)</f>
        <v>77530.13</v>
      </c>
      <c r="E2569" s="15" t="str">
        <f>IF(ISBLANK(Raw_Data!E2569),AVERAGE(Raw_Data!E$2:E$5002),Raw_Data!E2569)</f>
        <v>26473.44</v>
      </c>
      <c r="F2569" s="15" t="str">
        <f>IF(ISBLANK(Raw_Data!F2569),AVERAGE(Raw_Data!F$2:F$5002),Raw_Data!F2569)</f>
        <v>20945.67</v>
      </c>
      <c r="G2569" s="14" t="str">
        <f>IF(ISBLANK(Raw_Data!G2569),AVERAGE(Raw_Data!G$2:G$5002),Raw_Data!G2569)</f>
        <v>16100.15</v>
      </c>
      <c r="H2569" s="15" t="str">
        <f t="shared" si="1"/>
        <v>124949.00</v>
      </c>
      <c r="I2569" s="14" t="str">
        <f t="shared" si="2"/>
        <v>108849.00</v>
      </c>
      <c r="J2569" s="16" t="str">
        <f>TEXT(Raw_Data!J2569,"MMM-YYY")</f>
        <v>Nov-2025</v>
      </c>
      <c r="K2569" s="13" t="str">
        <f>Raw_Data!K2569</f>
        <v>13</v>
      </c>
      <c r="L2569" s="17" t="str">
        <f>Raw_Data!L2569</f>
        <v>Pune-West</v>
      </c>
      <c r="M2569" s="13" t="str">
        <f t="shared" si="3"/>
        <v>OK</v>
      </c>
      <c r="N2569" s="18" t="str">
        <f t="shared" si="4"/>
        <v>VALID</v>
      </c>
    </row>
    <row r="2570" ht="15.75" customHeight="1">
      <c r="A2570" s="13" t="str">
        <f>Raw_Data!A2570</f>
        <v>EMP2706</v>
      </c>
      <c r="B2570" s="13" t="str">
        <f>TRIM(CLEAN(Raw_Data!B2570))</f>
        <v>Operations</v>
      </c>
      <c r="C2570" s="18" t="s">
        <v>14</v>
      </c>
      <c r="D2570" s="14" t="str">
        <f>IF(ISBLANK(Raw_Data!D2570),AVERAGE(Raw_Data!D$2:D$5002),Raw_Data!D2570)</f>
        <v>77541.01</v>
      </c>
      <c r="E2570" s="15" t="str">
        <f>IF(ISBLANK(Raw_Data!E2570),AVERAGE(Raw_Data!E$2:E$5002),Raw_Data!E2570)</f>
        <v>26478.05</v>
      </c>
      <c r="F2570" s="15" t="str">
        <f>IF(ISBLANK(Raw_Data!F2570),AVERAGE(Raw_Data!F$2:F$5002),Raw_Data!F2570)</f>
        <v>20953.35</v>
      </c>
      <c r="G2570" s="14" t="str">
        <f>IF(ISBLANK(Raw_Data!G2570),AVERAGE(Raw_Data!G$2:G$5002),Raw_Data!G2570)</f>
        <v>16103.55</v>
      </c>
      <c r="H2570" s="15" t="str">
        <f t="shared" si="1"/>
        <v>124972.00</v>
      </c>
      <c r="I2570" s="14" t="str">
        <f t="shared" si="2"/>
        <v>108868.00</v>
      </c>
      <c r="J2570" s="16" t="str">
        <f>TEXT(Raw_Data!J2570,"MMM-YYY")</f>
        <v>Sep-2025</v>
      </c>
      <c r="K2570" s="13" t="str">
        <f>Raw_Data!K2570</f>
        <v>15</v>
      </c>
      <c r="L2570" s="17" t="str">
        <f>Raw_Data!L2570</f>
        <v>Hyderabad-South</v>
      </c>
      <c r="M2570" s="13" t="str">
        <f t="shared" si="3"/>
        <v>OK</v>
      </c>
      <c r="N2570" s="18" t="str">
        <f t="shared" si="4"/>
        <v>VALID</v>
      </c>
    </row>
    <row r="2571" ht="15.75" customHeight="1">
      <c r="A2571" s="13" t="str">
        <f>Raw_Data!A2571</f>
        <v>EMP2707</v>
      </c>
      <c r="B2571" s="13" t="str">
        <f>TRIM(CLEAN(Raw_Data!B2571))</f>
        <v>Marketing</v>
      </c>
      <c r="C2571" s="18" t="s">
        <v>37</v>
      </c>
      <c r="D2571" s="14" t="str">
        <f>IF(ISBLANK(Raw_Data!D2571),AVERAGE(Raw_Data!D$2:D$5002),Raw_Data!D2571)</f>
        <v>77551.89</v>
      </c>
      <c r="E2571" s="15" t="str">
        <f>IF(ISBLANK(Raw_Data!E2571),AVERAGE(Raw_Data!E$2:E$5002),Raw_Data!E2571)</f>
        <v>26482.67</v>
      </c>
      <c r="F2571" s="15" t="str">
        <f>IF(ISBLANK(Raw_Data!F2571),AVERAGE(Raw_Data!F$2:F$5002),Raw_Data!F2571)</f>
        <v>20961.03</v>
      </c>
      <c r="G2571" s="14" t="str">
        <f>IF(ISBLANK(Raw_Data!G2571),AVERAGE(Raw_Data!G$2:G$5002),Raw_Data!G2571)</f>
        <v>16106.95</v>
      </c>
      <c r="H2571" s="15" t="str">
        <f t="shared" si="1"/>
        <v>124996.00</v>
      </c>
      <c r="I2571" s="14" t="str">
        <f t="shared" si="2"/>
        <v>108889.00</v>
      </c>
      <c r="J2571" s="16" t="str">
        <f>TEXT(Raw_Data!J2571,"MMM-YYY")</f>
        <v>Aug-2025</v>
      </c>
      <c r="K2571" s="13" t="str">
        <f>Raw_Data!K2571</f>
        <v>13</v>
      </c>
      <c r="L2571" s="17" t="str">
        <f>Raw_Data!L2571</f>
        <v>Chandigarh-North</v>
      </c>
      <c r="M2571" s="13" t="str">
        <f t="shared" si="3"/>
        <v>OK</v>
      </c>
      <c r="N2571" s="18" t="str">
        <f t="shared" si="4"/>
        <v>VALID</v>
      </c>
    </row>
    <row r="2572" ht="15.75" customHeight="1">
      <c r="A2572" s="13" t="str">
        <f>Raw_Data!A2572</f>
        <v>EMP2708</v>
      </c>
      <c r="B2572" s="13" t="str">
        <f>TRIM(CLEAN(Raw_Data!B2572))</f>
        <v>Sales</v>
      </c>
      <c r="C2572" s="18" t="s">
        <v>37</v>
      </c>
      <c r="D2572" s="14" t="str">
        <f>IF(ISBLANK(Raw_Data!D2572),AVERAGE(Raw_Data!D$2:D$5002),Raw_Data!D2572)</f>
        <v>77562.78</v>
      </c>
      <c r="E2572" s="15" t="str">
        <f>IF(ISBLANK(Raw_Data!E2572),AVERAGE(Raw_Data!E$2:E$5002),Raw_Data!E2572)</f>
        <v>26487.28</v>
      </c>
      <c r="F2572" s="15" t="str">
        <f>IF(ISBLANK(Raw_Data!F2572),AVERAGE(Raw_Data!F$2:F$5002),Raw_Data!F2572)</f>
        <v>20968.71</v>
      </c>
      <c r="G2572" s="14" t="str">
        <f>IF(ISBLANK(Raw_Data!G2572),AVERAGE(Raw_Data!G$2:G$5002),Raw_Data!G2572)</f>
        <v>16110.35</v>
      </c>
      <c r="H2572" s="15" t="str">
        <f t="shared" si="1"/>
        <v>125019.00</v>
      </c>
      <c r="I2572" s="14" t="str">
        <f t="shared" si="2"/>
        <v>108909.00</v>
      </c>
      <c r="J2572" s="16" t="str">
        <f>TEXT(Raw_Data!J2572,"MMM-YYY")</f>
        <v>Jun-2025</v>
      </c>
      <c r="K2572" s="13" t="str">
        <f>Raw_Data!K2572</f>
        <v>1</v>
      </c>
      <c r="L2572" s="17" t="str">
        <f>Raw_Data!L2572</f>
        <v>Ahmedabad-West</v>
      </c>
      <c r="M2572" s="13" t="str">
        <f t="shared" si="3"/>
        <v>OK</v>
      </c>
      <c r="N2572" s="18" t="str">
        <f t="shared" si="4"/>
        <v>VALID</v>
      </c>
    </row>
    <row r="2573" ht="15.75" customHeight="1">
      <c r="A2573" s="13" t="str">
        <f>Raw_Data!A2573</f>
        <v>EMP2709</v>
      </c>
      <c r="B2573" s="13" t="str">
        <f>TRIM(CLEAN(Raw_Data!B2573))</f>
        <v>Operations</v>
      </c>
      <c r="C2573" s="18" t="s">
        <v>54</v>
      </c>
      <c r="D2573" s="14" t="str">
        <f>IF(ISBLANK(Raw_Data!D2573),AVERAGE(Raw_Data!D$2:D$5002),Raw_Data!D2573)</f>
        <v>77573.66</v>
      </c>
      <c r="E2573" s="15" t="str">
        <f>IF(ISBLANK(Raw_Data!E2573),AVERAGE(Raw_Data!E$2:E$5002),Raw_Data!E2573)</f>
        <v>26491.90</v>
      </c>
      <c r="F2573" s="15" t="str">
        <f>IF(ISBLANK(Raw_Data!F2573),AVERAGE(Raw_Data!F$2:F$5002),Raw_Data!F2573)</f>
        <v>20976.39</v>
      </c>
      <c r="G2573" s="14" t="str">
        <f>IF(ISBLANK(Raw_Data!G2573),AVERAGE(Raw_Data!G$2:G$5002),Raw_Data!G2573)</f>
        <v>16113.74</v>
      </c>
      <c r="H2573" s="15" t="str">
        <f t="shared" si="1"/>
        <v>125042.00</v>
      </c>
      <c r="I2573" s="14" t="str">
        <f t="shared" si="2"/>
        <v>108928.00</v>
      </c>
      <c r="J2573" s="16" t="str">
        <f>TEXT(Raw_Data!J2573,"MMM-YYY")</f>
        <v>Oct-2025</v>
      </c>
      <c r="K2573" s="13" t="str">
        <f>Raw_Data!K2573</f>
        <v>18</v>
      </c>
      <c r="L2573" s="17" t="str">
        <f>Raw_Data!L2573</f>
        <v>Jaipur-North</v>
      </c>
      <c r="M2573" s="13" t="str">
        <f t="shared" si="3"/>
        <v>OK</v>
      </c>
      <c r="N2573" s="18" t="str">
        <f t="shared" si="4"/>
        <v>VALID</v>
      </c>
    </row>
    <row r="2574" ht="15.75" customHeight="1">
      <c r="A2574" s="13" t="str">
        <f>Raw_Data!A2574</f>
        <v>EMP2710</v>
      </c>
      <c r="B2574" s="13" t="str">
        <f>TRIM(CLEAN(Raw_Data!B2574))</f>
        <v>HR</v>
      </c>
      <c r="C2574" s="18" t="s">
        <v>37</v>
      </c>
      <c r="D2574" s="14" t="str">
        <f>IF(ISBLANK(Raw_Data!D2574),AVERAGE(Raw_Data!D$2:D$5002),Raw_Data!D2574)</f>
        <v>77584.54</v>
      </c>
      <c r="E2574" s="15" t="str">
        <f>IF(ISBLANK(Raw_Data!E2574),AVERAGE(Raw_Data!E$2:E$5002),Raw_Data!E2574)</f>
        <v>26496.51</v>
      </c>
      <c r="F2574" s="15" t="str">
        <f>IF(ISBLANK(Raw_Data!F2574),AVERAGE(Raw_Data!F$2:F$5002),Raw_Data!F2574)</f>
        <v>20984.07</v>
      </c>
      <c r="G2574" s="14" t="str">
        <f>IF(ISBLANK(Raw_Data!G2574),AVERAGE(Raw_Data!G$2:G$5002),Raw_Data!G2574)</f>
        <v>16117.14</v>
      </c>
      <c r="H2574" s="15" t="str">
        <f t="shared" si="1"/>
        <v>125065.00</v>
      </c>
      <c r="I2574" s="14" t="str">
        <f t="shared" si="2"/>
        <v>108948.00</v>
      </c>
      <c r="J2574" s="16" t="str">
        <f>TEXT(Raw_Data!J2574,"MMM-YYY")</f>
        <v>Nov-2025</v>
      </c>
      <c r="K2574" s="13" t="str">
        <f>Raw_Data!K2574</f>
        <v>14</v>
      </c>
      <c r="L2574" s="17" t="str">
        <f>Raw_Data!L2574</f>
        <v>Mumbai-HO</v>
      </c>
      <c r="M2574" s="13" t="str">
        <f t="shared" si="3"/>
        <v>OK</v>
      </c>
      <c r="N2574" s="18" t="str">
        <f t="shared" si="4"/>
        <v>VALID</v>
      </c>
    </row>
    <row r="2575" ht="15.75" customHeight="1">
      <c r="A2575" s="13" t="str">
        <f>Raw_Data!A2575</f>
        <v>EMP2711</v>
      </c>
      <c r="B2575" s="13" t="str">
        <f>TRIM(CLEAN(Raw_Data!B2575))</f>
        <v>Customer Support</v>
      </c>
      <c r="C2575" s="18" t="s">
        <v>37</v>
      </c>
      <c r="D2575" s="14" t="str">
        <f>IF(ISBLANK(Raw_Data!D2575),AVERAGE(Raw_Data!D$2:D$5002),Raw_Data!D2575)</f>
        <v>77595.43</v>
      </c>
      <c r="E2575" s="15" t="str">
        <f>IF(ISBLANK(Raw_Data!E2575),AVERAGE(Raw_Data!E$2:E$5002),Raw_Data!E2575)</f>
        <v>26501.13</v>
      </c>
      <c r="F2575" s="15" t="str">
        <f>IF(ISBLANK(Raw_Data!F2575),AVERAGE(Raw_Data!F$2:F$5002),Raw_Data!F2575)</f>
        <v>20991.75</v>
      </c>
      <c r="G2575" s="14" t="str">
        <f>IF(ISBLANK(Raw_Data!G2575),AVERAGE(Raw_Data!G$2:G$5002),Raw_Data!G2575)</f>
        <v>16120.54</v>
      </c>
      <c r="H2575" s="15" t="str">
        <f t="shared" si="1"/>
        <v>125088.00</v>
      </c>
      <c r="I2575" s="14" t="str">
        <f t="shared" si="2"/>
        <v>108967.00</v>
      </c>
      <c r="J2575" s="16" t="str">
        <f>TEXT(Raw_Data!J2575,"MMM-YYY")</f>
        <v>Nov-2025</v>
      </c>
      <c r="K2575" s="13" t="str">
        <f>Raw_Data!K2575</f>
        <v>21</v>
      </c>
      <c r="L2575" s="17" t="str">
        <f>Raw_Data!L2575</f>
        <v>Delhi-North</v>
      </c>
      <c r="M2575" s="13" t="str">
        <f t="shared" si="3"/>
        <v>OK</v>
      </c>
      <c r="N2575" s="18" t="str">
        <f t="shared" si="4"/>
        <v>VALID</v>
      </c>
    </row>
    <row r="2576" ht="15.75" customHeight="1">
      <c r="A2576" s="13" t="str">
        <f>Raw_Data!A2576</f>
        <v>EMP2712</v>
      </c>
      <c r="B2576" s="13" t="str">
        <f>TRIM(CLEAN(Raw_Data!B2576))</f>
        <v>Sales</v>
      </c>
      <c r="C2576" s="18" t="s">
        <v>30</v>
      </c>
      <c r="D2576" s="14" t="str">
        <f>IF(ISBLANK(Raw_Data!D2576),AVERAGE(Raw_Data!D$2:D$5002),Raw_Data!D2576)</f>
        <v>77606.31</v>
      </c>
      <c r="E2576" s="15" t="str">
        <f>IF(ISBLANK(Raw_Data!E2576),AVERAGE(Raw_Data!E$2:E$5002),Raw_Data!E2576)</f>
        <v>26505.74</v>
      </c>
      <c r="F2576" s="15" t="str">
        <f>IF(ISBLANK(Raw_Data!F2576),AVERAGE(Raw_Data!F$2:F$5002),Raw_Data!F2576)</f>
        <v>20999.43</v>
      </c>
      <c r="G2576" s="14" t="str">
        <f>IF(ISBLANK(Raw_Data!G2576),AVERAGE(Raw_Data!G$2:G$5002),Raw_Data!G2576)</f>
        <v>16123.94</v>
      </c>
      <c r="H2576" s="15" t="str">
        <f t="shared" si="1"/>
        <v>125111.00</v>
      </c>
      <c r="I2576" s="14" t="str">
        <f t="shared" si="2"/>
        <v>108987.00</v>
      </c>
      <c r="J2576" s="16" t="str">
        <f>TEXT(Raw_Data!J2576,"MMM-YYY")</f>
        <v>Jan-2025</v>
      </c>
      <c r="K2576" s="13" t="str">
        <f>Raw_Data!K2576</f>
        <v>25</v>
      </c>
      <c r="L2576" s="17" t="str">
        <f>Raw_Data!L2576</f>
        <v>Bangalore-South</v>
      </c>
      <c r="M2576" s="13" t="str">
        <f t="shared" si="3"/>
        <v>OK</v>
      </c>
      <c r="N2576" s="18" t="str">
        <f t="shared" si="4"/>
        <v>VALID</v>
      </c>
    </row>
    <row r="2577" ht="15.75" customHeight="1">
      <c r="A2577" s="13" t="str">
        <f>Raw_Data!A2577</f>
        <v>EMP2713</v>
      </c>
      <c r="B2577" s="13" t="str">
        <f>TRIM(CLEAN(Raw_Data!B2577))</f>
        <v>Finance</v>
      </c>
      <c r="C2577" s="18" t="s">
        <v>26</v>
      </c>
      <c r="D2577" s="14" t="str">
        <f>IF(ISBLANK(Raw_Data!D2577),AVERAGE(Raw_Data!D$2:D$5002),Raw_Data!D2577)</f>
        <v>77617.19</v>
      </c>
      <c r="E2577" s="15" t="str">
        <f>IF(ISBLANK(Raw_Data!E2577),AVERAGE(Raw_Data!E$2:E$5002),Raw_Data!E2577)</f>
        <v>26510.35</v>
      </c>
      <c r="F2577" s="15" t="str">
        <f>IF(ISBLANK(Raw_Data!F2577),AVERAGE(Raw_Data!F$2:F$5002),Raw_Data!F2577)</f>
        <v>21007.11</v>
      </c>
      <c r="G2577" s="14" t="str">
        <f>IF(ISBLANK(Raw_Data!G2577),AVERAGE(Raw_Data!G$2:G$5002),Raw_Data!G2577)</f>
        <v>16127.33</v>
      </c>
      <c r="H2577" s="15" t="str">
        <f t="shared" si="1"/>
        <v>125135.00</v>
      </c>
      <c r="I2577" s="14" t="str">
        <f t="shared" si="2"/>
        <v>109008.00</v>
      </c>
      <c r="J2577" s="16" t="str">
        <f>TEXT(Raw_Data!J2577,"MMM-YYY")</f>
        <v>May-2025</v>
      </c>
      <c r="K2577" s="13" t="str">
        <f>Raw_Data!K2577</f>
        <v>13</v>
      </c>
      <c r="L2577" s="17" t="str">
        <f>Raw_Data!L2577</f>
        <v>Chennai-South</v>
      </c>
      <c r="M2577" s="13" t="str">
        <f t="shared" si="3"/>
        <v>OK</v>
      </c>
      <c r="N2577" s="18" t="str">
        <f t="shared" si="4"/>
        <v>VALID</v>
      </c>
    </row>
    <row r="2578" ht="15.75" customHeight="1">
      <c r="A2578" s="13" t="str">
        <f>Raw_Data!A2578</f>
        <v>EMP2714</v>
      </c>
      <c r="B2578" s="13" t="str">
        <f>TRIM(CLEAN(Raw_Data!B2578))</f>
        <v>Finance</v>
      </c>
      <c r="C2578" s="18" t="s">
        <v>18</v>
      </c>
      <c r="D2578" s="14" t="str">
        <f>IF(ISBLANK(Raw_Data!D2578),AVERAGE(Raw_Data!D$2:D$5002),Raw_Data!D2578)</f>
        <v>77628.07</v>
      </c>
      <c r="E2578" s="15" t="str">
        <f>IF(ISBLANK(Raw_Data!E2578),AVERAGE(Raw_Data!E$2:E$5002),Raw_Data!E2578)</f>
        <v>26514.97</v>
      </c>
      <c r="F2578" s="15" t="str">
        <f>IF(ISBLANK(Raw_Data!F2578),AVERAGE(Raw_Data!F$2:F$5002),Raw_Data!F2578)</f>
        <v>21014.79</v>
      </c>
      <c r="G2578" s="14" t="str">
        <f>IF(ISBLANK(Raw_Data!G2578),AVERAGE(Raw_Data!G$2:G$5002),Raw_Data!G2578)</f>
        <v>16130.73</v>
      </c>
      <c r="H2578" s="15" t="str">
        <f t="shared" si="1"/>
        <v>125158.00</v>
      </c>
      <c r="I2578" s="14" t="str">
        <f t="shared" si="2"/>
        <v>109027.00</v>
      </c>
      <c r="J2578" s="16" t="str">
        <f>TEXT(Raw_Data!J2578,"MMM-YYY")</f>
        <v>Nov-2025</v>
      </c>
      <c r="K2578" s="13" t="str">
        <f>Raw_Data!K2578</f>
        <v>4</v>
      </c>
      <c r="L2578" s="17" t="str">
        <f>Raw_Data!L2578</f>
        <v>Kolkata-East</v>
      </c>
      <c r="M2578" s="13" t="str">
        <f t="shared" si="3"/>
        <v>OK</v>
      </c>
      <c r="N2578" s="18" t="str">
        <f t="shared" si="4"/>
        <v>VALID</v>
      </c>
    </row>
    <row r="2579" ht="15.75" customHeight="1">
      <c r="A2579" s="13" t="str">
        <f>Raw_Data!A2579</f>
        <v>EMP2715</v>
      </c>
      <c r="B2579" s="13" t="str">
        <f>TRIM(CLEAN(Raw_Data!B2579))</f>
        <v>IT</v>
      </c>
      <c r="C2579" s="18" t="s">
        <v>30</v>
      </c>
      <c r="D2579" s="14" t="str">
        <f>IF(ISBLANK(Raw_Data!D2579),AVERAGE(Raw_Data!D$2:D$5002),Raw_Data!D2579)</f>
        <v>77638.96</v>
      </c>
      <c r="E2579" s="15" t="str">
        <f>IF(ISBLANK(Raw_Data!E2579),AVERAGE(Raw_Data!E$2:E$5002),Raw_Data!E2579)</f>
        <v>26519.58</v>
      </c>
      <c r="F2579" s="15" t="str">
        <f>IF(ISBLANK(Raw_Data!F2579),AVERAGE(Raw_Data!F$2:F$5002),Raw_Data!F2579)</f>
        <v>21022.47</v>
      </c>
      <c r="G2579" s="14" t="str">
        <f>IF(ISBLANK(Raw_Data!G2579),AVERAGE(Raw_Data!G$2:G$5002),Raw_Data!G2579)</f>
        <v>16134.13</v>
      </c>
      <c r="H2579" s="15" t="str">
        <f t="shared" si="1"/>
        <v>125181.00</v>
      </c>
      <c r="I2579" s="14" t="str">
        <f t="shared" si="2"/>
        <v>109047.00</v>
      </c>
      <c r="J2579" s="16" t="str">
        <f>TEXT(Raw_Data!J2579,"MMM-YYY")</f>
        <v>Jun-2025</v>
      </c>
      <c r="K2579" s="13" t="str">
        <f>Raw_Data!K2579</f>
        <v>5</v>
      </c>
      <c r="L2579" s="17" t="str">
        <f>Raw_Data!L2579</f>
        <v>Pune-West</v>
      </c>
      <c r="M2579" s="13" t="str">
        <f t="shared" si="3"/>
        <v>OK</v>
      </c>
      <c r="N2579" s="18" t="str">
        <f t="shared" si="4"/>
        <v>VALID</v>
      </c>
    </row>
    <row r="2580" ht="15.75" customHeight="1">
      <c r="A2580" s="13" t="str">
        <f>Raw_Data!A2580</f>
        <v>EMP2716</v>
      </c>
      <c r="B2580" s="13" t="str">
        <f>TRIM(CLEAN(Raw_Data!B2580))</f>
        <v>Operations</v>
      </c>
      <c r="C2580" s="18" t="s">
        <v>18</v>
      </c>
      <c r="D2580" s="14" t="str">
        <f>IF(ISBLANK(Raw_Data!D2580),AVERAGE(Raw_Data!D$2:D$5002),Raw_Data!D2580)</f>
        <v>77649.84</v>
      </c>
      <c r="E2580" s="15" t="str">
        <f>IF(ISBLANK(Raw_Data!E2580),AVERAGE(Raw_Data!E$2:E$5002),Raw_Data!E2580)</f>
        <v>26524.20</v>
      </c>
      <c r="F2580" s="15" t="str">
        <f>IF(ISBLANK(Raw_Data!F2580),AVERAGE(Raw_Data!F$2:F$5002),Raw_Data!F2580)</f>
        <v>21030.15</v>
      </c>
      <c r="G2580" s="14" t="str">
        <f>IF(ISBLANK(Raw_Data!G2580),AVERAGE(Raw_Data!G$2:G$5002),Raw_Data!G2580)</f>
        <v>16137.53</v>
      </c>
      <c r="H2580" s="15" t="str">
        <f t="shared" si="1"/>
        <v>125204.00</v>
      </c>
      <c r="I2580" s="14" t="str">
        <f t="shared" si="2"/>
        <v>109066.00</v>
      </c>
      <c r="J2580" s="16" t="str">
        <f>TEXT(Raw_Data!J2580,"MMM-YYY")</f>
        <v>Aug-2025</v>
      </c>
      <c r="K2580" s="13" t="str">
        <f>Raw_Data!K2580</f>
        <v>5</v>
      </c>
      <c r="L2580" s="17" t="str">
        <f>Raw_Data!L2580</f>
        <v>Hyderabad-South</v>
      </c>
      <c r="M2580" s="13" t="str">
        <f t="shared" si="3"/>
        <v>OK</v>
      </c>
      <c r="N2580" s="18" t="str">
        <f t="shared" si="4"/>
        <v>VALID</v>
      </c>
    </row>
    <row r="2581" ht="15.75" customHeight="1">
      <c r="A2581" s="13" t="str">
        <f>Raw_Data!A2581</f>
        <v>EMP2717</v>
      </c>
      <c r="B2581" s="13" t="str">
        <f>TRIM(CLEAN(Raw_Data!B2581))</f>
        <v>Finance</v>
      </c>
      <c r="C2581" s="18" t="s">
        <v>30</v>
      </c>
      <c r="D2581" s="14" t="str">
        <f>IF(ISBLANK(Raw_Data!D2581),AVERAGE(Raw_Data!D$2:D$5002),Raw_Data!D2581)</f>
        <v>77660.72</v>
      </c>
      <c r="E2581" s="15" t="str">
        <f>IF(ISBLANK(Raw_Data!E2581),AVERAGE(Raw_Data!E$2:E$5002),Raw_Data!E2581)</f>
        <v>26528.81</v>
      </c>
      <c r="F2581" s="15" t="str">
        <f>IF(ISBLANK(Raw_Data!F2581),AVERAGE(Raw_Data!F$2:F$5002),Raw_Data!F2581)</f>
        <v>21037.83</v>
      </c>
      <c r="G2581" s="14" t="str">
        <f>IF(ISBLANK(Raw_Data!G2581),AVERAGE(Raw_Data!G$2:G$5002),Raw_Data!G2581)</f>
        <v>16140.92</v>
      </c>
      <c r="H2581" s="15" t="str">
        <f t="shared" si="1"/>
        <v>125227.00</v>
      </c>
      <c r="I2581" s="14" t="str">
        <f t="shared" si="2"/>
        <v>109086.00</v>
      </c>
      <c r="J2581" s="16" t="str">
        <f>TEXT(Raw_Data!J2581,"MMM-YYY")</f>
        <v>Sep-2025</v>
      </c>
      <c r="K2581" s="13" t="str">
        <f>Raw_Data!K2581</f>
        <v>25</v>
      </c>
      <c r="L2581" s="17" t="str">
        <f>Raw_Data!L2581</f>
        <v>Chandigarh-North</v>
      </c>
      <c r="M2581" s="13" t="str">
        <f t="shared" si="3"/>
        <v>OK</v>
      </c>
      <c r="N2581" s="18" t="str">
        <f t="shared" si="4"/>
        <v>VALID</v>
      </c>
    </row>
    <row r="2582" ht="15.75" customHeight="1">
      <c r="A2582" s="13" t="str">
        <f>Raw_Data!A2582</f>
        <v>EMP2718</v>
      </c>
      <c r="B2582" s="13" t="str">
        <f>TRIM(CLEAN(Raw_Data!B2582))</f>
        <v>IT</v>
      </c>
      <c r="C2582" s="18" t="s">
        <v>14</v>
      </c>
      <c r="D2582" s="14" t="str">
        <f>IF(ISBLANK(Raw_Data!D2582),AVERAGE(Raw_Data!D$2:D$5002),Raw_Data!D2582)</f>
        <v>77671.61</v>
      </c>
      <c r="E2582" s="15" t="str">
        <f>IF(ISBLANK(Raw_Data!E2582),AVERAGE(Raw_Data!E$2:E$5002),Raw_Data!E2582)</f>
        <v>26533.43</v>
      </c>
      <c r="F2582" s="15" t="str">
        <f>IF(ISBLANK(Raw_Data!F2582),AVERAGE(Raw_Data!F$2:F$5002),Raw_Data!F2582)</f>
        <v>21045.51</v>
      </c>
      <c r="G2582" s="14" t="str">
        <f>IF(ISBLANK(Raw_Data!G2582),AVERAGE(Raw_Data!G$2:G$5002),Raw_Data!G2582)</f>
        <v>16144.32</v>
      </c>
      <c r="H2582" s="15" t="str">
        <f t="shared" si="1"/>
        <v>125251.00</v>
      </c>
      <c r="I2582" s="14" t="str">
        <f t="shared" si="2"/>
        <v>109107.00</v>
      </c>
      <c r="J2582" s="16" t="str">
        <f>TEXT(Raw_Data!J2582,"MMM-YYY")</f>
        <v>Mar-2025</v>
      </c>
      <c r="K2582" s="13" t="str">
        <f>Raw_Data!K2582</f>
        <v>18</v>
      </c>
      <c r="L2582" s="17" t="str">
        <f>Raw_Data!L2582</f>
        <v>Ahmedabad-West</v>
      </c>
      <c r="M2582" s="13" t="str">
        <f t="shared" si="3"/>
        <v>OK</v>
      </c>
      <c r="N2582" s="18" t="str">
        <f t="shared" si="4"/>
        <v>VALID</v>
      </c>
    </row>
    <row r="2583" ht="15.75" customHeight="1">
      <c r="A2583" s="13" t="str">
        <f>Raw_Data!A2583</f>
        <v>EMP2719</v>
      </c>
      <c r="B2583" s="13" t="str">
        <f>TRIM(CLEAN(Raw_Data!B2583))</f>
        <v>Marketing</v>
      </c>
      <c r="C2583" s="18" t="s">
        <v>54</v>
      </c>
      <c r="D2583" s="14" t="str">
        <f>IF(ISBLANK(Raw_Data!D2583),AVERAGE(Raw_Data!D$2:D$5002),Raw_Data!D2583)</f>
        <v>77682.49</v>
      </c>
      <c r="E2583" s="15" t="str">
        <f>IF(ISBLANK(Raw_Data!E2583),AVERAGE(Raw_Data!E$2:E$5002),Raw_Data!E2583)</f>
        <v>26538.04</v>
      </c>
      <c r="F2583" s="15" t="str">
        <f>IF(ISBLANK(Raw_Data!F2583),AVERAGE(Raw_Data!F$2:F$5002),Raw_Data!F2583)</f>
        <v>21053.19</v>
      </c>
      <c r="G2583" s="14" t="str">
        <f>IF(ISBLANK(Raw_Data!G2583),AVERAGE(Raw_Data!G$2:G$5002),Raw_Data!G2583)</f>
        <v>16147.72</v>
      </c>
      <c r="H2583" s="15" t="str">
        <f t="shared" si="1"/>
        <v>125274.00</v>
      </c>
      <c r="I2583" s="14" t="str">
        <f t="shared" si="2"/>
        <v>109126.00</v>
      </c>
      <c r="J2583" s="16" t="str">
        <f>TEXT(Raw_Data!J2583,"MMM-YYY")</f>
        <v>May-2025</v>
      </c>
      <c r="K2583" s="13" t="str">
        <f>Raw_Data!K2583</f>
        <v>17</v>
      </c>
      <c r="L2583" s="17" t="str">
        <f>Raw_Data!L2583</f>
        <v>Jaipur-North</v>
      </c>
      <c r="M2583" s="13" t="str">
        <f t="shared" si="3"/>
        <v>OK</v>
      </c>
      <c r="N2583" s="18" t="str">
        <f t="shared" si="4"/>
        <v>VALID</v>
      </c>
    </row>
    <row r="2584" ht="15.75" customHeight="1">
      <c r="A2584" s="13" t="str">
        <f>Raw_Data!A2584</f>
        <v>EMP2721</v>
      </c>
      <c r="B2584" s="13" t="str">
        <f>TRIM(CLEAN(Raw_Data!B2584))</f>
        <v>Operations</v>
      </c>
      <c r="C2584" s="18" t="s">
        <v>26</v>
      </c>
      <c r="D2584" s="14" t="str">
        <f>IF(ISBLANK(Raw_Data!D2584),AVERAGE(Raw_Data!D$2:D$5002),Raw_Data!D2584)</f>
        <v>77704.26</v>
      </c>
      <c r="E2584" s="15" t="str">
        <f>IF(ISBLANK(Raw_Data!E2584),AVERAGE(Raw_Data!E$2:E$5002),Raw_Data!E2584)</f>
        <v>26547.27</v>
      </c>
      <c r="F2584" s="15" t="str">
        <f>IF(ISBLANK(Raw_Data!F2584),AVERAGE(Raw_Data!F$2:F$5002),Raw_Data!F2584)</f>
        <v>21068.55</v>
      </c>
      <c r="G2584" s="14" t="str">
        <f>IF(ISBLANK(Raw_Data!G2584),AVERAGE(Raw_Data!G$2:G$5002),Raw_Data!G2584)</f>
        <v>16154.51</v>
      </c>
      <c r="H2584" s="15" t="str">
        <f t="shared" si="1"/>
        <v>125320.00</v>
      </c>
      <c r="I2584" s="14" t="str">
        <f t="shared" si="2"/>
        <v>109165.00</v>
      </c>
      <c r="J2584" s="16" t="str">
        <f>TEXT(Raw_Data!J2584,"MMM-YYY")</f>
        <v>May-2025</v>
      </c>
      <c r="K2584" s="13" t="str">
        <f>Raw_Data!K2584</f>
        <v>21</v>
      </c>
      <c r="L2584" s="17" t="str">
        <f>Raw_Data!L2584</f>
        <v>Delhi-North</v>
      </c>
      <c r="M2584" s="13" t="str">
        <f t="shared" si="3"/>
        <v>OK</v>
      </c>
      <c r="N2584" s="18" t="str">
        <f t="shared" si="4"/>
        <v>VALID</v>
      </c>
    </row>
    <row r="2585" ht="15.75" customHeight="1">
      <c r="A2585" s="13" t="str">
        <f>Raw_Data!A2585</f>
        <v>EMP2722</v>
      </c>
      <c r="B2585" s="13" t="str">
        <f>TRIM(CLEAN(Raw_Data!B2585))</f>
        <v>Marketing</v>
      </c>
      <c r="C2585" s="18" t="s">
        <v>33</v>
      </c>
      <c r="D2585" s="14" t="str">
        <f>IF(ISBLANK(Raw_Data!D2585),AVERAGE(Raw_Data!D$2:D$5002),Raw_Data!D2585)</f>
        <v>77715.14</v>
      </c>
      <c r="E2585" s="15" t="str">
        <f>IF(ISBLANK(Raw_Data!E2585),AVERAGE(Raw_Data!E$2:E$5002),Raw_Data!E2585)</f>
        <v>26551.89</v>
      </c>
      <c r="F2585" s="15" t="str">
        <f>IF(ISBLANK(Raw_Data!F2585),AVERAGE(Raw_Data!F$2:F$5002),Raw_Data!F2585)</f>
        <v>21076.23</v>
      </c>
      <c r="G2585" s="14" t="str">
        <f>IF(ISBLANK(Raw_Data!G2585),AVERAGE(Raw_Data!G$2:G$5002),Raw_Data!G2585)</f>
        <v>16157.91</v>
      </c>
      <c r="H2585" s="15" t="str">
        <f t="shared" si="1"/>
        <v>125343.00</v>
      </c>
      <c r="I2585" s="14" t="str">
        <f t="shared" si="2"/>
        <v>109185.00</v>
      </c>
      <c r="J2585" s="16" t="str">
        <f>TEXT(Raw_Data!J2585,"MMM-YYY")</f>
        <v>Jun-2025</v>
      </c>
      <c r="K2585" s="13" t="str">
        <f>Raw_Data!K2585</f>
        <v>3</v>
      </c>
      <c r="L2585" s="17" t="str">
        <f>Raw_Data!L2585</f>
        <v>Bangalore-South</v>
      </c>
      <c r="M2585" s="13" t="str">
        <f t="shared" si="3"/>
        <v>OK</v>
      </c>
      <c r="N2585" s="18" t="str">
        <f t="shared" si="4"/>
        <v>VALID</v>
      </c>
    </row>
    <row r="2586" ht="15.75" customHeight="1">
      <c r="A2586" s="13" t="str">
        <f>Raw_Data!A2586</f>
        <v>EMP2724</v>
      </c>
      <c r="B2586" s="13" t="str">
        <f>TRIM(CLEAN(Raw_Data!B2586))</f>
        <v>Sales</v>
      </c>
      <c r="C2586" s="18" t="s">
        <v>18</v>
      </c>
      <c r="D2586" s="14" t="str">
        <f>IF(ISBLANK(Raw_Data!D2586),AVERAGE(Raw_Data!D$2:D$5002),Raw_Data!D2586)</f>
        <v>77736.90</v>
      </c>
      <c r="E2586" s="15" t="str">
        <f>IF(ISBLANK(Raw_Data!E2586),AVERAGE(Raw_Data!E$2:E$5002),Raw_Data!E2586)</f>
        <v>26561.12</v>
      </c>
      <c r="F2586" s="15" t="str">
        <f>IF(ISBLANK(Raw_Data!F2586),AVERAGE(Raw_Data!F$2:F$5002),Raw_Data!F2586)</f>
        <v>21091.59</v>
      </c>
      <c r="G2586" s="14" t="str">
        <f>IF(ISBLANK(Raw_Data!G2586),AVERAGE(Raw_Data!G$2:G$5002),Raw_Data!G2586)</f>
        <v>16164.71</v>
      </c>
      <c r="H2586" s="15" t="str">
        <f t="shared" si="1"/>
        <v>125390.00</v>
      </c>
      <c r="I2586" s="14" t="str">
        <f t="shared" si="2"/>
        <v>109225.00</v>
      </c>
      <c r="J2586" s="16" t="str">
        <f>TEXT(Raw_Data!J2586,"MMM-YYY")</f>
        <v>Nov-2025</v>
      </c>
      <c r="K2586" s="13" t="str">
        <f>Raw_Data!K2586</f>
        <v>23</v>
      </c>
      <c r="L2586" s="17" t="str">
        <f>Raw_Data!L2586</f>
        <v>Kolkata-East</v>
      </c>
      <c r="M2586" s="13" t="str">
        <f t="shared" si="3"/>
        <v>OK</v>
      </c>
      <c r="N2586" s="18" t="str">
        <f t="shared" si="4"/>
        <v>VALID</v>
      </c>
    </row>
    <row r="2587" ht="15.75" customHeight="1">
      <c r="A2587" s="13" t="str">
        <f>Raw_Data!A2587</f>
        <v>EMP2725</v>
      </c>
      <c r="B2587" s="13" t="str">
        <f>TRIM(CLEAN(Raw_Data!B2587))</f>
        <v>Operations</v>
      </c>
      <c r="C2587" s="18" t="s">
        <v>30</v>
      </c>
      <c r="D2587" s="14" t="str">
        <f>IF(ISBLANK(Raw_Data!D2587),AVERAGE(Raw_Data!D$2:D$5002),Raw_Data!D2587)</f>
        <v>77747.79</v>
      </c>
      <c r="E2587" s="15" t="str">
        <f>IF(ISBLANK(Raw_Data!E2587),AVERAGE(Raw_Data!E$2:E$5002),Raw_Data!E2587)</f>
        <v>26565.73</v>
      </c>
      <c r="F2587" s="15" t="str">
        <f>IF(ISBLANK(Raw_Data!F2587),AVERAGE(Raw_Data!F$2:F$5002),Raw_Data!F2587)</f>
        <v>21099.27</v>
      </c>
      <c r="G2587" s="14" t="str">
        <f>IF(ISBLANK(Raw_Data!G2587),AVERAGE(Raw_Data!G$2:G$5002),Raw_Data!G2587)</f>
        <v>16168.10</v>
      </c>
      <c r="H2587" s="15" t="str">
        <f t="shared" si="1"/>
        <v>125413.00</v>
      </c>
      <c r="I2587" s="14" t="str">
        <f t="shared" si="2"/>
        <v>109245.00</v>
      </c>
      <c r="J2587" s="16" t="str">
        <f>TEXT(Raw_Data!J2587,"MMM-YYY")</f>
        <v>Nov-2025</v>
      </c>
      <c r="K2587" s="13" t="str">
        <f>Raw_Data!K2587</f>
        <v>20</v>
      </c>
      <c r="L2587" s="17" t="str">
        <f>Raw_Data!L2587</f>
        <v>Pune-West</v>
      </c>
      <c r="M2587" s="13" t="str">
        <f t="shared" si="3"/>
        <v>OK</v>
      </c>
      <c r="N2587" s="18" t="str">
        <f t="shared" si="4"/>
        <v>VALID</v>
      </c>
    </row>
    <row r="2588" ht="15.75" customHeight="1">
      <c r="A2588" s="13" t="str">
        <f>Raw_Data!A2588</f>
        <v>EMP2726</v>
      </c>
      <c r="B2588" s="13" t="str">
        <f>TRIM(CLEAN(Raw_Data!B2588))</f>
        <v>Sales</v>
      </c>
      <c r="C2588" s="18" t="s">
        <v>33</v>
      </c>
      <c r="D2588" s="14" t="str">
        <f>IF(ISBLANK(Raw_Data!D2588),AVERAGE(Raw_Data!D$2:D$5002),Raw_Data!D2588)</f>
        <v>77758.67</v>
      </c>
      <c r="E2588" s="15" t="str">
        <f>IF(ISBLANK(Raw_Data!E2588),AVERAGE(Raw_Data!E$2:E$5002),Raw_Data!E2588)</f>
        <v>26570.35</v>
      </c>
      <c r="F2588" s="15" t="str">
        <f>IF(ISBLANK(Raw_Data!F2588),AVERAGE(Raw_Data!F$2:F$5002),Raw_Data!F2588)</f>
        <v>21106.95</v>
      </c>
      <c r="G2588" s="14" t="str">
        <f>IF(ISBLANK(Raw_Data!G2588),AVERAGE(Raw_Data!G$2:G$5002),Raw_Data!G2588)</f>
        <v>16171.50</v>
      </c>
      <c r="H2588" s="15" t="str">
        <f t="shared" si="1"/>
        <v>125436.00</v>
      </c>
      <c r="I2588" s="14" t="str">
        <f t="shared" si="2"/>
        <v>109264.00</v>
      </c>
      <c r="J2588" s="16" t="str">
        <f>TEXT(Raw_Data!J2588,"MMM-YYY")</f>
        <v>Sep-2025</v>
      </c>
      <c r="K2588" s="13" t="str">
        <f>Raw_Data!K2588</f>
        <v>6</v>
      </c>
      <c r="L2588" s="17" t="str">
        <f>Raw_Data!L2588</f>
        <v>Hyderabad-South</v>
      </c>
      <c r="M2588" s="13" t="str">
        <f t="shared" si="3"/>
        <v>OK</v>
      </c>
      <c r="N2588" s="18" t="str">
        <f t="shared" si="4"/>
        <v>VALID</v>
      </c>
    </row>
    <row r="2589" ht="15.75" customHeight="1">
      <c r="A2589" s="13" t="str">
        <f>Raw_Data!A2589</f>
        <v>EMP2727</v>
      </c>
      <c r="B2589" s="13" t="str">
        <f>TRIM(CLEAN(Raw_Data!B2589))</f>
        <v>IT</v>
      </c>
      <c r="C2589" s="18" t="s">
        <v>37</v>
      </c>
      <c r="D2589" s="14" t="str">
        <f>IF(ISBLANK(Raw_Data!D2589),AVERAGE(Raw_Data!D$2:D$5002),Raw_Data!D2589)</f>
        <v>77769.55</v>
      </c>
      <c r="E2589" s="15" t="str">
        <f>IF(ISBLANK(Raw_Data!E2589),AVERAGE(Raw_Data!E$2:E$5002),Raw_Data!E2589)</f>
        <v>26574.96</v>
      </c>
      <c r="F2589" s="15" t="str">
        <f>IF(ISBLANK(Raw_Data!F2589),AVERAGE(Raw_Data!F$2:F$5002),Raw_Data!F2589)</f>
        <v>21114.63</v>
      </c>
      <c r="G2589" s="14" t="str">
        <f>IF(ISBLANK(Raw_Data!G2589),AVERAGE(Raw_Data!G$2:G$5002),Raw_Data!G2589)</f>
        <v>16174.90</v>
      </c>
      <c r="H2589" s="15" t="str">
        <f t="shared" si="1"/>
        <v>125459.00</v>
      </c>
      <c r="I2589" s="14" t="str">
        <f t="shared" si="2"/>
        <v>109284.00</v>
      </c>
      <c r="J2589" s="16" t="str">
        <f>TEXT(Raw_Data!J2589,"MMM-YYY")</f>
        <v>Jan-2025</v>
      </c>
      <c r="K2589" s="13" t="str">
        <f>Raw_Data!K2589</f>
        <v>7</v>
      </c>
      <c r="L2589" s="17" t="str">
        <f>Raw_Data!L2589</f>
        <v>Chandigarh-North</v>
      </c>
      <c r="M2589" s="13" t="str">
        <f t="shared" si="3"/>
        <v>OK</v>
      </c>
      <c r="N2589" s="18" t="str">
        <f t="shared" si="4"/>
        <v>VALID</v>
      </c>
    </row>
    <row r="2590" ht="15.75" customHeight="1">
      <c r="A2590" s="13" t="str">
        <f>Raw_Data!A2590</f>
        <v>EMP2729</v>
      </c>
      <c r="B2590" s="13" t="str">
        <f>TRIM(CLEAN(Raw_Data!B2590))</f>
        <v>IT</v>
      </c>
      <c r="C2590" s="18" t="s">
        <v>30</v>
      </c>
      <c r="D2590" s="14" t="str">
        <f>IF(ISBLANK(Raw_Data!D2590),AVERAGE(Raw_Data!D$2:D$5002),Raw_Data!D2590)</f>
        <v>77791.32</v>
      </c>
      <c r="E2590" s="15" t="str">
        <f>IF(ISBLANK(Raw_Data!E2590),AVERAGE(Raw_Data!E$2:E$5002),Raw_Data!E2590)</f>
        <v>26584.19</v>
      </c>
      <c r="F2590" s="15" t="str">
        <f>IF(ISBLANK(Raw_Data!F2590),AVERAGE(Raw_Data!F$2:F$5002),Raw_Data!F2590)</f>
        <v>21129.99</v>
      </c>
      <c r="G2590" s="14" t="str">
        <f>IF(ISBLANK(Raw_Data!G2590),AVERAGE(Raw_Data!G$2:G$5002),Raw_Data!G2590)</f>
        <v>16181.69</v>
      </c>
      <c r="H2590" s="15" t="str">
        <f t="shared" si="1"/>
        <v>125505.00</v>
      </c>
      <c r="I2590" s="14" t="str">
        <f t="shared" si="2"/>
        <v>109323.00</v>
      </c>
      <c r="J2590" s="16" t="str">
        <f>TEXT(Raw_Data!J2590,"MMM-YYY")</f>
        <v>Dec-2025</v>
      </c>
      <c r="K2590" s="13" t="str">
        <f>Raw_Data!K2590</f>
        <v>5</v>
      </c>
      <c r="L2590" s="17" t="str">
        <f>Raw_Data!L2590</f>
        <v>Jaipur-North</v>
      </c>
      <c r="M2590" s="13" t="str">
        <f t="shared" si="3"/>
        <v>OK</v>
      </c>
      <c r="N2590" s="18" t="str">
        <f t="shared" si="4"/>
        <v>VALID</v>
      </c>
    </row>
    <row r="2591" ht="15.75" customHeight="1">
      <c r="A2591" s="13" t="str">
        <f>Raw_Data!A2591</f>
        <v>EMP2730</v>
      </c>
      <c r="B2591" s="13" t="str">
        <f>TRIM(CLEAN(Raw_Data!B2591))</f>
        <v>Sales</v>
      </c>
      <c r="C2591" s="18" t="s">
        <v>26</v>
      </c>
      <c r="D2591" s="14" t="str">
        <f>IF(ISBLANK(Raw_Data!D2591),AVERAGE(Raw_Data!D$2:D$5002),Raw_Data!D2591)</f>
        <v>77802.20</v>
      </c>
      <c r="E2591" s="15" t="str">
        <f>IF(ISBLANK(Raw_Data!E2591),AVERAGE(Raw_Data!E$2:E$5002),Raw_Data!E2591)</f>
        <v>26588.81</v>
      </c>
      <c r="F2591" s="15" t="str">
        <f>IF(ISBLANK(Raw_Data!F2591),AVERAGE(Raw_Data!F$2:F$5002),Raw_Data!F2591)</f>
        <v>21137.67</v>
      </c>
      <c r="G2591" s="14" t="str">
        <f>IF(ISBLANK(Raw_Data!G2591),AVERAGE(Raw_Data!G$2:G$5002),Raw_Data!G2591)</f>
        <v>16185.09</v>
      </c>
      <c r="H2591" s="15" t="str">
        <f t="shared" si="1"/>
        <v>125529.00</v>
      </c>
      <c r="I2591" s="14" t="str">
        <f t="shared" si="2"/>
        <v>109344.00</v>
      </c>
      <c r="J2591" s="16" t="str">
        <f>TEXT(Raw_Data!J2591,"MMM-YYY")</f>
        <v>Dec-2025</v>
      </c>
      <c r="K2591" s="13" t="str">
        <f>Raw_Data!K2591</f>
        <v>17</v>
      </c>
      <c r="L2591" s="17" t="str">
        <f>Raw_Data!L2591</f>
        <v>Mumbai-HO</v>
      </c>
      <c r="M2591" s="13" t="str">
        <f t="shared" si="3"/>
        <v>OK</v>
      </c>
      <c r="N2591" s="18" t="str">
        <f t="shared" si="4"/>
        <v>VALID</v>
      </c>
    </row>
    <row r="2592" ht="15.75" customHeight="1">
      <c r="A2592" s="13" t="str">
        <f>Raw_Data!A2592</f>
        <v>EMP2732</v>
      </c>
      <c r="B2592" s="13" t="str">
        <f>TRIM(CLEAN(Raw_Data!B2592))</f>
        <v>Marketing</v>
      </c>
      <c r="C2592" s="18" t="s">
        <v>14</v>
      </c>
      <c r="D2592" s="14" t="str">
        <f>IF(ISBLANK(Raw_Data!D2592),AVERAGE(Raw_Data!D$2:D$5002),Raw_Data!D2592)</f>
        <v>77823.97</v>
      </c>
      <c r="E2592" s="15" t="str">
        <f>IF(ISBLANK(Raw_Data!E2592),AVERAGE(Raw_Data!E$2:E$5002),Raw_Data!E2592)</f>
        <v>26598.03</v>
      </c>
      <c r="F2592" s="15" t="str">
        <f>IF(ISBLANK(Raw_Data!F2592),AVERAGE(Raw_Data!F$2:F$5002),Raw_Data!F2592)</f>
        <v>21153.03</v>
      </c>
      <c r="G2592" s="14" t="str">
        <f>IF(ISBLANK(Raw_Data!G2592),AVERAGE(Raw_Data!G$2:G$5002),Raw_Data!G2592)</f>
        <v>16191.89</v>
      </c>
      <c r="H2592" s="15" t="str">
        <f t="shared" si="1"/>
        <v>125575.00</v>
      </c>
      <c r="I2592" s="14" t="str">
        <f t="shared" si="2"/>
        <v>109383.00</v>
      </c>
      <c r="J2592" s="16" t="str">
        <f>TEXT(Raw_Data!J2592,"MMM-YYY")</f>
        <v>Mar-2025</v>
      </c>
      <c r="K2592" s="13" t="str">
        <f>Raw_Data!K2592</f>
        <v>16</v>
      </c>
      <c r="L2592" s="17" t="str">
        <f>Raw_Data!L2592</f>
        <v>Bangalore-South</v>
      </c>
      <c r="M2592" s="13" t="str">
        <f t="shared" si="3"/>
        <v>OK</v>
      </c>
      <c r="N2592" s="18" t="str">
        <f t="shared" si="4"/>
        <v>VALID</v>
      </c>
    </row>
    <row r="2593" ht="15.75" customHeight="1">
      <c r="A2593" s="13" t="str">
        <f>Raw_Data!A2593</f>
        <v>EMP2733</v>
      </c>
      <c r="B2593" s="13" t="str">
        <f>TRIM(CLEAN(Raw_Data!B2593))</f>
        <v>Marketing</v>
      </c>
      <c r="C2593" s="18" t="s">
        <v>14</v>
      </c>
      <c r="D2593" s="14" t="str">
        <f>IF(ISBLANK(Raw_Data!D2593),AVERAGE(Raw_Data!D$2:D$5002),Raw_Data!D2593)</f>
        <v>77834.85</v>
      </c>
      <c r="E2593" s="15" t="str">
        <f>IF(ISBLANK(Raw_Data!E2593),AVERAGE(Raw_Data!E$2:E$5002),Raw_Data!E2593)</f>
        <v>26602.65</v>
      </c>
      <c r="F2593" s="15" t="str">
        <f>IF(ISBLANK(Raw_Data!F2593),AVERAGE(Raw_Data!F$2:F$5002),Raw_Data!F2593)</f>
        <v>21160.71</v>
      </c>
      <c r="G2593" s="14" t="str">
        <f>IF(ISBLANK(Raw_Data!G2593),AVERAGE(Raw_Data!G$2:G$5002),Raw_Data!G2593)</f>
        <v>16195.28</v>
      </c>
      <c r="H2593" s="15" t="str">
        <f t="shared" si="1"/>
        <v>125598.00</v>
      </c>
      <c r="I2593" s="14" t="str">
        <f t="shared" si="2"/>
        <v>109403.00</v>
      </c>
      <c r="J2593" s="16" t="str">
        <f>TEXT(Raw_Data!J2593,"MMM-YYY")</f>
        <v>Sep-2025</v>
      </c>
      <c r="K2593" s="13" t="str">
        <f>Raw_Data!K2593</f>
        <v>7</v>
      </c>
      <c r="L2593" s="17" t="str">
        <f>Raw_Data!L2593</f>
        <v>Chennai-South</v>
      </c>
      <c r="M2593" s="13" t="str">
        <f t="shared" si="3"/>
        <v>OK</v>
      </c>
      <c r="N2593" s="18" t="str">
        <f t="shared" si="4"/>
        <v>VALID</v>
      </c>
    </row>
    <row r="2594" ht="15.75" customHeight="1">
      <c r="A2594" s="13" t="str">
        <f>Raw_Data!A2594</f>
        <v>EMP2734</v>
      </c>
      <c r="B2594" s="13" t="str">
        <f>TRIM(CLEAN(Raw_Data!B2594))</f>
        <v>IT</v>
      </c>
      <c r="C2594" s="18" t="s">
        <v>26</v>
      </c>
      <c r="D2594" s="14" t="str">
        <f>IF(ISBLANK(Raw_Data!D2594),AVERAGE(Raw_Data!D$2:D$5002),Raw_Data!D2594)</f>
        <v>77845.73</v>
      </c>
      <c r="E2594" s="15" t="str">
        <f>IF(ISBLANK(Raw_Data!E2594),AVERAGE(Raw_Data!E$2:E$5002),Raw_Data!E2594)</f>
        <v>26607.26</v>
      </c>
      <c r="F2594" s="15" t="str">
        <f>IF(ISBLANK(Raw_Data!F2594),AVERAGE(Raw_Data!F$2:F$5002),Raw_Data!F2594)</f>
        <v>21168.39</v>
      </c>
      <c r="G2594" s="14" t="str">
        <f>IF(ISBLANK(Raw_Data!G2594),AVERAGE(Raw_Data!G$2:G$5002),Raw_Data!G2594)</f>
        <v>16198.68</v>
      </c>
      <c r="H2594" s="15" t="str">
        <f t="shared" si="1"/>
        <v>125621.00</v>
      </c>
      <c r="I2594" s="14" t="str">
        <f t="shared" si="2"/>
        <v>109422.00</v>
      </c>
      <c r="J2594" s="16" t="str">
        <f>TEXT(Raw_Data!J2594,"MMM-YYY")</f>
        <v>Aug-2025</v>
      </c>
      <c r="K2594" s="13" t="str">
        <f>Raw_Data!K2594</f>
        <v>4</v>
      </c>
      <c r="L2594" s="17" t="str">
        <f>Raw_Data!L2594</f>
        <v>Kolkata-East</v>
      </c>
      <c r="M2594" s="13" t="str">
        <f t="shared" si="3"/>
        <v>OK</v>
      </c>
      <c r="N2594" s="18" t="str">
        <f t="shared" si="4"/>
        <v>VALID</v>
      </c>
    </row>
    <row r="2595" ht="15.75" customHeight="1">
      <c r="A2595" s="13" t="str">
        <f>Raw_Data!A2595</f>
        <v>EMP2735</v>
      </c>
      <c r="B2595" s="13" t="str">
        <f>TRIM(CLEAN(Raw_Data!B2595))</f>
        <v>Sales</v>
      </c>
      <c r="C2595" s="18" t="s">
        <v>26</v>
      </c>
      <c r="D2595" s="14" t="str">
        <f>IF(ISBLANK(Raw_Data!D2595),AVERAGE(Raw_Data!D$2:D$5002),Raw_Data!D2595)</f>
        <v>77856.62</v>
      </c>
      <c r="E2595" s="15" t="str">
        <f>IF(ISBLANK(Raw_Data!E2595),AVERAGE(Raw_Data!E$2:E$5002),Raw_Data!E2595)</f>
        <v>26611.88</v>
      </c>
      <c r="F2595" s="15" t="str">
        <f>IF(ISBLANK(Raw_Data!F2595),AVERAGE(Raw_Data!F$2:F$5002),Raw_Data!F2595)</f>
        <v>21176.07</v>
      </c>
      <c r="G2595" s="14" t="str">
        <f>IF(ISBLANK(Raw_Data!G2595),AVERAGE(Raw_Data!G$2:G$5002),Raw_Data!G2595)</f>
        <v>16202.08</v>
      </c>
      <c r="H2595" s="15" t="str">
        <f t="shared" si="1"/>
        <v>125645.00</v>
      </c>
      <c r="I2595" s="14" t="str">
        <f t="shared" si="2"/>
        <v>109443.00</v>
      </c>
      <c r="J2595" s="16" t="str">
        <f>TEXT(Raw_Data!J2595,"MMM-YYY")</f>
        <v>Sep-2025</v>
      </c>
      <c r="K2595" s="13" t="str">
        <f>Raw_Data!K2595</f>
        <v>15</v>
      </c>
      <c r="L2595" s="17" t="str">
        <f>Raw_Data!L2595</f>
        <v>Pune-West</v>
      </c>
      <c r="M2595" s="13" t="str">
        <f t="shared" si="3"/>
        <v>OK</v>
      </c>
      <c r="N2595" s="18" t="str">
        <f t="shared" si="4"/>
        <v>VALID</v>
      </c>
    </row>
    <row r="2596" ht="15.75" customHeight="1">
      <c r="A2596" s="13" t="str">
        <f>Raw_Data!A2596</f>
        <v>EMP2736</v>
      </c>
      <c r="B2596" s="13" t="str">
        <f>TRIM(CLEAN(Raw_Data!B2596))</f>
        <v>Finance</v>
      </c>
      <c r="C2596" s="18" t="s">
        <v>54</v>
      </c>
      <c r="D2596" s="14" t="str">
        <f>IF(ISBLANK(Raw_Data!D2596),AVERAGE(Raw_Data!D$2:D$5002),Raw_Data!D2596)</f>
        <v>77867.50</v>
      </c>
      <c r="E2596" s="15" t="str">
        <f>IF(ISBLANK(Raw_Data!E2596),AVERAGE(Raw_Data!E$2:E$5002),Raw_Data!E2596)</f>
        <v>26616.49</v>
      </c>
      <c r="F2596" s="15" t="str">
        <f>IF(ISBLANK(Raw_Data!F2596),AVERAGE(Raw_Data!F$2:F$5002),Raw_Data!F2596)</f>
        <v>21183.75</v>
      </c>
      <c r="G2596" s="14" t="str">
        <f>IF(ISBLANK(Raw_Data!G2596),AVERAGE(Raw_Data!G$2:G$5002),Raw_Data!G2596)</f>
        <v>16205.48</v>
      </c>
      <c r="H2596" s="15" t="str">
        <f t="shared" si="1"/>
        <v>125668.00</v>
      </c>
      <c r="I2596" s="14" t="str">
        <f t="shared" si="2"/>
        <v>109463.00</v>
      </c>
      <c r="J2596" s="16" t="str">
        <f>TEXT(Raw_Data!J2596,"MMM-YYY")</f>
        <v>Dec-2025</v>
      </c>
      <c r="K2596" s="13" t="str">
        <f>Raw_Data!K2596</f>
        <v>6</v>
      </c>
      <c r="L2596" s="17" t="str">
        <f>Raw_Data!L2596</f>
        <v>Hyderabad-South</v>
      </c>
      <c r="M2596" s="13" t="str">
        <f t="shared" si="3"/>
        <v>OK</v>
      </c>
      <c r="N2596" s="18" t="str">
        <f t="shared" si="4"/>
        <v>VALID</v>
      </c>
    </row>
    <row r="2597" ht="15.75" customHeight="1">
      <c r="A2597" s="13" t="str">
        <f>Raw_Data!A2597</f>
        <v>EMP2737</v>
      </c>
      <c r="B2597" s="13" t="str">
        <f>TRIM(CLEAN(Raw_Data!B2597))</f>
        <v>HR</v>
      </c>
      <c r="C2597" s="18" t="s">
        <v>18</v>
      </c>
      <c r="D2597" s="14" t="str">
        <f>IF(ISBLANK(Raw_Data!D2597),AVERAGE(Raw_Data!D$2:D$5002),Raw_Data!D2597)</f>
        <v>77878.38</v>
      </c>
      <c r="E2597" s="15" t="str">
        <f>IF(ISBLANK(Raw_Data!E2597),AVERAGE(Raw_Data!E$2:E$5002),Raw_Data!E2597)</f>
        <v>26621.11</v>
      </c>
      <c r="F2597" s="15" t="str">
        <f>IF(ISBLANK(Raw_Data!F2597),AVERAGE(Raw_Data!F$2:F$5002),Raw_Data!F2597)</f>
        <v>21191.43</v>
      </c>
      <c r="G2597" s="14" t="str">
        <f>IF(ISBLANK(Raw_Data!G2597),AVERAGE(Raw_Data!G$2:G$5002),Raw_Data!G2597)</f>
        <v>16208.88</v>
      </c>
      <c r="H2597" s="15" t="str">
        <f t="shared" si="1"/>
        <v>125691.00</v>
      </c>
      <c r="I2597" s="14" t="str">
        <f t="shared" si="2"/>
        <v>109482.00</v>
      </c>
      <c r="J2597" s="16" t="str">
        <f>TEXT(Raw_Data!J2597,"MMM-YYY")</f>
        <v>Feb-2025</v>
      </c>
      <c r="K2597" s="13" t="str">
        <f>Raw_Data!K2597</f>
        <v>14</v>
      </c>
      <c r="L2597" s="17" t="str">
        <f>Raw_Data!L2597</f>
        <v>Chandigarh-North</v>
      </c>
      <c r="M2597" s="13" t="str">
        <f t="shared" si="3"/>
        <v>OK</v>
      </c>
      <c r="N2597" s="18" t="str">
        <f t="shared" si="4"/>
        <v>VALID</v>
      </c>
    </row>
    <row r="2598" ht="15.75" customHeight="1">
      <c r="A2598" s="13" t="str">
        <f>Raw_Data!A2598</f>
        <v>EMP2738</v>
      </c>
      <c r="B2598" s="13" t="str">
        <f>TRIM(CLEAN(Raw_Data!B2598))</f>
        <v>Finance</v>
      </c>
      <c r="C2598" s="18" t="s">
        <v>37</v>
      </c>
      <c r="D2598" s="14" t="str">
        <f>IF(ISBLANK(Raw_Data!D2598),AVERAGE(Raw_Data!D$2:D$5002),Raw_Data!D2598)</f>
        <v>77889.27</v>
      </c>
      <c r="E2598" s="15" t="str">
        <f>IF(ISBLANK(Raw_Data!E2598),AVERAGE(Raw_Data!E$2:E$5002),Raw_Data!E2598)</f>
        <v>26625.72</v>
      </c>
      <c r="F2598" s="15" t="str">
        <f>IF(ISBLANK(Raw_Data!F2598),AVERAGE(Raw_Data!F$2:F$5002),Raw_Data!F2598)</f>
        <v>21199.11</v>
      </c>
      <c r="G2598" s="14" t="str">
        <f>IF(ISBLANK(Raw_Data!G2598),AVERAGE(Raw_Data!G$2:G$5002),Raw_Data!G2598)</f>
        <v>16212.27</v>
      </c>
      <c r="H2598" s="15" t="str">
        <f t="shared" si="1"/>
        <v>125714.00</v>
      </c>
      <c r="I2598" s="14" t="str">
        <f t="shared" si="2"/>
        <v>109502.00</v>
      </c>
      <c r="J2598" s="16" t="str">
        <f>TEXT(Raw_Data!J2598,"MMM-YYY")</f>
        <v>Jun-2025</v>
      </c>
      <c r="K2598" s="13" t="str">
        <f>Raw_Data!K2598</f>
        <v>14</v>
      </c>
      <c r="L2598" s="17" t="str">
        <f>Raw_Data!L2598</f>
        <v>Ahmedabad-West</v>
      </c>
      <c r="M2598" s="13" t="str">
        <f t="shared" si="3"/>
        <v>OK</v>
      </c>
      <c r="N2598" s="18" t="str">
        <f t="shared" si="4"/>
        <v>VALID</v>
      </c>
    </row>
    <row r="2599" ht="15.75" customHeight="1">
      <c r="A2599" s="13" t="str">
        <f>Raw_Data!A2599</f>
        <v>EMP2739</v>
      </c>
      <c r="B2599" s="13" t="str">
        <f>TRIM(CLEAN(Raw_Data!B2599))</f>
        <v>Sales</v>
      </c>
      <c r="C2599" s="18" t="s">
        <v>26</v>
      </c>
      <c r="D2599" s="14" t="str">
        <f>IF(ISBLANK(Raw_Data!D2599),AVERAGE(Raw_Data!D$2:D$5002),Raw_Data!D2599)</f>
        <v>77900.15</v>
      </c>
      <c r="E2599" s="15" t="str">
        <f>IF(ISBLANK(Raw_Data!E2599),AVERAGE(Raw_Data!E$2:E$5002),Raw_Data!E2599)</f>
        <v>26630.34</v>
      </c>
      <c r="F2599" s="15" t="str">
        <f>IF(ISBLANK(Raw_Data!F2599),AVERAGE(Raw_Data!F$2:F$5002),Raw_Data!F2599)</f>
        <v>21206.79</v>
      </c>
      <c r="G2599" s="14" t="str">
        <f>IF(ISBLANK(Raw_Data!G2599),AVERAGE(Raw_Data!G$2:G$5002),Raw_Data!G2599)</f>
        <v>16215.67</v>
      </c>
      <c r="H2599" s="15" t="str">
        <f t="shared" si="1"/>
        <v>125737.00</v>
      </c>
      <c r="I2599" s="14" t="str">
        <f t="shared" si="2"/>
        <v>109521.00</v>
      </c>
      <c r="J2599" s="16" t="str">
        <f>TEXT(Raw_Data!J2599,"MMM-YYY")</f>
        <v>Mar-2025</v>
      </c>
      <c r="K2599" s="13" t="str">
        <f>Raw_Data!K2599</f>
        <v>23</v>
      </c>
      <c r="L2599" s="17" t="str">
        <f>Raw_Data!L2599</f>
        <v>Jaipur-North</v>
      </c>
      <c r="M2599" s="13" t="str">
        <f t="shared" si="3"/>
        <v>OK</v>
      </c>
      <c r="N2599" s="18" t="str">
        <f t="shared" si="4"/>
        <v>VALID</v>
      </c>
    </row>
    <row r="2600" ht="15.75" customHeight="1">
      <c r="A2600" s="13" t="str">
        <f>Raw_Data!A2600</f>
        <v>EMP2740</v>
      </c>
      <c r="B2600" s="13" t="str">
        <f>TRIM(CLEAN(Raw_Data!B2600))</f>
        <v>Finance</v>
      </c>
      <c r="C2600" s="18" t="s">
        <v>30</v>
      </c>
      <c r="D2600" s="14" t="str">
        <f>IF(ISBLANK(Raw_Data!D2600),AVERAGE(Raw_Data!D$2:D$5002),Raw_Data!D2600)</f>
        <v>77911.03</v>
      </c>
      <c r="E2600" s="15" t="str">
        <f>IF(ISBLANK(Raw_Data!E2600),AVERAGE(Raw_Data!E$2:E$5002),Raw_Data!E2600)</f>
        <v>26634.95</v>
      </c>
      <c r="F2600" s="15" t="str">
        <f>IF(ISBLANK(Raw_Data!F2600),AVERAGE(Raw_Data!F$2:F$5002),Raw_Data!F2600)</f>
        <v>21214.47</v>
      </c>
      <c r="G2600" s="14" t="str">
        <f>IF(ISBLANK(Raw_Data!G2600),AVERAGE(Raw_Data!G$2:G$5002),Raw_Data!G2600)</f>
        <v>16219.07</v>
      </c>
      <c r="H2600" s="15" t="str">
        <f t="shared" si="1"/>
        <v>125760.00</v>
      </c>
      <c r="I2600" s="14" t="str">
        <f t="shared" si="2"/>
        <v>109541.00</v>
      </c>
      <c r="J2600" s="16" t="str">
        <f>TEXT(Raw_Data!J2600,"MMM-YYY")</f>
        <v>Mar-2025</v>
      </c>
      <c r="K2600" s="13" t="str">
        <f>Raw_Data!K2600</f>
        <v>11</v>
      </c>
      <c r="L2600" s="17" t="str">
        <f>Raw_Data!L2600</f>
        <v>Mumbai-HO</v>
      </c>
      <c r="M2600" s="13" t="str">
        <f t="shared" si="3"/>
        <v>OK</v>
      </c>
      <c r="N2600" s="18" t="str">
        <f t="shared" si="4"/>
        <v>VALID</v>
      </c>
    </row>
    <row r="2601" ht="15.75" customHeight="1">
      <c r="A2601" s="13" t="str">
        <f>Raw_Data!A2601</f>
        <v>EMP2741</v>
      </c>
      <c r="B2601" s="13" t="str">
        <f>TRIM(CLEAN(Raw_Data!B2601))</f>
        <v>Finance</v>
      </c>
      <c r="C2601" s="18" t="s">
        <v>18</v>
      </c>
      <c r="D2601" s="14" t="str">
        <f>IF(ISBLANK(Raw_Data!D2601),AVERAGE(Raw_Data!D$2:D$5002),Raw_Data!D2601)</f>
        <v>77921.91</v>
      </c>
      <c r="E2601" s="15" t="str">
        <f>IF(ISBLANK(Raw_Data!E2601),AVERAGE(Raw_Data!E$2:E$5002),Raw_Data!E2601)</f>
        <v>26639.57</v>
      </c>
      <c r="F2601" s="15" t="str">
        <f>IF(ISBLANK(Raw_Data!F2601),AVERAGE(Raw_Data!F$2:F$5002),Raw_Data!F2601)</f>
        <v>21222.15</v>
      </c>
      <c r="G2601" s="14" t="str">
        <f>IF(ISBLANK(Raw_Data!G2601),AVERAGE(Raw_Data!G$2:G$5002),Raw_Data!G2601)</f>
        <v>16222.47</v>
      </c>
      <c r="H2601" s="15" t="str">
        <f t="shared" si="1"/>
        <v>125784.00</v>
      </c>
      <c r="I2601" s="14" t="str">
        <f t="shared" si="2"/>
        <v>109562.00</v>
      </c>
      <c r="J2601" s="16" t="str">
        <f>TEXT(Raw_Data!J2601,"MMM-YYY")</f>
        <v>Sep-2025</v>
      </c>
      <c r="K2601" s="13" t="str">
        <f>Raw_Data!K2601</f>
        <v>16</v>
      </c>
      <c r="L2601" s="17" t="str">
        <f>Raw_Data!L2601</f>
        <v>Delhi-North</v>
      </c>
      <c r="M2601" s="13" t="str">
        <f t="shared" si="3"/>
        <v>OK</v>
      </c>
      <c r="N2601" s="18" t="str">
        <f t="shared" si="4"/>
        <v>VALID</v>
      </c>
    </row>
    <row r="2602" ht="15.75" customHeight="1">
      <c r="A2602" s="13" t="str">
        <f>Raw_Data!A2602</f>
        <v>EMP2742</v>
      </c>
      <c r="B2602" s="13" t="str">
        <f>TRIM(CLEAN(Raw_Data!B2602))</f>
        <v>Marketing</v>
      </c>
      <c r="C2602" s="18" t="s">
        <v>33</v>
      </c>
      <c r="D2602" s="14" t="str">
        <f>IF(ISBLANK(Raw_Data!D2602),AVERAGE(Raw_Data!D$2:D$5002),Raw_Data!D2602)</f>
        <v>77932.80</v>
      </c>
      <c r="E2602" s="15" t="str">
        <f>IF(ISBLANK(Raw_Data!E2602),AVERAGE(Raw_Data!E$2:E$5002),Raw_Data!E2602)</f>
        <v>26644.18</v>
      </c>
      <c r="F2602" s="15" t="str">
        <f>IF(ISBLANK(Raw_Data!F2602),AVERAGE(Raw_Data!F$2:F$5002),Raw_Data!F2602)</f>
        <v>21229.83</v>
      </c>
      <c r="G2602" s="14" t="str">
        <f>IF(ISBLANK(Raw_Data!G2602),AVERAGE(Raw_Data!G$2:G$5002),Raw_Data!G2602)</f>
        <v>16225.86</v>
      </c>
      <c r="H2602" s="15" t="str">
        <f t="shared" si="1"/>
        <v>125807.00</v>
      </c>
      <c r="I2602" s="14" t="str">
        <f t="shared" si="2"/>
        <v>109581.00</v>
      </c>
      <c r="J2602" s="16" t="str">
        <f>TEXT(Raw_Data!J2602,"MMM-YYY")</f>
        <v>May-2025</v>
      </c>
      <c r="K2602" s="13" t="str">
        <f>Raw_Data!K2602</f>
        <v>14</v>
      </c>
      <c r="L2602" s="17" t="str">
        <f>Raw_Data!L2602</f>
        <v>Bangalore-South</v>
      </c>
      <c r="M2602" s="13" t="str">
        <f t="shared" si="3"/>
        <v>OK</v>
      </c>
      <c r="N2602" s="18" t="str">
        <f t="shared" si="4"/>
        <v>VALID</v>
      </c>
    </row>
    <row r="2603" ht="15.75" customHeight="1">
      <c r="A2603" s="13" t="str">
        <f>Raw_Data!A2603</f>
        <v>EMP2743</v>
      </c>
      <c r="B2603" s="13" t="str">
        <f>TRIM(CLEAN(Raw_Data!B2603))</f>
        <v>IT</v>
      </c>
      <c r="C2603" s="18" t="s">
        <v>18</v>
      </c>
      <c r="D2603" s="14" t="str">
        <f>IF(ISBLANK(Raw_Data!D2603),AVERAGE(Raw_Data!D$2:D$5002),Raw_Data!D2603)</f>
        <v>77943.68</v>
      </c>
      <c r="E2603" s="15" t="str">
        <f>IF(ISBLANK(Raw_Data!E2603),AVERAGE(Raw_Data!E$2:E$5002),Raw_Data!E2603)</f>
        <v>26648.80</v>
      </c>
      <c r="F2603" s="15" t="str">
        <f>IF(ISBLANK(Raw_Data!F2603),AVERAGE(Raw_Data!F$2:F$5002),Raw_Data!F2603)</f>
        <v>21237.51</v>
      </c>
      <c r="G2603" s="14" t="str">
        <f>IF(ISBLANK(Raw_Data!G2603),AVERAGE(Raw_Data!G$2:G$5002),Raw_Data!G2603)</f>
        <v>16229.26</v>
      </c>
      <c r="H2603" s="15" t="str">
        <f t="shared" si="1"/>
        <v>125830.00</v>
      </c>
      <c r="I2603" s="14" t="str">
        <f t="shared" si="2"/>
        <v>109601.00</v>
      </c>
      <c r="J2603" s="16" t="str">
        <f>TEXT(Raw_Data!J2603,"MMM-YYY")</f>
        <v>Mar-2025</v>
      </c>
      <c r="K2603" s="13" t="str">
        <f>Raw_Data!K2603</f>
        <v>24</v>
      </c>
      <c r="L2603" s="17" t="str">
        <f>Raw_Data!L2603</f>
        <v>Chennai-South</v>
      </c>
      <c r="M2603" s="13" t="str">
        <f t="shared" si="3"/>
        <v>OK</v>
      </c>
      <c r="N2603" s="18" t="str">
        <f t="shared" si="4"/>
        <v>VALID</v>
      </c>
    </row>
    <row r="2604" ht="15.75" customHeight="1">
      <c r="A2604" s="13" t="str">
        <f>Raw_Data!A2604</f>
        <v>EMP2744</v>
      </c>
      <c r="B2604" s="13" t="str">
        <f>TRIM(CLEAN(Raw_Data!B2604))</f>
        <v>IT</v>
      </c>
      <c r="C2604" s="18" t="s">
        <v>30</v>
      </c>
      <c r="D2604" s="14" t="str">
        <f>IF(ISBLANK(Raw_Data!D2604),AVERAGE(Raw_Data!D$2:D$5002),Raw_Data!D2604)</f>
        <v>77954.56</v>
      </c>
      <c r="E2604" s="15" t="str">
        <f>IF(ISBLANK(Raw_Data!E2604),AVERAGE(Raw_Data!E$2:E$5002),Raw_Data!E2604)</f>
        <v>26653.41</v>
      </c>
      <c r="F2604" s="15" t="str">
        <f>IF(ISBLANK(Raw_Data!F2604),AVERAGE(Raw_Data!F$2:F$5002),Raw_Data!F2604)</f>
        <v>21245.19</v>
      </c>
      <c r="G2604" s="14" t="str">
        <f>IF(ISBLANK(Raw_Data!G2604),AVERAGE(Raw_Data!G$2:G$5002),Raw_Data!G2604)</f>
        <v>16232.66</v>
      </c>
      <c r="H2604" s="15" t="str">
        <f t="shared" si="1"/>
        <v>125853.00</v>
      </c>
      <c r="I2604" s="14" t="str">
        <f t="shared" si="2"/>
        <v>109620.00</v>
      </c>
      <c r="J2604" s="16" t="str">
        <f>TEXT(Raw_Data!J2604,"MMM-YYY")</f>
        <v>Oct-2025</v>
      </c>
      <c r="K2604" s="13" t="str">
        <f>Raw_Data!K2604</f>
        <v>6</v>
      </c>
      <c r="L2604" s="17" t="str">
        <f>Raw_Data!L2604</f>
        <v>Kolkata-East</v>
      </c>
      <c r="M2604" s="13" t="str">
        <f t="shared" si="3"/>
        <v>OK</v>
      </c>
      <c r="N2604" s="18" t="str">
        <f t="shared" si="4"/>
        <v>VALID</v>
      </c>
    </row>
    <row r="2605" ht="15.75" customHeight="1">
      <c r="A2605" s="13" t="str">
        <f>Raw_Data!A2605</f>
        <v>EMP2745</v>
      </c>
      <c r="B2605" s="13" t="str">
        <f>TRIM(CLEAN(Raw_Data!B2605))</f>
        <v>Finance</v>
      </c>
      <c r="C2605" s="18" t="s">
        <v>37</v>
      </c>
      <c r="D2605" s="14" t="str">
        <f>IF(ISBLANK(Raw_Data!D2605),AVERAGE(Raw_Data!D$2:D$5002),Raw_Data!D2605)</f>
        <v>77965.45</v>
      </c>
      <c r="E2605" s="15" t="str">
        <f>IF(ISBLANK(Raw_Data!E2605),AVERAGE(Raw_Data!E$2:E$5002),Raw_Data!E2605)</f>
        <v>26658.03</v>
      </c>
      <c r="F2605" s="15" t="str">
        <f>IF(ISBLANK(Raw_Data!F2605),AVERAGE(Raw_Data!F$2:F$5002),Raw_Data!F2605)</f>
        <v>21252.87</v>
      </c>
      <c r="G2605" s="14" t="str">
        <f>IF(ISBLANK(Raw_Data!G2605),AVERAGE(Raw_Data!G$2:G$5002),Raw_Data!G2605)</f>
        <v>16236.06</v>
      </c>
      <c r="H2605" s="15" t="str">
        <f t="shared" si="1"/>
        <v>125876.00</v>
      </c>
      <c r="I2605" s="14" t="str">
        <f t="shared" si="2"/>
        <v>109640.00</v>
      </c>
      <c r="J2605" s="16" t="str">
        <f>TEXT(Raw_Data!J2605,"MMM-YYY")</f>
        <v>Feb-2025</v>
      </c>
      <c r="K2605" s="13" t="str">
        <f>Raw_Data!K2605</f>
        <v>4</v>
      </c>
      <c r="L2605" s="17" t="str">
        <f>Raw_Data!L2605</f>
        <v>Pune-West</v>
      </c>
      <c r="M2605" s="13" t="str">
        <f t="shared" si="3"/>
        <v>OK</v>
      </c>
      <c r="N2605" s="18" t="str">
        <f t="shared" si="4"/>
        <v>VALID</v>
      </c>
    </row>
    <row r="2606" ht="15.75" customHeight="1">
      <c r="A2606" s="13" t="str">
        <f>Raw_Data!A2606</f>
        <v>EMP2746</v>
      </c>
      <c r="B2606" s="13" t="str">
        <f>TRIM(CLEAN(Raw_Data!B2606))</f>
        <v>Operations</v>
      </c>
      <c r="C2606" s="18" t="s">
        <v>33</v>
      </c>
      <c r="D2606" s="14" t="str">
        <f>IF(ISBLANK(Raw_Data!D2606),AVERAGE(Raw_Data!D$2:D$5002),Raw_Data!D2606)</f>
        <v>77976.33</v>
      </c>
      <c r="E2606" s="15" t="str">
        <f>IF(ISBLANK(Raw_Data!E2606),AVERAGE(Raw_Data!E$2:E$5002),Raw_Data!E2606)</f>
        <v>26662.64</v>
      </c>
      <c r="F2606" s="15" t="str">
        <f>IF(ISBLANK(Raw_Data!F2606),AVERAGE(Raw_Data!F$2:F$5002),Raw_Data!F2606)</f>
        <v>21260.55</v>
      </c>
      <c r="G2606" s="14" t="str">
        <f>IF(ISBLANK(Raw_Data!G2606),AVERAGE(Raw_Data!G$2:G$5002),Raw_Data!G2606)</f>
        <v>16239.45</v>
      </c>
      <c r="H2606" s="15" t="str">
        <f t="shared" si="1"/>
        <v>125900.00</v>
      </c>
      <c r="I2606" s="14" t="str">
        <f t="shared" si="2"/>
        <v>109661.00</v>
      </c>
      <c r="J2606" s="16" t="str">
        <f>TEXT(Raw_Data!J2606,"MMM-YYY")</f>
        <v>Oct-2025</v>
      </c>
      <c r="K2606" s="13" t="str">
        <f>Raw_Data!K2606</f>
        <v>3</v>
      </c>
      <c r="L2606" s="17" t="str">
        <f>Raw_Data!L2606</f>
        <v>Hyderabad-South</v>
      </c>
      <c r="M2606" s="13" t="str">
        <f t="shared" si="3"/>
        <v>OK</v>
      </c>
      <c r="N2606" s="18" t="str">
        <f t="shared" si="4"/>
        <v>VALID</v>
      </c>
    </row>
    <row r="2607" ht="15.75" customHeight="1">
      <c r="A2607" s="13" t="str">
        <f>Raw_Data!A2607</f>
        <v>EMP2747</v>
      </c>
      <c r="B2607" s="13" t="str">
        <f>TRIM(CLEAN(Raw_Data!B2607))</f>
        <v>IT</v>
      </c>
      <c r="C2607" s="18" t="s">
        <v>33</v>
      </c>
      <c r="D2607" s="14" t="str">
        <f>IF(ISBLANK(Raw_Data!D2607),AVERAGE(Raw_Data!D$2:D$5002),Raw_Data!D2607)</f>
        <v>77987.21</v>
      </c>
      <c r="E2607" s="15" t="str">
        <f>IF(ISBLANK(Raw_Data!E2607),AVERAGE(Raw_Data!E$2:E$5002),Raw_Data!E2607)</f>
        <v>26667.26</v>
      </c>
      <c r="F2607" s="15" t="str">
        <f>IF(ISBLANK(Raw_Data!F2607),AVERAGE(Raw_Data!F$2:F$5002),Raw_Data!F2607)</f>
        <v>21268.23</v>
      </c>
      <c r="G2607" s="14" t="str">
        <f>IF(ISBLANK(Raw_Data!G2607),AVERAGE(Raw_Data!G$2:G$5002),Raw_Data!G2607)</f>
        <v>16242.85</v>
      </c>
      <c r="H2607" s="15" t="str">
        <f t="shared" si="1"/>
        <v>125923.00</v>
      </c>
      <c r="I2607" s="14" t="str">
        <f t="shared" si="2"/>
        <v>109680.00</v>
      </c>
      <c r="J2607" s="16" t="str">
        <f>TEXT(Raw_Data!J2607,"MMM-YYY")</f>
        <v>May-2025</v>
      </c>
      <c r="K2607" s="13" t="str">
        <f>Raw_Data!K2607</f>
        <v>19</v>
      </c>
      <c r="L2607" s="17" t="str">
        <f>Raw_Data!L2607</f>
        <v>Chandigarh-North</v>
      </c>
      <c r="M2607" s="13" t="str">
        <f t="shared" si="3"/>
        <v>OK</v>
      </c>
      <c r="N2607" s="18" t="str">
        <f t="shared" si="4"/>
        <v>VALID</v>
      </c>
    </row>
    <row r="2608" ht="15.75" customHeight="1">
      <c r="A2608" s="13" t="str">
        <f>Raw_Data!A2608</f>
        <v>EMP2748</v>
      </c>
      <c r="B2608" s="13" t="str">
        <f>TRIM(CLEAN(Raw_Data!B2608))</f>
        <v>HR</v>
      </c>
      <c r="C2608" s="18" t="s">
        <v>54</v>
      </c>
      <c r="D2608" s="14" t="str">
        <f>IF(ISBLANK(Raw_Data!D2608),AVERAGE(Raw_Data!D$2:D$5002),Raw_Data!D2608)</f>
        <v>71831.17</v>
      </c>
      <c r="E2608" s="15" t="str">
        <f>IF(ISBLANK(Raw_Data!E2608),AVERAGE(Raw_Data!E$2:E$5002),Raw_Data!E2608)</f>
        <v>26671.87</v>
      </c>
      <c r="F2608" s="15" t="str">
        <f>IF(ISBLANK(Raw_Data!F2608),AVERAGE(Raw_Data!F$2:F$5002),Raw_Data!F2608)</f>
        <v>21275.91</v>
      </c>
      <c r="G2608" s="14" t="str">
        <f>IF(ISBLANK(Raw_Data!G2608),AVERAGE(Raw_Data!G$2:G$5002),Raw_Data!G2608)</f>
        <v>16246.25</v>
      </c>
      <c r="H2608" s="15" t="str">
        <f t="shared" si="1"/>
        <v>119779.00</v>
      </c>
      <c r="I2608" s="14" t="str">
        <f t="shared" si="2"/>
        <v>103533.00</v>
      </c>
      <c r="J2608" s="16" t="str">
        <f>TEXT(Raw_Data!J2608,"MMM-YYY")</f>
        <v>May-2025</v>
      </c>
      <c r="K2608" s="13" t="str">
        <f>Raw_Data!K2608</f>
        <v>16</v>
      </c>
      <c r="L2608" s="17" t="str">
        <f>Raw_Data!L2608</f>
        <v>Ahmedabad-West</v>
      </c>
      <c r="M2608" s="13" t="str">
        <f t="shared" si="3"/>
        <v>OK</v>
      </c>
      <c r="N2608" s="18" t="str">
        <f t="shared" si="4"/>
        <v>VALID</v>
      </c>
    </row>
    <row r="2609" ht="15.75" customHeight="1">
      <c r="A2609" s="13" t="str">
        <f>Raw_Data!A2609</f>
        <v>EMP2749</v>
      </c>
      <c r="B2609" s="13" t="str">
        <f>TRIM(CLEAN(Raw_Data!B2609))</f>
        <v>Marketing</v>
      </c>
      <c r="C2609" s="18" t="s">
        <v>33</v>
      </c>
      <c r="D2609" s="14" t="str">
        <f>IF(ISBLANK(Raw_Data!D2609),AVERAGE(Raw_Data!D$2:D$5002),Raw_Data!D2609)</f>
        <v>78008.98</v>
      </c>
      <c r="E2609" s="15" t="str">
        <f>IF(ISBLANK(Raw_Data!E2609),AVERAGE(Raw_Data!E$2:E$5002),Raw_Data!E2609)</f>
        <v>26676.48</v>
      </c>
      <c r="F2609" s="15" t="str">
        <f>IF(ISBLANK(Raw_Data!F2609),AVERAGE(Raw_Data!F$2:F$5002),Raw_Data!F2609)</f>
        <v>21283.59</v>
      </c>
      <c r="G2609" s="14" t="str">
        <f>IF(ISBLANK(Raw_Data!G2609),AVERAGE(Raw_Data!G$2:G$5002),Raw_Data!G2609)</f>
        <v>16249.65</v>
      </c>
      <c r="H2609" s="15" t="str">
        <f t="shared" si="1"/>
        <v>125969.00</v>
      </c>
      <c r="I2609" s="14" t="str">
        <f t="shared" si="2"/>
        <v>109719.00</v>
      </c>
      <c r="J2609" s="16" t="str">
        <f>TEXT(Raw_Data!J2609,"MMM-YYY")</f>
        <v>Aug-2025</v>
      </c>
      <c r="K2609" s="13" t="str">
        <f>Raw_Data!K2609</f>
        <v>25</v>
      </c>
      <c r="L2609" s="17" t="str">
        <f>Raw_Data!L2609</f>
        <v>Jaipur-North</v>
      </c>
      <c r="M2609" s="13" t="str">
        <f t="shared" si="3"/>
        <v>OK</v>
      </c>
      <c r="N2609" s="18" t="str">
        <f t="shared" si="4"/>
        <v>VALID</v>
      </c>
    </row>
    <row r="2610" ht="15.75" customHeight="1">
      <c r="A2610" s="13" t="str">
        <f>Raw_Data!A2610</f>
        <v>EMP2750</v>
      </c>
      <c r="B2610" s="13" t="str">
        <f>TRIM(CLEAN(Raw_Data!B2610))</f>
        <v>Sales</v>
      </c>
      <c r="C2610" s="18" t="s">
        <v>33</v>
      </c>
      <c r="D2610" s="14" t="str">
        <f>IF(ISBLANK(Raw_Data!D2610),AVERAGE(Raw_Data!D$2:D$5002),Raw_Data!D2610)</f>
        <v>78019.86</v>
      </c>
      <c r="E2610" s="15" t="str">
        <f>IF(ISBLANK(Raw_Data!E2610),AVERAGE(Raw_Data!E$2:E$5002),Raw_Data!E2610)</f>
        <v>26681.10</v>
      </c>
      <c r="F2610" s="15" t="str">
        <f>IF(ISBLANK(Raw_Data!F2610),AVERAGE(Raw_Data!F$2:F$5002),Raw_Data!F2610)</f>
        <v>21291.27</v>
      </c>
      <c r="G2610" s="14" t="str">
        <f>IF(ISBLANK(Raw_Data!G2610),AVERAGE(Raw_Data!G$2:G$5002),Raw_Data!G2610)</f>
        <v>16253.04</v>
      </c>
      <c r="H2610" s="15" t="str">
        <f t="shared" si="1"/>
        <v>125992.00</v>
      </c>
      <c r="I2610" s="14" t="str">
        <f t="shared" si="2"/>
        <v>109739.00</v>
      </c>
      <c r="J2610" s="16" t="str">
        <f>TEXT(Raw_Data!J2610,"MMM-YYY")</f>
        <v>Dec-2025</v>
      </c>
      <c r="K2610" s="13" t="str">
        <f>Raw_Data!K2610</f>
        <v>18</v>
      </c>
      <c r="L2610" s="17" t="str">
        <f>Raw_Data!L2610</f>
        <v>Mumbai-HO</v>
      </c>
      <c r="M2610" s="13" t="str">
        <f t="shared" si="3"/>
        <v>OK</v>
      </c>
      <c r="N2610" s="18" t="str">
        <f t="shared" si="4"/>
        <v>VALID</v>
      </c>
    </row>
    <row r="2611" ht="15.75" customHeight="1">
      <c r="A2611" s="13" t="str">
        <f>Raw_Data!A2611</f>
        <v>EMP2751</v>
      </c>
      <c r="B2611" s="13" t="str">
        <f>TRIM(CLEAN(Raw_Data!B2611))</f>
        <v>Marketing</v>
      </c>
      <c r="C2611" s="18" t="s">
        <v>33</v>
      </c>
      <c r="D2611" s="14" t="str">
        <f>IF(ISBLANK(Raw_Data!D2611),AVERAGE(Raw_Data!D$2:D$5002),Raw_Data!D2611)</f>
        <v>78030.74</v>
      </c>
      <c r="E2611" s="15" t="str">
        <f>IF(ISBLANK(Raw_Data!E2611),AVERAGE(Raw_Data!E$2:E$5002),Raw_Data!E2611)</f>
        <v>26685.71</v>
      </c>
      <c r="F2611" s="15" t="str">
        <f>IF(ISBLANK(Raw_Data!F2611),AVERAGE(Raw_Data!F$2:F$5002),Raw_Data!F2611)</f>
        <v>21298.95</v>
      </c>
      <c r="G2611" s="14" t="str">
        <f>IF(ISBLANK(Raw_Data!G2611),AVERAGE(Raw_Data!G$2:G$5002),Raw_Data!G2611)</f>
        <v>16256.44</v>
      </c>
      <c r="H2611" s="15" t="str">
        <f t="shared" si="1"/>
        <v>126015.00</v>
      </c>
      <c r="I2611" s="14" t="str">
        <f t="shared" si="2"/>
        <v>109759.00</v>
      </c>
      <c r="J2611" s="16" t="str">
        <f>TEXT(Raw_Data!J2611,"MMM-YYY")</f>
        <v>Sep-2025</v>
      </c>
      <c r="K2611" s="13" t="str">
        <f>Raw_Data!K2611</f>
        <v>2</v>
      </c>
      <c r="L2611" s="17" t="str">
        <f>Raw_Data!L2611</f>
        <v>Delhi-North</v>
      </c>
      <c r="M2611" s="13" t="str">
        <f t="shared" si="3"/>
        <v>OK</v>
      </c>
      <c r="N2611" s="18" t="str">
        <f t="shared" si="4"/>
        <v>VALID</v>
      </c>
    </row>
    <row r="2612" ht="15.75" customHeight="1">
      <c r="A2612" s="13" t="str">
        <f>Raw_Data!A2612</f>
        <v>EMP2752</v>
      </c>
      <c r="B2612" s="13" t="str">
        <f>TRIM(CLEAN(Raw_Data!B2612))</f>
        <v>Finance</v>
      </c>
      <c r="C2612" s="18" t="s">
        <v>54</v>
      </c>
      <c r="D2612" s="14" t="str">
        <f>IF(ISBLANK(Raw_Data!D2612),AVERAGE(Raw_Data!D$2:D$5002),Raw_Data!D2612)</f>
        <v>78041.63</v>
      </c>
      <c r="E2612" s="15" t="str">
        <f>IF(ISBLANK(Raw_Data!E2612),AVERAGE(Raw_Data!E$2:E$5002),Raw_Data!E2612)</f>
        <v>26690.33</v>
      </c>
      <c r="F2612" s="15" t="str">
        <f>IF(ISBLANK(Raw_Data!F2612),AVERAGE(Raw_Data!F$2:F$5002),Raw_Data!F2612)</f>
        <v>21306.63</v>
      </c>
      <c r="G2612" s="14" t="str">
        <f>IF(ISBLANK(Raw_Data!G2612),AVERAGE(Raw_Data!G$2:G$5002),Raw_Data!G2612)</f>
        <v>16259.84</v>
      </c>
      <c r="H2612" s="15" t="str">
        <f t="shared" si="1"/>
        <v>126039.00</v>
      </c>
      <c r="I2612" s="14" t="str">
        <f t="shared" si="2"/>
        <v>109779.00</v>
      </c>
      <c r="J2612" s="16" t="str">
        <f>TEXT(Raw_Data!J2612,"MMM-YYY")</f>
        <v>Mar-2025</v>
      </c>
      <c r="K2612" s="13" t="str">
        <f>Raw_Data!K2612</f>
        <v>11</v>
      </c>
      <c r="L2612" s="17" t="str">
        <f>Raw_Data!L2612</f>
        <v>Bangalore-South</v>
      </c>
      <c r="M2612" s="13" t="str">
        <f t="shared" si="3"/>
        <v>OK</v>
      </c>
      <c r="N2612" s="18" t="str">
        <f t="shared" si="4"/>
        <v>VALID</v>
      </c>
    </row>
    <row r="2613" ht="15.75" customHeight="1">
      <c r="A2613" s="13" t="str">
        <f>Raw_Data!A2613</f>
        <v>EMP2754</v>
      </c>
      <c r="B2613" s="13" t="str">
        <f>TRIM(CLEAN(Raw_Data!B2613))</f>
        <v>HR</v>
      </c>
      <c r="C2613" s="18" t="s">
        <v>30</v>
      </c>
      <c r="D2613" s="14" t="str">
        <f>IF(ISBLANK(Raw_Data!D2613),AVERAGE(Raw_Data!D$2:D$5002),Raw_Data!D2613)</f>
        <v>78063.39</v>
      </c>
      <c r="E2613" s="15" t="str">
        <f>IF(ISBLANK(Raw_Data!E2613),AVERAGE(Raw_Data!E$2:E$5002),Raw_Data!E2613)</f>
        <v>26699.56</v>
      </c>
      <c r="F2613" s="15" t="str">
        <f>IF(ISBLANK(Raw_Data!F2613),AVERAGE(Raw_Data!F$2:F$5002),Raw_Data!F2613)</f>
        <v>21321.99</v>
      </c>
      <c r="G2613" s="14" t="str">
        <f>IF(ISBLANK(Raw_Data!G2613),AVERAGE(Raw_Data!G$2:G$5002),Raw_Data!G2613)</f>
        <v>16266.63</v>
      </c>
      <c r="H2613" s="15" t="str">
        <f t="shared" si="1"/>
        <v>126085.00</v>
      </c>
      <c r="I2613" s="14" t="str">
        <f t="shared" si="2"/>
        <v>109818.00</v>
      </c>
      <c r="J2613" s="16" t="str">
        <f>TEXT(Raw_Data!J2613,"MMM-YYY")</f>
        <v>Apr-2025</v>
      </c>
      <c r="K2613" s="13" t="str">
        <f>Raw_Data!K2613</f>
        <v>20</v>
      </c>
      <c r="L2613" s="17" t="str">
        <f>Raw_Data!L2613</f>
        <v>Kolkata-East</v>
      </c>
      <c r="M2613" s="13" t="str">
        <f t="shared" si="3"/>
        <v>OK</v>
      </c>
      <c r="N2613" s="18" t="str">
        <f t="shared" si="4"/>
        <v>VALID</v>
      </c>
    </row>
    <row r="2614" ht="15.75" customHeight="1">
      <c r="A2614" s="13" t="str">
        <f>Raw_Data!A2614</f>
        <v>EMP2755</v>
      </c>
      <c r="B2614" s="13" t="str">
        <f>TRIM(CLEAN(Raw_Data!B2614))</f>
        <v>HR</v>
      </c>
      <c r="C2614" s="18" t="s">
        <v>14</v>
      </c>
      <c r="D2614" s="14" t="str">
        <f>IF(ISBLANK(Raw_Data!D2614),AVERAGE(Raw_Data!D$2:D$5002),Raw_Data!D2614)</f>
        <v>78074.28</v>
      </c>
      <c r="E2614" s="15" t="str">
        <f>IF(ISBLANK(Raw_Data!E2614),AVERAGE(Raw_Data!E$2:E$5002),Raw_Data!E2614)</f>
        <v>26704.17</v>
      </c>
      <c r="F2614" s="15" t="str">
        <f>IF(ISBLANK(Raw_Data!F2614),AVERAGE(Raw_Data!F$2:F$5002),Raw_Data!F2614)</f>
        <v>21329.67</v>
      </c>
      <c r="G2614" s="14" t="str">
        <f>IF(ISBLANK(Raw_Data!G2614),AVERAGE(Raw_Data!G$2:G$5002),Raw_Data!G2614)</f>
        <v>16270.03</v>
      </c>
      <c r="H2614" s="15" t="str">
        <f t="shared" si="1"/>
        <v>126108.00</v>
      </c>
      <c r="I2614" s="14" t="str">
        <f t="shared" si="2"/>
        <v>109838.00</v>
      </c>
      <c r="J2614" s="16" t="str">
        <f>TEXT(Raw_Data!J2614,"MMM-YYY")</f>
        <v>May-2025</v>
      </c>
      <c r="K2614" s="13" t="str">
        <f>Raw_Data!K2614</f>
        <v>23</v>
      </c>
      <c r="L2614" s="17" t="str">
        <f>Raw_Data!L2614</f>
        <v>Pune-West</v>
      </c>
      <c r="M2614" s="13" t="str">
        <f t="shared" si="3"/>
        <v>OK</v>
      </c>
      <c r="N2614" s="18" t="str">
        <f t="shared" si="4"/>
        <v>VALID</v>
      </c>
    </row>
    <row r="2615" ht="15.75" customHeight="1">
      <c r="A2615" s="13" t="str">
        <f>Raw_Data!A2615</f>
        <v>EMP2756</v>
      </c>
      <c r="B2615" s="13" t="str">
        <f>TRIM(CLEAN(Raw_Data!B2615))</f>
        <v>Customer Support</v>
      </c>
      <c r="C2615" s="18" t="s">
        <v>14</v>
      </c>
      <c r="D2615" s="14" t="str">
        <f>IF(ISBLANK(Raw_Data!D2615),AVERAGE(Raw_Data!D$2:D$5002),Raw_Data!D2615)</f>
        <v>78085.16</v>
      </c>
      <c r="E2615" s="15" t="str">
        <f>IF(ISBLANK(Raw_Data!E2615),AVERAGE(Raw_Data!E$2:E$5002),Raw_Data!E2615)</f>
        <v>26708.79</v>
      </c>
      <c r="F2615" s="15" t="str">
        <f>IF(ISBLANK(Raw_Data!F2615),AVERAGE(Raw_Data!F$2:F$5002),Raw_Data!F2615)</f>
        <v>21337.35</v>
      </c>
      <c r="G2615" s="14" t="str">
        <f>IF(ISBLANK(Raw_Data!G2615),AVERAGE(Raw_Data!G$2:G$5002),Raw_Data!G2615)</f>
        <v>16273.43</v>
      </c>
      <c r="H2615" s="15" t="str">
        <f t="shared" si="1"/>
        <v>126131.00</v>
      </c>
      <c r="I2615" s="14" t="str">
        <f t="shared" si="2"/>
        <v>109858.00</v>
      </c>
      <c r="J2615" s="16" t="str">
        <f>TEXT(Raw_Data!J2615,"MMM-YYY")</f>
        <v>Apr-2025</v>
      </c>
      <c r="K2615" s="13" t="str">
        <f>Raw_Data!K2615</f>
        <v>15</v>
      </c>
      <c r="L2615" s="17" t="str">
        <f>Raw_Data!L2615</f>
        <v>Hyderabad-South</v>
      </c>
      <c r="M2615" s="13" t="str">
        <f t="shared" si="3"/>
        <v>OK</v>
      </c>
      <c r="N2615" s="18" t="str">
        <f t="shared" si="4"/>
        <v>VALID</v>
      </c>
    </row>
    <row r="2616" ht="15.75" customHeight="1">
      <c r="A2616" s="13" t="str">
        <f>Raw_Data!A2616</f>
        <v>EMP2758</v>
      </c>
      <c r="B2616" s="13" t="str">
        <f>TRIM(CLEAN(Raw_Data!B2616))</f>
        <v>Marketing</v>
      </c>
      <c r="C2616" s="18" t="s">
        <v>30</v>
      </c>
      <c r="D2616" s="14" t="str">
        <f>IF(ISBLANK(Raw_Data!D2616),AVERAGE(Raw_Data!D$2:D$5002),Raw_Data!D2616)</f>
        <v>78106.93</v>
      </c>
      <c r="E2616" s="15" t="str">
        <f>IF(ISBLANK(Raw_Data!E2616),AVERAGE(Raw_Data!E$2:E$5002),Raw_Data!E2616)</f>
        <v>26718.02</v>
      </c>
      <c r="F2616" s="15" t="str">
        <f>IF(ISBLANK(Raw_Data!F2616),AVERAGE(Raw_Data!F$2:F$5002),Raw_Data!F2616)</f>
        <v>21352.71</v>
      </c>
      <c r="G2616" s="14" t="str">
        <f>IF(ISBLANK(Raw_Data!G2616),AVERAGE(Raw_Data!G$2:G$5002),Raw_Data!G2616)</f>
        <v>16280.22</v>
      </c>
      <c r="H2616" s="15" t="str">
        <f t="shared" si="1"/>
        <v>126178.00</v>
      </c>
      <c r="I2616" s="14" t="str">
        <f t="shared" si="2"/>
        <v>109898.00</v>
      </c>
      <c r="J2616" s="16" t="str">
        <f>TEXT(Raw_Data!J2616,"MMM-YYY")</f>
        <v>Mar-2025</v>
      </c>
      <c r="K2616" s="13" t="str">
        <f>Raw_Data!K2616</f>
        <v>17</v>
      </c>
      <c r="L2616" s="17" t="str">
        <f>Raw_Data!L2616</f>
        <v>Ahmedabad-West</v>
      </c>
      <c r="M2616" s="13" t="str">
        <f t="shared" si="3"/>
        <v>OK</v>
      </c>
      <c r="N2616" s="18" t="str">
        <f t="shared" si="4"/>
        <v>VALID</v>
      </c>
    </row>
    <row r="2617" ht="15.75" customHeight="1">
      <c r="A2617" s="13" t="str">
        <f>Raw_Data!A2617</f>
        <v>EMP2759</v>
      </c>
      <c r="B2617" s="13" t="str">
        <f>TRIM(CLEAN(Raw_Data!B2617))</f>
        <v>Finance</v>
      </c>
      <c r="C2617" s="18" t="s">
        <v>37</v>
      </c>
      <c r="D2617" s="14" t="str">
        <f>IF(ISBLANK(Raw_Data!D2617),AVERAGE(Raw_Data!D$2:D$5002),Raw_Data!D2617)</f>
        <v>78117.81</v>
      </c>
      <c r="E2617" s="15" t="str">
        <f>IF(ISBLANK(Raw_Data!E2617),AVERAGE(Raw_Data!E$2:E$5002),Raw_Data!E2617)</f>
        <v>26722.63</v>
      </c>
      <c r="F2617" s="15" t="str">
        <f>IF(ISBLANK(Raw_Data!F2617),AVERAGE(Raw_Data!F$2:F$5002),Raw_Data!F2617)</f>
        <v>21360.39</v>
      </c>
      <c r="G2617" s="14" t="str">
        <f>IF(ISBLANK(Raw_Data!G2617),AVERAGE(Raw_Data!G$2:G$5002),Raw_Data!G2617)</f>
        <v>16283.62</v>
      </c>
      <c r="H2617" s="15" t="str">
        <f t="shared" si="1"/>
        <v>126201.00</v>
      </c>
      <c r="I2617" s="14" t="str">
        <f t="shared" si="2"/>
        <v>109917.00</v>
      </c>
      <c r="J2617" s="16" t="str">
        <f>TEXT(Raw_Data!J2617,"MMM-YYY")</f>
        <v>Jan-2025</v>
      </c>
      <c r="K2617" s="13" t="str">
        <f>Raw_Data!K2617</f>
        <v>8</v>
      </c>
      <c r="L2617" s="17" t="str">
        <f>Raw_Data!L2617</f>
        <v>Jaipur-North</v>
      </c>
      <c r="M2617" s="13" t="str">
        <f t="shared" si="3"/>
        <v>OK</v>
      </c>
      <c r="N2617" s="18" t="str">
        <f t="shared" si="4"/>
        <v>VALID</v>
      </c>
    </row>
    <row r="2618" ht="15.75" customHeight="1">
      <c r="A2618" s="13" t="str">
        <f>Raw_Data!A2618</f>
        <v>EMP2760</v>
      </c>
      <c r="B2618" s="13" t="str">
        <f>TRIM(CLEAN(Raw_Data!B2618))</f>
        <v>Sales</v>
      </c>
      <c r="C2618" s="18" t="s">
        <v>18</v>
      </c>
      <c r="D2618" s="14" t="str">
        <f>IF(ISBLANK(Raw_Data!D2618),AVERAGE(Raw_Data!D$2:D$5002),Raw_Data!D2618)</f>
        <v>78128.69</v>
      </c>
      <c r="E2618" s="15" t="str">
        <f>IF(ISBLANK(Raw_Data!E2618),AVERAGE(Raw_Data!E$2:E$5002),Raw_Data!E2618)</f>
        <v>26727.25</v>
      </c>
      <c r="F2618" s="15" t="str">
        <f>IF(ISBLANK(Raw_Data!F2618),AVERAGE(Raw_Data!F$2:F$5002),Raw_Data!F2618)</f>
        <v>21368.07</v>
      </c>
      <c r="G2618" s="14" t="str">
        <f>IF(ISBLANK(Raw_Data!G2618),AVERAGE(Raw_Data!G$2:G$5002),Raw_Data!G2618)</f>
        <v>16287.02</v>
      </c>
      <c r="H2618" s="15" t="str">
        <f t="shared" si="1"/>
        <v>126224.00</v>
      </c>
      <c r="I2618" s="14" t="str">
        <f t="shared" si="2"/>
        <v>109937.00</v>
      </c>
      <c r="J2618" s="16" t="str">
        <f>TEXT(Raw_Data!J2618,"MMM-YYY")</f>
        <v>Sep-2025</v>
      </c>
      <c r="K2618" s="13" t="str">
        <f>Raw_Data!K2618</f>
        <v>3</v>
      </c>
      <c r="L2618" s="17" t="str">
        <f>Raw_Data!L2618</f>
        <v>Mumbai-HO</v>
      </c>
      <c r="M2618" s="13" t="str">
        <f t="shared" si="3"/>
        <v>OK</v>
      </c>
      <c r="N2618" s="18" t="str">
        <f t="shared" si="4"/>
        <v>VALID</v>
      </c>
    </row>
    <row r="2619" ht="15.75" customHeight="1">
      <c r="A2619" s="13" t="str">
        <f>Raw_Data!A2619</f>
        <v>EMP2761</v>
      </c>
      <c r="B2619" s="13" t="str">
        <f>TRIM(CLEAN(Raw_Data!B2619))</f>
        <v>IT</v>
      </c>
      <c r="C2619" s="18" t="s">
        <v>30</v>
      </c>
      <c r="D2619" s="14" t="str">
        <f>IF(ISBLANK(Raw_Data!D2619),AVERAGE(Raw_Data!D$2:D$5002),Raw_Data!D2619)</f>
        <v>78139.57</v>
      </c>
      <c r="E2619" s="15" t="str">
        <f>IF(ISBLANK(Raw_Data!E2619),AVERAGE(Raw_Data!E$2:E$5002),Raw_Data!E2619)</f>
        <v>26731.86</v>
      </c>
      <c r="F2619" s="15" t="str">
        <f>IF(ISBLANK(Raw_Data!F2619),AVERAGE(Raw_Data!F$2:F$5002),Raw_Data!F2619)</f>
        <v>21375.75</v>
      </c>
      <c r="G2619" s="14" t="str">
        <f>IF(ISBLANK(Raw_Data!G2619),AVERAGE(Raw_Data!G$2:G$5002),Raw_Data!G2619)</f>
        <v>16290.42</v>
      </c>
      <c r="H2619" s="15" t="str">
        <f t="shared" si="1"/>
        <v>126247.00</v>
      </c>
      <c r="I2619" s="14" t="str">
        <f t="shared" si="2"/>
        <v>109957.00</v>
      </c>
      <c r="J2619" s="16" t="str">
        <f>TEXT(Raw_Data!J2619,"MMM-YYY")</f>
        <v>Oct-2025</v>
      </c>
      <c r="K2619" s="13" t="str">
        <f>Raw_Data!K2619</f>
        <v>23</v>
      </c>
      <c r="L2619" s="17" t="str">
        <f>Raw_Data!L2619</f>
        <v>Delhi-North</v>
      </c>
      <c r="M2619" s="13" t="str">
        <f t="shared" si="3"/>
        <v>OK</v>
      </c>
      <c r="N2619" s="18" t="str">
        <f t="shared" si="4"/>
        <v>VALID</v>
      </c>
    </row>
    <row r="2620" ht="15.75" customHeight="1">
      <c r="A2620" s="13" t="str">
        <f>Raw_Data!A2620</f>
        <v>EMP2762</v>
      </c>
      <c r="B2620" s="13" t="str">
        <f>TRIM(CLEAN(Raw_Data!B2620))</f>
        <v>Operations</v>
      </c>
      <c r="C2620" s="18" t="s">
        <v>54</v>
      </c>
      <c r="D2620" s="14" t="str">
        <f>IF(ISBLANK(Raw_Data!D2620),AVERAGE(Raw_Data!D$2:D$5002),Raw_Data!D2620)</f>
        <v>78150.46</v>
      </c>
      <c r="E2620" s="15" t="str">
        <f>IF(ISBLANK(Raw_Data!E2620),AVERAGE(Raw_Data!E$2:E$5002),Raw_Data!E2620)</f>
        <v>26736.48</v>
      </c>
      <c r="F2620" s="15" t="str">
        <f>IF(ISBLANK(Raw_Data!F2620),AVERAGE(Raw_Data!F$2:F$5002),Raw_Data!F2620)</f>
        <v>21383.43</v>
      </c>
      <c r="G2620" s="14" t="str">
        <f>IF(ISBLANK(Raw_Data!G2620),AVERAGE(Raw_Data!G$2:G$5002),Raw_Data!G2620)</f>
        <v>16293.81</v>
      </c>
      <c r="H2620" s="15" t="str">
        <f t="shared" si="1"/>
        <v>126270.00</v>
      </c>
      <c r="I2620" s="14" t="str">
        <f t="shared" si="2"/>
        <v>109976.00</v>
      </c>
      <c r="J2620" s="16" t="str">
        <f>TEXT(Raw_Data!J2620,"MMM-YYY")</f>
        <v>Jun-2025</v>
      </c>
      <c r="K2620" s="13" t="str">
        <f>Raw_Data!K2620</f>
        <v>5</v>
      </c>
      <c r="L2620" s="17" t="str">
        <f>Raw_Data!L2620</f>
        <v>Bangalore-South</v>
      </c>
      <c r="M2620" s="13" t="str">
        <f t="shared" si="3"/>
        <v>OK</v>
      </c>
      <c r="N2620" s="18" t="str">
        <f t="shared" si="4"/>
        <v>VALID</v>
      </c>
    </row>
    <row r="2621" ht="15.75" customHeight="1">
      <c r="A2621" s="13" t="str">
        <f>Raw_Data!A2621</f>
        <v>EMP2763</v>
      </c>
      <c r="B2621" s="13" t="str">
        <f>TRIM(CLEAN(Raw_Data!B2621))</f>
        <v>Marketing</v>
      </c>
      <c r="C2621" s="18" t="s">
        <v>54</v>
      </c>
      <c r="D2621" s="14" t="str">
        <f>IF(ISBLANK(Raw_Data!D2621),AVERAGE(Raw_Data!D$2:D$5002),Raw_Data!D2621)</f>
        <v>78161.34</v>
      </c>
      <c r="E2621" s="15" t="str">
        <f>IF(ISBLANK(Raw_Data!E2621),AVERAGE(Raw_Data!E$2:E$5002),Raw_Data!E2621)</f>
        <v>26741.09</v>
      </c>
      <c r="F2621" s="15" t="str">
        <f>IF(ISBLANK(Raw_Data!F2621),AVERAGE(Raw_Data!F$2:F$5002),Raw_Data!F2621)</f>
        <v>21391.11</v>
      </c>
      <c r="G2621" s="14" t="str">
        <f>IF(ISBLANK(Raw_Data!G2621),AVERAGE(Raw_Data!G$2:G$5002),Raw_Data!G2621)</f>
        <v>16297.21</v>
      </c>
      <c r="H2621" s="15" t="str">
        <f t="shared" si="1"/>
        <v>126294.00</v>
      </c>
      <c r="I2621" s="14" t="str">
        <f t="shared" si="2"/>
        <v>109997.00</v>
      </c>
      <c r="J2621" s="16" t="str">
        <f>TEXT(Raw_Data!J2621,"MMM-YYY")</f>
        <v>Sep-2025</v>
      </c>
      <c r="K2621" s="13" t="str">
        <f>Raw_Data!K2621</f>
        <v>12</v>
      </c>
      <c r="L2621" s="17" t="str">
        <f>Raw_Data!L2621</f>
        <v>Chennai-South</v>
      </c>
      <c r="M2621" s="13" t="str">
        <f t="shared" si="3"/>
        <v>OK</v>
      </c>
      <c r="N2621" s="18" t="str">
        <f t="shared" si="4"/>
        <v>VALID</v>
      </c>
    </row>
    <row r="2622" ht="15.75" customHeight="1">
      <c r="A2622" s="13" t="str">
        <f>Raw_Data!A2622</f>
        <v>EMP2764</v>
      </c>
      <c r="B2622" s="13" t="str">
        <f>TRIM(CLEAN(Raw_Data!B2622))</f>
        <v>HR</v>
      </c>
      <c r="C2622" s="18" t="s">
        <v>33</v>
      </c>
      <c r="D2622" s="14" t="str">
        <f>IF(ISBLANK(Raw_Data!D2622),AVERAGE(Raw_Data!D$2:D$5002),Raw_Data!D2622)</f>
        <v>78172.22</v>
      </c>
      <c r="E2622" s="15" t="str">
        <f>IF(ISBLANK(Raw_Data!E2622),AVERAGE(Raw_Data!E$2:E$5002),Raw_Data!E2622)</f>
        <v>26745.71</v>
      </c>
      <c r="F2622" s="15" t="str">
        <f>IF(ISBLANK(Raw_Data!F2622),AVERAGE(Raw_Data!F$2:F$5002),Raw_Data!F2622)</f>
        <v>21398.79</v>
      </c>
      <c r="G2622" s="14" t="str">
        <f>IF(ISBLANK(Raw_Data!G2622),AVERAGE(Raw_Data!G$2:G$5002),Raw_Data!G2622)</f>
        <v>16300.61</v>
      </c>
      <c r="H2622" s="15" t="str">
        <f t="shared" si="1"/>
        <v>126317.00</v>
      </c>
      <c r="I2622" s="14" t="str">
        <f t="shared" si="2"/>
        <v>110016.00</v>
      </c>
      <c r="J2622" s="16" t="str">
        <f>TEXT(Raw_Data!J2622,"MMM-YYY")</f>
        <v>Jan-2025</v>
      </c>
      <c r="K2622" s="13" t="str">
        <f>Raw_Data!K2622</f>
        <v>17</v>
      </c>
      <c r="L2622" s="17" t="str">
        <f>Raw_Data!L2622</f>
        <v>Kolkata-East</v>
      </c>
      <c r="M2622" s="13" t="str">
        <f t="shared" si="3"/>
        <v>OK</v>
      </c>
      <c r="N2622" s="18" t="str">
        <f t="shared" si="4"/>
        <v>VALID</v>
      </c>
    </row>
    <row r="2623" ht="15.75" customHeight="1">
      <c r="A2623" s="13" t="str">
        <f>Raw_Data!A2623</f>
        <v>EMP2766</v>
      </c>
      <c r="B2623" s="13" t="str">
        <f>TRIM(CLEAN(Raw_Data!B2623))</f>
        <v>HR</v>
      </c>
      <c r="C2623" s="18" t="s">
        <v>54</v>
      </c>
      <c r="D2623" s="14" t="str">
        <f>IF(ISBLANK(Raw_Data!D2623),AVERAGE(Raw_Data!D$2:D$5002),Raw_Data!D2623)</f>
        <v>78193.99</v>
      </c>
      <c r="E2623" s="15" t="str">
        <f>IF(ISBLANK(Raw_Data!E2623),AVERAGE(Raw_Data!E$2:E$5002),Raw_Data!E2623)</f>
        <v>26754.94</v>
      </c>
      <c r="F2623" s="15" t="str">
        <f>IF(ISBLANK(Raw_Data!F2623),AVERAGE(Raw_Data!F$2:F$5002),Raw_Data!F2623)</f>
        <v>21414.15</v>
      </c>
      <c r="G2623" s="14" t="str">
        <f>IF(ISBLANK(Raw_Data!G2623),AVERAGE(Raw_Data!G$2:G$5002),Raw_Data!G2623)</f>
        <v>16307.40</v>
      </c>
      <c r="H2623" s="15" t="str">
        <f t="shared" si="1"/>
        <v>126363.00</v>
      </c>
      <c r="I2623" s="14" t="str">
        <f t="shared" si="2"/>
        <v>110056.00</v>
      </c>
      <c r="J2623" s="16" t="str">
        <f>TEXT(Raw_Data!J2623,"MMM-YYY")</f>
        <v>Oct-2025</v>
      </c>
      <c r="K2623" s="13" t="str">
        <f>Raw_Data!K2623</f>
        <v>1</v>
      </c>
      <c r="L2623" s="17" t="str">
        <f>Raw_Data!L2623</f>
        <v>Hyderabad-South</v>
      </c>
      <c r="M2623" s="13" t="str">
        <f t="shared" si="3"/>
        <v>OK</v>
      </c>
      <c r="N2623" s="18" t="str">
        <f t="shared" si="4"/>
        <v>VALID</v>
      </c>
    </row>
    <row r="2624" ht="15.75" customHeight="1">
      <c r="A2624" s="13" t="str">
        <f>Raw_Data!A2624</f>
        <v>EMP2767</v>
      </c>
      <c r="B2624" s="13" t="str">
        <f>TRIM(CLEAN(Raw_Data!B2624))</f>
        <v>Marketing</v>
      </c>
      <c r="C2624" s="18" t="s">
        <v>14</v>
      </c>
      <c r="D2624" s="14" t="str">
        <f>IF(ISBLANK(Raw_Data!D2624),AVERAGE(Raw_Data!D$2:D$5002),Raw_Data!D2624)</f>
        <v>78204.87</v>
      </c>
      <c r="E2624" s="15" t="str">
        <f>IF(ISBLANK(Raw_Data!E2624),AVERAGE(Raw_Data!E$2:E$5002),Raw_Data!E2624)</f>
        <v>26759.55</v>
      </c>
      <c r="F2624" s="15" t="str">
        <f>IF(ISBLANK(Raw_Data!F2624),AVERAGE(Raw_Data!F$2:F$5002),Raw_Data!F2624)</f>
        <v>21421.83</v>
      </c>
      <c r="G2624" s="14" t="str">
        <f>IF(ISBLANK(Raw_Data!G2624),AVERAGE(Raw_Data!G$2:G$5002),Raw_Data!G2624)</f>
        <v>16310.80</v>
      </c>
      <c r="H2624" s="15" t="str">
        <f t="shared" si="1"/>
        <v>126386.00</v>
      </c>
      <c r="I2624" s="14" t="str">
        <f t="shared" si="2"/>
        <v>110075.00</v>
      </c>
      <c r="J2624" s="16" t="str">
        <f>TEXT(Raw_Data!J2624,"MMM-YYY")</f>
        <v>May-2025</v>
      </c>
      <c r="K2624" s="13" t="str">
        <f>Raw_Data!K2624</f>
        <v>7</v>
      </c>
      <c r="L2624" s="17" t="str">
        <f>Raw_Data!L2624</f>
        <v>Chandigarh-North</v>
      </c>
      <c r="M2624" s="13" t="str">
        <f t="shared" si="3"/>
        <v>OK</v>
      </c>
      <c r="N2624" s="18" t="str">
        <f t="shared" si="4"/>
        <v>VALID</v>
      </c>
    </row>
    <row r="2625" ht="15.75" customHeight="1">
      <c r="A2625" s="13" t="str">
        <f>Raw_Data!A2625</f>
        <v>EMP2768</v>
      </c>
      <c r="B2625" s="13" t="str">
        <f>TRIM(CLEAN(Raw_Data!B2625))</f>
        <v>IT</v>
      </c>
      <c r="C2625" s="18" t="s">
        <v>18</v>
      </c>
      <c r="D2625" s="14" t="str">
        <f>IF(ISBLANK(Raw_Data!D2625),AVERAGE(Raw_Data!D$2:D$5002),Raw_Data!D2625)</f>
        <v>78215.76</v>
      </c>
      <c r="E2625" s="15" t="str">
        <f>IF(ISBLANK(Raw_Data!E2625),AVERAGE(Raw_Data!E$2:E$5002),Raw_Data!E2625)</f>
        <v>26764.16</v>
      </c>
      <c r="F2625" s="15" t="str">
        <f>IF(ISBLANK(Raw_Data!F2625),AVERAGE(Raw_Data!F$2:F$5002),Raw_Data!F2625)</f>
        <v>21429.51</v>
      </c>
      <c r="G2625" s="14" t="str">
        <f>IF(ISBLANK(Raw_Data!G2625),AVERAGE(Raw_Data!G$2:G$5002),Raw_Data!G2625)</f>
        <v>16314.20</v>
      </c>
      <c r="H2625" s="15" t="str">
        <f t="shared" si="1"/>
        <v>126409.00</v>
      </c>
      <c r="I2625" s="14" t="str">
        <f t="shared" si="2"/>
        <v>110095.00</v>
      </c>
      <c r="J2625" s="16" t="str">
        <f>TEXT(Raw_Data!J2625,"MMM-YYY")</f>
        <v>Jul-2025</v>
      </c>
      <c r="K2625" s="13" t="str">
        <f>Raw_Data!K2625</f>
        <v>23</v>
      </c>
      <c r="L2625" s="17" t="str">
        <f>Raw_Data!L2625</f>
        <v>Ahmedabad-West</v>
      </c>
      <c r="M2625" s="13" t="str">
        <f t="shared" si="3"/>
        <v>OK</v>
      </c>
      <c r="N2625" s="18" t="str">
        <f t="shared" si="4"/>
        <v>VALID</v>
      </c>
    </row>
    <row r="2626" ht="15.75" customHeight="1">
      <c r="A2626" s="13" t="str">
        <f>Raw_Data!A2626</f>
        <v>EMP2769</v>
      </c>
      <c r="B2626" s="13" t="str">
        <f>TRIM(CLEAN(Raw_Data!B2626))</f>
        <v>IT</v>
      </c>
      <c r="C2626" s="18" t="s">
        <v>33</v>
      </c>
      <c r="D2626" s="14" t="str">
        <f>IF(ISBLANK(Raw_Data!D2626),AVERAGE(Raw_Data!D$2:D$5002),Raw_Data!D2626)</f>
        <v>78226.64</v>
      </c>
      <c r="E2626" s="15" t="str">
        <f>IF(ISBLANK(Raw_Data!E2626),AVERAGE(Raw_Data!E$2:E$5002),Raw_Data!E2626)</f>
        <v>26768.78</v>
      </c>
      <c r="F2626" s="15" t="str">
        <f>IF(ISBLANK(Raw_Data!F2626),AVERAGE(Raw_Data!F$2:F$5002),Raw_Data!F2626)</f>
        <v>21437.19</v>
      </c>
      <c r="G2626" s="14" t="str">
        <f>IF(ISBLANK(Raw_Data!G2626),AVERAGE(Raw_Data!G$2:G$5002),Raw_Data!G2626)</f>
        <v>16317.60</v>
      </c>
      <c r="H2626" s="15" t="str">
        <f t="shared" si="1"/>
        <v>126433.00</v>
      </c>
      <c r="I2626" s="14" t="str">
        <f t="shared" si="2"/>
        <v>110115.00</v>
      </c>
      <c r="J2626" s="16" t="str">
        <f>TEXT(Raw_Data!J2626,"MMM-YYY")</f>
        <v>Jan-2025</v>
      </c>
      <c r="K2626" s="13" t="str">
        <f>Raw_Data!K2626</f>
        <v>23</v>
      </c>
      <c r="L2626" s="17" t="str">
        <f>Raw_Data!L2626</f>
        <v>Jaipur-North</v>
      </c>
      <c r="M2626" s="13" t="str">
        <f t="shared" si="3"/>
        <v>OK</v>
      </c>
      <c r="N2626" s="18" t="str">
        <f t="shared" si="4"/>
        <v>VALID</v>
      </c>
    </row>
    <row r="2627" ht="15.75" customHeight="1">
      <c r="A2627" s="13" t="str">
        <f>Raw_Data!A2627</f>
        <v>EMP2770</v>
      </c>
      <c r="B2627" s="13" t="str">
        <f>TRIM(CLEAN(Raw_Data!B2627))</f>
        <v>Marketing</v>
      </c>
      <c r="C2627" s="18" t="s">
        <v>18</v>
      </c>
      <c r="D2627" s="14" t="str">
        <f>IF(ISBLANK(Raw_Data!D2627),AVERAGE(Raw_Data!D$2:D$5002),Raw_Data!D2627)</f>
        <v>78237.52</v>
      </c>
      <c r="E2627" s="15" t="str">
        <f>IF(ISBLANK(Raw_Data!E2627),AVERAGE(Raw_Data!E$2:E$5002),Raw_Data!E2627)</f>
        <v>26773.39</v>
      </c>
      <c r="F2627" s="15" t="str">
        <f>IF(ISBLANK(Raw_Data!F2627),AVERAGE(Raw_Data!F$2:F$5002),Raw_Data!F2627)</f>
        <v>21444.87</v>
      </c>
      <c r="G2627" s="14" t="str">
        <f>IF(ISBLANK(Raw_Data!G2627),AVERAGE(Raw_Data!G$2:G$5002),Raw_Data!G2627)</f>
        <v>16320.99</v>
      </c>
      <c r="H2627" s="15" t="str">
        <f t="shared" si="1"/>
        <v>126456.00</v>
      </c>
      <c r="I2627" s="14" t="str">
        <f t="shared" si="2"/>
        <v>110135.00</v>
      </c>
      <c r="J2627" s="16" t="str">
        <f>TEXT(Raw_Data!J2627,"MMM-YYY")</f>
        <v>Oct-2025</v>
      </c>
      <c r="K2627" s="13" t="str">
        <f>Raw_Data!K2627</f>
        <v>14</v>
      </c>
      <c r="L2627" s="17" t="str">
        <f>Raw_Data!L2627</f>
        <v>Mumbai-HO</v>
      </c>
      <c r="M2627" s="13" t="str">
        <f t="shared" si="3"/>
        <v>OK</v>
      </c>
      <c r="N2627" s="18" t="str">
        <f t="shared" si="4"/>
        <v>VALID</v>
      </c>
    </row>
    <row r="2628" ht="15.75" customHeight="1">
      <c r="A2628" s="13" t="str">
        <f>Raw_Data!A2628</f>
        <v>EMP2771</v>
      </c>
      <c r="B2628" s="13" t="str">
        <f>TRIM(CLEAN(Raw_Data!B2628))</f>
        <v>Operations</v>
      </c>
      <c r="C2628" s="18" t="s">
        <v>30</v>
      </c>
      <c r="D2628" s="14" t="str">
        <f>IF(ISBLANK(Raw_Data!D2628),AVERAGE(Raw_Data!D$2:D$5002),Raw_Data!D2628)</f>
        <v>78248.40</v>
      </c>
      <c r="E2628" s="15" t="str">
        <f>IF(ISBLANK(Raw_Data!E2628),AVERAGE(Raw_Data!E$2:E$5002),Raw_Data!E2628)</f>
        <v>26778.01</v>
      </c>
      <c r="F2628" s="15" t="str">
        <f>IF(ISBLANK(Raw_Data!F2628),AVERAGE(Raw_Data!F$2:F$5002),Raw_Data!F2628)</f>
        <v>21452.55</v>
      </c>
      <c r="G2628" s="14" t="str">
        <f>IF(ISBLANK(Raw_Data!G2628),AVERAGE(Raw_Data!G$2:G$5002),Raw_Data!G2628)</f>
        <v>16324.39</v>
      </c>
      <c r="H2628" s="15" t="str">
        <f t="shared" si="1"/>
        <v>126479.00</v>
      </c>
      <c r="I2628" s="14" t="str">
        <f t="shared" si="2"/>
        <v>110155.00</v>
      </c>
      <c r="J2628" s="16" t="str">
        <f>TEXT(Raw_Data!J2628,"MMM-YYY")</f>
        <v>Nov-2025</v>
      </c>
      <c r="K2628" s="13" t="str">
        <f>Raw_Data!K2628</f>
        <v>3</v>
      </c>
      <c r="L2628" s="17" t="str">
        <f>Raw_Data!L2628</f>
        <v>Delhi-North</v>
      </c>
      <c r="M2628" s="13" t="str">
        <f t="shared" si="3"/>
        <v>OK</v>
      </c>
      <c r="N2628" s="18" t="str">
        <f t="shared" si="4"/>
        <v>VALID</v>
      </c>
    </row>
    <row r="2629" ht="15.75" customHeight="1">
      <c r="A2629" s="13" t="str">
        <f>Raw_Data!A2629</f>
        <v>EMP2772</v>
      </c>
      <c r="B2629" s="13" t="str">
        <f>TRIM(CLEAN(Raw_Data!B2629))</f>
        <v>Operations</v>
      </c>
      <c r="C2629" s="18" t="s">
        <v>18</v>
      </c>
      <c r="D2629" s="14" t="str">
        <f>IF(ISBLANK(Raw_Data!D2629),AVERAGE(Raw_Data!D$2:D$5002),Raw_Data!D2629)</f>
        <v>78259.29</v>
      </c>
      <c r="E2629" s="15" t="str">
        <f>IF(ISBLANK(Raw_Data!E2629),AVERAGE(Raw_Data!E$2:E$5002),Raw_Data!E2629)</f>
        <v>26782.62</v>
      </c>
      <c r="F2629" s="15" t="str">
        <f>IF(ISBLANK(Raw_Data!F2629),AVERAGE(Raw_Data!F$2:F$5002),Raw_Data!F2629)</f>
        <v>21460.23</v>
      </c>
      <c r="G2629" s="14" t="str">
        <f>IF(ISBLANK(Raw_Data!G2629),AVERAGE(Raw_Data!G$2:G$5002),Raw_Data!G2629)</f>
        <v>16327.79</v>
      </c>
      <c r="H2629" s="15" t="str">
        <f t="shared" si="1"/>
        <v>126502.00</v>
      </c>
      <c r="I2629" s="14" t="str">
        <f t="shared" si="2"/>
        <v>110174.00</v>
      </c>
      <c r="J2629" s="16" t="str">
        <f>TEXT(Raw_Data!J2629,"MMM-YYY")</f>
        <v>Apr-2025</v>
      </c>
      <c r="K2629" s="13" t="str">
        <f>Raw_Data!K2629</f>
        <v>7</v>
      </c>
      <c r="L2629" s="17" t="str">
        <f>Raw_Data!L2629</f>
        <v>Bangalore-South</v>
      </c>
      <c r="M2629" s="13" t="str">
        <f t="shared" si="3"/>
        <v>OK</v>
      </c>
      <c r="N2629" s="18" t="str">
        <f t="shared" si="4"/>
        <v>VALID</v>
      </c>
    </row>
    <row r="2630" ht="15.75" customHeight="1">
      <c r="A2630" s="13" t="str">
        <f>Raw_Data!A2630</f>
        <v>EMP2773</v>
      </c>
      <c r="B2630" s="13" t="str">
        <f>TRIM(CLEAN(Raw_Data!B2630))</f>
        <v>Operations</v>
      </c>
      <c r="C2630" s="18" t="s">
        <v>33</v>
      </c>
      <c r="D2630" s="14" t="str">
        <f>IF(ISBLANK(Raw_Data!D2630),AVERAGE(Raw_Data!D$2:D$5002),Raw_Data!D2630)</f>
        <v>78270.17</v>
      </c>
      <c r="E2630" s="15" t="str">
        <f>IF(ISBLANK(Raw_Data!E2630),AVERAGE(Raw_Data!E$2:E$5002),Raw_Data!E2630)</f>
        <v>26787.24</v>
      </c>
      <c r="F2630" s="15" t="str">
        <f>IF(ISBLANK(Raw_Data!F2630),AVERAGE(Raw_Data!F$2:F$5002),Raw_Data!F2630)</f>
        <v>21467.91</v>
      </c>
      <c r="G2630" s="14" t="str">
        <f>IF(ISBLANK(Raw_Data!G2630),AVERAGE(Raw_Data!G$2:G$5002),Raw_Data!G2630)</f>
        <v>16331.19</v>
      </c>
      <c r="H2630" s="15" t="str">
        <f t="shared" si="1"/>
        <v>126525.00</v>
      </c>
      <c r="I2630" s="14" t="str">
        <f t="shared" si="2"/>
        <v>110194.00</v>
      </c>
      <c r="J2630" s="16" t="str">
        <f>TEXT(Raw_Data!J2630,"MMM-YYY")</f>
        <v>Jun-2025</v>
      </c>
      <c r="K2630" s="13" t="str">
        <f>Raw_Data!K2630</f>
        <v>13</v>
      </c>
      <c r="L2630" s="17" t="str">
        <f>Raw_Data!L2630</f>
        <v>Chennai-South</v>
      </c>
      <c r="M2630" s="13" t="str">
        <f t="shared" si="3"/>
        <v>OK</v>
      </c>
      <c r="N2630" s="18" t="str">
        <f t="shared" si="4"/>
        <v>VALID</v>
      </c>
    </row>
    <row r="2631" ht="15.75" customHeight="1">
      <c r="A2631" s="13" t="str">
        <f>Raw_Data!A2631</f>
        <v>EMP2774</v>
      </c>
      <c r="B2631" s="13" t="str">
        <f>TRIM(CLEAN(Raw_Data!B2631))</f>
        <v>Sales</v>
      </c>
      <c r="C2631" s="18" t="s">
        <v>37</v>
      </c>
      <c r="D2631" s="14" t="str">
        <f>IF(ISBLANK(Raw_Data!D2631),AVERAGE(Raw_Data!D$2:D$5002),Raw_Data!D2631)</f>
        <v>78281.05</v>
      </c>
      <c r="E2631" s="15" t="str">
        <f>IF(ISBLANK(Raw_Data!E2631),AVERAGE(Raw_Data!E$2:E$5002),Raw_Data!E2631)</f>
        <v>26791.85</v>
      </c>
      <c r="F2631" s="15" t="str">
        <f>IF(ISBLANK(Raw_Data!F2631),AVERAGE(Raw_Data!F$2:F$5002),Raw_Data!F2631)</f>
        <v>21475.59</v>
      </c>
      <c r="G2631" s="14" t="str">
        <f>IF(ISBLANK(Raw_Data!G2631),AVERAGE(Raw_Data!G$2:G$5002),Raw_Data!G2631)</f>
        <v>16334.58</v>
      </c>
      <c r="H2631" s="15" t="str">
        <f t="shared" si="1"/>
        <v>126548.00</v>
      </c>
      <c r="I2631" s="14" t="str">
        <f t="shared" si="2"/>
        <v>110213.00</v>
      </c>
      <c r="J2631" s="16" t="str">
        <f>TEXT(Raw_Data!J2631,"MMM-YYY")</f>
        <v>Oct-2025</v>
      </c>
      <c r="K2631" s="13" t="str">
        <f>Raw_Data!K2631</f>
        <v>24</v>
      </c>
      <c r="L2631" s="17" t="str">
        <f>Raw_Data!L2631</f>
        <v>Kolkata-East</v>
      </c>
      <c r="M2631" s="13" t="str">
        <f t="shared" si="3"/>
        <v>OK</v>
      </c>
      <c r="N2631" s="18" t="str">
        <f t="shared" si="4"/>
        <v>VALID</v>
      </c>
    </row>
    <row r="2632" ht="15.75" customHeight="1">
      <c r="A2632" s="13" t="str">
        <f>Raw_Data!A2632</f>
        <v>EMP2775</v>
      </c>
      <c r="B2632" s="13" t="str">
        <f>TRIM(CLEAN(Raw_Data!B2632))</f>
        <v>HR</v>
      </c>
      <c r="C2632" s="18" t="s">
        <v>18</v>
      </c>
      <c r="D2632" s="14" t="str">
        <f>IF(ISBLANK(Raw_Data!D2632),AVERAGE(Raw_Data!D$2:D$5002),Raw_Data!D2632)</f>
        <v>78291.94</v>
      </c>
      <c r="E2632" s="15" t="str">
        <f>IF(ISBLANK(Raw_Data!E2632),AVERAGE(Raw_Data!E$2:E$5002),Raw_Data!E2632)</f>
        <v>26796.47</v>
      </c>
      <c r="F2632" s="15" t="str">
        <f>IF(ISBLANK(Raw_Data!F2632),AVERAGE(Raw_Data!F$2:F$5002),Raw_Data!F2632)</f>
        <v>21483.27</v>
      </c>
      <c r="G2632" s="14" t="str">
        <f>IF(ISBLANK(Raw_Data!G2632),AVERAGE(Raw_Data!G$2:G$5002),Raw_Data!G2632)</f>
        <v>16337.98</v>
      </c>
      <c r="H2632" s="15" t="str">
        <f t="shared" si="1"/>
        <v>126572.00</v>
      </c>
      <c r="I2632" s="14" t="str">
        <f t="shared" si="2"/>
        <v>110234.00</v>
      </c>
      <c r="J2632" s="16" t="str">
        <f>TEXT(Raw_Data!J2632,"MMM-YYY")</f>
        <v>Sep-2025</v>
      </c>
      <c r="K2632" s="13" t="str">
        <f>Raw_Data!K2632</f>
        <v>2</v>
      </c>
      <c r="L2632" s="17" t="str">
        <f>Raw_Data!L2632</f>
        <v>Pune-West</v>
      </c>
      <c r="M2632" s="13" t="str">
        <f t="shared" si="3"/>
        <v>OK</v>
      </c>
      <c r="N2632" s="18" t="str">
        <f t="shared" si="4"/>
        <v>VALID</v>
      </c>
    </row>
    <row r="2633" ht="15.75" customHeight="1">
      <c r="A2633" s="13" t="str">
        <f>Raw_Data!A2633</f>
        <v>EMP2776</v>
      </c>
      <c r="B2633" s="13" t="str">
        <f>TRIM(CLEAN(Raw_Data!B2633))</f>
        <v>Marketing</v>
      </c>
      <c r="C2633" s="18" t="s">
        <v>26</v>
      </c>
      <c r="D2633" s="14" t="str">
        <f>IF(ISBLANK(Raw_Data!D2633),AVERAGE(Raw_Data!D$2:D$5002),Raw_Data!D2633)</f>
        <v>78302.82</v>
      </c>
      <c r="E2633" s="15" t="str">
        <f>IF(ISBLANK(Raw_Data!E2633),AVERAGE(Raw_Data!E$2:E$5002),Raw_Data!E2633)</f>
        <v>26801.08</v>
      </c>
      <c r="F2633" s="15" t="str">
        <f>IF(ISBLANK(Raw_Data!F2633),AVERAGE(Raw_Data!F$2:F$5002),Raw_Data!F2633)</f>
        <v>21490.95</v>
      </c>
      <c r="G2633" s="14" t="str">
        <f>IF(ISBLANK(Raw_Data!G2633),AVERAGE(Raw_Data!G$2:G$5002),Raw_Data!G2633)</f>
        <v>16341.38</v>
      </c>
      <c r="H2633" s="15" t="str">
        <f t="shared" si="1"/>
        <v>126595.00</v>
      </c>
      <c r="I2633" s="14" t="str">
        <f t="shared" si="2"/>
        <v>110254.00</v>
      </c>
      <c r="J2633" s="16" t="str">
        <f>TEXT(Raw_Data!J2633,"MMM-YYY")</f>
        <v>Jun-2025</v>
      </c>
      <c r="K2633" s="13" t="str">
        <f>Raw_Data!K2633</f>
        <v>8</v>
      </c>
      <c r="L2633" s="17" t="str">
        <f>Raw_Data!L2633</f>
        <v>Hyderabad-South</v>
      </c>
      <c r="M2633" s="13" t="str">
        <f t="shared" si="3"/>
        <v>OK</v>
      </c>
      <c r="N2633" s="18" t="str">
        <f t="shared" si="4"/>
        <v>VALID</v>
      </c>
    </row>
    <row r="2634" ht="15.75" customHeight="1">
      <c r="A2634" s="13" t="str">
        <f>Raw_Data!A2634</f>
        <v>EMP2777</v>
      </c>
      <c r="B2634" s="13" t="str">
        <f>TRIM(CLEAN(Raw_Data!B2634))</f>
        <v>Marketing</v>
      </c>
      <c r="C2634" s="18" t="s">
        <v>54</v>
      </c>
      <c r="D2634" s="14" t="str">
        <f>IF(ISBLANK(Raw_Data!D2634),AVERAGE(Raw_Data!D$2:D$5002),Raw_Data!D2634)</f>
        <v>78313.70</v>
      </c>
      <c r="E2634" s="15" t="str">
        <f>IF(ISBLANK(Raw_Data!E2634),AVERAGE(Raw_Data!E$2:E$5002),Raw_Data!E2634)</f>
        <v>26805.70</v>
      </c>
      <c r="F2634" s="15" t="str">
        <f>IF(ISBLANK(Raw_Data!F2634),AVERAGE(Raw_Data!F$2:F$5002),Raw_Data!F2634)</f>
        <v>21498.63</v>
      </c>
      <c r="G2634" s="14" t="str">
        <f>IF(ISBLANK(Raw_Data!G2634),AVERAGE(Raw_Data!G$2:G$5002),Raw_Data!G2634)</f>
        <v>16344.78</v>
      </c>
      <c r="H2634" s="15" t="str">
        <f t="shared" si="1"/>
        <v>126618.00</v>
      </c>
      <c r="I2634" s="14" t="str">
        <f t="shared" si="2"/>
        <v>110273.00</v>
      </c>
      <c r="J2634" s="16" t="str">
        <f>TEXT(Raw_Data!J2634,"MMM-YYY")</f>
        <v>Dec-2025</v>
      </c>
      <c r="K2634" s="13" t="str">
        <f>Raw_Data!K2634</f>
        <v>5</v>
      </c>
      <c r="L2634" s="17" t="str">
        <f>Raw_Data!L2634</f>
        <v>Chandigarh-North</v>
      </c>
      <c r="M2634" s="13" t="str">
        <f t="shared" si="3"/>
        <v>OK</v>
      </c>
      <c r="N2634" s="18" t="str">
        <f t="shared" si="4"/>
        <v>VALID</v>
      </c>
    </row>
    <row r="2635" ht="15.75" customHeight="1">
      <c r="A2635" s="13" t="str">
        <f>Raw_Data!A2635</f>
        <v>EMP2778</v>
      </c>
      <c r="B2635" s="13" t="str">
        <f>TRIM(CLEAN(Raw_Data!B2635))</f>
        <v>Finance</v>
      </c>
      <c r="C2635" s="18" t="s">
        <v>33</v>
      </c>
      <c r="D2635" s="14" t="str">
        <f>IF(ISBLANK(Raw_Data!D2635),AVERAGE(Raw_Data!D$2:D$5002),Raw_Data!D2635)</f>
        <v>78324.58</v>
      </c>
      <c r="E2635" s="15" t="str">
        <f>IF(ISBLANK(Raw_Data!E2635),AVERAGE(Raw_Data!E$2:E$5002),Raw_Data!E2635)</f>
        <v>26810.31</v>
      </c>
      <c r="F2635" s="15" t="str">
        <f>IF(ISBLANK(Raw_Data!F2635),AVERAGE(Raw_Data!F$2:F$5002),Raw_Data!F2635)</f>
        <v>21506.31</v>
      </c>
      <c r="G2635" s="14" t="str">
        <f>IF(ISBLANK(Raw_Data!G2635),AVERAGE(Raw_Data!G$2:G$5002),Raw_Data!G2635)</f>
        <v>16348.17</v>
      </c>
      <c r="H2635" s="15" t="str">
        <f t="shared" si="1"/>
        <v>126641.00</v>
      </c>
      <c r="I2635" s="14" t="str">
        <f t="shared" si="2"/>
        <v>110293.00</v>
      </c>
      <c r="J2635" s="16" t="str">
        <f>TEXT(Raw_Data!J2635,"MMM-YYY")</f>
        <v>Apr-2025</v>
      </c>
      <c r="K2635" s="13" t="str">
        <f>Raw_Data!K2635</f>
        <v>1</v>
      </c>
      <c r="L2635" s="17" t="str">
        <f>Raw_Data!L2635</f>
        <v>Ahmedabad-West</v>
      </c>
      <c r="M2635" s="13" t="str">
        <f t="shared" si="3"/>
        <v>OK</v>
      </c>
      <c r="N2635" s="18" t="str">
        <f t="shared" si="4"/>
        <v>VALID</v>
      </c>
    </row>
    <row r="2636" ht="15.75" customHeight="1">
      <c r="A2636" s="13" t="str">
        <f>Raw_Data!A2636</f>
        <v>EMP2779</v>
      </c>
      <c r="B2636" s="13" t="str">
        <f>TRIM(CLEAN(Raw_Data!B2636))</f>
        <v>Finance</v>
      </c>
      <c r="C2636" s="18" t="s">
        <v>26</v>
      </c>
      <c r="D2636" s="14" t="str">
        <f>IF(ISBLANK(Raw_Data!D2636),AVERAGE(Raw_Data!D$2:D$5002),Raw_Data!D2636)</f>
        <v>78335.47</v>
      </c>
      <c r="E2636" s="15" t="str">
        <f>IF(ISBLANK(Raw_Data!E2636),AVERAGE(Raw_Data!E$2:E$5002),Raw_Data!E2636)</f>
        <v>26814.93</v>
      </c>
      <c r="F2636" s="15" t="str">
        <f>IF(ISBLANK(Raw_Data!F2636),AVERAGE(Raw_Data!F$2:F$5002),Raw_Data!F2636)</f>
        <v>21513.99</v>
      </c>
      <c r="G2636" s="14" t="str">
        <f>IF(ISBLANK(Raw_Data!G2636),AVERAGE(Raw_Data!G$2:G$5002),Raw_Data!G2636)</f>
        <v>16351.57</v>
      </c>
      <c r="H2636" s="15" t="str">
        <f t="shared" si="1"/>
        <v>126664.00</v>
      </c>
      <c r="I2636" s="14" t="str">
        <f t="shared" si="2"/>
        <v>110312.00</v>
      </c>
      <c r="J2636" s="16" t="str">
        <f>TEXT(Raw_Data!J2636,"MMM-YYY")</f>
        <v>May-2025</v>
      </c>
      <c r="K2636" s="13" t="str">
        <f>Raw_Data!K2636</f>
        <v>25</v>
      </c>
      <c r="L2636" s="17" t="str">
        <f>Raw_Data!L2636</f>
        <v>Jaipur-North</v>
      </c>
      <c r="M2636" s="13" t="str">
        <f t="shared" si="3"/>
        <v>OK</v>
      </c>
      <c r="N2636" s="18" t="str">
        <f t="shared" si="4"/>
        <v>VALID</v>
      </c>
    </row>
    <row r="2637" ht="15.75" customHeight="1">
      <c r="A2637" s="13" t="str">
        <f>Raw_Data!A2637</f>
        <v>EMP2780</v>
      </c>
      <c r="B2637" s="13" t="str">
        <f>TRIM(CLEAN(Raw_Data!B2637))</f>
        <v>Sales</v>
      </c>
      <c r="C2637" s="18" t="s">
        <v>14</v>
      </c>
      <c r="D2637" s="14" t="str">
        <f>IF(ISBLANK(Raw_Data!D2637),AVERAGE(Raw_Data!D$2:D$5002),Raw_Data!D2637)</f>
        <v>78346.35</v>
      </c>
      <c r="E2637" s="15" t="str">
        <f>IF(ISBLANK(Raw_Data!E2637),AVERAGE(Raw_Data!E$2:E$5002),Raw_Data!E2637)</f>
        <v>26819.54</v>
      </c>
      <c r="F2637" s="15" t="str">
        <f>IF(ISBLANK(Raw_Data!F2637),AVERAGE(Raw_Data!F$2:F$5002),Raw_Data!F2637)</f>
        <v>21521.67</v>
      </c>
      <c r="G2637" s="14" t="str">
        <f>IF(ISBLANK(Raw_Data!G2637),AVERAGE(Raw_Data!G$2:G$5002),Raw_Data!G2637)</f>
        <v>16354.97</v>
      </c>
      <c r="H2637" s="15" t="str">
        <f t="shared" si="1"/>
        <v>126688.00</v>
      </c>
      <c r="I2637" s="14" t="str">
        <f t="shared" si="2"/>
        <v>110333.00</v>
      </c>
      <c r="J2637" s="16" t="str">
        <f>TEXT(Raw_Data!J2637,"MMM-YYY")</f>
        <v>Sep-2025</v>
      </c>
      <c r="K2637" s="13" t="str">
        <f>Raw_Data!K2637</f>
        <v>16</v>
      </c>
      <c r="L2637" s="17" t="str">
        <f>Raw_Data!L2637</f>
        <v>Mumbai-HO</v>
      </c>
      <c r="M2637" s="13" t="str">
        <f t="shared" si="3"/>
        <v>OK</v>
      </c>
      <c r="N2637" s="18" t="str">
        <f t="shared" si="4"/>
        <v>VALID</v>
      </c>
    </row>
    <row r="2638" ht="15.75" customHeight="1">
      <c r="A2638" s="13" t="str">
        <f>Raw_Data!A2638</f>
        <v>EMP2781</v>
      </c>
      <c r="B2638" s="13" t="str">
        <f>TRIM(CLEAN(Raw_Data!B2638))</f>
        <v>IT</v>
      </c>
      <c r="C2638" s="18" t="s">
        <v>54</v>
      </c>
      <c r="D2638" s="14" t="str">
        <f>IF(ISBLANK(Raw_Data!D2638),AVERAGE(Raw_Data!D$2:D$5002),Raw_Data!D2638)</f>
        <v>78357.23</v>
      </c>
      <c r="E2638" s="15" t="str">
        <f>IF(ISBLANK(Raw_Data!E2638),AVERAGE(Raw_Data!E$2:E$5002),Raw_Data!E2638)</f>
        <v>26824.16</v>
      </c>
      <c r="F2638" s="15" t="str">
        <f>IF(ISBLANK(Raw_Data!F2638),AVERAGE(Raw_Data!F$2:F$5002),Raw_Data!F2638)</f>
        <v>21529.35</v>
      </c>
      <c r="G2638" s="14" t="str">
        <f>IF(ISBLANK(Raw_Data!G2638),AVERAGE(Raw_Data!G$2:G$5002),Raw_Data!G2638)</f>
        <v>16358.37</v>
      </c>
      <c r="H2638" s="15" t="str">
        <f t="shared" si="1"/>
        <v>126711.00</v>
      </c>
      <c r="I2638" s="14" t="str">
        <f t="shared" si="2"/>
        <v>110353.00</v>
      </c>
      <c r="J2638" s="16" t="str">
        <f>TEXT(Raw_Data!J2638,"MMM-YYY")</f>
        <v>Jul-2025</v>
      </c>
      <c r="K2638" s="13" t="str">
        <f>Raw_Data!K2638</f>
        <v>8</v>
      </c>
      <c r="L2638" s="17" t="str">
        <f>Raw_Data!L2638</f>
        <v>Delhi-North</v>
      </c>
      <c r="M2638" s="13" t="str">
        <f t="shared" si="3"/>
        <v>OK</v>
      </c>
      <c r="N2638" s="18" t="str">
        <f t="shared" si="4"/>
        <v>VALID</v>
      </c>
    </row>
    <row r="2639" ht="15.75" customHeight="1">
      <c r="A2639" s="13" t="str">
        <f>Raw_Data!A2639</f>
        <v>EMP2782</v>
      </c>
      <c r="B2639" s="13" t="str">
        <f>TRIM(CLEAN(Raw_Data!B2639))</f>
        <v>Sales</v>
      </c>
      <c r="C2639" s="18" t="s">
        <v>33</v>
      </c>
      <c r="D2639" s="14" t="str">
        <f>IF(ISBLANK(Raw_Data!D2639),AVERAGE(Raw_Data!D$2:D$5002),Raw_Data!D2639)</f>
        <v>78368.12</v>
      </c>
      <c r="E2639" s="15" t="str">
        <f>IF(ISBLANK(Raw_Data!E2639),AVERAGE(Raw_Data!E$2:E$5002),Raw_Data!E2639)</f>
        <v>26828.77</v>
      </c>
      <c r="F2639" s="15" t="str">
        <f>IF(ISBLANK(Raw_Data!F2639),AVERAGE(Raw_Data!F$2:F$5002),Raw_Data!F2639)</f>
        <v>21537.03</v>
      </c>
      <c r="G2639" s="14" t="str">
        <f>IF(ISBLANK(Raw_Data!G2639),AVERAGE(Raw_Data!G$2:G$5002),Raw_Data!G2639)</f>
        <v>16361.76</v>
      </c>
      <c r="H2639" s="15" t="str">
        <f t="shared" si="1"/>
        <v>126734.00</v>
      </c>
      <c r="I2639" s="14" t="str">
        <f t="shared" si="2"/>
        <v>110372.00</v>
      </c>
      <c r="J2639" s="16" t="str">
        <f>TEXT(Raw_Data!J2639,"MMM-YYY")</f>
        <v>Jan-2025</v>
      </c>
      <c r="K2639" s="13" t="str">
        <f>Raw_Data!K2639</f>
        <v>20</v>
      </c>
      <c r="L2639" s="17" t="str">
        <f>Raw_Data!L2639</f>
        <v>Bangalore-South</v>
      </c>
      <c r="M2639" s="13" t="str">
        <f t="shared" si="3"/>
        <v>OK</v>
      </c>
      <c r="N2639" s="18" t="str">
        <f t="shared" si="4"/>
        <v>VALID</v>
      </c>
    </row>
    <row r="2640" ht="15.75" customHeight="1">
      <c r="A2640" s="13" t="str">
        <f>Raw_Data!A2640</f>
        <v>EMP2783</v>
      </c>
      <c r="B2640" s="13" t="str">
        <f>TRIM(CLEAN(Raw_Data!B2640))</f>
        <v>Customer Support</v>
      </c>
      <c r="C2640" s="18" t="s">
        <v>54</v>
      </c>
      <c r="D2640" s="14" t="str">
        <f>IF(ISBLANK(Raw_Data!D2640),AVERAGE(Raw_Data!D$2:D$5002),Raw_Data!D2640)</f>
        <v>78379.00</v>
      </c>
      <c r="E2640" s="15" t="str">
        <f>IF(ISBLANK(Raw_Data!E2640),AVERAGE(Raw_Data!E$2:E$5002),Raw_Data!E2640)</f>
        <v>26833.39</v>
      </c>
      <c r="F2640" s="15" t="str">
        <f>IF(ISBLANK(Raw_Data!F2640),AVERAGE(Raw_Data!F$2:F$5002),Raw_Data!F2640)</f>
        <v>21544.71</v>
      </c>
      <c r="G2640" s="14" t="str">
        <f>IF(ISBLANK(Raw_Data!G2640),AVERAGE(Raw_Data!G$2:G$5002),Raw_Data!G2640)</f>
        <v>16365.16</v>
      </c>
      <c r="H2640" s="15" t="str">
        <f t="shared" si="1"/>
        <v>126757.00</v>
      </c>
      <c r="I2640" s="14" t="str">
        <f t="shared" si="2"/>
        <v>110392.00</v>
      </c>
      <c r="J2640" s="16" t="str">
        <f>TEXT(Raw_Data!J2640,"MMM-YYY")</f>
        <v>Dec-2025</v>
      </c>
      <c r="K2640" s="13" t="str">
        <f>Raw_Data!K2640</f>
        <v>13</v>
      </c>
      <c r="L2640" s="17" t="str">
        <f>Raw_Data!L2640</f>
        <v>Chennai-South</v>
      </c>
      <c r="M2640" s="13" t="str">
        <f t="shared" si="3"/>
        <v>OK</v>
      </c>
      <c r="N2640" s="18" t="str">
        <f t="shared" si="4"/>
        <v>VALID</v>
      </c>
    </row>
    <row r="2641" ht="15.75" customHeight="1">
      <c r="A2641" s="13" t="str">
        <f>Raw_Data!A2641</f>
        <v>EMP2784</v>
      </c>
      <c r="B2641" s="13" t="str">
        <f>TRIM(CLEAN(Raw_Data!B2641))</f>
        <v>Marketing</v>
      </c>
      <c r="C2641" s="18" t="s">
        <v>26</v>
      </c>
      <c r="D2641" s="14" t="str">
        <f>IF(ISBLANK(Raw_Data!D2641),AVERAGE(Raw_Data!D$2:D$5002),Raw_Data!D2641)</f>
        <v>78389.88</v>
      </c>
      <c r="E2641" s="15" t="str">
        <f>IF(ISBLANK(Raw_Data!E2641),AVERAGE(Raw_Data!E$2:E$5002),Raw_Data!E2641)</f>
        <v>26838.00</v>
      </c>
      <c r="F2641" s="15" t="str">
        <f>IF(ISBLANK(Raw_Data!F2641),AVERAGE(Raw_Data!F$2:F$5002),Raw_Data!F2641)</f>
        <v>21552.39</v>
      </c>
      <c r="G2641" s="14" t="str">
        <f>IF(ISBLANK(Raw_Data!G2641),AVERAGE(Raw_Data!G$2:G$5002),Raw_Data!G2641)</f>
        <v>16368.56</v>
      </c>
      <c r="H2641" s="15" t="str">
        <f t="shared" si="1"/>
        <v>126780.00</v>
      </c>
      <c r="I2641" s="14" t="str">
        <f t="shared" si="2"/>
        <v>110411.00</v>
      </c>
      <c r="J2641" s="16" t="str">
        <f>TEXT(Raw_Data!J2641,"MMM-YYY")</f>
        <v>Dec-2025</v>
      </c>
      <c r="K2641" s="13" t="str">
        <f>Raw_Data!K2641</f>
        <v>8</v>
      </c>
      <c r="L2641" s="17" t="str">
        <f>Raw_Data!L2641</f>
        <v>Kolkata-East</v>
      </c>
      <c r="M2641" s="13" t="str">
        <f t="shared" si="3"/>
        <v>OK</v>
      </c>
      <c r="N2641" s="18" t="str">
        <f t="shared" si="4"/>
        <v>VALID</v>
      </c>
    </row>
    <row r="2642" ht="15.75" customHeight="1">
      <c r="A2642" s="13" t="str">
        <f>Raw_Data!A2642</f>
        <v>EMP2785</v>
      </c>
      <c r="B2642" s="13" t="str">
        <f>TRIM(CLEAN(Raw_Data!B2642))</f>
        <v>IT</v>
      </c>
      <c r="C2642" s="18" t="s">
        <v>33</v>
      </c>
      <c r="D2642" s="14" t="str">
        <f>IF(ISBLANK(Raw_Data!D2642),AVERAGE(Raw_Data!D$2:D$5002),Raw_Data!D2642)</f>
        <v>78400.77</v>
      </c>
      <c r="E2642" s="15" t="str">
        <f>IF(ISBLANK(Raw_Data!E2642),AVERAGE(Raw_Data!E$2:E$5002),Raw_Data!E2642)</f>
        <v>26842.61</v>
      </c>
      <c r="F2642" s="15" t="str">
        <f>IF(ISBLANK(Raw_Data!F2642),AVERAGE(Raw_Data!F$2:F$5002),Raw_Data!F2642)</f>
        <v>21560.07</v>
      </c>
      <c r="G2642" s="14" t="str">
        <f>IF(ISBLANK(Raw_Data!G2642),AVERAGE(Raw_Data!G$2:G$5002),Raw_Data!G2642)</f>
        <v>16371.96</v>
      </c>
      <c r="H2642" s="15" t="str">
        <f t="shared" si="1"/>
        <v>126803.00</v>
      </c>
      <c r="I2642" s="14" t="str">
        <f t="shared" si="2"/>
        <v>110431.00</v>
      </c>
      <c r="J2642" s="16" t="str">
        <f>TEXT(Raw_Data!J2642,"MMM-YYY")</f>
        <v>Jan-2025</v>
      </c>
      <c r="K2642" s="13" t="str">
        <f>Raw_Data!K2642</f>
        <v>2</v>
      </c>
      <c r="L2642" s="17" t="str">
        <f>Raw_Data!L2642</f>
        <v>Pune-West</v>
      </c>
      <c r="M2642" s="13" t="str">
        <f t="shared" si="3"/>
        <v>OK</v>
      </c>
      <c r="N2642" s="18" t="str">
        <f t="shared" si="4"/>
        <v>VALID</v>
      </c>
    </row>
    <row r="2643" ht="15.75" customHeight="1">
      <c r="A2643" s="13" t="str">
        <f>Raw_Data!A2643</f>
        <v>EMP2786</v>
      </c>
      <c r="B2643" s="13" t="str">
        <f>TRIM(CLEAN(Raw_Data!B2643))</f>
        <v>Marketing</v>
      </c>
      <c r="C2643" s="18" t="s">
        <v>26</v>
      </c>
      <c r="D2643" s="14" t="str">
        <f>IF(ISBLANK(Raw_Data!D2643),AVERAGE(Raw_Data!D$2:D$5002),Raw_Data!D2643)</f>
        <v>78411.65</v>
      </c>
      <c r="E2643" s="15" t="str">
        <f>IF(ISBLANK(Raw_Data!E2643),AVERAGE(Raw_Data!E$2:E$5002),Raw_Data!E2643)</f>
        <v>26847.23</v>
      </c>
      <c r="F2643" s="15" t="str">
        <f>IF(ISBLANK(Raw_Data!F2643),AVERAGE(Raw_Data!F$2:F$5002),Raw_Data!F2643)</f>
        <v>21567.75</v>
      </c>
      <c r="G2643" s="14" t="str">
        <f>IF(ISBLANK(Raw_Data!G2643),AVERAGE(Raw_Data!G$2:G$5002),Raw_Data!G2643)</f>
        <v>16375.36</v>
      </c>
      <c r="H2643" s="15" t="str">
        <f t="shared" si="1"/>
        <v>126827.00</v>
      </c>
      <c r="I2643" s="14" t="str">
        <f t="shared" si="2"/>
        <v>110452.00</v>
      </c>
      <c r="J2643" s="16" t="str">
        <f>TEXT(Raw_Data!J2643,"MMM-YYY")</f>
        <v>Jun-2025</v>
      </c>
      <c r="K2643" s="13" t="str">
        <f>Raw_Data!K2643</f>
        <v>12</v>
      </c>
      <c r="L2643" s="17" t="str">
        <f>Raw_Data!L2643</f>
        <v>Hyderabad-South</v>
      </c>
      <c r="M2643" s="13" t="str">
        <f t="shared" si="3"/>
        <v>OK</v>
      </c>
      <c r="N2643" s="18" t="str">
        <f t="shared" si="4"/>
        <v>VALID</v>
      </c>
    </row>
    <row r="2644" ht="15.75" customHeight="1">
      <c r="A2644" s="13" t="str">
        <f>Raw_Data!A2644</f>
        <v>EMP2787</v>
      </c>
      <c r="B2644" s="13" t="str">
        <f>TRIM(CLEAN(Raw_Data!B2644))</f>
        <v>IT</v>
      </c>
      <c r="C2644" s="18" t="s">
        <v>54</v>
      </c>
      <c r="D2644" s="14" t="str">
        <f>IF(ISBLANK(Raw_Data!D2644),AVERAGE(Raw_Data!D$2:D$5002),Raw_Data!D2644)</f>
        <v>78422.53</v>
      </c>
      <c r="E2644" s="15" t="str">
        <f>IF(ISBLANK(Raw_Data!E2644),AVERAGE(Raw_Data!E$2:E$5002),Raw_Data!E2644)</f>
        <v>26851.84</v>
      </c>
      <c r="F2644" s="15" t="str">
        <f>IF(ISBLANK(Raw_Data!F2644),AVERAGE(Raw_Data!F$2:F$5002),Raw_Data!F2644)</f>
        <v>21575.43</v>
      </c>
      <c r="G2644" s="14" t="str">
        <f>IF(ISBLANK(Raw_Data!G2644),AVERAGE(Raw_Data!G$2:G$5002),Raw_Data!G2644)</f>
        <v>16378.75</v>
      </c>
      <c r="H2644" s="15" t="str">
        <f t="shared" si="1"/>
        <v>126850.00</v>
      </c>
      <c r="I2644" s="14" t="str">
        <f t="shared" si="2"/>
        <v>110471.00</v>
      </c>
      <c r="J2644" s="16" t="str">
        <f>TEXT(Raw_Data!J2644,"MMM-YYY")</f>
        <v>Sep-2025</v>
      </c>
      <c r="K2644" s="13" t="str">
        <f>Raw_Data!K2644</f>
        <v>24</v>
      </c>
      <c r="L2644" s="17" t="str">
        <f>Raw_Data!L2644</f>
        <v>Chandigarh-North</v>
      </c>
      <c r="M2644" s="13" t="str">
        <f t="shared" si="3"/>
        <v>OK</v>
      </c>
      <c r="N2644" s="18" t="str">
        <f t="shared" si="4"/>
        <v>VALID</v>
      </c>
    </row>
    <row r="2645" ht="15.75" customHeight="1">
      <c r="A2645" s="13" t="str">
        <f>Raw_Data!A2645</f>
        <v>EMP2788</v>
      </c>
      <c r="B2645" s="13" t="str">
        <f>TRIM(CLEAN(Raw_Data!B2645))</f>
        <v>Sales</v>
      </c>
      <c r="C2645" s="18" t="s">
        <v>14</v>
      </c>
      <c r="D2645" s="14" t="str">
        <f>IF(ISBLANK(Raw_Data!D2645),AVERAGE(Raw_Data!D$2:D$5002),Raw_Data!D2645)</f>
        <v>78433.41</v>
      </c>
      <c r="E2645" s="15" t="str">
        <f>IF(ISBLANK(Raw_Data!E2645),AVERAGE(Raw_Data!E$2:E$5002),Raw_Data!E2645)</f>
        <v>26856.46</v>
      </c>
      <c r="F2645" s="15" t="str">
        <f>IF(ISBLANK(Raw_Data!F2645),AVERAGE(Raw_Data!F$2:F$5002),Raw_Data!F2645)</f>
        <v>21583.11</v>
      </c>
      <c r="G2645" s="14" t="str">
        <f>IF(ISBLANK(Raw_Data!G2645),AVERAGE(Raw_Data!G$2:G$5002),Raw_Data!G2645)</f>
        <v>16382.15</v>
      </c>
      <c r="H2645" s="15" t="str">
        <f t="shared" si="1"/>
        <v>126873.00</v>
      </c>
      <c r="I2645" s="14" t="str">
        <f t="shared" si="2"/>
        <v>110491.00</v>
      </c>
      <c r="J2645" s="16" t="str">
        <f>TEXT(Raw_Data!J2645,"MMM-YYY")</f>
        <v>Nov-2025</v>
      </c>
      <c r="K2645" s="13" t="str">
        <f>Raw_Data!K2645</f>
        <v>5</v>
      </c>
      <c r="L2645" s="17" t="str">
        <f>Raw_Data!L2645</f>
        <v>Ahmedabad-West</v>
      </c>
      <c r="M2645" s="13" t="str">
        <f t="shared" si="3"/>
        <v>OK</v>
      </c>
      <c r="N2645" s="18" t="str">
        <f t="shared" si="4"/>
        <v>VALID</v>
      </c>
    </row>
    <row r="2646" ht="15.75" customHeight="1">
      <c r="A2646" s="13" t="str">
        <f>Raw_Data!A2646</f>
        <v>EMP2789</v>
      </c>
      <c r="B2646" s="13" t="str">
        <f>TRIM(CLEAN(Raw_Data!B2646))</f>
        <v>Sales</v>
      </c>
      <c r="C2646" s="18" t="s">
        <v>26</v>
      </c>
      <c r="D2646" s="14" t="str">
        <f>IF(ISBLANK(Raw_Data!D2646),AVERAGE(Raw_Data!D$2:D$5002),Raw_Data!D2646)</f>
        <v>78444.30</v>
      </c>
      <c r="E2646" s="15" t="str">
        <f>IF(ISBLANK(Raw_Data!E2646),AVERAGE(Raw_Data!E$2:E$5002),Raw_Data!E2646)</f>
        <v>26861.07</v>
      </c>
      <c r="F2646" s="15" t="str">
        <f>IF(ISBLANK(Raw_Data!F2646),AVERAGE(Raw_Data!F$2:F$5002),Raw_Data!F2646)</f>
        <v>21590.79</v>
      </c>
      <c r="G2646" s="14" t="str">
        <f>IF(ISBLANK(Raw_Data!G2646),AVERAGE(Raw_Data!G$2:G$5002),Raw_Data!G2646)</f>
        <v>16385.55</v>
      </c>
      <c r="H2646" s="15" t="str">
        <f t="shared" si="1"/>
        <v>126896.00</v>
      </c>
      <c r="I2646" s="14" t="str">
        <f t="shared" si="2"/>
        <v>110510.00</v>
      </c>
      <c r="J2646" s="16" t="str">
        <f>TEXT(Raw_Data!J2646,"MMM-YYY")</f>
        <v>Feb-2025</v>
      </c>
      <c r="K2646" s="13" t="str">
        <f>Raw_Data!K2646</f>
        <v>3</v>
      </c>
      <c r="L2646" s="17" t="str">
        <f>Raw_Data!L2646</f>
        <v>Jaipur-North</v>
      </c>
      <c r="M2646" s="13" t="str">
        <f t="shared" si="3"/>
        <v>OK</v>
      </c>
      <c r="N2646" s="18" t="str">
        <f t="shared" si="4"/>
        <v>VALID</v>
      </c>
    </row>
    <row r="2647" ht="15.75" customHeight="1">
      <c r="A2647" s="13" t="str">
        <f>Raw_Data!A2647</f>
        <v>EMP2790</v>
      </c>
      <c r="B2647" s="13" t="str">
        <f>TRIM(CLEAN(Raw_Data!B2647))</f>
        <v>Finance</v>
      </c>
      <c r="C2647" s="18" t="s">
        <v>30</v>
      </c>
      <c r="D2647" s="14" t="str">
        <f>IF(ISBLANK(Raw_Data!D2647),AVERAGE(Raw_Data!D$2:D$5002),Raw_Data!D2647)</f>
        <v>78455.18</v>
      </c>
      <c r="E2647" s="15" t="str">
        <f>IF(ISBLANK(Raw_Data!E2647),AVERAGE(Raw_Data!E$2:E$5002),Raw_Data!E2647)</f>
        <v>26865.69</v>
      </c>
      <c r="F2647" s="15" t="str">
        <f>IF(ISBLANK(Raw_Data!F2647),AVERAGE(Raw_Data!F$2:F$5002),Raw_Data!F2647)</f>
        <v>21598.47</v>
      </c>
      <c r="G2647" s="14" t="str">
        <f>IF(ISBLANK(Raw_Data!G2647),AVERAGE(Raw_Data!G$2:G$5002),Raw_Data!G2647)</f>
        <v>16388.95</v>
      </c>
      <c r="H2647" s="15" t="str">
        <f t="shared" si="1"/>
        <v>126919.00</v>
      </c>
      <c r="I2647" s="14" t="str">
        <f t="shared" si="2"/>
        <v>110530.00</v>
      </c>
      <c r="J2647" s="16" t="str">
        <f>TEXT(Raw_Data!J2647,"MMM-YYY")</f>
        <v>Jan-2025</v>
      </c>
      <c r="K2647" s="13" t="str">
        <f>Raw_Data!K2647</f>
        <v>15</v>
      </c>
      <c r="L2647" s="17" t="str">
        <f>Raw_Data!L2647</f>
        <v>Mumbai-HO</v>
      </c>
      <c r="M2647" s="13" t="str">
        <f t="shared" si="3"/>
        <v>OK</v>
      </c>
      <c r="N2647" s="18" t="str">
        <f t="shared" si="4"/>
        <v>VALID</v>
      </c>
    </row>
    <row r="2648" ht="15.75" customHeight="1">
      <c r="A2648" s="13" t="str">
        <f>Raw_Data!A2648</f>
        <v>EMP2791</v>
      </c>
      <c r="B2648" s="13" t="str">
        <f>TRIM(CLEAN(Raw_Data!B2648))</f>
        <v>Finance</v>
      </c>
      <c r="C2648" s="18" t="s">
        <v>37</v>
      </c>
      <c r="D2648" s="14" t="str">
        <f>IF(ISBLANK(Raw_Data!D2648),AVERAGE(Raw_Data!D$2:D$5002),Raw_Data!D2648)</f>
        <v>78466.06</v>
      </c>
      <c r="E2648" s="15" t="str">
        <f>IF(ISBLANK(Raw_Data!E2648),AVERAGE(Raw_Data!E$2:E$5002),Raw_Data!E2648)</f>
        <v>26870.30</v>
      </c>
      <c r="F2648" s="15" t="str">
        <f>IF(ISBLANK(Raw_Data!F2648),AVERAGE(Raw_Data!F$2:F$5002),Raw_Data!F2648)</f>
        <v>21606.15</v>
      </c>
      <c r="G2648" s="14" t="str">
        <f>IF(ISBLANK(Raw_Data!G2648),AVERAGE(Raw_Data!G$2:G$5002),Raw_Data!G2648)</f>
        <v>16392.34</v>
      </c>
      <c r="H2648" s="15" t="str">
        <f t="shared" si="1"/>
        <v>126943.00</v>
      </c>
      <c r="I2648" s="14" t="str">
        <f t="shared" si="2"/>
        <v>110551.00</v>
      </c>
      <c r="J2648" s="16" t="str">
        <f>TEXT(Raw_Data!J2648,"MMM-YYY")</f>
        <v>Jul-2025</v>
      </c>
      <c r="K2648" s="13" t="str">
        <f>Raw_Data!K2648</f>
        <v>6</v>
      </c>
      <c r="L2648" s="17" t="str">
        <f>Raw_Data!L2648</f>
        <v>Delhi-North</v>
      </c>
      <c r="M2648" s="13" t="str">
        <f t="shared" si="3"/>
        <v>OK</v>
      </c>
      <c r="N2648" s="18" t="str">
        <f t="shared" si="4"/>
        <v>VALID</v>
      </c>
    </row>
    <row r="2649" ht="15.75" customHeight="1">
      <c r="A2649" s="13" t="str">
        <f>Raw_Data!A2649</f>
        <v>EMP2792</v>
      </c>
      <c r="B2649" s="13" t="str">
        <f>TRIM(CLEAN(Raw_Data!B2649))</f>
        <v>Sales</v>
      </c>
      <c r="C2649" s="18" t="s">
        <v>18</v>
      </c>
      <c r="D2649" s="14" t="str">
        <f>IF(ISBLANK(Raw_Data!D2649),AVERAGE(Raw_Data!D$2:D$5002),Raw_Data!D2649)</f>
        <v>78476.95</v>
      </c>
      <c r="E2649" s="15" t="str">
        <f>IF(ISBLANK(Raw_Data!E2649),AVERAGE(Raw_Data!E$2:E$5002),Raw_Data!E2649)</f>
        <v>26874.92</v>
      </c>
      <c r="F2649" s="15" t="str">
        <f>IF(ISBLANK(Raw_Data!F2649),AVERAGE(Raw_Data!F$2:F$5002),Raw_Data!F2649)</f>
        <v>21613.83</v>
      </c>
      <c r="G2649" s="14" t="str">
        <f>IF(ISBLANK(Raw_Data!G2649),AVERAGE(Raw_Data!G$2:G$5002),Raw_Data!G2649)</f>
        <v>16395.74</v>
      </c>
      <c r="H2649" s="15" t="str">
        <f t="shared" si="1"/>
        <v>126966.00</v>
      </c>
      <c r="I2649" s="14" t="str">
        <f t="shared" si="2"/>
        <v>110570.00</v>
      </c>
      <c r="J2649" s="16" t="str">
        <f>TEXT(Raw_Data!J2649,"MMM-YYY")</f>
        <v>May-2025</v>
      </c>
      <c r="K2649" s="13" t="str">
        <f>Raw_Data!K2649</f>
        <v>5</v>
      </c>
      <c r="L2649" s="17" t="str">
        <f>Raw_Data!L2649</f>
        <v>Bangalore-South</v>
      </c>
      <c r="M2649" s="13" t="str">
        <f t="shared" si="3"/>
        <v>OK</v>
      </c>
      <c r="N2649" s="18" t="str">
        <f t="shared" si="4"/>
        <v>VALID</v>
      </c>
    </row>
    <row r="2650" ht="15.75" customHeight="1">
      <c r="A2650" s="13" t="str">
        <f>Raw_Data!A2650</f>
        <v>EMP2793</v>
      </c>
      <c r="B2650" s="13" t="str">
        <f>TRIM(CLEAN(Raw_Data!B2650))</f>
        <v>Finance</v>
      </c>
      <c r="C2650" s="18" t="s">
        <v>33</v>
      </c>
      <c r="D2650" s="14" t="str">
        <f>IF(ISBLANK(Raw_Data!D2650),AVERAGE(Raw_Data!D$2:D$5002),Raw_Data!D2650)</f>
        <v>78487.83</v>
      </c>
      <c r="E2650" s="15" t="str">
        <f>IF(ISBLANK(Raw_Data!E2650),AVERAGE(Raw_Data!E$2:E$5002),Raw_Data!E2650)</f>
        <v>26879.53</v>
      </c>
      <c r="F2650" s="15" t="str">
        <f>IF(ISBLANK(Raw_Data!F2650),AVERAGE(Raw_Data!F$2:F$5002),Raw_Data!F2650)</f>
        <v>21621.51</v>
      </c>
      <c r="G2650" s="14" t="str">
        <f>IF(ISBLANK(Raw_Data!G2650),AVERAGE(Raw_Data!G$2:G$5002),Raw_Data!G2650)</f>
        <v>16399.14</v>
      </c>
      <c r="H2650" s="15" t="str">
        <f t="shared" si="1"/>
        <v>126989.00</v>
      </c>
      <c r="I2650" s="14" t="str">
        <f t="shared" si="2"/>
        <v>110590.00</v>
      </c>
      <c r="J2650" s="16" t="str">
        <f>TEXT(Raw_Data!J2650,"MMM-YYY")</f>
        <v>Jun-2025</v>
      </c>
      <c r="K2650" s="13" t="str">
        <f>Raw_Data!K2650</f>
        <v>16</v>
      </c>
      <c r="L2650" s="17" t="str">
        <f>Raw_Data!L2650</f>
        <v>Chennai-South</v>
      </c>
      <c r="M2650" s="13" t="str">
        <f t="shared" si="3"/>
        <v>OK</v>
      </c>
      <c r="N2650" s="18" t="str">
        <f t="shared" si="4"/>
        <v>VALID</v>
      </c>
    </row>
    <row r="2651" ht="15.75" customHeight="1">
      <c r="A2651" s="13" t="str">
        <f>Raw_Data!A2651</f>
        <v>EMP2794</v>
      </c>
      <c r="B2651" s="13" t="str">
        <f>TRIM(CLEAN(Raw_Data!B2651))</f>
        <v>Customer Support</v>
      </c>
      <c r="C2651" s="18" t="s">
        <v>54</v>
      </c>
      <c r="D2651" s="14" t="str">
        <f>IF(ISBLANK(Raw_Data!D2651),AVERAGE(Raw_Data!D$2:D$5002),Raw_Data!D2651)</f>
        <v>78498.71</v>
      </c>
      <c r="E2651" s="15" t="str">
        <f>IF(ISBLANK(Raw_Data!E2651),AVERAGE(Raw_Data!E$2:E$5002),Raw_Data!E2651)</f>
        <v>26884.15</v>
      </c>
      <c r="F2651" s="15" t="str">
        <f>IF(ISBLANK(Raw_Data!F2651),AVERAGE(Raw_Data!F$2:F$5002),Raw_Data!F2651)</f>
        <v>21629.19</v>
      </c>
      <c r="G2651" s="14" t="str">
        <f>IF(ISBLANK(Raw_Data!G2651),AVERAGE(Raw_Data!G$2:G$5002),Raw_Data!G2651)</f>
        <v>16402.54</v>
      </c>
      <c r="H2651" s="15" t="str">
        <f t="shared" si="1"/>
        <v>127012.00</v>
      </c>
      <c r="I2651" s="14" t="str">
        <f t="shared" si="2"/>
        <v>110609.00</v>
      </c>
      <c r="J2651" s="16" t="str">
        <f>TEXT(Raw_Data!J2651,"MMM-YYY")</f>
        <v>Mar-2025</v>
      </c>
      <c r="K2651" s="13" t="str">
        <f>Raw_Data!K2651</f>
        <v>18</v>
      </c>
      <c r="L2651" s="17" t="str">
        <f>Raw_Data!L2651</f>
        <v>Kolkata-East</v>
      </c>
      <c r="M2651" s="13" t="str">
        <f t="shared" si="3"/>
        <v>OK</v>
      </c>
      <c r="N2651" s="18" t="str">
        <f t="shared" si="4"/>
        <v>VALID</v>
      </c>
    </row>
    <row r="2652" ht="15.75" customHeight="1">
      <c r="A2652" s="13" t="str">
        <f>Raw_Data!A2652</f>
        <v>EMP2795</v>
      </c>
      <c r="B2652" s="13" t="str">
        <f>TRIM(CLEAN(Raw_Data!B2652))</f>
        <v>HR</v>
      </c>
      <c r="C2652" s="18" t="s">
        <v>14</v>
      </c>
      <c r="D2652" s="14" t="str">
        <f>IF(ISBLANK(Raw_Data!D2652),AVERAGE(Raw_Data!D$2:D$5002),Raw_Data!D2652)</f>
        <v>78509.60</v>
      </c>
      <c r="E2652" s="15" t="str">
        <f>IF(ISBLANK(Raw_Data!E2652),AVERAGE(Raw_Data!E$2:E$5002),Raw_Data!E2652)</f>
        <v>26888.76</v>
      </c>
      <c r="F2652" s="15" t="str">
        <f>IF(ISBLANK(Raw_Data!F2652),AVERAGE(Raw_Data!F$2:F$5002),Raw_Data!F2652)</f>
        <v>21636.87</v>
      </c>
      <c r="G2652" s="14" t="str">
        <f>IF(ISBLANK(Raw_Data!G2652),AVERAGE(Raw_Data!G$2:G$5002),Raw_Data!G2652)</f>
        <v>16405.93</v>
      </c>
      <c r="H2652" s="15" t="str">
        <f t="shared" si="1"/>
        <v>127035.00</v>
      </c>
      <c r="I2652" s="14" t="str">
        <f t="shared" si="2"/>
        <v>110629.00</v>
      </c>
      <c r="J2652" s="16" t="str">
        <f>TEXT(Raw_Data!J2652,"MMM-YYY")</f>
        <v>Mar-2025</v>
      </c>
      <c r="K2652" s="13" t="str">
        <f>Raw_Data!K2652</f>
        <v>24</v>
      </c>
      <c r="L2652" s="17" t="str">
        <f>Raw_Data!L2652</f>
        <v>Pune-West</v>
      </c>
      <c r="M2652" s="13" t="str">
        <f t="shared" si="3"/>
        <v>OK</v>
      </c>
      <c r="N2652" s="18" t="str">
        <f t="shared" si="4"/>
        <v>VALID</v>
      </c>
    </row>
    <row r="2653" ht="15.75" customHeight="1">
      <c r="A2653" s="13" t="str">
        <f>Raw_Data!A2653</f>
        <v>EMP2796</v>
      </c>
      <c r="B2653" s="13" t="str">
        <f>TRIM(CLEAN(Raw_Data!B2653))</f>
        <v>IT</v>
      </c>
      <c r="C2653" s="18" t="s">
        <v>14</v>
      </c>
      <c r="D2653" s="14" t="str">
        <f>IF(ISBLANK(Raw_Data!D2653),AVERAGE(Raw_Data!D$2:D$5002),Raw_Data!D2653)</f>
        <v>78520.48</v>
      </c>
      <c r="E2653" s="15" t="str">
        <f>IF(ISBLANK(Raw_Data!E2653),AVERAGE(Raw_Data!E$2:E$5002),Raw_Data!E2653)</f>
        <v>26893.38</v>
      </c>
      <c r="F2653" s="15" t="str">
        <f>IF(ISBLANK(Raw_Data!F2653),AVERAGE(Raw_Data!F$2:F$5002),Raw_Data!F2653)</f>
        <v>21644.55</v>
      </c>
      <c r="G2653" s="14" t="str">
        <f>IF(ISBLANK(Raw_Data!G2653),AVERAGE(Raw_Data!G$2:G$5002),Raw_Data!G2653)</f>
        <v>16409.33</v>
      </c>
      <c r="H2653" s="15" t="str">
        <f t="shared" si="1"/>
        <v>127058.00</v>
      </c>
      <c r="I2653" s="14" t="str">
        <f t="shared" si="2"/>
        <v>110649.00</v>
      </c>
      <c r="J2653" s="16" t="str">
        <f>TEXT(Raw_Data!J2653,"MMM-YYY")</f>
        <v>Jun-2025</v>
      </c>
      <c r="K2653" s="13" t="str">
        <f>Raw_Data!K2653</f>
        <v>17</v>
      </c>
      <c r="L2653" s="17" t="str">
        <f>Raw_Data!L2653</f>
        <v>Hyderabad-South</v>
      </c>
      <c r="M2653" s="13" t="str">
        <f t="shared" si="3"/>
        <v>OK</v>
      </c>
      <c r="N2653" s="18" t="str">
        <f t="shared" si="4"/>
        <v>VALID</v>
      </c>
    </row>
    <row r="2654" ht="15.75" customHeight="1">
      <c r="A2654" s="13" t="str">
        <f>Raw_Data!A2654</f>
        <v>EMP2797</v>
      </c>
      <c r="B2654" s="13" t="str">
        <f>TRIM(CLEAN(Raw_Data!B2654))</f>
        <v>Customer Support</v>
      </c>
      <c r="C2654" s="18" t="s">
        <v>37</v>
      </c>
      <c r="D2654" s="14" t="str">
        <f>IF(ISBLANK(Raw_Data!D2654),AVERAGE(Raw_Data!D$2:D$5002),Raw_Data!D2654)</f>
        <v>78531.36</v>
      </c>
      <c r="E2654" s="15" t="str">
        <f>IF(ISBLANK(Raw_Data!E2654),AVERAGE(Raw_Data!E$2:E$5002),Raw_Data!E2654)</f>
        <v>26897.99</v>
      </c>
      <c r="F2654" s="15" t="str">
        <f>IF(ISBLANK(Raw_Data!F2654),AVERAGE(Raw_Data!F$2:F$5002),Raw_Data!F2654)</f>
        <v>21652.23</v>
      </c>
      <c r="G2654" s="14" t="str">
        <f>IF(ISBLANK(Raw_Data!G2654),AVERAGE(Raw_Data!G$2:G$5002),Raw_Data!G2654)</f>
        <v>16412.73</v>
      </c>
      <c r="H2654" s="15" t="str">
        <f t="shared" si="1"/>
        <v>127082.00</v>
      </c>
      <c r="I2654" s="14" t="str">
        <f t="shared" si="2"/>
        <v>110669.00</v>
      </c>
      <c r="J2654" s="16" t="str">
        <f>TEXT(Raw_Data!J2654,"MMM-YYY")</f>
        <v>Nov-2025</v>
      </c>
      <c r="K2654" s="13" t="str">
        <f>Raw_Data!K2654</f>
        <v>1</v>
      </c>
      <c r="L2654" s="17" t="str">
        <f>Raw_Data!L2654</f>
        <v>Chandigarh-North</v>
      </c>
      <c r="M2654" s="13" t="str">
        <f t="shared" si="3"/>
        <v>OK</v>
      </c>
      <c r="N2654" s="18" t="str">
        <f t="shared" si="4"/>
        <v>VALID</v>
      </c>
    </row>
    <row r="2655" ht="15.75" customHeight="1">
      <c r="A2655" s="13" t="str">
        <f>Raw_Data!A2655</f>
        <v>EMP2798</v>
      </c>
      <c r="B2655" s="13" t="str">
        <f>TRIM(CLEAN(Raw_Data!B2655))</f>
        <v>Sales</v>
      </c>
      <c r="C2655" s="18" t="s">
        <v>18</v>
      </c>
      <c r="D2655" s="14" t="str">
        <f>IF(ISBLANK(Raw_Data!D2655),AVERAGE(Raw_Data!D$2:D$5002),Raw_Data!D2655)</f>
        <v>78542.24</v>
      </c>
      <c r="E2655" s="15" t="str">
        <f>IF(ISBLANK(Raw_Data!E2655),AVERAGE(Raw_Data!E$2:E$5002),Raw_Data!E2655)</f>
        <v>26902.61</v>
      </c>
      <c r="F2655" s="15" t="str">
        <f>IF(ISBLANK(Raw_Data!F2655),AVERAGE(Raw_Data!F$2:F$5002),Raw_Data!F2655)</f>
        <v>21659.91</v>
      </c>
      <c r="G2655" s="14" t="str">
        <f>IF(ISBLANK(Raw_Data!G2655),AVERAGE(Raw_Data!G$2:G$5002),Raw_Data!G2655)</f>
        <v>16416.13</v>
      </c>
      <c r="H2655" s="15" t="str">
        <f t="shared" si="1"/>
        <v>127105.00</v>
      </c>
      <c r="I2655" s="14" t="str">
        <f t="shared" si="2"/>
        <v>110689.00</v>
      </c>
      <c r="J2655" s="16" t="str">
        <f>TEXT(Raw_Data!J2655,"MMM-YYY")</f>
        <v>Feb-2025</v>
      </c>
      <c r="K2655" s="13" t="str">
        <f>Raw_Data!K2655</f>
        <v>22</v>
      </c>
      <c r="L2655" s="17" t="str">
        <f>Raw_Data!L2655</f>
        <v>Ahmedabad-West</v>
      </c>
      <c r="M2655" s="13" t="str">
        <f t="shared" si="3"/>
        <v>OK</v>
      </c>
      <c r="N2655" s="18" t="str">
        <f t="shared" si="4"/>
        <v>VALID</v>
      </c>
    </row>
    <row r="2656" ht="15.75" customHeight="1">
      <c r="A2656" s="13" t="str">
        <f>Raw_Data!A2656</f>
        <v>EMP2799</v>
      </c>
      <c r="B2656" s="13" t="str">
        <f>TRIM(CLEAN(Raw_Data!B2656))</f>
        <v>Customer Support</v>
      </c>
      <c r="C2656" s="18" t="s">
        <v>18</v>
      </c>
      <c r="D2656" s="14" t="str">
        <f>IF(ISBLANK(Raw_Data!D2656),AVERAGE(Raw_Data!D$2:D$5002),Raw_Data!D2656)</f>
        <v>78553.13</v>
      </c>
      <c r="E2656" s="15" t="str">
        <f>IF(ISBLANK(Raw_Data!E2656),AVERAGE(Raw_Data!E$2:E$5002),Raw_Data!E2656)</f>
        <v>26907.22</v>
      </c>
      <c r="F2656" s="15" t="str">
        <f>IF(ISBLANK(Raw_Data!F2656),AVERAGE(Raw_Data!F$2:F$5002),Raw_Data!F2656)</f>
        <v>21667.59</v>
      </c>
      <c r="G2656" s="14" t="str">
        <f>IF(ISBLANK(Raw_Data!G2656),AVERAGE(Raw_Data!G$2:G$5002),Raw_Data!G2656)</f>
        <v>16419.52</v>
      </c>
      <c r="H2656" s="15" t="str">
        <f t="shared" si="1"/>
        <v>127128.00</v>
      </c>
      <c r="I2656" s="14" t="str">
        <f t="shared" si="2"/>
        <v>110708.00</v>
      </c>
      <c r="J2656" s="16" t="str">
        <f>TEXT(Raw_Data!J2656,"MMM-YYY")</f>
        <v>Jul-2025</v>
      </c>
      <c r="K2656" s="13" t="str">
        <f>Raw_Data!K2656</f>
        <v>8</v>
      </c>
      <c r="L2656" s="17" t="str">
        <f>Raw_Data!L2656</f>
        <v>Jaipur-North</v>
      </c>
      <c r="M2656" s="13" t="str">
        <f t="shared" si="3"/>
        <v>OK</v>
      </c>
      <c r="N2656" s="18" t="str">
        <f t="shared" si="4"/>
        <v>VALID</v>
      </c>
    </row>
    <row r="2657" ht="15.75" customHeight="1">
      <c r="A2657" s="13" t="str">
        <f>Raw_Data!A2657</f>
        <v>EMP2800</v>
      </c>
      <c r="B2657" s="13" t="str">
        <f>TRIM(CLEAN(Raw_Data!B2657))</f>
        <v>Marketing</v>
      </c>
      <c r="C2657" s="18" t="s">
        <v>18</v>
      </c>
      <c r="D2657" s="14" t="str">
        <f>IF(ISBLANK(Raw_Data!D2657),AVERAGE(Raw_Data!D$2:D$5002),Raw_Data!D2657)</f>
        <v>78564.01</v>
      </c>
      <c r="E2657" s="15" t="str">
        <f>IF(ISBLANK(Raw_Data!E2657),AVERAGE(Raw_Data!E$2:E$5002),Raw_Data!E2657)</f>
        <v>26911.84</v>
      </c>
      <c r="F2657" s="15" t="str">
        <f>IF(ISBLANK(Raw_Data!F2657),AVERAGE(Raw_Data!F$2:F$5002),Raw_Data!F2657)</f>
        <v>21675.27</v>
      </c>
      <c r="G2657" s="14" t="str">
        <f>IF(ISBLANK(Raw_Data!G2657),AVERAGE(Raw_Data!G$2:G$5002),Raw_Data!G2657)</f>
        <v>16422.92</v>
      </c>
      <c r="H2657" s="15" t="str">
        <f t="shared" si="1"/>
        <v>127151.00</v>
      </c>
      <c r="I2657" s="14" t="str">
        <f t="shared" si="2"/>
        <v>110728.00</v>
      </c>
      <c r="J2657" s="16" t="str">
        <f>TEXT(Raw_Data!J2657,"MMM-YYY")</f>
        <v>Dec-2025</v>
      </c>
      <c r="K2657" s="13" t="str">
        <f>Raw_Data!K2657</f>
        <v>12</v>
      </c>
      <c r="L2657" s="17" t="str">
        <f>Raw_Data!L2657</f>
        <v>Mumbai-HO</v>
      </c>
      <c r="M2657" s="13" t="str">
        <f t="shared" si="3"/>
        <v>OK</v>
      </c>
      <c r="N2657" s="18" t="str">
        <f t="shared" si="4"/>
        <v>VALID</v>
      </c>
    </row>
    <row r="2658" ht="15.75" customHeight="1">
      <c r="A2658" s="13" t="str">
        <f>Raw_Data!A2658</f>
        <v>EMP2802</v>
      </c>
      <c r="B2658" s="13" t="str">
        <f>TRIM(CLEAN(Raw_Data!B2658))</f>
        <v>Finance</v>
      </c>
      <c r="C2658" s="18" t="s">
        <v>14</v>
      </c>
      <c r="D2658" s="14" t="str">
        <f>IF(ISBLANK(Raw_Data!D2658),AVERAGE(Raw_Data!D$2:D$5002),Raw_Data!D2658)</f>
        <v>78585.78</v>
      </c>
      <c r="E2658" s="15" t="str">
        <f>IF(ISBLANK(Raw_Data!E2658),AVERAGE(Raw_Data!E$2:E$5002),Raw_Data!E2658)</f>
        <v>26921.06</v>
      </c>
      <c r="F2658" s="15" t="str">
        <f>IF(ISBLANK(Raw_Data!F2658),AVERAGE(Raw_Data!F$2:F$5002),Raw_Data!F2658)</f>
        <v>21690.63</v>
      </c>
      <c r="G2658" s="14" t="str">
        <f>IF(ISBLANK(Raw_Data!G2658),AVERAGE(Raw_Data!G$2:G$5002),Raw_Data!G2658)</f>
        <v>16429.72</v>
      </c>
      <c r="H2658" s="15" t="str">
        <f t="shared" si="1"/>
        <v>127197.00</v>
      </c>
      <c r="I2658" s="14" t="str">
        <f t="shared" si="2"/>
        <v>110767.00</v>
      </c>
      <c r="J2658" s="16" t="str">
        <f>TEXT(Raw_Data!J2658,"MMM-YYY")</f>
        <v>Dec-2025</v>
      </c>
      <c r="K2658" s="13" t="str">
        <f>Raw_Data!K2658</f>
        <v>21</v>
      </c>
      <c r="L2658" s="17" t="str">
        <f>Raw_Data!L2658</f>
        <v>Bangalore-South</v>
      </c>
      <c r="M2658" s="13" t="str">
        <f t="shared" si="3"/>
        <v>OK</v>
      </c>
      <c r="N2658" s="18" t="str">
        <f t="shared" si="4"/>
        <v>VALID</v>
      </c>
    </row>
    <row r="2659" ht="15.75" customHeight="1">
      <c r="A2659" s="13" t="str">
        <f>Raw_Data!A2659</f>
        <v>EMP2803</v>
      </c>
      <c r="B2659" s="13" t="str">
        <f>TRIM(CLEAN(Raw_Data!B2659))</f>
        <v>Operations</v>
      </c>
      <c r="C2659" s="18" t="s">
        <v>37</v>
      </c>
      <c r="D2659" s="14" t="str">
        <f>IF(ISBLANK(Raw_Data!D2659),AVERAGE(Raw_Data!D$2:D$5002),Raw_Data!D2659)</f>
        <v>78596.66</v>
      </c>
      <c r="E2659" s="15" t="str">
        <f>IF(ISBLANK(Raw_Data!E2659),AVERAGE(Raw_Data!E$2:E$5002),Raw_Data!E2659)</f>
        <v>26925.68</v>
      </c>
      <c r="F2659" s="15" t="str">
        <f>IF(ISBLANK(Raw_Data!F2659),AVERAGE(Raw_Data!F$2:F$5002),Raw_Data!F2659)</f>
        <v>21698.31</v>
      </c>
      <c r="G2659" s="14" t="str">
        <f>IF(ISBLANK(Raw_Data!G2659),AVERAGE(Raw_Data!G$2:G$5002),Raw_Data!G2659)</f>
        <v>16433.11</v>
      </c>
      <c r="H2659" s="15" t="str">
        <f t="shared" si="1"/>
        <v>127221.00</v>
      </c>
      <c r="I2659" s="14" t="str">
        <f t="shared" si="2"/>
        <v>110788.00</v>
      </c>
      <c r="J2659" s="16" t="str">
        <f>TEXT(Raw_Data!J2659,"MMM-YYY")</f>
        <v>Jun-2025</v>
      </c>
      <c r="K2659" s="13" t="str">
        <f>Raw_Data!K2659</f>
        <v>7</v>
      </c>
      <c r="L2659" s="17" t="str">
        <f>Raw_Data!L2659</f>
        <v>Chennai-South</v>
      </c>
      <c r="M2659" s="13" t="str">
        <f t="shared" si="3"/>
        <v>OK</v>
      </c>
      <c r="N2659" s="18" t="str">
        <f t="shared" si="4"/>
        <v>VALID</v>
      </c>
    </row>
    <row r="2660" ht="15.75" customHeight="1">
      <c r="A2660" s="13" t="str">
        <f>Raw_Data!A2660</f>
        <v>EMP2804</v>
      </c>
      <c r="B2660" s="13" t="str">
        <f>TRIM(CLEAN(Raw_Data!B2660))</f>
        <v>HR</v>
      </c>
      <c r="C2660" s="18" t="s">
        <v>37</v>
      </c>
      <c r="D2660" s="14" t="str">
        <f>IF(ISBLANK(Raw_Data!D2660),AVERAGE(Raw_Data!D$2:D$5002),Raw_Data!D2660)</f>
        <v>78607.54</v>
      </c>
      <c r="E2660" s="15" t="str">
        <f>IF(ISBLANK(Raw_Data!E2660),AVERAGE(Raw_Data!E$2:E$5002),Raw_Data!E2660)</f>
        <v>26930.29</v>
      </c>
      <c r="F2660" s="15" t="str">
        <f>IF(ISBLANK(Raw_Data!F2660),AVERAGE(Raw_Data!F$2:F$5002),Raw_Data!F2660)</f>
        <v>21705.99</v>
      </c>
      <c r="G2660" s="14" t="str">
        <f>IF(ISBLANK(Raw_Data!G2660),AVERAGE(Raw_Data!G$2:G$5002),Raw_Data!G2660)</f>
        <v>16436.51</v>
      </c>
      <c r="H2660" s="15" t="str">
        <f t="shared" si="1"/>
        <v>127244.00</v>
      </c>
      <c r="I2660" s="14" t="str">
        <f t="shared" si="2"/>
        <v>110807.00</v>
      </c>
      <c r="J2660" s="16" t="str">
        <f>TEXT(Raw_Data!J2660,"MMM-YYY")</f>
        <v>Dec-2025</v>
      </c>
      <c r="K2660" s="13" t="str">
        <f>Raw_Data!K2660</f>
        <v>8</v>
      </c>
      <c r="L2660" s="17" t="str">
        <f>Raw_Data!L2660</f>
        <v>Kolkata-East</v>
      </c>
      <c r="M2660" s="13" t="str">
        <f t="shared" si="3"/>
        <v>OK</v>
      </c>
      <c r="N2660" s="18" t="str">
        <f t="shared" si="4"/>
        <v>VALID</v>
      </c>
    </row>
    <row r="2661" ht="15.75" customHeight="1">
      <c r="A2661" s="13" t="str">
        <f>Raw_Data!A2661</f>
        <v>EMP2805</v>
      </c>
      <c r="B2661" s="13" t="str">
        <f>TRIM(CLEAN(Raw_Data!B2661))</f>
        <v>Customer Support</v>
      </c>
      <c r="C2661" s="18" t="s">
        <v>14</v>
      </c>
      <c r="D2661" s="14" t="str">
        <f>IF(ISBLANK(Raw_Data!D2661),AVERAGE(Raw_Data!D$2:D$5002),Raw_Data!D2661)</f>
        <v>78618.42</v>
      </c>
      <c r="E2661" s="15" t="str">
        <f>IF(ISBLANK(Raw_Data!E2661),AVERAGE(Raw_Data!E$2:E$5002),Raw_Data!E2661)</f>
        <v>26934.91</v>
      </c>
      <c r="F2661" s="15" t="str">
        <f>IF(ISBLANK(Raw_Data!F2661),AVERAGE(Raw_Data!F$2:F$5002),Raw_Data!F2661)</f>
        <v>21713.67</v>
      </c>
      <c r="G2661" s="14" t="str">
        <f>IF(ISBLANK(Raw_Data!G2661),AVERAGE(Raw_Data!G$2:G$5002),Raw_Data!G2661)</f>
        <v>16439.91</v>
      </c>
      <c r="H2661" s="15" t="str">
        <f t="shared" si="1"/>
        <v>127267.00</v>
      </c>
      <c r="I2661" s="14" t="str">
        <f t="shared" si="2"/>
        <v>110827.00</v>
      </c>
      <c r="J2661" s="16" t="str">
        <f>TEXT(Raw_Data!J2661,"MMM-YYY")</f>
        <v>Sep-2025</v>
      </c>
      <c r="K2661" s="13" t="str">
        <f>Raw_Data!K2661</f>
        <v>14</v>
      </c>
      <c r="L2661" s="17" t="str">
        <f>Raw_Data!L2661</f>
        <v>Pune-West</v>
      </c>
      <c r="M2661" s="13" t="str">
        <f t="shared" si="3"/>
        <v>OK</v>
      </c>
      <c r="N2661" s="18" t="str">
        <f t="shared" si="4"/>
        <v>VALID</v>
      </c>
    </row>
    <row r="2662" ht="15.75" customHeight="1">
      <c r="A2662" s="13" t="str">
        <f>Raw_Data!A2662</f>
        <v>EMP2806</v>
      </c>
      <c r="B2662" s="13" t="str">
        <f>TRIM(CLEAN(Raw_Data!B2662))</f>
        <v>Operations</v>
      </c>
      <c r="C2662" s="18" t="s">
        <v>54</v>
      </c>
      <c r="D2662" s="14" t="str">
        <f>IF(ISBLANK(Raw_Data!D2662),AVERAGE(Raw_Data!D$2:D$5002),Raw_Data!D2662)</f>
        <v>78629.31</v>
      </c>
      <c r="E2662" s="15" t="str">
        <f>IF(ISBLANK(Raw_Data!E2662),AVERAGE(Raw_Data!E$2:E$5002),Raw_Data!E2662)</f>
        <v>26939.52</v>
      </c>
      <c r="F2662" s="15" t="str">
        <f>IF(ISBLANK(Raw_Data!F2662),AVERAGE(Raw_Data!F$2:F$5002),Raw_Data!F2662)</f>
        <v>21721.35</v>
      </c>
      <c r="G2662" s="14" t="str">
        <f>IF(ISBLANK(Raw_Data!G2662),AVERAGE(Raw_Data!G$2:G$5002),Raw_Data!G2662)</f>
        <v>16443.31</v>
      </c>
      <c r="H2662" s="15" t="str">
        <f t="shared" si="1"/>
        <v>127290.00</v>
      </c>
      <c r="I2662" s="14" t="str">
        <f t="shared" si="2"/>
        <v>110847.00</v>
      </c>
      <c r="J2662" s="16" t="str">
        <f>TEXT(Raw_Data!J2662,"MMM-YYY")</f>
        <v>Oct-2025</v>
      </c>
      <c r="K2662" s="13" t="str">
        <f>Raw_Data!K2662</f>
        <v>4</v>
      </c>
      <c r="L2662" s="17" t="str">
        <f>Raw_Data!L2662</f>
        <v>Hyderabad-South</v>
      </c>
      <c r="M2662" s="13" t="str">
        <f t="shared" si="3"/>
        <v>OK</v>
      </c>
      <c r="N2662" s="18" t="str">
        <f t="shared" si="4"/>
        <v>VALID</v>
      </c>
    </row>
    <row r="2663" ht="15.75" customHeight="1">
      <c r="A2663" s="13" t="str">
        <f>Raw_Data!A2663</f>
        <v>EMP2807</v>
      </c>
      <c r="B2663" s="13" t="str">
        <f>TRIM(CLEAN(Raw_Data!B2663))</f>
        <v>Operations</v>
      </c>
      <c r="C2663" s="18" t="s">
        <v>14</v>
      </c>
      <c r="D2663" s="14" t="str">
        <f>IF(ISBLANK(Raw_Data!D2663),AVERAGE(Raw_Data!D$2:D$5002),Raw_Data!D2663)</f>
        <v>78640.19</v>
      </c>
      <c r="E2663" s="15" t="str">
        <f>IF(ISBLANK(Raw_Data!E2663),AVERAGE(Raw_Data!E$2:E$5002),Raw_Data!E2663)</f>
        <v>26944.14</v>
      </c>
      <c r="F2663" s="15" t="str">
        <f>IF(ISBLANK(Raw_Data!F2663),AVERAGE(Raw_Data!F$2:F$5002),Raw_Data!F2663)</f>
        <v>21729.03</v>
      </c>
      <c r="G2663" s="14" t="str">
        <f>IF(ISBLANK(Raw_Data!G2663),AVERAGE(Raw_Data!G$2:G$5002),Raw_Data!G2663)</f>
        <v>16446.70</v>
      </c>
      <c r="H2663" s="15" t="str">
        <f t="shared" si="1"/>
        <v>127313.00</v>
      </c>
      <c r="I2663" s="14" t="str">
        <f t="shared" si="2"/>
        <v>110866.00</v>
      </c>
      <c r="J2663" s="16" t="str">
        <f>TEXT(Raw_Data!J2663,"MMM-YYY")</f>
        <v>Feb-2025</v>
      </c>
      <c r="K2663" s="13" t="str">
        <f>Raw_Data!K2663</f>
        <v>5</v>
      </c>
      <c r="L2663" s="17" t="str">
        <f>Raw_Data!L2663</f>
        <v>Chandigarh-North</v>
      </c>
      <c r="M2663" s="13" t="str">
        <f t="shared" si="3"/>
        <v>OK</v>
      </c>
      <c r="N2663" s="18" t="str">
        <f t="shared" si="4"/>
        <v>VALID</v>
      </c>
    </row>
    <row r="2664" ht="15.75" customHeight="1">
      <c r="A2664" s="13" t="str">
        <f>Raw_Data!A2664</f>
        <v>EMP2808</v>
      </c>
      <c r="B2664" s="13" t="str">
        <f>TRIM(CLEAN(Raw_Data!B2664))</f>
        <v>Customer Support</v>
      </c>
      <c r="C2664" s="18" t="s">
        <v>54</v>
      </c>
      <c r="D2664" s="14" t="str">
        <f>IF(ISBLANK(Raw_Data!D2664),AVERAGE(Raw_Data!D$2:D$5002),Raw_Data!D2664)</f>
        <v>78651.07</v>
      </c>
      <c r="E2664" s="15" t="str">
        <f>IF(ISBLANK(Raw_Data!E2664),AVERAGE(Raw_Data!E$2:E$5002),Raw_Data!E2664)</f>
        <v>26948.75</v>
      </c>
      <c r="F2664" s="15" t="str">
        <f>IF(ISBLANK(Raw_Data!F2664),AVERAGE(Raw_Data!F$2:F$5002),Raw_Data!F2664)</f>
        <v>21736.71</v>
      </c>
      <c r="G2664" s="14" t="str">
        <f>IF(ISBLANK(Raw_Data!G2664),AVERAGE(Raw_Data!G$2:G$5002),Raw_Data!G2664)</f>
        <v>16450.10</v>
      </c>
      <c r="H2664" s="15" t="str">
        <f t="shared" si="1"/>
        <v>127337.00</v>
      </c>
      <c r="I2664" s="14" t="str">
        <f t="shared" si="2"/>
        <v>110887.00</v>
      </c>
      <c r="J2664" s="16" t="str">
        <f>TEXT(Raw_Data!J2664,"MMM-YYY")</f>
        <v>Oct-2025</v>
      </c>
      <c r="K2664" s="13" t="str">
        <f>Raw_Data!K2664</f>
        <v>14</v>
      </c>
      <c r="L2664" s="17" t="str">
        <f>Raw_Data!L2664</f>
        <v>Ahmedabad-West</v>
      </c>
      <c r="M2664" s="13" t="str">
        <f t="shared" si="3"/>
        <v>OK</v>
      </c>
      <c r="N2664" s="18" t="str">
        <f t="shared" si="4"/>
        <v>VALID</v>
      </c>
    </row>
    <row r="2665" ht="15.75" customHeight="1">
      <c r="A2665" s="13" t="str">
        <f>Raw_Data!A2665</f>
        <v>EMP2809</v>
      </c>
      <c r="B2665" s="13" t="str">
        <f>TRIM(CLEAN(Raw_Data!B2665))</f>
        <v>Customer Support</v>
      </c>
      <c r="C2665" s="18" t="s">
        <v>26</v>
      </c>
      <c r="D2665" s="14" t="str">
        <f>IF(ISBLANK(Raw_Data!D2665),AVERAGE(Raw_Data!D$2:D$5002),Raw_Data!D2665)</f>
        <v>78661.96</v>
      </c>
      <c r="E2665" s="15" t="str">
        <f>IF(ISBLANK(Raw_Data!E2665),AVERAGE(Raw_Data!E$2:E$5002),Raw_Data!E2665)</f>
        <v>26953.37</v>
      </c>
      <c r="F2665" s="15" t="str">
        <f>IF(ISBLANK(Raw_Data!F2665),AVERAGE(Raw_Data!F$2:F$5002),Raw_Data!F2665)</f>
        <v>21744.39</v>
      </c>
      <c r="G2665" s="14" t="str">
        <f>IF(ISBLANK(Raw_Data!G2665),AVERAGE(Raw_Data!G$2:G$5002),Raw_Data!G2665)</f>
        <v>16453.50</v>
      </c>
      <c r="H2665" s="15" t="str">
        <f t="shared" si="1"/>
        <v>127360.00</v>
      </c>
      <c r="I2665" s="14" t="str">
        <f t="shared" si="2"/>
        <v>110907.00</v>
      </c>
      <c r="J2665" s="16" t="str">
        <f>TEXT(Raw_Data!J2665,"MMM-YYY")</f>
        <v>Nov-2025</v>
      </c>
      <c r="K2665" s="13" t="str">
        <f>Raw_Data!K2665</f>
        <v>11</v>
      </c>
      <c r="L2665" s="17" t="str">
        <f>Raw_Data!L2665</f>
        <v>Jaipur-North</v>
      </c>
      <c r="M2665" s="13" t="str">
        <f t="shared" si="3"/>
        <v>OK</v>
      </c>
      <c r="N2665" s="18" t="str">
        <f t="shared" si="4"/>
        <v>VALID</v>
      </c>
    </row>
    <row r="2666" ht="15.75" customHeight="1">
      <c r="A2666" s="13" t="str">
        <f>Raw_Data!A2666</f>
        <v>EMP2810</v>
      </c>
      <c r="B2666" s="13" t="str">
        <f>TRIM(CLEAN(Raw_Data!B2666))</f>
        <v>Operations</v>
      </c>
      <c r="C2666" s="18" t="s">
        <v>26</v>
      </c>
      <c r="D2666" s="14" t="str">
        <f>IF(ISBLANK(Raw_Data!D2666),AVERAGE(Raw_Data!D$2:D$5002),Raw_Data!D2666)</f>
        <v>78672.84</v>
      </c>
      <c r="E2666" s="15" t="str">
        <f>IF(ISBLANK(Raw_Data!E2666),AVERAGE(Raw_Data!E$2:E$5002),Raw_Data!E2666)</f>
        <v>26957.98</v>
      </c>
      <c r="F2666" s="15" t="str">
        <f>IF(ISBLANK(Raw_Data!F2666),AVERAGE(Raw_Data!F$2:F$5002),Raw_Data!F2666)</f>
        <v>21752.07</v>
      </c>
      <c r="G2666" s="14" t="str">
        <f>IF(ISBLANK(Raw_Data!G2666),AVERAGE(Raw_Data!G$2:G$5002),Raw_Data!G2666)</f>
        <v>16456.90</v>
      </c>
      <c r="H2666" s="15" t="str">
        <f t="shared" si="1"/>
        <v>127383.00</v>
      </c>
      <c r="I2666" s="14" t="str">
        <f t="shared" si="2"/>
        <v>110926.00</v>
      </c>
      <c r="J2666" s="16" t="str">
        <f>TEXT(Raw_Data!J2666,"MMM-YYY")</f>
        <v>Jan-2025</v>
      </c>
      <c r="K2666" s="13" t="str">
        <f>Raw_Data!K2666</f>
        <v>22</v>
      </c>
      <c r="L2666" s="17" t="str">
        <f>Raw_Data!L2666</f>
        <v>Mumbai-HO</v>
      </c>
      <c r="M2666" s="13" t="str">
        <f t="shared" si="3"/>
        <v>OK</v>
      </c>
      <c r="N2666" s="18" t="str">
        <f t="shared" si="4"/>
        <v>VALID</v>
      </c>
    </row>
    <row r="2667" ht="15.75" customHeight="1">
      <c r="A2667" s="13" t="str">
        <f>Raw_Data!A2667</f>
        <v>EMP2811</v>
      </c>
      <c r="B2667" s="13" t="str">
        <f>TRIM(CLEAN(Raw_Data!B2667))</f>
        <v>Operations</v>
      </c>
      <c r="C2667" s="18" t="s">
        <v>33</v>
      </c>
      <c r="D2667" s="14" t="str">
        <f>IF(ISBLANK(Raw_Data!D2667),AVERAGE(Raw_Data!D$2:D$5002),Raw_Data!D2667)</f>
        <v>78683.72</v>
      </c>
      <c r="E2667" s="15" t="str">
        <f>IF(ISBLANK(Raw_Data!E2667),AVERAGE(Raw_Data!E$2:E$5002),Raw_Data!E2667)</f>
        <v>26962.60</v>
      </c>
      <c r="F2667" s="15" t="str">
        <f>IF(ISBLANK(Raw_Data!F2667),AVERAGE(Raw_Data!F$2:F$5002),Raw_Data!F2667)</f>
        <v>21759.75</v>
      </c>
      <c r="G2667" s="14" t="str">
        <f>IF(ISBLANK(Raw_Data!G2667),AVERAGE(Raw_Data!G$2:G$5002),Raw_Data!G2667)</f>
        <v>16460.29</v>
      </c>
      <c r="H2667" s="15" t="str">
        <f t="shared" si="1"/>
        <v>127406.00</v>
      </c>
      <c r="I2667" s="14" t="str">
        <f t="shared" si="2"/>
        <v>110946.00</v>
      </c>
      <c r="J2667" s="16" t="str">
        <f>TEXT(Raw_Data!J2667,"MMM-YYY")</f>
        <v>Aug-2025</v>
      </c>
      <c r="K2667" s="13" t="str">
        <f>Raw_Data!K2667</f>
        <v>21</v>
      </c>
      <c r="L2667" s="17" t="str">
        <f>Raw_Data!L2667</f>
        <v>Delhi-North</v>
      </c>
      <c r="M2667" s="13" t="str">
        <f t="shared" si="3"/>
        <v>OK</v>
      </c>
      <c r="N2667" s="18" t="str">
        <f t="shared" si="4"/>
        <v>VALID</v>
      </c>
    </row>
    <row r="2668" ht="15.75" customHeight="1">
      <c r="A2668" s="13" t="str">
        <f>Raw_Data!A2668</f>
        <v>EMP2812</v>
      </c>
      <c r="B2668" s="13" t="str">
        <f>TRIM(CLEAN(Raw_Data!B2668))</f>
        <v>Finance</v>
      </c>
      <c r="C2668" s="18" t="s">
        <v>54</v>
      </c>
      <c r="D2668" s="14" t="str">
        <f>IF(ISBLANK(Raw_Data!D2668),AVERAGE(Raw_Data!D$2:D$5002),Raw_Data!D2668)</f>
        <v>78694.61</v>
      </c>
      <c r="E2668" s="15" t="str">
        <f>IF(ISBLANK(Raw_Data!E2668),AVERAGE(Raw_Data!E$2:E$5002),Raw_Data!E2668)</f>
        <v>26967.21</v>
      </c>
      <c r="F2668" s="15" t="str">
        <f>IF(ISBLANK(Raw_Data!F2668),AVERAGE(Raw_Data!F$2:F$5002),Raw_Data!F2668)</f>
        <v>21767.43</v>
      </c>
      <c r="G2668" s="14" t="str">
        <f>IF(ISBLANK(Raw_Data!G2668),AVERAGE(Raw_Data!G$2:G$5002),Raw_Data!G2668)</f>
        <v>16463.69</v>
      </c>
      <c r="H2668" s="15" t="str">
        <f t="shared" si="1"/>
        <v>127429.00</v>
      </c>
      <c r="I2668" s="14" t="str">
        <f t="shared" si="2"/>
        <v>110965.00</v>
      </c>
      <c r="J2668" s="16" t="str">
        <f>TEXT(Raw_Data!J2668,"MMM-YYY")</f>
        <v>Jan-2025</v>
      </c>
      <c r="K2668" s="13" t="str">
        <f>Raw_Data!K2668</f>
        <v>10</v>
      </c>
      <c r="L2668" s="17" t="str">
        <f>Raw_Data!L2668</f>
        <v>Bangalore-South</v>
      </c>
      <c r="M2668" s="13" t="str">
        <f t="shared" si="3"/>
        <v>OK</v>
      </c>
      <c r="N2668" s="18" t="str">
        <f t="shared" si="4"/>
        <v>VALID</v>
      </c>
    </row>
    <row r="2669" ht="15.75" customHeight="1">
      <c r="A2669" s="13" t="str">
        <f>Raw_Data!A2669</f>
        <v>EMP2813</v>
      </c>
      <c r="B2669" s="13" t="str">
        <f>TRIM(CLEAN(Raw_Data!B2669))</f>
        <v>Marketing</v>
      </c>
      <c r="C2669" s="18" t="s">
        <v>54</v>
      </c>
      <c r="D2669" s="14" t="str">
        <f>IF(ISBLANK(Raw_Data!D2669),AVERAGE(Raw_Data!D$2:D$5002),Raw_Data!D2669)</f>
        <v>78705.49</v>
      </c>
      <c r="E2669" s="15" t="str">
        <f>IF(ISBLANK(Raw_Data!E2669),AVERAGE(Raw_Data!E$2:E$5002),Raw_Data!E2669)</f>
        <v>26971.83</v>
      </c>
      <c r="F2669" s="15" t="str">
        <f>IF(ISBLANK(Raw_Data!F2669),AVERAGE(Raw_Data!F$2:F$5002),Raw_Data!F2669)</f>
        <v>21775.11</v>
      </c>
      <c r="G2669" s="14" t="str">
        <f>IF(ISBLANK(Raw_Data!G2669),AVERAGE(Raw_Data!G$2:G$5002),Raw_Data!G2669)</f>
        <v>16467.09</v>
      </c>
      <c r="H2669" s="15" t="str">
        <f t="shared" si="1"/>
        <v>127452.00</v>
      </c>
      <c r="I2669" s="14" t="str">
        <f t="shared" si="2"/>
        <v>110985.00</v>
      </c>
      <c r="J2669" s="16" t="str">
        <f>TEXT(Raw_Data!J2669,"MMM-YYY")</f>
        <v>Feb-2025</v>
      </c>
      <c r="K2669" s="13" t="str">
        <f>Raw_Data!K2669</f>
        <v>14</v>
      </c>
      <c r="L2669" s="17" t="str">
        <f>Raw_Data!L2669</f>
        <v>Chennai-South</v>
      </c>
      <c r="M2669" s="13" t="str">
        <f t="shared" si="3"/>
        <v>OK</v>
      </c>
      <c r="N2669" s="18" t="str">
        <f t="shared" si="4"/>
        <v>VALID</v>
      </c>
    </row>
    <row r="2670" ht="15.75" customHeight="1">
      <c r="A2670" s="13" t="str">
        <f>Raw_Data!A2670</f>
        <v>EMP2814</v>
      </c>
      <c r="B2670" s="13" t="str">
        <f>TRIM(CLEAN(Raw_Data!B2670))</f>
        <v>Sales</v>
      </c>
      <c r="C2670" s="18" t="s">
        <v>18</v>
      </c>
      <c r="D2670" s="14" t="str">
        <f>IF(ISBLANK(Raw_Data!D2670),AVERAGE(Raw_Data!D$2:D$5002),Raw_Data!D2670)</f>
        <v>78716.37</v>
      </c>
      <c r="E2670" s="15" t="str">
        <f>IF(ISBLANK(Raw_Data!E2670),AVERAGE(Raw_Data!E$2:E$5002),Raw_Data!E2670)</f>
        <v>26976.44</v>
      </c>
      <c r="F2670" s="15" t="str">
        <f>IF(ISBLANK(Raw_Data!F2670),AVERAGE(Raw_Data!F$2:F$5002),Raw_Data!F2670)</f>
        <v>21782.79</v>
      </c>
      <c r="G2670" s="14" t="str">
        <f>IF(ISBLANK(Raw_Data!G2670),AVERAGE(Raw_Data!G$2:G$5002),Raw_Data!G2670)</f>
        <v>16470.49</v>
      </c>
      <c r="H2670" s="15" t="str">
        <f t="shared" si="1"/>
        <v>127476.00</v>
      </c>
      <c r="I2670" s="14" t="str">
        <f t="shared" si="2"/>
        <v>111006.00</v>
      </c>
      <c r="J2670" s="16" t="str">
        <f>TEXT(Raw_Data!J2670,"MMM-YYY")</f>
        <v>Jan-2025</v>
      </c>
      <c r="K2670" s="13" t="str">
        <f>Raw_Data!K2670</f>
        <v>20</v>
      </c>
      <c r="L2670" s="17" t="str">
        <f>Raw_Data!L2670</f>
        <v>Kolkata-East</v>
      </c>
      <c r="M2670" s="13" t="str">
        <f t="shared" si="3"/>
        <v>OK</v>
      </c>
      <c r="N2670" s="18" t="str">
        <f t="shared" si="4"/>
        <v>VALID</v>
      </c>
    </row>
    <row r="2671" ht="15.75" customHeight="1">
      <c r="A2671" s="13" t="str">
        <f>Raw_Data!A2671</f>
        <v>EMP2815</v>
      </c>
      <c r="B2671" s="13" t="str">
        <f>TRIM(CLEAN(Raw_Data!B2671))</f>
        <v>Sales</v>
      </c>
      <c r="C2671" s="18" t="s">
        <v>37</v>
      </c>
      <c r="D2671" s="14" t="str">
        <f>IF(ISBLANK(Raw_Data!D2671),AVERAGE(Raw_Data!D$2:D$5002),Raw_Data!D2671)</f>
        <v>78727.25</v>
      </c>
      <c r="E2671" s="15" t="str">
        <f>IF(ISBLANK(Raw_Data!E2671),AVERAGE(Raw_Data!E$2:E$5002),Raw_Data!E2671)</f>
        <v>26981.06</v>
      </c>
      <c r="F2671" s="15" t="str">
        <f>IF(ISBLANK(Raw_Data!F2671),AVERAGE(Raw_Data!F$2:F$5002),Raw_Data!F2671)</f>
        <v>21790.47</v>
      </c>
      <c r="G2671" s="14" t="str">
        <f>IF(ISBLANK(Raw_Data!G2671),AVERAGE(Raw_Data!G$2:G$5002),Raw_Data!G2671)</f>
        <v>16473.88</v>
      </c>
      <c r="H2671" s="15" t="str">
        <f t="shared" si="1"/>
        <v>127499.00</v>
      </c>
      <c r="I2671" s="14" t="str">
        <f t="shared" si="2"/>
        <v>111025.00</v>
      </c>
      <c r="J2671" s="16" t="str">
        <f>TEXT(Raw_Data!J2671,"MMM-YYY")</f>
        <v>Dec-2025</v>
      </c>
      <c r="K2671" s="13" t="str">
        <f>Raw_Data!K2671</f>
        <v>14</v>
      </c>
      <c r="L2671" s="17" t="str">
        <f>Raw_Data!L2671</f>
        <v>Pune-West</v>
      </c>
      <c r="M2671" s="13" t="str">
        <f t="shared" si="3"/>
        <v>OK</v>
      </c>
      <c r="N2671" s="18" t="str">
        <f t="shared" si="4"/>
        <v>VALID</v>
      </c>
    </row>
    <row r="2672" ht="15.75" customHeight="1">
      <c r="A2672" s="13" t="str">
        <f>Raw_Data!A2672</f>
        <v>EMP2816</v>
      </c>
      <c r="B2672" s="13" t="str">
        <f>TRIM(CLEAN(Raw_Data!B2672))</f>
        <v>Operations</v>
      </c>
      <c r="C2672" s="18" t="s">
        <v>26</v>
      </c>
      <c r="D2672" s="14" t="str">
        <f>IF(ISBLANK(Raw_Data!D2672),AVERAGE(Raw_Data!D$2:D$5002),Raw_Data!D2672)</f>
        <v>78738.14</v>
      </c>
      <c r="E2672" s="15" t="str">
        <f>IF(ISBLANK(Raw_Data!E2672),AVERAGE(Raw_Data!E$2:E$5002),Raw_Data!E2672)</f>
        <v>26985.67</v>
      </c>
      <c r="F2672" s="15" t="str">
        <f>IF(ISBLANK(Raw_Data!F2672),AVERAGE(Raw_Data!F$2:F$5002),Raw_Data!F2672)</f>
        <v>21798.15</v>
      </c>
      <c r="G2672" s="14" t="str">
        <f>IF(ISBLANK(Raw_Data!G2672),AVERAGE(Raw_Data!G$2:G$5002),Raw_Data!G2672)</f>
        <v>16477.28</v>
      </c>
      <c r="H2672" s="15" t="str">
        <f t="shared" si="1"/>
        <v>127522.00</v>
      </c>
      <c r="I2672" s="14" t="str">
        <f t="shared" si="2"/>
        <v>111045.00</v>
      </c>
      <c r="J2672" s="16" t="str">
        <f>TEXT(Raw_Data!J2672,"MMM-YYY")</f>
        <v>Jul-2025</v>
      </c>
      <c r="K2672" s="13" t="str">
        <f>Raw_Data!K2672</f>
        <v>17</v>
      </c>
      <c r="L2672" s="17" t="str">
        <f>Raw_Data!L2672</f>
        <v>Hyderabad-South</v>
      </c>
      <c r="M2672" s="13" t="str">
        <f t="shared" si="3"/>
        <v>OK</v>
      </c>
      <c r="N2672" s="18" t="str">
        <f t="shared" si="4"/>
        <v>VALID</v>
      </c>
    </row>
    <row r="2673" ht="15.75" customHeight="1">
      <c r="A2673" s="13" t="str">
        <f>Raw_Data!A2673</f>
        <v>EMP2817</v>
      </c>
      <c r="B2673" s="13" t="str">
        <f>TRIM(CLEAN(Raw_Data!B2673))</f>
        <v>IT</v>
      </c>
      <c r="C2673" s="18" t="s">
        <v>54</v>
      </c>
      <c r="D2673" s="14" t="str">
        <f>IF(ISBLANK(Raw_Data!D2673),AVERAGE(Raw_Data!D$2:D$5002),Raw_Data!D2673)</f>
        <v>78749.02</v>
      </c>
      <c r="E2673" s="15" t="str">
        <f>IF(ISBLANK(Raw_Data!E2673),AVERAGE(Raw_Data!E$2:E$5002),Raw_Data!E2673)</f>
        <v>26990.29</v>
      </c>
      <c r="F2673" s="15" t="str">
        <f>IF(ISBLANK(Raw_Data!F2673),AVERAGE(Raw_Data!F$2:F$5002),Raw_Data!F2673)</f>
        <v>21805.83</v>
      </c>
      <c r="G2673" s="14" t="str">
        <f>IF(ISBLANK(Raw_Data!G2673),AVERAGE(Raw_Data!G$2:G$5002),Raw_Data!G2673)</f>
        <v>16480.68</v>
      </c>
      <c r="H2673" s="15" t="str">
        <f t="shared" si="1"/>
        <v>127545.00</v>
      </c>
      <c r="I2673" s="14" t="str">
        <f t="shared" si="2"/>
        <v>111064.00</v>
      </c>
      <c r="J2673" s="16" t="str">
        <f>TEXT(Raw_Data!J2673,"MMM-YYY")</f>
        <v>Nov-2025</v>
      </c>
      <c r="K2673" s="13" t="str">
        <f>Raw_Data!K2673</f>
        <v>10</v>
      </c>
      <c r="L2673" s="17" t="str">
        <f>Raw_Data!L2673</f>
        <v>Chandigarh-North</v>
      </c>
      <c r="M2673" s="13" t="str">
        <f t="shared" si="3"/>
        <v>OK</v>
      </c>
      <c r="N2673" s="18" t="str">
        <f t="shared" si="4"/>
        <v>VALID</v>
      </c>
    </row>
    <row r="2674" ht="15.75" customHeight="1">
      <c r="A2674" s="13" t="str">
        <f>Raw_Data!A2674</f>
        <v>EMP2818</v>
      </c>
      <c r="B2674" s="13" t="str">
        <f>TRIM(CLEAN(Raw_Data!B2674))</f>
        <v>Sales</v>
      </c>
      <c r="C2674" s="18" t="s">
        <v>33</v>
      </c>
      <c r="D2674" s="14" t="str">
        <f>IF(ISBLANK(Raw_Data!D2674),AVERAGE(Raw_Data!D$2:D$5002),Raw_Data!D2674)</f>
        <v>78759.90</v>
      </c>
      <c r="E2674" s="15" t="str">
        <f>IF(ISBLANK(Raw_Data!E2674),AVERAGE(Raw_Data!E$2:E$5002),Raw_Data!E2674)</f>
        <v>26994.90</v>
      </c>
      <c r="F2674" s="15" t="str">
        <f>IF(ISBLANK(Raw_Data!F2674),AVERAGE(Raw_Data!F$2:F$5002),Raw_Data!F2674)</f>
        <v>21813.51</v>
      </c>
      <c r="G2674" s="14" t="str">
        <f>IF(ISBLANK(Raw_Data!G2674),AVERAGE(Raw_Data!G$2:G$5002),Raw_Data!G2674)</f>
        <v>16484.08</v>
      </c>
      <c r="H2674" s="15" t="str">
        <f t="shared" si="1"/>
        <v>127568.00</v>
      </c>
      <c r="I2674" s="14" t="str">
        <f t="shared" si="2"/>
        <v>111084.00</v>
      </c>
      <c r="J2674" s="16" t="str">
        <f>TEXT(Raw_Data!J2674,"MMM-YYY")</f>
        <v>Mar-2025</v>
      </c>
      <c r="K2674" s="13" t="str">
        <f>Raw_Data!K2674</f>
        <v>11</v>
      </c>
      <c r="L2674" s="17" t="str">
        <f>Raw_Data!L2674</f>
        <v>Ahmedabad-West</v>
      </c>
      <c r="M2674" s="13" t="str">
        <f t="shared" si="3"/>
        <v>OK</v>
      </c>
      <c r="N2674" s="18" t="str">
        <f t="shared" si="4"/>
        <v>VALID</v>
      </c>
    </row>
    <row r="2675" ht="15.75" customHeight="1">
      <c r="A2675" s="13" t="str">
        <f>Raw_Data!A2675</f>
        <v>EMP2819</v>
      </c>
      <c r="B2675" s="13" t="str">
        <f>TRIM(CLEAN(Raw_Data!B2675))</f>
        <v>Marketing</v>
      </c>
      <c r="C2675" s="18" t="s">
        <v>18</v>
      </c>
      <c r="D2675" s="14" t="str">
        <f>IF(ISBLANK(Raw_Data!D2675),AVERAGE(Raw_Data!D$2:D$5002),Raw_Data!D2675)</f>
        <v>78770.79</v>
      </c>
      <c r="E2675" s="15" t="str">
        <f>IF(ISBLANK(Raw_Data!E2675),AVERAGE(Raw_Data!E$2:E$5002),Raw_Data!E2675)</f>
        <v>26999.52</v>
      </c>
      <c r="F2675" s="15" t="str">
        <f>IF(ISBLANK(Raw_Data!F2675),AVERAGE(Raw_Data!F$2:F$5002),Raw_Data!F2675)</f>
        <v>21821.19</v>
      </c>
      <c r="G2675" s="14" t="str">
        <f>IF(ISBLANK(Raw_Data!G2675),AVERAGE(Raw_Data!G$2:G$5002),Raw_Data!G2675)</f>
        <v>16487.47</v>
      </c>
      <c r="H2675" s="15" t="str">
        <f t="shared" si="1"/>
        <v>127591.00</v>
      </c>
      <c r="I2675" s="14" t="str">
        <f t="shared" si="2"/>
        <v>111104.00</v>
      </c>
      <c r="J2675" s="16" t="str">
        <f>TEXT(Raw_Data!J2675,"MMM-YYY")</f>
        <v>Aug-2025</v>
      </c>
      <c r="K2675" s="13" t="str">
        <f>Raw_Data!K2675</f>
        <v>3</v>
      </c>
      <c r="L2675" s="17" t="str">
        <f>Raw_Data!L2675</f>
        <v>Jaipur-North</v>
      </c>
      <c r="M2675" s="13" t="str">
        <f t="shared" si="3"/>
        <v>OK</v>
      </c>
      <c r="N2675" s="18" t="str">
        <f t="shared" si="4"/>
        <v>VALID</v>
      </c>
    </row>
    <row r="2676" ht="15.75" customHeight="1">
      <c r="A2676" s="13" t="str">
        <f>Raw_Data!A2676</f>
        <v>EMP2820</v>
      </c>
      <c r="B2676" s="13" t="str">
        <f>TRIM(CLEAN(Raw_Data!B2676))</f>
        <v>Customer Support</v>
      </c>
      <c r="C2676" s="18" t="s">
        <v>33</v>
      </c>
      <c r="D2676" s="14" t="str">
        <f>IF(ISBLANK(Raw_Data!D2676),AVERAGE(Raw_Data!D$2:D$5002),Raw_Data!D2676)</f>
        <v>78781.67</v>
      </c>
      <c r="E2676" s="15" t="str">
        <f>IF(ISBLANK(Raw_Data!E2676),AVERAGE(Raw_Data!E$2:E$5002),Raw_Data!E2676)</f>
        <v>27004.13</v>
      </c>
      <c r="F2676" s="15" t="str">
        <f>IF(ISBLANK(Raw_Data!F2676),AVERAGE(Raw_Data!F$2:F$5002),Raw_Data!F2676)</f>
        <v>21828.87</v>
      </c>
      <c r="G2676" s="14" t="str">
        <f>IF(ISBLANK(Raw_Data!G2676),AVERAGE(Raw_Data!G$2:G$5002),Raw_Data!G2676)</f>
        <v>16490.87</v>
      </c>
      <c r="H2676" s="15" t="str">
        <f t="shared" si="1"/>
        <v>127615.00</v>
      </c>
      <c r="I2676" s="14" t="str">
        <f t="shared" si="2"/>
        <v>111124.00</v>
      </c>
      <c r="J2676" s="16" t="str">
        <f>TEXT(Raw_Data!J2676,"MMM-YYY")</f>
        <v>Apr-2025</v>
      </c>
      <c r="K2676" s="13" t="str">
        <f>Raw_Data!K2676</f>
        <v>12</v>
      </c>
      <c r="L2676" s="17" t="str">
        <f>Raw_Data!L2676</f>
        <v>Mumbai-HO</v>
      </c>
      <c r="M2676" s="13" t="str">
        <f t="shared" si="3"/>
        <v>OK</v>
      </c>
      <c r="N2676" s="18" t="str">
        <f t="shared" si="4"/>
        <v>VALID</v>
      </c>
    </row>
    <row r="2677" ht="15.75" customHeight="1">
      <c r="A2677" s="13" t="str">
        <f>Raw_Data!A2677</f>
        <v>EMP2821</v>
      </c>
      <c r="B2677" s="13" t="str">
        <f>TRIM(CLEAN(Raw_Data!B2677))</f>
        <v>Sales</v>
      </c>
      <c r="C2677" s="18" t="s">
        <v>18</v>
      </c>
      <c r="D2677" s="14" t="str">
        <f>IF(ISBLANK(Raw_Data!D2677),AVERAGE(Raw_Data!D$2:D$5002),Raw_Data!D2677)</f>
        <v>78792.55</v>
      </c>
      <c r="E2677" s="15" t="str">
        <f>IF(ISBLANK(Raw_Data!E2677),AVERAGE(Raw_Data!E$2:E$5002),Raw_Data!E2677)</f>
        <v>27008.74</v>
      </c>
      <c r="F2677" s="15" t="str">
        <f>IF(ISBLANK(Raw_Data!F2677),AVERAGE(Raw_Data!F$2:F$5002),Raw_Data!F2677)</f>
        <v>21836.55</v>
      </c>
      <c r="G2677" s="14" t="str">
        <f>IF(ISBLANK(Raw_Data!G2677),AVERAGE(Raw_Data!G$2:G$5002),Raw_Data!G2677)</f>
        <v>16494.27</v>
      </c>
      <c r="H2677" s="15" t="str">
        <f t="shared" si="1"/>
        <v>127638.00</v>
      </c>
      <c r="I2677" s="14" t="str">
        <f t="shared" si="2"/>
        <v>111144.00</v>
      </c>
      <c r="J2677" s="16" t="str">
        <f>TEXT(Raw_Data!J2677,"MMM-YYY")</f>
        <v>Feb-2025</v>
      </c>
      <c r="K2677" s="13" t="str">
        <f>Raw_Data!K2677</f>
        <v>5</v>
      </c>
      <c r="L2677" s="17" t="str">
        <f>Raw_Data!L2677</f>
        <v>Delhi-North</v>
      </c>
      <c r="M2677" s="13" t="str">
        <f t="shared" si="3"/>
        <v>OK</v>
      </c>
      <c r="N2677" s="18" t="str">
        <f t="shared" si="4"/>
        <v>VALID</v>
      </c>
    </row>
    <row r="2678" ht="15.75" customHeight="1">
      <c r="A2678" s="13" t="str">
        <f>Raw_Data!A2678</f>
        <v>EMP2822</v>
      </c>
      <c r="B2678" s="13" t="str">
        <f>TRIM(CLEAN(Raw_Data!B2678))</f>
        <v>Sales</v>
      </c>
      <c r="C2678" s="18" t="s">
        <v>26</v>
      </c>
      <c r="D2678" s="14" t="str">
        <f>IF(ISBLANK(Raw_Data!D2678),AVERAGE(Raw_Data!D$2:D$5002),Raw_Data!D2678)</f>
        <v>78803.44</v>
      </c>
      <c r="E2678" s="15" t="str">
        <f>IF(ISBLANK(Raw_Data!E2678),AVERAGE(Raw_Data!E$2:E$5002),Raw_Data!E2678)</f>
        <v>27013.36</v>
      </c>
      <c r="F2678" s="15" t="str">
        <f>IF(ISBLANK(Raw_Data!F2678),AVERAGE(Raw_Data!F$2:F$5002),Raw_Data!F2678)</f>
        <v>21844.23</v>
      </c>
      <c r="G2678" s="14" t="str">
        <f>IF(ISBLANK(Raw_Data!G2678),AVERAGE(Raw_Data!G$2:G$5002),Raw_Data!G2678)</f>
        <v>16497.67</v>
      </c>
      <c r="H2678" s="15" t="str">
        <f t="shared" si="1"/>
        <v>127661.00</v>
      </c>
      <c r="I2678" s="14" t="str">
        <f t="shared" si="2"/>
        <v>111163.00</v>
      </c>
      <c r="J2678" s="16" t="str">
        <f>TEXT(Raw_Data!J2678,"MMM-YYY")</f>
        <v>Jan-2025</v>
      </c>
      <c r="K2678" s="13" t="str">
        <f>Raw_Data!K2678</f>
        <v>25</v>
      </c>
      <c r="L2678" s="17" t="str">
        <f>Raw_Data!L2678</f>
        <v>Bangalore-South</v>
      </c>
      <c r="M2678" s="13" t="str">
        <f t="shared" si="3"/>
        <v>OK</v>
      </c>
      <c r="N2678" s="18" t="str">
        <f t="shared" si="4"/>
        <v>VALID</v>
      </c>
    </row>
    <row r="2679" ht="15.75" customHeight="1">
      <c r="A2679" s="13" t="str">
        <f>Raw_Data!A2679</f>
        <v>EMP2823</v>
      </c>
      <c r="B2679" s="13" t="str">
        <f>TRIM(CLEAN(Raw_Data!B2679))</f>
        <v>Marketing</v>
      </c>
      <c r="C2679" s="18" t="s">
        <v>30</v>
      </c>
      <c r="D2679" s="14" t="str">
        <f>IF(ISBLANK(Raw_Data!D2679),AVERAGE(Raw_Data!D$2:D$5002),Raw_Data!D2679)</f>
        <v>78814.32</v>
      </c>
      <c r="E2679" s="15" t="str">
        <f>IF(ISBLANK(Raw_Data!E2679),AVERAGE(Raw_Data!E$2:E$5002),Raw_Data!E2679)</f>
        <v>27017.97</v>
      </c>
      <c r="F2679" s="15" t="str">
        <f>IF(ISBLANK(Raw_Data!F2679),AVERAGE(Raw_Data!F$2:F$5002),Raw_Data!F2679)</f>
        <v>21851.91</v>
      </c>
      <c r="G2679" s="14" t="str">
        <f>IF(ISBLANK(Raw_Data!G2679),AVERAGE(Raw_Data!G$2:G$5002),Raw_Data!G2679)</f>
        <v>16501.06</v>
      </c>
      <c r="H2679" s="15" t="str">
        <f t="shared" si="1"/>
        <v>127684.00</v>
      </c>
      <c r="I2679" s="14" t="str">
        <f t="shared" si="2"/>
        <v>111183.00</v>
      </c>
      <c r="J2679" s="16" t="str">
        <f>TEXT(Raw_Data!J2679,"MMM-YYY")</f>
        <v>Nov-2025</v>
      </c>
      <c r="K2679" s="13" t="str">
        <f>Raw_Data!K2679</f>
        <v>3</v>
      </c>
      <c r="L2679" s="17" t="str">
        <f>Raw_Data!L2679</f>
        <v>Chennai-South</v>
      </c>
      <c r="M2679" s="13" t="str">
        <f t="shared" si="3"/>
        <v>OK</v>
      </c>
      <c r="N2679" s="18" t="str">
        <f t="shared" si="4"/>
        <v>VALID</v>
      </c>
    </row>
    <row r="2680" ht="15.75" customHeight="1">
      <c r="A2680" s="13" t="str">
        <f>Raw_Data!A2680</f>
        <v>EMP2824</v>
      </c>
      <c r="B2680" s="13" t="str">
        <f>TRIM(CLEAN(Raw_Data!B2680))</f>
        <v>HR</v>
      </c>
      <c r="C2680" s="18" t="s">
        <v>26</v>
      </c>
      <c r="D2680" s="14" t="str">
        <f>IF(ISBLANK(Raw_Data!D2680),AVERAGE(Raw_Data!D$2:D$5002),Raw_Data!D2680)</f>
        <v>78825.20</v>
      </c>
      <c r="E2680" s="15" t="str">
        <f>IF(ISBLANK(Raw_Data!E2680),AVERAGE(Raw_Data!E$2:E$5002),Raw_Data!E2680)</f>
        <v>27022.59</v>
      </c>
      <c r="F2680" s="15" t="str">
        <f>IF(ISBLANK(Raw_Data!F2680),AVERAGE(Raw_Data!F$2:F$5002),Raw_Data!F2680)</f>
        <v>21859.59</v>
      </c>
      <c r="G2680" s="14" t="str">
        <f>IF(ISBLANK(Raw_Data!G2680),AVERAGE(Raw_Data!G$2:G$5002),Raw_Data!G2680)</f>
        <v>16504.46</v>
      </c>
      <c r="H2680" s="15" t="str">
        <f t="shared" si="1"/>
        <v>127707.00</v>
      </c>
      <c r="I2680" s="14" t="str">
        <f t="shared" si="2"/>
        <v>111203.00</v>
      </c>
      <c r="J2680" s="16" t="str">
        <f>TEXT(Raw_Data!J2680,"MMM-YYY")</f>
        <v>Apr-2025</v>
      </c>
      <c r="K2680" s="13" t="str">
        <f>Raw_Data!K2680</f>
        <v>16</v>
      </c>
      <c r="L2680" s="17" t="str">
        <f>Raw_Data!L2680</f>
        <v>Kolkata-East</v>
      </c>
      <c r="M2680" s="13" t="str">
        <f t="shared" si="3"/>
        <v>OK</v>
      </c>
      <c r="N2680" s="18" t="str">
        <f t="shared" si="4"/>
        <v>VALID</v>
      </c>
    </row>
    <row r="2681" ht="15.75" customHeight="1">
      <c r="A2681" s="13" t="str">
        <f>Raw_Data!A2681</f>
        <v>EMP2825</v>
      </c>
      <c r="B2681" s="13" t="str">
        <f>TRIM(CLEAN(Raw_Data!B2681))</f>
        <v>Finance</v>
      </c>
      <c r="C2681" s="18" t="s">
        <v>30</v>
      </c>
      <c r="D2681" s="14" t="str">
        <f>IF(ISBLANK(Raw_Data!D2681),AVERAGE(Raw_Data!D$2:D$5002),Raw_Data!D2681)</f>
        <v>78836.08</v>
      </c>
      <c r="E2681" s="15" t="str">
        <f>IF(ISBLANK(Raw_Data!E2681),AVERAGE(Raw_Data!E$2:E$5002),Raw_Data!E2681)</f>
        <v>27027.20</v>
      </c>
      <c r="F2681" s="15" t="str">
        <f>IF(ISBLANK(Raw_Data!F2681),AVERAGE(Raw_Data!F$2:F$5002),Raw_Data!F2681)</f>
        <v>21867.27</v>
      </c>
      <c r="G2681" s="14" t="str">
        <f>IF(ISBLANK(Raw_Data!G2681),AVERAGE(Raw_Data!G$2:G$5002),Raw_Data!G2681)</f>
        <v>16507.86</v>
      </c>
      <c r="H2681" s="15" t="str">
        <f t="shared" si="1"/>
        <v>127731.00</v>
      </c>
      <c r="I2681" s="14" t="str">
        <f t="shared" si="2"/>
        <v>111223.00</v>
      </c>
      <c r="J2681" s="16" t="str">
        <f>TEXT(Raw_Data!J2681,"MMM-YYY")</f>
        <v>May-2025</v>
      </c>
      <c r="K2681" s="13" t="str">
        <f>Raw_Data!K2681</f>
        <v>16</v>
      </c>
      <c r="L2681" s="17" t="str">
        <f>Raw_Data!L2681</f>
        <v>Pune-West</v>
      </c>
      <c r="M2681" s="13" t="str">
        <f t="shared" si="3"/>
        <v>OK</v>
      </c>
      <c r="N2681" s="18" t="str">
        <f t="shared" si="4"/>
        <v>VALID</v>
      </c>
    </row>
    <row r="2682" ht="15.75" customHeight="1">
      <c r="A2682" s="13" t="str">
        <f>Raw_Data!A2682</f>
        <v>EMP2826</v>
      </c>
      <c r="B2682" s="13" t="str">
        <f>TRIM(CLEAN(Raw_Data!B2682))</f>
        <v>Sales</v>
      </c>
      <c r="C2682" s="18" t="s">
        <v>54</v>
      </c>
      <c r="D2682" s="14" t="str">
        <f>IF(ISBLANK(Raw_Data!D2682),AVERAGE(Raw_Data!D$2:D$5002),Raw_Data!D2682)</f>
        <v>78846.97</v>
      </c>
      <c r="E2682" s="15" t="str">
        <f>IF(ISBLANK(Raw_Data!E2682),AVERAGE(Raw_Data!E$2:E$5002),Raw_Data!E2682)</f>
        <v>27031.82</v>
      </c>
      <c r="F2682" s="15" t="str">
        <f>IF(ISBLANK(Raw_Data!F2682),AVERAGE(Raw_Data!F$2:F$5002),Raw_Data!F2682)</f>
        <v>21874.95</v>
      </c>
      <c r="G2682" s="14" t="str">
        <f>IF(ISBLANK(Raw_Data!G2682),AVERAGE(Raw_Data!G$2:G$5002),Raw_Data!G2682)</f>
        <v>16511.26</v>
      </c>
      <c r="H2682" s="15" t="str">
        <f t="shared" si="1"/>
        <v>127754.00</v>
      </c>
      <c r="I2682" s="14" t="str">
        <f t="shared" si="2"/>
        <v>111243.00</v>
      </c>
      <c r="J2682" s="16" t="str">
        <f>TEXT(Raw_Data!J2682,"MMM-YYY")</f>
        <v>Nov-2025</v>
      </c>
      <c r="K2682" s="13" t="str">
        <f>Raw_Data!K2682</f>
        <v>16</v>
      </c>
      <c r="L2682" s="17" t="str">
        <f>Raw_Data!L2682</f>
        <v>Hyderabad-South</v>
      </c>
      <c r="M2682" s="13" t="str">
        <f t="shared" si="3"/>
        <v>OK</v>
      </c>
      <c r="N2682" s="18" t="str">
        <f t="shared" si="4"/>
        <v>VALID</v>
      </c>
    </row>
    <row r="2683" ht="15.75" customHeight="1">
      <c r="A2683" s="13" t="str">
        <f>Raw_Data!A2683</f>
        <v>EMP2827</v>
      </c>
      <c r="B2683" s="13" t="str">
        <f>TRIM(CLEAN(Raw_Data!B2683))</f>
        <v>Operations</v>
      </c>
      <c r="C2683" s="18" t="s">
        <v>14</v>
      </c>
      <c r="D2683" s="14" t="str">
        <f>IF(ISBLANK(Raw_Data!D2683),AVERAGE(Raw_Data!D$2:D$5002),Raw_Data!D2683)</f>
        <v>78857.85</v>
      </c>
      <c r="E2683" s="15" t="str">
        <f>IF(ISBLANK(Raw_Data!E2683),AVERAGE(Raw_Data!E$2:E$5002),Raw_Data!E2683)</f>
        <v>27036.43</v>
      </c>
      <c r="F2683" s="15" t="str">
        <f>IF(ISBLANK(Raw_Data!F2683),AVERAGE(Raw_Data!F$2:F$5002),Raw_Data!F2683)</f>
        <v>21882.63</v>
      </c>
      <c r="G2683" s="14" t="str">
        <f>IF(ISBLANK(Raw_Data!G2683),AVERAGE(Raw_Data!G$2:G$5002),Raw_Data!G2683)</f>
        <v>16514.65</v>
      </c>
      <c r="H2683" s="15" t="str">
        <f t="shared" si="1"/>
        <v>127777.00</v>
      </c>
      <c r="I2683" s="14" t="str">
        <f t="shared" si="2"/>
        <v>111262.00</v>
      </c>
      <c r="J2683" s="16" t="str">
        <f>TEXT(Raw_Data!J2683,"MMM-YYY")</f>
        <v>Sep-2025</v>
      </c>
      <c r="K2683" s="13" t="str">
        <f>Raw_Data!K2683</f>
        <v>15</v>
      </c>
      <c r="L2683" s="17" t="str">
        <f>Raw_Data!L2683</f>
        <v>Chandigarh-North</v>
      </c>
      <c r="M2683" s="13" t="str">
        <f t="shared" si="3"/>
        <v>OK</v>
      </c>
      <c r="N2683" s="18" t="str">
        <f t="shared" si="4"/>
        <v>VALID</v>
      </c>
    </row>
    <row r="2684" ht="15.75" customHeight="1">
      <c r="A2684" s="13" t="str">
        <f>Raw_Data!A2684</f>
        <v>EMP2828</v>
      </c>
      <c r="B2684" s="13" t="str">
        <f>TRIM(CLEAN(Raw_Data!B2684))</f>
        <v>Finance</v>
      </c>
      <c r="C2684" s="18" t="s">
        <v>14</v>
      </c>
      <c r="D2684" s="14" t="str">
        <f>IF(ISBLANK(Raw_Data!D2684),AVERAGE(Raw_Data!D$2:D$5002),Raw_Data!D2684)</f>
        <v>78868.73</v>
      </c>
      <c r="E2684" s="15" t="str">
        <f>IF(ISBLANK(Raw_Data!E2684),AVERAGE(Raw_Data!E$2:E$5002),Raw_Data!E2684)</f>
        <v>27041.05</v>
      </c>
      <c r="F2684" s="15" t="str">
        <f>IF(ISBLANK(Raw_Data!F2684),AVERAGE(Raw_Data!F$2:F$5002),Raw_Data!F2684)</f>
        <v>21890.31</v>
      </c>
      <c r="G2684" s="14" t="str">
        <f>IF(ISBLANK(Raw_Data!G2684),AVERAGE(Raw_Data!G$2:G$5002),Raw_Data!G2684)</f>
        <v>16518.05</v>
      </c>
      <c r="H2684" s="15" t="str">
        <f t="shared" si="1"/>
        <v>127800.00</v>
      </c>
      <c r="I2684" s="14" t="str">
        <f t="shared" si="2"/>
        <v>111282.00</v>
      </c>
      <c r="J2684" s="16" t="str">
        <f>TEXT(Raw_Data!J2684,"MMM-YYY")</f>
        <v>Dec-2025</v>
      </c>
      <c r="K2684" s="13" t="str">
        <f>Raw_Data!K2684</f>
        <v>7</v>
      </c>
      <c r="L2684" s="17" t="str">
        <f>Raw_Data!L2684</f>
        <v>Ahmedabad-West</v>
      </c>
      <c r="M2684" s="13" t="str">
        <f t="shared" si="3"/>
        <v>OK</v>
      </c>
      <c r="N2684" s="18" t="str">
        <f t="shared" si="4"/>
        <v>VALID</v>
      </c>
    </row>
    <row r="2685" ht="15.75" customHeight="1">
      <c r="A2685" s="13" t="str">
        <f>Raw_Data!A2685</f>
        <v>EMP2829</v>
      </c>
      <c r="B2685" s="13" t="str">
        <f>TRIM(CLEAN(Raw_Data!B2685))</f>
        <v>Customer Support</v>
      </c>
      <c r="C2685" s="18" t="s">
        <v>18</v>
      </c>
      <c r="D2685" s="14" t="str">
        <f>IF(ISBLANK(Raw_Data!D2685),AVERAGE(Raw_Data!D$2:D$5002),Raw_Data!D2685)</f>
        <v>78879.62</v>
      </c>
      <c r="E2685" s="15" t="str">
        <f>IF(ISBLANK(Raw_Data!E2685),AVERAGE(Raw_Data!E$2:E$5002),Raw_Data!E2685)</f>
        <v>27045.66</v>
      </c>
      <c r="F2685" s="15" t="str">
        <f>IF(ISBLANK(Raw_Data!F2685),AVERAGE(Raw_Data!F$2:F$5002),Raw_Data!F2685)</f>
        <v>21897.99</v>
      </c>
      <c r="G2685" s="14" t="str">
        <f>IF(ISBLANK(Raw_Data!G2685),AVERAGE(Raw_Data!G$2:G$5002),Raw_Data!G2685)</f>
        <v>16521.45</v>
      </c>
      <c r="H2685" s="15" t="str">
        <f t="shared" si="1"/>
        <v>127823.00</v>
      </c>
      <c r="I2685" s="14" t="str">
        <f t="shared" si="2"/>
        <v>111302.00</v>
      </c>
      <c r="J2685" s="16" t="str">
        <f>TEXT(Raw_Data!J2685,"MMM-YYY")</f>
        <v>Jun-2025</v>
      </c>
      <c r="K2685" s="13" t="str">
        <f>Raw_Data!K2685</f>
        <v>3</v>
      </c>
      <c r="L2685" s="17" t="str">
        <f>Raw_Data!L2685</f>
        <v>Jaipur-North</v>
      </c>
      <c r="M2685" s="13" t="str">
        <f t="shared" si="3"/>
        <v>OK</v>
      </c>
      <c r="N2685" s="18" t="str">
        <f t="shared" si="4"/>
        <v>VALID</v>
      </c>
    </row>
    <row r="2686" ht="15.75" customHeight="1">
      <c r="A2686" s="13" t="str">
        <f>Raw_Data!A2686</f>
        <v>EMP2830</v>
      </c>
      <c r="B2686" s="13" t="str">
        <f>TRIM(CLEAN(Raw_Data!B2686))</f>
        <v>Finance</v>
      </c>
      <c r="C2686" s="18" t="s">
        <v>33</v>
      </c>
      <c r="D2686" s="14" t="str">
        <f>IF(ISBLANK(Raw_Data!D2686),AVERAGE(Raw_Data!D$2:D$5002),Raw_Data!D2686)</f>
        <v>78890.50</v>
      </c>
      <c r="E2686" s="15" t="str">
        <f>IF(ISBLANK(Raw_Data!E2686),AVERAGE(Raw_Data!E$2:E$5002),Raw_Data!E2686)</f>
        <v>27050.28</v>
      </c>
      <c r="F2686" s="15" t="str">
        <f>IF(ISBLANK(Raw_Data!F2686),AVERAGE(Raw_Data!F$2:F$5002),Raw_Data!F2686)</f>
        <v>21905.67</v>
      </c>
      <c r="G2686" s="14" t="str">
        <f>IF(ISBLANK(Raw_Data!G2686),AVERAGE(Raw_Data!G$2:G$5002),Raw_Data!G2686)</f>
        <v>16524.85</v>
      </c>
      <c r="H2686" s="15" t="str">
        <f t="shared" si="1"/>
        <v>127846.00</v>
      </c>
      <c r="I2686" s="14" t="str">
        <f t="shared" si="2"/>
        <v>111321.00</v>
      </c>
      <c r="J2686" s="16" t="str">
        <f>TEXT(Raw_Data!J2686,"MMM-YYY")</f>
        <v>Jul-2025</v>
      </c>
      <c r="K2686" s="13" t="str">
        <f>Raw_Data!K2686</f>
        <v>3</v>
      </c>
      <c r="L2686" s="17" t="str">
        <f>Raw_Data!L2686</f>
        <v>Mumbai-HO</v>
      </c>
      <c r="M2686" s="13" t="str">
        <f t="shared" si="3"/>
        <v>OK</v>
      </c>
      <c r="N2686" s="18" t="str">
        <f t="shared" si="4"/>
        <v>VALID</v>
      </c>
    </row>
    <row r="2687" ht="15.75" customHeight="1">
      <c r="A2687" s="13" t="str">
        <f>Raw_Data!A2687</f>
        <v>EMP2831</v>
      </c>
      <c r="B2687" s="13" t="str">
        <f>TRIM(CLEAN(Raw_Data!B2687))</f>
        <v>Finance</v>
      </c>
      <c r="C2687" s="18" t="s">
        <v>37</v>
      </c>
      <c r="D2687" s="14" t="str">
        <f>IF(ISBLANK(Raw_Data!D2687),AVERAGE(Raw_Data!D$2:D$5002),Raw_Data!D2687)</f>
        <v>78901.38</v>
      </c>
      <c r="E2687" s="15" t="str">
        <f>IF(ISBLANK(Raw_Data!E2687),AVERAGE(Raw_Data!E$2:E$5002),Raw_Data!E2687)</f>
        <v>27054.89</v>
      </c>
      <c r="F2687" s="15" t="str">
        <f>IF(ISBLANK(Raw_Data!F2687),AVERAGE(Raw_Data!F$2:F$5002),Raw_Data!F2687)</f>
        <v>21913.35</v>
      </c>
      <c r="G2687" s="14" t="str">
        <f>IF(ISBLANK(Raw_Data!G2687),AVERAGE(Raw_Data!G$2:G$5002),Raw_Data!G2687)</f>
        <v>16528.24</v>
      </c>
      <c r="H2687" s="15" t="str">
        <f t="shared" si="1"/>
        <v>127870.00</v>
      </c>
      <c r="I2687" s="14" t="str">
        <f t="shared" si="2"/>
        <v>111342.00</v>
      </c>
      <c r="J2687" s="16" t="str">
        <f>TEXT(Raw_Data!J2687,"MMM-YYY")</f>
        <v>Apr-2025</v>
      </c>
      <c r="K2687" s="13" t="str">
        <f>Raw_Data!K2687</f>
        <v>9</v>
      </c>
      <c r="L2687" s="17" t="str">
        <f>Raw_Data!L2687</f>
        <v>Delhi-North</v>
      </c>
      <c r="M2687" s="13" t="str">
        <f t="shared" si="3"/>
        <v>OK</v>
      </c>
      <c r="N2687" s="18" t="str">
        <f t="shared" si="4"/>
        <v>VALID</v>
      </c>
    </row>
    <row r="2688" ht="15.75" customHeight="1">
      <c r="A2688" s="13" t="str">
        <f>Raw_Data!A2688</f>
        <v>EMP2832</v>
      </c>
      <c r="B2688" s="13" t="str">
        <f>TRIM(CLEAN(Raw_Data!B2688))</f>
        <v>Sales</v>
      </c>
      <c r="C2688" s="18" t="s">
        <v>54</v>
      </c>
      <c r="D2688" s="14" t="str">
        <f>IF(ISBLANK(Raw_Data!D2688),AVERAGE(Raw_Data!D$2:D$5002),Raw_Data!D2688)</f>
        <v>78912.27</v>
      </c>
      <c r="E2688" s="15" t="str">
        <f>IF(ISBLANK(Raw_Data!E2688),AVERAGE(Raw_Data!E$2:E$5002),Raw_Data!E2688)</f>
        <v>27059.51</v>
      </c>
      <c r="F2688" s="15" t="str">
        <f>IF(ISBLANK(Raw_Data!F2688),AVERAGE(Raw_Data!F$2:F$5002),Raw_Data!F2688)</f>
        <v>21921.03</v>
      </c>
      <c r="G2688" s="14" t="str">
        <f>IF(ISBLANK(Raw_Data!G2688),AVERAGE(Raw_Data!G$2:G$5002),Raw_Data!G2688)</f>
        <v>14562.73</v>
      </c>
      <c r="H2688" s="15" t="str">
        <f t="shared" si="1"/>
        <v>127893.00</v>
      </c>
      <c r="I2688" s="14" t="str">
        <f t="shared" si="2"/>
        <v>113330.00</v>
      </c>
      <c r="J2688" s="16" t="str">
        <f>TEXT(Raw_Data!J2688,"MMM-YYY")</f>
        <v>Sep-2025</v>
      </c>
      <c r="K2688" s="13" t="str">
        <f>Raw_Data!K2688</f>
        <v>14</v>
      </c>
      <c r="L2688" s="17" t="str">
        <f>Raw_Data!L2688</f>
        <v>Bangalore-South</v>
      </c>
      <c r="M2688" s="13" t="str">
        <f t="shared" si="3"/>
        <v>OK</v>
      </c>
      <c r="N2688" s="18" t="str">
        <f t="shared" si="4"/>
        <v>VALID</v>
      </c>
    </row>
    <row r="2689" ht="15.75" customHeight="1">
      <c r="A2689" s="13" t="str">
        <f>Raw_Data!A2689</f>
        <v>EMP2833</v>
      </c>
      <c r="B2689" s="13" t="str">
        <f>TRIM(CLEAN(Raw_Data!B2689))</f>
        <v>Finance</v>
      </c>
      <c r="C2689" s="18" t="s">
        <v>26</v>
      </c>
      <c r="D2689" s="14" t="str">
        <f>IF(ISBLANK(Raw_Data!D2689),AVERAGE(Raw_Data!D$2:D$5002),Raw_Data!D2689)</f>
        <v>78923.15</v>
      </c>
      <c r="E2689" s="15" t="str">
        <f>IF(ISBLANK(Raw_Data!E2689),AVERAGE(Raw_Data!E$2:E$5002),Raw_Data!E2689)</f>
        <v>27064.12</v>
      </c>
      <c r="F2689" s="15" t="str">
        <f>IF(ISBLANK(Raw_Data!F2689),AVERAGE(Raw_Data!F$2:F$5002),Raw_Data!F2689)</f>
        <v>21928.71</v>
      </c>
      <c r="G2689" s="14" t="str">
        <f>IF(ISBLANK(Raw_Data!G2689),AVERAGE(Raw_Data!G$2:G$5002),Raw_Data!G2689)</f>
        <v>16535.04</v>
      </c>
      <c r="H2689" s="15" t="str">
        <f t="shared" si="1"/>
        <v>127916.00</v>
      </c>
      <c r="I2689" s="14" t="str">
        <f t="shared" si="2"/>
        <v>111381.00</v>
      </c>
      <c r="J2689" s="16" t="str">
        <f>TEXT(Raw_Data!J2689,"MMM-YYY")</f>
        <v>Apr-2025</v>
      </c>
      <c r="K2689" s="13" t="str">
        <f>Raw_Data!K2689</f>
        <v>20</v>
      </c>
      <c r="L2689" s="17" t="str">
        <f>Raw_Data!L2689</f>
        <v>Chennai-South</v>
      </c>
      <c r="M2689" s="13" t="str">
        <f t="shared" si="3"/>
        <v>OK</v>
      </c>
      <c r="N2689" s="18" t="str">
        <f t="shared" si="4"/>
        <v>VALID</v>
      </c>
    </row>
    <row r="2690" ht="15.75" customHeight="1">
      <c r="A2690" s="13" t="str">
        <f>Raw_Data!A2690</f>
        <v>EMP2834</v>
      </c>
      <c r="B2690" s="13" t="str">
        <f>TRIM(CLEAN(Raw_Data!B2690))</f>
        <v>IT</v>
      </c>
      <c r="C2690" s="18" t="s">
        <v>14</v>
      </c>
      <c r="D2690" s="14" t="str">
        <f>IF(ISBLANK(Raw_Data!D2690),AVERAGE(Raw_Data!D$2:D$5002),Raw_Data!D2690)</f>
        <v>78934.03</v>
      </c>
      <c r="E2690" s="15" t="str">
        <f>IF(ISBLANK(Raw_Data!E2690),AVERAGE(Raw_Data!E$2:E$5002),Raw_Data!E2690)</f>
        <v>27068.74</v>
      </c>
      <c r="F2690" s="15" t="str">
        <f>IF(ISBLANK(Raw_Data!F2690),AVERAGE(Raw_Data!F$2:F$5002),Raw_Data!F2690)</f>
        <v>21936.39</v>
      </c>
      <c r="G2690" s="14" t="str">
        <f>IF(ISBLANK(Raw_Data!G2690),AVERAGE(Raw_Data!G$2:G$5002),Raw_Data!G2690)</f>
        <v>16538.44</v>
      </c>
      <c r="H2690" s="15" t="str">
        <f t="shared" si="1"/>
        <v>127939.00</v>
      </c>
      <c r="I2690" s="14" t="str">
        <f t="shared" si="2"/>
        <v>111401.00</v>
      </c>
      <c r="J2690" s="16" t="str">
        <f>TEXT(Raw_Data!J2690,"MMM-YYY")</f>
        <v>Sep-2025</v>
      </c>
      <c r="K2690" s="13" t="str">
        <f>Raw_Data!K2690</f>
        <v>14</v>
      </c>
      <c r="L2690" s="17" t="str">
        <f>Raw_Data!L2690</f>
        <v>Kolkata-East</v>
      </c>
      <c r="M2690" s="13" t="str">
        <f t="shared" si="3"/>
        <v>OK</v>
      </c>
      <c r="N2690" s="18" t="str">
        <f t="shared" si="4"/>
        <v>VALID</v>
      </c>
    </row>
    <row r="2691" ht="15.75" customHeight="1">
      <c r="A2691" s="13" t="str">
        <f>Raw_Data!A2691</f>
        <v>EMP2835</v>
      </c>
      <c r="B2691" s="13" t="str">
        <f>TRIM(CLEAN(Raw_Data!B2691))</f>
        <v>Marketing</v>
      </c>
      <c r="C2691" s="18" t="s">
        <v>18</v>
      </c>
      <c r="D2691" s="14" t="str">
        <f>IF(ISBLANK(Raw_Data!D2691),AVERAGE(Raw_Data!D$2:D$5002),Raw_Data!D2691)</f>
        <v>78944.91</v>
      </c>
      <c r="E2691" s="15" t="str">
        <f>IF(ISBLANK(Raw_Data!E2691),AVERAGE(Raw_Data!E$2:E$5002),Raw_Data!E2691)</f>
        <v>27073.35</v>
      </c>
      <c r="F2691" s="15" t="str">
        <f>IF(ISBLANK(Raw_Data!F2691),AVERAGE(Raw_Data!F$2:F$5002),Raw_Data!F2691)</f>
        <v>21944.07</v>
      </c>
      <c r="G2691" s="14" t="str">
        <f>IF(ISBLANK(Raw_Data!G2691),AVERAGE(Raw_Data!G$2:G$5002),Raw_Data!G2691)</f>
        <v>16541.84</v>
      </c>
      <c r="H2691" s="15" t="str">
        <f t="shared" si="1"/>
        <v>127962.00</v>
      </c>
      <c r="I2691" s="14" t="str">
        <f t="shared" si="2"/>
        <v>111420.00</v>
      </c>
      <c r="J2691" s="16" t="str">
        <f>TEXT(Raw_Data!J2691,"MMM-YYY")</f>
        <v>Oct-2025</v>
      </c>
      <c r="K2691" s="13" t="str">
        <f>Raw_Data!K2691</f>
        <v>14</v>
      </c>
      <c r="L2691" s="17" t="str">
        <f>Raw_Data!L2691</f>
        <v>Pune-West</v>
      </c>
      <c r="M2691" s="13" t="str">
        <f t="shared" si="3"/>
        <v>OK</v>
      </c>
      <c r="N2691" s="18" t="str">
        <f t="shared" si="4"/>
        <v>VALID</v>
      </c>
    </row>
    <row r="2692" ht="15.75" customHeight="1">
      <c r="A2692" s="13" t="str">
        <f>Raw_Data!A2692</f>
        <v>EMP2836</v>
      </c>
      <c r="B2692" s="13" t="str">
        <f>TRIM(CLEAN(Raw_Data!B2692))</f>
        <v>IT</v>
      </c>
      <c r="C2692" s="18" t="s">
        <v>54</v>
      </c>
      <c r="D2692" s="14" t="str">
        <f>IF(ISBLANK(Raw_Data!D2692),AVERAGE(Raw_Data!D$2:D$5002),Raw_Data!D2692)</f>
        <v>78955.80</v>
      </c>
      <c r="E2692" s="15" t="str">
        <f>IF(ISBLANK(Raw_Data!E2692),AVERAGE(Raw_Data!E$2:E$5002),Raw_Data!E2692)</f>
        <v>27077.97</v>
      </c>
      <c r="F2692" s="15" t="str">
        <f>IF(ISBLANK(Raw_Data!F2692),AVERAGE(Raw_Data!F$2:F$5002),Raw_Data!F2692)</f>
        <v>21951.75</v>
      </c>
      <c r="G2692" s="14" t="str">
        <f>IF(ISBLANK(Raw_Data!G2692),AVERAGE(Raw_Data!G$2:G$5002),Raw_Data!G2692)</f>
        <v>16545.23</v>
      </c>
      <c r="H2692" s="15" t="str">
        <f t="shared" si="1"/>
        <v>127986.00</v>
      </c>
      <c r="I2692" s="14" t="str">
        <f t="shared" si="2"/>
        <v>111441.00</v>
      </c>
      <c r="J2692" s="16" t="str">
        <f>TEXT(Raw_Data!J2692,"MMM-YYY")</f>
        <v>Nov-2025</v>
      </c>
      <c r="K2692" s="13" t="str">
        <f>Raw_Data!K2692</f>
        <v>24</v>
      </c>
      <c r="L2692" s="17" t="str">
        <f>Raw_Data!L2692</f>
        <v>Hyderabad-South</v>
      </c>
      <c r="M2692" s="13" t="str">
        <f t="shared" si="3"/>
        <v>OK</v>
      </c>
      <c r="N2692" s="18" t="str">
        <f t="shared" si="4"/>
        <v>VALID</v>
      </c>
    </row>
    <row r="2693" ht="15.75" customHeight="1">
      <c r="A2693" s="13" t="str">
        <f>Raw_Data!A2693</f>
        <v>EMP2837</v>
      </c>
      <c r="B2693" s="13" t="str">
        <f>TRIM(CLEAN(Raw_Data!B2693))</f>
        <v>Sales</v>
      </c>
      <c r="C2693" s="18" t="s">
        <v>26</v>
      </c>
      <c r="D2693" s="14" t="str">
        <f>IF(ISBLANK(Raw_Data!D2693),AVERAGE(Raw_Data!D$2:D$5002),Raw_Data!D2693)</f>
        <v>78966.68</v>
      </c>
      <c r="E2693" s="15" t="str">
        <f>IF(ISBLANK(Raw_Data!E2693),AVERAGE(Raw_Data!E$2:E$5002),Raw_Data!E2693)</f>
        <v>27082.58</v>
      </c>
      <c r="F2693" s="15" t="str">
        <f>IF(ISBLANK(Raw_Data!F2693),AVERAGE(Raw_Data!F$2:F$5002),Raw_Data!F2693)</f>
        <v>21959.43</v>
      </c>
      <c r="G2693" s="14" t="str">
        <f>IF(ISBLANK(Raw_Data!G2693),AVERAGE(Raw_Data!G$2:G$5002),Raw_Data!G2693)</f>
        <v>16548.63</v>
      </c>
      <c r="H2693" s="15" t="str">
        <f t="shared" si="1"/>
        <v>128009.00</v>
      </c>
      <c r="I2693" s="14" t="str">
        <f t="shared" si="2"/>
        <v>111460.00</v>
      </c>
      <c r="J2693" s="16" t="str">
        <f>TEXT(Raw_Data!J2693,"MMM-YYY")</f>
        <v>Jan-2025</v>
      </c>
      <c r="K2693" s="13" t="str">
        <f>Raw_Data!K2693</f>
        <v>18</v>
      </c>
      <c r="L2693" s="17" t="str">
        <f>Raw_Data!L2693</f>
        <v>Chandigarh-North</v>
      </c>
      <c r="M2693" s="13" t="str">
        <f t="shared" si="3"/>
        <v>OK</v>
      </c>
      <c r="N2693" s="18" t="str">
        <f t="shared" si="4"/>
        <v>VALID</v>
      </c>
    </row>
    <row r="2694" ht="15.75" customHeight="1">
      <c r="A2694" s="13" t="str">
        <f>Raw_Data!A2694</f>
        <v>EMP2838</v>
      </c>
      <c r="B2694" s="13" t="str">
        <f>TRIM(CLEAN(Raw_Data!B2694))</f>
        <v>HR</v>
      </c>
      <c r="C2694" s="18" t="s">
        <v>26</v>
      </c>
      <c r="D2694" s="14" t="str">
        <f>IF(ISBLANK(Raw_Data!D2694),AVERAGE(Raw_Data!D$2:D$5002),Raw_Data!D2694)</f>
        <v>78977.56</v>
      </c>
      <c r="E2694" s="15" t="str">
        <f>IF(ISBLANK(Raw_Data!E2694),AVERAGE(Raw_Data!E$2:E$5002),Raw_Data!E2694)</f>
        <v>27087.19</v>
      </c>
      <c r="F2694" s="15" t="str">
        <f>IF(ISBLANK(Raw_Data!F2694),AVERAGE(Raw_Data!F$2:F$5002),Raw_Data!F2694)</f>
        <v>21967.11</v>
      </c>
      <c r="G2694" s="14" t="str">
        <f>IF(ISBLANK(Raw_Data!G2694),AVERAGE(Raw_Data!G$2:G$5002),Raw_Data!G2694)</f>
        <v>16552.03</v>
      </c>
      <c r="H2694" s="15" t="str">
        <f t="shared" si="1"/>
        <v>128032.00</v>
      </c>
      <c r="I2694" s="14" t="str">
        <f t="shared" si="2"/>
        <v>111480.00</v>
      </c>
      <c r="J2694" s="16" t="str">
        <f>TEXT(Raw_Data!J2694,"MMM-YYY")</f>
        <v>Aug-2025</v>
      </c>
      <c r="K2694" s="13" t="str">
        <f>Raw_Data!K2694</f>
        <v>2</v>
      </c>
      <c r="L2694" s="17" t="str">
        <f>Raw_Data!L2694</f>
        <v>Ahmedabad-West</v>
      </c>
      <c r="M2694" s="13" t="str">
        <f t="shared" si="3"/>
        <v>OK</v>
      </c>
      <c r="N2694" s="18" t="str">
        <f t="shared" si="4"/>
        <v>VALID</v>
      </c>
    </row>
    <row r="2695" ht="15.75" customHeight="1">
      <c r="A2695" s="13" t="str">
        <f>Raw_Data!A2695</f>
        <v>EMP2839</v>
      </c>
      <c r="B2695" s="13" t="str">
        <f>TRIM(CLEAN(Raw_Data!B2695))</f>
        <v>Operations</v>
      </c>
      <c r="C2695" s="18" t="s">
        <v>54</v>
      </c>
      <c r="D2695" s="14" t="str">
        <f>IF(ISBLANK(Raw_Data!D2695),AVERAGE(Raw_Data!D$2:D$5002),Raw_Data!D2695)</f>
        <v>78988.45</v>
      </c>
      <c r="E2695" s="15" t="str">
        <f>IF(ISBLANK(Raw_Data!E2695),AVERAGE(Raw_Data!E$2:E$5002),Raw_Data!E2695)</f>
        <v>27091.81</v>
      </c>
      <c r="F2695" s="15" t="str">
        <f>IF(ISBLANK(Raw_Data!F2695),AVERAGE(Raw_Data!F$2:F$5002),Raw_Data!F2695)</f>
        <v>21974.79</v>
      </c>
      <c r="G2695" s="14" t="str">
        <f>IF(ISBLANK(Raw_Data!G2695),AVERAGE(Raw_Data!G$2:G$5002),Raw_Data!G2695)</f>
        <v>16555.43</v>
      </c>
      <c r="H2695" s="15" t="str">
        <f t="shared" si="1"/>
        <v>128055.00</v>
      </c>
      <c r="I2695" s="14" t="str">
        <f t="shared" si="2"/>
        <v>111500.00</v>
      </c>
      <c r="J2695" s="16" t="str">
        <f>TEXT(Raw_Data!J2695,"MMM-YYY")</f>
        <v>Sep-2025</v>
      </c>
      <c r="K2695" s="13" t="str">
        <f>Raw_Data!K2695</f>
        <v>6</v>
      </c>
      <c r="L2695" s="17" t="str">
        <f>Raw_Data!L2695</f>
        <v>Jaipur-North</v>
      </c>
      <c r="M2695" s="13" t="str">
        <f t="shared" si="3"/>
        <v>OK</v>
      </c>
      <c r="N2695" s="18" t="str">
        <f t="shared" si="4"/>
        <v>VALID</v>
      </c>
    </row>
    <row r="2696" ht="15.75" customHeight="1">
      <c r="A2696" s="13" t="str">
        <f>Raw_Data!A2696</f>
        <v>EMP2840</v>
      </c>
      <c r="B2696" s="13" t="str">
        <f>TRIM(CLEAN(Raw_Data!B2696))</f>
        <v>Finance</v>
      </c>
      <c r="C2696" s="18" t="s">
        <v>37</v>
      </c>
      <c r="D2696" s="14" t="str">
        <f>IF(ISBLANK(Raw_Data!D2696),AVERAGE(Raw_Data!D$2:D$5002),Raw_Data!D2696)</f>
        <v>78999.33</v>
      </c>
      <c r="E2696" s="15" t="str">
        <f>IF(ISBLANK(Raw_Data!E2696),AVERAGE(Raw_Data!E$2:E$5002),Raw_Data!E2696)</f>
        <v>27096.42</v>
      </c>
      <c r="F2696" s="15" t="str">
        <f>IF(ISBLANK(Raw_Data!F2696),AVERAGE(Raw_Data!F$2:F$5002),Raw_Data!F2696)</f>
        <v>21982.47</v>
      </c>
      <c r="G2696" s="14" t="str">
        <f>IF(ISBLANK(Raw_Data!G2696),AVERAGE(Raw_Data!G$2:G$5002),Raw_Data!G2696)</f>
        <v>16558.82</v>
      </c>
      <c r="H2696" s="15" t="str">
        <f t="shared" si="1"/>
        <v>128078.00</v>
      </c>
      <c r="I2696" s="14" t="str">
        <f t="shared" si="2"/>
        <v>111519.00</v>
      </c>
      <c r="J2696" s="16" t="str">
        <f>TEXT(Raw_Data!J2696,"MMM-YYY")</f>
        <v>May-2025</v>
      </c>
      <c r="K2696" s="13" t="str">
        <f>Raw_Data!K2696</f>
        <v>2</v>
      </c>
      <c r="L2696" s="17" t="str">
        <f>Raw_Data!L2696</f>
        <v>Mumbai-HO</v>
      </c>
      <c r="M2696" s="13" t="str">
        <f t="shared" si="3"/>
        <v>OK</v>
      </c>
      <c r="N2696" s="18" t="str">
        <f t="shared" si="4"/>
        <v>VALID</v>
      </c>
    </row>
    <row r="2697" ht="15.75" customHeight="1">
      <c r="A2697" s="13" t="str">
        <f>Raw_Data!A2697</f>
        <v>EMP2841</v>
      </c>
      <c r="B2697" s="13" t="str">
        <f>TRIM(CLEAN(Raw_Data!B2697))</f>
        <v>Finance</v>
      </c>
      <c r="C2697" s="18" t="s">
        <v>37</v>
      </c>
      <c r="D2697" s="14" t="str">
        <f>IF(ISBLANK(Raw_Data!D2697),AVERAGE(Raw_Data!D$2:D$5002),Raw_Data!D2697)</f>
        <v>79010.21</v>
      </c>
      <c r="E2697" s="15" t="str">
        <f>IF(ISBLANK(Raw_Data!E2697),AVERAGE(Raw_Data!E$2:E$5002),Raw_Data!E2697)</f>
        <v>27101.04</v>
      </c>
      <c r="F2697" s="15" t="str">
        <f>IF(ISBLANK(Raw_Data!F2697),AVERAGE(Raw_Data!F$2:F$5002),Raw_Data!F2697)</f>
        <v>21990.15</v>
      </c>
      <c r="G2697" s="14" t="str">
        <f>IF(ISBLANK(Raw_Data!G2697),AVERAGE(Raw_Data!G$2:G$5002),Raw_Data!G2697)</f>
        <v>16562.22</v>
      </c>
      <c r="H2697" s="15" t="str">
        <f t="shared" si="1"/>
        <v>128101.00</v>
      </c>
      <c r="I2697" s="14" t="str">
        <f t="shared" si="2"/>
        <v>111539.00</v>
      </c>
      <c r="J2697" s="16" t="str">
        <f>TEXT(Raw_Data!J2697,"MMM-YYY")</f>
        <v>Dec-2025</v>
      </c>
      <c r="K2697" s="13" t="str">
        <f>Raw_Data!K2697</f>
        <v>6</v>
      </c>
      <c r="L2697" s="17" t="str">
        <f>Raw_Data!L2697</f>
        <v>Delhi-North</v>
      </c>
      <c r="M2697" s="13" t="str">
        <f t="shared" si="3"/>
        <v>OK</v>
      </c>
      <c r="N2697" s="18" t="str">
        <f t="shared" si="4"/>
        <v>VALID</v>
      </c>
    </row>
    <row r="2698" ht="15.75" customHeight="1">
      <c r="A2698" s="13" t="str">
        <f>Raw_Data!A2698</f>
        <v>EMP2842</v>
      </c>
      <c r="B2698" s="13" t="str">
        <f>TRIM(CLEAN(Raw_Data!B2698))</f>
        <v>IT</v>
      </c>
      <c r="C2698" s="18" t="s">
        <v>37</v>
      </c>
      <c r="D2698" s="14" t="str">
        <f>IF(ISBLANK(Raw_Data!D2698),AVERAGE(Raw_Data!D$2:D$5002),Raw_Data!D2698)</f>
        <v>79021.09</v>
      </c>
      <c r="E2698" s="15" t="str">
        <f>IF(ISBLANK(Raw_Data!E2698),AVERAGE(Raw_Data!E$2:E$5002),Raw_Data!E2698)</f>
        <v>27105.65</v>
      </c>
      <c r="F2698" s="15" t="str">
        <f>IF(ISBLANK(Raw_Data!F2698),AVERAGE(Raw_Data!F$2:F$5002),Raw_Data!F2698)</f>
        <v>21997.83</v>
      </c>
      <c r="G2698" s="14" t="str">
        <f>IF(ISBLANK(Raw_Data!G2698),AVERAGE(Raw_Data!G$2:G$5002),Raw_Data!G2698)</f>
        <v>16565.62</v>
      </c>
      <c r="H2698" s="15" t="str">
        <f t="shared" si="1"/>
        <v>128125.00</v>
      </c>
      <c r="I2698" s="14" t="str">
        <f t="shared" si="2"/>
        <v>111559.00</v>
      </c>
      <c r="J2698" s="16" t="str">
        <f>TEXT(Raw_Data!J2698,"MMM-YYY")</f>
        <v>Jul-2025</v>
      </c>
      <c r="K2698" s="13" t="str">
        <f>Raw_Data!K2698</f>
        <v>13</v>
      </c>
      <c r="L2698" s="17" t="str">
        <f>Raw_Data!L2698</f>
        <v>Bangalore-South</v>
      </c>
      <c r="M2698" s="13" t="str">
        <f t="shared" si="3"/>
        <v>OK</v>
      </c>
      <c r="N2698" s="18" t="str">
        <f t="shared" si="4"/>
        <v>VALID</v>
      </c>
    </row>
    <row r="2699" ht="15.75" customHeight="1">
      <c r="A2699" s="13" t="str">
        <f>Raw_Data!A2699</f>
        <v>EMP2843</v>
      </c>
      <c r="B2699" s="13" t="str">
        <f>TRIM(CLEAN(Raw_Data!B2699))</f>
        <v>IT</v>
      </c>
      <c r="C2699" s="18" t="s">
        <v>26</v>
      </c>
      <c r="D2699" s="14" t="str">
        <f>IF(ISBLANK(Raw_Data!D2699),AVERAGE(Raw_Data!D$2:D$5002),Raw_Data!D2699)</f>
        <v>79031.98</v>
      </c>
      <c r="E2699" s="15" t="str">
        <f>IF(ISBLANK(Raw_Data!E2699),AVERAGE(Raw_Data!E$2:E$5002),Raw_Data!E2699)</f>
        <v>27110.27</v>
      </c>
      <c r="F2699" s="15" t="str">
        <f>IF(ISBLANK(Raw_Data!F2699),AVERAGE(Raw_Data!F$2:F$5002),Raw_Data!F2699)</f>
        <v>22005.51</v>
      </c>
      <c r="G2699" s="14" t="str">
        <f>IF(ISBLANK(Raw_Data!G2699),AVERAGE(Raw_Data!G$2:G$5002),Raw_Data!G2699)</f>
        <v>16569.02</v>
      </c>
      <c r="H2699" s="15" t="str">
        <f t="shared" si="1"/>
        <v>128148.00</v>
      </c>
      <c r="I2699" s="14" t="str">
        <f t="shared" si="2"/>
        <v>111579.00</v>
      </c>
      <c r="J2699" s="16" t="str">
        <f>TEXT(Raw_Data!J2699,"MMM-YYY")</f>
        <v>Sep-2025</v>
      </c>
      <c r="K2699" s="13" t="str">
        <f>Raw_Data!K2699</f>
        <v>11</v>
      </c>
      <c r="L2699" s="17" t="str">
        <f>Raw_Data!L2699</f>
        <v>Chennai-South</v>
      </c>
      <c r="M2699" s="13" t="str">
        <f t="shared" si="3"/>
        <v>OK</v>
      </c>
      <c r="N2699" s="18" t="str">
        <f t="shared" si="4"/>
        <v>VALID</v>
      </c>
    </row>
    <row r="2700" ht="15.75" customHeight="1">
      <c r="A2700" s="13" t="str">
        <f>Raw_Data!A2700</f>
        <v>EMP2844</v>
      </c>
      <c r="B2700" s="13" t="str">
        <f>TRIM(CLEAN(Raw_Data!B2700))</f>
        <v>Marketing</v>
      </c>
      <c r="C2700" s="18" t="s">
        <v>26</v>
      </c>
      <c r="D2700" s="14" t="str">
        <f>IF(ISBLANK(Raw_Data!D2700),AVERAGE(Raw_Data!D$2:D$5002),Raw_Data!D2700)</f>
        <v>79042.86</v>
      </c>
      <c r="E2700" s="15" t="str">
        <f>IF(ISBLANK(Raw_Data!E2700),AVERAGE(Raw_Data!E$2:E$5002),Raw_Data!E2700)</f>
        <v>27114.88</v>
      </c>
      <c r="F2700" s="15" t="str">
        <f>IF(ISBLANK(Raw_Data!F2700),AVERAGE(Raw_Data!F$2:F$5002),Raw_Data!F2700)</f>
        <v>22013.19</v>
      </c>
      <c r="G2700" s="14" t="str">
        <f>IF(ISBLANK(Raw_Data!G2700),AVERAGE(Raw_Data!G$2:G$5002),Raw_Data!G2700)</f>
        <v>16572.41</v>
      </c>
      <c r="H2700" s="15" t="str">
        <f t="shared" si="1"/>
        <v>128171.00</v>
      </c>
      <c r="I2700" s="14" t="str">
        <f t="shared" si="2"/>
        <v>111599.00</v>
      </c>
      <c r="J2700" s="16" t="str">
        <f>TEXT(Raw_Data!J2700,"MMM-YYY")</f>
        <v>Apr-2025</v>
      </c>
      <c r="K2700" s="13" t="str">
        <f>Raw_Data!K2700</f>
        <v>5</v>
      </c>
      <c r="L2700" s="17" t="str">
        <f>Raw_Data!L2700</f>
        <v>Kolkata-East</v>
      </c>
      <c r="M2700" s="13" t="str">
        <f t="shared" si="3"/>
        <v>OK</v>
      </c>
      <c r="N2700" s="18" t="str">
        <f t="shared" si="4"/>
        <v>VALID</v>
      </c>
    </row>
    <row r="2701" ht="15.75" customHeight="1">
      <c r="A2701" s="13" t="str">
        <f>Raw_Data!A2701</f>
        <v>EMP2845</v>
      </c>
      <c r="B2701" s="13" t="str">
        <f>TRIM(CLEAN(Raw_Data!B2701))</f>
        <v>HR</v>
      </c>
      <c r="C2701" s="18" t="s">
        <v>33</v>
      </c>
      <c r="D2701" s="14" t="str">
        <f>IF(ISBLANK(Raw_Data!D2701),AVERAGE(Raw_Data!D$2:D$5002),Raw_Data!D2701)</f>
        <v>79053.74</v>
      </c>
      <c r="E2701" s="15" t="str">
        <f>IF(ISBLANK(Raw_Data!E2701),AVERAGE(Raw_Data!E$2:E$5002),Raw_Data!E2701)</f>
        <v>27119.50</v>
      </c>
      <c r="F2701" s="15" t="str">
        <f>IF(ISBLANK(Raw_Data!F2701),AVERAGE(Raw_Data!F$2:F$5002),Raw_Data!F2701)</f>
        <v>22020.87</v>
      </c>
      <c r="G2701" s="14" t="str">
        <f>IF(ISBLANK(Raw_Data!G2701),AVERAGE(Raw_Data!G$2:G$5002),Raw_Data!G2701)</f>
        <v>16575.81</v>
      </c>
      <c r="H2701" s="15" t="str">
        <f t="shared" si="1"/>
        <v>128194.00</v>
      </c>
      <c r="I2701" s="14" t="str">
        <f t="shared" si="2"/>
        <v>111618.00</v>
      </c>
      <c r="J2701" s="16" t="str">
        <f>TEXT(Raw_Data!J2701,"MMM-YYY")</f>
        <v>Nov-2025</v>
      </c>
      <c r="K2701" s="13" t="str">
        <f>Raw_Data!K2701</f>
        <v>23</v>
      </c>
      <c r="L2701" s="17" t="str">
        <f>Raw_Data!L2701</f>
        <v>Pune-West</v>
      </c>
      <c r="M2701" s="13" t="str">
        <f t="shared" si="3"/>
        <v>OK</v>
      </c>
      <c r="N2701" s="18" t="str">
        <f t="shared" si="4"/>
        <v>VALID</v>
      </c>
    </row>
    <row r="2702" ht="15.75" customHeight="1">
      <c r="A2702" s="13" t="str">
        <f>Raw_Data!A2702</f>
        <v>EMP2846</v>
      </c>
      <c r="B2702" s="13" t="str">
        <f>TRIM(CLEAN(Raw_Data!B2702))</f>
        <v>Operations</v>
      </c>
      <c r="C2702" s="18" t="s">
        <v>18</v>
      </c>
      <c r="D2702" s="14" t="str">
        <f>IF(ISBLANK(Raw_Data!D2702),AVERAGE(Raw_Data!D$2:D$5002),Raw_Data!D2702)</f>
        <v>79064.63</v>
      </c>
      <c r="E2702" s="15" t="str">
        <f>IF(ISBLANK(Raw_Data!E2702),AVERAGE(Raw_Data!E$2:E$5002),Raw_Data!E2702)</f>
        <v>27124.11</v>
      </c>
      <c r="F2702" s="15" t="str">
        <f>IF(ISBLANK(Raw_Data!F2702),AVERAGE(Raw_Data!F$2:F$5002),Raw_Data!F2702)</f>
        <v>22028.55</v>
      </c>
      <c r="G2702" s="14" t="str">
        <f>IF(ISBLANK(Raw_Data!G2702),AVERAGE(Raw_Data!G$2:G$5002),Raw_Data!G2702)</f>
        <v>16579.21</v>
      </c>
      <c r="H2702" s="15" t="str">
        <f t="shared" si="1"/>
        <v>128217.00</v>
      </c>
      <c r="I2702" s="14" t="str">
        <f t="shared" si="2"/>
        <v>111638.00</v>
      </c>
      <c r="J2702" s="16" t="str">
        <f>TEXT(Raw_Data!J2702,"MMM-YYY")</f>
        <v>Dec-2025</v>
      </c>
      <c r="K2702" s="13" t="str">
        <f>Raw_Data!K2702</f>
        <v>17</v>
      </c>
      <c r="L2702" s="17" t="str">
        <f>Raw_Data!L2702</f>
        <v>Hyderabad-South</v>
      </c>
      <c r="M2702" s="13" t="str">
        <f t="shared" si="3"/>
        <v>OK</v>
      </c>
      <c r="N2702" s="18" t="str">
        <f t="shared" si="4"/>
        <v>VALID</v>
      </c>
    </row>
    <row r="2703" ht="15.75" customHeight="1">
      <c r="A2703" s="13" t="str">
        <f>Raw_Data!A2703</f>
        <v>EMP2847</v>
      </c>
      <c r="B2703" s="13" t="str">
        <f>TRIM(CLEAN(Raw_Data!B2703))</f>
        <v>Marketing</v>
      </c>
      <c r="C2703" s="18" t="s">
        <v>18</v>
      </c>
      <c r="D2703" s="14" t="str">
        <f>IF(ISBLANK(Raw_Data!D2703),AVERAGE(Raw_Data!D$2:D$5002),Raw_Data!D2703)</f>
        <v>79075.51</v>
      </c>
      <c r="E2703" s="15" t="str">
        <f>IF(ISBLANK(Raw_Data!E2703),AVERAGE(Raw_Data!E$2:E$5002),Raw_Data!E2703)</f>
        <v>27128.73</v>
      </c>
      <c r="F2703" s="15" t="str">
        <f>IF(ISBLANK(Raw_Data!F2703),AVERAGE(Raw_Data!F$2:F$5002),Raw_Data!F2703)</f>
        <v>22036.23</v>
      </c>
      <c r="G2703" s="14" t="str">
        <f>IF(ISBLANK(Raw_Data!G2703),AVERAGE(Raw_Data!G$2:G$5002),Raw_Data!G2703)</f>
        <v>16582.61</v>
      </c>
      <c r="H2703" s="15" t="str">
        <f t="shared" si="1"/>
        <v>128240.00</v>
      </c>
      <c r="I2703" s="14" t="str">
        <f t="shared" si="2"/>
        <v>111657.00</v>
      </c>
      <c r="J2703" s="16" t="str">
        <f>TEXT(Raw_Data!J2703,"MMM-YYY")</f>
        <v>Dec-2025</v>
      </c>
      <c r="K2703" s="13" t="str">
        <f>Raw_Data!K2703</f>
        <v>23</v>
      </c>
      <c r="L2703" s="17" t="str">
        <f>Raw_Data!L2703</f>
        <v>Chandigarh-North</v>
      </c>
      <c r="M2703" s="13" t="str">
        <f t="shared" si="3"/>
        <v>OK</v>
      </c>
      <c r="N2703" s="18" t="str">
        <f t="shared" si="4"/>
        <v>VALID</v>
      </c>
    </row>
    <row r="2704" ht="15.75" customHeight="1">
      <c r="A2704" s="13" t="str">
        <f>Raw_Data!A2704</f>
        <v>EMP2848</v>
      </c>
      <c r="B2704" s="13" t="str">
        <f>TRIM(CLEAN(Raw_Data!B2704))</f>
        <v>IT</v>
      </c>
      <c r="C2704" s="18" t="s">
        <v>37</v>
      </c>
      <c r="D2704" s="14" t="str">
        <f>IF(ISBLANK(Raw_Data!D2704),AVERAGE(Raw_Data!D$2:D$5002),Raw_Data!D2704)</f>
        <v>79086.39</v>
      </c>
      <c r="E2704" s="15" t="str">
        <f>IF(ISBLANK(Raw_Data!E2704),AVERAGE(Raw_Data!E$2:E$5002),Raw_Data!E2704)</f>
        <v>27133.34</v>
      </c>
      <c r="F2704" s="15" t="str">
        <f>IF(ISBLANK(Raw_Data!F2704),AVERAGE(Raw_Data!F$2:F$5002),Raw_Data!F2704)</f>
        <v>22043.91</v>
      </c>
      <c r="G2704" s="14" t="str">
        <f>IF(ISBLANK(Raw_Data!G2704),AVERAGE(Raw_Data!G$2:G$5002),Raw_Data!G2704)</f>
        <v>16586.00</v>
      </c>
      <c r="H2704" s="15" t="str">
        <f t="shared" si="1"/>
        <v>128264.00</v>
      </c>
      <c r="I2704" s="14" t="str">
        <f t="shared" si="2"/>
        <v>111678.00</v>
      </c>
      <c r="J2704" s="16" t="str">
        <f>TEXT(Raw_Data!J2704,"MMM-YYY")</f>
        <v>Jan-2025</v>
      </c>
      <c r="K2704" s="13" t="str">
        <f>Raw_Data!K2704</f>
        <v>7</v>
      </c>
      <c r="L2704" s="17" t="str">
        <f>Raw_Data!L2704</f>
        <v>Ahmedabad-West</v>
      </c>
      <c r="M2704" s="13" t="str">
        <f t="shared" si="3"/>
        <v>OK</v>
      </c>
      <c r="N2704" s="18" t="str">
        <f t="shared" si="4"/>
        <v>VALID</v>
      </c>
    </row>
    <row r="2705" ht="15.75" customHeight="1">
      <c r="A2705" s="13" t="str">
        <f>Raw_Data!A2705</f>
        <v>EMP2849</v>
      </c>
      <c r="B2705" s="13" t="str">
        <f>TRIM(CLEAN(Raw_Data!B2705))</f>
        <v>Marketing</v>
      </c>
      <c r="C2705" s="18" t="s">
        <v>54</v>
      </c>
      <c r="D2705" s="14" t="str">
        <f>IF(ISBLANK(Raw_Data!D2705),AVERAGE(Raw_Data!D$2:D$5002),Raw_Data!D2705)</f>
        <v>79097.28</v>
      </c>
      <c r="E2705" s="15" t="str">
        <f>IF(ISBLANK(Raw_Data!E2705),AVERAGE(Raw_Data!E$2:E$5002),Raw_Data!E2705)</f>
        <v>27137.96</v>
      </c>
      <c r="F2705" s="15" t="str">
        <f>IF(ISBLANK(Raw_Data!F2705),AVERAGE(Raw_Data!F$2:F$5002),Raw_Data!F2705)</f>
        <v>22051.59</v>
      </c>
      <c r="G2705" s="14" t="str">
        <f>IF(ISBLANK(Raw_Data!G2705),AVERAGE(Raw_Data!G$2:G$5002),Raw_Data!G2705)</f>
        <v>16589.40</v>
      </c>
      <c r="H2705" s="15" t="str">
        <f t="shared" si="1"/>
        <v>128287.00</v>
      </c>
      <c r="I2705" s="14" t="str">
        <f t="shared" si="2"/>
        <v>111698.00</v>
      </c>
      <c r="J2705" s="16" t="str">
        <f>TEXT(Raw_Data!J2705,"MMM-YYY")</f>
        <v>Jan-2025</v>
      </c>
      <c r="K2705" s="13" t="str">
        <f>Raw_Data!K2705</f>
        <v>25</v>
      </c>
      <c r="L2705" s="17" t="str">
        <f>Raw_Data!L2705</f>
        <v>Jaipur-North</v>
      </c>
      <c r="M2705" s="13" t="str">
        <f t="shared" si="3"/>
        <v>OK</v>
      </c>
      <c r="N2705" s="18" t="str">
        <f t="shared" si="4"/>
        <v>VALID</v>
      </c>
    </row>
    <row r="2706" ht="15.75" customHeight="1">
      <c r="A2706" s="13" t="str">
        <f>Raw_Data!A2706</f>
        <v>EMP2850</v>
      </c>
      <c r="B2706" s="13" t="str">
        <f>TRIM(CLEAN(Raw_Data!B2706))</f>
        <v>Operations</v>
      </c>
      <c r="C2706" s="18" t="s">
        <v>26</v>
      </c>
      <c r="D2706" s="14" t="str">
        <f>IF(ISBLANK(Raw_Data!D2706),AVERAGE(Raw_Data!D$2:D$5002),Raw_Data!D2706)</f>
        <v>79108.16</v>
      </c>
      <c r="E2706" s="15" t="str">
        <f>IF(ISBLANK(Raw_Data!E2706),AVERAGE(Raw_Data!E$2:E$5002),Raw_Data!E2706)</f>
        <v>27142.57</v>
      </c>
      <c r="F2706" s="15" t="str">
        <f>IF(ISBLANK(Raw_Data!F2706),AVERAGE(Raw_Data!F$2:F$5002),Raw_Data!F2706)</f>
        <v>22059.27</v>
      </c>
      <c r="G2706" s="14" t="str">
        <f>IF(ISBLANK(Raw_Data!G2706),AVERAGE(Raw_Data!G$2:G$5002),Raw_Data!G2706)</f>
        <v>16592.80</v>
      </c>
      <c r="H2706" s="15" t="str">
        <f t="shared" si="1"/>
        <v>128310.00</v>
      </c>
      <c r="I2706" s="14" t="str">
        <f t="shared" si="2"/>
        <v>111717.00</v>
      </c>
      <c r="J2706" s="16" t="str">
        <f>TEXT(Raw_Data!J2706,"MMM-YYY")</f>
        <v>Dec-2025</v>
      </c>
      <c r="K2706" s="13" t="str">
        <f>Raw_Data!K2706</f>
        <v>6</v>
      </c>
      <c r="L2706" s="17" t="str">
        <f>Raw_Data!L2706</f>
        <v>Mumbai-HO</v>
      </c>
      <c r="M2706" s="13" t="str">
        <f t="shared" si="3"/>
        <v>OK</v>
      </c>
      <c r="N2706" s="18" t="str">
        <f t="shared" si="4"/>
        <v>VALID</v>
      </c>
    </row>
    <row r="2707" ht="15.75" customHeight="1">
      <c r="A2707" s="13" t="str">
        <f>Raw_Data!A2707</f>
        <v>EMP2851</v>
      </c>
      <c r="B2707" s="13" t="str">
        <f>TRIM(CLEAN(Raw_Data!B2707))</f>
        <v>Operations</v>
      </c>
      <c r="C2707" s="18" t="s">
        <v>14</v>
      </c>
      <c r="D2707" s="14" t="str">
        <f>IF(ISBLANK(Raw_Data!D2707),AVERAGE(Raw_Data!D$2:D$5002),Raw_Data!D2707)</f>
        <v>79119.04</v>
      </c>
      <c r="E2707" s="15" t="str">
        <f>IF(ISBLANK(Raw_Data!E2707),AVERAGE(Raw_Data!E$2:E$5002),Raw_Data!E2707)</f>
        <v>27147.19</v>
      </c>
      <c r="F2707" s="15" t="str">
        <f>IF(ISBLANK(Raw_Data!F2707),AVERAGE(Raw_Data!F$2:F$5002),Raw_Data!F2707)</f>
        <v>22066.95</v>
      </c>
      <c r="G2707" s="14" t="str">
        <f>IF(ISBLANK(Raw_Data!G2707),AVERAGE(Raw_Data!G$2:G$5002),Raw_Data!G2707)</f>
        <v>16596.20</v>
      </c>
      <c r="H2707" s="15" t="str">
        <f t="shared" si="1"/>
        <v>128333.00</v>
      </c>
      <c r="I2707" s="14" t="str">
        <f t="shared" si="2"/>
        <v>111737.00</v>
      </c>
      <c r="J2707" s="16" t="str">
        <f>TEXT(Raw_Data!J2707,"MMM-YYY")</f>
        <v>Nov-2025</v>
      </c>
      <c r="K2707" s="13" t="str">
        <f>Raw_Data!K2707</f>
        <v>17</v>
      </c>
      <c r="L2707" s="17" t="str">
        <f>Raw_Data!L2707</f>
        <v>Delhi-North</v>
      </c>
      <c r="M2707" s="13" t="str">
        <f t="shared" si="3"/>
        <v>OK</v>
      </c>
      <c r="N2707" s="18" t="str">
        <f t="shared" si="4"/>
        <v>VALID</v>
      </c>
    </row>
    <row r="2708" ht="15.75" customHeight="1">
      <c r="A2708" s="13" t="str">
        <f>Raw_Data!A2708</f>
        <v>EMP2852</v>
      </c>
      <c r="B2708" s="13" t="str">
        <f>TRIM(CLEAN(Raw_Data!B2708))</f>
        <v>Customer Support</v>
      </c>
      <c r="C2708" s="18" t="s">
        <v>26</v>
      </c>
      <c r="D2708" s="14" t="str">
        <f>IF(ISBLANK(Raw_Data!D2708),AVERAGE(Raw_Data!D$2:D$5002),Raw_Data!D2708)</f>
        <v>79129.92</v>
      </c>
      <c r="E2708" s="15" t="str">
        <f>IF(ISBLANK(Raw_Data!E2708),AVERAGE(Raw_Data!E$2:E$5002),Raw_Data!E2708)</f>
        <v>27151.80</v>
      </c>
      <c r="F2708" s="15" t="str">
        <f>IF(ISBLANK(Raw_Data!F2708),AVERAGE(Raw_Data!F$2:F$5002),Raw_Data!F2708)</f>
        <v>22074.63</v>
      </c>
      <c r="G2708" s="14" t="str">
        <f>IF(ISBLANK(Raw_Data!G2708),AVERAGE(Raw_Data!G$2:G$5002),Raw_Data!G2708)</f>
        <v>16599.59</v>
      </c>
      <c r="H2708" s="15" t="str">
        <f t="shared" si="1"/>
        <v>128356.00</v>
      </c>
      <c r="I2708" s="14" t="str">
        <f t="shared" si="2"/>
        <v>111756.00</v>
      </c>
      <c r="J2708" s="16" t="str">
        <f>TEXT(Raw_Data!J2708,"MMM-YYY")</f>
        <v>Sep-2025</v>
      </c>
      <c r="K2708" s="13" t="str">
        <f>Raw_Data!K2708</f>
        <v>23</v>
      </c>
      <c r="L2708" s="17" t="str">
        <f>Raw_Data!L2708</f>
        <v>Bangalore-South</v>
      </c>
      <c r="M2708" s="13" t="str">
        <f t="shared" si="3"/>
        <v>OK</v>
      </c>
      <c r="N2708" s="18" t="str">
        <f t="shared" si="4"/>
        <v>VALID</v>
      </c>
    </row>
    <row r="2709" ht="15.75" customHeight="1">
      <c r="A2709" s="13" t="str">
        <f>Raw_Data!A2709</f>
        <v>EMP2853</v>
      </c>
      <c r="B2709" s="13" t="str">
        <f>TRIM(CLEAN(Raw_Data!B2709))</f>
        <v>Finance</v>
      </c>
      <c r="C2709" s="18" t="s">
        <v>14</v>
      </c>
      <c r="D2709" s="14" t="str">
        <f>IF(ISBLANK(Raw_Data!D2709),AVERAGE(Raw_Data!D$2:D$5002),Raw_Data!D2709)</f>
        <v>79140.81</v>
      </c>
      <c r="E2709" s="15" t="str">
        <f>IF(ISBLANK(Raw_Data!E2709),AVERAGE(Raw_Data!E$2:E$5002),Raw_Data!E2709)</f>
        <v>27156.42</v>
      </c>
      <c r="F2709" s="15" t="str">
        <f>IF(ISBLANK(Raw_Data!F2709),AVERAGE(Raw_Data!F$2:F$5002),Raw_Data!F2709)</f>
        <v>22082.31</v>
      </c>
      <c r="G2709" s="14" t="str">
        <f>IF(ISBLANK(Raw_Data!G2709),AVERAGE(Raw_Data!G$2:G$5002),Raw_Data!G2709)</f>
        <v>16602.99</v>
      </c>
      <c r="H2709" s="15" t="str">
        <f t="shared" si="1"/>
        <v>128380.00</v>
      </c>
      <c r="I2709" s="14" t="str">
        <f t="shared" si="2"/>
        <v>111777.00</v>
      </c>
      <c r="J2709" s="16" t="str">
        <f>TEXT(Raw_Data!J2709,"MMM-YYY")</f>
        <v>May-2025</v>
      </c>
      <c r="K2709" s="13" t="str">
        <f>Raw_Data!K2709</f>
        <v>19</v>
      </c>
      <c r="L2709" s="17" t="str">
        <f>Raw_Data!L2709</f>
        <v>Chennai-South</v>
      </c>
      <c r="M2709" s="13" t="str">
        <f t="shared" si="3"/>
        <v>OK</v>
      </c>
      <c r="N2709" s="18" t="str">
        <f t="shared" si="4"/>
        <v>VALID</v>
      </c>
    </row>
    <row r="2710" ht="15.75" customHeight="1">
      <c r="A2710" s="13" t="str">
        <f>Raw_Data!A2710</f>
        <v>EMP2854</v>
      </c>
      <c r="B2710" s="13" t="str">
        <f>TRIM(CLEAN(Raw_Data!B2710))</f>
        <v>Sales</v>
      </c>
      <c r="C2710" s="18" t="s">
        <v>26</v>
      </c>
      <c r="D2710" s="14" t="str">
        <f>IF(ISBLANK(Raw_Data!D2710),AVERAGE(Raw_Data!D$2:D$5002),Raw_Data!D2710)</f>
        <v>79151.69</v>
      </c>
      <c r="E2710" s="15" t="str">
        <f>IF(ISBLANK(Raw_Data!E2710),AVERAGE(Raw_Data!E$2:E$5002),Raw_Data!E2710)</f>
        <v>27161.03</v>
      </c>
      <c r="F2710" s="15" t="str">
        <f>IF(ISBLANK(Raw_Data!F2710),AVERAGE(Raw_Data!F$2:F$5002),Raw_Data!F2710)</f>
        <v>22089.99</v>
      </c>
      <c r="G2710" s="14" t="str">
        <f>IF(ISBLANK(Raw_Data!G2710),AVERAGE(Raw_Data!G$2:G$5002),Raw_Data!G2710)</f>
        <v>16606.39</v>
      </c>
      <c r="H2710" s="15" t="str">
        <f t="shared" si="1"/>
        <v>128403.00</v>
      </c>
      <c r="I2710" s="14" t="str">
        <f t="shared" si="2"/>
        <v>111797.00</v>
      </c>
      <c r="J2710" s="16" t="str">
        <f>TEXT(Raw_Data!J2710,"MMM-YYY")</f>
        <v>Mar-2025</v>
      </c>
      <c r="K2710" s="13" t="str">
        <f>Raw_Data!K2710</f>
        <v>13</v>
      </c>
      <c r="L2710" s="17" t="str">
        <f>Raw_Data!L2710</f>
        <v>Kolkata-East</v>
      </c>
      <c r="M2710" s="13" t="str">
        <f t="shared" si="3"/>
        <v>OK</v>
      </c>
      <c r="N2710" s="18" t="str">
        <f t="shared" si="4"/>
        <v>VALID</v>
      </c>
    </row>
    <row r="2711" ht="15.75" customHeight="1">
      <c r="A2711" s="13" t="str">
        <f>Raw_Data!A2711</f>
        <v>EMP2855</v>
      </c>
      <c r="B2711" s="13" t="str">
        <f>TRIM(CLEAN(Raw_Data!B2711))</f>
        <v>Operations</v>
      </c>
      <c r="C2711" s="18" t="s">
        <v>30</v>
      </c>
      <c r="D2711" s="14" t="str">
        <f>IF(ISBLANK(Raw_Data!D2711),AVERAGE(Raw_Data!D$2:D$5002),Raw_Data!D2711)</f>
        <v>79162.57</v>
      </c>
      <c r="E2711" s="15" t="str">
        <f>IF(ISBLANK(Raw_Data!E2711),AVERAGE(Raw_Data!E$2:E$5002),Raw_Data!E2711)</f>
        <v>27165.64</v>
      </c>
      <c r="F2711" s="15" t="str">
        <f>IF(ISBLANK(Raw_Data!F2711),AVERAGE(Raw_Data!F$2:F$5002),Raw_Data!F2711)</f>
        <v>22097.67</v>
      </c>
      <c r="G2711" s="14" t="str">
        <f>IF(ISBLANK(Raw_Data!G2711),AVERAGE(Raw_Data!G$2:G$5002),Raw_Data!G2711)</f>
        <v>16609.79</v>
      </c>
      <c r="H2711" s="15" t="str">
        <f t="shared" si="1"/>
        <v>128426.00</v>
      </c>
      <c r="I2711" s="14" t="str">
        <f t="shared" si="2"/>
        <v>111816.00</v>
      </c>
      <c r="J2711" s="16" t="str">
        <f>TEXT(Raw_Data!J2711,"MMM-YYY")</f>
        <v>May-2025</v>
      </c>
      <c r="K2711" s="13" t="str">
        <f>Raw_Data!K2711</f>
        <v>23</v>
      </c>
      <c r="L2711" s="17" t="str">
        <f>Raw_Data!L2711</f>
        <v>Pune-West</v>
      </c>
      <c r="M2711" s="13" t="str">
        <f t="shared" si="3"/>
        <v>OK</v>
      </c>
      <c r="N2711" s="18" t="str">
        <f t="shared" si="4"/>
        <v>VALID</v>
      </c>
    </row>
    <row r="2712" ht="15.75" customHeight="1">
      <c r="A2712" s="13" t="str">
        <f>Raw_Data!A2712</f>
        <v>EMP2856</v>
      </c>
      <c r="B2712" s="13" t="str">
        <f>TRIM(CLEAN(Raw_Data!B2712))</f>
        <v>HR</v>
      </c>
      <c r="C2712" s="18" t="s">
        <v>18</v>
      </c>
      <c r="D2712" s="14" t="str">
        <f>IF(ISBLANK(Raw_Data!D2712),AVERAGE(Raw_Data!D$2:D$5002),Raw_Data!D2712)</f>
        <v>79173.46</v>
      </c>
      <c r="E2712" s="15" t="str">
        <f>IF(ISBLANK(Raw_Data!E2712),AVERAGE(Raw_Data!E$2:E$5002),Raw_Data!E2712)</f>
        <v>27170.26</v>
      </c>
      <c r="F2712" s="15" t="str">
        <f>IF(ISBLANK(Raw_Data!F2712),AVERAGE(Raw_Data!F$2:F$5002),Raw_Data!F2712)</f>
        <v>22105.35</v>
      </c>
      <c r="G2712" s="14" t="str">
        <f>IF(ISBLANK(Raw_Data!G2712),AVERAGE(Raw_Data!G$2:G$5002),Raw_Data!G2712)</f>
        <v>16613.18</v>
      </c>
      <c r="H2712" s="15" t="str">
        <f t="shared" si="1"/>
        <v>128449.00</v>
      </c>
      <c r="I2712" s="14" t="str">
        <f t="shared" si="2"/>
        <v>111836.00</v>
      </c>
      <c r="J2712" s="16" t="str">
        <f>TEXT(Raw_Data!J2712,"MMM-YYY")</f>
        <v>Jul-2025</v>
      </c>
      <c r="K2712" s="13" t="str">
        <f>Raw_Data!K2712</f>
        <v>3</v>
      </c>
      <c r="L2712" s="17" t="str">
        <f>Raw_Data!L2712</f>
        <v>Hyderabad-South</v>
      </c>
      <c r="M2712" s="13" t="str">
        <f t="shared" si="3"/>
        <v>OK</v>
      </c>
      <c r="N2712" s="18" t="str">
        <f t="shared" si="4"/>
        <v>VALID</v>
      </c>
    </row>
    <row r="2713" ht="15.75" customHeight="1">
      <c r="A2713" s="13" t="str">
        <f>Raw_Data!A2713</f>
        <v>EMP2857</v>
      </c>
      <c r="B2713" s="13" t="str">
        <f>TRIM(CLEAN(Raw_Data!B2713))</f>
        <v>HR</v>
      </c>
      <c r="C2713" s="18" t="s">
        <v>37</v>
      </c>
      <c r="D2713" s="14" t="str">
        <f>IF(ISBLANK(Raw_Data!D2713),AVERAGE(Raw_Data!D$2:D$5002),Raw_Data!D2713)</f>
        <v>79184.34</v>
      </c>
      <c r="E2713" s="15" t="str">
        <f>IF(ISBLANK(Raw_Data!E2713),AVERAGE(Raw_Data!E$2:E$5002),Raw_Data!E2713)</f>
        <v>27174.87</v>
      </c>
      <c r="F2713" s="15" t="str">
        <f>IF(ISBLANK(Raw_Data!F2713),AVERAGE(Raw_Data!F$2:F$5002),Raw_Data!F2713)</f>
        <v>22113.03</v>
      </c>
      <c r="G2713" s="14" t="str">
        <f>IF(ISBLANK(Raw_Data!G2713),AVERAGE(Raw_Data!G$2:G$5002),Raw_Data!G2713)</f>
        <v>16616.58</v>
      </c>
      <c r="H2713" s="15" t="str">
        <f t="shared" si="1"/>
        <v>128472.00</v>
      </c>
      <c r="I2713" s="14" t="str">
        <f t="shared" si="2"/>
        <v>111855.00</v>
      </c>
      <c r="J2713" s="16" t="str">
        <f>TEXT(Raw_Data!J2713,"MMM-YYY")</f>
        <v>Feb-2025</v>
      </c>
      <c r="K2713" s="13" t="str">
        <f>Raw_Data!K2713</f>
        <v>21</v>
      </c>
      <c r="L2713" s="17" t="str">
        <f>Raw_Data!L2713</f>
        <v>Chandigarh-North</v>
      </c>
      <c r="M2713" s="13" t="str">
        <f t="shared" si="3"/>
        <v>OK</v>
      </c>
      <c r="N2713" s="18" t="str">
        <f t="shared" si="4"/>
        <v>VALID</v>
      </c>
    </row>
    <row r="2714" ht="15.75" customHeight="1">
      <c r="A2714" s="13" t="str">
        <f>Raw_Data!A2714</f>
        <v>EMP2858</v>
      </c>
      <c r="B2714" s="13" t="str">
        <f>TRIM(CLEAN(Raw_Data!B2714))</f>
        <v>Customer Support</v>
      </c>
      <c r="C2714" s="18" t="s">
        <v>30</v>
      </c>
      <c r="D2714" s="14" t="str">
        <f>IF(ISBLANK(Raw_Data!D2714),AVERAGE(Raw_Data!D$2:D$5002),Raw_Data!D2714)</f>
        <v>79195.22</v>
      </c>
      <c r="E2714" s="15" t="str">
        <f>IF(ISBLANK(Raw_Data!E2714),AVERAGE(Raw_Data!E$2:E$5002),Raw_Data!E2714)</f>
        <v>27179.49</v>
      </c>
      <c r="F2714" s="15" t="str">
        <f>IF(ISBLANK(Raw_Data!F2714),AVERAGE(Raw_Data!F$2:F$5002),Raw_Data!F2714)</f>
        <v>22120.71</v>
      </c>
      <c r="G2714" s="14" t="str">
        <f>IF(ISBLANK(Raw_Data!G2714),AVERAGE(Raw_Data!G$2:G$5002),Raw_Data!G2714)</f>
        <v>16619.98</v>
      </c>
      <c r="H2714" s="15" t="str">
        <f t="shared" si="1"/>
        <v>128495.00</v>
      </c>
      <c r="I2714" s="14" t="str">
        <f t="shared" si="2"/>
        <v>111875.00</v>
      </c>
      <c r="J2714" s="16" t="str">
        <f>TEXT(Raw_Data!J2714,"MMM-YYY")</f>
        <v>Jul-2025</v>
      </c>
      <c r="K2714" s="13" t="str">
        <f>Raw_Data!K2714</f>
        <v>18</v>
      </c>
      <c r="L2714" s="17" t="str">
        <f>Raw_Data!L2714</f>
        <v>Ahmedabad-West</v>
      </c>
      <c r="M2714" s="13" t="str">
        <f t="shared" si="3"/>
        <v>OK</v>
      </c>
      <c r="N2714" s="18" t="str">
        <f t="shared" si="4"/>
        <v>VALID</v>
      </c>
    </row>
    <row r="2715" ht="15.75" customHeight="1">
      <c r="A2715" s="13" t="str">
        <f>Raw_Data!A2715</f>
        <v>EMP2859</v>
      </c>
      <c r="B2715" s="13" t="str">
        <f>TRIM(CLEAN(Raw_Data!B2715))</f>
        <v>Marketing</v>
      </c>
      <c r="C2715" s="18" t="s">
        <v>18</v>
      </c>
      <c r="D2715" s="14" t="str">
        <f>IF(ISBLANK(Raw_Data!D2715),AVERAGE(Raw_Data!D$2:D$5002),Raw_Data!D2715)</f>
        <v>79206.11</v>
      </c>
      <c r="E2715" s="15" t="str">
        <f>IF(ISBLANK(Raw_Data!E2715),AVERAGE(Raw_Data!E$2:E$5002),Raw_Data!E2715)</f>
        <v>27184.10</v>
      </c>
      <c r="F2715" s="15" t="str">
        <f>IF(ISBLANK(Raw_Data!F2715),AVERAGE(Raw_Data!F$2:F$5002),Raw_Data!F2715)</f>
        <v>22128.39</v>
      </c>
      <c r="G2715" s="14" t="str">
        <f>IF(ISBLANK(Raw_Data!G2715),AVERAGE(Raw_Data!G$2:G$5002),Raw_Data!G2715)</f>
        <v>16623.38</v>
      </c>
      <c r="H2715" s="15" t="str">
        <f t="shared" si="1"/>
        <v>128519.00</v>
      </c>
      <c r="I2715" s="14" t="str">
        <f t="shared" si="2"/>
        <v>111896.00</v>
      </c>
      <c r="J2715" s="16" t="str">
        <f>TEXT(Raw_Data!J2715,"MMM-YYY")</f>
        <v>Aug-2025</v>
      </c>
      <c r="K2715" s="13" t="str">
        <f>Raw_Data!K2715</f>
        <v>8</v>
      </c>
      <c r="L2715" s="17" t="str">
        <f>Raw_Data!L2715</f>
        <v>Jaipur-North</v>
      </c>
      <c r="M2715" s="13" t="str">
        <f t="shared" si="3"/>
        <v>OK</v>
      </c>
      <c r="N2715" s="18" t="str">
        <f t="shared" si="4"/>
        <v>VALID</v>
      </c>
    </row>
    <row r="2716" ht="15.75" customHeight="1">
      <c r="A2716" s="13" t="str">
        <f>Raw_Data!A2716</f>
        <v>EMP2860</v>
      </c>
      <c r="B2716" s="13" t="str">
        <f>TRIM(CLEAN(Raw_Data!B2716))</f>
        <v>Sales</v>
      </c>
      <c r="C2716" s="18" t="s">
        <v>30</v>
      </c>
      <c r="D2716" s="14" t="str">
        <f>IF(ISBLANK(Raw_Data!D2716),AVERAGE(Raw_Data!D$2:D$5002),Raw_Data!D2716)</f>
        <v>79216.99</v>
      </c>
      <c r="E2716" s="15" t="str">
        <f>IF(ISBLANK(Raw_Data!E2716),AVERAGE(Raw_Data!E$2:E$5002),Raw_Data!E2716)</f>
        <v>27188.72</v>
      </c>
      <c r="F2716" s="15" t="str">
        <f>IF(ISBLANK(Raw_Data!F2716),AVERAGE(Raw_Data!F$2:F$5002),Raw_Data!F2716)</f>
        <v>22136.07</v>
      </c>
      <c r="G2716" s="14" t="str">
        <f>IF(ISBLANK(Raw_Data!G2716),AVERAGE(Raw_Data!G$2:G$5002),Raw_Data!G2716)</f>
        <v>16626.77</v>
      </c>
      <c r="H2716" s="15" t="str">
        <f t="shared" si="1"/>
        <v>128542.00</v>
      </c>
      <c r="I2716" s="14" t="str">
        <f t="shared" si="2"/>
        <v>111915.00</v>
      </c>
      <c r="J2716" s="16" t="str">
        <f>TEXT(Raw_Data!J2716,"MMM-YYY")</f>
        <v>Feb-2025</v>
      </c>
      <c r="K2716" s="13" t="str">
        <f>Raw_Data!K2716</f>
        <v>8</v>
      </c>
      <c r="L2716" s="17" t="str">
        <f>Raw_Data!L2716</f>
        <v>Mumbai-HO</v>
      </c>
      <c r="M2716" s="13" t="str">
        <f t="shared" si="3"/>
        <v>OK</v>
      </c>
      <c r="N2716" s="18" t="str">
        <f t="shared" si="4"/>
        <v>VALID</v>
      </c>
    </row>
    <row r="2717" ht="15.75" customHeight="1">
      <c r="A2717" s="13" t="str">
        <f>Raw_Data!A2717</f>
        <v>EMP2861</v>
      </c>
      <c r="B2717" s="13" t="str">
        <f>TRIM(CLEAN(Raw_Data!B2717))</f>
        <v>Operations</v>
      </c>
      <c r="C2717" s="18" t="s">
        <v>14</v>
      </c>
      <c r="D2717" s="14" t="str">
        <f>IF(ISBLANK(Raw_Data!D2717),AVERAGE(Raw_Data!D$2:D$5002),Raw_Data!D2717)</f>
        <v>79227.87</v>
      </c>
      <c r="E2717" s="15" t="str">
        <f>IF(ISBLANK(Raw_Data!E2717),AVERAGE(Raw_Data!E$2:E$5002),Raw_Data!E2717)</f>
        <v>27193.33</v>
      </c>
      <c r="F2717" s="15" t="str">
        <f>IF(ISBLANK(Raw_Data!F2717),AVERAGE(Raw_Data!F$2:F$5002),Raw_Data!F2717)</f>
        <v>22143.75</v>
      </c>
      <c r="G2717" s="14" t="str">
        <f>IF(ISBLANK(Raw_Data!G2717),AVERAGE(Raw_Data!G$2:G$5002),Raw_Data!G2717)</f>
        <v>16630.17</v>
      </c>
      <c r="H2717" s="15" t="str">
        <f t="shared" si="1"/>
        <v>128565.00</v>
      </c>
      <c r="I2717" s="14" t="str">
        <f t="shared" si="2"/>
        <v>111935.00</v>
      </c>
      <c r="J2717" s="16" t="str">
        <f>TEXT(Raw_Data!J2717,"MMM-YYY")</f>
        <v>Oct-2025</v>
      </c>
      <c r="K2717" s="13" t="str">
        <f>Raw_Data!K2717</f>
        <v>4</v>
      </c>
      <c r="L2717" s="17" t="str">
        <f>Raw_Data!L2717</f>
        <v>Delhi-North</v>
      </c>
      <c r="M2717" s="13" t="str">
        <f t="shared" si="3"/>
        <v>OK</v>
      </c>
      <c r="N2717" s="18" t="str">
        <f t="shared" si="4"/>
        <v>VALID</v>
      </c>
    </row>
    <row r="2718" ht="15.75" customHeight="1">
      <c r="A2718" s="13" t="str">
        <f>Raw_Data!A2718</f>
        <v>EMP2862</v>
      </c>
      <c r="B2718" s="13" t="str">
        <f>TRIM(CLEAN(Raw_Data!B2718))</f>
        <v>Customer Support</v>
      </c>
      <c r="C2718" s="18" t="s">
        <v>37</v>
      </c>
      <c r="D2718" s="14" t="str">
        <f>IF(ISBLANK(Raw_Data!D2718),AVERAGE(Raw_Data!D$2:D$5002),Raw_Data!D2718)</f>
        <v>79238.75</v>
      </c>
      <c r="E2718" s="15" t="str">
        <f>IF(ISBLANK(Raw_Data!E2718),AVERAGE(Raw_Data!E$2:E$5002),Raw_Data!E2718)</f>
        <v>27197.95</v>
      </c>
      <c r="F2718" s="15" t="str">
        <f>IF(ISBLANK(Raw_Data!F2718),AVERAGE(Raw_Data!F$2:F$5002),Raw_Data!F2718)</f>
        <v>22151.43</v>
      </c>
      <c r="G2718" s="14" t="str">
        <f>IF(ISBLANK(Raw_Data!G2718),AVERAGE(Raw_Data!G$2:G$5002),Raw_Data!G2718)</f>
        <v>16633.57</v>
      </c>
      <c r="H2718" s="15" t="str">
        <f t="shared" si="1"/>
        <v>128588.00</v>
      </c>
      <c r="I2718" s="14" t="str">
        <f t="shared" si="2"/>
        <v>111954.00</v>
      </c>
      <c r="J2718" s="16" t="str">
        <f>TEXT(Raw_Data!J2718,"MMM-YYY")</f>
        <v>Sep-2025</v>
      </c>
      <c r="K2718" s="13" t="str">
        <f>Raw_Data!K2718</f>
        <v>15</v>
      </c>
      <c r="L2718" s="17" t="str">
        <f>Raw_Data!L2718</f>
        <v>Bangalore-South</v>
      </c>
      <c r="M2718" s="13" t="str">
        <f t="shared" si="3"/>
        <v>OK</v>
      </c>
      <c r="N2718" s="18" t="str">
        <f t="shared" si="4"/>
        <v>VALID</v>
      </c>
    </row>
    <row r="2719" ht="15.75" customHeight="1">
      <c r="A2719" s="13" t="str">
        <f>Raw_Data!A2719</f>
        <v>EMP2863</v>
      </c>
      <c r="B2719" s="13" t="str">
        <f>TRIM(CLEAN(Raw_Data!B2719))</f>
        <v>Operations</v>
      </c>
      <c r="C2719" s="18" t="s">
        <v>30</v>
      </c>
      <c r="D2719" s="14" t="str">
        <f>IF(ISBLANK(Raw_Data!D2719),AVERAGE(Raw_Data!D$2:D$5002),Raw_Data!D2719)</f>
        <v>79249.64</v>
      </c>
      <c r="E2719" s="15" t="str">
        <f>IF(ISBLANK(Raw_Data!E2719),AVERAGE(Raw_Data!E$2:E$5002),Raw_Data!E2719)</f>
        <v>27202.56</v>
      </c>
      <c r="F2719" s="15" t="str">
        <f>IF(ISBLANK(Raw_Data!F2719),AVERAGE(Raw_Data!F$2:F$5002),Raw_Data!F2719)</f>
        <v>22159.11</v>
      </c>
      <c r="G2719" s="14" t="str">
        <f>IF(ISBLANK(Raw_Data!G2719),AVERAGE(Raw_Data!G$2:G$5002),Raw_Data!G2719)</f>
        <v>16636.97</v>
      </c>
      <c r="H2719" s="15" t="str">
        <f t="shared" si="1"/>
        <v>128611.00</v>
      </c>
      <c r="I2719" s="14" t="str">
        <f t="shared" si="2"/>
        <v>111974.00</v>
      </c>
      <c r="J2719" s="16" t="str">
        <f>TEXT(Raw_Data!J2719,"MMM-YYY")</f>
        <v>Apr-2025</v>
      </c>
      <c r="K2719" s="13" t="str">
        <f>Raw_Data!K2719</f>
        <v>16</v>
      </c>
      <c r="L2719" s="17" t="str">
        <f>Raw_Data!L2719</f>
        <v>Chennai-South</v>
      </c>
      <c r="M2719" s="13" t="str">
        <f t="shared" si="3"/>
        <v>OK</v>
      </c>
      <c r="N2719" s="18" t="str">
        <f t="shared" si="4"/>
        <v>VALID</v>
      </c>
    </row>
    <row r="2720" ht="15.75" customHeight="1">
      <c r="A2720" s="13" t="str">
        <f>Raw_Data!A2720</f>
        <v>EMP2864</v>
      </c>
      <c r="B2720" s="13" t="str">
        <f>TRIM(CLEAN(Raw_Data!B2720))</f>
        <v>Marketing</v>
      </c>
      <c r="C2720" s="18" t="s">
        <v>26</v>
      </c>
      <c r="D2720" s="14" t="str">
        <f>IF(ISBLANK(Raw_Data!D2720),AVERAGE(Raw_Data!D$2:D$5002),Raw_Data!D2720)</f>
        <v>79260.52</v>
      </c>
      <c r="E2720" s="15" t="str">
        <f>IF(ISBLANK(Raw_Data!E2720),AVERAGE(Raw_Data!E$2:E$5002),Raw_Data!E2720)</f>
        <v>27207.18</v>
      </c>
      <c r="F2720" s="15" t="str">
        <f>IF(ISBLANK(Raw_Data!F2720),AVERAGE(Raw_Data!F$2:F$5002),Raw_Data!F2720)</f>
        <v>22166.79</v>
      </c>
      <c r="G2720" s="14" t="str">
        <f>IF(ISBLANK(Raw_Data!G2720),AVERAGE(Raw_Data!G$2:G$5002),Raw_Data!G2720)</f>
        <v>16640.36</v>
      </c>
      <c r="H2720" s="15" t="str">
        <f t="shared" si="1"/>
        <v>128634.00</v>
      </c>
      <c r="I2720" s="14" t="str">
        <f t="shared" si="2"/>
        <v>111994.00</v>
      </c>
      <c r="J2720" s="16" t="str">
        <f>TEXT(Raw_Data!J2720,"MMM-YYY")</f>
        <v>Feb-2025</v>
      </c>
      <c r="K2720" s="13" t="str">
        <f>Raw_Data!K2720</f>
        <v>25</v>
      </c>
      <c r="L2720" s="17" t="str">
        <f>Raw_Data!L2720</f>
        <v>Kolkata-East</v>
      </c>
      <c r="M2720" s="13" t="str">
        <f t="shared" si="3"/>
        <v>OK</v>
      </c>
      <c r="N2720" s="18" t="str">
        <f t="shared" si="4"/>
        <v>VALID</v>
      </c>
    </row>
    <row r="2721" ht="15.75" customHeight="1">
      <c r="A2721" s="13" t="str">
        <f>Raw_Data!A2721</f>
        <v>EMP2865</v>
      </c>
      <c r="B2721" s="13" t="str">
        <f>TRIM(CLEAN(Raw_Data!B2721))</f>
        <v>Operations</v>
      </c>
      <c r="C2721" s="18" t="s">
        <v>26</v>
      </c>
      <c r="D2721" s="14" t="str">
        <f>IF(ISBLANK(Raw_Data!D2721),AVERAGE(Raw_Data!D$2:D$5002),Raw_Data!D2721)</f>
        <v>79271.40</v>
      </c>
      <c r="E2721" s="15" t="str">
        <f>IF(ISBLANK(Raw_Data!E2721),AVERAGE(Raw_Data!E$2:E$5002),Raw_Data!E2721)</f>
        <v>27211.79</v>
      </c>
      <c r="F2721" s="15" t="str">
        <f>IF(ISBLANK(Raw_Data!F2721),AVERAGE(Raw_Data!F$2:F$5002),Raw_Data!F2721)</f>
        <v>22174.47</v>
      </c>
      <c r="G2721" s="14" t="str">
        <f>IF(ISBLANK(Raw_Data!G2721),AVERAGE(Raw_Data!G$2:G$5002),Raw_Data!G2721)</f>
        <v>16643.76</v>
      </c>
      <c r="H2721" s="15" t="str">
        <f t="shared" si="1"/>
        <v>128658.00</v>
      </c>
      <c r="I2721" s="14" t="str">
        <f t="shared" si="2"/>
        <v>112014.00</v>
      </c>
      <c r="J2721" s="16" t="str">
        <f>TEXT(Raw_Data!J2721,"MMM-YYY")</f>
        <v>Nov-2025</v>
      </c>
      <c r="K2721" s="13" t="str">
        <f>Raw_Data!K2721</f>
        <v>9</v>
      </c>
      <c r="L2721" s="17" t="str">
        <f>Raw_Data!L2721</f>
        <v>Pune-West</v>
      </c>
      <c r="M2721" s="13" t="str">
        <f t="shared" si="3"/>
        <v>OK</v>
      </c>
      <c r="N2721" s="18" t="str">
        <f t="shared" si="4"/>
        <v>VALID</v>
      </c>
    </row>
    <row r="2722" ht="15.75" customHeight="1">
      <c r="A2722" s="13" t="str">
        <f>Raw_Data!A2722</f>
        <v>EMP2866</v>
      </c>
      <c r="B2722" s="13" t="str">
        <f>TRIM(CLEAN(Raw_Data!B2722))</f>
        <v>Operations</v>
      </c>
      <c r="C2722" s="18" t="s">
        <v>26</v>
      </c>
      <c r="D2722" s="14" t="str">
        <f>IF(ISBLANK(Raw_Data!D2722),AVERAGE(Raw_Data!D$2:D$5002),Raw_Data!D2722)</f>
        <v>79282.29</v>
      </c>
      <c r="E2722" s="15" t="str">
        <f>IF(ISBLANK(Raw_Data!E2722),AVERAGE(Raw_Data!E$2:E$5002),Raw_Data!E2722)</f>
        <v>27216.41</v>
      </c>
      <c r="F2722" s="15" t="str">
        <f>IF(ISBLANK(Raw_Data!F2722),AVERAGE(Raw_Data!F$2:F$5002),Raw_Data!F2722)</f>
        <v>22182.15</v>
      </c>
      <c r="G2722" s="14" t="str">
        <f>IF(ISBLANK(Raw_Data!G2722),AVERAGE(Raw_Data!G$2:G$5002),Raw_Data!G2722)</f>
        <v>16647.16</v>
      </c>
      <c r="H2722" s="15" t="str">
        <f t="shared" si="1"/>
        <v>128681.00</v>
      </c>
      <c r="I2722" s="14" t="str">
        <f t="shared" si="2"/>
        <v>112034.00</v>
      </c>
      <c r="J2722" s="16" t="str">
        <f>TEXT(Raw_Data!J2722,"MMM-YYY")</f>
        <v>Dec-2025</v>
      </c>
      <c r="K2722" s="13" t="str">
        <f>Raw_Data!K2722</f>
        <v>4</v>
      </c>
      <c r="L2722" s="17" t="str">
        <f>Raw_Data!L2722</f>
        <v>Hyderabad-South</v>
      </c>
      <c r="M2722" s="13" t="str">
        <f t="shared" si="3"/>
        <v>OK</v>
      </c>
      <c r="N2722" s="18" t="str">
        <f t="shared" si="4"/>
        <v>VALID</v>
      </c>
    </row>
    <row r="2723" ht="15.75" customHeight="1">
      <c r="A2723" s="13" t="str">
        <f>Raw_Data!A2723</f>
        <v>EMP2867</v>
      </c>
      <c r="B2723" s="13" t="str">
        <f>TRIM(CLEAN(Raw_Data!B2723))</f>
        <v>IT</v>
      </c>
      <c r="C2723" s="18" t="s">
        <v>30</v>
      </c>
      <c r="D2723" s="14" t="str">
        <f>IF(ISBLANK(Raw_Data!D2723),AVERAGE(Raw_Data!D$2:D$5002),Raw_Data!D2723)</f>
        <v>79293.17</v>
      </c>
      <c r="E2723" s="15" t="str">
        <f>IF(ISBLANK(Raw_Data!E2723),AVERAGE(Raw_Data!E$2:E$5002),Raw_Data!E2723)</f>
        <v>27221.02</v>
      </c>
      <c r="F2723" s="15" t="str">
        <f>IF(ISBLANK(Raw_Data!F2723),AVERAGE(Raw_Data!F$2:F$5002),Raw_Data!F2723)</f>
        <v>22189.83</v>
      </c>
      <c r="G2723" s="14" t="str">
        <f>IF(ISBLANK(Raw_Data!G2723),AVERAGE(Raw_Data!G$2:G$5002),Raw_Data!G2723)</f>
        <v>16650.56</v>
      </c>
      <c r="H2723" s="15" t="str">
        <f t="shared" si="1"/>
        <v>128704.00</v>
      </c>
      <c r="I2723" s="14" t="str">
        <f t="shared" si="2"/>
        <v>112053.00</v>
      </c>
      <c r="J2723" s="16" t="str">
        <f>TEXT(Raw_Data!J2723,"MMM-YYY")</f>
        <v>Jul-2025</v>
      </c>
      <c r="K2723" s="13" t="str">
        <f>Raw_Data!K2723</f>
        <v>11</v>
      </c>
      <c r="L2723" s="17" t="str">
        <f>Raw_Data!L2723</f>
        <v>Chandigarh-North</v>
      </c>
      <c r="M2723" s="13" t="str">
        <f t="shared" si="3"/>
        <v>OK</v>
      </c>
      <c r="N2723" s="18" t="str">
        <f t="shared" si="4"/>
        <v>VALID</v>
      </c>
    </row>
    <row r="2724" ht="15.75" customHeight="1">
      <c r="A2724" s="13" t="str">
        <f>Raw_Data!A2724</f>
        <v>EMP2868</v>
      </c>
      <c r="B2724" s="13" t="str">
        <f>TRIM(CLEAN(Raw_Data!B2724))</f>
        <v>Operations</v>
      </c>
      <c r="C2724" s="18" t="s">
        <v>26</v>
      </c>
      <c r="D2724" s="14" t="str">
        <f>IF(ISBLANK(Raw_Data!D2724),AVERAGE(Raw_Data!D$2:D$5002),Raw_Data!D2724)</f>
        <v>79304.05</v>
      </c>
      <c r="E2724" s="15" t="str">
        <f>IF(ISBLANK(Raw_Data!E2724),AVERAGE(Raw_Data!E$2:E$5002),Raw_Data!E2724)</f>
        <v>27225.64</v>
      </c>
      <c r="F2724" s="15" t="str">
        <f>IF(ISBLANK(Raw_Data!F2724),AVERAGE(Raw_Data!F$2:F$5002),Raw_Data!F2724)</f>
        <v>22197.51</v>
      </c>
      <c r="G2724" s="14" t="str">
        <f>IF(ISBLANK(Raw_Data!G2724),AVERAGE(Raw_Data!G$2:G$5002),Raw_Data!G2724)</f>
        <v>16653.95</v>
      </c>
      <c r="H2724" s="15" t="str">
        <f t="shared" si="1"/>
        <v>128727.00</v>
      </c>
      <c r="I2724" s="14" t="str">
        <f t="shared" si="2"/>
        <v>112073.00</v>
      </c>
      <c r="J2724" s="16" t="str">
        <f>TEXT(Raw_Data!J2724,"MMM-YYY")</f>
        <v>Oct-2025</v>
      </c>
      <c r="K2724" s="13" t="str">
        <f>Raw_Data!K2724</f>
        <v>23</v>
      </c>
      <c r="L2724" s="17" t="str">
        <f>Raw_Data!L2724</f>
        <v>Ahmedabad-West</v>
      </c>
      <c r="M2724" s="13" t="str">
        <f t="shared" si="3"/>
        <v>OK</v>
      </c>
      <c r="N2724" s="18" t="str">
        <f t="shared" si="4"/>
        <v>VALID</v>
      </c>
    </row>
    <row r="2725" ht="15.75" customHeight="1">
      <c r="A2725" s="13" t="str">
        <f>Raw_Data!A2725</f>
        <v>EMP2869</v>
      </c>
      <c r="B2725" s="13" t="str">
        <f>TRIM(CLEAN(Raw_Data!B2725))</f>
        <v>Sales</v>
      </c>
      <c r="C2725" s="18" t="s">
        <v>14</v>
      </c>
      <c r="D2725" s="14" t="str">
        <f>IF(ISBLANK(Raw_Data!D2725),AVERAGE(Raw_Data!D$2:D$5002),Raw_Data!D2725)</f>
        <v>79314.94</v>
      </c>
      <c r="E2725" s="15" t="str">
        <f>IF(ISBLANK(Raw_Data!E2725),AVERAGE(Raw_Data!E$2:E$5002),Raw_Data!E2725)</f>
        <v>27230.25</v>
      </c>
      <c r="F2725" s="15" t="str">
        <f>IF(ISBLANK(Raw_Data!F2725),AVERAGE(Raw_Data!F$2:F$5002),Raw_Data!F2725)</f>
        <v>22205.19</v>
      </c>
      <c r="G2725" s="14" t="str">
        <f>IF(ISBLANK(Raw_Data!G2725),AVERAGE(Raw_Data!G$2:G$5002),Raw_Data!G2725)</f>
        <v>16657.35</v>
      </c>
      <c r="H2725" s="15" t="str">
        <f t="shared" si="1"/>
        <v>128750.00</v>
      </c>
      <c r="I2725" s="14" t="str">
        <f t="shared" si="2"/>
        <v>112093.00</v>
      </c>
      <c r="J2725" s="16" t="str">
        <f>TEXT(Raw_Data!J2725,"MMM-YYY")</f>
        <v>Aug-2025</v>
      </c>
      <c r="K2725" s="13" t="str">
        <f>Raw_Data!K2725</f>
        <v>11</v>
      </c>
      <c r="L2725" s="17" t="str">
        <f>Raw_Data!L2725</f>
        <v>Jaipur-North</v>
      </c>
      <c r="M2725" s="13" t="str">
        <f t="shared" si="3"/>
        <v>OK</v>
      </c>
      <c r="N2725" s="18" t="str">
        <f t="shared" si="4"/>
        <v>VALID</v>
      </c>
    </row>
    <row r="2726" ht="15.75" customHeight="1">
      <c r="A2726" s="13" t="str">
        <f>Raw_Data!A2726</f>
        <v>EMP2870</v>
      </c>
      <c r="B2726" s="13" t="str">
        <f>TRIM(CLEAN(Raw_Data!B2726))</f>
        <v>Finance</v>
      </c>
      <c r="C2726" s="18" t="s">
        <v>30</v>
      </c>
      <c r="D2726" s="14" t="str">
        <f>IF(ISBLANK(Raw_Data!D2726),AVERAGE(Raw_Data!D$2:D$5002),Raw_Data!D2726)</f>
        <v>79325.82</v>
      </c>
      <c r="E2726" s="15" t="str">
        <f>IF(ISBLANK(Raw_Data!E2726),AVERAGE(Raw_Data!E$2:E$5002),Raw_Data!E2726)</f>
        <v>27234.87</v>
      </c>
      <c r="F2726" s="15" t="str">
        <f>IF(ISBLANK(Raw_Data!F2726),AVERAGE(Raw_Data!F$2:F$5002),Raw_Data!F2726)</f>
        <v>22212.87</v>
      </c>
      <c r="G2726" s="14" t="str">
        <f>IF(ISBLANK(Raw_Data!G2726),AVERAGE(Raw_Data!G$2:G$5002),Raw_Data!G2726)</f>
        <v>16660.75</v>
      </c>
      <c r="H2726" s="15" t="str">
        <f t="shared" si="1"/>
        <v>128774.00</v>
      </c>
      <c r="I2726" s="14" t="str">
        <f t="shared" si="2"/>
        <v>112113.00</v>
      </c>
      <c r="J2726" s="16" t="str">
        <f>TEXT(Raw_Data!J2726,"MMM-YYY")</f>
        <v>Nov-2025</v>
      </c>
      <c r="K2726" s="13" t="str">
        <f>Raw_Data!K2726</f>
        <v>6</v>
      </c>
      <c r="L2726" s="17" t="str">
        <f>Raw_Data!L2726</f>
        <v>Mumbai-HO</v>
      </c>
      <c r="M2726" s="13" t="str">
        <f t="shared" si="3"/>
        <v>OK</v>
      </c>
      <c r="N2726" s="18" t="str">
        <f t="shared" si="4"/>
        <v>VALID</v>
      </c>
    </row>
    <row r="2727" ht="15.75" customHeight="1">
      <c r="A2727" s="13" t="str">
        <f>Raw_Data!A2727</f>
        <v>EMP2871</v>
      </c>
      <c r="B2727" s="13" t="str">
        <f>TRIM(CLEAN(Raw_Data!B2727))</f>
        <v>Marketing</v>
      </c>
      <c r="C2727" s="18" t="s">
        <v>33</v>
      </c>
      <c r="D2727" s="14" t="str">
        <f>IF(ISBLANK(Raw_Data!D2727),AVERAGE(Raw_Data!D$2:D$5002),Raw_Data!D2727)</f>
        <v>79336.70</v>
      </c>
      <c r="E2727" s="15" t="str">
        <f>IF(ISBLANK(Raw_Data!E2727),AVERAGE(Raw_Data!E$2:E$5002),Raw_Data!E2727)</f>
        <v>27239.48</v>
      </c>
      <c r="F2727" s="15" t="str">
        <f>IF(ISBLANK(Raw_Data!F2727),AVERAGE(Raw_Data!F$2:F$5002),Raw_Data!F2727)</f>
        <v>22220.55</v>
      </c>
      <c r="G2727" s="14" t="str">
        <f>IF(ISBLANK(Raw_Data!G2727),AVERAGE(Raw_Data!G$2:G$5002),Raw_Data!G2727)</f>
        <v>16664.15</v>
      </c>
      <c r="H2727" s="15" t="str">
        <f t="shared" si="1"/>
        <v>128797.00</v>
      </c>
      <c r="I2727" s="14" t="str">
        <f t="shared" si="2"/>
        <v>112133.00</v>
      </c>
      <c r="J2727" s="16" t="str">
        <f>TEXT(Raw_Data!J2727,"MMM-YYY")</f>
        <v>Apr-2025</v>
      </c>
      <c r="K2727" s="13" t="str">
        <f>Raw_Data!K2727</f>
        <v>4</v>
      </c>
      <c r="L2727" s="17" t="str">
        <f>Raw_Data!L2727</f>
        <v>Delhi-North</v>
      </c>
      <c r="M2727" s="13" t="str">
        <f t="shared" si="3"/>
        <v>OK</v>
      </c>
      <c r="N2727" s="18" t="str">
        <f t="shared" si="4"/>
        <v>VALID</v>
      </c>
    </row>
    <row r="2728" ht="15.75" customHeight="1">
      <c r="A2728" s="13" t="str">
        <f>Raw_Data!A2728</f>
        <v>EMP2872</v>
      </c>
      <c r="B2728" s="13" t="str">
        <f>TRIM(CLEAN(Raw_Data!B2728))</f>
        <v>Marketing</v>
      </c>
      <c r="C2728" s="18" t="s">
        <v>26</v>
      </c>
      <c r="D2728" s="14" t="str">
        <f>IF(ISBLANK(Raw_Data!D2728),AVERAGE(Raw_Data!D$2:D$5002),Raw_Data!D2728)</f>
        <v>79347.58</v>
      </c>
      <c r="E2728" s="15" t="str">
        <f>IF(ISBLANK(Raw_Data!E2728),AVERAGE(Raw_Data!E$2:E$5002),Raw_Data!E2728)</f>
        <v>27244.10</v>
      </c>
      <c r="F2728" s="15" t="str">
        <f>IF(ISBLANK(Raw_Data!F2728),AVERAGE(Raw_Data!F$2:F$5002),Raw_Data!F2728)</f>
        <v>22228.23</v>
      </c>
      <c r="G2728" s="14" t="str">
        <f>IF(ISBLANK(Raw_Data!G2728),AVERAGE(Raw_Data!G$2:G$5002),Raw_Data!G2728)</f>
        <v>16667.54</v>
      </c>
      <c r="H2728" s="15" t="str">
        <f t="shared" si="1"/>
        <v>128820.00</v>
      </c>
      <c r="I2728" s="14" t="str">
        <f t="shared" si="2"/>
        <v>112152.00</v>
      </c>
      <c r="J2728" s="16" t="str">
        <f>TEXT(Raw_Data!J2728,"MMM-YYY")</f>
        <v>Nov-2025</v>
      </c>
      <c r="K2728" s="13" t="str">
        <f>Raw_Data!K2728</f>
        <v>20</v>
      </c>
      <c r="L2728" s="17" t="str">
        <f>Raw_Data!L2728</f>
        <v>Bangalore-South</v>
      </c>
      <c r="M2728" s="13" t="str">
        <f t="shared" si="3"/>
        <v>OK</v>
      </c>
      <c r="N2728" s="18" t="str">
        <f t="shared" si="4"/>
        <v>VALID</v>
      </c>
    </row>
    <row r="2729" ht="15.75" customHeight="1">
      <c r="A2729" s="13" t="str">
        <f>Raw_Data!A2729</f>
        <v>EMP2873</v>
      </c>
      <c r="B2729" s="13" t="str">
        <f>TRIM(CLEAN(Raw_Data!B2729))</f>
        <v>Operations</v>
      </c>
      <c r="C2729" s="18" t="s">
        <v>33</v>
      </c>
      <c r="D2729" s="14" t="str">
        <f>IF(ISBLANK(Raw_Data!D2729),AVERAGE(Raw_Data!D$2:D$5002),Raw_Data!D2729)</f>
        <v>79358.47</v>
      </c>
      <c r="E2729" s="15" t="str">
        <f>IF(ISBLANK(Raw_Data!E2729),AVERAGE(Raw_Data!E$2:E$5002),Raw_Data!E2729)</f>
        <v>27248.71</v>
      </c>
      <c r="F2729" s="15" t="str">
        <f>IF(ISBLANK(Raw_Data!F2729),AVERAGE(Raw_Data!F$2:F$5002),Raw_Data!F2729)</f>
        <v>22235.91</v>
      </c>
      <c r="G2729" s="14" t="str">
        <f>IF(ISBLANK(Raw_Data!G2729),AVERAGE(Raw_Data!G$2:G$5002),Raw_Data!G2729)</f>
        <v>14562.73</v>
      </c>
      <c r="H2729" s="15" t="str">
        <f t="shared" si="1"/>
        <v>128843.00</v>
      </c>
      <c r="I2729" s="14" t="str">
        <f t="shared" si="2"/>
        <v>114280.00</v>
      </c>
      <c r="J2729" s="16" t="str">
        <f>TEXT(Raw_Data!J2729,"MMM-YYY")</f>
        <v>May-2025</v>
      </c>
      <c r="K2729" s="13" t="str">
        <f>Raw_Data!K2729</f>
        <v>12</v>
      </c>
      <c r="L2729" s="17" t="str">
        <f>Raw_Data!L2729</f>
        <v>Chennai-South</v>
      </c>
      <c r="M2729" s="13" t="str">
        <f t="shared" si="3"/>
        <v>OK</v>
      </c>
      <c r="N2729" s="18" t="str">
        <f t="shared" si="4"/>
        <v>VALID</v>
      </c>
    </row>
    <row r="2730" ht="15.75" customHeight="1">
      <c r="A2730" s="13" t="str">
        <f>Raw_Data!A2730</f>
        <v>EMP2874</v>
      </c>
      <c r="B2730" s="13" t="str">
        <f>TRIM(CLEAN(Raw_Data!B2730))</f>
        <v>Sales</v>
      </c>
      <c r="C2730" s="18" t="s">
        <v>14</v>
      </c>
      <c r="D2730" s="14" t="str">
        <f>IF(ISBLANK(Raw_Data!D2730),AVERAGE(Raw_Data!D$2:D$5002),Raw_Data!D2730)</f>
        <v>79369.35</v>
      </c>
      <c r="E2730" s="15" t="str">
        <f>IF(ISBLANK(Raw_Data!E2730),AVERAGE(Raw_Data!E$2:E$5002),Raw_Data!E2730)</f>
        <v>27253.32</v>
      </c>
      <c r="F2730" s="15" t="str">
        <f>IF(ISBLANK(Raw_Data!F2730),AVERAGE(Raw_Data!F$2:F$5002),Raw_Data!F2730)</f>
        <v>22243.59</v>
      </c>
      <c r="G2730" s="14" t="str">
        <f>IF(ISBLANK(Raw_Data!G2730),AVERAGE(Raw_Data!G$2:G$5002),Raw_Data!G2730)</f>
        <v>16674.34</v>
      </c>
      <c r="H2730" s="15" t="str">
        <f t="shared" si="1"/>
        <v>128866.00</v>
      </c>
      <c r="I2730" s="14" t="str">
        <f t="shared" si="2"/>
        <v>112192.00</v>
      </c>
      <c r="J2730" s="16" t="str">
        <f>TEXT(Raw_Data!J2730,"MMM-YYY")</f>
        <v>Jul-2025</v>
      </c>
      <c r="K2730" s="13" t="str">
        <f>Raw_Data!K2730</f>
        <v>9</v>
      </c>
      <c r="L2730" s="17" t="str">
        <f>Raw_Data!L2730</f>
        <v>Kolkata-East</v>
      </c>
      <c r="M2730" s="13" t="str">
        <f t="shared" si="3"/>
        <v>OK</v>
      </c>
      <c r="N2730" s="18" t="str">
        <f t="shared" si="4"/>
        <v>VALID</v>
      </c>
    </row>
    <row r="2731" ht="15.75" customHeight="1">
      <c r="A2731" s="13" t="str">
        <f>Raw_Data!A2731</f>
        <v>EMP2875</v>
      </c>
      <c r="B2731" s="13" t="str">
        <f>TRIM(CLEAN(Raw_Data!B2731))</f>
        <v>Finance</v>
      </c>
      <c r="C2731" s="18" t="s">
        <v>18</v>
      </c>
      <c r="D2731" s="14" t="str">
        <f>IF(ISBLANK(Raw_Data!D2731),AVERAGE(Raw_Data!D$2:D$5002),Raw_Data!D2731)</f>
        <v>79380.23</v>
      </c>
      <c r="E2731" s="15" t="str">
        <f>IF(ISBLANK(Raw_Data!E2731),AVERAGE(Raw_Data!E$2:E$5002),Raw_Data!E2731)</f>
        <v>27257.94</v>
      </c>
      <c r="F2731" s="15" t="str">
        <f>IF(ISBLANK(Raw_Data!F2731),AVERAGE(Raw_Data!F$2:F$5002),Raw_Data!F2731)</f>
        <v>22251.27</v>
      </c>
      <c r="G2731" s="14" t="str">
        <f>IF(ISBLANK(Raw_Data!G2731),AVERAGE(Raw_Data!G$2:G$5002),Raw_Data!G2731)</f>
        <v>16677.74</v>
      </c>
      <c r="H2731" s="15" t="str">
        <f t="shared" si="1"/>
        <v>128889.00</v>
      </c>
      <c r="I2731" s="14" t="str">
        <f t="shared" si="2"/>
        <v>112211.00</v>
      </c>
      <c r="J2731" s="16" t="str">
        <f>TEXT(Raw_Data!J2731,"MMM-YYY")</f>
        <v>Jun-2025</v>
      </c>
      <c r="K2731" s="13" t="str">
        <f>Raw_Data!K2731</f>
        <v>8</v>
      </c>
      <c r="L2731" s="17" t="str">
        <f>Raw_Data!L2731</f>
        <v>Pune-West</v>
      </c>
      <c r="M2731" s="13" t="str">
        <f t="shared" si="3"/>
        <v>OK</v>
      </c>
      <c r="N2731" s="18" t="str">
        <f t="shared" si="4"/>
        <v>VALID</v>
      </c>
    </row>
    <row r="2732" ht="15.75" customHeight="1">
      <c r="A2732" s="13" t="str">
        <f>Raw_Data!A2732</f>
        <v>EMP2876</v>
      </c>
      <c r="B2732" s="13" t="str">
        <f>TRIM(CLEAN(Raw_Data!B2732))</f>
        <v>Marketing</v>
      </c>
      <c r="C2732" s="18" t="s">
        <v>26</v>
      </c>
      <c r="D2732" s="14" t="str">
        <f>IF(ISBLANK(Raw_Data!D2732),AVERAGE(Raw_Data!D$2:D$5002),Raw_Data!D2732)</f>
        <v>79391.12</v>
      </c>
      <c r="E2732" s="15" t="str">
        <f>IF(ISBLANK(Raw_Data!E2732),AVERAGE(Raw_Data!E$2:E$5002),Raw_Data!E2732)</f>
        <v>27262.55</v>
      </c>
      <c r="F2732" s="15" t="str">
        <f>IF(ISBLANK(Raw_Data!F2732),AVERAGE(Raw_Data!F$2:F$5002),Raw_Data!F2732)</f>
        <v>22258.95</v>
      </c>
      <c r="G2732" s="14" t="str">
        <f>IF(ISBLANK(Raw_Data!G2732),AVERAGE(Raw_Data!G$2:G$5002),Raw_Data!G2732)</f>
        <v>16681.13</v>
      </c>
      <c r="H2732" s="15" t="str">
        <f t="shared" si="1"/>
        <v>128913.00</v>
      </c>
      <c r="I2732" s="14" t="str">
        <f t="shared" si="2"/>
        <v>112232.00</v>
      </c>
      <c r="J2732" s="16" t="str">
        <f>TEXT(Raw_Data!J2732,"MMM-YYY")</f>
        <v>Jan-2025</v>
      </c>
      <c r="K2732" s="13" t="str">
        <f>Raw_Data!K2732</f>
        <v>1</v>
      </c>
      <c r="L2732" s="17" t="str">
        <f>Raw_Data!L2732</f>
        <v>Hyderabad-South</v>
      </c>
      <c r="M2732" s="13" t="str">
        <f t="shared" si="3"/>
        <v>OK</v>
      </c>
      <c r="N2732" s="18" t="str">
        <f t="shared" si="4"/>
        <v>VALID</v>
      </c>
    </row>
    <row r="2733" ht="15.75" customHeight="1">
      <c r="A2733" s="13" t="str">
        <f>Raw_Data!A2733</f>
        <v>EMP2877</v>
      </c>
      <c r="B2733" s="13" t="str">
        <f>TRIM(CLEAN(Raw_Data!B2733))</f>
        <v>Marketing</v>
      </c>
      <c r="C2733" s="18" t="s">
        <v>14</v>
      </c>
      <c r="D2733" s="14" t="str">
        <f>IF(ISBLANK(Raw_Data!D2733),AVERAGE(Raw_Data!D$2:D$5002),Raw_Data!D2733)</f>
        <v>79402.00</v>
      </c>
      <c r="E2733" s="15" t="str">
        <f>IF(ISBLANK(Raw_Data!E2733),AVERAGE(Raw_Data!E$2:E$5002),Raw_Data!E2733)</f>
        <v>27267.17</v>
      </c>
      <c r="F2733" s="15" t="str">
        <f>IF(ISBLANK(Raw_Data!F2733),AVERAGE(Raw_Data!F$2:F$5002),Raw_Data!F2733)</f>
        <v>22266.63</v>
      </c>
      <c r="G2733" s="14" t="str">
        <f>IF(ISBLANK(Raw_Data!G2733),AVERAGE(Raw_Data!G$2:G$5002),Raw_Data!G2733)</f>
        <v>16684.53</v>
      </c>
      <c r="H2733" s="15" t="str">
        <f t="shared" si="1"/>
        <v>128936.00</v>
      </c>
      <c r="I2733" s="14" t="str">
        <f t="shared" si="2"/>
        <v>112251.00</v>
      </c>
      <c r="J2733" s="16" t="str">
        <f>TEXT(Raw_Data!J2733,"MMM-YYY")</f>
        <v>Apr-2025</v>
      </c>
      <c r="K2733" s="13" t="str">
        <f>Raw_Data!K2733</f>
        <v>1</v>
      </c>
      <c r="L2733" s="17" t="str">
        <f>Raw_Data!L2733</f>
        <v>Chandigarh-North</v>
      </c>
      <c r="M2733" s="13" t="str">
        <f t="shared" si="3"/>
        <v>OK</v>
      </c>
      <c r="N2733" s="18" t="str">
        <f t="shared" si="4"/>
        <v>VALID</v>
      </c>
    </row>
    <row r="2734" ht="15.75" customHeight="1">
      <c r="A2734" s="13" t="str">
        <f>Raw_Data!A2734</f>
        <v>EMP2878</v>
      </c>
      <c r="B2734" s="13" t="str">
        <f>TRIM(CLEAN(Raw_Data!B2734))</f>
        <v>Operations</v>
      </c>
      <c r="C2734" s="18" t="s">
        <v>26</v>
      </c>
      <c r="D2734" s="14" t="str">
        <f>IF(ISBLANK(Raw_Data!D2734),AVERAGE(Raw_Data!D$2:D$5002),Raw_Data!D2734)</f>
        <v>79412.88</v>
      </c>
      <c r="E2734" s="15" t="str">
        <f>IF(ISBLANK(Raw_Data!E2734),AVERAGE(Raw_Data!E$2:E$5002),Raw_Data!E2734)</f>
        <v>27271.78</v>
      </c>
      <c r="F2734" s="15" t="str">
        <f>IF(ISBLANK(Raw_Data!F2734),AVERAGE(Raw_Data!F$2:F$5002),Raw_Data!F2734)</f>
        <v>22274.31</v>
      </c>
      <c r="G2734" s="14" t="str">
        <f>IF(ISBLANK(Raw_Data!G2734),AVERAGE(Raw_Data!G$2:G$5002),Raw_Data!G2734)</f>
        <v>16687.93</v>
      </c>
      <c r="H2734" s="15" t="str">
        <f t="shared" si="1"/>
        <v>128959.00</v>
      </c>
      <c r="I2734" s="14" t="str">
        <f t="shared" si="2"/>
        <v>112271.00</v>
      </c>
      <c r="J2734" s="16" t="str">
        <f>TEXT(Raw_Data!J2734,"MMM-YYY")</f>
        <v>May-2025</v>
      </c>
      <c r="K2734" s="13" t="str">
        <f>Raw_Data!K2734</f>
        <v>23</v>
      </c>
      <c r="L2734" s="17" t="str">
        <f>Raw_Data!L2734</f>
        <v>Ahmedabad-West</v>
      </c>
      <c r="M2734" s="13" t="str">
        <f t="shared" si="3"/>
        <v>OK</v>
      </c>
      <c r="N2734" s="18" t="str">
        <f t="shared" si="4"/>
        <v>VALID</v>
      </c>
    </row>
    <row r="2735" ht="15.75" customHeight="1">
      <c r="A2735" s="13" t="str">
        <f>Raw_Data!A2735</f>
        <v>EMP2879</v>
      </c>
      <c r="B2735" s="13" t="str">
        <f>TRIM(CLEAN(Raw_Data!B2735))</f>
        <v>IT</v>
      </c>
      <c r="C2735" s="18" t="s">
        <v>54</v>
      </c>
      <c r="D2735" s="14" t="str">
        <f>IF(ISBLANK(Raw_Data!D2735),AVERAGE(Raw_Data!D$2:D$5002),Raw_Data!D2735)</f>
        <v>79423.76</v>
      </c>
      <c r="E2735" s="15" t="str">
        <f>IF(ISBLANK(Raw_Data!E2735),AVERAGE(Raw_Data!E$2:E$5002),Raw_Data!E2735)</f>
        <v>27276.40</v>
      </c>
      <c r="F2735" s="15" t="str">
        <f>IF(ISBLANK(Raw_Data!F2735),AVERAGE(Raw_Data!F$2:F$5002),Raw_Data!F2735)</f>
        <v>22281.99</v>
      </c>
      <c r="G2735" s="14" t="str">
        <f>IF(ISBLANK(Raw_Data!G2735),AVERAGE(Raw_Data!G$2:G$5002),Raw_Data!G2735)</f>
        <v>16691.33</v>
      </c>
      <c r="H2735" s="15" t="str">
        <f t="shared" si="1"/>
        <v>128982.00</v>
      </c>
      <c r="I2735" s="14" t="str">
        <f t="shared" si="2"/>
        <v>112291.00</v>
      </c>
      <c r="J2735" s="16" t="str">
        <f>TEXT(Raw_Data!J2735,"MMM-YYY")</f>
        <v>May-2025</v>
      </c>
      <c r="K2735" s="13" t="str">
        <f>Raw_Data!K2735</f>
        <v>14</v>
      </c>
      <c r="L2735" s="17" t="str">
        <f>Raw_Data!L2735</f>
        <v>Jaipur-North</v>
      </c>
      <c r="M2735" s="13" t="str">
        <f t="shared" si="3"/>
        <v>OK</v>
      </c>
      <c r="N2735" s="18" t="str">
        <f t="shared" si="4"/>
        <v>VALID</v>
      </c>
    </row>
    <row r="2736" ht="15.75" customHeight="1">
      <c r="A2736" s="13" t="str">
        <f>Raw_Data!A2736</f>
        <v>EMP2881</v>
      </c>
      <c r="B2736" s="13" t="str">
        <f>TRIM(CLEAN(Raw_Data!B2736))</f>
        <v>IT</v>
      </c>
      <c r="C2736" s="18" t="s">
        <v>14</v>
      </c>
      <c r="D2736" s="14" t="str">
        <f>IF(ISBLANK(Raw_Data!D2736),AVERAGE(Raw_Data!D$2:D$5002),Raw_Data!D2736)</f>
        <v>79445.53</v>
      </c>
      <c r="E2736" s="15" t="str">
        <f>IF(ISBLANK(Raw_Data!E2736),AVERAGE(Raw_Data!E$2:E$5002),Raw_Data!E2736)</f>
        <v>27285.63</v>
      </c>
      <c r="F2736" s="15" t="str">
        <f>IF(ISBLANK(Raw_Data!F2736),AVERAGE(Raw_Data!F$2:F$5002),Raw_Data!F2736)</f>
        <v>22297.35</v>
      </c>
      <c r="G2736" s="14" t="str">
        <f>IF(ISBLANK(Raw_Data!G2736),AVERAGE(Raw_Data!G$2:G$5002),Raw_Data!G2736)</f>
        <v>16698.12</v>
      </c>
      <c r="H2736" s="15" t="str">
        <f t="shared" si="1"/>
        <v>129029.00</v>
      </c>
      <c r="I2736" s="14" t="str">
        <f t="shared" si="2"/>
        <v>112331.00</v>
      </c>
      <c r="J2736" s="16" t="str">
        <f>TEXT(Raw_Data!J2736,"MMM-YYY")</f>
        <v>Jan-2025</v>
      </c>
      <c r="K2736" s="13" t="str">
        <f>Raw_Data!K2736</f>
        <v>2</v>
      </c>
      <c r="L2736" s="17" t="str">
        <f>Raw_Data!L2736</f>
        <v>Delhi-North</v>
      </c>
      <c r="M2736" s="13" t="str">
        <f t="shared" si="3"/>
        <v>OK</v>
      </c>
      <c r="N2736" s="18" t="str">
        <f t="shared" si="4"/>
        <v>VALID</v>
      </c>
    </row>
    <row r="2737" ht="15.75" customHeight="1">
      <c r="A2737" s="13" t="str">
        <f>Raw_Data!A2737</f>
        <v>EMP2882</v>
      </c>
      <c r="B2737" s="13" t="str">
        <f>TRIM(CLEAN(Raw_Data!B2737))</f>
        <v>Marketing</v>
      </c>
      <c r="C2737" s="18" t="s">
        <v>26</v>
      </c>
      <c r="D2737" s="14" t="str">
        <f>IF(ISBLANK(Raw_Data!D2737),AVERAGE(Raw_Data!D$2:D$5002),Raw_Data!D2737)</f>
        <v>79456.41</v>
      </c>
      <c r="E2737" s="15" t="str">
        <f>IF(ISBLANK(Raw_Data!E2737),AVERAGE(Raw_Data!E$2:E$5002),Raw_Data!E2737)</f>
        <v>27290.24</v>
      </c>
      <c r="F2737" s="15" t="str">
        <f>IF(ISBLANK(Raw_Data!F2737),AVERAGE(Raw_Data!F$2:F$5002),Raw_Data!F2737)</f>
        <v>22305.03</v>
      </c>
      <c r="G2737" s="14" t="str">
        <f>IF(ISBLANK(Raw_Data!G2737),AVERAGE(Raw_Data!G$2:G$5002),Raw_Data!G2737)</f>
        <v>16701.52</v>
      </c>
      <c r="H2737" s="15" t="str">
        <f t="shared" si="1"/>
        <v>129052.00</v>
      </c>
      <c r="I2737" s="14" t="str">
        <f t="shared" si="2"/>
        <v>112350.00</v>
      </c>
      <c r="J2737" s="16" t="str">
        <f>TEXT(Raw_Data!J2737,"MMM-YYY")</f>
        <v>Aug-2025</v>
      </c>
      <c r="K2737" s="13" t="str">
        <f>Raw_Data!K2737</f>
        <v>22</v>
      </c>
      <c r="L2737" s="17" t="str">
        <f>Raw_Data!L2737</f>
        <v>Bangalore-South</v>
      </c>
      <c r="M2737" s="13" t="str">
        <f t="shared" si="3"/>
        <v>OK</v>
      </c>
      <c r="N2737" s="18" t="str">
        <f t="shared" si="4"/>
        <v>VALID</v>
      </c>
    </row>
    <row r="2738" ht="15.75" customHeight="1">
      <c r="A2738" s="13" t="str">
        <f>Raw_Data!A2738</f>
        <v>EMP2883</v>
      </c>
      <c r="B2738" s="13" t="str">
        <f>TRIM(CLEAN(Raw_Data!B2738))</f>
        <v>Marketing</v>
      </c>
      <c r="C2738" s="18" t="s">
        <v>54</v>
      </c>
      <c r="D2738" s="14" t="str">
        <f>IF(ISBLANK(Raw_Data!D2738),AVERAGE(Raw_Data!D$2:D$5002),Raw_Data!D2738)</f>
        <v>79467.30</v>
      </c>
      <c r="E2738" s="15" t="str">
        <f>IF(ISBLANK(Raw_Data!E2738),AVERAGE(Raw_Data!E$2:E$5002),Raw_Data!E2738)</f>
        <v>27294.86</v>
      </c>
      <c r="F2738" s="15" t="str">
        <f>IF(ISBLANK(Raw_Data!F2738),AVERAGE(Raw_Data!F$2:F$5002),Raw_Data!F2738)</f>
        <v>22312.71</v>
      </c>
      <c r="G2738" s="14" t="str">
        <f>IF(ISBLANK(Raw_Data!G2738),AVERAGE(Raw_Data!G$2:G$5002),Raw_Data!G2738)</f>
        <v>16704.92</v>
      </c>
      <c r="H2738" s="15" t="str">
        <f t="shared" si="1"/>
        <v>129075.00</v>
      </c>
      <c r="I2738" s="14" t="str">
        <f t="shared" si="2"/>
        <v>112370.00</v>
      </c>
      <c r="J2738" s="16" t="str">
        <f>TEXT(Raw_Data!J2738,"MMM-YYY")</f>
        <v>Mar-2025</v>
      </c>
      <c r="K2738" s="13" t="str">
        <f>Raw_Data!K2738</f>
        <v>20</v>
      </c>
      <c r="L2738" s="17" t="str">
        <f>Raw_Data!L2738</f>
        <v>Chennai-South</v>
      </c>
      <c r="M2738" s="13" t="str">
        <f t="shared" si="3"/>
        <v>OK</v>
      </c>
      <c r="N2738" s="18" t="str">
        <f t="shared" si="4"/>
        <v>VALID</v>
      </c>
    </row>
    <row r="2739" ht="15.75" customHeight="1">
      <c r="A2739" s="13" t="str">
        <f>Raw_Data!A2739</f>
        <v>EMP2884</v>
      </c>
      <c r="B2739" s="13" t="str">
        <f>TRIM(CLEAN(Raw_Data!B2739))</f>
        <v>Marketing</v>
      </c>
      <c r="C2739" s="18" t="s">
        <v>18</v>
      </c>
      <c r="D2739" s="14" t="str">
        <f>IF(ISBLANK(Raw_Data!D2739),AVERAGE(Raw_Data!D$2:D$5002),Raw_Data!D2739)</f>
        <v>79478.18</v>
      </c>
      <c r="E2739" s="15" t="str">
        <f>IF(ISBLANK(Raw_Data!E2739),AVERAGE(Raw_Data!E$2:E$5002),Raw_Data!E2739)</f>
        <v>27299.47</v>
      </c>
      <c r="F2739" s="15" t="str">
        <f>IF(ISBLANK(Raw_Data!F2739),AVERAGE(Raw_Data!F$2:F$5002),Raw_Data!F2739)</f>
        <v>22320.39</v>
      </c>
      <c r="G2739" s="14" t="str">
        <f>IF(ISBLANK(Raw_Data!G2739),AVERAGE(Raw_Data!G$2:G$5002),Raw_Data!G2739)</f>
        <v>16708.32</v>
      </c>
      <c r="H2739" s="15" t="str">
        <f t="shared" si="1"/>
        <v>129098.00</v>
      </c>
      <c r="I2739" s="14" t="str">
        <f t="shared" si="2"/>
        <v>112390.00</v>
      </c>
      <c r="J2739" s="16" t="str">
        <f>TEXT(Raw_Data!J2739,"MMM-YYY")</f>
        <v>Mar-2025</v>
      </c>
      <c r="K2739" s="13" t="str">
        <f>Raw_Data!K2739</f>
        <v>14</v>
      </c>
      <c r="L2739" s="17" t="str">
        <f>Raw_Data!L2739</f>
        <v>Kolkata-East</v>
      </c>
      <c r="M2739" s="13" t="str">
        <f t="shared" si="3"/>
        <v>OK</v>
      </c>
      <c r="N2739" s="18" t="str">
        <f t="shared" si="4"/>
        <v>VALID</v>
      </c>
    </row>
    <row r="2740" ht="15.75" customHeight="1">
      <c r="A2740" s="13" t="str">
        <f>Raw_Data!A2740</f>
        <v>EMP2885</v>
      </c>
      <c r="B2740" s="13" t="str">
        <f>TRIM(CLEAN(Raw_Data!B2740))</f>
        <v>IT</v>
      </c>
      <c r="C2740" s="18" t="s">
        <v>33</v>
      </c>
      <c r="D2740" s="14" t="str">
        <f>IF(ISBLANK(Raw_Data!D2740),AVERAGE(Raw_Data!D$2:D$5002),Raw_Data!D2740)</f>
        <v>79489.06</v>
      </c>
      <c r="E2740" s="15" t="str">
        <f>IF(ISBLANK(Raw_Data!E2740),AVERAGE(Raw_Data!E$2:E$5002),Raw_Data!E2740)</f>
        <v>27304.09</v>
      </c>
      <c r="F2740" s="15" t="str">
        <f>IF(ISBLANK(Raw_Data!F2740),AVERAGE(Raw_Data!F$2:F$5002),Raw_Data!F2740)</f>
        <v>22328.07</v>
      </c>
      <c r="G2740" s="14" t="str">
        <f>IF(ISBLANK(Raw_Data!G2740),AVERAGE(Raw_Data!G$2:G$5002),Raw_Data!G2740)</f>
        <v>16711.71</v>
      </c>
      <c r="H2740" s="15" t="str">
        <f t="shared" si="1"/>
        <v>129121.00</v>
      </c>
      <c r="I2740" s="14" t="str">
        <f t="shared" si="2"/>
        <v>112409.00</v>
      </c>
      <c r="J2740" s="16" t="str">
        <f>TEXT(Raw_Data!J2740,"MMM-YYY")</f>
        <v>Oct-2025</v>
      </c>
      <c r="K2740" s="13" t="str">
        <f>Raw_Data!K2740</f>
        <v>9</v>
      </c>
      <c r="L2740" s="17" t="str">
        <f>Raw_Data!L2740</f>
        <v>Pune-West</v>
      </c>
      <c r="M2740" s="13" t="str">
        <f t="shared" si="3"/>
        <v>OK</v>
      </c>
      <c r="N2740" s="18" t="str">
        <f t="shared" si="4"/>
        <v>VALID</v>
      </c>
    </row>
    <row r="2741" ht="15.75" customHeight="1">
      <c r="A2741" s="13" t="str">
        <f>Raw_Data!A2741</f>
        <v>EMP2886</v>
      </c>
      <c r="B2741" s="13" t="str">
        <f>TRIM(CLEAN(Raw_Data!B2741))</f>
        <v>IT</v>
      </c>
      <c r="C2741" s="18" t="s">
        <v>33</v>
      </c>
      <c r="D2741" s="14" t="str">
        <f>IF(ISBLANK(Raw_Data!D2741),AVERAGE(Raw_Data!D$2:D$5002),Raw_Data!D2741)</f>
        <v>79499.95</v>
      </c>
      <c r="E2741" s="15" t="str">
        <f>IF(ISBLANK(Raw_Data!E2741),AVERAGE(Raw_Data!E$2:E$5002),Raw_Data!E2741)</f>
        <v>27308.70</v>
      </c>
      <c r="F2741" s="15" t="str">
        <f>IF(ISBLANK(Raw_Data!F2741),AVERAGE(Raw_Data!F$2:F$5002),Raw_Data!F2741)</f>
        <v>22335.75</v>
      </c>
      <c r="G2741" s="14" t="str">
        <f>IF(ISBLANK(Raw_Data!G2741),AVERAGE(Raw_Data!G$2:G$5002),Raw_Data!G2741)</f>
        <v>16715.11</v>
      </c>
      <c r="H2741" s="15" t="str">
        <f t="shared" si="1"/>
        <v>129144.00</v>
      </c>
      <c r="I2741" s="14" t="str">
        <f t="shared" si="2"/>
        <v>112429.00</v>
      </c>
      <c r="J2741" s="16" t="str">
        <f>TEXT(Raw_Data!J2741,"MMM-YYY")</f>
        <v>Jun-2025</v>
      </c>
      <c r="K2741" s="13" t="str">
        <f>Raw_Data!K2741</f>
        <v>16</v>
      </c>
      <c r="L2741" s="17" t="str">
        <f>Raw_Data!L2741</f>
        <v>Hyderabad-South</v>
      </c>
      <c r="M2741" s="13" t="str">
        <f t="shared" si="3"/>
        <v>OK</v>
      </c>
      <c r="N2741" s="18" t="str">
        <f t="shared" si="4"/>
        <v>VALID</v>
      </c>
    </row>
    <row r="2742" ht="15.75" customHeight="1">
      <c r="A2742" s="13" t="str">
        <f>Raw_Data!A2742</f>
        <v>EMP2887</v>
      </c>
      <c r="B2742" s="13" t="str">
        <f>TRIM(CLEAN(Raw_Data!B2742))</f>
        <v>Marketing</v>
      </c>
      <c r="C2742" s="18" t="s">
        <v>14</v>
      </c>
      <c r="D2742" s="14" t="str">
        <f>IF(ISBLANK(Raw_Data!D2742),AVERAGE(Raw_Data!D$2:D$5002),Raw_Data!D2742)</f>
        <v>79510.83</v>
      </c>
      <c r="E2742" s="15" t="str">
        <f>IF(ISBLANK(Raw_Data!E2742),AVERAGE(Raw_Data!E$2:E$5002),Raw_Data!E2742)</f>
        <v>27313.32</v>
      </c>
      <c r="F2742" s="15" t="str">
        <f>IF(ISBLANK(Raw_Data!F2742),AVERAGE(Raw_Data!F$2:F$5002),Raw_Data!F2742)</f>
        <v>22343.43</v>
      </c>
      <c r="G2742" s="14" t="str">
        <f>IF(ISBLANK(Raw_Data!G2742),AVERAGE(Raw_Data!G$2:G$5002),Raw_Data!G2742)</f>
        <v>16718.51</v>
      </c>
      <c r="H2742" s="15" t="str">
        <f t="shared" si="1"/>
        <v>129168.00</v>
      </c>
      <c r="I2742" s="14" t="str">
        <f t="shared" si="2"/>
        <v>112449.00</v>
      </c>
      <c r="J2742" s="16" t="str">
        <f>TEXT(Raw_Data!J2742,"MMM-YYY")</f>
        <v>Sep-2025</v>
      </c>
      <c r="K2742" s="13" t="str">
        <f>Raw_Data!K2742</f>
        <v>25</v>
      </c>
      <c r="L2742" s="17" t="str">
        <f>Raw_Data!L2742</f>
        <v>Chandigarh-North</v>
      </c>
      <c r="M2742" s="13" t="str">
        <f t="shared" si="3"/>
        <v>OK</v>
      </c>
      <c r="N2742" s="18" t="str">
        <f t="shared" si="4"/>
        <v>VALID</v>
      </c>
    </row>
    <row r="2743" ht="15.75" customHeight="1">
      <c r="A2743" s="13" t="str">
        <f>Raw_Data!A2743</f>
        <v>EMP2888</v>
      </c>
      <c r="B2743" s="13" t="str">
        <f>TRIM(CLEAN(Raw_Data!B2743))</f>
        <v>Customer Support</v>
      </c>
      <c r="C2743" s="18" t="s">
        <v>30</v>
      </c>
      <c r="D2743" s="14" t="str">
        <f>IF(ISBLANK(Raw_Data!D2743),AVERAGE(Raw_Data!D$2:D$5002),Raw_Data!D2743)</f>
        <v>79521.71</v>
      </c>
      <c r="E2743" s="15" t="str">
        <f>IF(ISBLANK(Raw_Data!E2743),AVERAGE(Raw_Data!E$2:E$5002),Raw_Data!E2743)</f>
        <v>27317.93</v>
      </c>
      <c r="F2743" s="15" t="str">
        <f>IF(ISBLANK(Raw_Data!F2743),AVERAGE(Raw_Data!F$2:F$5002),Raw_Data!F2743)</f>
        <v>22351.11</v>
      </c>
      <c r="G2743" s="14" t="str">
        <f>IF(ISBLANK(Raw_Data!G2743),AVERAGE(Raw_Data!G$2:G$5002),Raw_Data!G2743)</f>
        <v>16721.91</v>
      </c>
      <c r="H2743" s="15" t="str">
        <f t="shared" si="1"/>
        <v>129191.00</v>
      </c>
      <c r="I2743" s="14" t="str">
        <f t="shared" si="2"/>
        <v>112469.00</v>
      </c>
      <c r="J2743" s="16" t="str">
        <f>TEXT(Raw_Data!J2743,"MMM-YYY")</f>
        <v>May-2025</v>
      </c>
      <c r="K2743" s="13" t="str">
        <f>Raw_Data!K2743</f>
        <v>10</v>
      </c>
      <c r="L2743" s="17" t="str">
        <f>Raw_Data!L2743</f>
        <v>Ahmedabad-West</v>
      </c>
      <c r="M2743" s="13" t="str">
        <f t="shared" si="3"/>
        <v>OK</v>
      </c>
      <c r="N2743" s="18" t="str">
        <f t="shared" si="4"/>
        <v>VALID</v>
      </c>
    </row>
    <row r="2744" ht="15.75" customHeight="1">
      <c r="A2744" s="13" t="str">
        <f>Raw_Data!A2744</f>
        <v>EMP2889</v>
      </c>
      <c r="B2744" s="13" t="str">
        <f>TRIM(CLEAN(Raw_Data!B2744))</f>
        <v>HR</v>
      </c>
      <c r="C2744" s="18" t="s">
        <v>26</v>
      </c>
      <c r="D2744" s="14" t="str">
        <f>IF(ISBLANK(Raw_Data!D2744),AVERAGE(Raw_Data!D$2:D$5002),Raw_Data!D2744)</f>
        <v>79532.59</v>
      </c>
      <c r="E2744" s="15" t="str">
        <f>IF(ISBLANK(Raw_Data!E2744),AVERAGE(Raw_Data!E$2:E$5002),Raw_Data!E2744)</f>
        <v>27322.55</v>
      </c>
      <c r="F2744" s="15" t="str">
        <f>IF(ISBLANK(Raw_Data!F2744),AVERAGE(Raw_Data!F$2:F$5002),Raw_Data!F2744)</f>
        <v>22358.79</v>
      </c>
      <c r="G2744" s="14" t="str">
        <f>IF(ISBLANK(Raw_Data!G2744),AVERAGE(Raw_Data!G$2:G$5002),Raw_Data!G2744)</f>
        <v>16725.30</v>
      </c>
      <c r="H2744" s="15" t="str">
        <f t="shared" si="1"/>
        <v>129214.00</v>
      </c>
      <c r="I2744" s="14" t="str">
        <f t="shared" si="2"/>
        <v>112489.00</v>
      </c>
      <c r="J2744" s="16" t="str">
        <f>TEXT(Raw_Data!J2744,"MMM-YYY")</f>
        <v>Nov-2025</v>
      </c>
      <c r="K2744" s="13" t="str">
        <f>Raw_Data!K2744</f>
        <v>19</v>
      </c>
      <c r="L2744" s="17" t="str">
        <f>Raw_Data!L2744</f>
        <v>Jaipur-North</v>
      </c>
      <c r="M2744" s="13" t="str">
        <f t="shared" si="3"/>
        <v>OK</v>
      </c>
      <c r="N2744" s="18" t="str">
        <f t="shared" si="4"/>
        <v>VALID</v>
      </c>
    </row>
    <row r="2745" ht="15.75" customHeight="1">
      <c r="A2745" s="13" t="str">
        <f>Raw_Data!A2745</f>
        <v>EMP2890</v>
      </c>
      <c r="B2745" s="13" t="str">
        <f>TRIM(CLEAN(Raw_Data!B2745))</f>
        <v>HR</v>
      </c>
      <c r="C2745" s="18" t="s">
        <v>14</v>
      </c>
      <c r="D2745" s="14" t="str">
        <f>IF(ISBLANK(Raw_Data!D2745),AVERAGE(Raw_Data!D$2:D$5002),Raw_Data!D2745)</f>
        <v>79543.48</v>
      </c>
      <c r="E2745" s="15" t="str">
        <f>IF(ISBLANK(Raw_Data!E2745),AVERAGE(Raw_Data!E$2:E$5002),Raw_Data!E2745)</f>
        <v>27327.16</v>
      </c>
      <c r="F2745" s="15" t="str">
        <f>IF(ISBLANK(Raw_Data!F2745),AVERAGE(Raw_Data!F$2:F$5002),Raw_Data!F2745)</f>
        <v>22366.47</v>
      </c>
      <c r="G2745" s="14" t="str">
        <f>IF(ISBLANK(Raw_Data!G2745),AVERAGE(Raw_Data!G$2:G$5002),Raw_Data!G2745)</f>
        <v>16728.70</v>
      </c>
      <c r="H2745" s="15" t="str">
        <f t="shared" si="1"/>
        <v>129237.00</v>
      </c>
      <c r="I2745" s="14" t="str">
        <f t="shared" si="2"/>
        <v>112508.00</v>
      </c>
      <c r="J2745" s="16" t="str">
        <f>TEXT(Raw_Data!J2745,"MMM-YYY")</f>
        <v>Dec-2025</v>
      </c>
      <c r="K2745" s="13" t="str">
        <f>Raw_Data!K2745</f>
        <v>24</v>
      </c>
      <c r="L2745" s="17" t="str">
        <f>Raw_Data!L2745</f>
        <v>Mumbai-HO</v>
      </c>
      <c r="M2745" s="13" t="str">
        <f t="shared" si="3"/>
        <v>OK</v>
      </c>
      <c r="N2745" s="18" t="str">
        <f t="shared" si="4"/>
        <v>VALID</v>
      </c>
    </row>
    <row r="2746" ht="15.75" customHeight="1">
      <c r="A2746" s="13" t="str">
        <f>Raw_Data!A2746</f>
        <v>EMP2891</v>
      </c>
      <c r="B2746" s="13" t="str">
        <f>TRIM(CLEAN(Raw_Data!B2746))</f>
        <v>Customer Support</v>
      </c>
      <c r="C2746" s="18" t="s">
        <v>18</v>
      </c>
      <c r="D2746" s="14" t="str">
        <f>IF(ISBLANK(Raw_Data!D2746),AVERAGE(Raw_Data!D$2:D$5002),Raw_Data!D2746)</f>
        <v>79554.36</v>
      </c>
      <c r="E2746" s="15" t="str">
        <f>IF(ISBLANK(Raw_Data!E2746),AVERAGE(Raw_Data!E$2:E$5002),Raw_Data!E2746)</f>
        <v>27331.77</v>
      </c>
      <c r="F2746" s="15" t="str">
        <f>IF(ISBLANK(Raw_Data!F2746),AVERAGE(Raw_Data!F$2:F$5002),Raw_Data!F2746)</f>
        <v>22374.15</v>
      </c>
      <c r="G2746" s="14" t="str">
        <f>IF(ISBLANK(Raw_Data!G2746),AVERAGE(Raw_Data!G$2:G$5002),Raw_Data!G2746)</f>
        <v>16732.10</v>
      </c>
      <c r="H2746" s="15" t="str">
        <f t="shared" si="1"/>
        <v>129260.00</v>
      </c>
      <c r="I2746" s="14" t="str">
        <f t="shared" si="2"/>
        <v>112528.00</v>
      </c>
      <c r="J2746" s="16" t="str">
        <f>TEXT(Raw_Data!J2746,"MMM-YYY")</f>
        <v>Oct-2025</v>
      </c>
      <c r="K2746" s="13" t="str">
        <f>Raw_Data!K2746</f>
        <v>16</v>
      </c>
      <c r="L2746" s="17" t="str">
        <f>Raw_Data!L2746</f>
        <v>Delhi-North</v>
      </c>
      <c r="M2746" s="13" t="str">
        <f t="shared" si="3"/>
        <v>OK</v>
      </c>
      <c r="N2746" s="18" t="str">
        <f t="shared" si="4"/>
        <v>VALID</v>
      </c>
    </row>
    <row r="2747" ht="15.75" customHeight="1">
      <c r="A2747" s="13" t="str">
        <f>Raw_Data!A2747</f>
        <v>EMP2892</v>
      </c>
      <c r="B2747" s="13" t="str">
        <f>TRIM(CLEAN(Raw_Data!B2747))</f>
        <v>Marketing</v>
      </c>
      <c r="C2747" s="18" t="s">
        <v>18</v>
      </c>
      <c r="D2747" s="14" t="str">
        <f>IF(ISBLANK(Raw_Data!D2747),AVERAGE(Raw_Data!D$2:D$5002),Raw_Data!D2747)</f>
        <v>79565.24</v>
      </c>
      <c r="E2747" s="15" t="str">
        <f>IF(ISBLANK(Raw_Data!E2747),AVERAGE(Raw_Data!E$2:E$5002),Raw_Data!E2747)</f>
        <v>27336.39</v>
      </c>
      <c r="F2747" s="15" t="str">
        <f>IF(ISBLANK(Raw_Data!F2747),AVERAGE(Raw_Data!F$2:F$5002),Raw_Data!F2747)</f>
        <v>22381.83</v>
      </c>
      <c r="G2747" s="14" t="str">
        <f>IF(ISBLANK(Raw_Data!G2747),AVERAGE(Raw_Data!G$2:G$5002),Raw_Data!G2747)</f>
        <v>16735.50</v>
      </c>
      <c r="H2747" s="15" t="str">
        <f t="shared" si="1"/>
        <v>129283.00</v>
      </c>
      <c r="I2747" s="14" t="str">
        <f t="shared" si="2"/>
        <v>112548.00</v>
      </c>
      <c r="J2747" s="16" t="str">
        <f>TEXT(Raw_Data!J2747,"MMM-YYY")</f>
        <v>Sep-2025</v>
      </c>
      <c r="K2747" s="13" t="str">
        <f>Raw_Data!K2747</f>
        <v>7</v>
      </c>
      <c r="L2747" s="17" t="str">
        <f>Raw_Data!L2747</f>
        <v>Bangalore-South</v>
      </c>
      <c r="M2747" s="13" t="str">
        <f t="shared" si="3"/>
        <v>OK</v>
      </c>
      <c r="N2747" s="18" t="str">
        <f t="shared" si="4"/>
        <v>VALID</v>
      </c>
    </row>
    <row r="2748" ht="15.75" customHeight="1">
      <c r="A2748" s="13" t="str">
        <f>Raw_Data!A2748</f>
        <v>EMP2893</v>
      </c>
      <c r="B2748" s="13" t="str">
        <f>TRIM(CLEAN(Raw_Data!B2748))</f>
        <v>Marketing</v>
      </c>
      <c r="C2748" s="18" t="s">
        <v>30</v>
      </c>
      <c r="D2748" s="14" t="str">
        <f>IF(ISBLANK(Raw_Data!D2748),AVERAGE(Raw_Data!D$2:D$5002),Raw_Data!D2748)</f>
        <v>79576.13</v>
      </c>
      <c r="E2748" s="15" t="str">
        <f>IF(ISBLANK(Raw_Data!E2748),AVERAGE(Raw_Data!E$2:E$5002),Raw_Data!E2748)</f>
        <v>27341.00</v>
      </c>
      <c r="F2748" s="15" t="str">
        <f>IF(ISBLANK(Raw_Data!F2748),AVERAGE(Raw_Data!F$2:F$5002),Raw_Data!F2748)</f>
        <v>22389.51</v>
      </c>
      <c r="G2748" s="14" t="str">
        <f>IF(ISBLANK(Raw_Data!G2748),AVERAGE(Raw_Data!G$2:G$5002),Raw_Data!G2748)</f>
        <v>16738.89</v>
      </c>
      <c r="H2748" s="15" t="str">
        <f t="shared" si="1"/>
        <v>129307.00</v>
      </c>
      <c r="I2748" s="14" t="str">
        <f t="shared" si="2"/>
        <v>112568.00</v>
      </c>
      <c r="J2748" s="16" t="str">
        <f>TEXT(Raw_Data!J2748,"MMM-YYY")</f>
        <v>Oct-2025</v>
      </c>
      <c r="K2748" s="13" t="str">
        <f>Raw_Data!K2748</f>
        <v>22</v>
      </c>
      <c r="L2748" s="17" t="str">
        <f>Raw_Data!L2748</f>
        <v>Chennai-South</v>
      </c>
      <c r="M2748" s="13" t="str">
        <f t="shared" si="3"/>
        <v>OK</v>
      </c>
      <c r="N2748" s="18" t="str">
        <f t="shared" si="4"/>
        <v>VALID</v>
      </c>
    </row>
    <row r="2749" ht="15.75" customHeight="1">
      <c r="A2749" s="13" t="str">
        <f>Raw_Data!A2749</f>
        <v>EMP2894</v>
      </c>
      <c r="B2749" s="13" t="str">
        <f>TRIM(CLEAN(Raw_Data!B2749))</f>
        <v>Marketing</v>
      </c>
      <c r="C2749" s="18" t="s">
        <v>54</v>
      </c>
      <c r="D2749" s="14" t="str">
        <f>IF(ISBLANK(Raw_Data!D2749),AVERAGE(Raw_Data!D$2:D$5002),Raw_Data!D2749)</f>
        <v>79587.01</v>
      </c>
      <c r="E2749" s="15" t="str">
        <f>IF(ISBLANK(Raw_Data!E2749),AVERAGE(Raw_Data!E$2:E$5002),Raw_Data!E2749)</f>
        <v>27345.62</v>
      </c>
      <c r="F2749" s="15" t="str">
        <f>IF(ISBLANK(Raw_Data!F2749),AVERAGE(Raw_Data!F$2:F$5002),Raw_Data!F2749)</f>
        <v>22397.19</v>
      </c>
      <c r="G2749" s="14" t="str">
        <f>IF(ISBLANK(Raw_Data!G2749),AVERAGE(Raw_Data!G$2:G$5002),Raw_Data!G2749)</f>
        <v>16742.29</v>
      </c>
      <c r="H2749" s="15" t="str">
        <f t="shared" si="1"/>
        <v>129330.00</v>
      </c>
      <c r="I2749" s="14" t="str">
        <f t="shared" si="2"/>
        <v>112588.00</v>
      </c>
      <c r="J2749" s="16" t="str">
        <f>TEXT(Raw_Data!J2749,"MMM-YYY")</f>
        <v>Mar-2025</v>
      </c>
      <c r="K2749" s="13" t="str">
        <f>Raw_Data!K2749</f>
        <v>7</v>
      </c>
      <c r="L2749" s="17" t="str">
        <f>Raw_Data!L2749</f>
        <v>Kolkata-East</v>
      </c>
      <c r="M2749" s="13" t="str">
        <f t="shared" si="3"/>
        <v>OK</v>
      </c>
      <c r="N2749" s="18" t="str">
        <f t="shared" si="4"/>
        <v>VALID</v>
      </c>
    </row>
    <row r="2750" ht="15.75" customHeight="1">
      <c r="A2750" s="13" t="str">
        <f>Raw_Data!A2750</f>
        <v>EMP2895</v>
      </c>
      <c r="B2750" s="13" t="str">
        <f>TRIM(CLEAN(Raw_Data!B2750))</f>
        <v>HR</v>
      </c>
      <c r="C2750" s="18" t="s">
        <v>37</v>
      </c>
      <c r="D2750" s="14" t="str">
        <f>IF(ISBLANK(Raw_Data!D2750),AVERAGE(Raw_Data!D$2:D$5002),Raw_Data!D2750)</f>
        <v>79597.89</v>
      </c>
      <c r="E2750" s="15" t="str">
        <f>IF(ISBLANK(Raw_Data!E2750),AVERAGE(Raw_Data!E$2:E$5002),Raw_Data!E2750)</f>
        <v>27350.23</v>
      </c>
      <c r="F2750" s="15" t="str">
        <f>IF(ISBLANK(Raw_Data!F2750),AVERAGE(Raw_Data!F$2:F$5002),Raw_Data!F2750)</f>
        <v>22404.87</v>
      </c>
      <c r="G2750" s="14" t="str">
        <f>IF(ISBLANK(Raw_Data!G2750),AVERAGE(Raw_Data!G$2:G$5002),Raw_Data!G2750)</f>
        <v>16745.69</v>
      </c>
      <c r="H2750" s="15" t="str">
        <f t="shared" si="1"/>
        <v>129353.00</v>
      </c>
      <c r="I2750" s="14" t="str">
        <f t="shared" si="2"/>
        <v>112607.00</v>
      </c>
      <c r="J2750" s="16" t="str">
        <f>TEXT(Raw_Data!J2750,"MMM-YYY")</f>
        <v>Jul-2025</v>
      </c>
      <c r="K2750" s="13" t="str">
        <f>Raw_Data!K2750</f>
        <v>12</v>
      </c>
      <c r="L2750" s="17" t="str">
        <f>Raw_Data!L2750</f>
        <v>Pune-West</v>
      </c>
      <c r="M2750" s="13" t="str">
        <f t="shared" si="3"/>
        <v>OK</v>
      </c>
      <c r="N2750" s="18" t="str">
        <f t="shared" si="4"/>
        <v>VALID</v>
      </c>
    </row>
    <row r="2751" ht="15.75" customHeight="1">
      <c r="A2751" s="13" t="str">
        <f>Raw_Data!A2751</f>
        <v>EMP2896</v>
      </c>
      <c r="B2751" s="13" t="str">
        <f>TRIM(CLEAN(Raw_Data!B2751))</f>
        <v>Sales</v>
      </c>
      <c r="C2751" s="18" t="s">
        <v>30</v>
      </c>
      <c r="D2751" s="14" t="str">
        <f>IF(ISBLANK(Raw_Data!D2751),AVERAGE(Raw_Data!D$2:D$5002),Raw_Data!D2751)</f>
        <v>79608.78</v>
      </c>
      <c r="E2751" s="15" t="str">
        <f>IF(ISBLANK(Raw_Data!E2751),AVERAGE(Raw_Data!E$2:E$5002),Raw_Data!E2751)</f>
        <v>27354.85</v>
      </c>
      <c r="F2751" s="15" t="str">
        <f>IF(ISBLANK(Raw_Data!F2751),AVERAGE(Raw_Data!F$2:F$5002),Raw_Data!F2751)</f>
        <v>22412.55</v>
      </c>
      <c r="G2751" s="14" t="str">
        <f>IF(ISBLANK(Raw_Data!G2751),AVERAGE(Raw_Data!G$2:G$5002),Raw_Data!G2751)</f>
        <v>16749.09</v>
      </c>
      <c r="H2751" s="15" t="str">
        <f t="shared" si="1"/>
        <v>129376.00</v>
      </c>
      <c r="I2751" s="14" t="str">
        <f t="shared" si="2"/>
        <v>112627.00</v>
      </c>
      <c r="J2751" s="16" t="str">
        <f>TEXT(Raw_Data!J2751,"MMM-YYY")</f>
        <v>May-2025</v>
      </c>
      <c r="K2751" s="13" t="str">
        <f>Raw_Data!K2751</f>
        <v>15</v>
      </c>
      <c r="L2751" s="17" t="str">
        <f>Raw_Data!L2751</f>
        <v>Hyderabad-South</v>
      </c>
      <c r="M2751" s="13" t="str">
        <f t="shared" si="3"/>
        <v>OK</v>
      </c>
      <c r="N2751" s="18" t="str">
        <f t="shared" si="4"/>
        <v>VALID</v>
      </c>
    </row>
    <row r="2752" ht="15.75" customHeight="1">
      <c r="A2752" s="13" t="str">
        <f>Raw_Data!A2752</f>
        <v>EMP2897</v>
      </c>
      <c r="B2752" s="13" t="str">
        <f>TRIM(CLEAN(Raw_Data!B2752))</f>
        <v>Sales</v>
      </c>
      <c r="C2752" s="18" t="s">
        <v>33</v>
      </c>
      <c r="D2752" s="14" t="str">
        <f>IF(ISBLANK(Raw_Data!D2752),AVERAGE(Raw_Data!D$2:D$5002),Raw_Data!D2752)</f>
        <v>79619.66</v>
      </c>
      <c r="E2752" s="15" t="str">
        <f>IF(ISBLANK(Raw_Data!E2752),AVERAGE(Raw_Data!E$2:E$5002),Raw_Data!E2752)</f>
        <v>27359.46</v>
      </c>
      <c r="F2752" s="15" t="str">
        <f>IF(ISBLANK(Raw_Data!F2752),AVERAGE(Raw_Data!F$2:F$5002),Raw_Data!F2752)</f>
        <v>22420.23</v>
      </c>
      <c r="G2752" s="14" t="str">
        <f>IF(ISBLANK(Raw_Data!G2752),AVERAGE(Raw_Data!G$2:G$5002),Raw_Data!G2752)</f>
        <v>16752.48</v>
      </c>
      <c r="H2752" s="15" t="str">
        <f t="shared" si="1"/>
        <v>129399.00</v>
      </c>
      <c r="I2752" s="14" t="str">
        <f t="shared" si="2"/>
        <v>112647.00</v>
      </c>
      <c r="J2752" s="16" t="str">
        <f>TEXT(Raw_Data!J2752,"MMM-YYY")</f>
        <v>Apr-2025</v>
      </c>
      <c r="K2752" s="13" t="str">
        <f>Raw_Data!K2752</f>
        <v>15</v>
      </c>
      <c r="L2752" s="17" t="str">
        <f>Raw_Data!L2752</f>
        <v>Chandigarh-North</v>
      </c>
      <c r="M2752" s="13" t="str">
        <f t="shared" si="3"/>
        <v>OK</v>
      </c>
      <c r="N2752" s="18" t="str">
        <f t="shared" si="4"/>
        <v>VALID</v>
      </c>
    </row>
    <row r="2753" ht="15.75" customHeight="1">
      <c r="A2753" s="13" t="str">
        <f>Raw_Data!A2753</f>
        <v>EMP2898</v>
      </c>
      <c r="B2753" s="13" t="str">
        <f>TRIM(CLEAN(Raw_Data!B2753))</f>
        <v>Customer Support</v>
      </c>
      <c r="C2753" s="18" t="s">
        <v>33</v>
      </c>
      <c r="D2753" s="14" t="str">
        <f>IF(ISBLANK(Raw_Data!D2753),AVERAGE(Raw_Data!D$2:D$5002),Raw_Data!D2753)</f>
        <v>79630.54</v>
      </c>
      <c r="E2753" s="15" t="str">
        <f>IF(ISBLANK(Raw_Data!E2753),AVERAGE(Raw_Data!E$2:E$5002),Raw_Data!E2753)</f>
        <v>27364.08</v>
      </c>
      <c r="F2753" s="15" t="str">
        <f>IF(ISBLANK(Raw_Data!F2753),AVERAGE(Raw_Data!F$2:F$5002),Raw_Data!F2753)</f>
        <v>22427.91</v>
      </c>
      <c r="G2753" s="14" t="str">
        <f>IF(ISBLANK(Raw_Data!G2753),AVERAGE(Raw_Data!G$2:G$5002),Raw_Data!G2753)</f>
        <v>16755.88</v>
      </c>
      <c r="H2753" s="15" t="str">
        <f t="shared" si="1"/>
        <v>129423.00</v>
      </c>
      <c r="I2753" s="14" t="str">
        <f t="shared" si="2"/>
        <v>112667.00</v>
      </c>
      <c r="J2753" s="16" t="str">
        <f>TEXT(Raw_Data!J2753,"MMM-YYY")</f>
        <v>Sep-2025</v>
      </c>
      <c r="K2753" s="13" t="str">
        <f>Raw_Data!K2753</f>
        <v>11</v>
      </c>
      <c r="L2753" s="17" t="str">
        <f>Raw_Data!L2753</f>
        <v>Ahmedabad-West</v>
      </c>
      <c r="M2753" s="13" t="str">
        <f t="shared" si="3"/>
        <v>OK</v>
      </c>
      <c r="N2753" s="18" t="str">
        <f t="shared" si="4"/>
        <v>VALID</v>
      </c>
    </row>
    <row r="2754" ht="15.75" customHeight="1">
      <c r="A2754" s="13" t="str">
        <f>Raw_Data!A2754</f>
        <v>EMP2899</v>
      </c>
      <c r="B2754" s="13" t="str">
        <f>TRIM(CLEAN(Raw_Data!B2754))</f>
        <v>Finance</v>
      </c>
      <c r="C2754" s="18" t="s">
        <v>14</v>
      </c>
      <c r="D2754" s="14" t="str">
        <f>IF(ISBLANK(Raw_Data!D2754),AVERAGE(Raw_Data!D$2:D$5002),Raw_Data!D2754)</f>
        <v>79641.42</v>
      </c>
      <c r="E2754" s="15" t="str">
        <f>IF(ISBLANK(Raw_Data!E2754),AVERAGE(Raw_Data!E$2:E$5002),Raw_Data!E2754)</f>
        <v>27368.69</v>
      </c>
      <c r="F2754" s="15" t="str">
        <f>IF(ISBLANK(Raw_Data!F2754),AVERAGE(Raw_Data!F$2:F$5002),Raw_Data!F2754)</f>
        <v>22435.59</v>
      </c>
      <c r="G2754" s="14" t="str">
        <f>IF(ISBLANK(Raw_Data!G2754),AVERAGE(Raw_Data!G$2:G$5002),Raw_Data!G2754)</f>
        <v>16759.28</v>
      </c>
      <c r="H2754" s="15" t="str">
        <f t="shared" si="1"/>
        <v>129446.00</v>
      </c>
      <c r="I2754" s="14" t="str">
        <f t="shared" si="2"/>
        <v>112687.00</v>
      </c>
      <c r="J2754" s="16" t="str">
        <f>TEXT(Raw_Data!J2754,"MMM-YYY")</f>
        <v>Feb-2025</v>
      </c>
      <c r="K2754" s="13" t="str">
        <f>Raw_Data!K2754</f>
        <v>23</v>
      </c>
      <c r="L2754" s="17" t="str">
        <f>Raw_Data!L2754</f>
        <v>Jaipur-North</v>
      </c>
      <c r="M2754" s="13" t="str">
        <f t="shared" si="3"/>
        <v>OK</v>
      </c>
      <c r="N2754" s="18" t="str">
        <f t="shared" si="4"/>
        <v>VALID</v>
      </c>
    </row>
    <row r="2755" ht="15.75" customHeight="1">
      <c r="A2755" s="13" t="str">
        <f>Raw_Data!A2755</f>
        <v>EMP2900</v>
      </c>
      <c r="B2755" s="13" t="str">
        <f>TRIM(CLEAN(Raw_Data!B2755))</f>
        <v>Marketing</v>
      </c>
      <c r="C2755" s="18" t="s">
        <v>33</v>
      </c>
      <c r="D2755" s="14" t="str">
        <f>IF(ISBLANK(Raw_Data!D2755),AVERAGE(Raw_Data!D$2:D$5002),Raw_Data!D2755)</f>
        <v>79652.31</v>
      </c>
      <c r="E2755" s="15" t="str">
        <f>IF(ISBLANK(Raw_Data!E2755),AVERAGE(Raw_Data!E$2:E$5002),Raw_Data!E2755)</f>
        <v>27373.31</v>
      </c>
      <c r="F2755" s="15" t="str">
        <f>IF(ISBLANK(Raw_Data!F2755),AVERAGE(Raw_Data!F$2:F$5002),Raw_Data!F2755)</f>
        <v>22443.27</v>
      </c>
      <c r="G2755" s="14" t="str">
        <f>IF(ISBLANK(Raw_Data!G2755),AVERAGE(Raw_Data!G$2:G$5002),Raw_Data!G2755)</f>
        <v>16762.68</v>
      </c>
      <c r="H2755" s="15" t="str">
        <f t="shared" si="1"/>
        <v>129469.00</v>
      </c>
      <c r="I2755" s="14" t="str">
        <f t="shared" si="2"/>
        <v>112706.00</v>
      </c>
      <c r="J2755" s="16" t="str">
        <f>TEXT(Raw_Data!J2755,"MMM-YYY")</f>
        <v>Aug-2025</v>
      </c>
      <c r="K2755" s="13" t="str">
        <f>Raw_Data!K2755</f>
        <v>15</v>
      </c>
      <c r="L2755" s="17" t="str">
        <f>Raw_Data!L2755</f>
        <v>Mumbai-HO</v>
      </c>
      <c r="M2755" s="13" t="str">
        <f t="shared" si="3"/>
        <v>OK</v>
      </c>
      <c r="N2755" s="18" t="str">
        <f t="shared" si="4"/>
        <v>VALID</v>
      </c>
    </row>
    <row r="2756" ht="15.75" customHeight="1">
      <c r="A2756" s="13" t="str">
        <f>Raw_Data!A2756</f>
        <v>EMP2901</v>
      </c>
      <c r="B2756" s="13" t="str">
        <f>TRIM(CLEAN(Raw_Data!B2756))</f>
        <v>Finance</v>
      </c>
      <c r="C2756" s="18" t="s">
        <v>37</v>
      </c>
      <c r="D2756" s="14" t="str">
        <f>IF(ISBLANK(Raw_Data!D2756),AVERAGE(Raw_Data!D$2:D$5002),Raw_Data!D2756)</f>
        <v>79663.19</v>
      </c>
      <c r="E2756" s="15" t="str">
        <f>IF(ISBLANK(Raw_Data!E2756),AVERAGE(Raw_Data!E$2:E$5002),Raw_Data!E2756)</f>
        <v>27377.92</v>
      </c>
      <c r="F2756" s="15" t="str">
        <f>IF(ISBLANK(Raw_Data!F2756),AVERAGE(Raw_Data!F$2:F$5002),Raw_Data!F2756)</f>
        <v>22450.95</v>
      </c>
      <c r="G2756" s="14" t="str">
        <f>IF(ISBLANK(Raw_Data!G2756),AVERAGE(Raw_Data!G$2:G$5002),Raw_Data!G2756)</f>
        <v>16766.07</v>
      </c>
      <c r="H2756" s="15" t="str">
        <f t="shared" si="1"/>
        <v>129492.00</v>
      </c>
      <c r="I2756" s="14" t="str">
        <f t="shared" si="2"/>
        <v>112726.00</v>
      </c>
      <c r="J2756" s="16" t="str">
        <f>TEXT(Raw_Data!J2756,"MMM-YYY")</f>
        <v>Dec-2025</v>
      </c>
      <c r="K2756" s="13" t="str">
        <f>Raw_Data!K2756</f>
        <v>8</v>
      </c>
      <c r="L2756" s="17" t="str">
        <f>Raw_Data!L2756</f>
        <v>Delhi-North</v>
      </c>
      <c r="M2756" s="13" t="str">
        <f t="shared" si="3"/>
        <v>OK</v>
      </c>
      <c r="N2756" s="18" t="str">
        <f t="shared" si="4"/>
        <v>VALID</v>
      </c>
    </row>
    <row r="2757" ht="15.75" customHeight="1">
      <c r="A2757" s="13" t="str">
        <f>Raw_Data!A2757</f>
        <v>EMP2902</v>
      </c>
      <c r="B2757" s="13" t="str">
        <f>TRIM(CLEAN(Raw_Data!B2757))</f>
        <v>HR</v>
      </c>
      <c r="C2757" s="18" t="s">
        <v>14</v>
      </c>
      <c r="D2757" s="14" t="str">
        <f>IF(ISBLANK(Raw_Data!D2757),AVERAGE(Raw_Data!D$2:D$5002),Raw_Data!D2757)</f>
        <v>79674.07</v>
      </c>
      <c r="E2757" s="15" t="str">
        <f>IF(ISBLANK(Raw_Data!E2757),AVERAGE(Raw_Data!E$2:E$5002),Raw_Data!E2757)</f>
        <v>27382.54</v>
      </c>
      <c r="F2757" s="15" t="str">
        <f>IF(ISBLANK(Raw_Data!F2757),AVERAGE(Raw_Data!F$2:F$5002),Raw_Data!F2757)</f>
        <v>22458.63</v>
      </c>
      <c r="G2757" s="14" t="str">
        <f>IF(ISBLANK(Raw_Data!G2757),AVERAGE(Raw_Data!G$2:G$5002),Raw_Data!G2757)</f>
        <v>16769.47</v>
      </c>
      <c r="H2757" s="15" t="str">
        <f t="shared" si="1"/>
        <v>129515.00</v>
      </c>
      <c r="I2757" s="14" t="str">
        <f t="shared" si="2"/>
        <v>112746.00</v>
      </c>
      <c r="J2757" s="16" t="str">
        <f>TEXT(Raw_Data!J2757,"MMM-YYY")</f>
        <v>Feb-2025</v>
      </c>
      <c r="K2757" s="13" t="str">
        <f>Raw_Data!K2757</f>
        <v>13</v>
      </c>
      <c r="L2757" s="17" t="str">
        <f>Raw_Data!L2757</f>
        <v>Bangalore-South</v>
      </c>
      <c r="M2757" s="13" t="str">
        <f t="shared" si="3"/>
        <v>OK</v>
      </c>
      <c r="N2757" s="18" t="str">
        <f t="shared" si="4"/>
        <v>VALID</v>
      </c>
    </row>
    <row r="2758" ht="15.75" customHeight="1">
      <c r="A2758" s="13" t="str">
        <f>Raw_Data!A2758</f>
        <v>EMP2903</v>
      </c>
      <c r="B2758" s="13" t="str">
        <f>TRIM(CLEAN(Raw_Data!B2758))</f>
        <v>Customer Support</v>
      </c>
      <c r="C2758" s="18" t="s">
        <v>26</v>
      </c>
      <c r="D2758" s="14" t="str">
        <f>IF(ISBLANK(Raw_Data!D2758),AVERAGE(Raw_Data!D$2:D$5002),Raw_Data!D2758)</f>
        <v>79684.96</v>
      </c>
      <c r="E2758" s="15" t="str">
        <f>IF(ISBLANK(Raw_Data!E2758),AVERAGE(Raw_Data!E$2:E$5002),Raw_Data!E2758)</f>
        <v>27387.15</v>
      </c>
      <c r="F2758" s="15" t="str">
        <f>IF(ISBLANK(Raw_Data!F2758),AVERAGE(Raw_Data!F$2:F$5002),Raw_Data!F2758)</f>
        <v>22466.31</v>
      </c>
      <c r="G2758" s="14" t="str">
        <f>IF(ISBLANK(Raw_Data!G2758),AVERAGE(Raw_Data!G$2:G$5002),Raw_Data!G2758)</f>
        <v>16772.87</v>
      </c>
      <c r="H2758" s="15" t="str">
        <f t="shared" si="1"/>
        <v>129538.00</v>
      </c>
      <c r="I2758" s="14" t="str">
        <f t="shared" si="2"/>
        <v>112765.00</v>
      </c>
      <c r="J2758" s="16" t="str">
        <f>TEXT(Raw_Data!J2758,"MMM-YYY")</f>
        <v>Dec-2025</v>
      </c>
      <c r="K2758" s="13" t="str">
        <f>Raw_Data!K2758</f>
        <v>12</v>
      </c>
      <c r="L2758" s="17" t="str">
        <f>Raw_Data!L2758</f>
        <v>Chennai-South</v>
      </c>
      <c r="M2758" s="13" t="str">
        <f t="shared" si="3"/>
        <v>OK</v>
      </c>
      <c r="N2758" s="18" t="str">
        <f t="shared" si="4"/>
        <v>VALID</v>
      </c>
    </row>
    <row r="2759" ht="15.75" customHeight="1">
      <c r="A2759" s="13" t="str">
        <f>Raw_Data!A2759</f>
        <v>EMP2904</v>
      </c>
      <c r="B2759" s="13" t="str">
        <f>TRIM(CLEAN(Raw_Data!B2759))</f>
        <v>Sales</v>
      </c>
      <c r="C2759" s="18" t="s">
        <v>26</v>
      </c>
      <c r="D2759" s="14" t="str">
        <f>IF(ISBLANK(Raw_Data!D2759),AVERAGE(Raw_Data!D$2:D$5002),Raw_Data!D2759)</f>
        <v>79695.84</v>
      </c>
      <c r="E2759" s="15" t="str">
        <f>IF(ISBLANK(Raw_Data!E2759),AVERAGE(Raw_Data!E$2:E$5002),Raw_Data!E2759)</f>
        <v>27391.77</v>
      </c>
      <c r="F2759" s="15" t="str">
        <f>IF(ISBLANK(Raw_Data!F2759),AVERAGE(Raw_Data!F$2:F$5002),Raw_Data!F2759)</f>
        <v>22473.99</v>
      </c>
      <c r="G2759" s="14" t="str">
        <f>IF(ISBLANK(Raw_Data!G2759),AVERAGE(Raw_Data!G$2:G$5002),Raw_Data!G2759)</f>
        <v>16776.27</v>
      </c>
      <c r="H2759" s="15" t="str">
        <f t="shared" si="1"/>
        <v>129562.00</v>
      </c>
      <c r="I2759" s="14" t="str">
        <f t="shared" si="2"/>
        <v>112786.00</v>
      </c>
      <c r="J2759" s="16" t="str">
        <f>TEXT(Raw_Data!J2759,"MMM-YYY")</f>
        <v>Jan-2025</v>
      </c>
      <c r="K2759" s="13" t="str">
        <f>Raw_Data!K2759</f>
        <v>21</v>
      </c>
      <c r="L2759" s="17" t="str">
        <f>Raw_Data!L2759</f>
        <v>Kolkata-East</v>
      </c>
      <c r="M2759" s="13" t="str">
        <f t="shared" si="3"/>
        <v>OK</v>
      </c>
      <c r="N2759" s="18" t="str">
        <f t="shared" si="4"/>
        <v>VALID</v>
      </c>
    </row>
    <row r="2760" ht="15.75" customHeight="1">
      <c r="A2760" s="13" t="str">
        <f>Raw_Data!A2760</f>
        <v>EMP2905</v>
      </c>
      <c r="B2760" s="13" t="str">
        <f>TRIM(CLEAN(Raw_Data!B2760))</f>
        <v>HR</v>
      </c>
      <c r="C2760" s="18" t="s">
        <v>37</v>
      </c>
      <c r="D2760" s="14" t="str">
        <f>IF(ISBLANK(Raw_Data!D2760),AVERAGE(Raw_Data!D$2:D$5002),Raw_Data!D2760)</f>
        <v>79706.72</v>
      </c>
      <c r="E2760" s="15" t="str">
        <f>IF(ISBLANK(Raw_Data!E2760),AVERAGE(Raw_Data!E$2:E$5002),Raw_Data!E2760)</f>
        <v>27396.38</v>
      </c>
      <c r="F2760" s="15" t="str">
        <f>IF(ISBLANK(Raw_Data!F2760),AVERAGE(Raw_Data!F$2:F$5002),Raw_Data!F2760)</f>
        <v>22481.67</v>
      </c>
      <c r="G2760" s="14" t="str">
        <f>IF(ISBLANK(Raw_Data!G2760),AVERAGE(Raw_Data!G$2:G$5002),Raw_Data!G2760)</f>
        <v>14562.73</v>
      </c>
      <c r="H2760" s="15" t="str">
        <f t="shared" si="1"/>
        <v>129585.00</v>
      </c>
      <c r="I2760" s="14" t="str">
        <f t="shared" si="2"/>
        <v>115022.00</v>
      </c>
      <c r="J2760" s="16" t="str">
        <f>TEXT(Raw_Data!J2760,"MMM-YYY")</f>
        <v>Jul-2025</v>
      </c>
      <c r="K2760" s="13" t="str">
        <f>Raw_Data!K2760</f>
        <v>2</v>
      </c>
      <c r="L2760" s="17" t="str">
        <f>Raw_Data!L2760</f>
        <v>Pune-West</v>
      </c>
      <c r="M2760" s="13" t="str">
        <f t="shared" si="3"/>
        <v>OK</v>
      </c>
      <c r="N2760" s="18" t="str">
        <f t="shared" si="4"/>
        <v>VALID</v>
      </c>
    </row>
    <row r="2761" ht="15.75" customHeight="1">
      <c r="A2761" s="13" t="str">
        <f>Raw_Data!A2761</f>
        <v>EMP2906</v>
      </c>
      <c r="B2761" s="13" t="str">
        <f>TRIM(CLEAN(Raw_Data!B2761))</f>
        <v>Finance</v>
      </c>
      <c r="C2761" s="18" t="s">
        <v>30</v>
      </c>
      <c r="D2761" s="14" t="str">
        <f>IF(ISBLANK(Raw_Data!D2761),AVERAGE(Raw_Data!D$2:D$5002),Raw_Data!D2761)</f>
        <v>79717.60</v>
      </c>
      <c r="E2761" s="15" t="str">
        <f>IF(ISBLANK(Raw_Data!E2761),AVERAGE(Raw_Data!E$2:E$5002),Raw_Data!E2761)</f>
        <v>27401.00</v>
      </c>
      <c r="F2761" s="15" t="str">
        <f>IF(ISBLANK(Raw_Data!F2761),AVERAGE(Raw_Data!F$2:F$5002),Raw_Data!F2761)</f>
        <v>22489.35</v>
      </c>
      <c r="G2761" s="14" t="str">
        <f>IF(ISBLANK(Raw_Data!G2761),AVERAGE(Raw_Data!G$2:G$5002),Raw_Data!G2761)</f>
        <v>16783.06</v>
      </c>
      <c r="H2761" s="15" t="str">
        <f t="shared" si="1"/>
        <v>129608.00</v>
      </c>
      <c r="I2761" s="14" t="str">
        <f t="shared" si="2"/>
        <v>112825.00</v>
      </c>
      <c r="J2761" s="16" t="str">
        <f>TEXT(Raw_Data!J2761,"MMM-YYY")</f>
        <v>Jul-2025</v>
      </c>
      <c r="K2761" s="13" t="str">
        <f>Raw_Data!K2761</f>
        <v>4</v>
      </c>
      <c r="L2761" s="17" t="str">
        <f>Raw_Data!L2761</f>
        <v>Hyderabad-South</v>
      </c>
      <c r="M2761" s="13" t="str">
        <f t="shared" si="3"/>
        <v>OK</v>
      </c>
      <c r="N2761" s="18" t="str">
        <f t="shared" si="4"/>
        <v>VALID</v>
      </c>
    </row>
    <row r="2762" ht="15.75" customHeight="1">
      <c r="A2762" s="13" t="str">
        <f>Raw_Data!A2762</f>
        <v>EMP2907</v>
      </c>
      <c r="B2762" s="13" t="str">
        <f>TRIM(CLEAN(Raw_Data!B2762))</f>
        <v>Finance</v>
      </c>
      <c r="C2762" s="18" t="s">
        <v>18</v>
      </c>
      <c r="D2762" s="14" t="str">
        <f>IF(ISBLANK(Raw_Data!D2762),AVERAGE(Raw_Data!D$2:D$5002),Raw_Data!D2762)</f>
        <v>79728.49</v>
      </c>
      <c r="E2762" s="15" t="str">
        <f>IF(ISBLANK(Raw_Data!E2762),AVERAGE(Raw_Data!E$2:E$5002),Raw_Data!E2762)</f>
        <v>27405.61</v>
      </c>
      <c r="F2762" s="15" t="str">
        <f>IF(ISBLANK(Raw_Data!F2762),AVERAGE(Raw_Data!F$2:F$5002),Raw_Data!F2762)</f>
        <v>22497.03</v>
      </c>
      <c r="G2762" s="14" t="str">
        <f>IF(ISBLANK(Raw_Data!G2762),AVERAGE(Raw_Data!G$2:G$5002),Raw_Data!G2762)</f>
        <v>16786.46</v>
      </c>
      <c r="H2762" s="15" t="str">
        <f t="shared" si="1"/>
        <v>129631.00</v>
      </c>
      <c r="I2762" s="14" t="str">
        <f t="shared" si="2"/>
        <v>112845.00</v>
      </c>
      <c r="J2762" s="16" t="str">
        <f>TEXT(Raw_Data!J2762,"MMM-YYY")</f>
        <v>Feb-2025</v>
      </c>
      <c r="K2762" s="13" t="str">
        <f>Raw_Data!K2762</f>
        <v>20</v>
      </c>
      <c r="L2762" s="17" t="str">
        <f>Raw_Data!L2762</f>
        <v>Chandigarh-North</v>
      </c>
      <c r="M2762" s="13" t="str">
        <f t="shared" si="3"/>
        <v>OK</v>
      </c>
      <c r="N2762" s="18" t="str">
        <f t="shared" si="4"/>
        <v>VALID</v>
      </c>
    </row>
    <row r="2763" ht="15.75" customHeight="1">
      <c r="A2763" s="13" t="str">
        <f>Raw_Data!A2763</f>
        <v>EMP2908</v>
      </c>
      <c r="B2763" s="13" t="str">
        <f>TRIM(CLEAN(Raw_Data!B2763))</f>
        <v>Marketing</v>
      </c>
      <c r="C2763" s="18" t="s">
        <v>30</v>
      </c>
      <c r="D2763" s="14" t="str">
        <f>IF(ISBLANK(Raw_Data!D2763),AVERAGE(Raw_Data!D$2:D$5002),Raw_Data!D2763)</f>
        <v>79739.37</v>
      </c>
      <c r="E2763" s="15" t="str">
        <f>IF(ISBLANK(Raw_Data!E2763),AVERAGE(Raw_Data!E$2:E$5002),Raw_Data!E2763)</f>
        <v>27410.23</v>
      </c>
      <c r="F2763" s="15" t="str">
        <f>IF(ISBLANK(Raw_Data!F2763),AVERAGE(Raw_Data!F$2:F$5002),Raw_Data!F2763)</f>
        <v>22504.71</v>
      </c>
      <c r="G2763" s="14" t="str">
        <f>IF(ISBLANK(Raw_Data!G2763),AVERAGE(Raw_Data!G$2:G$5002),Raw_Data!G2763)</f>
        <v>16789.86</v>
      </c>
      <c r="H2763" s="15" t="str">
        <f t="shared" si="1"/>
        <v>129654.00</v>
      </c>
      <c r="I2763" s="14" t="str">
        <f t="shared" si="2"/>
        <v>112864.00</v>
      </c>
      <c r="J2763" s="16" t="str">
        <f>TEXT(Raw_Data!J2763,"MMM-YYY")</f>
        <v>Apr-2025</v>
      </c>
      <c r="K2763" s="13" t="str">
        <f>Raw_Data!K2763</f>
        <v>1</v>
      </c>
      <c r="L2763" s="17" t="str">
        <f>Raw_Data!L2763</f>
        <v>Ahmedabad-West</v>
      </c>
      <c r="M2763" s="13" t="str">
        <f t="shared" si="3"/>
        <v>OK</v>
      </c>
      <c r="N2763" s="18" t="str">
        <f t="shared" si="4"/>
        <v>VALID</v>
      </c>
    </row>
    <row r="2764" ht="15.75" customHeight="1">
      <c r="A2764" s="13" t="str">
        <f>Raw_Data!A2764</f>
        <v>EMP2909</v>
      </c>
      <c r="B2764" s="13" t="str">
        <f>TRIM(CLEAN(Raw_Data!B2764))</f>
        <v>Marketing</v>
      </c>
      <c r="C2764" s="18" t="s">
        <v>18</v>
      </c>
      <c r="D2764" s="14" t="str">
        <f>IF(ISBLANK(Raw_Data!D2764),AVERAGE(Raw_Data!D$2:D$5002),Raw_Data!D2764)</f>
        <v>79750.25</v>
      </c>
      <c r="E2764" s="15" t="str">
        <f>IF(ISBLANK(Raw_Data!E2764),AVERAGE(Raw_Data!E$2:E$5002),Raw_Data!E2764)</f>
        <v>27414.84</v>
      </c>
      <c r="F2764" s="15" t="str">
        <f>IF(ISBLANK(Raw_Data!F2764),AVERAGE(Raw_Data!F$2:F$5002),Raw_Data!F2764)</f>
        <v>22512.39</v>
      </c>
      <c r="G2764" s="14" t="str">
        <f>IF(ISBLANK(Raw_Data!G2764),AVERAGE(Raw_Data!G$2:G$5002),Raw_Data!G2764)</f>
        <v>16793.25</v>
      </c>
      <c r="H2764" s="15" t="str">
        <f t="shared" si="1"/>
        <v>129677.00</v>
      </c>
      <c r="I2764" s="14" t="str">
        <f t="shared" si="2"/>
        <v>112884.00</v>
      </c>
      <c r="J2764" s="16" t="str">
        <f>TEXT(Raw_Data!J2764,"MMM-YYY")</f>
        <v>Nov-2025</v>
      </c>
      <c r="K2764" s="13" t="str">
        <f>Raw_Data!K2764</f>
        <v>18</v>
      </c>
      <c r="L2764" s="17" t="str">
        <f>Raw_Data!L2764</f>
        <v>Jaipur-North</v>
      </c>
      <c r="M2764" s="13" t="str">
        <f t="shared" si="3"/>
        <v>OK</v>
      </c>
      <c r="N2764" s="18" t="str">
        <f t="shared" si="4"/>
        <v>VALID</v>
      </c>
    </row>
    <row r="2765" ht="15.75" customHeight="1">
      <c r="A2765" s="13" t="str">
        <f>Raw_Data!A2765</f>
        <v>EMP2910</v>
      </c>
      <c r="B2765" s="13" t="str">
        <f>TRIM(CLEAN(Raw_Data!B2765))</f>
        <v>Operations</v>
      </c>
      <c r="C2765" s="18" t="s">
        <v>14</v>
      </c>
      <c r="D2765" s="14" t="str">
        <f>IF(ISBLANK(Raw_Data!D2765),AVERAGE(Raw_Data!D$2:D$5002),Raw_Data!D2765)</f>
        <v>79761.14</v>
      </c>
      <c r="E2765" s="15" t="str">
        <f>IF(ISBLANK(Raw_Data!E2765),AVERAGE(Raw_Data!E$2:E$5002),Raw_Data!E2765)</f>
        <v>27419.45</v>
      </c>
      <c r="F2765" s="15" t="str">
        <f>IF(ISBLANK(Raw_Data!F2765),AVERAGE(Raw_Data!F$2:F$5002),Raw_Data!F2765)</f>
        <v>22520.07</v>
      </c>
      <c r="G2765" s="14" t="str">
        <f>IF(ISBLANK(Raw_Data!G2765),AVERAGE(Raw_Data!G$2:G$5002),Raw_Data!G2765)</f>
        <v>16796.65</v>
      </c>
      <c r="H2765" s="15" t="str">
        <f t="shared" si="1"/>
        <v>129701.00</v>
      </c>
      <c r="I2765" s="14" t="str">
        <f t="shared" si="2"/>
        <v>112904.00</v>
      </c>
      <c r="J2765" s="16" t="str">
        <f>TEXT(Raw_Data!J2765,"MMM-YYY")</f>
        <v>Jun-2025</v>
      </c>
      <c r="K2765" s="13" t="str">
        <f>Raw_Data!K2765</f>
        <v>3</v>
      </c>
      <c r="L2765" s="17" t="str">
        <f>Raw_Data!L2765</f>
        <v>Mumbai-HO</v>
      </c>
      <c r="M2765" s="13" t="str">
        <f t="shared" si="3"/>
        <v>OK</v>
      </c>
      <c r="N2765" s="18" t="str">
        <f t="shared" si="4"/>
        <v>VALID</v>
      </c>
    </row>
    <row r="2766" ht="15.75" customHeight="1">
      <c r="A2766" s="13" t="str">
        <f>Raw_Data!A2766</f>
        <v>EMP2911</v>
      </c>
      <c r="B2766" s="13" t="str">
        <f>TRIM(CLEAN(Raw_Data!B2766))</f>
        <v>Marketing</v>
      </c>
      <c r="C2766" s="18" t="s">
        <v>26</v>
      </c>
      <c r="D2766" s="14" t="str">
        <f>IF(ISBLANK(Raw_Data!D2766),AVERAGE(Raw_Data!D$2:D$5002),Raw_Data!D2766)</f>
        <v>79772.02</v>
      </c>
      <c r="E2766" s="15" t="str">
        <f>IF(ISBLANK(Raw_Data!E2766),AVERAGE(Raw_Data!E$2:E$5002),Raw_Data!E2766)</f>
        <v>27424.07</v>
      </c>
      <c r="F2766" s="15" t="str">
        <f>IF(ISBLANK(Raw_Data!F2766),AVERAGE(Raw_Data!F$2:F$5002),Raw_Data!F2766)</f>
        <v>22527.75</v>
      </c>
      <c r="G2766" s="14" t="str">
        <f>IF(ISBLANK(Raw_Data!G2766),AVERAGE(Raw_Data!G$2:G$5002),Raw_Data!G2766)</f>
        <v>16800.05</v>
      </c>
      <c r="H2766" s="15" t="str">
        <f t="shared" si="1"/>
        <v>129724.00</v>
      </c>
      <c r="I2766" s="14" t="str">
        <f t="shared" si="2"/>
        <v>112924.00</v>
      </c>
      <c r="J2766" s="16" t="str">
        <f>TEXT(Raw_Data!J2766,"MMM-YYY")</f>
        <v>May-2025</v>
      </c>
      <c r="K2766" s="13" t="str">
        <f>Raw_Data!K2766</f>
        <v>7</v>
      </c>
      <c r="L2766" s="17" t="str">
        <f>Raw_Data!L2766</f>
        <v>Delhi-North</v>
      </c>
      <c r="M2766" s="13" t="str">
        <f t="shared" si="3"/>
        <v>OK</v>
      </c>
      <c r="N2766" s="18" t="str">
        <f t="shared" si="4"/>
        <v>VALID</v>
      </c>
    </row>
    <row r="2767" ht="15.75" customHeight="1">
      <c r="A2767" s="13" t="str">
        <f>Raw_Data!A2767</f>
        <v>EMP2912</v>
      </c>
      <c r="B2767" s="13" t="str">
        <f>TRIM(CLEAN(Raw_Data!B2767))</f>
        <v>IT</v>
      </c>
      <c r="C2767" s="18" t="s">
        <v>54</v>
      </c>
      <c r="D2767" s="14" t="str">
        <f>IF(ISBLANK(Raw_Data!D2767),AVERAGE(Raw_Data!D$2:D$5002),Raw_Data!D2767)</f>
        <v>71831.17</v>
      </c>
      <c r="E2767" s="15" t="str">
        <f>IF(ISBLANK(Raw_Data!E2767),AVERAGE(Raw_Data!E$2:E$5002),Raw_Data!E2767)</f>
        <v>27428.68</v>
      </c>
      <c r="F2767" s="15" t="str">
        <f>IF(ISBLANK(Raw_Data!F2767),AVERAGE(Raw_Data!F$2:F$5002),Raw_Data!F2767)</f>
        <v>22535.43</v>
      </c>
      <c r="G2767" s="14" t="str">
        <f>IF(ISBLANK(Raw_Data!G2767),AVERAGE(Raw_Data!G$2:G$5002),Raw_Data!G2767)</f>
        <v>16803.45</v>
      </c>
      <c r="H2767" s="15" t="str">
        <f t="shared" si="1"/>
        <v>121795.00</v>
      </c>
      <c r="I2767" s="14" t="str">
        <f t="shared" si="2"/>
        <v>104992.00</v>
      </c>
      <c r="J2767" s="16" t="str">
        <f>TEXT(Raw_Data!J2767,"MMM-YYY")</f>
        <v>May-2025</v>
      </c>
      <c r="K2767" s="13" t="str">
        <f>Raw_Data!K2767</f>
        <v>8</v>
      </c>
      <c r="L2767" s="17" t="str">
        <f>Raw_Data!L2767</f>
        <v>Bangalore-South</v>
      </c>
      <c r="M2767" s="13" t="str">
        <f t="shared" si="3"/>
        <v>OK</v>
      </c>
      <c r="N2767" s="18" t="str">
        <f t="shared" si="4"/>
        <v>VALID</v>
      </c>
    </row>
    <row r="2768" ht="15.75" customHeight="1">
      <c r="A2768" s="13" t="str">
        <f>Raw_Data!A2768</f>
        <v>EMP2914</v>
      </c>
      <c r="B2768" s="13" t="str">
        <f>TRIM(CLEAN(Raw_Data!B2768))</f>
        <v>Operations</v>
      </c>
      <c r="C2768" s="18" t="s">
        <v>26</v>
      </c>
      <c r="D2768" s="14" t="str">
        <f>IF(ISBLANK(Raw_Data!D2768),AVERAGE(Raw_Data!D$2:D$5002),Raw_Data!D2768)</f>
        <v>79804.67</v>
      </c>
      <c r="E2768" s="15" t="str">
        <f>IF(ISBLANK(Raw_Data!E2768),AVERAGE(Raw_Data!E$2:E$5002),Raw_Data!E2768)</f>
        <v>27437.91</v>
      </c>
      <c r="F2768" s="15" t="str">
        <f>IF(ISBLANK(Raw_Data!F2768),AVERAGE(Raw_Data!F$2:F$5002),Raw_Data!F2768)</f>
        <v>22550.79</v>
      </c>
      <c r="G2768" s="14" t="str">
        <f>IF(ISBLANK(Raw_Data!G2768),AVERAGE(Raw_Data!G$2:G$5002),Raw_Data!G2768)</f>
        <v>16810.24</v>
      </c>
      <c r="H2768" s="15" t="str">
        <f t="shared" si="1"/>
        <v>129793.00</v>
      </c>
      <c r="I2768" s="14" t="str">
        <f t="shared" si="2"/>
        <v>112983.00</v>
      </c>
      <c r="J2768" s="16" t="str">
        <f>TEXT(Raw_Data!J2768,"MMM-YYY")</f>
        <v>Dec-2025</v>
      </c>
      <c r="K2768" s="13" t="str">
        <f>Raw_Data!K2768</f>
        <v>11</v>
      </c>
      <c r="L2768" s="17" t="str">
        <f>Raw_Data!L2768</f>
        <v>Kolkata-East</v>
      </c>
      <c r="M2768" s="13" t="str">
        <f t="shared" si="3"/>
        <v>OK</v>
      </c>
      <c r="N2768" s="18" t="str">
        <f t="shared" si="4"/>
        <v>VALID</v>
      </c>
    </row>
    <row r="2769" ht="15.75" customHeight="1">
      <c r="A2769" s="13" t="str">
        <f>Raw_Data!A2769</f>
        <v>EMP2915</v>
      </c>
      <c r="B2769" s="13" t="str">
        <f>TRIM(CLEAN(Raw_Data!B2769))</f>
        <v>HR</v>
      </c>
      <c r="C2769" s="18" t="s">
        <v>30</v>
      </c>
      <c r="D2769" s="14" t="str">
        <f>IF(ISBLANK(Raw_Data!D2769),AVERAGE(Raw_Data!D$2:D$5002),Raw_Data!D2769)</f>
        <v>79815.55</v>
      </c>
      <c r="E2769" s="15" t="str">
        <f>IF(ISBLANK(Raw_Data!E2769),AVERAGE(Raw_Data!E$2:E$5002),Raw_Data!E2769)</f>
        <v>27442.53</v>
      </c>
      <c r="F2769" s="15" t="str">
        <f>IF(ISBLANK(Raw_Data!F2769),AVERAGE(Raw_Data!F$2:F$5002),Raw_Data!F2769)</f>
        <v>22558.47</v>
      </c>
      <c r="G2769" s="14" t="str">
        <f>IF(ISBLANK(Raw_Data!G2769),AVERAGE(Raw_Data!G$2:G$5002),Raw_Data!G2769)</f>
        <v>16813.64</v>
      </c>
      <c r="H2769" s="15" t="str">
        <f t="shared" si="1"/>
        <v>129817.00</v>
      </c>
      <c r="I2769" s="14" t="str">
        <f t="shared" si="2"/>
        <v>113003.00</v>
      </c>
      <c r="J2769" s="16" t="str">
        <f>TEXT(Raw_Data!J2769,"MMM-YYY")</f>
        <v>Jun-2025</v>
      </c>
      <c r="K2769" s="13" t="str">
        <f>Raw_Data!K2769</f>
        <v>3</v>
      </c>
      <c r="L2769" s="17" t="str">
        <f>Raw_Data!L2769</f>
        <v>Pune-West</v>
      </c>
      <c r="M2769" s="13" t="str">
        <f t="shared" si="3"/>
        <v>OK</v>
      </c>
      <c r="N2769" s="18" t="str">
        <f t="shared" si="4"/>
        <v>VALID</v>
      </c>
    </row>
    <row r="2770" ht="15.75" customHeight="1">
      <c r="A2770" s="13" t="str">
        <f>Raw_Data!A2770</f>
        <v>EMP2916</v>
      </c>
      <c r="B2770" s="13" t="str">
        <f>TRIM(CLEAN(Raw_Data!B2770))</f>
        <v>Finance</v>
      </c>
      <c r="C2770" s="18" t="s">
        <v>30</v>
      </c>
      <c r="D2770" s="14" t="str">
        <f>IF(ISBLANK(Raw_Data!D2770),AVERAGE(Raw_Data!D$2:D$5002),Raw_Data!D2770)</f>
        <v>79826.43</v>
      </c>
      <c r="E2770" s="15" t="str">
        <f>IF(ISBLANK(Raw_Data!E2770),AVERAGE(Raw_Data!E$2:E$5002),Raw_Data!E2770)</f>
        <v>27447.14</v>
      </c>
      <c r="F2770" s="15" t="str">
        <f>IF(ISBLANK(Raw_Data!F2770),AVERAGE(Raw_Data!F$2:F$5002),Raw_Data!F2770)</f>
        <v>22566.15</v>
      </c>
      <c r="G2770" s="14" t="str">
        <f>IF(ISBLANK(Raw_Data!G2770),AVERAGE(Raw_Data!G$2:G$5002),Raw_Data!G2770)</f>
        <v>16817.04</v>
      </c>
      <c r="H2770" s="15" t="str">
        <f t="shared" si="1"/>
        <v>129840.00</v>
      </c>
      <c r="I2770" s="14" t="str">
        <f t="shared" si="2"/>
        <v>113023.00</v>
      </c>
      <c r="J2770" s="16" t="str">
        <f>TEXT(Raw_Data!J2770,"MMM-YYY")</f>
        <v>Aug-2025</v>
      </c>
      <c r="K2770" s="13" t="str">
        <f>Raw_Data!K2770</f>
        <v>13</v>
      </c>
      <c r="L2770" s="17" t="str">
        <f>Raw_Data!L2770</f>
        <v>Hyderabad-South</v>
      </c>
      <c r="M2770" s="13" t="str">
        <f t="shared" si="3"/>
        <v>OK</v>
      </c>
      <c r="N2770" s="18" t="str">
        <f t="shared" si="4"/>
        <v>VALID</v>
      </c>
    </row>
    <row r="2771" ht="15.75" customHeight="1">
      <c r="A2771" s="13" t="str">
        <f>Raw_Data!A2771</f>
        <v>EMP2917</v>
      </c>
      <c r="B2771" s="13" t="str">
        <f>TRIM(CLEAN(Raw_Data!B2771))</f>
        <v>Sales</v>
      </c>
      <c r="C2771" s="18" t="s">
        <v>30</v>
      </c>
      <c r="D2771" s="14" t="str">
        <f>IF(ISBLANK(Raw_Data!D2771),AVERAGE(Raw_Data!D$2:D$5002),Raw_Data!D2771)</f>
        <v>79837.32</v>
      </c>
      <c r="E2771" s="15" t="str">
        <f>IF(ISBLANK(Raw_Data!E2771),AVERAGE(Raw_Data!E$2:E$5002),Raw_Data!E2771)</f>
        <v>27451.76</v>
      </c>
      <c r="F2771" s="15" t="str">
        <f>IF(ISBLANK(Raw_Data!F2771),AVERAGE(Raw_Data!F$2:F$5002),Raw_Data!F2771)</f>
        <v>22573.83</v>
      </c>
      <c r="G2771" s="14" t="str">
        <f>IF(ISBLANK(Raw_Data!G2771),AVERAGE(Raw_Data!G$2:G$5002),Raw_Data!G2771)</f>
        <v>16820.43</v>
      </c>
      <c r="H2771" s="15" t="str">
        <f t="shared" si="1"/>
        <v>129863.00</v>
      </c>
      <c r="I2771" s="14" t="str">
        <f t="shared" si="2"/>
        <v>113043.00</v>
      </c>
      <c r="J2771" s="16" t="str">
        <f>TEXT(Raw_Data!J2771,"MMM-YYY")</f>
        <v>Aug-2025</v>
      </c>
      <c r="K2771" s="13" t="str">
        <f>Raw_Data!K2771</f>
        <v>10</v>
      </c>
      <c r="L2771" s="17" t="str">
        <f>Raw_Data!L2771</f>
        <v>Chandigarh-North</v>
      </c>
      <c r="M2771" s="13" t="str">
        <f t="shared" si="3"/>
        <v>OK</v>
      </c>
      <c r="N2771" s="18" t="str">
        <f t="shared" si="4"/>
        <v>VALID</v>
      </c>
    </row>
    <row r="2772" ht="15.75" customHeight="1">
      <c r="A2772" s="13" t="str">
        <f>Raw_Data!A2772</f>
        <v>EMP2918</v>
      </c>
      <c r="B2772" s="13" t="str">
        <f>TRIM(CLEAN(Raw_Data!B2772))</f>
        <v>Customer Support</v>
      </c>
      <c r="C2772" s="18" t="s">
        <v>54</v>
      </c>
      <c r="D2772" s="14" t="str">
        <f>IF(ISBLANK(Raw_Data!D2772),AVERAGE(Raw_Data!D$2:D$5002),Raw_Data!D2772)</f>
        <v>79848.20</v>
      </c>
      <c r="E2772" s="15" t="str">
        <f>IF(ISBLANK(Raw_Data!E2772),AVERAGE(Raw_Data!E$2:E$5002),Raw_Data!E2772)</f>
        <v>27456.37</v>
      </c>
      <c r="F2772" s="15" t="str">
        <f>IF(ISBLANK(Raw_Data!F2772),AVERAGE(Raw_Data!F$2:F$5002),Raw_Data!F2772)</f>
        <v>22581.51</v>
      </c>
      <c r="G2772" s="14" t="str">
        <f>IF(ISBLANK(Raw_Data!G2772),AVERAGE(Raw_Data!G$2:G$5002),Raw_Data!G2772)</f>
        <v>16823.83</v>
      </c>
      <c r="H2772" s="15" t="str">
        <f t="shared" si="1"/>
        <v>129886.00</v>
      </c>
      <c r="I2772" s="14" t="str">
        <f t="shared" si="2"/>
        <v>113062.00</v>
      </c>
      <c r="J2772" s="16" t="str">
        <f>TEXT(Raw_Data!J2772,"MMM-YYY")</f>
        <v>Mar-2025</v>
      </c>
      <c r="K2772" s="13" t="str">
        <f>Raw_Data!K2772</f>
        <v>16</v>
      </c>
      <c r="L2772" s="17" t="str">
        <f>Raw_Data!L2772</f>
        <v>Ahmedabad-West</v>
      </c>
      <c r="M2772" s="13" t="str">
        <f t="shared" si="3"/>
        <v>OK</v>
      </c>
      <c r="N2772" s="18" t="str">
        <f t="shared" si="4"/>
        <v>VALID</v>
      </c>
    </row>
    <row r="2773" ht="15.75" customHeight="1">
      <c r="A2773" s="13" t="str">
        <f>Raw_Data!A2773</f>
        <v>EMP2919</v>
      </c>
      <c r="B2773" s="13" t="str">
        <f>TRIM(CLEAN(Raw_Data!B2773))</f>
        <v>Finance</v>
      </c>
      <c r="C2773" s="18" t="s">
        <v>14</v>
      </c>
      <c r="D2773" s="14" t="str">
        <f>IF(ISBLANK(Raw_Data!D2773),AVERAGE(Raw_Data!D$2:D$5002),Raw_Data!D2773)</f>
        <v>79859.08</v>
      </c>
      <c r="E2773" s="15" t="str">
        <f>IF(ISBLANK(Raw_Data!E2773),AVERAGE(Raw_Data!E$2:E$5002),Raw_Data!E2773)</f>
        <v>27460.99</v>
      </c>
      <c r="F2773" s="15" t="str">
        <f>IF(ISBLANK(Raw_Data!F2773),AVERAGE(Raw_Data!F$2:F$5002),Raw_Data!F2773)</f>
        <v>22589.19</v>
      </c>
      <c r="G2773" s="14" t="str">
        <f>IF(ISBLANK(Raw_Data!G2773),AVERAGE(Raw_Data!G$2:G$5002),Raw_Data!G2773)</f>
        <v>16827.23</v>
      </c>
      <c r="H2773" s="15" t="str">
        <f t="shared" si="1"/>
        <v>129909.00</v>
      </c>
      <c r="I2773" s="14" t="str">
        <f t="shared" si="2"/>
        <v>113082.00</v>
      </c>
      <c r="J2773" s="16" t="str">
        <f>TEXT(Raw_Data!J2773,"MMM-YYY")</f>
        <v>May-2025</v>
      </c>
      <c r="K2773" s="13" t="str">
        <f>Raw_Data!K2773</f>
        <v>12</v>
      </c>
      <c r="L2773" s="17" t="str">
        <f>Raw_Data!L2773</f>
        <v>Jaipur-North</v>
      </c>
      <c r="M2773" s="13" t="str">
        <f t="shared" si="3"/>
        <v>OK</v>
      </c>
      <c r="N2773" s="18" t="str">
        <f t="shared" si="4"/>
        <v>VALID</v>
      </c>
    </row>
    <row r="2774" ht="15.75" customHeight="1">
      <c r="A2774" s="13" t="str">
        <f>Raw_Data!A2774</f>
        <v>EMP2920</v>
      </c>
      <c r="B2774" s="13" t="str">
        <f>TRIM(CLEAN(Raw_Data!B2774))</f>
        <v>Marketing</v>
      </c>
      <c r="C2774" s="18" t="s">
        <v>37</v>
      </c>
      <c r="D2774" s="14" t="str">
        <f>IF(ISBLANK(Raw_Data!D2774),AVERAGE(Raw_Data!D$2:D$5002),Raw_Data!D2774)</f>
        <v>79869.97</v>
      </c>
      <c r="E2774" s="15" t="str">
        <f>IF(ISBLANK(Raw_Data!E2774),AVERAGE(Raw_Data!E$2:E$5002),Raw_Data!E2774)</f>
        <v>27465.60</v>
      </c>
      <c r="F2774" s="15" t="str">
        <f>IF(ISBLANK(Raw_Data!F2774),AVERAGE(Raw_Data!F$2:F$5002),Raw_Data!F2774)</f>
        <v>22596.87</v>
      </c>
      <c r="G2774" s="14" t="str">
        <f>IF(ISBLANK(Raw_Data!G2774),AVERAGE(Raw_Data!G$2:G$5002),Raw_Data!G2774)</f>
        <v>16830.63</v>
      </c>
      <c r="H2774" s="15" t="str">
        <f t="shared" si="1"/>
        <v>129932.00</v>
      </c>
      <c r="I2774" s="14" t="str">
        <f t="shared" si="2"/>
        <v>113101.00</v>
      </c>
      <c r="J2774" s="16" t="str">
        <f>TEXT(Raw_Data!J2774,"MMM-YYY")</f>
        <v>Aug-2025</v>
      </c>
      <c r="K2774" s="13" t="str">
        <f>Raw_Data!K2774</f>
        <v>2</v>
      </c>
      <c r="L2774" s="17" t="str">
        <f>Raw_Data!L2774</f>
        <v>Mumbai-HO</v>
      </c>
      <c r="M2774" s="13" t="str">
        <f t="shared" si="3"/>
        <v>OK</v>
      </c>
      <c r="N2774" s="18" t="str">
        <f t="shared" si="4"/>
        <v>VALID</v>
      </c>
    </row>
    <row r="2775" ht="15.75" customHeight="1">
      <c r="A2775" s="13" t="str">
        <f>Raw_Data!A2775</f>
        <v>EMP2921</v>
      </c>
      <c r="B2775" s="13" t="str">
        <f>TRIM(CLEAN(Raw_Data!B2775))</f>
        <v>HR</v>
      </c>
      <c r="C2775" s="18" t="s">
        <v>37</v>
      </c>
      <c r="D2775" s="14" t="str">
        <f>IF(ISBLANK(Raw_Data!D2775),AVERAGE(Raw_Data!D$2:D$5002),Raw_Data!D2775)</f>
        <v>79880.85</v>
      </c>
      <c r="E2775" s="15" t="str">
        <f>IF(ISBLANK(Raw_Data!E2775),AVERAGE(Raw_Data!E$2:E$5002),Raw_Data!E2775)</f>
        <v>27470.22</v>
      </c>
      <c r="F2775" s="15" t="str">
        <f>IF(ISBLANK(Raw_Data!F2775),AVERAGE(Raw_Data!F$2:F$5002),Raw_Data!F2775)</f>
        <v>22604.55</v>
      </c>
      <c r="G2775" s="14" t="str">
        <f>IF(ISBLANK(Raw_Data!G2775),AVERAGE(Raw_Data!G$2:G$5002),Raw_Data!G2775)</f>
        <v>16834.02</v>
      </c>
      <c r="H2775" s="15" t="str">
        <f t="shared" si="1"/>
        <v>129956.00</v>
      </c>
      <c r="I2775" s="14" t="str">
        <f t="shared" si="2"/>
        <v>113122.00</v>
      </c>
      <c r="J2775" s="16" t="str">
        <f>TEXT(Raw_Data!J2775,"MMM-YYY")</f>
        <v>Jun-2025</v>
      </c>
      <c r="K2775" s="13" t="str">
        <f>Raw_Data!K2775</f>
        <v>7</v>
      </c>
      <c r="L2775" s="17" t="str">
        <f>Raw_Data!L2775</f>
        <v>Delhi-North</v>
      </c>
      <c r="M2775" s="13" t="str">
        <f t="shared" si="3"/>
        <v>OK</v>
      </c>
      <c r="N2775" s="18" t="str">
        <f t="shared" si="4"/>
        <v>VALID</v>
      </c>
    </row>
    <row r="2776" ht="15.75" customHeight="1">
      <c r="A2776" s="13" t="str">
        <f>Raw_Data!A2776</f>
        <v>EMP2922</v>
      </c>
      <c r="B2776" s="13" t="str">
        <f>TRIM(CLEAN(Raw_Data!B2776))</f>
        <v>Finance</v>
      </c>
      <c r="C2776" s="18" t="s">
        <v>26</v>
      </c>
      <c r="D2776" s="14" t="str">
        <f>IF(ISBLANK(Raw_Data!D2776),AVERAGE(Raw_Data!D$2:D$5002),Raw_Data!D2776)</f>
        <v>79891.73</v>
      </c>
      <c r="E2776" s="15" t="str">
        <f>IF(ISBLANK(Raw_Data!E2776),AVERAGE(Raw_Data!E$2:E$5002),Raw_Data!E2776)</f>
        <v>27474.83</v>
      </c>
      <c r="F2776" s="15" t="str">
        <f>IF(ISBLANK(Raw_Data!F2776),AVERAGE(Raw_Data!F$2:F$5002),Raw_Data!F2776)</f>
        <v>22612.23</v>
      </c>
      <c r="G2776" s="14" t="str">
        <f>IF(ISBLANK(Raw_Data!G2776),AVERAGE(Raw_Data!G$2:G$5002),Raw_Data!G2776)</f>
        <v>16837.42</v>
      </c>
      <c r="H2776" s="15" t="str">
        <f t="shared" si="1"/>
        <v>129979.00</v>
      </c>
      <c r="I2776" s="14" t="str">
        <f t="shared" si="2"/>
        <v>113142.00</v>
      </c>
      <c r="J2776" s="16" t="str">
        <f>TEXT(Raw_Data!J2776,"MMM-YYY")</f>
        <v>Apr-2025</v>
      </c>
      <c r="K2776" s="13" t="str">
        <f>Raw_Data!K2776</f>
        <v>11</v>
      </c>
      <c r="L2776" s="17" t="str">
        <f>Raw_Data!L2776</f>
        <v>Bangalore-South</v>
      </c>
      <c r="M2776" s="13" t="str">
        <f t="shared" si="3"/>
        <v>OK</v>
      </c>
      <c r="N2776" s="18" t="str">
        <f t="shared" si="4"/>
        <v>VALID</v>
      </c>
    </row>
    <row r="2777" ht="15.75" customHeight="1">
      <c r="A2777" s="13" t="str">
        <f>Raw_Data!A2777</f>
        <v>EMP2923</v>
      </c>
      <c r="B2777" s="13" t="str">
        <f>TRIM(CLEAN(Raw_Data!B2777))</f>
        <v>Operations</v>
      </c>
      <c r="C2777" s="18" t="s">
        <v>54</v>
      </c>
      <c r="D2777" s="14" t="str">
        <f>IF(ISBLANK(Raw_Data!D2777),AVERAGE(Raw_Data!D$2:D$5002),Raw_Data!D2777)</f>
        <v>79902.62</v>
      </c>
      <c r="E2777" s="15" t="str">
        <f>IF(ISBLANK(Raw_Data!E2777),AVERAGE(Raw_Data!E$2:E$5002),Raw_Data!E2777)</f>
        <v>27479.45</v>
      </c>
      <c r="F2777" s="15" t="str">
        <f>IF(ISBLANK(Raw_Data!F2777),AVERAGE(Raw_Data!F$2:F$5002),Raw_Data!F2777)</f>
        <v>22619.91</v>
      </c>
      <c r="G2777" s="14" t="str">
        <f>IF(ISBLANK(Raw_Data!G2777),AVERAGE(Raw_Data!G$2:G$5002),Raw_Data!G2777)</f>
        <v>16840.82</v>
      </c>
      <c r="H2777" s="15" t="str">
        <f t="shared" si="1"/>
        <v>130002.00</v>
      </c>
      <c r="I2777" s="14" t="str">
        <f t="shared" si="2"/>
        <v>113161.00</v>
      </c>
      <c r="J2777" s="16" t="str">
        <f>TEXT(Raw_Data!J2777,"MMM-YYY")</f>
        <v>Jan-2025</v>
      </c>
      <c r="K2777" s="13" t="str">
        <f>Raw_Data!K2777</f>
        <v>7</v>
      </c>
      <c r="L2777" s="17" t="str">
        <f>Raw_Data!L2777</f>
        <v>Chennai-South</v>
      </c>
      <c r="M2777" s="13" t="str">
        <f t="shared" si="3"/>
        <v>OK</v>
      </c>
      <c r="N2777" s="18" t="str">
        <f t="shared" si="4"/>
        <v>VALID</v>
      </c>
    </row>
    <row r="2778" ht="15.75" customHeight="1">
      <c r="A2778" s="13" t="str">
        <f>Raw_Data!A2778</f>
        <v>EMP2924</v>
      </c>
      <c r="B2778" s="13" t="str">
        <f>TRIM(CLEAN(Raw_Data!B2778))</f>
        <v>Operations</v>
      </c>
      <c r="C2778" s="18" t="s">
        <v>26</v>
      </c>
      <c r="D2778" s="14" t="str">
        <f>IF(ISBLANK(Raw_Data!D2778),AVERAGE(Raw_Data!D$2:D$5002),Raw_Data!D2778)</f>
        <v>79913.50</v>
      </c>
      <c r="E2778" s="15" t="str">
        <f>IF(ISBLANK(Raw_Data!E2778),AVERAGE(Raw_Data!E$2:E$5002),Raw_Data!E2778)</f>
        <v>27484.06</v>
      </c>
      <c r="F2778" s="15" t="str">
        <f>IF(ISBLANK(Raw_Data!F2778),AVERAGE(Raw_Data!F$2:F$5002),Raw_Data!F2778)</f>
        <v>22627.59</v>
      </c>
      <c r="G2778" s="14" t="str">
        <f>IF(ISBLANK(Raw_Data!G2778),AVERAGE(Raw_Data!G$2:G$5002),Raw_Data!G2778)</f>
        <v>16844.22</v>
      </c>
      <c r="H2778" s="15" t="str">
        <f t="shared" si="1"/>
        <v>130025.00</v>
      </c>
      <c r="I2778" s="14" t="str">
        <f t="shared" si="2"/>
        <v>113181.00</v>
      </c>
      <c r="J2778" s="16" t="str">
        <f>TEXT(Raw_Data!J2778,"MMM-YYY")</f>
        <v>Feb-2025</v>
      </c>
      <c r="K2778" s="13" t="str">
        <f>Raw_Data!K2778</f>
        <v>1</v>
      </c>
      <c r="L2778" s="17" t="str">
        <f>Raw_Data!L2778</f>
        <v>Kolkata-East</v>
      </c>
      <c r="M2778" s="13" t="str">
        <f t="shared" si="3"/>
        <v>OK</v>
      </c>
      <c r="N2778" s="18" t="str">
        <f t="shared" si="4"/>
        <v>VALID</v>
      </c>
    </row>
    <row r="2779" ht="15.75" customHeight="1">
      <c r="A2779" s="13" t="str">
        <f>Raw_Data!A2779</f>
        <v>EMP2925</v>
      </c>
      <c r="B2779" s="13" t="str">
        <f>TRIM(CLEAN(Raw_Data!B2779))</f>
        <v>Marketing</v>
      </c>
      <c r="C2779" s="18" t="s">
        <v>33</v>
      </c>
      <c r="D2779" s="14" t="str">
        <f>IF(ISBLANK(Raw_Data!D2779),AVERAGE(Raw_Data!D$2:D$5002),Raw_Data!D2779)</f>
        <v>79924.38</v>
      </c>
      <c r="E2779" s="15" t="str">
        <f>IF(ISBLANK(Raw_Data!E2779),AVERAGE(Raw_Data!E$2:E$5002),Raw_Data!E2779)</f>
        <v>27488.68</v>
      </c>
      <c r="F2779" s="15" t="str">
        <f>IF(ISBLANK(Raw_Data!F2779),AVERAGE(Raw_Data!F$2:F$5002),Raw_Data!F2779)</f>
        <v>22635.27</v>
      </c>
      <c r="G2779" s="14" t="str">
        <f>IF(ISBLANK(Raw_Data!G2779),AVERAGE(Raw_Data!G$2:G$5002),Raw_Data!G2779)</f>
        <v>16847.61</v>
      </c>
      <c r="H2779" s="15" t="str">
        <f t="shared" si="1"/>
        <v>130048.00</v>
      </c>
      <c r="I2779" s="14" t="str">
        <f t="shared" si="2"/>
        <v>113200.00</v>
      </c>
      <c r="J2779" s="16" t="str">
        <f>TEXT(Raw_Data!J2779,"MMM-YYY")</f>
        <v>Jun-2025</v>
      </c>
      <c r="K2779" s="13" t="str">
        <f>Raw_Data!K2779</f>
        <v>22</v>
      </c>
      <c r="L2779" s="17" t="str">
        <f>Raw_Data!L2779</f>
        <v>Pune-West</v>
      </c>
      <c r="M2779" s="13" t="str">
        <f t="shared" si="3"/>
        <v>OK</v>
      </c>
      <c r="N2779" s="18" t="str">
        <f t="shared" si="4"/>
        <v>VALID</v>
      </c>
    </row>
    <row r="2780" ht="15.75" customHeight="1">
      <c r="A2780" s="13" t="str">
        <f>Raw_Data!A2780</f>
        <v>EMP2926</v>
      </c>
      <c r="B2780" s="13" t="str">
        <f>TRIM(CLEAN(Raw_Data!B2780))</f>
        <v>Marketing</v>
      </c>
      <c r="C2780" s="18" t="s">
        <v>30</v>
      </c>
      <c r="D2780" s="14" t="str">
        <f>IF(ISBLANK(Raw_Data!D2780),AVERAGE(Raw_Data!D$2:D$5002),Raw_Data!D2780)</f>
        <v>79935.26</v>
      </c>
      <c r="E2780" s="15" t="str">
        <f>IF(ISBLANK(Raw_Data!E2780),AVERAGE(Raw_Data!E$2:E$5002),Raw_Data!E2780)</f>
        <v>27493.29</v>
      </c>
      <c r="F2780" s="15" t="str">
        <f>IF(ISBLANK(Raw_Data!F2780),AVERAGE(Raw_Data!F$2:F$5002),Raw_Data!F2780)</f>
        <v>22642.95</v>
      </c>
      <c r="G2780" s="14" t="str">
        <f>IF(ISBLANK(Raw_Data!G2780),AVERAGE(Raw_Data!G$2:G$5002),Raw_Data!G2780)</f>
        <v>16851.01</v>
      </c>
      <c r="H2780" s="15" t="str">
        <f t="shared" si="1"/>
        <v>130072.00</v>
      </c>
      <c r="I2780" s="14" t="str">
        <f t="shared" si="2"/>
        <v>113221.00</v>
      </c>
      <c r="J2780" s="16" t="str">
        <f>TEXT(Raw_Data!J2780,"MMM-YYY")</f>
        <v>Apr-2025</v>
      </c>
      <c r="K2780" s="13" t="str">
        <f>Raw_Data!K2780</f>
        <v>22</v>
      </c>
      <c r="L2780" s="17" t="str">
        <f>Raw_Data!L2780</f>
        <v>Hyderabad-South</v>
      </c>
      <c r="M2780" s="13" t="str">
        <f t="shared" si="3"/>
        <v>OK</v>
      </c>
      <c r="N2780" s="18" t="str">
        <f t="shared" si="4"/>
        <v>VALID</v>
      </c>
    </row>
    <row r="2781" ht="15.75" customHeight="1">
      <c r="A2781" s="13" t="str">
        <f>Raw_Data!A2781</f>
        <v>EMP2927</v>
      </c>
      <c r="B2781" s="13" t="str">
        <f>TRIM(CLEAN(Raw_Data!B2781))</f>
        <v>Customer Support</v>
      </c>
      <c r="C2781" s="18" t="s">
        <v>54</v>
      </c>
      <c r="D2781" s="14" t="str">
        <f>IF(ISBLANK(Raw_Data!D2781),AVERAGE(Raw_Data!D$2:D$5002),Raw_Data!D2781)</f>
        <v>79946.15</v>
      </c>
      <c r="E2781" s="15" t="str">
        <f>IF(ISBLANK(Raw_Data!E2781),AVERAGE(Raw_Data!E$2:E$5002),Raw_Data!E2781)</f>
        <v>27497.90</v>
      </c>
      <c r="F2781" s="15" t="str">
        <f>IF(ISBLANK(Raw_Data!F2781),AVERAGE(Raw_Data!F$2:F$5002),Raw_Data!F2781)</f>
        <v>22650.63</v>
      </c>
      <c r="G2781" s="14" t="str">
        <f>IF(ISBLANK(Raw_Data!G2781),AVERAGE(Raw_Data!G$2:G$5002),Raw_Data!G2781)</f>
        <v>16854.41</v>
      </c>
      <c r="H2781" s="15" t="str">
        <f t="shared" si="1"/>
        <v>130095.00</v>
      </c>
      <c r="I2781" s="14" t="str">
        <f t="shared" si="2"/>
        <v>113241.00</v>
      </c>
      <c r="J2781" s="16" t="str">
        <f>TEXT(Raw_Data!J2781,"MMM-YYY")</f>
        <v>Oct-2025</v>
      </c>
      <c r="K2781" s="13" t="str">
        <f>Raw_Data!K2781</f>
        <v>21</v>
      </c>
      <c r="L2781" s="17" t="str">
        <f>Raw_Data!L2781</f>
        <v>Chandigarh-North</v>
      </c>
      <c r="M2781" s="13" t="str">
        <f t="shared" si="3"/>
        <v>OK</v>
      </c>
      <c r="N2781" s="18" t="str">
        <f t="shared" si="4"/>
        <v>VALID</v>
      </c>
    </row>
    <row r="2782" ht="15.75" customHeight="1">
      <c r="A2782" s="13" t="str">
        <f>Raw_Data!A2782</f>
        <v>EMP2928</v>
      </c>
      <c r="B2782" s="13" t="str">
        <f>TRIM(CLEAN(Raw_Data!B2782))</f>
        <v>Customer Support</v>
      </c>
      <c r="C2782" s="18" t="s">
        <v>14</v>
      </c>
      <c r="D2782" s="14" t="str">
        <f>IF(ISBLANK(Raw_Data!D2782),AVERAGE(Raw_Data!D$2:D$5002),Raw_Data!D2782)</f>
        <v>71831.17</v>
      </c>
      <c r="E2782" s="15" t="str">
        <f>IF(ISBLANK(Raw_Data!E2782),AVERAGE(Raw_Data!E$2:E$5002),Raw_Data!E2782)</f>
        <v>27502.52</v>
      </c>
      <c r="F2782" s="15" t="str">
        <f>IF(ISBLANK(Raw_Data!F2782),AVERAGE(Raw_Data!F$2:F$5002),Raw_Data!F2782)</f>
        <v>22658.31</v>
      </c>
      <c r="G2782" s="14" t="str">
        <f>IF(ISBLANK(Raw_Data!G2782),AVERAGE(Raw_Data!G$2:G$5002),Raw_Data!G2782)</f>
        <v>16857.81</v>
      </c>
      <c r="H2782" s="15" t="str">
        <f t="shared" si="1"/>
        <v>121992.00</v>
      </c>
      <c r="I2782" s="14" t="str">
        <f t="shared" si="2"/>
        <v>105134.00</v>
      </c>
      <c r="J2782" s="16" t="str">
        <f>TEXT(Raw_Data!J2782,"MMM-YYY")</f>
        <v>May-2025</v>
      </c>
      <c r="K2782" s="13" t="str">
        <f>Raw_Data!K2782</f>
        <v>6</v>
      </c>
      <c r="L2782" s="17" t="str">
        <f>Raw_Data!L2782</f>
        <v>Ahmedabad-West</v>
      </c>
      <c r="M2782" s="13" t="str">
        <f t="shared" si="3"/>
        <v>OK</v>
      </c>
      <c r="N2782" s="18" t="str">
        <f t="shared" si="4"/>
        <v>VALID</v>
      </c>
    </row>
    <row r="2783" ht="15.75" customHeight="1">
      <c r="A2783" s="13" t="str">
        <f>Raw_Data!A2783</f>
        <v>EMP2929</v>
      </c>
      <c r="B2783" s="13" t="str">
        <f>TRIM(CLEAN(Raw_Data!B2783))</f>
        <v>Customer Support</v>
      </c>
      <c r="C2783" s="18" t="s">
        <v>18</v>
      </c>
      <c r="D2783" s="14" t="str">
        <f>IF(ISBLANK(Raw_Data!D2783),AVERAGE(Raw_Data!D$2:D$5002),Raw_Data!D2783)</f>
        <v>79967.91</v>
      </c>
      <c r="E2783" s="15" t="str">
        <f>IF(ISBLANK(Raw_Data!E2783),AVERAGE(Raw_Data!E$2:E$5002),Raw_Data!E2783)</f>
        <v>27507.13</v>
      </c>
      <c r="F2783" s="15" t="str">
        <f>IF(ISBLANK(Raw_Data!F2783),AVERAGE(Raw_Data!F$2:F$5002),Raw_Data!F2783)</f>
        <v>22665.99</v>
      </c>
      <c r="G2783" s="14" t="str">
        <f>IF(ISBLANK(Raw_Data!G2783),AVERAGE(Raw_Data!G$2:G$5002),Raw_Data!G2783)</f>
        <v>16861.20</v>
      </c>
      <c r="H2783" s="15" t="str">
        <f t="shared" si="1"/>
        <v>130141.00</v>
      </c>
      <c r="I2783" s="14" t="str">
        <f t="shared" si="2"/>
        <v>113280.00</v>
      </c>
      <c r="J2783" s="16" t="str">
        <f>TEXT(Raw_Data!J2783,"MMM-YYY")</f>
        <v>Jul-2025</v>
      </c>
      <c r="K2783" s="13" t="str">
        <f>Raw_Data!K2783</f>
        <v>11</v>
      </c>
      <c r="L2783" s="17" t="str">
        <f>Raw_Data!L2783</f>
        <v>Jaipur-North</v>
      </c>
      <c r="M2783" s="13" t="str">
        <f t="shared" si="3"/>
        <v>OK</v>
      </c>
      <c r="N2783" s="18" t="str">
        <f t="shared" si="4"/>
        <v>VALID</v>
      </c>
    </row>
    <row r="2784" ht="15.75" customHeight="1">
      <c r="A2784" s="13" t="str">
        <f>Raw_Data!A2784</f>
        <v>EMP2930</v>
      </c>
      <c r="B2784" s="13" t="str">
        <f>TRIM(CLEAN(Raw_Data!B2784))</f>
        <v>Operations</v>
      </c>
      <c r="C2784" s="18" t="s">
        <v>54</v>
      </c>
      <c r="D2784" s="14" t="str">
        <f>IF(ISBLANK(Raw_Data!D2784),AVERAGE(Raw_Data!D$2:D$5002),Raw_Data!D2784)</f>
        <v>79978.80</v>
      </c>
      <c r="E2784" s="15" t="str">
        <f>IF(ISBLANK(Raw_Data!E2784),AVERAGE(Raw_Data!E$2:E$5002),Raw_Data!E2784)</f>
        <v>27511.75</v>
      </c>
      <c r="F2784" s="15" t="str">
        <f>IF(ISBLANK(Raw_Data!F2784),AVERAGE(Raw_Data!F$2:F$5002),Raw_Data!F2784)</f>
        <v>22673.67</v>
      </c>
      <c r="G2784" s="14" t="str">
        <f>IF(ISBLANK(Raw_Data!G2784),AVERAGE(Raw_Data!G$2:G$5002),Raw_Data!G2784)</f>
        <v>16864.60</v>
      </c>
      <c r="H2784" s="15" t="str">
        <f t="shared" si="1"/>
        <v>130164.00</v>
      </c>
      <c r="I2784" s="14" t="str">
        <f t="shared" si="2"/>
        <v>113299.00</v>
      </c>
      <c r="J2784" s="16" t="str">
        <f>TEXT(Raw_Data!J2784,"MMM-YYY")</f>
        <v>Apr-2025</v>
      </c>
      <c r="K2784" s="13" t="str">
        <f>Raw_Data!K2784</f>
        <v>8</v>
      </c>
      <c r="L2784" s="17" t="str">
        <f>Raw_Data!L2784</f>
        <v>Mumbai-HO</v>
      </c>
      <c r="M2784" s="13" t="str">
        <f t="shared" si="3"/>
        <v>OK</v>
      </c>
      <c r="N2784" s="18" t="str">
        <f t="shared" si="4"/>
        <v>VALID</v>
      </c>
    </row>
    <row r="2785" ht="15.75" customHeight="1">
      <c r="A2785" s="13" t="str">
        <f>Raw_Data!A2785</f>
        <v>EMP2931</v>
      </c>
      <c r="B2785" s="13" t="str">
        <f>TRIM(CLEAN(Raw_Data!B2785))</f>
        <v>Customer Support</v>
      </c>
      <c r="C2785" s="18" t="s">
        <v>30</v>
      </c>
      <c r="D2785" s="14" t="str">
        <f>IF(ISBLANK(Raw_Data!D2785),AVERAGE(Raw_Data!D$2:D$5002),Raw_Data!D2785)</f>
        <v>79989.68</v>
      </c>
      <c r="E2785" s="15" t="str">
        <f>IF(ISBLANK(Raw_Data!E2785),AVERAGE(Raw_Data!E$2:E$5002),Raw_Data!E2785)</f>
        <v>27516.36</v>
      </c>
      <c r="F2785" s="15" t="str">
        <f>IF(ISBLANK(Raw_Data!F2785),AVERAGE(Raw_Data!F$2:F$5002),Raw_Data!F2785)</f>
        <v>22681.35</v>
      </c>
      <c r="G2785" s="14" t="str">
        <f>IF(ISBLANK(Raw_Data!G2785),AVERAGE(Raw_Data!G$2:G$5002),Raw_Data!G2785)</f>
        <v>16868.00</v>
      </c>
      <c r="H2785" s="15" t="str">
        <f t="shared" si="1"/>
        <v>130187.00</v>
      </c>
      <c r="I2785" s="14" t="str">
        <f t="shared" si="2"/>
        <v>113319.00</v>
      </c>
      <c r="J2785" s="16" t="str">
        <f>TEXT(Raw_Data!J2785,"MMM-YYY")</f>
        <v>Jul-2025</v>
      </c>
      <c r="K2785" s="13" t="str">
        <f>Raw_Data!K2785</f>
        <v>8</v>
      </c>
      <c r="L2785" s="17" t="str">
        <f>Raw_Data!L2785</f>
        <v>Delhi-North</v>
      </c>
      <c r="M2785" s="13" t="str">
        <f t="shared" si="3"/>
        <v>OK</v>
      </c>
      <c r="N2785" s="18" t="str">
        <f t="shared" si="4"/>
        <v>VALID</v>
      </c>
    </row>
    <row r="2786" ht="15.75" customHeight="1">
      <c r="A2786" s="13" t="str">
        <f>Raw_Data!A2786</f>
        <v>EMP2932</v>
      </c>
      <c r="B2786" s="13" t="str">
        <f>TRIM(CLEAN(Raw_Data!B2786))</f>
        <v>HR</v>
      </c>
      <c r="C2786" s="18" t="s">
        <v>26</v>
      </c>
      <c r="D2786" s="14" t="str">
        <f>IF(ISBLANK(Raw_Data!D2786),AVERAGE(Raw_Data!D$2:D$5002),Raw_Data!D2786)</f>
        <v>80000.56</v>
      </c>
      <c r="E2786" s="15" t="str">
        <f>IF(ISBLANK(Raw_Data!E2786),AVERAGE(Raw_Data!E$2:E$5002),Raw_Data!E2786)</f>
        <v>27520.98</v>
      </c>
      <c r="F2786" s="15" t="str">
        <f>IF(ISBLANK(Raw_Data!F2786),AVERAGE(Raw_Data!F$2:F$5002),Raw_Data!F2786)</f>
        <v>22689.03</v>
      </c>
      <c r="G2786" s="14" t="str">
        <f>IF(ISBLANK(Raw_Data!G2786),AVERAGE(Raw_Data!G$2:G$5002),Raw_Data!G2786)</f>
        <v>16871.40</v>
      </c>
      <c r="H2786" s="15" t="str">
        <f t="shared" si="1"/>
        <v>130211.00</v>
      </c>
      <c r="I2786" s="14" t="str">
        <f t="shared" si="2"/>
        <v>113340.00</v>
      </c>
      <c r="J2786" s="16" t="str">
        <f>TEXT(Raw_Data!J2786,"MMM-YYY")</f>
        <v>Aug-2025</v>
      </c>
      <c r="K2786" s="13" t="str">
        <f>Raw_Data!K2786</f>
        <v>24</v>
      </c>
      <c r="L2786" s="17" t="str">
        <f>Raw_Data!L2786</f>
        <v>Bangalore-South</v>
      </c>
      <c r="M2786" s="13" t="str">
        <f t="shared" si="3"/>
        <v>OK</v>
      </c>
      <c r="N2786" s="18" t="str">
        <f t="shared" si="4"/>
        <v>VALID</v>
      </c>
    </row>
    <row r="2787" ht="15.75" customHeight="1">
      <c r="A2787" s="13" t="str">
        <f>Raw_Data!A2787</f>
        <v>EMP2933</v>
      </c>
      <c r="B2787" s="13" t="str">
        <f>TRIM(CLEAN(Raw_Data!B2787))</f>
        <v>Finance</v>
      </c>
      <c r="C2787" s="18" t="s">
        <v>30</v>
      </c>
      <c r="D2787" s="14" t="str">
        <f>IF(ISBLANK(Raw_Data!D2787),AVERAGE(Raw_Data!D$2:D$5002),Raw_Data!D2787)</f>
        <v>80011.45</v>
      </c>
      <c r="E2787" s="15" t="str">
        <f>IF(ISBLANK(Raw_Data!E2787),AVERAGE(Raw_Data!E$2:E$5002),Raw_Data!E2787)</f>
        <v>27525.59</v>
      </c>
      <c r="F2787" s="15" t="str">
        <f>IF(ISBLANK(Raw_Data!F2787),AVERAGE(Raw_Data!F$2:F$5002),Raw_Data!F2787)</f>
        <v>22696.71</v>
      </c>
      <c r="G2787" s="14" t="str">
        <f>IF(ISBLANK(Raw_Data!G2787),AVERAGE(Raw_Data!G$2:G$5002),Raw_Data!G2787)</f>
        <v>16874.80</v>
      </c>
      <c r="H2787" s="15" t="str">
        <f t="shared" si="1"/>
        <v>130234.00</v>
      </c>
      <c r="I2787" s="14" t="str">
        <f t="shared" si="2"/>
        <v>113359.00</v>
      </c>
      <c r="J2787" s="16" t="str">
        <f>TEXT(Raw_Data!J2787,"MMM-YYY")</f>
        <v>Dec-2025</v>
      </c>
      <c r="K2787" s="13" t="str">
        <f>Raw_Data!K2787</f>
        <v>4</v>
      </c>
      <c r="L2787" s="17" t="str">
        <f>Raw_Data!L2787</f>
        <v>Chennai-South</v>
      </c>
      <c r="M2787" s="13" t="str">
        <f t="shared" si="3"/>
        <v>OK</v>
      </c>
      <c r="N2787" s="18" t="str">
        <f t="shared" si="4"/>
        <v>VALID</v>
      </c>
    </row>
    <row r="2788" ht="15.75" customHeight="1">
      <c r="A2788" s="13" t="str">
        <f>Raw_Data!A2788</f>
        <v>EMP2934</v>
      </c>
      <c r="B2788" s="13" t="str">
        <f>TRIM(CLEAN(Raw_Data!B2788))</f>
        <v>Marketing</v>
      </c>
      <c r="C2788" s="18" t="s">
        <v>37</v>
      </c>
      <c r="D2788" s="14" t="str">
        <f>IF(ISBLANK(Raw_Data!D2788),AVERAGE(Raw_Data!D$2:D$5002),Raw_Data!D2788)</f>
        <v>80022.33</v>
      </c>
      <c r="E2788" s="15" t="str">
        <f>IF(ISBLANK(Raw_Data!E2788),AVERAGE(Raw_Data!E$2:E$5002),Raw_Data!E2788)</f>
        <v>27530.21</v>
      </c>
      <c r="F2788" s="15" t="str">
        <f>IF(ISBLANK(Raw_Data!F2788),AVERAGE(Raw_Data!F$2:F$5002),Raw_Data!F2788)</f>
        <v>22704.39</v>
      </c>
      <c r="G2788" s="14" t="str">
        <f>IF(ISBLANK(Raw_Data!G2788),AVERAGE(Raw_Data!G$2:G$5002),Raw_Data!G2788)</f>
        <v>16878.19</v>
      </c>
      <c r="H2788" s="15" t="str">
        <f t="shared" si="1"/>
        <v>130257.00</v>
      </c>
      <c r="I2788" s="14" t="str">
        <f t="shared" si="2"/>
        <v>113379.00</v>
      </c>
      <c r="J2788" s="16" t="str">
        <f>TEXT(Raw_Data!J2788,"MMM-YYY")</f>
        <v>Jun-2025</v>
      </c>
      <c r="K2788" s="13" t="str">
        <f>Raw_Data!K2788</f>
        <v>18</v>
      </c>
      <c r="L2788" s="17" t="str">
        <f>Raw_Data!L2788</f>
        <v>Kolkata-East</v>
      </c>
      <c r="M2788" s="13" t="str">
        <f t="shared" si="3"/>
        <v>OK</v>
      </c>
      <c r="N2788" s="18" t="str">
        <f t="shared" si="4"/>
        <v>VALID</v>
      </c>
    </row>
    <row r="2789" ht="15.75" customHeight="1">
      <c r="A2789" s="13" t="str">
        <f>Raw_Data!A2789</f>
        <v>EMP2935</v>
      </c>
      <c r="B2789" s="13" t="str">
        <f>TRIM(CLEAN(Raw_Data!B2789))</f>
        <v>HR</v>
      </c>
      <c r="C2789" s="18" t="s">
        <v>26</v>
      </c>
      <c r="D2789" s="14" t="str">
        <f>IF(ISBLANK(Raw_Data!D2789),AVERAGE(Raw_Data!D$2:D$5002),Raw_Data!D2789)</f>
        <v>80033.21</v>
      </c>
      <c r="E2789" s="15" t="str">
        <f>IF(ISBLANK(Raw_Data!E2789),AVERAGE(Raw_Data!E$2:E$5002),Raw_Data!E2789)</f>
        <v>27534.82</v>
      </c>
      <c r="F2789" s="15" t="str">
        <f>IF(ISBLANK(Raw_Data!F2789),AVERAGE(Raw_Data!F$2:F$5002),Raw_Data!F2789)</f>
        <v>22712.07</v>
      </c>
      <c r="G2789" s="14" t="str">
        <f>IF(ISBLANK(Raw_Data!G2789),AVERAGE(Raw_Data!G$2:G$5002),Raw_Data!G2789)</f>
        <v>16881.59</v>
      </c>
      <c r="H2789" s="15" t="str">
        <f t="shared" si="1"/>
        <v>130280.00</v>
      </c>
      <c r="I2789" s="14" t="str">
        <f t="shared" si="2"/>
        <v>113398.00</v>
      </c>
      <c r="J2789" s="16" t="str">
        <f>TEXT(Raw_Data!J2789,"MMM-YYY")</f>
        <v>Aug-2025</v>
      </c>
      <c r="K2789" s="13" t="str">
        <f>Raw_Data!K2789</f>
        <v>24</v>
      </c>
      <c r="L2789" s="17" t="str">
        <f>Raw_Data!L2789</f>
        <v>Pune-West</v>
      </c>
      <c r="M2789" s="13" t="str">
        <f t="shared" si="3"/>
        <v>OK</v>
      </c>
      <c r="N2789" s="18" t="str">
        <f t="shared" si="4"/>
        <v>VALID</v>
      </c>
    </row>
    <row r="2790" ht="15.75" customHeight="1">
      <c r="A2790" s="13" t="str">
        <f>Raw_Data!A2790</f>
        <v>EMP2936</v>
      </c>
      <c r="B2790" s="13" t="str">
        <f>TRIM(CLEAN(Raw_Data!B2790))</f>
        <v>IT</v>
      </c>
      <c r="C2790" s="18" t="s">
        <v>30</v>
      </c>
      <c r="D2790" s="14" t="str">
        <f>IF(ISBLANK(Raw_Data!D2790),AVERAGE(Raw_Data!D$2:D$5002),Raw_Data!D2790)</f>
        <v>80044.09</v>
      </c>
      <c r="E2790" s="15" t="str">
        <f>IF(ISBLANK(Raw_Data!E2790),AVERAGE(Raw_Data!E$2:E$5002),Raw_Data!E2790)</f>
        <v>27539.44</v>
      </c>
      <c r="F2790" s="15" t="str">
        <f>IF(ISBLANK(Raw_Data!F2790),AVERAGE(Raw_Data!F$2:F$5002),Raw_Data!F2790)</f>
        <v>22719.75</v>
      </c>
      <c r="G2790" s="14" t="str">
        <f>IF(ISBLANK(Raw_Data!G2790),AVERAGE(Raw_Data!G$2:G$5002),Raw_Data!G2790)</f>
        <v>16884.99</v>
      </c>
      <c r="H2790" s="15" t="str">
        <f t="shared" si="1"/>
        <v>130303.00</v>
      </c>
      <c r="I2790" s="14" t="str">
        <f t="shared" si="2"/>
        <v>113418.00</v>
      </c>
      <c r="J2790" s="16" t="str">
        <f>TEXT(Raw_Data!J2790,"MMM-YYY")</f>
        <v>Jul-2025</v>
      </c>
      <c r="K2790" s="13" t="str">
        <f>Raw_Data!K2790</f>
        <v>1</v>
      </c>
      <c r="L2790" s="17" t="str">
        <f>Raw_Data!L2790</f>
        <v>Hyderabad-South</v>
      </c>
      <c r="M2790" s="13" t="str">
        <f t="shared" si="3"/>
        <v>OK</v>
      </c>
      <c r="N2790" s="18" t="str">
        <f t="shared" si="4"/>
        <v>VALID</v>
      </c>
    </row>
    <row r="2791" ht="15.75" customHeight="1">
      <c r="A2791" s="13" t="str">
        <f>Raw_Data!A2791</f>
        <v>EMP2937</v>
      </c>
      <c r="B2791" s="13" t="str">
        <f>TRIM(CLEAN(Raw_Data!B2791))</f>
        <v>Operations</v>
      </c>
      <c r="C2791" s="18" t="s">
        <v>18</v>
      </c>
      <c r="D2791" s="14" t="str">
        <f>IF(ISBLANK(Raw_Data!D2791),AVERAGE(Raw_Data!D$2:D$5002),Raw_Data!D2791)</f>
        <v>80054.98</v>
      </c>
      <c r="E2791" s="15" t="str">
        <f>IF(ISBLANK(Raw_Data!E2791),AVERAGE(Raw_Data!E$2:E$5002),Raw_Data!E2791)</f>
        <v>27544.05</v>
      </c>
      <c r="F2791" s="15" t="str">
        <f>IF(ISBLANK(Raw_Data!F2791),AVERAGE(Raw_Data!F$2:F$5002),Raw_Data!F2791)</f>
        <v>22727.43</v>
      </c>
      <c r="G2791" s="14" t="str">
        <f>IF(ISBLANK(Raw_Data!G2791),AVERAGE(Raw_Data!G$2:G$5002),Raw_Data!G2791)</f>
        <v>16888.39</v>
      </c>
      <c r="H2791" s="15" t="str">
        <f t="shared" si="1"/>
        <v>130326.00</v>
      </c>
      <c r="I2791" s="14" t="str">
        <f t="shared" si="2"/>
        <v>113438.00</v>
      </c>
      <c r="J2791" s="16" t="str">
        <f>TEXT(Raw_Data!J2791,"MMM-YYY")</f>
        <v>May-2025</v>
      </c>
      <c r="K2791" s="13" t="str">
        <f>Raw_Data!K2791</f>
        <v>11</v>
      </c>
      <c r="L2791" s="17" t="str">
        <f>Raw_Data!L2791</f>
        <v>Chandigarh-North</v>
      </c>
      <c r="M2791" s="13" t="str">
        <f t="shared" si="3"/>
        <v>OK</v>
      </c>
      <c r="N2791" s="18" t="str">
        <f t="shared" si="4"/>
        <v>VALID</v>
      </c>
    </row>
    <row r="2792" ht="15.75" customHeight="1">
      <c r="A2792" s="13" t="str">
        <f>Raw_Data!A2792</f>
        <v>EMP2938</v>
      </c>
      <c r="B2792" s="13" t="str">
        <f>TRIM(CLEAN(Raw_Data!B2792))</f>
        <v>Sales</v>
      </c>
      <c r="C2792" s="18" t="s">
        <v>37</v>
      </c>
      <c r="D2792" s="14" t="str">
        <f>IF(ISBLANK(Raw_Data!D2792),AVERAGE(Raw_Data!D$2:D$5002),Raw_Data!D2792)</f>
        <v>80065.86</v>
      </c>
      <c r="E2792" s="15" t="str">
        <f>IF(ISBLANK(Raw_Data!E2792),AVERAGE(Raw_Data!E$2:E$5002),Raw_Data!E2792)</f>
        <v>27548.67</v>
      </c>
      <c r="F2792" s="15" t="str">
        <f>IF(ISBLANK(Raw_Data!F2792),AVERAGE(Raw_Data!F$2:F$5002),Raw_Data!F2792)</f>
        <v>22735.11</v>
      </c>
      <c r="G2792" s="14" t="str">
        <f>IF(ISBLANK(Raw_Data!G2792),AVERAGE(Raw_Data!G$2:G$5002),Raw_Data!G2792)</f>
        <v>16891.78</v>
      </c>
      <c r="H2792" s="15" t="str">
        <f t="shared" si="1"/>
        <v>130350.00</v>
      </c>
      <c r="I2792" s="14" t="str">
        <f t="shared" si="2"/>
        <v>113458.00</v>
      </c>
      <c r="J2792" s="16" t="str">
        <f>TEXT(Raw_Data!J2792,"MMM-YYY")</f>
        <v>Jun-2025</v>
      </c>
      <c r="K2792" s="13" t="str">
        <f>Raw_Data!K2792</f>
        <v>4</v>
      </c>
      <c r="L2792" s="17" t="str">
        <f>Raw_Data!L2792</f>
        <v>Ahmedabad-West</v>
      </c>
      <c r="M2792" s="13" t="str">
        <f t="shared" si="3"/>
        <v>OK</v>
      </c>
      <c r="N2792" s="18" t="str">
        <f t="shared" si="4"/>
        <v>VALID</v>
      </c>
    </row>
    <row r="2793" ht="15.75" customHeight="1">
      <c r="A2793" s="13" t="str">
        <f>Raw_Data!A2793</f>
        <v>EMP2939</v>
      </c>
      <c r="B2793" s="13" t="str">
        <f>TRIM(CLEAN(Raw_Data!B2793))</f>
        <v>Finance</v>
      </c>
      <c r="C2793" s="18" t="s">
        <v>26</v>
      </c>
      <c r="D2793" s="14" t="str">
        <f>IF(ISBLANK(Raw_Data!D2793),AVERAGE(Raw_Data!D$2:D$5002),Raw_Data!D2793)</f>
        <v>80076.74</v>
      </c>
      <c r="E2793" s="15" t="str">
        <f>IF(ISBLANK(Raw_Data!E2793),AVERAGE(Raw_Data!E$2:E$5002),Raw_Data!E2793)</f>
        <v>27553.28</v>
      </c>
      <c r="F2793" s="15" t="str">
        <f>IF(ISBLANK(Raw_Data!F2793),AVERAGE(Raw_Data!F$2:F$5002),Raw_Data!F2793)</f>
        <v>22742.79</v>
      </c>
      <c r="G2793" s="14" t="str">
        <f>IF(ISBLANK(Raw_Data!G2793),AVERAGE(Raw_Data!G$2:G$5002),Raw_Data!G2793)</f>
        <v>16895.18</v>
      </c>
      <c r="H2793" s="15" t="str">
        <f t="shared" si="1"/>
        <v>130373.00</v>
      </c>
      <c r="I2793" s="14" t="str">
        <f t="shared" si="2"/>
        <v>113478.00</v>
      </c>
      <c r="J2793" s="16" t="str">
        <f>TEXT(Raw_Data!J2793,"MMM-YYY")</f>
        <v>Aug-2025</v>
      </c>
      <c r="K2793" s="13" t="str">
        <f>Raw_Data!K2793</f>
        <v>1</v>
      </c>
      <c r="L2793" s="17" t="str">
        <f>Raw_Data!L2793</f>
        <v>Jaipur-North</v>
      </c>
      <c r="M2793" s="13" t="str">
        <f t="shared" si="3"/>
        <v>OK</v>
      </c>
      <c r="N2793" s="18" t="str">
        <f t="shared" si="4"/>
        <v>VALID</v>
      </c>
    </row>
    <row r="2794" ht="15.75" customHeight="1">
      <c r="A2794" s="13" t="str">
        <f>Raw_Data!A2794</f>
        <v>EMP2940</v>
      </c>
      <c r="B2794" s="13" t="str">
        <f>TRIM(CLEAN(Raw_Data!B2794))</f>
        <v>IT</v>
      </c>
      <c r="C2794" s="18" t="s">
        <v>33</v>
      </c>
      <c r="D2794" s="14" t="str">
        <f>IF(ISBLANK(Raw_Data!D2794),AVERAGE(Raw_Data!D$2:D$5002),Raw_Data!D2794)</f>
        <v>80087.63</v>
      </c>
      <c r="E2794" s="15" t="str">
        <f>IF(ISBLANK(Raw_Data!E2794),AVERAGE(Raw_Data!E$2:E$5002),Raw_Data!E2794)</f>
        <v>27557.90</v>
      </c>
      <c r="F2794" s="15" t="str">
        <f>IF(ISBLANK(Raw_Data!F2794),AVERAGE(Raw_Data!F$2:F$5002),Raw_Data!F2794)</f>
        <v>22750.47</v>
      </c>
      <c r="G2794" s="14" t="str">
        <f>IF(ISBLANK(Raw_Data!G2794),AVERAGE(Raw_Data!G$2:G$5002),Raw_Data!G2794)</f>
        <v>16898.58</v>
      </c>
      <c r="H2794" s="15" t="str">
        <f t="shared" si="1"/>
        <v>130396.00</v>
      </c>
      <c r="I2794" s="14" t="str">
        <f t="shared" si="2"/>
        <v>113497.00</v>
      </c>
      <c r="J2794" s="16" t="str">
        <f>TEXT(Raw_Data!J2794,"MMM-YYY")</f>
        <v>Jul-2025</v>
      </c>
      <c r="K2794" s="13" t="str">
        <f>Raw_Data!K2794</f>
        <v>14</v>
      </c>
      <c r="L2794" s="17" t="str">
        <f>Raw_Data!L2794</f>
        <v>Mumbai-HO</v>
      </c>
      <c r="M2794" s="13" t="str">
        <f t="shared" si="3"/>
        <v>OK</v>
      </c>
      <c r="N2794" s="18" t="str">
        <f t="shared" si="4"/>
        <v>VALID</v>
      </c>
    </row>
    <row r="2795" ht="15.75" customHeight="1">
      <c r="A2795" s="13" t="str">
        <f>Raw_Data!A2795</f>
        <v>EMP2941</v>
      </c>
      <c r="B2795" s="13" t="str">
        <f>TRIM(CLEAN(Raw_Data!B2795))</f>
        <v>Sales</v>
      </c>
      <c r="C2795" s="18" t="s">
        <v>26</v>
      </c>
      <c r="D2795" s="14" t="str">
        <f>IF(ISBLANK(Raw_Data!D2795),AVERAGE(Raw_Data!D$2:D$5002),Raw_Data!D2795)</f>
        <v>80098.51</v>
      </c>
      <c r="E2795" s="15" t="str">
        <f>IF(ISBLANK(Raw_Data!E2795),AVERAGE(Raw_Data!E$2:E$5002),Raw_Data!E2795)</f>
        <v>27562.51</v>
      </c>
      <c r="F2795" s="15" t="str">
        <f>IF(ISBLANK(Raw_Data!F2795),AVERAGE(Raw_Data!F$2:F$5002),Raw_Data!F2795)</f>
        <v>22758.15</v>
      </c>
      <c r="G2795" s="14" t="str">
        <f>IF(ISBLANK(Raw_Data!G2795),AVERAGE(Raw_Data!G$2:G$5002),Raw_Data!G2795)</f>
        <v>16901.98</v>
      </c>
      <c r="H2795" s="15" t="str">
        <f t="shared" si="1"/>
        <v>130419.00</v>
      </c>
      <c r="I2795" s="14" t="str">
        <f t="shared" si="2"/>
        <v>113517.00</v>
      </c>
      <c r="J2795" s="16" t="str">
        <f>TEXT(Raw_Data!J2795,"MMM-YYY")</f>
        <v>May-2025</v>
      </c>
      <c r="K2795" s="13" t="str">
        <f>Raw_Data!K2795</f>
        <v>23</v>
      </c>
      <c r="L2795" s="17" t="str">
        <f>Raw_Data!L2795</f>
        <v>Delhi-North</v>
      </c>
      <c r="M2795" s="13" t="str">
        <f t="shared" si="3"/>
        <v>OK</v>
      </c>
      <c r="N2795" s="18" t="str">
        <f t="shared" si="4"/>
        <v>VALID</v>
      </c>
    </row>
    <row r="2796" ht="15.75" customHeight="1">
      <c r="A2796" s="13" t="str">
        <f>Raw_Data!A2796</f>
        <v>EMP2942</v>
      </c>
      <c r="B2796" s="13" t="str">
        <f>TRIM(CLEAN(Raw_Data!B2796))</f>
        <v>HR</v>
      </c>
      <c r="C2796" s="18" t="s">
        <v>14</v>
      </c>
      <c r="D2796" s="14" t="str">
        <f>IF(ISBLANK(Raw_Data!D2796),AVERAGE(Raw_Data!D$2:D$5002),Raw_Data!D2796)</f>
        <v>80109.39</v>
      </c>
      <c r="E2796" s="15" t="str">
        <f>IF(ISBLANK(Raw_Data!E2796),AVERAGE(Raw_Data!E$2:E$5002),Raw_Data!E2796)</f>
        <v>27567.13</v>
      </c>
      <c r="F2796" s="15" t="str">
        <f>IF(ISBLANK(Raw_Data!F2796),AVERAGE(Raw_Data!F$2:F$5002),Raw_Data!F2796)</f>
        <v>22765.83</v>
      </c>
      <c r="G2796" s="14" t="str">
        <f>IF(ISBLANK(Raw_Data!G2796),AVERAGE(Raw_Data!G$2:G$5002),Raw_Data!G2796)</f>
        <v>16905.37</v>
      </c>
      <c r="H2796" s="15" t="str">
        <f t="shared" si="1"/>
        <v>130442.00</v>
      </c>
      <c r="I2796" s="14" t="str">
        <f t="shared" si="2"/>
        <v>113537.00</v>
      </c>
      <c r="J2796" s="16" t="str">
        <f>TEXT(Raw_Data!J2796,"MMM-YYY")</f>
        <v>Nov-2025</v>
      </c>
      <c r="K2796" s="13" t="str">
        <f>Raw_Data!K2796</f>
        <v>23</v>
      </c>
      <c r="L2796" s="17" t="str">
        <f>Raw_Data!L2796</f>
        <v>Bangalore-South</v>
      </c>
      <c r="M2796" s="13" t="str">
        <f t="shared" si="3"/>
        <v>OK</v>
      </c>
      <c r="N2796" s="18" t="str">
        <f t="shared" si="4"/>
        <v>VALID</v>
      </c>
    </row>
    <row r="2797" ht="15.75" customHeight="1">
      <c r="A2797" s="13" t="str">
        <f>Raw_Data!A2797</f>
        <v>EMP2944</v>
      </c>
      <c r="B2797" s="13" t="str">
        <f>TRIM(CLEAN(Raw_Data!B2797))</f>
        <v>HR</v>
      </c>
      <c r="C2797" s="18" t="s">
        <v>26</v>
      </c>
      <c r="D2797" s="14" t="str">
        <f>IF(ISBLANK(Raw_Data!D2797),AVERAGE(Raw_Data!D$2:D$5002),Raw_Data!D2797)</f>
        <v>80131.16</v>
      </c>
      <c r="E2797" s="15" t="str">
        <f>IF(ISBLANK(Raw_Data!E2797),AVERAGE(Raw_Data!E$2:E$5002),Raw_Data!E2797)</f>
        <v>27576.35</v>
      </c>
      <c r="F2797" s="15" t="str">
        <f>IF(ISBLANK(Raw_Data!F2797),AVERAGE(Raw_Data!F$2:F$5002),Raw_Data!F2797)</f>
        <v>22781.19</v>
      </c>
      <c r="G2797" s="14" t="str">
        <f>IF(ISBLANK(Raw_Data!G2797),AVERAGE(Raw_Data!G$2:G$5002),Raw_Data!G2797)</f>
        <v>16912.17</v>
      </c>
      <c r="H2797" s="15" t="str">
        <f t="shared" si="1"/>
        <v>130489.00</v>
      </c>
      <c r="I2797" s="14" t="str">
        <f t="shared" si="2"/>
        <v>113577.00</v>
      </c>
      <c r="J2797" s="16" t="str">
        <f>TEXT(Raw_Data!J2797,"MMM-YYY")</f>
        <v>Feb-2025</v>
      </c>
      <c r="K2797" s="13" t="str">
        <f>Raw_Data!K2797</f>
        <v>10</v>
      </c>
      <c r="L2797" s="17" t="str">
        <f>Raw_Data!L2797</f>
        <v>Kolkata-East</v>
      </c>
      <c r="M2797" s="13" t="str">
        <f t="shared" si="3"/>
        <v>OK</v>
      </c>
      <c r="N2797" s="18" t="str">
        <f t="shared" si="4"/>
        <v>VALID</v>
      </c>
    </row>
    <row r="2798" ht="15.75" customHeight="1">
      <c r="A2798" s="13" t="str">
        <f>Raw_Data!A2798</f>
        <v>EMP2945</v>
      </c>
      <c r="B2798" s="13" t="str">
        <f>TRIM(CLEAN(Raw_Data!B2798))</f>
        <v>Finance</v>
      </c>
      <c r="C2798" s="18" t="s">
        <v>14</v>
      </c>
      <c r="D2798" s="14" t="str">
        <f>IF(ISBLANK(Raw_Data!D2798),AVERAGE(Raw_Data!D$2:D$5002),Raw_Data!D2798)</f>
        <v>80142.04</v>
      </c>
      <c r="E2798" s="15" t="str">
        <f>IF(ISBLANK(Raw_Data!E2798),AVERAGE(Raw_Data!E$2:E$5002),Raw_Data!E2798)</f>
        <v>27580.97</v>
      </c>
      <c r="F2798" s="15" t="str">
        <f>IF(ISBLANK(Raw_Data!F2798),AVERAGE(Raw_Data!F$2:F$5002),Raw_Data!F2798)</f>
        <v>22788.87</v>
      </c>
      <c r="G2798" s="14" t="str">
        <f>IF(ISBLANK(Raw_Data!G2798),AVERAGE(Raw_Data!G$2:G$5002),Raw_Data!G2798)</f>
        <v>16915.57</v>
      </c>
      <c r="H2798" s="15" t="str">
        <f t="shared" si="1"/>
        <v>130512.00</v>
      </c>
      <c r="I2798" s="14" t="str">
        <f t="shared" si="2"/>
        <v>113596.00</v>
      </c>
      <c r="J2798" s="16" t="str">
        <f>TEXT(Raw_Data!J2798,"MMM-YYY")</f>
        <v>Dec-2025</v>
      </c>
      <c r="K2798" s="13" t="str">
        <f>Raw_Data!K2798</f>
        <v>4</v>
      </c>
      <c r="L2798" s="17" t="str">
        <f>Raw_Data!L2798</f>
        <v>Pune-West</v>
      </c>
      <c r="M2798" s="13" t="str">
        <f t="shared" si="3"/>
        <v>OK</v>
      </c>
      <c r="N2798" s="18" t="str">
        <f t="shared" si="4"/>
        <v>VALID</v>
      </c>
    </row>
    <row r="2799" ht="15.75" customHeight="1">
      <c r="A2799" s="13" t="str">
        <f>Raw_Data!A2799</f>
        <v>EMP2946</v>
      </c>
      <c r="B2799" s="13" t="str">
        <f>TRIM(CLEAN(Raw_Data!B2799))</f>
        <v>Marketing</v>
      </c>
      <c r="C2799" s="18" t="s">
        <v>54</v>
      </c>
      <c r="D2799" s="14" t="str">
        <f>IF(ISBLANK(Raw_Data!D2799),AVERAGE(Raw_Data!D$2:D$5002),Raw_Data!D2799)</f>
        <v>80152.92</v>
      </c>
      <c r="E2799" s="15" t="str">
        <f>IF(ISBLANK(Raw_Data!E2799),AVERAGE(Raw_Data!E$2:E$5002),Raw_Data!E2799)</f>
        <v>27585.58</v>
      </c>
      <c r="F2799" s="15" t="str">
        <f>IF(ISBLANK(Raw_Data!F2799),AVERAGE(Raw_Data!F$2:F$5002),Raw_Data!F2799)</f>
        <v>22796.55</v>
      </c>
      <c r="G2799" s="14" t="str">
        <f>IF(ISBLANK(Raw_Data!G2799),AVERAGE(Raw_Data!G$2:G$5002),Raw_Data!G2799)</f>
        <v>16918.96</v>
      </c>
      <c r="H2799" s="15" t="str">
        <f t="shared" si="1"/>
        <v>130535.00</v>
      </c>
      <c r="I2799" s="14" t="str">
        <f t="shared" si="2"/>
        <v>113616.00</v>
      </c>
      <c r="J2799" s="16" t="str">
        <f>TEXT(Raw_Data!J2799,"MMM-YYY")</f>
        <v>Aug-2025</v>
      </c>
      <c r="K2799" s="13" t="str">
        <f>Raw_Data!K2799</f>
        <v>13</v>
      </c>
      <c r="L2799" s="17" t="str">
        <f>Raw_Data!L2799</f>
        <v>Hyderabad-South</v>
      </c>
      <c r="M2799" s="13" t="str">
        <f t="shared" si="3"/>
        <v>OK</v>
      </c>
      <c r="N2799" s="18" t="str">
        <f t="shared" si="4"/>
        <v>VALID</v>
      </c>
    </row>
    <row r="2800" ht="15.75" customHeight="1">
      <c r="A2800" s="13" t="str">
        <f>Raw_Data!A2800</f>
        <v>EMP2947</v>
      </c>
      <c r="B2800" s="13" t="str">
        <f>TRIM(CLEAN(Raw_Data!B2800))</f>
        <v>Finance</v>
      </c>
      <c r="C2800" s="18" t="s">
        <v>26</v>
      </c>
      <c r="D2800" s="14" t="str">
        <f>IF(ISBLANK(Raw_Data!D2800),AVERAGE(Raw_Data!D$2:D$5002),Raw_Data!D2800)</f>
        <v>80163.81</v>
      </c>
      <c r="E2800" s="15" t="str">
        <f>IF(ISBLANK(Raw_Data!E2800),AVERAGE(Raw_Data!E$2:E$5002),Raw_Data!E2800)</f>
        <v>27590.20</v>
      </c>
      <c r="F2800" s="15" t="str">
        <f>IF(ISBLANK(Raw_Data!F2800),AVERAGE(Raw_Data!F$2:F$5002),Raw_Data!F2800)</f>
        <v>22804.23</v>
      </c>
      <c r="G2800" s="14" t="str">
        <f>IF(ISBLANK(Raw_Data!G2800),AVERAGE(Raw_Data!G$2:G$5002),Raw_Data!G2800)</f>
        <v>16922.36</v>
      </c>
      <c r="H2800" s="15" t="str">
        <f t="shared" si="1"/>
        <v>130558.00</v>
      </c>
      <c r="I2800" s="14" t="str">
        <f t="shared" si="2"/>
        <v>113636.00</v>
      </c>
      <c r="J2800" s="16" t="str">
        <f>TEXT(Raw_Data!J2800,"MMM-YYY")</f>
        <v>Jun-2025</v>
      </c>
      <c r="K2800" s="13" t="str">
        <f>Raw_Data!K2800</f>
        <v>9</v>
      </c>
      <c r="L2800" s="17" t="str">
        <f>Raw_Data!L2800</f>
        <v>Chandigarh-North</v>
      </c>
      <c r="M2800" s="13" t="str">
        <f t="shared" si="3"/>
        <v>OK</v>
      </c>
      <c r="N2800" s="18" t="str">
        <f t="shared" si="4"/>
        <v>VALID</v>
      </c>
    </row>
    <row r="2801" ht="15.75" customHeight="1">
      <c r="A2801" s="13" t="str">
        <f>Raw_Data!A2801</f>
        <v>EMP2948</v>
      </c>
      <c r="B2801" s="13" t="str">
        <f>TRIM(CLEAN(Raw_Data!B2801))</f>
        <v>IT</v>
      </c>
      <c r="C2801" s="18" t="s">
        <v>18</v>
      </c>
      <c r="D2801" s="14" t="str">
        <f>IF(ISBLANK(Raw_Data!D2801),AVERAGE(Raw_Data!D$2:D$5002),Raw_Data!D2801)</f>
        <v>80174.69</v>
      </c>
      <c r="E2801" s="15" t="str">
        <f>IF(ISBLANK(Raw_Data!E2801),AVERAGE(Raw_Data!E$2:E$5002),Raw_Data!E2801)</f>
        <v>27594.81</v>
      </c>
      <c r="F2801" s="15" t="str">
        <f>IF(ISBLANK(Raw_Data!F2801),AVERAGE(Raw_Data!F$2:F$5002),Raw_Data!F2801)</f>
        <v>22811.91</v>
      </c>
      <c r="G2801" s="14" t="str">
        <f>IF(ISBLANK(Raw_Data!G2801),AVERAGE(Raw_Data!G$2:G$5002),Raw_Data!G2801)</f>
        <v>16925.76</v>
      </c>
      <c r="H2801" s="15" t="str">
        <f t="shared" si="1"/>
        <v>130581.00</v>
      </c>
      <c r="I2801" s="14" t="str">
        <f t="shared" si="2"/>
        <v>113655.00</v>
      </c>
      <c r="J2801" s="16" t="str">
        <f>TEXT(Raw_Data!J2801,"MMM-YYY")</f>
        <v>Mar-2025</v>
      </c>
      <c r="K2801" s="13" t="str">
        <f>Raw_Data!K2801</f>
        <v>1</v>
      </c>
      <c r="L2801" s="17" t="str">
        <f>Raw_Data!L2801</f>
        <v>Ahmedabad-West</v>
      </c>
      <c r="M2801" s="13" t="str">
        <f t="shared" si="3"/>
        <v>OK</v>
      </c>
      <c r="N2801" s="18" t="str">
        <f t="shared" si="4"/>
        <v>VALID</v>
      </c>
    </row>
    <row r="2802" ht="15.75" customHeight="1">
      <c r="A2802" s="13" t="str">
        <f>Raw_Data!A2802</f>
        <v>EMP2949</v>
      </c>
      <c r="B2802" s="13" t="str">
        <f>TRIM(CLEAN(Raw_Data!B2802))</f>
        <v>HR</v>
      </c>
      <c r="C2802" s="18" t="s">
        <v>37</v>
      </c>
      <c r="D2802" s="14" t="str">
        <f>IF(ISBLANK(Raw_Data!D2802),AVERAGE(Raw_Data!D$2:D$5002),Raw_Data!D2802)</f>
        <v>80185.57</v>
      </c>
      <c r="E2802" s="15" t="str">
        <f>IF(ISBLANK(Raw_Data!E2802),AVERAGE(Raw_Data!E$2:E$5002),Raw_Data!E2802)</f>
        <v>27599.43</v>
      </c>
      <c r="F2802" s="15" t="str">
        <f>IF(ISBLANK(Raw_Data!F2802),AVERAGE(Raw_Data!F$2:F$5002),Raw_Data!F2802)</f>
        <v>22819.59</v>
      </c>
      <c r="G2802" s="14" t="str">
        <f>IF(ISBLANK(Raw_Data!G2802),AVERAGE(Raw_Data!G$2:G$5002),Raw_Data!G2802)</f>
        <v>16929.16</v>
      </c>
      <c r="H2802" s="15" t="str">
        <f t="shared" si="1"/>
        <v>130605.00</v>
      </c>
      <c r="I2802" s="14" t="str">
        <f t="shared" si="2"/>
        <v>113676.00</v>
      </c>
      <c r="J2802" s="16" t="str">
        <f>TEXT(Raw_Data!J2802,"MMM-YYY")</f>
        <v>Nov-2025</v>
      </c>
      <c r="K2802" s="13" t="str">
        <f>Raw_Data!K2802</f>
        <v>25</v>
      </c>
      <c r="L2802" s="17" t="str">
        <f>Raw_Data!L2802</f>
        <v>Jaipur-North</v>
      </c>
      <c r="M2802" s="13" t="str">
        <f t="shared" si="3"/>
        <v>OK</v>
      </c>
      <c r="N2802" s="18" t="str">
        <f t="shared" si="4"/>
        <v>VALID</v>
      </c>
    </row>
    <row r="2803" ht="15.75" customHeight="1">
      <c r="A2803" s="13" t="str">
        <f>Raw_Data!A2803</f>
        <v>EMP2950</v>
      </c>
      <c r="B2803" s="13" t="str">
        <f>TRIM(CLEAN(Raw_Data!B2803))</f>
        <v>IT</v>
      </c>
      <c r="C2803" s="18" t="s">
        <v>18</v>
      </c>
      <c r="D2803" s="14" t="str">
        <f>IF(ISBLANK(Raw_Data!D2803),AVERAGE(Raw_Data!D$2:D$5002),Raw_Data!D2803)</f>
        <v>80196.46</v>
      </c>
      <c r="E2803" s="15" t="str">
        <f>IF(ISBLANK(Raw_Data!E2803),AVERAGE(Raw_Data!E$2:E$5002),Raw_Data!E2803)</f>
        <v>27604.04</v>
      </c>
      <c r="F2803" s="15" t="str">
        <f>IF(ISBLANK(Raw_Data!F2803),AVERAGE(Raw_Data!F$2:F$5002),Raw_Data!F2803)</f>
        <v>22827.27</v>
      </c>
      <c r="G2803" s="14" t="str">
        <f>IF(ISBLANK(Raw_Data!G2803),AVERAGE(Raw_Data!G$2:G$5002),Raw_Data!G2803)</f>
        <v>16932.55</v>
      </c>
      <c r="H2803" s="15" t="str">
        <f t="shared" si="1"/>
        <v>130628.00</v>
      </c>
      <c r="I2803" s="14" t="str">
        <f t="shared" si="2"/>
        <v>113695.00</v>
      </c>
      <c r="J2803" s="16" t="str">
        <f>TEXT(Raw_Data!J2803,"MMM-YYY")</f>
        <v>Jul-2025</v>
      </c>
      <c r="K2803" s="13" t="str">
        <f>Raw_Data!K2803</f>
        <v>5</v>
      </c>
      <c r="L2803" s="17" t="str">
        <f>Raw_Data!L2803</f>
        <v>Mumbai-HO</v>
      </c>
      <c r="M2803" s="13" t="str">
        <f t="shared" si="3"/>
        <v>OK</v>
      </c>
      <c r="N2803" s="18" t="str">
        <f t="shared" si="4"/>
        <v>VALID</v>
      </c>
    </row>
    <row r="2804" ht="15.75" customHeight="1">
      <c r="A2804" s="13" t="str">
        <f>Raw_Data!A2804</f>
        <v>EMP2951</v>
      </c>
      <c r="B2804" s="13" t="str">
        <f>TRIM(CLEAN(Raw_Data!B2804))</f>
        <v>Sales</v>
      </c>
      <c r="C2804" s="18" t="s">
        <v>18</v>
      </c>
      <c r="D2804" s="14" t="str">
        <f>IF(ISBLANK(Raw_Data!D2804),AVERAGE(Raw_Data!D$2:D$5002),Raw_Data!D2804)</f>
        <v>80207.34</v>
      </c>
      <c r="E2804" s="15" t="str">
        <f>IF(ISBLANK(Raw_Data!E2804),AVERAGE(Raw_Data!E$2:E$5002),Raw_Data!E2804)</f>
        <v>27608.66</v>
      </c>
      <c r="F2804" s="15" t="str">
        <f>IF(ISBLANK(Raw_Data!F2804),AVERAGE(Raw_Data!F$2:F$5002),Raw_Data!F2804)</f>
        <v>22834.95</v>
      </c>
      <c r="G2804" s="14" t="str">
        <f>IF(ISBLANK(Raw_Data!G2804),AVERAGE(Raw_Data!G$2:G$5002),Raw_Data!G2804)</f>
        <v>16935.95</v>
      </c>
      <c r="H2804" s="15" t="str">
        <f t="shared" si="1"/>
        <v>130651.00</v>
      </c>
      <c r="I2804" s="14" t="str">
        <f t="shared" si="2"/>
        <v>113715.00</v>
      </c>
      <c r="J2804" s="16" t="str">
        <f>TEXT(Raw_Data!J2804,"MMM-YYY")</f>
        <v>Mar-2025</v>
      </c>
      <c r="K2804" s="13" t="str">
        <f>Raw_Data!K2804</f>
        <v>5</v>
      </c>
      <c r="L2804" s="17" t="str">
        <f>Raw_Data!L2804</f>
        <v>Delhi-North</v>
      </c>
      <c r="M2804" s="13" t="str">
        <f t="shared" si="3"/>
        <v>OK</v>
      </c>
      <c r="N2804" s="18" t="str">
        <f t="shared" si="4"/>
        <v>VALID</v>
      </c>
    </row>
    <row r="2805" ht="15.75" customHeight="1">
      <c r="A2805" s="13" t="str">
        <f>Raw_Data!A2805</f>
        <v>EMP2952</v>
      </c>
      <c r="B2805" s="13" t="str">
        <f>TRIM(CLEAN(Raw_Data!B2805))</f>
        <v>Finance</v>
      </c>
      <c r="C2805" s="18" t="s">
        <v>14</v>
      </c>
      <c r="D2805" s="14" t="str">
        <f>IF(ISBLANK(Raw_Data!D2805),AVERAGE(Raw_Data!D$2:D$5002),Raw_Data!D2805)</f>
        <v>80218.22</v>
      </c>
      <c r="E2805" s="15" t="str">
        <f>IF(ISBLANK(Raw_Data!E2805),AVERAGE(Raw_Data!E$2:E$5002),Raw_Data!E2805)</f>
        <v>27613.27</v>
      </c>
      <c r="F2805" s="15" t="str">
        <f>IF(ISBLANK(Raw_Data!F2805),AVERAGE(Raw_Data!F$2:F$5002),Raw_Data!F2805)</f>
        <v>22842.63</v>
      </c>
      <c r="G2805" s="14" t="str">
        <f>IF(ISBLANK(Raw_Data!G2805),AVERAGE(Raw_Data!G$2:G$5002),Raw_Data!G2805)</f>
        <v>16939.35</v>
      </c>
      <c r="H2805" s="15" t="str">
        <f t="shared" si="1"/>
        <v>130674.00</v>
      </c>
      <c r="I2805" s="14" t="str">
        <f t="shared" si="2"/>
        <v>113735.00</v>
      </c>
      <c r="J2805" s="16" t="str">
        <f>TEXT(Raw_Data!J2805,"MMM-YYY")</f>
        <v>Jun-2025</v>
      </c>
      <c r="K2805" s="13" t="str">
        <f>Raw_Data!K2805</f>
        <v>3</v>
      </c>
      <c r="L2805" s="17" t="str">
        <f>Raw_Data!L2805</f>
        <v>Bangalore-South</v>
      </c>
      <c r="M2805" s="13" t="str">
        <f t="shared" si="3"/>
        <v>OK</v>
      </c>
      <c r="N2805" s="18" t="str">
        <f t="shared" si="4"/>
        <v>VALID</v>
      </c>
    </row>
    <row r="2806" ht="15.75" customHeight="1">
      <c r="A2806" s="13" t="str">
        <f>Raw_Data!A2806</f>
        <v>EMP2953</v>
      </c>
      <c r="B2806" s="13" t="str">
        <f>TRIM(CLEAN(Raw_Data!B2806))</f>
        <v>Operations</v>
      </c>
      <c r="C2806" s="18" t="s">
        <v>33</v>
      </c>
      <c r="D2806" s="14" t="str">
        <f>IF(ISBLANK(Raw_Data!D2806),AVERAGE(Raw_Data!D$2:D$5002),Raw_Data!D2806)</f>
        <v>80229.10</v>
      </c>
      <c r="E2806" s="15" t="str">
        <f>IF(ISBLANK(Raw_Data!E2806),AVERAGE(Raw_Data!E$2:E$5002),Raw_Data!E2806)</f>
        <v>27617.89</v>
      </c>
      <c r="F2806" s="15" t="str">
        <f>IF(ISBLANK(Raw_Data!F2806),AVERAGE(Raw_Data!F$2:F$5002),Raw_Data!F2806)</f>
        <v>22850.31</v>
      </c>
      <c r="G2806" s="14" t="str">
        <f>IF(ISBLANK(Raw_Data!G2806),AVERAGE(Raw_Data!G$2:G$5002),Raw_Data!G2806)</f>
        <v>16942.75</v>
      </c>
      <c r="H2806" s="15" t="str">
        <f t="shared" si="1"/>
        <v>130697.00</v>
      </c>
      <c r="I2806" s="14" t="str">
        <f t="shared" si="2"/>
        <v>113754.00</v>
      </c>
      <c r="J2806" s="16" t="str">
        <f>TEXT(Raw_Data!J2806,"MMM-YYY")</f>
        <v>Oct-2025</v>
      </c>
      <c r="K2806" s="13" t="str">
        <f>Raw_Data!K2806</f>
        <v>1</v>
      </c>
      <c r="L2806" s="17" t="str">
        <f>Raw_Data!L2806</f>
        <v>Chennai-South</v>
      </c>
      <c r="M2806" s="13" t="str">
        <f t="shared" si="3"/>
        <v>OK</v>
      </c>
      <c r="N2806" s="18" t="str">
        <f t="shared" si="4"/>
        <v>VALID</v>
      </c>
    </row>
    <row r="2807" ht="15.75" customHeight="1">
      <c r="A2807" s="13" t="str">
        <f>Raw_Data!A2807</f>
        <v>EMP2954</v>
      </c>
      <c r="B2807" s="13" t="str">
        <f>TRIM(CLEAN(Raw_Data!B2807))</f>
        <v>Customer Support</v>
      </c>
      <c r="C2807" s="18" t="s">
        <v>54</v>
      </c>
      <c r="D2807" s="14" t="str">
        <f>IF(ISBLANK(Raw_Data!D2807),AVERAGE(Raw_Data!D$2:D$5002),Raw_Data!D2807)</f>
        <v>80239.99</v>
      </c>
      <c r="E2807" s="15" t="str">
        <f>IF(ISBLANK(Raw_Data!E2807),AVERAGE(Raw_Data!E$2:E$5002),Raw_Data!E2807)</f>
        <v>27622.50</v>
      </c>
      <c r="F2807" s="15" t="str">
        <f>IF(ISBLANK(Raw_Data!F2807),AVERAGE(Raw_Data!F$2:F$5002),Raw_Data!F2807)</f>
        <v>22857.99</v>
      </c>
      <c r="G2807" s="14" t="str">
        <f>IF(ISBLANK(Raw_Data!G2807),AVERAGE(Raw_Data!G$2:G$5002),Raw_Data!G2807)</f>
        <v>16946.14</v>
      </c>
      <c r="H2807" s="15" t="str">
        <f t="shared" si="1"/>
        <v>130720.00</v>
      </c>
      <c r="I2807" s="14" t="str">
        <f t="shared" si="2"/>
        <v>113774.00</v>
      </c>
      <c r="J2807" s="16" t="str">
        <f>TEXT(Raw_Data!J2807,"MMM-YYY")</f>
        <v>Nov-2025</v>
      </c>
      <c r="K2807" s="13" t="str">
        <f>Raw_Data!K2807</f>
        <v>17</v>
      </c>
      <c r="L2807" s="17" t="str">
        <f>Raw_Data!L2807</f>
        <v>Kolkata-East</v>
      </c>
      <c r="M2807" s="13" t="str">
        <f t="shared" si="3"/>
        <v>OK</v>
      </c>
      <c r="N2807" s="18" t="str">
        <f t="shared" si="4"/>
        <v>VALID</v>
      </c>
    </row>
    <row r="2808" ht="15.75" customHeight="1">
      <c r="A2808" s="13" t="str">
        <f>Raw_Data!A2808</f>
        <v>EMP2955</v>
      </c>
      <c r="B2808" s="13" t="str">
        <f>TRIM(CLEAN(Raw_Data!B2808))</f>
        <v>Customer Support</v>
      </c>
      <c r="C2808" s="18" t="s">
        <v>14</v>
      </c>
      <c r="D2808" s="14" t="str">
        <f>IF(ISBLANK(Raw_Data!D2808),AVERAGE(Raw_Data!D$2:D$5002),Raw_Data!D2808)</f>
        <v>80250.87</v>
      </c>
      <c r="E2808" s="15" t="str">
        <f>IF(ISBLANK(Raw_Data!E2808),AVERAGE(Raw_Data!E$2:E$5002),Raw_Data!E2808)</f>
        <v>27627.12</v>
      </c>
      <c r="F2808" s="15" t="str">
        <f>IF(ISBLANK(Raw_Data!F2808),AVERAGE(Raw_Data!F$2:F$5002),Raw_Data!F2808)</f>
        <v>22865.67</v>
      </c>
      <c r="G2808" s="14" t="str">
        <f>IF(ISBLANK(Raw_Data!G2808),AVERAGE(Raw_Data!G$2:G$5002),Raw_Data!G2808)</f>
        <v>16949.54</v>
      </c>
      <c r="H2808" s="15" t="str">
        <f t="shared" si="1"/>
        <v>130744.00</v>
      </c>
      <c r="I2808" s="14" t="str">
        <f t="shared" si="2"/>
        <v>113794.00</v>
      </c>
      <c r="J2808" s="16" t="str">
        <f>TEXT(Raw_Data!J2808,"MMM-YYY")</f>
        <v>May-2025</v>
      </c>
      <c r="K2808" s="13" t="str">
        <f>Raw_Data!K2808</f>
        <v>2</v>
      </c>
      <c r="L2808" s="17" t="str">
        <f>Raw_Data!L2808</f>
        <v>Pune-West</v>
      </c>
      <c r="M2808" s="13" t="str">
        <f t="shared" si="3"/>
        <v>OK</v>
      </c>
      <c r="N2808" s="18" t="str">
        <f t="shared" si="4"/>
        <v>VALID</v>
      </c>
    </row>
    <row r="2809" ht="15.75" customHeight="1">
      <c r="A2809" s="13" t="str">
        <f>Raw_Data!A2809</f>
        <v>EMP2956</v>
      </c>
      <c r="B2809" s="13" t="str">
        <f>TRIM(CLEAN(Raw_Data!B2809))</f>
        <v>Operations</v>
      </c>
      <c r="C2809" s="18" t="s">
        <v>37</v>
      </c>
      <c r="D2809" s="14" t="str">
        <f>IF(ISBLANK(Raw_Data!D2809),AVERAGE(Raw_Data!D$2:D$5002),Raw_Data!D2809)</f>
        <v>80261.75</v>
      </c>
      <c r="E2809" s="15" t="str">
        <f>IF(ISBLANK(Raw_Data!E2809),AVERAGE(Raw_Data!E$2:E$5002),Raw_Data!E2809)</f>
        <v>27631.73</v>
      </c>
      <c r="F2809" s="15" t="str">
        <f>IF(ISBLANK(Raw_Data!F2809),AVERAGE(Raw_Data!F$2:F$5002),Raw_Data!F2809)</f>
        <v>22873.35</v>
      </c>
      <c r="G2809" s="14" t="str">
        <f>IF(ISBLANK(Raw_Data!G2809),AVERAGE(Raw_Data!G$2:G$5002),Raw_Data!G2809)</f>
        <v>16952.94</v>
      </c>
      <c r="H2809" s="15" t="str">
        <f t="shared" si="1"/>
        <v>130767.00</v>
      </c>
      <c r="I2809" s="14" t="str">
        <f t="shared" si="2"/>
        <v>113814.00</v>
      </c>
      <c r="J2809" s="16" t="str">
        <f>TEXT(Raw_Data!J2809,"MMM-YYY")</f>
        <v>Jul-2025</v>
      </c>
      <c r="K2809" s="13" t="str">
        <f>Raw_Data!K2809</f>
        <v>20</v>
      </c>
      <c r="L2809" s="17" t="str">
        <f>Raw_Data!L2809</f>
        <v>Hyderabad-South</v>
      </c>
      <c r="M2809" s="13" t="str">
        <f t="shared" si="3"/>
        <v>OK</v>
      </c>
      <c r="N2809" s="18" t="str">
        <f t="shared" si="4"/>
        <v>VALID</v>
      </c>
    </row>
    <row r="2810" ht="15.75" customHeight="1">
      <c r="A2810" s="13" t="str">
        <f>Raw_Data!A2810</f>
        <v>EMP2957</v>
      </c>
      <c r="B2810" s="13" t="str">
        <f>TRIM(CLEAN(Raw_Data!B2810))</f>
        <v>IT</v>
      </c>
      <c r="C2810" s="18" t="s">
        <v>54</v>
      </c>
      <c r="D2810" s="14" t="str">
        <f>IF(ISBLANK(Raw_Data!D2810),AVERAGE(Raw_Data!D$2:D$5002),Raw_Data!D2810)</f>
        <v>80272.64</v>
      </c>
      <c r="E2810" s="15" t="str">
        <f>IF(ISBLANK(Raw_Data!E2810),AVERAGE(Raw_Data!E$2:E$5002),Raw_Data!E2810)</f>
        <v>27636.35</v>
      </c>
      <c r="F2810" s="15" t="str">
        <f>IF(ISBLANK(Raw_Data!F2810),AVERAGE(Raw_Data!F$2:F$5002),Raw_Data!F2810)</f>
        <v>22881.03</v>
      </c>
      <c r="G2810" s="14" t="str">
        <f>IF(ISBLANK(Raw_Data!G2810),AVERAGE(Raw_Data!G$2:G$5002),Raw_Data!G2810)</f>
        <v>16956.34</v>
      </c>
      <c r="H2810" s="15" t="str">
        <f t="shared" si="1"/>
        <v>130790.00</v>
      </c>
      <c r="I2810" s="14" t="str">
        <f t="shared" si="2"/>
        <v>113834.00</v>
      </c>
      <c r="J2810" s="16" t="str">
        <f>TEXT(Raw_Data!J2810,"MMM-YYY")</f>
        <v>Jan-2025</v>
      </c>
      <c r="K2810" s="13" t="str">
        <f>Raw_Data!K2810</f>
        <v>15</v>
      </c>
      <c r="L2810" s="17" t="str">
        <f>Raw_Data!L2810</f>
        <v>Chandigarh-North</v>
      </c>
      <c r="M2810" s="13" t="str">
        <f t="shared" si="3"/>
        <v>OK</v>
      </c>
      <c r="N2810" s="18" t="str">
        <f t="shared" si="4"/>
        <v>VALID</v>
      </c>
    </row>
    <row r="2811" ht="15.75" customHeight="1">
      <c r="A2811" s="13" t="str">
        <f>Raw_Data!A2811</f>
        <v>EMP2958</v>
      </c>
      <c r="B2811" s="13" t="str">
        <f>TRIM(CLEAN(Raw_Data!B2811))</f>
        <v>Sales</v>
      </c>
      <c r="C2811" s="18" t="s">
        <v>54</v>
      </c>
      <c r="D2811" s="14" t="str">
        <f>IF(ISBLANK(Raw_Data!D2811),AVERAGE(Raw_Data!D$2:D$5002),Raw_Data!D2811)</f>
        <v>80283.52</v>
      </c>
      <c r="E2811" s="15" t="str">
        <f>IF(ISBLANK(Raw_Data!E2811),AVERAGE(Raw_Data!E$2:E$5002),Raw_Data!E2811)</f>
        <v>27640.96</v>
      </c>
      <c r="F2811" s="15" t="str">
        <f>IF(ISBLANK(Raw_Data!F2811),AVERAGE(Raw_Data!F$2:F$5002),Raw_Data!F2811)</f>
        <v>22888.71</v>
      </c>
      <c r="G2811" s="14" t="str">
        <f>IF(ISBLANK(Raw_Data!G2811),AVERAGE(Raw_Data!G$2:G$5002),Raw_Data!G2811)</f>
        <v>16959.73</v>
      </c>
      <c r="H2811" s="15" t="str">
        <f t="shared" si="1"/>
        <v>130813.00</v>
      </c>
      <c r="I2811" s="14" t="str">
        <f t="shared" si="2"/>
        <v>113853.00</v>
      </c>
      <c r="J2811" s="16" t="str">
        <f>TEXT(Raw_Data!J2811,"MMM-YYY")</f>
        <v>Jun-2025</v>
      </c>
      <c r="K2811" s="13" t="str">
        <f>Raw_Data!K2811</f>
        <v>1</v>
      </c>
      <c r="L2811" s="17" t="str">
        <f>Raw_Data!L2811</f>
        <v>Ahmedabad-West</v>
      </c>
      <c r="M2811" s="13" t="str">
        <f t="shared" si="3"/>
        <v>OK</v>
      </c>
      <c r="N2811" s="18" t="str">
        <f t="shared" si="4"/>
        <v>VALID</v>
      </c>
    </row>
    <row r="2812" ht="15.75" customHeight="1">
      <c r="A2812" s="13" t="str">
        <f>Raw_Data!A2812</f>
        <v>EMP2959</v>
      </c>
      <c r="B2812" s="13" t="str">
        <f>TRIM(CLEAN(Raw_Data!B2812))</f>
        <v>HR</v>
      </c>
      <c r="C2812" s="18" t="s">
        <v>54</v>
      </c>
      <c r="D2812" s="14" t="str">
        <f>IF(ISBLANK(Raw_Data!D2812),AVERAGE(Raw_Data!D$2:D$5002),Raw_Data!D2812)</f>
        <v>80294.40</v>
      </c>
      <c r="E2812" s="15" t="str">
        <f>IF(ISBLANK(Raw_Data!E2812),AVERAGE(Raw_Data!E$2:E$5002),Raw_Data!E2812)</f>
        <v>27645.58</v>
      </c>
      <c r="F2812" s="15" t="str">
        <f>IF(ISBLANK(Raw_Data!F2812),AVERAGE(Raw_Data!F$2:F$5002),Raw_Data!F2812)</f>
        <v>22896.39</v>
      </c>
      <c r="G2812" s="14" t="str">
        <f>IF(ISBLANK(Raw_Data!G2812),AVERAGE(Raw_Data!G$2:G$5002),Raw_Data!G2812)</f>
        <v>16963.13</v>
      </c>
      <c r="H2812" s="15" t="str">
        <f t="shared" si="1"/>
        <v>130836.00</v>
      </c>
      <c r="I2812" s="14" t="str">
        <f t="shared" si="2"/>
        <v>113873.00</v>
      </c>
      <c r="J2812" s="16" t="str">
        <f>TEXT(Raw_Data!J2812,"MMM-YYY")</f>
        <v>Feb-2025</v>
      </c>
      <c r="K2812" s="13" t="str">
        <f>Raw_Data!K2812</f>
        <v>5</v>
      </c>
      <c r="L2812" s="17" t="str">
        <f>Raw_Data!L2812</f>
        <v>Jaipur-North</v>
      </c>
      <c r="M2812" s="13" t="str">
        <f t="shared" si="3"/>
        <v>OK</v>
      </c>
      <c r="N2812" s="18" t="str">
        <f t="shared" si="4"/>
        <v>VALID</v>
      </c>
    </row>
    <row r="2813" ht="15.75" customHeight="1">
      <c r="A2813" s="13" t="str">
        <f>Raw_Data!A2813</f>
        <v>EMP2960</v>
      </c>
      <c r="B2813" s="13" t="str">
        <f>TRIM(CLEAN(Raw_Data!B2813))</f>
        <v>IT</v>
      </c>
      <c r="C2813" s="18" t="s">
        <v>33</v>
      </c>
      <c r="D2813" s="14" t="str">
        <f>IF(ISBLANK(Raw_Data!D2813),AVERAGE(Raw_Data!D$2:D$5002),Raw_Data!D2813)</f>
        <v>80305.29</v>
      </c>
      <c r="E2813" s="15" t="str">
        <f>IF(ISBLANK(Raw_Data!E2813),AVERAGE(Raw_Data!E$2:E$5002),Raw_Data!E2813)</f>
        <v>27650.19</v>
      </c>
      <c r="F2813" s="15" t="str">
        <f>IF(ISBLANK(Raw_Data!F2813),AVERAGE(Raw_Data!F$2:F$5002),Raw_Data!F2813)</f>
        <v>22904.07</v>
      </c>
      <c r="G2813" s="14" t="str">
        <f>IF(ISBLANK(Raw_Data!G2813),AVERAGE(Raw_Data!G$2:G$5002),Raw_Data!G2813)</f>
        <v>16966.53</v>
      </c>
      <c r="H2813" s="15" t="str">
        <f t="shared" si="1"/>
        <v>130860.00</v>
      </c>
      <c r="I2813" s="14" t="str">
        <f t="shared" si="2"/>
        <v>113893.00</v>
      </c>
      <c r="J2813" s="16" t="str">
        <f>TEXT(Raw_Data!J2813,"MMM-YYY")</f>
        <v>Jan-2025</v>
      </c>
      <c r="K2813" s="13" t="str">
        <f>Raw_Data!K2813</f>
        <v>6</v>
      </c>
      <c r="L2813" s="17" t="str">
        <f>Raw_Data!L2813</f>
        <v>Mumbai-HO</v>
      </c>
      <c r="M2813" s="13" t="str">
        <f t="shared" si="3"/>
        <v>OK</v>
      </c>
      <c r="N2813" s="18" t="str">
        <f t="shared" si="4"/>
        <v>VALID</v>
      </c>
    </row>
    <row r="2814" ht="15.75" customHeight="1">
      <c r="A2814" s="13" t="str">
        <f>Raw_Data!A2814</f>
        <v>EMP2961</v>
      </c>
      <c r="B2814" s="13" t="str">
        <f>TRIM(CLEAN(Raw_Data!B2814))</f>
        <v>Operations</v>
      </c>
      <c r="C2814" s="18" t="s">
        <v>33</v>
      </c>
      <c r="D2814" s="14" t="str">
        <f>IF(ISBLANK(Raw_Data!D2814),AVERAGE(Raw_Data!D$2:D$5002),Raw_Data!D2814)</f>
        <v>80316.17</v>
      </c>
      <c r="E2814" s="15" t="str">
        <f>IF(ISBLANK(Raw_Data!E2814),AVERAGE(Raw_Data!E$2:E$5002),Raw_Data!E2814)</f>
        <v>27654.81</v>
      </c>
      <c r="F2814" s="15" t="str">
        <f>IF(ISBLANK(Raw_Data!F2814),AVERAGE(Raw_Data!F$2:F$5002),Raw_Data!F2814)</f>
        <v>22911.75</v>
      </c>
      <c r="G2814" s="14" t="str">
        <f>IF(ISBLANK(Raw_Data!G2814),AVERAGE(Raw_Data!G$2:G$5002),Raw_Data!G2814)</f>
        <v>16969.93</v>
      </c>
      <c r="H2814" s="15" t="str">
        <f t="shared" si="1"/>
        <v>130883.00</v>
      </c>
      <c r="I2814" s="14" t="str">
        <f t="shared" si="2"/>
        <v>113913.00</v>
      </c>
      <c r="J2814" s="16" t="str">
        <f>TEXT(Raw_Data!J2814,"MMM-YYY")</f>
        <v>Jul-2025</v>
      </c>
      <c r="K2814" s="13" t="str">
        <f>Raw_Data!K2814</f>
        <v>1</v>
      </c>
      <c r="L2814" s="17" t="str">
        <f>Raw_Data!L2814</f>
        <v>Delhi-North</v>
      </c>
      <c r="M2814" s="13" t="str">
        <f t="shared" si="3"/>
        <v>OK</v>
      </c>
      <c r="N2814" s="18" t="str">
        <f t="shared" si="4"/>
        <v>VALID</v>
      </c>
    </row>
    <row r="2815" ht="15.75" customHeight="1">
      <c r="A2815" s="13" t="str">
        <f>Raw_Data!A2815</f>
        <v>EMP2962</v>
      </c>
      <c r="B2815" s="13" t="str">
        <f>TRIM(CLEAN(Raw_Data!B2815))</f>
        <v>HR</v>
      </c>
      <c r="C2815" s="18" t="s">
        <v>37</v>
      </c>
      <c r="D2815" s="14" t="str">
        <f>IF(ISBLANK(Raw_Data!D2815),AVERAGE(Raw_Data!D$2:D$5002),Raw_Data!D2815)</f>
        <v>80327.05</v>
      </c>
      <c r="E2815" s="15" t="str">
        <f>IF(ISBLANK(Raw_Data!E2815),AVERAGE(Raw_Data!E$2:E$5002),Raw_Data!E2815)</f>
        <v>27659.42</v>
      </c>
      <c r="F2815" s="15" t="str">
        <f>IF(ISBLANK(Raw_Data!F2815),AVERAGE(Raw_Data!F$2:F$5002),Raw_Data!F2815)</f>
        <v>22919.43</v>
      </c>
      <c r="G2815" s="14" t="str">
        <f>IF(ISBLANK(Raw_Data!G2815),AVERAGE(Raw_Data!G$2:G$5002),Raw_Data!G2815)</f>
        <v>16973.32</v>
      </c>
      <c r="H2815" s="15" t="str">
        <f t="shared" si="1"/>
        <v>130906.00</v>
      </c>
      <c r="I2815" s="14" t="str">
        <f t="shared" si="2"/>
        <v>113933.00</v>
      </c>
      <c r="J2815" s="16" t="str">
        <f>TEXT(Raw_Data!J2815,"MMM-YYY")</f>
        <v>Mar-2025</v>
      </c>
      <c r="K2815" s="13" t="str">
        <f>Raw_Data!K2815</f>
        <v>11</v>
      </c>
      <c r="L2815" s="17" t="str">
        <f>Raw_Data!L2815</f>
        <v>Bangalore-South</v>
      </c>
      <c r="M2815" s="13" t="str">
        <f t="shared" si="3"/>
        <v>OK</v>
      </c>
      <c r="N2815" s="18" t="str">
        <f t="shared" si="4"/>
        <v>VALID</v>
      </c>
    </row>
    <row r="2816" ht="15.75" customHeight="1">
      <c r="A2816" s="13" t="str">
        <f>Raw_Data!A2816</f>
        <v>EMP2963</v>
      </c>
      <c r="B2816" s="13" t="str">
        <f>TRIM(CLEAN(Raw_Data!B2816))</f>
        <v>Customer Support</v>
      </c>
      <c r="C2816" s="18" t="s">
        <v>30</v>
      </c>
      <c r="D2816" s="14" t="str">
        <f>IF(ISBLANK(Raw_Data!D2816),AVERAGE(Raw_Data!D$2:D$5002),Raw_Data!D2816)</f>
        <v>80337.93</v>
      </c>
      <c r="E2816" s="15" t="str">
        <f>IF(ISBLANK(Raw_Data!E2816),AVERAGE(Raw_Data!E$2:E$5002),Raw_Data!E2816)</f>
        <v>27664.03</v>
      </c>
      <c r="F2816" s="15" t="str">
        <f>IF(ISBLANK(Raw_Data!F2816),AVERAGE(Raw_Data!F$2:F$5002),Raw_Data!F2816)</f>
        <v>22927.11</v>
      </c>
      <c r="G2816" s="14" t="str">
        <f>IF(ISBLANK(Raw_Data!G2816),AVERAGE(Raw_Data!G$2:G$5002),Raw_Data!G2816)</f>
        <v>16976.72</v>
      </c>
      <c r="H2816" s="15" t="str">
        <f t="shared" si="1"/>
        <v>130929.00</v>
      </c>
      <c r="I2816" s="14" t="str">
        <f t="shared" si="2"/>
        <v>113952.00</v>
      </c>
      <c r="J2816" s="16" t="str">
        <f>TEXT(Raw_Data!J2816,"MMM-YYY")</f>
        <v>Mar-2025</v>
      </c>
      <c r="K2816" s="13" t="str">
        <f>Raw_Data!K2816</f>
        <v>5</v>
      </c>
      <c r="L2816" s="17" t="str">
        <f>Raw_Data!L2816</f>
        <v>Chennai-South</v>
      </c>
      <c r="M2816" s="13" t="str">
        <f t="shared" si="3"/>
        <v>OK</v>
      </c>
      <c r="N2816" s="18" t="str">
        <f t="shared" si="4"/>
        <v>VALID</v>
      </c>
    </row>
    <row r="2817" ht="15.75" customHeight="1">
      <c r="A2817" s="13" t="str">
        <f>Raw_Data!A2817</f>
        <v>EMP2964</v>
      </c>
      <c r="B2817" s="13" t="str">
        <f>TRIM(CLEAN(Raw_Data!B2817))</f>
        <v>Marketing</v>
      </c>
      <c r="C2817" s="18" t="s">
        <v>30</v>
      </c>
      <c r="D2817" s="14" t="str">
        <f>IF(ISBLANK(Raw_Data!D2817),AVERAGE(Raw_Data!D$2:D$5002),Raw_Data!D2817)</f>
        <v>80348.82</v>
      </c>
      <c r="E2817" s="15" t="str">
        <f>IF(ISBLANK(Raw_Data!E2817),AVERAGE(Raw_Data!E$2:E$5002),Raw_Data!E2817)</f>
        <v>27668.65</v>
      </c>
      <c r="F2817" s="15" t="str">
        <f>IF(ISBLANK(Raw_Data!F2817),AVERAGE(Raw_Data!F$2:F$5002),Raw_Data!F2817)</f>
        <v>22934.79</v>
      </c>
      <c r="G2817" s="14" t="str">
        <f>IF(ISBLANK(Raw_Data!G2817),AVERAGE(Raw_Data!G$2:G$5002),Raw_Data!G2817)</f>
        <v>16980.12</v>
      </c>
      <c r="H2817" s="15" t="str">
        <f t="shared" si="1"/>
        <v>130952.00</v>
      </c>
      <c r="I2817" s="14" t="str">
        <f t="shared" si="2"/>
        <v>113972.00</v>
      </c>
      <c r="J2817" s="16" t="str">
        <f>TEXT(Raw_Data!J2817,"MMM-YYY")</f>
        <v>Nov-2025</v>
      </c>
      <c r="K2817" s="13" t="str">
        <f>Raw_Data!K2817</f>
        <v>15</v>
      </c>
      <c r="L2817" s="17" t="str">
        <f>Raw_Data!L2817</f>
        <v>Kolkata-East</v>
      </c>
      <c r="M2817" s="13" t="str">
        <f t="shared" si="3"/>
        <v>OK</v>
      </c>
      <c r="N2817" s="18" t="str">
        <f t="shared" si="4"/>
        <v>VALID</v>
      </c>
    </row>
    <row r="2818" ht="15.75" customHeight="1">
      <c r="A2818" s="13" t="str">
        <f>Raw_Data!A2818</f>
        <v>EMP2965</v>
      </c>
      <c r="B2818" s="13" t="str">
        <f>TRIM(CLEAN(Raw_Data!B2818))</f>
        <v>IT</v>
      </c>
      <c r="C2818" s="18" t="s">
        <v>26</v>
      </c>
      <c r="D2818" s="14" t="str">
        <f>IF(ISBLANK(Raw_Data!D2818),AVERAGE(Raw_Data!D$2:D$5002),Raw_Data!D2818)</f>
        <v>80359.70</v>
      </c>
      <c r="E2818" s="15" t="str">
        <f>IF(ISBLANK(Raw_Data!E2818),AVERAGE(Raw_Data!E$2:E$5002),Raw_Data!E2818)</f>
        <v>27673.26</v>
      </c>
      <c r="F2818" s="15" t="str">
        <f>IF(ISBLANK(Raw_Data!F2818),AVERAGE(Raw_Data!F$2:F$5002),Raw_Data!F2818)</f>
        <v>22942.47</v>
      </c>
      <c r="G2818" s="14" t="str">
        <f>IF(ISBLANK(Raw_Data!G2818),AVERAGE(Raw_Data!G$2:G$5002),Raw_Data!G2818)</f>
        <v>16983.52</v>
      </c>
      <c r="H2818" s="15" t="str">
        <f t="shared" si="1"/>
        <v>130975.00</v>
      </c>
      <c r="I2818" s="14" t="str">
        <f t="shared" si="2"/>
        <v>113991.00</v>
      </c>
      <c r="J2818" s="16" t="str">
        <f>TEXT(Raw_Data!J2818,"MMM-YYY")</f>
        <v>Apr-2025</v>
      </c>
      <c r="K2818" s="13" t="str">
        <f>Raw_Data!K2818</f>
        <v>10</v>
      </c>
      <c r="L2818" s="17" t="str">
        <f>Raw_Data!L2818</f>
        <v>Pune-West</v>
      </c>
      <c r="M2818" s="13" t="str">
        <f t="shared" si="3"/>
        <v>OK</v>
      </c>
      <c r="N2818" s="18" t="str">
        <f t="shared" si="4"/>
        <v>VALID</v>
      </c>
    </row>
    <row r="2819" ht="15.75" customHeight="1">
      <c r="A2819" s="13" t="str">
        <f>Raw_Data!A2819</f>
        <v>EMP2966</v>
      </c>
      <c r="B2819" s="13" t="str">
        <f>TRIM(CLEAN(Raw_Data!B2819))</f>
        <v>Operations</v>
      </c>
      <c r="C2819" s="18" t="s">
        <v>14</v>
      </c>
      <c r="D2819" s="14" t="str">
        <f>IF(ISBLANK(Raw_Data!D2819),AVERAGE(Raw_Data!D$2:D$5002),Raw_Data!D2819)</f>
        <v>80370.58</v>
      </c>
      <c r="E2819" s="15" t="str">
        <f>IF(ISBLANK(Raw_Data!E2819),AVERAGE(Raw_Data!E$2:E$5002),Raw_Data!E2819)</f>
        <v>27677.88</v>
      </c>
      <c r="F2819" s="15" t="str">
        <f>IF(ISBLANK(Raw_Data!F2819),AVERAGE(Raw_Data!F$2:F$5002),Raw_Data!F2819)</f>
        <v>22950.15</v>
      </c>
      <c r="G2819" s="14" t="str">
        <f>IF(ISBLANK(Raw_Data!G2819),AVERAGE(Raw_Data!G$2:G$5002),Raw_Data!G2819)</f>
        <v>16986.91</v>
      </c>
      <c r="H2819" s="15" t="str">
        <f t="shared" si="1"/>
        <v>130999.00</v>
      </c>
      <c r="I2819" s="14" t="str">
        <f t="shared" si="2"/>
        <v>114012.00</v>
      </c>
      <c r="J2819" s="16" t="str">
        <f>TEXT(Raw_Data!J2819,"MMM-YYY")</f>
        <v>Oct-2025</v>
      </c>
      <c r="K2819" s="13" t="str">
        <f>Raw_Data!K2819</f>
        <v>4</v>
      </c>
      <c r="L2819" s="17" t="str">
        <f>Raw_Data!L2819</f>
        <v>Hyderabad-South</v>
      </c>
      <c r="M2819" s="13" t="str">
        <f t="shared" si="3"/>
        <v>OK</v>
      </c>
      <c r="N2819" s="18" t="str">
        <f t="shared" si="4"/>
        <v>VALID</v>
      </c>
    </row>
    <row r="2820" ht="15.75" customHeight="1">
      <c r="A2820" s="13" t="str">
        <f>Raw_Data!A2820</f>
        <v>EMP2967</v>
      </c>
      <c r="B2820" s="13" t="str">
        <f>TRIM(CLEAN(Raw_Data!B2820))</f>
        <v>Sales</v>
      </c>
      <c r="C2820" s="18" t="s">
        <v>26</v>
      </c>
      <c r="D2820" s="14" t="str">
        <f>IF(ISBLANK(Raw_Data!D2820),AVERAGE(Raw_Data!D$2:D$5002),Raw_Data!D2820)</f>
        <v>80381.47</v>
      </c>
      <c r="E2820" s="15" t="str">
        <f>IF(ISBLANK(Raw_Data!E2820),AVERAGE(Raw_Data!E$2:E$5002),Raw_Data!E2820)</f>
        <v>27682.49</v>
      </c>
      <c r="F2820" s="15" t="str">
        <f>IF(ISBLANK(Raw_Data!F2820),AVERAGE(Raw_Data!F$2:F$5002),Raw_Data!F2820)</f>
        <v>22957.83</v>
      </c>
      <c r="G2820" s="14" t="str">
        <f>IF(ISBLANK(Raw_Data!G2820),AVERAGE(Raw_Data!G$2:G$5002),Raw_Data!G2820)</f>
        <v>16990.31</v>
      </c>
      <c r="H2820" s="15" t="str">
        <f t="shared" si="1"/>
        <v>131022.00</v>
      </c>
      <c r="I2820" s="14" t="str">
        <f t="shared" si="2"/>
        <v>114032.00</v>
      </c>
      <c r="J2820" s="16" t="str">
        <f>TEXT(Raw_Data!J2820,"MMM-YYY")</f>
        <v>Jan-2025</v>
      </c>
      <c r="K2820" s="13" t="str">
        <f>Raw_Data!K2820</f>
        <v>14</v>
      </c>
      <c r="L2820" s="17" t="str">
        <f>Raw_Data!L2820</f>
        <v>Chandigarh-North</v>
      </c>
      <c r="M2820" s="13" t="str">
        <f t="shared" si="3"/>
        <v>OK</v>
      </c>
      <c r="N2820" s="18" t="str">
        <f t="shared" si="4"/>
        <v>VALID</v>
      </c>
    </row>
    <row r="2821" ht="15.75" customHeight="1">
      <c r="A2821" s="13" t="str">
        <f>Raw_Data!A2821</f>
        <v>EMP2968</v>
      </c>
      <c r="B2821" s="13" t="str">
        <f>TRIM(CLEAN(Raw_Data!B2821))</f>
        <v>HR</v>
      </c>
      <c r="C2821" s="18" t="s">
        <v>33</v>
      </c>
      <c r="D2821" s="14" t="str">
        <f>IF(ISBLANK(Raw_Data!D2821),AVERAGE(Raw_Data!D$2:D$5002),Raw_Data!D2821)</f>
        <v>80392.35</v>
      </c>
      <c r="E2821" s="15" t="str">
        <f>IF(ISBLANK(Raw_Data!E2821),AVERAGE(Raw_Data!E$2:E$5002),Raw_Data!E2821)</f>
        <v>27687.11</v>
      </c>
      <c r="F2821" s="15" t="str">
        <f>IF(ISBLANK(Raw_Data!F2821),AVERAGE(Raw_Data!F$2:F$5002),Raw_Data!F2821)</f>
        <v>22965.51</v>
      </c>
      <c r="G2821" s="14" t="str">
        <f>IF(ISBLANK(Raw_Data!G2821),AVERAGE(Raw_Data!G$2:G$5002),Raw_Data!G2821)</f>
        <v>16993.71</v>
      </c>
      <c r="H2821" s="15" t="str">
        <f t="shared" si="1"/>
        <v>131045.00</v>
      </c>
      <c r="I2821" s="14" t="str">
        <f t="shared" si="2"/>
        <v>114051.00</v>
      </c>
      <c r="J2821" s="16" t="str">
        <f>TEXT(Raw_Data!J2821,"MMM-YYY")</f>
        <v>Sep-2025</v>
      </c>
      <c r="K2821" s="13" t="str">
        <f>Raw_Data!K2821</f>
        <v>1</v>
      </c>
      <c r="L2821" s="17" t="str">
        <f>Raw_Data!L2821</f>
        <v>Ahmedabad-West</v>
      </c>
      <c r="M2821" s="13" t="str">
        <f t="shared" si="3"/>
        <v>OK</v>
      </c>
      <c r="N2821" s="18" t="str">
        <f t="shared" si="4"/>
        <v>VALID</v>
      </c>
    </row>
    <row r="2822" ht="15.75" customHeight="1">
      <c r="A2822" s="13" t="str">
        <f>Raw_Data!A2822</f>
        <v>EMP2969</v>
      </c>
      <c r="B2822" s="13" t="str">
        <f>TRIM(CLEAN(Raw_Data!B2822))</f>
        <v>HR</v>
      </c>
      <c r="C2822" s="18" t="s">
        <v>30</v>
      </c>
      <c r="D2822" s="14" t="str">
        <f>IF(ISBLANK(Raw_Data!D2822),AVERAGE(Raw_Data!D$2:D$5002),Raw_Data!D2822)</f>
        <v>80403.23</v>
      </c>
      <c r="E2822" s="15" t="str">
        <f>IF(ISBLANK(Raw_Data!E2822),AVERAGE(Raw_Data!E$2:E$5002),Raw_Data!E2822)</f>
        <v>27691.72</v>
      </c>
      <c r="F2822" s="15" t="str">
        <f>IF(ISBLANK(Raw_Data!F2822),AVERAGE(Raw_Data!F$2:F$5002),Raw_Data!F2822)</f>
        <v>22973.19</v>
      </c>
      <c r="G2822" s="14" t="str">
        <f>IF(ISBLANK(Raw_Data!G2822),AVERAGE(Raw_Data!G$2:G$5002),Raw_Data!G2822)</f>
        <v>16997.11</v>
      </c>
      <c r="H2822" s="15" t="str">
        <f t="shared" si="1"/>
        <v>131068.00</v>
      </c>
      <c r="I2822" s="14" t="str">
        <f t="shared" si="2"/>
        <v>114071.00</v>
      </c>
      <c r="J2822" s="16" t="str">
        <f>TEXT(Raw_Data!J2822,"MMM-YYY")</f>
        <v>Dec-2025</v>
      </c>
      <c r="K2822" s="13" t="str">
        <f>Raw_Data!K2822</f>
        <v>7</v>
      </c>
      <c r="L2822" s="17" t="str">
        <f>Raw_Data!L2822</f>
        <v>Jaipur-North</v>
      </c>
      <c r="M2822" s="13" t="str">
        <f t="shared" si="3"/>
        <v>OK</v>
      </c>
      <c r="N2822" s="18" t="str">
        <f t="shared" si="4"/>
        <v>VALID</v>
      </c>
    </row>
    <row r="2823" ht="15.75" customHeight="1">
      <c r="A2823" s="13" t="str">
        <f>Raw_Data!A2823</f>
        <v>EMP2970</v>
      </c>
      <c r="B2823" s="13" t="str">
        <f>TRIM(CLEAN(Raw_Data!B2823))</f>
        <v>Sales</v>
      </c>
      <c r="C2823" s="18" t="s">
        <v>37</v>
      </c>
      <c r="D2823" s="14" t="str">
        <f>IF(ISBLANK(Raw_Data!D2823),AVERAGE(Raw_Data!D$2:D$5002),Raw_Data!D2823)</f>
        <v>80414.11</v>
      </c>
      <c r="E2823" s="15" t="str">
        <f>IF(ISBLANK(Raw_Data!E2823),AVERAGE(Raw_Data!E$2:E$5002),Raw_Data!E2823)</f>
        <v>27696.34</v>
      </c>
      <c r="F2823" s="15" t="str">
        <f>IF(ISBLANK(Raw_Data!F2823),AVERAGE(Raw_Data!F$2:F$5002),Raw_Data!F2823)</f>
        <v>22980.87</v>
      </c>
      <c r="G2823" s="14" t="str">
        <f>IF(ISBLANK(Raw_Data!G2823),AVERAGE(Raw_Data!G$2:G$5002),Raw_Data!G2823)</f>
        <v>17000.50</v>
      </c>
      <c r="H2823" s="15" t="str">
        <f t="shared" si="1"/>
        <v>131091.00</v>
      </c>
      <c r="I2823" s="14" t="str">
        <f t="shared" si="2"/>
        <v>114090.00</v>
      </c>
      <c r="J2823" s="16" t="str">
        <f>TEXT(Raw_Data!J2823,"MMM-YYY")</f>
        <v>Jan-2025</v>
      </c>
      <c r="K2823" s="13" t="str">
        <f>Raw_Data!K2823</f>
        <v>14</v>
      </c>
      <c r="L2823" s="17" t="str">
        <f>Raw_Data!L2823</f>
        <v>Mumbai-HO</v>
      </c>
      <c r="M2823" s="13" t="str">
        <f t="shared" si="3"/>
        <v>OK</v>
      </c>
      <c r="N2823" s="18" t="str">
        <f t="shared" si="4"/>
        <v>VALID</v>
      </c>
    </row>
    <row r="2824" ht="15.75" customHeight="1">
      <c r="A2824" s="13" t="str">
        <f>Raw_Data!A2824</f>
        <v>EMP2971</v>
      </c>
      <c r="B2824" s="13" t="str">
        <f>TRIM(CLEAN(Raw_Data!B2824))</f>
        <v>Operations</v>
      </c>
      <c r="C2824" s="18" t="s">
        <v>14</v>
      </c>
      <c r="D2824" s="14" t="str">
        <f>IF(ISBLANK(Raw_Data!D2824),AVERAGE(Raw_Data!D$2:D$5002),Raw_Data!D2824)</f>
        <v>80425.00</v>
      </c>
      <c r="E2824" s="15" t="str">
        <f>IF(ISBLANK(Raw_Data!E2824),AVERAGE(Raw_Data!E$2:E$5002),Raw_Data!E2824)</f>
        <v>27700.95</v>
      </c>
      <c r="F2824" s="15" t="str">
        <f>IF(ISBLANK(Raw_Data!F2824),AVERAGE(Raw_Data!F$2:F$5002),Raw_Data!F2824)</f>
        <v>22988.55</v>
      </c>
      <c r="G2824" s="14" t="str">
        <f>IF(ISBLANK(Raw_Data!G2824),AVERAGE(Raw_Data!G$2:G$5002),Raw_Data!G2824)</f>
        <v>17003.90</v>
      </c>
      <c r="H2824" s="15" t="str">
        <f t="shared" si="1"/>
        <v>131114.00</v>
      </c>
      <c r="I2824" s="14" t="str">
        <f t="shared" si="2"/>
        <v>114110.00</v>
      </c>
      <c r="J2824" s="16" t="str">
        <f>TEXT(Raw_Data!J2824,"MMM-YYY")</f>
        <v>Oct-2025</v>
      </c>
      <c r="K2824" s="13" t="str">
        <f>Raw_Data!K2824</f>
        <v>15</v>
      </c>
      <c r="L2824" s="17" t="str">
        <f>Raw_Data!L2824</f>
        <v>Delhi-North</v>
      </c>
      <c r="M2824" s="13" t="str">
        <f t="shared" si="3"/>
        <v>OK</v>
      </c>
      <c r="N2824" s="18" t="str">
        <f t="shared" si="4"/>
        <v>VALID</v>
      </c>
    </row>
    <row r="2825" ht="15.75" customHeight="1">
      <c r="A2825" s="13" t="str">
        <f>Raw_Data!A2825</f>
        <v>EMP2972</v>
      </c>
      <c r="B2825" s="13" t="str">
        <f>TRIM(CLEAN(Raw_Data!B2825))</f>
        <v>Customer Support</v>
      </c>
      <c r="C2825" s="18" t="s">
        <v>30</v>
      </c>
      <c r="D2825" s="14" t="str">
        <f>IF(ISBLANK(Raw_Data!D2825),AVERAGE(Raw_Data!D$2:D$5002),Raw_Data!D2825)</f>
        <v>80435.88</v>
      </c>
      <c r="E2825" s="15" t="str">
        <f>IF(ISBLANK(Raw_Data!E2825),AVERAGE(Raw_Data!E$2:E$5002),Raw_Data!E2825)</f>
        <v>27705.57</v>
      </c>
      <c r="F2825" s="15" t="str">
        <f>IF(ISBLANK(Raw_Data!F2825),AVERAGE(Raw_Data!F$2:F$5002),Raw_Data!F2825)</f>
        <v>22996.23</v>
      </c>
      <c r="G2825" s="14" t="str">
        <f>IF(ISBLANK(Raw_Data!G2825),AVERAGE(Raw_Data!G$2:G$5002),Raw_Data!G2825)</f>
        <v>17007.30</v>
      </c>
      <c r="H2825" s="15" t="str">
        <f t="shared" si="1"/>
        <v>131138.00</v>
      </c>
      <c r="I2825" s="14" t="str">
        <f t="shared" si="2"/>
        <v>114131.00</v>
      </c>
      <c r="J2825" s="16" t="str">
        <f>TEXT(Raw_Data!J2825,"MMM-YYY")</f>
        <v>Oct-2025</v>
      </c>
      <c r="K2825" s="13" t="str">
        <f>Raw_Data!K2825</f>
        <v>2</v>
      </c>
      <c r="L2825" s="17" t="str">
        <f>Raw_Data!L2825</f>
        <v>Bangalore-South</v>
      </c>
      <c r="M2825" s="13" t="str">
        <f t="shared" si="3"/>
        <v>OK</v>
      </c>
      <c r="N2825" s="18" t="str">
        <f t="shared" si="4"/>
        <v>VALID</v>
      </c>
    </row>
    <row r="2826" ht="15.75" customHeight="1">
      <c r="A2826" s="13" t="str">
        <f>Raw_Data!A2826</f>
        <v>EMP2973</v>
      </c>
      <c r="B2826" s="13" t="str">
        <f>TRIM(CLEAN(Raw_Data!B2826))</f>
        <v>IT</v>
      </c>
      <c r="C2826" s="18" t="s">
        <v>37</v>
      </c>
      <c r="D2826" s="14" t="str">
        <f>IF(ISBLANK(Raw_Data!D2826),AVERAGE(Raw_Data!D$2:D$5002),Raw_Data!D2826)</f>
        <v>80446.76</v>
      </c>
      <c r="E2826" s="15" t="str">
        <f>IF(ISBLANK(Raw_Data!E2826),AVERAGE(Raw_Data!E$2:E$5002),Raw_Data!E2826)</f>
        <v>27710.18</v>
      </c>
      <c r="F2826" s="15" t="str">
        <f>IF(ISBLANK(Raw_Data!F2826),AVERAGE(Raw_Data!F$2:F$5002),Raw_Data!F2826)</f>
        <v>23003.91</v>
      </c>
      <c r="G2826" s="14" t="str">
        <f>IF(ISBLANK(Raw_Data!G2826),AVERAGE(Raw_Data!G$2:G$5002),Raw_Data!G2826)</f>
        <v>17010.70</v>
      </c>
      <c r="H2826" s="15" t="str">
        <f t="shared" si="1"/>
        <v>131161.00</v>
      </c>
      <c r="I2826" s="14" t="str">
        <f t="shared" si="2"/>
        <v>114150.00</v>
      </c>
      <c r="J2826" s="16" t="str">
        <f>TEXT(Raw_Data!J2826,"MMM-YYY")</f>
        <v>Nov-2025</v>
      </c>
      <c r="K2826" s="13" t="str">
        <f>Raw_Data!K2826</f>
        <v>12</v>
      </c>
      <c r="L2826" s="17" t="str">
        <f>Raw_Data!L2826</f>
        <v>Chennai-South</v>
      </c>
      <c r="M2826" s="13" t="str">
        <f t="shared" si="3"/>
        <v>OK</v>
      </c>
      <c r="N2826" s="18" t="str">
        <f t="shared" si="4"/>
        <v>VALID</v>
      </c>
    </row>
    <row r="2827" ht="15.75" customHeight="1">
      <c r="A2827" s="13" t="str">
        <f>Raw_Data!A2827</f>
        <v>EMP2974</v>
      </c>
      <c r="B2827" s="13" t="str">
        <f>TRIM(CLEAN(Raw_Data!B2827))</f>
        <v>Sales</v>
      </c>
      <c r="C2827" s="18" t="s">
        <v>30</v>
      </c>
      <c r="D2827" s="14" t="str">
        <f>IF(ISBLANK(Raw_Data!D2827),AVERAGE(Raw_Data!D$2:D$5002),Raw_Data!D2827)</f>
        <v>80457.65</v>
      </c>
      <c r="E2827" s="15" t="str">
        <f>IF(ISBLANK(Raw_Data!E2827),AVERAGE(Raw_Data!E$2:E$5002),Raw_Data!E2827)</f>
        <v>27714.80</v>
      </c>
      <c r="F2827" s="15" t="str">
        <f>IF(ISBLANK(Raw_Data!F2827),AVERAGE(Raw_Data!F$2:F$5002),Raw_Data!F2827)</f>
        <v>23011.59</v>
      </c>
      <c r="G2827" s="14" t="str">
        <f>IF(ISBLANK(Raw_Data!G2827),AVERAGE(Raw_Data!G$2:G$5002),Raw_Data!G2827)</f>
        <v>17014.09</v>
      </c>
      <c r="H2827" s="15" t="str">
        <f t="shared" si="1"/>
        <v>131184.00</v>
      </c>
      <c r="I2827" s="14" t="str">
        <f t="shared" si="2"/>
        <v>114170.00</v>
      </c>
      <c r="J2827" s="16" t="str">
        <f>TEXT(Raw_Data!J2827,"MMM-YYY")</f>
        <v>Jan-2025</v>
      </c>
      <c r="K2827" s="13" t="str">
        <f>Raw_Data!K2827</f>
        <v>4</v>
      </c>
      <c r="L2827" s="17" t="str">
        <f>Raw_Data!L2827</f>
        <v>Kolkata-East</v>
      </c>
      <c r="M2827" s="13" t="str">
        <f t="shared" si="3"/>
        <v>OK</v>
      </c>
      <c r="N2827" s="18" t="str">
        <f t="shared" si="4"/>
        <v>VALID</v>
      </c>
    </row>
    <row r="2828" ht="15.75" customHeight="1">
      <c r="A2828" s="13" t="str">
        <f>Raw_Data!A2828</f>
        <v>EMP2975</v>
      </c>
      <c r="B2828" s="13" t="str">
        <f>TRIM(CLEAN(Raw_Data!B2828))</f>
        <v>Finance</v>
      </c>
      <c r="C2828" s="18" t="s">
        <v>26</v>
      </c>
      <c r="D2828" s="14" t="str">
        <f>IF(ISBLANK(Raw_Data!D2828),AVERAGE(Raw_Data!D$2:D$5002),Raw_Data!D2828)</f>
        <v>80468.53</v>
      </c>
      <c r="E2828" s="15" t="str">
        <f>IF(ISBLANK(Raw_Data!E2828),AVERAGE(Raw_Data!E$2:E$5002),Raw_Data!E2828)</f>
        <v>27719.41</v>
      </c>
      <c r="F2828" s="15" t="str">
        <f>IF(ISBLANK(Raw_Data!F2828),AVERAGE(Raw_Data!F$2:F$5002),Raw_Data!F2828)</f>
        <v>23019.27</v>
      </c>
      <c r="G2828" s="14" t="str">
        <f>IF(ISBLANK(Raw_Data!G2828),AVERAGE(Raw_Data!G$2:G$5002),Raw_Data!G2828)</f>
        <v>17017.49</v>
      </c>
      <c r="H2828" s="15" t="str">
        <f t="shared" si="1"/>
        <v>131207.00</v>
      </c>
      <c r="I2828" s="14" t="str">
        <f t="shared" si="2"/>
        <v>114190.00</v>
      </c>
      <c r="J2828" s="16" t="str">
        <f>TEXT(Raw_Data!J2828,"MMM-YYY")</f>
        <v>Jan-2025</v>
      </c>
      <c r="K2828" s="13" t="str">
        <f>Raw_Data!K2828</f>
        <v>22</v>
      </c>
      <c r="L2828" s="17" t="str">
        <f>Raw_Data!L2828</f>
        <v>Pune-West</v>
      </c>
      <c r="M2828" s="13" t="str">
        <f t="shared" si="3"/>
        <v>OK</v>
      </c>
      <c r="N2828" s="18" t="str">
        <f t="shared" si="4"/>
        <v>VALID</v>
      </c>
    </row>
    <row r="2829" ht="15.75" customHeight="1">
      <c r="A2829" s="13" t="str">
        <f>Raw_Data!A2829</f>
        <v>EMP2976</v>
      </c>
      <c r="B2829" s="13" t="str">
        <f>TRIM(CLEAN(Raw_Data!B2829))</f>
        <v>Sales</v>
      </c>
      <c r="C2829" s="18" t="s">
        <v>30</v>
      </c>
      <c r="D2829" s="14" t="str">
        <f>IF(ISBLANK(Raw_Data!D2829),AVERAGE(Raw_Data!D$2:D$5002),Raw_Data!D2829)</f>
        <v>80479.41</v>
      </c>
      <c r="E2829" s="15" t="str">
        <f>IF(ISBLANK(Raw_Data!E2829),AVERAGE(Raw_Data!E$2:E$5002),Raw_Data!E2829)</f>
        <v>27724.03</v>
      </c>
      <c r="F2829" s="15" t="str">
        <f>IF(ISBLANK(Raw_Data!F2829),AVERAGE(Raw_Data!F$2:F$5002),Raw_Data!F2829)</f>
        <v>23026.95</v>
      </c>
      <c r="G2829" s="14" t="str">
        <f>IF(ISBLANK(Raw_Data!G2829),AVERAGE(Raw_Data!G$2:G$5002),Raw_Data!G2829)</f>
        <v>17020.89</v>
      </c>
      <c r="H2829" s="15" t="str">
        <f t="shared" si="1"/>
        <v>131230.00</v>
      </c>
      <c r="I2829" s="14" t="str">
        <f t="shared" si="2"/>
        <v>114209.00</v>
      </c>
      <c r="J2829" s="16" t="str">
        <f>TEXT(Raw_Data!J2829,"MMM-YYY")</f>
        <v>Jun-2025</v>
      </c>
      <c r="K2829" s="13" t="str">
        <f>Raw_Data!K2829</f>
        <v>14</v>
      </c>
      <c r="L2829" s="17" t="str">
        <f>Raw_Data!L2829</f>
        <v>Hyderabad-South</v>
      </c>
      <c r="M2829" s="13" t="str">
        <f t="shared" si="3"/>
        <v>OK</v>
      </c>
      <c r="N2829" s="18" t="str">
        <f t="shared" si="4"/>
        <v>VALID</v>
      </c>
    </row>
    <row r="2830" ht="15.75" customHeight="1">
      <c r="A2830" s="13" t="str">
        <f>Raw_Data!A2830</f>
        <v>EMP2977</v>
      </c>
      <c r="B2830" s="13" t="str">
        <f>TRIM(CLEAN(Raw_Data!B2830))</f>
        <v>Finance</v>
      </c>
      <c r="C2830" s="18" t="s">
        <v>26</v>
      </c>
      <c r="D2830" s="14" t="str">
        <f>IF(ISBLANK(Raw_Data!D2830),AVERAGE(Raw_Data!D$2:D$5002),Raw_Data!D2830)</f>
        <v>80490.30</v>
      </c>
      <c r="E2830" s="15" t="str">
        <f>IF(ISBLANK(Raw_Data!E2830),AVERAGE(Raw_Data!E$2:E$5002),Raw_Data!E2830)</f>
        <v>27728.64</v>
      </c>
      <c r="F2830" s="15" t="str">
        <f>IF(ISBLANK(Raw_Data!F2830),AVERAGE(Raw_Data!F$2:F$5002),Raw_Data!F2830)</f>
        <v>23034.63</v>
      </c>
      <c r="G2830" s="14" t="str">
        <f>IF(ISBLANK(Raw_Data!G2830),AVERAGE(Raw_Data!G$2:G$5002),Raw_Data!G2830)</f>
        <v>17024.29</v>
      </c>
      <c r="H2830" s="15" t="str">
        <f t="shared" si="1"/>
        <v>131254.00</v>
      </c>
      <c r="I2830" s="14" t="str">
        <f t="shared" si="2"/>
        <v>114230.00</v>
      </c>
      <c r="J2830" s="16" t="str">
        <f>TEXT(Raw_Data!J2830,"MMM-YYY")</f>
        <v>Oct-2025</v>
      </c>
      <c r="K2830" s="13" t="str">
        <f>Raw_Data!K2830</f>
        <v>16</v>
      </c>
      <c r="L2830" s="17" t="str">
        <f>Raw_Data!L2830</f>
        <v>Chandigarh-North</v>
      </c>
      <c r="M2830" s="13" t="str">
        <f t="shared" si="3"/>
        <v>OK</v>
      </c>
      <c r="N2830" s="18" t="str">
        <f t="shared" si="4"/>
        <v>VALID</v>
      </c>
    </row>
    <row r="2831" ht="15.75" customHeight="1">
      <c r="A2831" s="13" t="str">
        <f>Raw_Data!A2831</f>
        <v>EMP2978</v>
      </c>
      <c r="B2831" s="13" t="str">
        <f>TRIM(CLEAN(Raw_Data!B2831))</f>
        <v>Operations</v>
      </c>
      <c r="C2831" s="18" t="s">
        <v>26</v>
      </c>
      <c r="D2831" s="14" t="str">
        <f>IF(ISBLANK(Raw_Data!D2831),AVERAGE(Raw_Data!D$2:D$5002),Raw_Data!D2831)</f>
        <v>80501.18</v>
      </c>
      <c r="E2831" s="15" t="str">
        <f>IF(ISBLANK(Raw_Data!E2831),AVERAGE(Raw_Data!E$2:E$5002),Raw_Data!E2831)</f>
        <v>27733.26</v>
      </c>
      <c r="F2831" s="15" t="str">
        <f>IF(ISBLANK(Raw_Data!F2831),AVERAGE(Raw_Data!F$2:F$5002),Raw_Data!F2831)</f>
        <v>23042.31</v>
      </c>
      <c r="G2831" s="14" t="str">
        <f>IF(ISBLANK(Raw_Data!G2831),AVERAGE(Raw_Data!G$2:G$5002),Raw_Data!G2831)</f>
        <v>17027.68</v>
      </c>
      <c r="H2831" s="15" t="str">
        <f t="shared" si="1"/>
        <v>131277.00</v>
      </c>
      <c r="I2831" s="14" t="str">
        <f t="shared" si="2"/>
        <v>114249.00</v>
      </c>
      <c r="J2831" s="16" t="str">
        <f>TEXT(Raw_Data!J2831,"MMM-YYY")</f>
        <v>Sep-2025</v>
      </c>
      <c r="K2831" s="13" t="str">
        <f>Raw_Data!K2831</f>
        <v>9</v>
      </c>
      <c r="L2831" s="17" t="str">
        <f>Raw_Data!L2831</f>
        <v>Ahmedabad-West</v>
      </c>
      <c r="M2831" s="13" t="str">
        <f t="shared" si="3"/>
        <v>OK</v>
      </c>
      <c r="N2831" s="18" t="str">
        <f t="shared" si="4"/>
        <v>VALID</v>
      </c>
    </row>
    <row r="2832" ht="15.75" customHeight="1">
      <c r="A2832" s="13" t="str">
        <f>Raw_Data!A2832</f>
        <v>EMP2979</v>
      </c>
      <c r="B2832" s="13" t="str">
        <f>TRIM(CLEAN(Raw_Data!B2832))</f>
        <v>Finance</v>
      </c>
      <c r="C2832" s="18" t="s">
        <v>37</v>
      </c>
      <c r="D2832" s="14" t="str">
        <f>IF(ISBLANK(Raw_Data!D2832),AVERAGE(Raw_Data!D$2:D$5002),Raw_Data!D2832)</f>
        <v>80512.06</v>
      </c>
      <c r="E2832" s="15" t="str">
        <f>IF(ISBLANK(Raw_Data!E2832),AVERAGE(Raw_Data!E$2:E$5002),Raw_Data!E2832)</f>
        <v>27737.87</v>
      </c>
      <c r="F2832" s="15" t="str">
        <f>IF(ISBLANK(Raw_Data!F2832),AVERAGE(Raw_Data!F$2:F$5002),Raw_Data!F2832)</f>
        <v>23049.99</v>
      </c>
      <c r="G2832" s="14" t="str">
        <f>IF(ISBLANK(Raw_Data!G2832),AVERAGE(Raw_Data!G$2:G$5002),Raw_Data!G2832)</f>
        <v>17031.08</v>
      </c>
      <c r="H2832" s="15" t="str">
        <f t="shared" si="1"/>
        <v>131300.00</v>
      </c>
      <c r="I2832" s="14" t="str">
        <f t="shared" si="2"/>
        <v>114269.00</v>
      </c>
      <c r="J2832" s="16" t="str">
        <f>TEXT(Raw_Data!J2832,"MMM-YYY")</f>
        <v>May-2025</v>
      </c>
      <c r="K2832" s="13" t="str">
        <f>Raw_Data!K2832</f>
        <v>15</v>
      </c>
      <c r="L2832" s="17" t="str">
        <f>Raw_Data!L2832</f>
        <v>Jaipur-North</v>
      </c>
      <c r="M2832" s="13" t="str">
        <f t="shared" si="3"/>
        <v>OK</v>
      </c>
      <c r="N2832" s="18" t="str">
        <f t="shared" si="4"/>
        <v>VALID</v>
      </c>
    </row>
    <row r="2833" ht="15.75" customHeight="1">
      <c r="A2833" s="13" t="str">
        <f>Raw_Data!A2833</f>
        <v>EMP2980</v>
      </c>
      <c r="B2833" s="13" t="str">
        <f>TRIM(CLEAN(Raw_Data!B2833))</f>
        <v>IT</v>
      </c>
      <c r="C2833" s="18" t="s">
        <v>37</v>
      </c>
      <c r="D2833" s="14" t="str">
        <f>IF(ISBLANK(Raw_Data!D2833),AVERAGE(Raw_Data!D$2:D$5002),Raw_Data!D2833)</f>
        <v>80522.94</v>
      </c>
      <c r="E2833" s="15" t="str">
        <f>IF(ISBLANK(Raw_Data!E2833),AVERAGE(Raw_Data!E$2:E$5002),Raw_Data!E2833)</f>
        <v>27742.48</v>
      </c>
      <c r="F2833" s="15" t="str">
        <f>IF(ISBLANK(Raw_Data!F2833),AVERAGE(Raw_Data!F$2:F$5002),Raw_Data!F2833)</f>
        <v>23057.67</v>
      </c>
      <c r="G2833" s="14" t="str">
        <f>IF(ISBLANK(Raw_Data!G2833),AVERAGE(Raw_Data!G$2:G$5002),Raw_Data!G2833)</f>
        <v>17034.48</v>
      </c>
      <c r="H2833" s="15" t="str">
        <f t="shared" si="1"/>
        <v>131323.00</v>
      </c>
      <c r="I2833" s="14" t="str">
        <f t="shared" si="2"/>
        <v>114289.00</v>
      </c>
      <c r="J2833" s="16" t="str">
        <f>TEXT(Raw_Data!J2833,"MMM-YYY")</f>
        <v>Oct-2025</v>
      </c>
      <c r="K2833" s="13" t="str">
        <f>Raw_Data!K2833</f>
        <v>14</v>
      </c>
      <c r="L2833" s="17" t="str">
        <f>Raw_Data!L2833</f>
        <v>Mumbai-HO</v>
      </c>
      <c r="M2833" s="13" t="str">
        <f t="shared" si="3"/>
        <v>OK</v>
      </c>
      <c r="N2833" s="18" t="str">
        <f t="shared" si="4"/>
        <v>VALID</v>
      </c>
    </row>
    <row r="2834" ht="15.75" customHeight="1">
      <c r="A2834" s="13" t="str">
        <f>Raw_Data!A2834</f>
        <v>EMP2981</v>
      </c>
      <c r="B2834" s="13" t="str">
        <f>TRIM(CLEAN(Raw_Data!B2834))</f>
        <v>HR</v>
      </c>
      <c r="C2834" s="18" t="s">
        <v>33</v>
      </c>
      <c r="D2834" s="14" t="str">
        <f>IF(ISBLANK(Raw_Data!D2834),AVERAGE(Raw_Data!D$2:D$5002),Raw_Data!D2834)</f>
        <v>80533.83</v>
      </c>
      <c r="E2834" s="15" t="str">
        <f>IF(ISBLANK(Raw_Data!E2834),AVERAGE(Raw_Data!E$2:E$5002),Raw_Data!E2834)</f>
        <v>27747.10</v>
      </c>
      <c r="F2834" s="15" t="str">
        <f>IF(ISBLANK(Raw_Data!F2834),AVERAGE(Raw_Data!F$2:F$5002),Raw_Data!F2834)</f>
        <v>23065.35</v>
      </c>
      <c r="G2834" s="14" t="str">
        <f>IF(ISBLANK(Raw_Data!G2834),AVERAGE(Raw_Data!G$2:G$5002),Raw_Data!G2834)</f>
        <v>17037.88</v>
      </c>
      <c r="H2834" s="15" t="str">
        <f t="shared" si="1"/>
        <v>131346.00</v>
      </c>
      <c r="I2834" s="14" t="str">
        <f t="shared" si="2"/>
        <v>114308.00</v>
      </c>
      <c r="J2834" s="16" t="str">
        <f>TEXT(Raw_Data!J2834,"MMM-YYY")</f>
        <v>Aug-2025</v>
      </c>
      <c r="K2834" s="13" t="str">
        <f>Raw_Data!K2834</f>
        <v>17</v>
      </c>
      <c r="L2834" s="17" t="str">
        <f>Raw_Data!L2834</f>
        <v>Delhi-North</v>
      </c>
      <c r="M2834" s="13" t="str">
        <f t="shared" si="3"/>
        <v>OK</v>
      </c>
      <c r="N2834" s="18" t="str">
        <f t="shared" si="4"/>
        <v>VALID</v>
      </c>
    </row>
    <row r="2835" ht="15.75" customHeight="1">
      <c r="A2835" s="13" t="str">
        <f>Raw_Data!A2835</f>
        <v>EMP2982</v>
      </c>
      <c r="B2835" s="13" t="str">
        <f>TRIM(CLEAN(Raw_Data!B2835))</f>
        <v>IT</v>
      </c>
      <c r="C2835" s="18" t="s">
        <v>33</v>
      </c>
      <c r="D2835" s="14" t="str">
        <f>IF(ISBLANK(Raw_Data!D2835),AVERAGE(Raw_Data!D$2:D$5002),Raw_Data!D2835)</f>
        <v>80544.71</v>
      </c>
      <c r="E2835" s="15" t="str">
        <f>IF(ISBLANK(Raw_Data!E2835),AVERAGE(Raw_Data!E$2:E$5002),Raw_Data!E2835)</f>
        <v>27751.71</v>
      </c>
      <c r="F2835" s="15" t="str">
        <f>IF(ISBLANK(Raw_Data!F2835),AVERAGE(Raw_Data!F$2:F$5002),Raw_Data!F2835)</f>
        <v>23073.03</v>
      </c>
      <c r="G2835" s="14" t="str">
        <f>IF(ISBLANK(Raw_Data!G2835),AVERAGE(Raw_Data!G$2:G$5002),Raw_Data!G2835)</f>
        <v>17041.28</v>
      </c>
      <c r="H2835" s="15" t="str">
        <f t="shared" si="1"/>
        <v>131369.00</v>
      </c>
      <c r="I2835" s="14" t="str">
        <f t="shared" si="2"/>
        <v>114328.00</v>
      </c>
      <c r="J2835" s="16" t="str">
        <f>TEXT(Raw_Data!J2835,"MMM-YYY")</f>
        <v>Apr-2025</v>
      </c>
      <c r="K2835" s="13" t="str">
        <f>Raw_Data!K2835</f>
        <v>4</v>
      </c>
      <c r="L2835" s="17" t="str">
        <f>Raw_Data!L2835</f>
        <v>Bangalore-South</v>
      </c>
      <c r="M2835" s="13" t="str">
        <f t="shared" si="3"/>
        <v>OK</v>
      </c>
      <c r="N2835" s="18" t="str">
        <f t="shared" si="4"/>
        <v>VALID</v>
      </c>
    </row>
    <row r="2836" ht="15.75" customHeight="1">
      <c r="A2836" s="13" t="str">
        <f>Raw_Data!A2836</f>
        <v>EMP2983</v>
      </c>
      <c r="B2836" s="13" t="str">
        <f>TRIM(CLEAN(Raw_Data!B2836))</f>
        <v>Customer Support</v>
      </c>
      <c r="C2836" s="18" t="s">
        <v>54</v>
      </c>
      <c r="D2836" s="14" t="str">
        <f>IF(ISBLANK(Raw_Data!D2836),AVERAGE(Raw_Data!D$2:D$5002),Raw_Data!D2836)</f>
        <v>80555.59</v>
      </c>
      <c r="E2836" s="15" t="str">
        <f>IF(ISBLANK(Raw_Data!E2836),AVERAGE(Raw_Data!E$2:E$5002),Raw_Data!E2836)</f>
        <v>27756.33</v>
      </c>
      <c r="F2836" s="15" t="str">
        <f>IF(ISBLANK(Raw_Data!F2836),AVERAGE(Raw_Data!F$2:F$5002),Raw_Data!F2836)</f>
        <v>23080.71</v>
      </c>
      <c r="G2836" s="14" t="str">
        <f>IF(ISBLANK(Raw_Data!G2836),AVERAGE(Raw_Data!G$2:G$5002),Raw_Data!G2836)</f>
        <v>17044.67</v>
      </c>
      <c r="H2836" s="15" t="str">
        <f t="shared" si="1"/>
        <v>131393.00</v>
      </c>
      <c r="I2836" s="14" t="str">
        <f t="shared" si="2"/>
        <v>114348.00</v>
      </c>
      <c r="J2836" s="16" t="str">
        <f>TEXT(Raw_Data!J2836,"MMM-YYY")</f>
        <v>Nov-2025</v>
      </c>
      <c r="K2836" s="13" t="str">
        <f>Raw_Data!K2836</f>
        <v>20</v>
      </c>
      <c r="L2836" s="17" t="str">
        <f>Raw_Data!L2836</f>
        <v>Chennai-South</v>
      </c>
      <c r="M2836" s="13" t="str">
        <f t="shared" si="3"/>
        <v>OK</v>
      </c>
      <c r="N2836" s="18" t="str">
        <f t="shared" si="4"/>
        <v>VALID</v>
      </c>
    </row>
    <row r="2837" ht="15.75" customHeight="1">
      <c r="A2837" s="13" t="str">
        <f>Raw_Data!A2837</f>
        <v>EMP2984</v>
      </c>
      <c r="B2837" s="13" t="str">
        <f>TRIM(CLEAN(Raw_Data!B2837))</f>
        <v>Customer Support</v>
      </c>
      <c r="C2837" s="18" t="s">
        <v>37</v>
      </c>
      <c r="D2837" s="14" t="str">
        <f>IF(ISBLANK(Raw_Data!D2837),AVERAGE(Raw_Data!D$2:D$5002),Raw_Data!D2837)</f>
        <v>80566.48</v>
      </c>
      <c r="E2837" s="15" t="str">
        <f>IF(ISBLANK(Raw_Data!E2837),AVERAGE(Raw_Data!E$2:E$5002),Raw_Data!E2837)</f>
        <v>27760.94</v>
      </c>
      <c r="F2837" s="15" t="str">
        <f>IF(ISBLANK(Raw_Data!F2837),AVERAGE(Raw_Data!F$2:F$5002),Raw_Data!F2837)</f>
        <v>23088.39</v>
      </c>
      <c r="G2837" s="14" t="str">
        <f>IF(ISBLANK(Raw_Data!G2837),AVERAGE(Raw_Data!G$2:G$5002),Raw_Data!G2837)</f>
        <v>17048.07</v>
      </c>
      <c r="H2837" s="15" t="str">
        <f t="shared" si="1"/>
        <v>131416.00</v>
      </c>
      <c r="I2837" s="14" t="str">
        <f t="shared" si="2"/>
        <v>114368.00</v>
      </c>
      <c r="J2837" s="16" t="str">
        <f>TEXT(Raw_Data!J2837,"MMM-YYY")</f>
        <v>Nov-2025</v>
      </c>
      <c r="K2837" s="13" t="str">
        <f>Raw_Data!K2837</f>
        <v>23</v>
      </c>
      <c r="L2837" s="17" t="str">
        <f>Raw_Data!L2837</f>
        <v>Kolkata-East</v>
      </c>
      <c r="M2837" s="13" t="str">
        <f t="shared" si="3"/>
        <v>OK</v>
      </c>
      <c r="N2837" s="18" t="str">
        <f t="shared" si="4"/>
        <v>VALID</v>
      </c>
    </row>
    <row r="2838" ht="15.75" customHeight="1">
      <c r="A2838" s="13" t="str">
        <f>Raw_Data!A2838</f>
        <v>EMP2985</v>
      </c>
      <c r="B2838" s="13" t="str">
        <f>TRIM(CLEAN(Raw_Data!B2838))</f>
        <v>Finance</v>
      </c>
      <c r="C2838" s="18" t="s">
        <v>33</v>
      </c>
      <c r="D2838" s="14" t="str">
        <f>IF(ISBLANK(Raw_Data!D2838),AVERAGE(Raw_Data!D$2:D$5002),Raw_Data!D2838)</f>
        <v>80577.36</v>
      </c>
      <c r="E2838" s="15" t="str">
        <f>IF(ISBLANK(Raw_Data!E2838),AVERAGE(Raw_Data!E$2:E$5002),Raw_Data!E2838)</f>
        <v>27765.56</v>
      </c>
      <c r="F2838" s="15" t="str">
        <f>IF(ISBLANK(Raw_Data!F2838),AVERAGE(Raw_Data!F$2:F$5002),Raw_Data!F2838)</f>
        <v>23096.07</v>
      </c>
      <c r="G2838" s="14" t="str">
        <f>IF(ISBLANK(Raw_Data!G2838),AVERAGE(Raw_Data!G$2:G$5002),Raw_Data!G2838)</f>
        <v>17051.47</v>
      </c>
      <c r="H2838" s="15" t="str">
        <f t="shared" si="1"/>
        <v>131439.00</v>
      </c>
      <c r="I2838" s="14" t="str">
        <f t="shared" si="2"/>
        <v>114388.00</v>
      </c>
      <c r="J2838" s="16" t="str">
        <f>TEXT(Raw_Data!J2838,"MMM-YYY")</f>
        <v>Apr-2025</v>
      </c>
      <c r="K2838" s="13" t="str">
        <f>Raw_Data!K2838</f>
        <v>17</v>
      </c>
      <c r="L2838" s="17" t="str">
        <f>Raw_Data!L2838</f>
        <v>Pune-West</v>
      </c>
      <c r="M2838" s="13" t="str">
        <f t="shared" si="3"/>
        <v>OK</v>
      </c>
      <c r="N2838" s="18" t="str">
        <f t="shared" si="4"/>
        <v>VALID</v>
      </c>
    </row>
    <row r="2839" ht="15.75" customHeight="1">
      <c r="A2839" s="13" t="str">
        <f>Raw_Data!A2839</f>
        <v>EMP2986</v>
      </c>
      <c r="B2839" s="13" t="str">
        <f>TRIM(CLEAN(Raw_Data!B2839))</f>
        <v>Customer Support</v>
      </c>
      <c r="C2839" s="18" t="s">
        <v>37</v>
      </c>
      <c r="D2839" s="14" t="str">
        <f>IF(ISBLANK(Raw_Data!D2839),AVERAGE(Raw_Data!D$2:D$5002),Raw_Data!D2839)</f>
        <v>80588.24</v>
      </c>
      <c r="E2839" s="15" t="str">
        <f>IF(ISBLANK(Raw_Data!E2839),AVERAGE(Raw_Data!E$2:E$5002),Raw_Data!E2839)</f>
        <v>27770.17</v>
      </c>
      <c r="F2839" s="15" t="str">
        <f>IF(ISBLANK(Raw_Data!F2839),AVERAGE(Raw_Data!F$2:F$5002),Raw_Data!F2839)</f>
        <v>23103.75</v>
      </c>
      <c r="G2839" s="14" t="str">
        <f>IF(ISBLANK(Raw_Data!G2839),AVERAGE(Raw_Data!G$2:G$5002),Raw_Data!G2839)</f>
        <v>17054.87</v>
      </c>
      <c r="H2839" s="15" t="str">
        <f t="shared" si="1"/>
        <v>131462.00</v>
      </c>
      <c r="I2839" s="14" t="str">
        <f t="shared" si="2"/>
        <v>114407.00</v>
      </c>
      <c r="J2839" s="16" t="str">
        <f>TEXT(Raw_Data!J2839,"MMM-YYY")</f>
        <v>May-2025</v>
      </c>
      <c r="K2839" s="13" t="str">
        <f>Raw_Data!K2839</f>
        <v>3</v>
      </c>
      <c r="L2839" s="17" t="str">
        <f>Raw_Data!L2839</f>
        <v>Hyderabad-South</v>
      </c>
      <c r="M2839" s="13" t="str">
        <f t="shared" si="3"/>
        <v>OK</v>
      </c>
      <c r="N2839" s="18" t="str">
        <f t="shared" si="4"/>
        <v>VALID</v>
      </c>
    </row>
    <row r="2840" ht="15.75" customHeight="1">
      <c r="A2840" s="13" t="str">
        <f>Raw_Data!A2840</f>
        <v>EMP2987</v>
      </c>
      <c r="B2840" s="13" t="s">
        <v>25</v>
      </c>
      <c r="C2840" s="18" t="s">
        <v>26</v>
      </c>
      <c r="D2840" s="14" t="str">
        <f>IF(ISBLANK(Raw_Data!D2840),AVERAGE(Raw_Data!D$2:D$5002),Raw_Data!D2840)</f>
        <v>80599.13</v>
      </c>
      <c r="E2840" s="15" t="str">
        <f>IF(ISBLANK(Raw_Data!E2840),AVERAGE(Raw_Data!E$2:E$5002),Raw_Data!E2840)</f>
        <v>27774.79</v>
      </c>
      <c r="F2840" s="15" t="str">
        <f>IF(ISBLANK(Raw_Data!F2840),AVERAGE(Raw_Data!F$2:F$5002),Raw_Data!F2840)</f>
        <v>23111.43</v>
      </c>
      <c r="G2840" s="14" t="str">
        <f>IF(ISBLANK(Raw_Data!G2840),AVERAGE(Raw_Data!G$2:G$5002),Raw_Data!G2840)</f>
        <v>17058.26</v>
      </c>
      <c r="H2840" s="15" t="str">
        <f t="shared" si="1"/>
        <v>131485.00</v>
      </c>
      <c r="I2840" s="14" t="str">
        <f t="shared" si="2"/>
        <v>114427.00</v>
      </c>
      <c r="J2840" s="16" t="str">
        <f>TEXT(Raw_Data!J2840,"MMM-YYY")</f>
        <v>Dec-2025</v>
      </c>
      <c r="K2840" s="13" t="str">
        <f>Raw_Data!K2840</f>
        <v>1</v>
      </c>
      <c r="L2840" s="17" t="str">
        <f>Raw_Data!L2840</f>
        <v>Chandigarh-North</v>
      </c>
      <c r="M2840" s="13" t="str">
        <f t="shared" si="3"/>
        <v>OK</v>
      </c>
      <c r="N2840" s="18" t="str">
        <f t="shared" si="4"/>
        <v>VALID</v>
      </c>
    </row>
    <row r="2841" ht="15.75" customHeight="1">
      <c r="A2841" s="13" t="str">
        <f>Raw_Data!A2841</f>
        <v>EMP2988</v>
      </c>
      <c r="B2841" s="13" t="str">
        <f>TRIM(CLEAN(Raw_Data!B2841))</f>
        <v>Marketing</v>
      </c>
      <c r="C2841" s="18" t="s">
        <v>14</v>
      </c>
      <c r="D2841" s="14" t="str">
        <f>IF(ISBLANK(Raw_Data!D2841),AVERAGE(Raw_Data!D$2:D$5002),Raw_Data!D2841)</f>
        <v>80610.01</v>
      </c>
      <c r="E2841" s="15" t="str">
        <f>IF(ISBLANK(Raw_Data!E2841),AVERAGE(Raw_Data!E$2:E$5002),Raw_Data!E2841)</f>
        <v>27779.40</v>
      </c>
      <c r="F2841" s="15" t="str">
        <f>IF(ISBLANK(Raw_Data!F2841),AVERAGE(Raw_Data!F$2:F$5002),Raw_Data!F2841)</f>
        <v>23119.11</v>
      </c>
      <c r="G2841" s="14" t="str">
        <f>IF(ISBLANK(Raw_Data!G2841),AVERAGE(Raw_Data!G$2:G$5002),Raw_Data!G2841)</f>
        <v>17061.66</v>
      </c>
      <c r="H2841" s="15" t="str">
        <f t="shared" si="1"/>
        <v>131509.00</v>
      </c>
      <c r="I2841" s="14" t="str">
        <f t="shared" si="2"/>
        <v>114447.00</v>
      </c>
      <c r="J2841" s="16" t="str">
        <f>TEXT(Raw_Data!J2841,"MMM-YYY")</f>
        <v>Mar-2025</v>
      </c>
      <c r="K2841" s="13" t="str">
        <f>Raw_Data!K2841</f>
        <v>15</v>
      </c>
      <c r="L2841" s="17" t="str">
        <f>Raw_Data!L2841</f>
        <v>Ahmedabad-West</v>
      </c>
      <c r="M2841" s="13" t="str">
        <f t="shared" si="3"/>
        <v>OK</v>
      </c>
      <c r="N2841" s="18" t="str">
        <f t="shared" si="4"/>
        <v>VALID</v>
      </c>
    </row>
    <row r="2842" ht="15.75" customHeight="1">
      <c r="A2842" s="13" t="str">
        <f>Raw_Data!A2842</f>
        <v>EMP2989</v>
      </c>
      <c r="B2842" s="13" t="str">
        <f>TRIM(CLEAN(Raw_Data!B2842))</f>
        <v>HR</v>
      </c>
      <c r="C2842" s="18" t="s">
        <v>18</v>
      </c>
      <c r="D2842" s="14" t="str">
        <f>IF(ISBLANK(Raw_Data!D2842),AVERAGE(Raw_Data!D$2:D$5002),Raw_Data!D2842)</f>
        <v>80620.89</v>
      </c>
      <c r="E2842" s="15" t="str">
        <f>IF(ISBLANK(Raw_Data!E2842),AVERAGE(Raw_Data!E$2:E$5002),Raw_Data!E2842)</f>
        <v>27784.02</v>
      </c>
      <c r="F2842" s="15" t="str">
        <f>IF(ISBLANK(Raw_Data!F2842),AVERAGE(Raw_Data!F$2:F$5002),Raw_Data!F2842)</f>
        <v>23126.79</v>
      </c>
      <c r="G2842" s="14" t="str">
        <f>IF(ISBLANK(Raw_Data!G2842),AVERAGE(Raw_Data!G$2:G$5002),Raw_Data!G2842)</f>
        <v>17065.06</v>
      </c>
      <c r="H2842" s="15" t="str">
        <f t="shared" si="1"/>
        <v>131532.00</v>
      </c>
      <c r="I2842" s="14" t="str">
        <f t="shared" si="2"/>
        <v>114467.00</v>
      </c>
      <c r="J2842" s="16" t="str">
        <f>TEXT(Raw_Data!J2842,"MMM-YYY")</f>
        <v>Nov-2025</v>
      </c>
      <c r="K2842" s="13" t="str">
        <f>Raw_Data!K2842</f>
        <v>24</v>
      </c>
      <c r="L2842" s="17" t="str">
        <f>Raw_Data!L2842</f>
        <v>Jaipur-North</v>
      </c>
      <c r="M2842" s="13" t="str">
        <f t="shared" si="3"/>
        <v>OK</v>
      </c>
      <c r="N2842" s="18" t="str">
        <f t="shared" si="4"/>
        <v>VALID</v>
      </c>
    </row>
    <row r="2843" ht="15.75" customHeight="1">
      <c r="A2843" s="13" t="str">
        <f>Raw_Data!A2843</f>
        <v>EMP2990</v>
      </c>
      <c r="B2843" s="13" t="str">
        <f>TRIM(CLEAN(Raw_Data!B2843))</f>
        <v>IT</v>
      </c>
      <c r="C2843" s="18" t="s">
        <v>26</v>
      </c>
      <c r="D2843" s="14" t="str">
        <f>IF(ISBLANK(Raw_Data!D2843),AVERAGE(Raw_Data!D$2:D$5002),Raw_Data!D2843)</f>
        <v>80631.77</v>
      </c>
      <c r="E2843" s="15" t="str">
        <f>IF(ISBLANK(Raw_Data!E2843),AVERAGE(Raw_Data!E$2:E$5002),Raw_Data!E2843)</f>
        <v>27788.63</v>
      </c>
      <c r="F2843" s="15" t="str">
        <f>IF(ISBLANK(Raw_Data!F2843),AVERAGE(Raw_Data!F$2:F$5002),Raw_Data!F2843)</f>
        <v>23134.47</v>
      </c>
      <c r="G2843" s="14" t="str">
        <f>IF(ISBLANK(Raw_Data!G2843),AVERAGE(Raw_Data!G$2:G$5002),Raw_Data!G2843)</f>
        <v>17068.46</v>
      </c>
      <c r="H2843" s="15" t="str">
        <f t="shared" si="1"/>
        <v>131555.00</v>
      </c>
      <c r="I2843" s="14" t="str">
        <f t="shared" si="2"/>
        <v>114487.00</v>
      </c>
      <c r="J2843" s="16" t="str">
        <f>TEXT(Raw_Data!J2843,"MMM-YYY")</f>
        <v>Jul-2025</v>
      </c>
      <c r="K2843" s="13" t="str">
        <f>Raw_Data!K2843</f>
        <v>12</v>
      </c>
      <c r="L2843" s="17" t="str">
        <f>Raw_Data!L2843</f>
        <v>Mumbai-HO</v>
      </c>
      <c r="M2843" s="13" t="str">
        <f t="shared" si="3"/>
        <v>OK</v>
      </c>
      <c r="N2843" s="18" t="str">
        <f t="shared" si="4"/>
        <v>VALID</v>
      </c>
    </row>
    <row r="2844" ht="15.75" customHeight="1">
      <c r="A2844" s="13" t="str">
        <f>Raw_Data!A2844</f>
        <v>EMP2991</v>
      </c>
      <c r="B2844" s="13" t="str">
        <f>TRIM(CLEAN(Raw_Data!B2844))</f>
        <v>Sales</v>
      </c>
      <c r="C2844" s="18" t="s">
        <v>30</v>
      </c>
      <c r="D2844" s="14" t="str">
        <f>IF(ISBLANK(Raw_Data!D2844),AVERAGE(Raw_Data!D$2:D$5002),Raw_Data!D2844)</f>
        <v>80642.66</v>
      </c>
      <c r="E2844" s="15" t="str">
        <f>IF(ISBLANK(Raw_Data!E2844),AVERAGE(Raw_Data!E$2:E$5002),Raw_Data!E2844)</f>
        <v>27793.25</v>
      </c>
      <c r="F2844" s="15" t="str">
        <f>IF(ISBLANK(Raw_Data!F2844),AVERAGE(Raw_Data!F$2:F$5002),Raw_Data!F2844)</f>
        <v>23142.15</v>
      </c>
      <c r="G2844" s="14" t="str">
        <f>IF(ISBLANK(Raw_Data!G2844),AVERAGE(Raw_Data!G$2:G$5002),Raw_Data!G2844)</f>
        <v>17071.85</v>
      </c>
      <c r="H2844" s="15" t="str">
        <f t="shared" si="1"/>
        <v>131578.00</v>
      </c>
      <c r="I2844" s="14" t="str">
        <f t="shared" si="2"/>
        <v>114506.00</v>
      </c>
      <c r="J2844" s="16" t="str">
        <f>TEXT(Raw_Data!J2844,"MMM-YYY")</f>
        <v>Feb-2025</v>
      </c>
      <c r="K2844" s="13" t="str">
        <f>Raw_Data!K2844</f>
        <v>21</v>
      </c>
      <c r="L2844" s="17" t="str">
        <f>Raw_Data!L2844</f>
        <v>Delhi-North</v>
      </c>
      <c r="M2844" s="13" t="str">
        <f t="shared" si="3"/>
        <v>OK</v>
      </c>
      <c r="N2844" s="18" t="str">
        <f t="shared" si="4"/>
        <v>VALID</v>
      </c>
    </row>
    <row r="2845" ht="15.75" customHeight="1">
      <c r="A2845" s="13" t="str">
        <f>Raw_Data!A2845</f>
        <v>EMP2992</v>
      </c>
      <c r="B2845" s="13" t="str">
        <f>TRIM(CLEAN(Raw_Data!B2845))</f>
        <v>Finance</v>
      </c>
      <c r="C2845" s="18" t="s">
        <v>18</v>
      </c>
      <c r="D2845" s="14" t="str">
        <f>IF(ISBLANK(Raw_Data!D2845),AVERAGE(Raw_Data!D$2:D$5002),Raw_Data!D2845)</f>
        <v>80653.54</v>
      </c>
      <c r="E2845" s="15" t="str">
        <f>IF(ISBLANK(Raw_Data!E2845),AVERAGE(Raw_Data!E$2:E$5002),Raw_Data!E2845)</f>
        <v>27797.86</v>
      </c>
      <c r="F2845" s="15" t="str">
        <f>IF(ISBLANK(Raw_Data!F2845),AVERAGE(Raw_Data!F$2:F$5002),Raw_Data!F2845)</f>
        <v>23149.83</v>
      </c>
      <c r="G2845" s="14" t="str">
        <f>IF(ISBLANK(Raw_Data!G2845),AVERAGE(Raw_Data!G$2:G$5002),Raw_Data!G2845)</f>
        <v>17075.25</v>
      </c>
      <c r="H2845" s="15" t="str">
        <f t="shared" si="1"/>
        <v>131601.00</v>
      </c>
      <c r="I2845" s="14" t="str">
        <f t="shared" si="2"/>
        <v>114526.00</v>
      </c>
      <c r="J2845" s="16" t="str">
        <f>TEXT(Raw_Data!J2845,"MMM-YYY")</f>
        <v>Mar-2025</v>
      </c>
      <c r="K2845" s="13" t="str">
        <f>Raw_Data!K2845</f>
        <v>18</v>
      </c>
      <c r="L2845" s="17" t="str">
        <f>Raw_Data!L2845</f>
        <v>Bangalore-South</v>
      </c>
      <c r="M2845" s="13" t="str">
        <f t="shared" si="3"/>
        <v>OK</v>
      </c>
      <c r="N2845" s="18" t="str">
        <f t="shared" si="4"/>
        <v>VALID</v>
      </c>
    </row>
    <row r="2846" ht="15.75" customHeight="1">
      <c r="A2846" s="13" t="str">
        <f>Raw_Data!A2846</f>
        <v>EMP2993</v>
      </c>
      <c r="B2846" s="13" t="str">
        <f>TRIM(CLEAN(Raw_Data!B2846))</f>
        <v>Sales</v>
      </c>
      <c r="C2846" s="18" t="s">
        <v>14</v>
      </c>
      <c r="D2846" s="14" t="str">
        <f>IF(ISBLANK(Raw_Data!D2846),AVERAGE(Raw_Data!D$2:D$5002),Raw_Data!D2846)</f>
        <v>80664.42</v>
      </c>
      <c r="E2846" s="15" t="str">
        <f>IF(ISBLANK(Raw_Data!E2846),AVERAGE(Raw_Data!E$2:E$5002),Raw_Data!E2846)</f>
        <v>27802.48</v>
      </c>
      <c r="F2846" s="15" t="str">
        <f>IF(ISBLANK(Raw_Data!F2846),AVERAGE(Raw_Data!F$2:F$5002),Raw_Data!F2846)</f>
        <v>23157.51</v>
      </c>
      <c r="G2846" s="14" t="str">
        <f>IF(ISBLANK(Raw_Data!G2846),AVERAGE(Raw_Data!G$2:G$5002),Raw_Data!G2846)</f>
        <v>17078.65</v>
      </c>
      <c r="H2846" s="15" t="str">
        <f t="shared" si="1"/>
        <v>131624.00</v>
      </c>
      <c r="I2846" s="14" t="str">
        <f t="shared" si="2"/>
        <v>114545.00</v>
      </c>
      <c r="J2846" s="16" t="str">
        <f>TEXT(Raw_Data!J2846,"MMM-YYY")</f>
        <v>Apr-2025</v>
      </c>
      <c r="K2846" s="13" t="str">
        <f>Raw_Data!K2846</f>
        <v>16</v>
      </c>
      <c r="L2846" s="17" t="str">
        <f>Raw_Data!L2846</f>
        <v>Chennai-South</v>
      </c>
      <c r="M2846" s="13" t="str">
        <f t="shared" si="3"/>
        <v>OK</v>
      </c>
      <c r="N2846" s="18" t="str">
        <f t="shared" si="4"/>
        <v>VALID</v>
      </c>
    </row>
    <row r="2847" ht="15.75" customHeight="1">
      <c r="A2847" s="13" t="str">
        <f>Raw_Data!A2847</f>
        <v>EMP2994</v>
      </c>
      <c r="B2847" s="13" t="str">
        <f>TRIM(CLEAN(Raw_Data!B2847))</f>
        <v>Finance</v>
      </c>
      <c r="C2847" s="18" t="s">
        <v>26</v>
      </c>
      <c r="D2847" s="14" t="str">
        <f>IF(ISBLANK(Raw_Data!D2847),AVERAGE(Raw_Data!D$2:D$5002),Raw_Data!D2847)</f>
        <v>80675.31</v>
      </c>
      <c r="E2847" s="15" t="str">
        <f>IF(ISBLANK(Raw_Data!E2847),AVERAGE(Raw_Data!E$2:E$5002),Raw_Data!E2847)</f>
        <v>27807.09</v>
      </c>
      <c r="F2847" s="15" t="str">
        <f>IF(ISBLANK(Raw_Data!F2847),AVERAGE(Raw_Data!F$2:F$5002),Raw_Data!F2847)</f>
        <v>23165.19</v>
      </c>
      <c r="G2847" s="14" t="str">
        <f>IF(ISBLANK(Raw_Data!G2847),AVERAGE(Raw_Data!G$2:G$5002),Raw_Data!G2847)</f>
        <v>17082.05</v>
      </c>
      <c r="H2847" s="15" t="str">
        <f t="shared" si="1"/>
        <v>131648.00</v>
      </c>
      <c r="I2847" s="14" t="str">
        <f t="shared" si="2"/>
        <v>114566.00</v>
      </c>
      <c r="J2847" s="16" t="str">
        <f>TEXT(Raw_Data!J2847,"MMM-YYY")</f>
        <v>Nov-2025</v>
      </c>
      <c r="K2847" s="13" t="str">
        <f>Raw_Data!K2847</f>
        <v>9</v>
      </c>
      <c r="L2847" s="17" t="str">
        <f>Raw_Data!L2847</f>
        <v>Kolkata-East</v>
      </c>
      <c r="M2847" s="13" t="str">
        <f t="shared" si="3"/>
        <v>OK</v>
      </c>
      <c r="N2847" s="18" t="str">
        <f t="shared" si="4"/>
        <v>VALID</v>
      </c>
    </row>
    <row r="2848" ht="15.75" customHeight="1">
      <c r="A2848" s="13" t="str">
        <f>Raw_Data!A2848</f>
        <v>EMP2995</v>
      </c>
      <c r="B2848" s="13" t="str">
        <f>TRIM(CLEAN(Raw_Data!B2848))</f>
        <v>Marketing</v>
      </c>
      <c r="C2848" s="18" t="s">
        <v>54</v>
      </c>
      <c r="D2848" s="14" t="str">
        <f>IF(ISBLANK(Raw_Data!D2848),AVERAGE(Raw_Data!D$2:D$5002),Raw_Data!D2848)</f>
        <v>80686.19</v>
      </c>
      <c r="E2848" s="15" t="str">
        <f>IF(ISBLANK(Raw_Data!E2848),AVERAGE(Raw_Data!E$2:E$5002),Raw_Data!E2848)</f>
        <v>27811.71</v>
      </c>
      <c r="F2848" s="15" t="str">
        <f>IF(ISBLANK(Raw_Data!F2848),AVERAGE(Raw_Data!F$2:F$5002),Raw_Data!F2848)</f>
        <v>23172.87</v>
      </c>
      <c r="G2848" s="14" t="str">
        <f>IF(ISBLANK(Raw_Data!G2848),AVERAGE(Raw_Data!G$2:G$5002),Raw_Data!G2848)</f>
        <v>17085.44</v>
      </c>
      <c r="H2848" s="15" t="str">
        <f t="shared" si="1"/>
        <v>131671.00</v>
      </c>
      <c r="I2848" s="14" t="str">
        <f t="shared" si="2"/>
        <v>114586.00</v>
      </c>
      <c r="J2848" s="16" t="str">
        <f>TEXT(Raw_Data!J2848,"MMM-YYY")</f>
        <v>Jun-2025</v>
      </c>
      <c r="K2848" s="13" t="str">
        <f>Raw_Data!K2848</f>
        <v>12</v>
      </c>
      <c r="L2848" s="17" t="str">
        <f>Raw_Data!L2848</f>
        <v>Pune-West</v>
      </c>
      <c r="M2848" s="13" t="str">
        <f t="shared" si="3"/>
        <v>OK</v>
      </c>
      <c r="N2848" s="18" t="str">
        <f t="shared" si="4"/>
        <v>VALID</v>
      </c>
    </row>
    <row r="2849" ht="15.75" customHeight="1">
      <c r="A2849" s="13" t="str">
        <f>Raw_Data!A2849</f>
        <v>EMP2996</v>
      </c>
      <c r="B2849" s="13" t="str">
        <f>TRIM(CLEAN(Raw_Data!B2849))</f>
        <v>Marketing</v>
      </c>
      <c r="C2849" s="18" t="s">
        <v>30</v>
      </c>
      <c r="D2849" s="14" t="str">
        <f>IF(ISBLANK(Raw_Data!D2849),AVERAGE(Raw_Data!D$2:D$5002),Raw_Data!D2849)</f>
        <v>80697.07</v>
      </c>
      <c r="E2849" s="15" t="str">
        <f>IF(ISBLANK(Raw_Data!E2849),AVERAGE(Raw_Data!E$2:E$5002),Raw_Data!E2849)</f>
        <v>27816.32</v>
      </c>
      <c r="F2849" s="15" t="str">
        <f>IF(ISBLANK(Raw_Data!F2849),AVERAGE(Raw_Data!F$2:F$5002),Raw_Data!F2849)</f>
        <v>23180.55</v>
      </c>
      <c r="G2849" s="14" t="str">
        <f>IF(ISBLANK(Raw_Data!G2849),AVERAGE(Raw_Data!G$2:G$5002),Raw_Data!G2849)</f>
        <v>17088.84</v>
      </c>
      <c r="H2849" s="15" t="str">
        <f t="shared" si="1"/>
        <v>131694.00</v>
      </c>
      <c r="I2849" s="14" t="str">
        <f t="shared" si="2"/>
        <v>114605.00</v>
      </c>
      <c r="J2849" s="16" t="str">
        <f>TEXT(Raw_Data!J2849,"MMM-YYY")</f>
        <v>Jan-2025</v>
      </c>
      <c r="K2849" s="13" t="str">
        <f>Raw_Data!K2849</f>
        <v>4</v>
      </c>
      <c r="L2849" s="17" t="str">
        <f>Raw_Data!L2849</f>
        <v>Hyderabad-South</v>
      </c>
      <c r="M2849" s="13" t="str">
        <f t="shared" si="3"/>
        <v>OK</v>
      </c>
      <c r="N2849" s="18" t="str">
        <f t="shared" si="4"/>
        <v>VALID</v>
      </c>
    </row>
    <row r="2850" ht="15.75" customHeight="1">
      <c r="A2850" s="13" t="str">
        <f>Raw_Data!A2850</f>
        <v>EMP2997</v>
      </c>
      <c r="B2850" s="13" t="str">
        <f>TRIM(CLEAN(Raw_Data!B2850))</f>
        <v>IT</v>
      </c>
      <c r="C2850" s="18" t="s">
        <v>33</v>
      </c>
      <c r="D2850" s="14" t="str">
        <f>IF(ISBLANK(Raw_Data!D2850),AVERAGE(Raw_Data!D$2:D$5002),Raw_Data!D2850)</f>
        <v>80707.96</v>
      </c>
      <c r="E2850" s="15" t="str">
        <f>IF(ISBLANK(Raw_Data!E2850),AVERAGE(Raw_Data!E$2:E$5002),Raw_Data!E2850)</f>
        <v>27820.93</v>
      </c>
      <c r="F2850" s="15" t="str">
        <f>IF(ISBLANK(Raw_Data!F2850),AVERAGE(Raw_Data!F$2:F$5002),Raw_Data!F2850)</f>
        <v>23188.23</v>
      </c>
      <c r="G2850" s="14" t="str">
        <f>IF(ISBLANK(Raw_Data!G2850),AVERAGE(Raw_Data!G$2:G$5002),Raw_Data!G2850)</f>
        <v>17092.24</v>
      </c>
      <c r="H2850" s="15" t="str">
        <f t="shared" si="1"/>
        <v>131717.00</v>
      </c>
      <c r="I2850" s="14" t="str">
        <f t="shared" si="2"/>
        <v>114625.00</v>
      </c>
      <c r="J2850" s="16" t="str">
        <f>TEXT(Raw_Data!J2850,"MMM-YYY")</f>
        <v>Jul-2025</v>
      </c>
      <c r="K2850" s="13" t="str">
        <f>Raw_Data!K2850</f>
        <v>13</v>
      </c>
      <c r="L2850" s="17" t="str">
        <f>Raw_Data!L2850</f>
        <v>Chandigarh-North</v>
      </c>
      <c r="M2850" s="13" t="str">
        <f t="shared" si="3"/>
        <v>OK</v>
      </c>
      <c r="N2850" s="18" t="str">
        <f t="shared" si="4"/>
        <v>VALID</v>
      </c>
    </row>
    <row r="2851" ht="15.75" customHeight="1">
      <c r="A2851" s="13" t="str">
        <f>Raw_Data!A2851</f>
        <v>EMP2999</v>
      </c>
      <c r="B2851" s="13" t="str">
        <f>TRIM(CLEAN(Raw_Data!B2851))</f>
        <v>Sales</v>
      </c>
      <c r="C2851" s="18" t="s">
        <v>54</v>
      </c>
      <c r="D2851" s="14" t="str">
        <f>IF(ISBLANK(Raw_Data!D2851),AVERAGE(Raw_Data!D$2:D$5002),Raw_Data!D2851)</f>
        <v>80729.72</v>
      </c>
      <c r="E2851" s="15" t="str">
        <f>IF(ISBLANK(Raw_Data!E2851),AVERAGE(Raw_Data!E$2:E$5002),Raw_Data!E2851)</f>
        <v>27830.16</v>
      </c>
      <c r="F2851" s="15" t="str">
        <f>IF(ISBLANK(Raw_Data!F2851),AVERAGE(Raw_Data!F$2:F$5002),Raw_Data!F2851)</f>
        <v>23203.59</v>
      </c>
      <c r="G2851" s="14" t="str">
        <f>IF(ISBLANK(Raw_Data!G2851),AVERAGE(Raw_Data!G$2:G$5002),Raw_Data!G2851)</f>
        <v>17099.03</v>
      </c>
      <c r="H2851" s="15" t="str">
        <f t="shared" si="1"/>
        <v>131763.00</v>
      </c>
      <c r="I2851" s="14" t="str">
        <f t="shared" si="2"/>
        <v>114664.00</v>
      </c>
      <c r="J2851" s="16" t="str">
        <f>TEXT(Raw_Data!J2851,"MMM-YYY")</f>
        <v>Apr-2025</v>
      </c>
      <c r="K2851" s="13" t="str">
        <f>Raw_Data!K2851</f>
        <v>14</v>
      </c>
      <c r="L2851" s="17" t="str">
        <f>Raw_Data!L2851</f>
        <v>Jaipur-North</v>
      </c>
      <c r="M2851" s="13" t="str">
        <f t="shared" si="3"/>
        <v>OK</v>
      </c>
      <c r="N2851" s="18" t="str">
        <f t="shared" si="4"/>
        <v>VALID</v>
      </c>
    </row>
    <row r="2852" ht="15.75" customHeight="1">
      <c r="A2852" s="13" t="str">
        <f>Raw_Data!A2852</f>
        <v>EMP3000</v>
      </c>
      <c r="B2852" s="13" t="str">
        <f>TRIM(CLEAN(Raw_Data!B2852))</f>
        <v>Customer Support</v>
      </c>
      <c r="C2852" s="18" t="s">
        <v>18</v>
      </c>
      <c r="D2852" s="14" t="str">
        <f>IF(ISBLANK(Raw_Data!D2852),AVERAGE(Raw_Data!D$2:D$5002),Raw_Data!D2852)</f>
        <v>80740.60</v>
      </c>
      <c r="E2852" s="15" t="str">
        <f>IF(ISBLANK(Raw_Data!E2852),AVERAGE(Raw_Data!E$2:E$5002),Raw_Data!E2852)</f>
        <v>27834.78</v>
      </c>
      <c r="F2852" s="15" t="str">
        <f>IF(ISBLANK(Raw_Data!F2852),AVERAGE(Raw_Data!F$2:F$5002),Raw_Data!F2852)</f>
        <v>23211.27</v>
      </c>
      <c r="G2852" s="14" t="str">
        <f>IF(ISBLANK(Raw_Data!G2852),AVERAGE(Raw_Data!G$2:G$5002),Raw_Data!G2852)</f>
        <v>17102.43</v>
      </c>
      <c r="H2852" s="15" t="str">
        <f t="shared" si="1"/>
        <v>131787.00</v>
      </c>
      <c r="I2852" s="14" t="str">
        <f t="shared" si="2"/>
        <v>114685.00</v>
      </c>
      <c r="J2852" s="16" t="str">
        <f>TEXT(Raw_Data!J2852,"MMM-YYY")</f>
        <v>Nov-2025</v>
      </c>
      <c r="K2852" s="13" t="str">
        <f>Raw_Data!K2852</f>
        <v>3</v>
      </c>
      <c r="L2852" s="17" t="str">
        <f>Raw_Data!L2852</f>
        <v>Mumbai-HO</v>
      </c>
      <c r="M2852" s="13" t="str">
        <f t="shared" si="3"/>
        <v>OK</v>
      </c>
      <c r="N2852" s="18" t="str">
        <f t="shared" si="4"/>
        <v>VALID</v>
      </c>
    </row>
    <row r="2853" ht="15.75" customHeight="1">
      <c r="A2853" s="13" t="str">
        <f>Raw_Data!A2853</f>
        <v>EMP3001</v>
      </c>
      <c r="B2853" s="13" t="str">
        <f>TRIM(CLEAN(Raw_Data!B2853))</f>
        <v>Customer Support</v>
      </c>
      <c r="C2853" s="18" t="s">
        <v>14</v>
      </c>
      <c r="D2853" s="14" t="str">
        <f>IF(ISBLANK(Raw_Data!D2853),AVERAGE(Raw_Data!D$2:D$5002),Raw_Data!D2853)</f>
        <v>80751.49</v>
      </c>
      <c r="E2853" s="15" t="str">
        <f>IF(ISBLANK(Raw_Data!E2853),AVERAGE(Raw_Data!E$2:E$5002),Raw_Data!E2853)</f>
        <v>27839.39</v>
      </c>
      <c r="F2853" s="15" t="str">
        <f>IF(ISBLANK(Raw_Data!F2853),AVERAGE(Raw_Data!F$2:F$5002),Raw_Data!F2853)</f>
        <v>23218.95</v>
      </c>
      <c r="G2853" s="14" t="str">
        <f>IF(ISBLANK(Raw_Data!G2853),AVERAGE(Raw_Data!G$2:G$5002),Raw_Data!G2853)</f>
        <v>17105.83</v>
      </c>
      <c r="H2853" s="15" t="str">
        <f t="shared" si="1"/>
        <v>131810.00</v>
      </c>
      <c r="I2853" s="14" t="str">
        <f t="shared" si="2"/>
        <v>114704.00</v>
      </c>
      <c r="J2853" s="16" t="str">
        <f>TEXT(Raw_Data!J2853,"MMM-YYY")</f>
        <v>Feb-2025</v>
      </c>
      <c r="K2853" s="13" t="str">
        <f>Raw_Data!K2853</f>
        <v>22</v>
      </c>
      <c r="L2853" s="17" t="str">
        <f>Raw_Data!L2853</f>
        <v>Delhi-North</v>
      </c>
      <c r="M2853" s="13" t="str">
        <f t="shared" si="3"/>
        <v>OK</v>
      </c>
      <c r="N2853" s="18" t="str">
        <f t="shared" si="4"/>
        <v>VALID</v>
      </c>
    </row>
    <row r="2854" ht="15.75" customHeight="1">
      <c r="A2854" s="13" t="str">
        <f>Raw_Data!A2854</f>
        <v>EMP3002</v>
      </c>
      <c r="B2854" s="13" t="str">
        <f>TRIM(CLEAN(Raw_Data!B2854))</f>
        <v>Finance</v>
      </c>
      <c r="C2854" s="18" t="s">
        <v>14</v>
      </c>
      <c r="D2854" s="14" t="str">
        <f>IF(ISBLANK(Raw_Data!D2854),AVERAGE(Raw_Data!D$2:D$5002),Raw_Data!D2854)</f>
        <v>80762.37</v>
      </c>
      <c r="E2854" s="15" t="str">
        <f>IF(ISBLANK(Raw_Data!E2854),AVERAGE(Raw_Data!E$2:E$5002),Raw_Data!E2854)</f>
        <v>27844.01</v>
      </c>
      <c r="F2854" s="15" t="str">
        <f>IF(ISBLANK(Raw_Data!F2854),AVERAGE(Raw_Data!F$2:F$5002),Raw_Data!F2854)</f>
        <v>23226.63</v>
      </c>
      <c r="G2854" s="14" t="str">
        <f>IF(ISBLANK(Raw_Data!G2854),AVERAGE(Raw_Data!G$2:G$5002),Raw_Data!G2854)</f>
        <v>17109.23</v>
      </c>
      <c r="H2854" s="15" t="str">
        <f t="shared" si="1"/>
        <v>131833.00</v>
      </c>
      <c r="I2854" s="14" t="str">
        <f t="shared" si="2"/>
        <v>114724.00</v>
      </c>
      <c r="J2854" s="16" t="str">
        <f>TEXT(Raw_Data!J2854,"MMM-YYY")</f>
        <v>Jun-2025</v>
      </c>
      <c r="K2854" s="13" t="str">
        <f>Raw_Data!K2854</f>
        <v>25</v>
      </c>
      <c r="L2854" s="17" t="str">
        <f>Raw_Data!L2854</f>
        <v>Bangalore-South</v>
      </c>
      <c r="M2854" s="13" t="str">
        <f t="shared" si="3"/>
        <v>OK</v>
      </c>
      <c r="N2854" s="18" t="str">
        <f t="shared" si="4"/>
        <v>VALID</v>
      </c>
    </row>
    <row r="2855" ht="15.75" customHeight="1">
      <c r="A2855" s="13" t="str">
        <f>Raw_Data!A2855</f>
        <v>EMP3003</v>
      </c>
      <c r="B2855" s="13" t="str">
        <f>TRIM(CLEAN(Raw_Data!B2855))</f>
        <v>HR</v>
      </c>
      <c r="C2855" s="18" t="s">
        <v>37</v>
      </c>
      <c r="D2855" s="14" t="str">
        <f>IF(ISBLANK(Raw_Data!D2855),AVERAGE(Raw_Data!D$2:D$5002),Raw_Data!D2855)</f>
        <v>80773.25</v>
      </c>
      <c r="E2855" s="15" t="str">
        <f>IF(ISBLANK(Raw_Data!E2855),AVERAGE(Raw_Data!E$2:E$5002),Raw_Data!E2855)</f>
        <v>27848.62</v>
      </c>
      <c r="F2855" s="15" t="str">
        <f>IF(ISBLANK(Raw_Data!F2855),AVERAGE(Raw_Data!F$2:F$5002),Raw_Data!F2855)</f>
        <v>23234.31</v>
      </c>
      <c r="G2855" s="14" t="str">
        <f>IF(ISBLANK(Raw_Data!G2855),AVERAGE(Raw_Data!G$2:G$5002),Raw_Data!G2855)</f>
        <v>17112.62</v>
      </c>
      <c r="H2855" s="15" t="str">
        <f t="shared" si="1"/>
        <v>131856.00</v>
      </c>
      <c r="I2855" s="14" t="str">
        <f t="shared" si="2"/>
        <v>114743.00</v>
      </c>
      <c r="J2855" s="16" t="str">
        <f>TEXT(Raw_Data!J2855,"MMM-YYY")</f>
        <v>Jul-2025</v>
      </c>
      <c r="K2855" s="13" t="str">
        <f>Raw_Data!K2855</f>
        <v>24</v>
      </c>
      <c r="L2855" s="17" t="str">
        <f>Raw_Data!L2855</f>
        <v>Chennai-South</v>
      </c>
      <c r="M2855" s="13" t="str">
        <f t="shared" si="3"/>
        <v>OK</v>
      </c>
      <c r="N2855" s="18" t="str">
        <f t="shared" si="4"/>
        <v>VALID</v>
      </c>
    </row>
    <row r="2856" ht="15.75" customHeight="1">
      <c r="A2856" s="13" t="str">
        <f>Raw_Data!A2856</f>
        <v>EMP3004</v>
      </c>
      <c r="B2856" s="13" t="str">
        <f>TRIM(CLEAN(Raw_Data!B2856))</f>
        <v>Finance</v>
      </c>
      <c r="C2856" s="18" t="s">
        <v>14</v>
      </c>
      <c r="D2856" s="14" t="str">
        <f>IF(ISBLANK(Raw_Data!D2856),AVERAGE(Raw_Data!D$2:D$5002),Raw_Data!D2856)</f>
        <v>80784.14</v>
      </c>
      <c r="E2856" s="15" t="str">
        <f>IF(ISBLANK(Raw_Data!E2856),AVERAGE(Raw_Data!E$2:E$5002),Raw_Data!E2856)</f>
        <v>27853.24</v>
      </c>
      <c r="F2856" s="15" t="str">
        <f>IF(ISBLANK(Raw_Data!F2856),AVERAGE(Raw_Data!F$2:F$5002),Raw_Data!F2856)</f>
        <v>23241.99</v>
      </c>
      <c r="G2856" s="14" t="str">
        <f>IF(ISBLANK(Raw_Data!G2856),AVERAGE(Raw_Data!G$2:G$5002),Raw_Data!G2856)</f>
        <v>17116.02</v>
      </c>
      <c r="H2856" s="15" t="str">
        <f t="shared" si="1"/>
        <v>131879.00</v>
      </c>
      <c r="I2856" s="14" t="str">
        <f t="shared" si="2"/>
        <v>114763.00</v>
      </c>
      <c r="J2856" s="16" t="str">
        <f>TEXT(Raw_Data!J2856,"MMM-YYY")</f>
        <v>Mar-2025</v>
      </c>
      <c r="K2856" s="13" t="str">
        <f>Raw_Data!K2856</f>
        <v>23</v>
      </c>
      <c r="L2856" s="17" t="str">
        <f>Raw_Data!L2856</f>
        <v>Kolkata-East</v>
      </c>
      <c r="M2856" s="13" t="str">
        <f t="shared" si="3"/>
        <v>OK</v>
      </c>
      <c r="N2856" s="18" t="str">
        <f t="shared" si="4"/>
        <v>VALID</v>
      </c>
    </row>
    <row r="2857" ht="15.75" customHeight="1">
      <c r="A2857" s="13" t="str">
        <f>Raw_Data!A2857</f>
        <v>EMP3005</v>
      </c>
      <c r="B2857" s="13" t="str">
        <f>TRIM(CLEAN(Raw_Data!B2857))</f>
        <v>HR</v>
      </c>
      <c r="C2857" s="18" t="s">
        <v>33</v>
      </c>
      <c r="D2857" s="14" t="str">
        <f>IF(ISBLANK(Raw_Data!D2857),AVERAGE(Raw_Data!D$2:D$5002),Raw_Data!D2857)</f>
        <v>80795.02</v>
      </c>
      <c r="E2857" s="15" t="str">
        <f>IF(ISBLANK(Raw_Data!E2857),AVERAGE(Raw_Data!E$2:E$5002),Raw_Data!E2857)</f>
        <v>27857.85</v>
      </c>
      <c r="F2857" s="15" t="str">
        <f>IF(ISBLANK(Raw_Data!F2857),AVERAGE(Raw_Data!F$2:F$5002),Raw_Data!F2857)</f>
        <v>23249.67</v>
      </c>
      <c r="G2857" s="14" t="str">
        <f>IF(ISBLANK(Raw_Data!G2857),AVERAGE(Raw_Data!G$2:G$5002),Raw_Data!G2857)</f>
        <v>17119.42</v>
      </c>
      <c r="H2857" s="15" t="str">
        <f t="shared" si="1"/>
        <v>131903.00</v>
      </c>
      <c r="I2857" s="14" t="str">
        <f t="shared" si="2"/>
        <v>114784.00</v>
      </c>
      <c r="J2857" s="16" t="str">
        <f>TEXT(Raw_Data!J2857,"MMM-YYY")</f>
        <v>Mar-2025</v>
      </c>
      <c r="K2857" s="13" t="str">
        <f>Raw_Data!K2857</f>
        <v>10</v>
      </c>
      <c r="L2857" s="17" t="str">
        <f>Raw_Data!L2857</f>
        <v>Pune-West</v>
      </c>
      <c r="M2857" s="13" t="str">
        <f t="shared" si="3"/>
        <v>OK</v>
      </c>
      <c r="N2857" s="18" t="str">
        <f t="shared" si="4"/>
        <v>VALID</v>
      </c>
    </row>
    <row r="2858" ht="15.75" customHeight="1">
      <c r="A2858" s="13" t="str">
        <f>Raw_Data!A2858</f>
        <v>EMP3006</v>
      </c>
      <c r="B2858" s="13" t="str">
        <f>TRIM(CLEAN(Raw_Data!B2858))</f>
        <v>Customer Support</v>
      </c>
      <c r="C2858" s="18" t="s">
        <v>18</v>
      </c>
      <c r="D2858" s="14" t="str">
        <f>IF(ISBLANK(Raw_Data!D2858),AVERAGE(Raw_Data!D$2:D$5002),Raw_Data!D2858)</f>
        <v>80805.90</v>
      </c>
      <c r="E2858" s="15" t="str">
        <f>IF(ISBLANK(Raw_Data!E2858),AVERAGE(Raw_Data!E$2:E$5002),Raw_Data!E2858)</f>
        <v>27862.47</v>
      </c>
      <c r="F2858" s="15" t="str">
        <f>IF(ISBLANK(Raw_Data!F2858),AVERAGE(Raw_Data!F$2:F$5002),Raw_Data!F2858)</f>
        <v>23257.35</v>
      </c>
      <c r="G2858" s="14" t="str">
        <f>IF(ISBLANK(Raw_Data!G2858),AVERAGE(Raw_Data!G$2:G$5002),Raw_Data!G2858)</f>
        <v>17122.82</v>
      </c>
      <c r="H2858" s="15" t="str">
        <f t="shared" si="1"/>
        <v>131926.00</v>
      </c>
      <c r="I2858" s="14" t="str">
        <f t="shared" si="2"/>
        <v>114803.00</v>
      </c>
      <c r="J2858" s="16" t="str">
        <f>TEXT(Raw_Data!J2858,"MMM-YYY")</f>
        <v>Jul-2025</v>
      </c>
      <c r="K2858" s="13" t="str">
        <f>Raw_Data!K2858</f>
        <v>10</v>
      </c>
      <c r="L2858" s="17" t="str">
        <f>Raw_Data!L2858</f>
        <v>Hyderabad-South</v>
      </c>
      <c r="M2858" s="13" t="str">
        <f t="shared" si="3"/>
        <v>OK</v>
      </c>
      <c r="N2858" s="18" t="str">
        <f t="shared" si="4"/>
        <v>VALID</v>
      </c>
    </row>
    <row r="2859" ht="15.75" customHeight="1">
      <c r="A2859" s="13" t="str">
        <f>Raw_Data!A2859</f>
        <v>EMP3007</v>
      </c>
      <c r="B2859" s="13" t="str">
        <f>TRIM(CLEAN(Raw_Data!B2859))</f>
        <v>IT</v>
      </c>
      <c r="C2859" s="18" t="s">
        <v>54</v>
      </c>
      <c r="D2859" s="14" t="str">
        <f>IF(ISBLANK(Raw_Data!D2859),AVERAGE(Raw_Data!D$2:D$5002),Raw_Data!D2859)</f>
        <v>80816.78</v>
      </c>
      <c r="E2859" s="15" t="str">
        <f>IF(ISBLANK(Raw_Data!E2859),AVERAGE(Raw_Data!E$2:E$5002),Raw_Data!E2859)</f>
        <v>27867.08</v>
      </c>
      <c r="F2859" s="15" t="str">
        <f>IF(ISBLANK(Raw_Data!F2859),AVERAGE(Raw_Data!F$2:F$5002),Raw_Data!F2859)</f>
        <v>23265.03</v>
      </c>
      <c r="G2859" s="14" t="str">
        <f>IF(ISBLANK(Raw_Data!G2859),AVERAGE(Raw_Data!G$2:G$5002),Raw_Data!G2859)</f>
        <v>17126.21</v>
      </c>
      <c r="H2859" s="15" t="str">
        <f t="shared" si="1"/>
        <v>131949.00</v>
      </c>
      <c r="I2859" s="14" t="str">
        <f t="shared" si="2"/>
        <v>114823.00</v>
      </c>
      <c r="J2859" s="16" t="str">
        <f>TEXT(Raw_Data!J2859,"MMM-YYY")</f>
        <v>Apr-2025</v>
      </c>
      <c r="K2859" s="13" t="str">
        <f>Raw_Data!K2859</f>
        <v>14</v>
      </c>
      <c r="L2859" s="17" t="str">
        <f>Raw_Data!L2859</f>
        <v>Chandigarh-North</v>
      </c>
      <c r="M2859" s="13" t="str">
        <f t="shared" si="3"/>
        <v>OK</v>
      </c>
      <c r="N2859" s="18" t="str">
        <f t="shared" si="4"/>
        <v>VALID</v>
      </c>
    </row>
    <row r="2860" ht="15.75" customHeight="1">
      <c r="A2860" s="13" t="str">
        <f>Raw_Data!A2860</f>
        <v>EMP3008</v>
      </c>
      <c r="B2860" s="13" t="str">
        <f>TRIM(CLEAN(Raw_Data!B2860))</f>
        <v>HR</v>
      </c>
      <c r="C2860" s="18" t="s">
        <v>18</v>
      </c>
      <c r="D2860" s="14" t="str">
        <f>IF(ISBLANK(Raw_Data!D2860),AVERAGE(Raw_Data!D$2:D$5002),Raw_Data!D2860)</f>
        <v>80827.67</v>
      </c>
      <c r="E2860" s="15" t="str">
        <f>IF(ISBLANK(Raw_Data!E2860),AVERAGE(Raw_Data!E$2:E$5002),Raw_Data!E2860)</f>
        <v>27871.70</v>
      </c>
      <c r="F2860" s="15" t="str">
        <f>IF(ISBLANK(Raw_Data!F2860),AVERAGE(Raw_Data!F$2:F$5002),Raw_Data!F2860)</f>
        <v>23272.71</v>
      </c>
      <c r="G2860" s="14" t="str">
        <f>IF(ISBLANK(Raw_Data!G2860),AVERAGE(Raw_Data!G$2:G$5002),Raw_Data!G2860)</f>
        <v>17129.61</v>
      </c>
      <c r="H2860" s="15" t="str">
        <f t="shared" si="1"/>
        <v>131972.00</v>
      </c>
      <c r="I2860" s="14" t="str">
        <f t="shared" si="2"/>
        <v>114842.00</v>
      </c>
      <c r="J2860" s="16" t="str">
        <f>TEXT(Raw_Data!J2860,"MMM-YYY")</f>
        <v>Jan-2025</v>
      </c>
      <c r="K2860" s="13" t="str">
        <f>Raw_Data!K2860</f>
        <v>11</v>
      </c>
      <c r="L2860" s="17" t="str">
        <f>Raw_Data!L2860</f>
        <v>Ahmedabad-West</v>
      </c>
      <c r="M2860" s="13" t="str">
        <f t="shared" si="3"/>
        <v>OK</v>
      </c>
      <c r="N2860" s="18" t="str">
        <f t="shared" si="4"/>
        <v>VALID</v>
      </c>
    </row>
    <row r="2861" ht="15.75" customHeight="1">
      <c r="A2861" s="13" t="str">
        <f>Raw_Data!A2861</f>
        <v>EMP3009</v>
      </c>
      <c r="B2861" s="13" t="str">
        <f>TRIM(CLEAN(Raw_Data!B2861))</f>
        <v>Operations</v>
      </c>
      <c r="C2861" s="18" t="s">
        <v>30</v>
      </c>
      <c r="D2861" s="14" t="str">
        <f>IF(ISBLANK(Raw_Data!D2861),AVERAGE(Raw_Data!D$2:D$5002),Raw_Data!D2861)</f>
        <v>80838.55</v>
      </c>
      <c r="E2861" s="15" t="str">
        <f>IF(ISBLANK(Raw_Data!E2861),AVERAGE(Raw_Data!E$2:E$5002),Raw_Data!E2861)</f>
        <v>27876.31</v>
      </c>
      <c r="F2861" s="15" t="str">
        <f>IF(ISBLANK(Raw_Data!F2861),AVERAGE(Raw_Data!F$2:F$5002),Raw_Data!F2861)</f>
        <v>23280.39</v>
      </c>
      <c r="G2861" s="14" t="str">
        <f>IF(ISBLANK(Raw_Data!G2861),AVERAGE(Raw_Data!G$2:G$5002),Raw_Data!G2861)</f>
        <v>17133.01</v>
      </c>
      <c r="H2861" s="15" t="str">
        <f t="shared" si="1"/>
        <v>131995.00</v>
      </c>
      <c r="I2861" s="14" t="str">
        <f t="shared" si="2"/>
        <v>114862.00</v>
      </c>
      <c r="J2861" s="16" t="str">
        <f>TEXT(Raw_Data!J2861,"MMM-YYY")</f>
        <v>Jun-2025</v>
      </c>
      <c r="K2861" s="13" t="str">
        <f>Raw_Data!K2861</f>
        <v>15</v>
      </c>
      <c r="L2861" s="17" t="str">
        <f>Raw_Data!L2861</f>
        <v>Jaipur-North</v>
      </c>
      <c r="M2861" s="13" t="str">
        <f t="shared" si="3"/>
        <v>OK</v>
      </c>
      <c r="N2861" s="18" t="str">
        <f t="shared" si="4"/>
        <v>VALID</v>
      </c>
    </row>
    <row r="2862" ht="15.75" customHeight="1">
      <c r="A2862" s="13" t="str">
        <f>Raw_Data!A2862</f>
        <v>EMP3010</v>
      </c>
      <c r="B2862" s="13" t="str">
        <f>TRIM(CLEAN(Raw_Data!B2862))</f>
        <v>Sales</v>
      </c>
      <c r="C2862" s="18" t="s">
        <v>37</v>
      </c>
      <c r="D2862" s="14" t="str">
        <f>IF(ISBLANK(Raw_Data!D2862),AVERAGE(Raw_Data!D$2:D$5002),Raw_Data!D2862)</f>
        <v>80849.43</v>
      </c>
      <c r="E2862" s="15" t="str">
        <f>IF(ISBLANK(Raw_Data!E2862),AVERAGE(Raw_Data!E$2:E$5002),Raw_Data!E2862)</f>
        <v>27880.93</v>
      </c>
      <c r="F2862" s="15" t="str">
        <f>IF(ISBLANK(Raw_Data!F2862),AVERAGE(Raw_Data!F$2:F$5002),Raw_Data!F2862)</f>
        <v>23288.07</v>
      </c>
      <c r="G2862" s="14" t="str">
        <f>IF(ISBLANK(Raw_Data!G2862),AVERAGE(Raw_Data!G$2:G$5002),Raw_Data!G2862)</f>
        <v>17136.41</v>
      </c>
      <c r="H2862" s="15" t="str">
        <f t="shared" si="1"/>
        <v>132018.00</v>
      </c>
      <c r="I2862" s="14" t="str">
        <f t="shared" si="2"/>
        <v>114882.00</v>
      </c>
      <c r="J2862" s="16" t="str">
        <f>TEXT(Raw_Data!J2862,"MMM-YYY")</f>
        <v>Oct-2025</v>
      </c>
      <c r="K2862" s="13" t="str">
        <f>Raw_Data!K2862</f>
        <v>25</v>
      </c>
      <c r="L2862" s="17" t="str">
        <f>Raw_Data!L2862</f>
        <v>Mumbai-HO</v>
      </c>
      <c r="M2862" s="13" t="str">
        <f t="shared" si="3"/>
        <v>OK</v>
      </c>
      <c r="N2862" s="18" t="str">
        <f t="shared" si="4"/>
        <v>VALID</v>
      </c>
    </row>
    <row r="2863" ht="15.75" customHeight="1">
      <c r="A2863" s="13" t="str">
        <f>Raw_Data!A2863</f>
        <v>EMP3011</v>
      </c>
      <c r="B2863" s="13" t="str">
        <f>TRIM(CLEAN(Raw_Data!B2863))</f>
        <v>Marketing</v>
      </c>
      <c r="C2863" s="18" t="s">
        <v>30</v>
      </c>
      <c r="D2863" s="14" t="str">
        <f>IF(ISBLANK(Raw_Data!D2863),AVERAGE(Raw_Data!D$2:D$5002),Raw_Data!D2863)</f>
        <v>80860.32</v>
      </c>
      <c r="E2863" s="15" t="str">
        <f>IF(ISBLANK(Raw_Data!E2863),AVERAGE(Raw_Data!E$2:E$5002),Raw_Data!E2863)</f>
        <v>27885.54</v>
      </c>
      <c r="F2863" s="15" t="str">
        <f>IF(ISBLANK(Raw_Data!F2863),AVERAGE(Raw_Data!F$2:F$5002),Raw_Data!F2863)</f>
        <v>23295.75</v>
      </c>
      <c r="G2863" s="14" t="str">
        <f>IF(ISBLANK(Raw_Data!G2863),AVERAGE(Raw_Data!G$2:G$5002),Raw_Data!G2863)</f>
        <v>17139.80</v>
      </c>
      <c r="H2863" s="15" t="str">
        <f t="shared" si="1"/>
        <v>132042.00</v>
      </c>
      <c r="I2863" s="14" t="str">
        <f t="shared" si="2"/>
        <v>114902.00</v>
      </c>
      <c r="J2863" s="16" t="str">
        <f>TEXT(Raw_Data!J2863,"MMM-YYY")</f>
        <v>Aug-2025</v>
      </c>
      <c r="K2863" s="13" t="str">
        <f>Raw_Data!K2863</f>
        <v>13</v>
      </c>
      <c r="L2863" s="17" t="str">
        <f>Raw_Data!L2863</f>
        <v>Delhi-North</v>
      </c>
      <c r="M2863" s="13" t="str">
        <f t="shared" si="3"/>
        <v>OK</v>
      </c>
      <c r="N2863" s="18" t="str">
        <f t="shared" si="4"/>
        <v>VALID</v>
      </c>
    </row>
    <row r="2864" ht="15.75" customHeight="1">
      <c r="A2864" s="13" t="str">
        <f>Raw_Data!A2864</f>
        <v>EMP3012</v>
      </c>
      <c r="B2864" s="13" t="str">
        <f>TRIM(CLEAN(Raw_Data!B2864))</f>
        <v>Operations</v>
      </c>
      <c r="C2864" s="18" t="s">
        <v>33</v>
      </c>
      <c r="D2864" s="14" t="str">
        <f>IF(ISBLANK(Raw_Data!D2864),AVERAGE(Raw_Data!D$2:D$5002),Raw_Data!D2864)</f>
        <v>80871.20</v>
      </c>
      <c r="E2864" s="15" t="str">
        <f>IF(ISBLANK(Raw_Data!E2864),AVERAGE(Raw_Data!E$2:E$5002),Raw_Data!E2864)</f>
        <v>27890.16</v>
      </c>
      <c r="F2864" s="15" t="str">
        <f>IF(ISBLANK(Raw_Data!F2864),AVERAGE(Raw_Data!F$2:F$5002),Raw_Data!F2864)</f>
        <v>23303.43</v>
      </c>
      <c r="G2864" s="14" t="str">
        <f>IF(ISBLANK(Raw_Data!G2864),AVERAGE(Raw_Data!G$2:G$5002),Raw_Data!G2864)</f>
        <v>17143.20</v>
      </c>
      <c r="H2864" s="15" t="str">
        <f t="shared" si="1"/>
        <v>132065.00</v>
      </c>
      <c r="I2864" s="14" t="str">
        <f t="shared" si="2"/>
        <v>114922.00</v>
      </c>
      <c r="J2864" s="16" t="str">
        <f>TEXT(Raw_Data!J2864,"MMM-YYY")</f>
        <v>Feb-2025</v>
      </c>
      <c r="K2864" s="13" t="str">
        <f>Raw_Data!K2864</f>
        <v>9</v>
      </c>
      <c r="L2864" s="17" t="str">
        <f>Raw_Data!L2864</f>
        <v>Bangalore-South</v>
      </c>
      <c r="M2864" s="13" t="str">
        <f t="shared" si="3"/>
        <v>OK</v>
      </c>
      <c r="N2864" s="18" t="str">
        <f t="shared" si="4"/>
        <v>VALID</v>
      </c>
    </row>
    <row r="2865" ht="15.75" customHeight="1">
      <c r="A2865" s="13" t="str">
        <f>Raw_Data!A2865</f>
        <v>EMP3013</v>
      </c>
      <c r="B2865" s="13" t="str">
        <f>TRIM(CLEAN(Raw_Data!B2865))</f>
        <v>Finance</v>
      </c>
      <c r="C2865" s="18" t="s">
        <v>14</v>
      </c>
      <c r="D2865" s="14" t="str">
        <f>IF(ISBLANK(Raw_Data!D2865),AVERAGE(Raw_Data!D$2:D$5002),Raw_Data!D2865)</f>
        <v>80882.08</v>
      </c>
      <c r="E2865" s="15" t="str">
        <f>IF(ISBLANK(Raw_Data!E2865),AVERAGE(Raw_Data!E$2:E$5002),Raw_Data!E2865)</f>
        <v>27894.77</v>
      </c>
      <c r="F2865" s="15" t="str">
        <f>IF(ISBLANK(Raw_Data!F2865),AVERAGE(Raw_Data!F$2:F$5002),Raw_Data!F2865)</f>
        <v>23311.11</v>
      </c>
      <c r="G2865" s="14" t="str">
        <f>IF(ISBLANK(Raw_Data!G2865),AVERAGE(Raw_Data!G$2:G$5002),Raw_Data!G2865)</f>
        <v>17146.60</v>
      </c>
      <c r="H2865" s="15" t="str">
        <f t="shared" si="1"/>
        <v>132088.00</v>
      </c>
      <c r="I2865" s="14" t="str">
        <f t="shared" si="2"/>
        <v>114941.00</v>
      </c>
      <c r="J2865" s="16" t="str">
        <f>TEXT(Raw_Data!J2865,"MMM-YYY")</f>
        <v>Dec-2025</v>
      </c>
      <c r="K2865" s="13" t="str">
        <f>Raw_Data!K2865</f>
        <v>23</v>
      </c>
      <c r="L2865" s="17" t="str">
        <f>Raw_Data!L2865</f>
        <v>Chennai-South</v>
      </c>
      <c r="M2865" s="13" t="str">
        <f t="shared" si="3"/>
        <v>OK</v>
      </c>
      <c r="N2865" s="18" t="str">
        <f t="shared" si="4"/>
        <v>VALID</v>
      </c>
    </row>
    <row r="2866" ht="15.75" customHeight="1">
      <c r="A2866" s="13" t="str">
        <f>Raw_Data!A2866</f>
        <v>EMP3014</v>
      </c>
      <c r="B2866" s="13" t="s">
        <v>29</v>
      </c>
      <c r="C2866" s="18" t="s">
        <v>54</v>
      </c>
      <c r="D2866" s="14" t="str">
        <f>IF(ISBLANK(Raw_Data!D2866),AVERAGE(Raw_Data!D$2:D$5002),Raw_Data!D2866)</f>
        <v>80892.97</v>
      </c>
      <c r="E2866" s="15" t="str">
        <f>IF(ISBLANK(Raw_Data!E2866),AVERAGE(Raw_Data!E$2:E$5002),Raw_Data!E2866)</f>
        <v>27899.39</v>
      </c>
      <c r="F2866" s="15" t="str">
        <f>IF(ISBLANK(Raw_Data!F2866),AVERAGE(Raw_Data!F$2:F$5002),Raw_Data!F2866)</f>
        <v>23318.79</v>
      </c>
      <c r="G2866" s="14" t="str">
        <f>IF(ISBLANK(Raw_Data!G2866),AVERAGE(Raw_Data!G$2:G$5002),Raw_Data!G2866)</f>
        <v>17150.00</v>
      </c>
      <c r="H2866" s="15" t="str">
        <f t="shared" si="1"/>
        <v>132111.00</v>
      </c>
      <c r="I2866" s="14" t="str">
        <f t="shared" si="2"/>
        <v>114961.00</v>
      </c>
      <c r="J2866" s="16" t="str">
        <f>TEXT(Raw_Data!J2866,"MMM-YYY")</f>
        <v>Jul-2025</v>
      </c>
      <c r="K2866" s="13" t="str">
        <f>Raw_Data!K2866</f>
        <v>9</v>
      </c>
      <c r="L2866" s="17" t="str">
        <f>Raw_Data!L2866</f>
        <v>Kolkata-East</v>
      </c>
      <c r="M2866" s="13" t="str">
        <f t="shared" si="3"/>
        <v>OK</v>
      </c>
      <c r="N2866" s="18" t="str">
        <f t="shared" si="4"/>
        <v>VALID</v>
      </c>
    </row>
    <row r="2867" ht="15.75" customHeight="1">
      <c r="A2867" s="13" t="str">
        <f>Raw_Data!A2867</f>
        <v>EMP3015</v>
      </c>
      <c r="B2867" s="13" t="str">
        <f>TRIM(CLEAN(Raw_Data!B2867))</f>
        <v>Finance</v>
      </c>
      <c r="C2867" s="18" t="s">
        <v>33</v>
      </c>
      <c r="D2867" s="14" t="str">
        <f>IF(ISBLANK(Raw_Data!D2867),AVERAGE(Raw_Data!D$2:D$5002),Raw_Data!D2867)</f>
        <v>80903.85</v>
      </c>
      <c r="E2867" s="15" t="str">
        <f>IF(ISBLANK(Raw_Data!E2867),AVERAGE(Raw_Data!E$2:E$5002),Raw_Data!E2867)</f>
        <v>27904.00</v>
      </c>
      <c r="F2867" s="15" t="str">
        <f>IF(ISBLANK(Raw_Data!F2867),AVERAGE(Raw_Data!F$2:F$5002),Raw_Data!F2867)</f>
        <v>23326.47</v>
      </c>
      <c r="G2867" s="14" t="str">
        <f>IF(ISBLANK(Raw_Data!G2867),AVERAGE(Raw_Data!G$2:G$5002),Raw_Data!G2867)</f>
        <v>17153.39</v>
      </c>
      <c r="H2867" s="15" t="str">
        <f t="shared" si="1"/>
        <v>132134.00</v>
      </c>
      <c r="I2867" s="14" t="str">
        <f t="shared" si="2"/>
        <v>114981.00</v>
      </c>
      <c r="J2867" s="16" t="str">
        <f>TEXT(Raw_Data!J2867,"MMM-YYY")</f>
        <v>Jun-2025</v>
      </c>
      <c r="K2867" s="13" t="str">
        <f>Raw_Data!K2867</f>
        <v>23</v>
      </c>
      <c r="L2867" s="17" t="str">
        <f>Raw_Data!L2867</f>
        <v>Pune-West</v>
      </c>
      <c r="M2867" s="13" t="str">
        <f t="shared" si="3"/>
        <v>OK</v>
      </c>
      <c r="N2867" s="18" t="str">
        <f t="shared" si="4"/>
        <v>VALID</v>
      </c>
    </row>
    <row r="2868" ht="15.75" customHeight="1">
      <c r="A2868" s="13" t="str">
        <f>Raw_Data!A2868</f>
        <v>EMP3016</v>
      </c>
      <c r="B2868" s="13" t="str">
        <f>TRIM(CLEAN(Raw_Data!B2868))</f>
        <v>HR</v>
      </c>
      <c r="C2868" s="18" t="s">
        <v>33</v>
      </c>
      <c r="D2868" s="14" t="str">
        <f>IF(ISBLANK(Raw_Data!D2868),AVERAGE(Raw_Data!D$2:D$5002),Raw_Data!D2868)</f>
        <v>80914.73</v>
      </c>
      <c r="E2868" s="15" t="str">
        <f>IF(ISBLANK(Raw_Data!E2868),AVERAGE(Raw_Data!E$2:E$5002),Raw_Data!E2868)</f>
        <v>27908.61</v>
      </c>
      <c r="F2868" s="15" t="str">
        <f>IF(ISBLANK(Raw_Data!F2868),AVERAGE(Raw_Data!F$2:F$5002),Raw_Data!F2868)</f>
        <v>23334.15</v>
      </c>
      <c r="G2868" s="14" t="str">
        <f>IF(ISBLANK(Raw_Data!G2868),AVERAGE(Raw_Data!G$2:G$5002),Raw_Data!G2868)</f>
        <v>17156.79</v>
      </c>
      <c r="H2868" s="15" t="str">
        <f t="shared" si="1"/>
        <v>132157.00</v>
      </c>
      <c r="I2868" s="14" t="str">
        <f t="shared" si="2"/>
        <v>115000.00</v>
      </c>
      <c r="J2868" s="16" t="str">
        <f>TEXT(Raw_Data!J2868,"MMM-YYY")</f>
        <v>Dec-2025</v>
      </c>
      <c r="K2868" s="13" t="str">
        <f>Raw_Data!K2868</f>
        <v>14</v>
      </c>
      <c r="L2868" s="17" t="str">
        <f>Raw_Data!L2868</f>
        <v>Hyderabad-South</v>
      </c>
      <c r="M2868" s="13" t="str">
        <f t="shared" si="3"/>
        <v>OK</v>
      </c>
      <c r="N2868" s="18" t="str">
        <f t="shared" si="4"/>
        <v>VALID</v>
      </c>
    </row>
    <row r="2869" ht="15.75" customHeight="1">
      <c r="A2869" s="13" t="str">
        <f>Raw_Data!A2869</f>
        <v>EMP3017</v>
      </c>
      <c r="B2869" s="13" t="str">
        <f>TRIM(CLEAN(Raw_Data!B2869))</f>
        <v>IT</v>
      </c>
      <c r="C2869" s="18" t="s">
        <v>54</v>
      </c>
      <c r="D2869" s="14" t="str">
        <f>IF(ISBLANK(Raw_Data!D2869),AVERAGE(Raw_Data!D$2:D$5002),Raw_Data!D2869)</f>
        <v>80925.61</v>
      </c>
      <c r="E2869" s="15" t="str">
        <f>IF(ISBLANK(Raw_Data!E2869),AVERAGE(Raw_Data!E$2:E$5002),Raw_Data!E2869)</f>
        <v>27913.23</v>
      </c>
      <c r="F2869" s="15" t="str">
        <f>IF(ISBLANK(Raw_Data!F2869),AVERAGE(Raw_Data!F$2:F$5002),Raw_Data!F2869)</f>
        <v>23341.83</v>
      </c>
      <c r="G2869" s="14" t="str">
        <f>IF(ISBLANK(Raw_Data!G2869),AVERAGE(Raw_Data!G$2:G$5002),Raw_Data!G2869)</f>
        <v>17160.19</v>
      </c>
      <c r="H2869" s="15" t="str">
        <f t="shared" si="1"/>
        <v>132181.00</v>
      </c>
      <c r="I2869" s="14" t="str">
        <f t="shared" si="2"/>
        <v>115021.00</v>
      </c>
      <c r="J2869" s="16" t="str">
        <f>TEXT(Raw_Data!J2869,"MMM-YYY")</f>
        <v>Aug-2025</v>
      </c>
      <c r="K2869" s="13" t="str">
        <f>Raw_Data!K2869</f>
        <v>21</v>
      </c>
      <c r="L2869" s="17" t="str">
        <f>Raw_Data!L2869</f>
        <v>Chandigarh-North</v>
      </c>
      <c r="M2869" s="13" t="str">
        <f t="shared" si="3"/>
        <v>OK</v>
      </c>
      <c r="N2869" s="18" t="str">
        <f t="shared" si="4"/>
        <v>VALID</v>
      </c>
    </row>
    <row r="2870" ht="15.75" customHeight="1">
      <c r="A2870" s="13" t="str">
        <f>Raw_Data!A2870</f>
        <v>EMP3018</v>
      </c>
      <c r="B2870" s="13" t="str">
        <f>TRIM(CLEAN(Raw_Data!B2870))</f>
        <v>Customer Support</v>
      </c>
      <c r="C2870" s="18" t="s">
        <v>54</v>
      </c>
      <c r="D2870" s="14" t="str">
        <f>IF(ISBLANK(Raw_Data!D2870),AVERAGE(Raw_Data!D$2:D$5002),Raw_Data!D2870)</f>
        <v>80936.50</v>
      </c>
      <c r="E2870" s="15" t="str">
        <f>IF(ISBLANK(Raw_Data!E2870),AVERAGE(Raw_Data!E$2:E$5002),Raw_Data!E2870)</f>
        <v>27917.84</v>
      </c>
      <c r="F2870" s="15" t="str">
        <f>IF(ISBLANK(Raw_Data!F2870),AVERAGE(Raw_Data!F$2:F$5002),Raw_Data!F2870)</f>
        <v>23349.51</v>
      </c>
      <c r="G2870" s="14" t="str">
        <f>IF(ISBLANK(Raw_Data!G2870),AVERAGE(Raw_Data!G$2:G$5002),Raw_Data!G2870)</f>
        <v>17163.59</v>
      </c>
      <c r="H2870" s="15" t="str">
        <f t="shared" si="1"/>
        <v>132204.00</v>
      </c>
      <c r="I2870" s="14" t="str">
        <f t="shared" si="2"/>
        <v>115040.00</v>
      </c>
      <c r="J2870" s="16" t="str">
        <f>TEXT(Raw_Data!J2870,"MMM-YYY")</f>
        <v>Oct-2025</v>
      </c>
      <c r="K2870" s="13" t="str">
        <f>Raw_Data!K2870</f>
        <v>23</v>
      </c>
      <c r="L2870" s="17" t="str">
        <f>Raw_Data!L2870</f>
        <v>Ahmedabad-West</v>
      </c>
      <c r="M2870" s="13" t="str">
        <f t="shared" si="3"/>
        <v>OK</v>
      </c>
      <c r="N2870" s="18" t="str">
        <f t="shared" si="4"/>
        <v>VALID</v>
      </c>
    </row>
    <row r="2871" ht="15.75" customHeight="1">
      <c r="A2871" s="13" t="str">
        <f>Raw_Data!A2871</f>
        <v>EMP3019</v>
      </c>
      <c r="B2871" s="13" t="str">
        <f>TRIM(CLEAN(Raw_Data!B2871))</f>
        <v>IT</v>
      </c>
      <c r="C2871" s="18" t="s">
        <v>54</v>
      </c>
      <c r="D2871" s="14" t="str">
        <f>IF(ISBLANK(Raw_Data!D2871),AVERAGE(Raw_Data!D$2:D$5002),Raw_Data!D2871)</f>
        <v>80947.38</v>
      </c>
      <c r="E2871" s="15" t="str">
        <f>IF(ISBLANK(Raw_Data!E2871),AVERAGE(Raw_Data!E$2:E$5002),Raw_Data!E2871)</f>
        <v>27922.46</v>
      </c>
      <c r="F2871" s="15" t="str">
        <f>IF(ISBLANK(Raw_Data!F2871),AVERAGE(Raw_Data!F$2:F$5002),Raw_Data!F2871)</f>
        <v>23357.19</v>
      </c>
      <c r="G2871" s="14" t="str">
        <f>IF(ISBLANK(Raw_Data!G2871),AVERAGE(Raw_Data!G$2:G$5002),Raw_Data!G2871)</f>
        <v>17166.98</v>
      </c>
      <c r="H2871" s="15" t="str">
        <f t="shared" si="1"/>
        <v>132227.00</v>
      </c>
      <c r="I2871" s="14" t="str">
        <f t="shared" si="2"/>
        <v>115060.00</v>
      </c>
      <c r="J2871" s="16" t="str">
        <f>TEXT(Raw_Data!J2871,"MMM-YYY")</f>
        <v>Apr-2025</v>
      </c>
      <c r="K2871" s="13" t="str">
        <f>Raw_Data!K2871</f>
        <v>18</v>
      </c>
      <c r="L2871" s="17" t="str">
        <f>Raw_Data!L2871</f>
        <v>Jaipur-North</v>
      </c>
      <c r="M2871" s="13" t="str">
        <f t="shared" si="3"/>
        <v>OK</v>
      </c>
      <c r="N2871" s="18" t="str">
        <f t="shared" si="4"/>
        <v>VALID</v>
      </c>
    </row>
    <row r="2872" ht="15.75" customHeight="1">
      <c r="A2872" s="13" t="str">
        <f>Raw_Data!A2872</f>
        <v>EMP3020</v>
      </c>
      <c r="B2872" s="13" t="str">
        <f>TRIM(CLEAN(Raw_Data!B2872))</f>
        <v>Operations</v>
      </c>
      <c r="C2872" s="18" t="s">
        <v>14</v>
      </c>
      <c r="D2872" s="14" t="str">
        <f>IF(ISBLANK(Raw_Data!D2872),AVERAGE(Raw_Data!D$2:D$5002),Raw_Data!D2872)</f>
        <v>80958.26</v>
      </c>
      <c r="E2872" s="15" t="str">
        <f>IF(ISBLANK(Raw_Data!E2872),AVERAGE(Raw_Data!E$2:E$5002),Raw_Data!E2872)</f>
        <v>27927.07</v>
      </c>
      <c r="F2872" s="15" t="str">
        <f>IF(ISBLANK(Raw_Data!F2872),AVERAGE(Raw_Data!F$2:F$5002),Raw_Data!F2872)</f>
        <v>23364.87</v>
      </c>
      <c r="G2872" s="14" t="str">
        <f>IF(ISBLANK(Raw_Data!G2872),AVERAGE(Raw_Data!G$2:G$5002),Raw_Data!G2872)</f>
        <v>17170.38</v>
      </c>
      <c r="H2872" s="15" t="str">
        <f t="shared" si="1"/>
        <v>132250.00</v>
      </c>
      <c r="I2872" s="14" t="str">
        <f t="shared" si="2"/>
        <v>115080.00</v>
      </c>
      <c r="J2872" s="16" t="str">
        <f>TEXT(Raw_Data!J2872,"MMM-YYY")</f>
        <v>Jun-2025</v>
      </c>
      <c r="K2872" s="13" t="str">
        <f>Raw_Data!K2872</f>
        <v>14</v>
      </c>
      <c r="L2872" s="17" t="str">
        <f>Raw_Data!L2872</f>
        <v>Mumbai-HO</v>
      </c>
      <c r="M2872" s="13" t="str">
        <f t="shared" si="3"/>
        <v>OK</v>
      </c>
      <c r="N2872" s="18" t="str">
        <f t="shared" si="4"/>
        <v>VALID</v>
      </c>
    </row>
    <row r="2873" ht="15.75" customHeight="1">
      <c r="A2873" s="13" t="str">
        <f>Raw_Data!A2873</f>
        <v>EMP3021</v>
      </c>
      <c r="B2873" s="13" t="str">
        <f>TRIM(CLEAN(Raw_Data!B2873))</f>
        <v>Finance</v>
      </c>
      <c r="C2873" s="18" t="s">
        <v>33</v>
      </c>
      <c r="D2873" s="14" t="str">
        <f>IF(ISBLANK(Raw_Data!D2873),AVERAGE(Raw_Data!D$2:D$5002),Raw_Data!D2873)</f>
        <v>80969.15</v>
      </c>
      <c r="E2873" s="15" t="str">
        <f>IF(ISBLANK(Raw_Data!E2873),AVERAGE(Raw_Data!E$2:E$5002),Raw_Data!E2873)</f>
        <v>27931.69</v>
      </c>
      <c r="F2873" s="15" t="str">
        <f>IF(ISBLANK(Raw_Data!F2873),AVERAGE(Raw_Data!F$2:F$5002),Raw_Data!F2873)</f>
        <v>23372.55</v>
      </c>
      <c r="G2873" s="14" t="str">
        <f>IF(ISBLANK(Raw_Data!G2873),AVERAGE(Raw_Data!G$2:G$5002),Raw_Data!G2873)</f>
        <v>17173.78</v>
      </c>
      <c r="H2873" s="15" t="str">
        <f t="shared" si="1"/>
        <v>132273.00</v>
      </c>
      <c r="I2873" s="14" t="str">
        <f t="shared" si="2"/>
        <v>115099.00</v>
      </c>
      <c r="J2873" s="16" t="str">
        <f>TEXT(Raw_Data!J2873,"MMM-YYY")</f>
        <v>Feb-2025</v>
      </c>
      <c r="K2873" s="13" t="str">
        <f>Raw_Data!K2873</f>
        <v>1</v>
      </c>
      <c r="L2873" s="17" t="str">
        <f>Raw_Data!L2873</f>
        <v>Delhi-North</v>
      </c>
      <c r="M2873" s="13" t="str">
        <f t="shared" si="3"/>
        <v>OK</v>
      </c>
      <c r="N2873" s="18" t="str">
        <f t="shared" si="4"/>
        <v>VALID</v>
      </c>
    </row>
    <row r="2874" ht="15.75" customHeight="1">
      <c r="A2874" s="13" t="str">
        <f>Raw_Data!A2874</f>
        <v>EMP3023</v>
      </c>
      <c r="B2874" s="13" t="str">
        <f>TRIM(CLEAN(Raw_Data!B2874))</f>
        <v>HR</v>
      </c>
      <c r="C2874" s="18" t="s">
        <v>14</v>
      </c>
      <c r="D2874" s="14" t="str">
        <f>IF(ISBLANK(Raw_Data!D2874),AVERAGE(Raw_Data!D$2:D$5002),Raw_Data!D2874)</f>
        <v>80990.91</v>
      </c>
      <c r="E2874" s="15" t="str">
        <f>IF(ISBLANK(Raw_Data!E2874),AVERAGE(Raw_Data!E$2:E$5002),Raw_Data!E2874)</f>
        <v>27940.92</v>
      </c>
      <c r="F2874" s="15" t="str">
        <f>IF(ISBLANK(Raw_Data!F2874),AVERAGE(Raw_Data!F$2:F$5002),Raw_Data!F2874)</f>
        <v>23387.91</v>
      </c>
      <c r="G2874" s="14" t="str">
        <f>IF(ISBLANK(Raw_Data!G2874),AVERAGE(Raw_Data!G$2:G$5002),Raw_Data!G2874)</f>
        <v>17180.57</v>
      </c>
      <c r="H2874" s="15" t="str">
        <f t="shared" si="1"/>
        <v>132320.00</v>
      </c>
      <c r="I2874" s="14" t="str">
        <f t="shared" si="2"/>
        <v>115139.00</v>
      </c>
      <c r="J2874" s="16" t="str">
        <f>TEXT(Raw_Data!J2874,"MMM-YYY")</f>
        <v>Mar-2025</v>
      </c>
      <c r="K2874" s="13" t="str">
        <f>Raw_Data!K2874</f>
        <v>23</v>
      </c>
      <c r="L2874" s="17" t="str">
        <f>Raw_Data!L2874</f>
        <v>Chennai-South</v>
      </c>
      <c r="M2874" s="13" t="str">
        <f t="shared" si="3"/>
        <v>OK</v>
      </c>
      <c r="N2874" s="18" t="str">
        <f t="shared" si="4"/>
        <v>VALID</v>
      </c>
    </row>
    <row r="2875" ht="15.75" customHeight="1">
      <c r="A2875" s="13" t="str">
        <f>Raw_Data!A2875</f>
        <v>EMP3024</v>
      </c>
      <c r="B2875" s="13" t="str">
        <f>TRIM(CLEAN(Raw_Data!B2875))</f>
        <v>Customer Support</v>
      </c>
      <c r="C2875" s="18" t="s">
        <v>18</v>
      </c>
      <c r="D2875" s="14" t="str">
        <f>IF(ISBLANK(Raw_Data!D2875),AVERAGE(Raw_Data!D$2:D$5002),Raw_Data!D2875)</f>
        <v>81001.80</v>
      </c>
      <c r="E2875" s="15" t="str">
        <f>IF(ISBLANK(Raw_Data!E2875),AVERAGE(Raw_Data!E$2:E$5002),Raw_Data!E2875)</f>
        <v>27945.53</v>
      </c>
      <c r="F2875" s="15" t="str">
        <f>IF(ISBLANK(Raw_Data!F2875),AVERAGE(Raw_Data!F$2:F$5002),Raw_Data!F2875)</f>
        <v>23395.59</v>
      </c>
      <c r="G2875" s="14" t="str">
        <f>IF(ISBLANK(Raw_Data!G2875),AVERAGE(Raw_Data!G$2:G$5002),Raw_Data!G2875)</f>
        <v>17183.97</v>
      </c>
      <c r="H2875" s="15" t="str">
        <f t="shared" si="1"/>
        <v>132343.00</v>
      </c>
      <c r="I2875" s="14" t="str">
        <f t="shared" si="2"/>
        <v>115159.00</v>
      </c>
      <c r="J2875" s="16" t="str">
        <f>TEXT(Raw_Data!J2875,"MMM-YYY")</f>
        <v>Mar-2025</v>
      </c>
      <c r="K2875" s="13" t="str">
        <f>Raw_Data!K2875</f>
        <v>15</v>
      </c>
      <c r="L2875" s="17" t="str">
        <f>Raw_Data!L2875</f>
        <v>Kolkata-East</v>
      </c>
      <c r="M2875" s="13" t="str">
        <f t="shared" si="3"/>
        <v>OK</v>
      </c>
      <c r="N2875" s="18" t="str">
        <f t="shared" si="4"/>
        <v>VALID</v>
      </c>
    </row>
    <row r="2876" ht="15.75" customHeight="1">
      <c r="A2876" s="13" t="str">
        <f>Raw_Data!A2876</f>
        <v>EMP3025</v>
      </c>
      <c r="B2876" s="13" t="str">
        <f>TRIM(CLEAN(Raw_Data!B2876))</f>
        <v>Marketing</v>
      </c>
      <c r="C2876" s="18" t="s">
        <v>30</v>
      </c>
      <c r="D2876" s="14" t="str">
        <f>IF(ISBLANK(Raw_Data!D2876),AVERAGE(Raw_Data!D$2:D$5002),Raw_Data!D2876)</f>
        <v>81012.68</v>
      </c>
      <c r="E2876" s="15" t="str">
        <f>IF(ISBLANK(Raw_Data!E2876),AVERAGE(Raw_Data!E$2:E$5002),Raw_Data!E2876)</f>
        <v>27950.15</v>
      </c>
      <c r="F2876" s="15" t="str">
        <f>IF(ISBLANK(Raw_Data!F2876),AVERAGE(Raw_Data!F$2:F$5002),Raw_Data!F2876)</f>
        <v>23403.27</v>
      </c>
      <c r="G2876" s="14" t="str">
        <f>IF(ISBLANK(Raw_Data!G2876),AVERAGE(Raw_Data!G$2:G$5002),Raw_Data!G2876)</f>
        <v>17187.37</v>
      </c>
      <c r="H2876" s="15" t="str">
        <f t="shared" si="1"/>
        <v>132366.00</v>
      </c>
      <c r="I2876" s="14" t="str">
        <f t="shared" si="2"/>
        <v>115179.00</v>
      </c>
      <c r="J2876" s="16" t="str">
        <f>TEXT(Raw_Data!J2876,"MMM-YYY")</f>
        <v>Apr-2025</v>
      </c>
      <c r="K2876" s="13" t="str">
        <f>Raw_Data!K2876</f>
        <v>22</v>
      </c>
      <c r="L2876" s="17" t="str">
        <f>Raw_Data!L2876</f>
        <v>Pune-West</v>
      </c>
      <c r="M2876" s="13" t="str">
        <f t="shared" si="3"/>
        <v>OK</v>
      </c>
      <c r="N2876" s="18" t="str">
        <f t="shared" si="4"/>
        <v>VALID</v>
      </c>
    </row>
    <row r="2877" ht="15.75" customHeight="1">
      <c r="A2877" s="13" t="str">
        <f>Raw_Data!A2877</f>
        <v>EMP3026</v>
      </c>
      <c r="B2877" s="13" t="str">
        <f>TRIM(CLEAN(Raw_Data!B2877))</f>
        <v>Sales</v>
      </c>
      <c r="C2877" s="18" t="s">
        <v>14</v>
      </c>
      <c r="D2877" s="14" t="str">
        <f>IF(ISBLANK(Raw_Data!D2877),AVERAGE(Raw_Data!D$2:D$5002),Raw_Data!D2877)</f>
        <v>81023.56</v>
      </c>
      <c r="E2877" s="15" t="str">
        <f>IF(ISBLANK(Raw_Data!E2877),AVERAGE(Raw_Data!E$2:E$5002),Raw_Data!E2877)</f>
        <v>27954.76</v>
      </c>
      <c r="F2877" s="15" t="str">
        <f>IF(ISBLANK(Raw_Data!F2877),AVERAGE(Raw_Data!F$2:F$5002),Raw_Data!F2877)</f>
        <v>23410.95</v>
      </c>
      <c r="G2877" s="14" t="str">
        <f>IF(ISBLANK(Raw_Data!G2877),AVERAGE(Raw_Data!G$2:G$5002),Raw_Data!G2877)</f>
        <v>17190.77</v>
      </c>
      <c r="H2877" s="15" t="str">
        <f t="shared" si="1"/>
        <v>132389.00</v>
      </c>
      <c r="I2877" s="14" t="str">
        <f t="shared" si="2"/>
        <v>115198.00</v>
      </c>
      <c r="J2877" s="16" t="str">
        <f>TEXT(Raw_Data!J2877,"MMM-YYY")</f>
        <v>May-2025</v>
      </c>
      <c r="K2877" s="13" t="str">
        <f>Raw_Data!K2877</f>
        <v>23</v>
      </c>
      <c r="L2877" s="17" t="str">
        <f>Raw_Data!L2877</f>
        <v>Hyderabad-South</v>
      </c>
      <c r="M2877" s="13" t="str">
        <f t="shared" si="3"/>
        <v>OK</v>
      </c>
      <c r="N2877" s="18" t="str">
        <f t="shared" si="4"/>
        <v>VALID</v>
      </c>
    </row>
    <row r="2878" ht="15.75" customHeight="1">
      <c r="A2878" s="13" t="str">
        <f>Raw_Data!A2878</f>
        <v>EMP3027</v>
      </c>
      <c r="B2878" s="13" t="str">
        <f>TRIM(CLEAN(Raw_Data!B2878))</f>
        <v>Sales</v>
      </c>
      <c r="C2878" s="18" t="s">
        <v>54</v>
      </c>
      <c r="D2878" s="14" t="str">
        <f>IF(ISBLANK(Raw_Data!D2878),AVERAGE(Raw_Data!D$2:D$5002),Raw_Data!D2878)</f>
        <v>81034.44</v>
      </c>
      <c r="E2878" s="15" t="str">
        <f>IF(ISBLANK(Raw_Data!E2878),AVERAGE(Raw_Data!E$2:E$5002),Raw_Data!E2878)</f>
        <v>27959.38</v>
      </c>
      <c r="F2878" s="15" t="str">
        <f>IF(ISBLANK(Raw_Data!F2878),AVERAGE(Raw_Data!F$2:F$5002),Raw_Data!F2878)</f>
        <v>23418.63</v>
      </c>
      <c r="G2878" s="14" t="str">
        <f>IF(ISBLANK(Raw_Data!G2878),AVERAGE(Raw_Data!G$2:G$5002),Raw_Data!G2878)</f>
        <v>17194.16</v>
      </c>
      <c r="H2878" s="15" t="str">
        <f t="shared" si="1"/>
        <v>132412.00</v>
      </c>
      <c r="I2878" s="14" t="str">
        <f t="shared" si="2"/>
        <v>115218.00</v>
      </c>
      <c r="J2878" s="16" t="str">
        <f>TEXT(Raw_Data!J2878,"MMM-YYY")</f>
        <v>Jul-2025</v>
      </c>
      <c r="K2878" s="13" t="str">
        <f>Raw_Data!K2878</f>
        <v>21</v>
      </c>
      <c r="L2878" s="17" t="str">
        <f>Raw_Data!L2878</f>
        <v>Chandigarh-North</v>
      </c>
      <c r="M2878" s="13" t="str">
        <f t="shared" si="3"/>
        <v>OK</v>
      </c>
      <c r="N2878" s="18" t="str">
        <f t="shared" si="4"/>
        <v>VALID</v>
      </c>
    </row>
    <row r="2879" ht="15.75" customHeight="1">
      <c r="A2879" s="13" t="str">
        <f>Raw_Data!A2879</f>
        <v>EMP3028</v>
      </c>
      <c r="B2879" s="13" t="str">
        <f>TRIM(CLEAN(Raw_Data!B2879))</f>
        <v>Sales</v>
      </c>
      <c r="C2879" s="18" t="s">
        <v>54</v>
      </c>
      <c r="D2879" s="14" t="str">
        <f>IF(ISBLANK(Raw_Data!D2879),AVERAGE(Raw_Data!D$2:D$5002),Raw_Data!D2879)</f>
        <v>81045.33</v>
      </c>
      <c r="E2879" s="15" t="str">
        <f>IF(ISBLANK(Raw_Data!E2879),AVERAGE(Raw_Data!E$2:E$5002),Raw_Data!E2879)</f>
        <v>27963.99</v>
      </c>
      <c r="F2879" s="15" t="str">
        <f>IF(ISBLANK(Raw_Data!F2879),AVERAGE(Raw_Data!F$2:F$5002),Raw_Data!F2879)</f>
        <v>23426.31</v>
      </c>
      <c r="G2879" s="14" t="str">
        <f>IF(ISBLANK(Raw_Data!G2879),AVERAGE(Raw_Data!G$2:G$5002),Raw_Data!G2879)</f>
        <v>17197.56</v>
      </c>
      <c r="H2879" s="15" t="str">
        <f t="shared" si="1"/>
        <v>132436.00</v>
      </c>
      <c r="I2879" s="14" t="str">
        <f t="shared" si="2"/>
        <v>115238.00</v>
      </c>
      <c r="J2879" s="16" t="str">
        <f>TEXT(Raw_Data!J2879,"MMM-YYY")</f>
        <v>Oct-2025</v>
      </c>
      <c r="K2879" s="13" t="str">
        <f>Raw_Data!K2879</f>
        <v>18</v>
      </c>
      <c r="L2879" s="17" t="str">
        <f>Raw_Data!L2879</f>
        <v>Ahmedabad-West</v>
      </c>
      <c r="M2879" s="13" t="str">
        <f t="shared" si="3"/>
        <v>OK</v>
      </c>
      <c r="N2879" s="18" t="str">
        <f t="shared" si="4"/>
        <v>VALID</v>
      </c>
    </row>
    <row r="2880" ht="15.75" customHeight="1">
      <c r="A2880" s="13" t="str">
        <f>Raw_Data!A2880</f>
        <v>EMP3029</v>
      </c>
      <c r="B2880" s="13" t="str">
        <f>TRIM(CLEAN(Raw_Data!B2880))</f>
        <v>Finance</v>
      </c>
      <c r="C2880" s="18" t="s">
        <v>33</v>
      </c>
      <c r="D2880" s="14" t="str">
        <f>IF(ISBLANK(Raw_Data!D2880),AVERAGE(Raw_Data!D$2:D$5002),Raw_Data!D2880)</f>
        <v>81056.21</v>
      </c>
      <c r="E2880" s="15" t="str">
        <f>IF(ISBLANK(Raw_Data!E2880),AVERAGE(Raw_Data!E$2:E$5002),Raw_Data!E2880)</f>
        <v>27968.61</v>
      </c>
      <c r="F2880" s="15" t="str">
        <f>IF(ISBLANK(Raw_Data!F2880),AVERAGE(Raw_Data!F$2:F$5002),Raw_Data!F2880)</f>
        <v>23433.99</v>
      </c>
      <c r="G2880" s="14" t="str">
        <f>IF(ISBLANK(Raw_Data!G2880),AVERAGE(Raw_Data!G$2:G$5002),Raw_Data!G2880)</f>
        <v>17200.96</v>
      </c>
      <c r="H2880" s="15" t="str">
        <f t="shared" si="1"/>
        <v>132459.00</v>
      </c>
      <c r="I2880" s="14" t="str">
        <f t="shared" si="2"/>
        <v>115258.00</v>
      </c>
      <c r="J2880" s="16" t="str">
        <f>TEXT(Raw_Data!J2880,"MMM-YYY")</f>
        <v>Dec-2025</v>
      </c>
      <c r="K2880" s="13" t="str">
        <f>Raw_Data!K2880</f>
        <v>24</v>
      </c>
      <c r="L2880" s="17" t="str">
        <f>Raw_Data!L2880</f>
        <v>Jaipur-North</v>
      </c>
      <c r="M2880" s="13" t="str">
        <f t="shared" si="3"/>
        <v>OK</v>
      </c>
      <c r="N2880" s="18" t="str">
        <f t="shared" si="4"/>
        <v>VALID</v>
      </c>
    </row>
    <row r="2881" ht="15.75" customHeight="1">
      <c r="A2881" s="13" t="str">
        <f>Raw_Data!A2881</f>
        <v>EMP3030</v>
      </c>
      <c r="B2881" s="13" t="str">
        <f>TRIM(CLEAN(Raw_Data!B2881))</f>
        <v>Customer Support</v>
      </c>
      <c r="C2881" s="18" t="s">
        <v>18</v>
      </c>
      <c r="D2881" s="14" t="str">
        <f>IF(ISBLANK(Raw_Data!D2881),AVERAGE(Raw_Data!D$2:D$5002),Raw_Data!D2881)</f>
        <v>81067.09</v>
      </c>
      <c r="E2881" s="15" t="str">
        <f>IF(ISBLANK(Raw_Data!E2881),AVERAGE(Raw_Data!E$2:E$5002),Raw_Data!E2881)</f>
        <v>27973.22</v>
      </c>
      <c r="F2881" s="15" t="str">
        <f>IF(ISBLANK(Raw_Data!F2881),AVERAGE(Raw_Data!F$2:F$5002),Raw_Data!F2881)</f>
        <v>23441.67</v>
      </c>
      <c r="G2881" s="14" t="str">
        <f>IF(ISBLANK(Raw_Data!G2881),AVERAGE(Raw_Data!G$2:G$5002),Raw_Data!G2881)</f>
        <v>17204.36</v>
      </c>
      <c r="H2881" s="15" t="str">
        <f t="shared" si="1"/>
        <v>132482.00</v>
      </c>
      <c r="I2881" s="14" t="str">
        <f t="shared" si="2"/>
        <v>115278.00</v>
      </c>
      <c r="J2881" s="16" t="str">
        <f>TEXT(Raw_Data!J2881,"MMM-YYY")</f>
        <v>Feb-2025</v>
      </c>
      <c r="K2881" s="13" t="str">
        <f>Raw_Data!K2881</f>
        <v>9</v>
      </c>
      <c r="L2881" s="17" t="str">
        <f>Raw_Data!L2881</f>
        <v>Mumbai-HO</v>
      </c>
      <c r="M2881" s="13" t="str">
        <f t="shared" si="3"/>
        <v>OK</v>
      </c>
      <c r="N2881" s="18" t="str">
        <f t="shared" si="4"/>
        <v>VALID</v>
      </c>
    </row>
    <row r="2882" ht="15.75" customHeight="1">
      <c r="A2882" s="13" t="str">
        <f>Raw_Data!A2882</f>
        <v>EMP3031</v>
      </c>
      <c r="B2882" s="13" t="str">
        <f>TRIM(CLEAN(Raw_Data!B2882))</f>
        <v>Finance</v>
      </c>
      <c r="C2882" s="18" t="s">
        <v>54</v>
      </c>
      <c r="D2882" s="14" t="str">
        <f>IF(ISBLANK(Raw_Data!D2882),AVERAGE(Raw_Data!D$2:D$5002),Raw_Data!D2882)</f>
        <v>81077.98</v>
      </c>
      <c r="E2882" s="15" t="str">
        <f>IF(ISBLANK(Raw_Data!E2882),AVERAGE(Raw_Data!E$2:E$5002),Raw_Data!E2882)</f>
        <v>27977.84</v>
      </c>
      <c r="F2882" s="15" t="str">
        <f>IF(ISBLANK(Raw_Data!F2882),AVERAGE(Raw_Data!F$2:F$5002),Raw_Data!F2882)</f>
        <v>23449.35</v>
      </c>
      <c r="G2882" s="14" t="str">
        <f>IF(ISBLANK(Raw_Data!G2882),AVERAGE(Raw_Data!G$2:G$5002),Raw_Data!G2882)</f>
        <v>17207.76</v>
      </c>
      <c r="H2882" s="15" t="str">
        <f t="shared" si="1"/>
        <v>132505.00</v>
      </c>
      <c r="I2882" s="14" t="str">
        <f t="shared" si="2"/>
        <v>115297.00</v>
      </c>
      <c r="J2882" s="16" t="str">
        <f>TEXT(Raw_Data!J2882,"MMM-YYY")</f>
        <v>Jan-2025</v>
      </c>
      <c r="K2882" s="13" t="str">
        <f>Raw_Data!K2882</f>
        <v>3</v>
      </c>
      <c r="L2882" s="17" t="str">
        <f>Raw_Data!L2882</f>
        <v>Delhi-North</v>
      </c>
      <c r="M2882" s="13" t="str">
        <f t="shared" si="3"/>
        <v>OK</v>
      </c>
      <c r="N2882" s="18" t="str">
        <f t="shared" si="4"/>
        <v>VALID</v>
      </c>
    </row>
    <row r="2883" ht="15.75" customHeight="1">
      <c r="A2883" s="13" t="str">
        <f>Raw_Data!A2883</f>
        <v>EMP3032</v>
      </c>
      <c r="B2883" s="13" t="str">
        <f>TRIM(CLEAN(Raw_Data!B2883))</f>
        <v>HR</v>
      </c>
      <c r="C2883" s="18" t="s">
        <v>14</v>
      </c>
      <c r="D2883" s="14" t="str">
        <f>IF(ISBLANK(Raw_Data!D2883),AVERAGE(Raw_Data!D$2:D$5002),Raw_Data!D2883)</f>
        <v>81088.86</v>
      </c>
      <c r="E2883" s="15" t="str">
        <f>IF(ISBLANK(Raw_Data!E2883),AVERAGE(Raw_Data!E$2:E$5002),Raw_Data!E2883)</f>
        <v>27982.45</v>
      </c>
      <c r="F2883" s="15" t="str">
        <f>IF(ISBLANK(Raw_Data!F2883),AVERAGE(Raw_Data!F$2:F$5002),Raw_Data!F2883)</f>
        <v>23457.03</v>
      </c>
      <c r="G2883" s="14" t="str">
        <f>IF(ISBLANK(Raw_Data!G2883),AVERAGE(Raw_Data!G$2:G$5002),Raw_Data!G2883)</f>
        <v>17211.15</v>
      </c>
      <c r="H2883" s="15" t="str">
        <f t="shared" si="1"/>
        <v>132528.00</v>
      </c>
      <c r="I2883" s="14" t="str">
        <f t="shared" si="2"/>
        <v>115317.00</v>
      </c>
      <c r="J2883" s="16" t="str">
        <f>TEXT(Raw_Data!J2883,"MMM-YYY")</f>
        <v>Feb-2025</v>
      </c>
      <c r="K2883" s="13" t="str">
        <f>Raw_Data!K2883</f>
        <v>20</v>
      </c>
      <c r="L2883" s="17" t="str">
        <f>Raw_Data!L2883</f>
        <v>Bangalore-South</v>
      </c>
      <c r="M2883" s="13" t="str">
        <f t="shared" si="3"/>
        <v>OK</v>
      </c>
      <c r="N2883" s="18" t="str">
        <f t="shared" si="4"/>
        <v>VALID</v>
      </c>
    </row>
    <row r="2884" ht="15.75" customHeight="1">
      <c r="A2884" s="13" t="str">
        <f>Raw_Data!A2884</f>
        <v>EMP3033</v>
      </c>
      <c r="B2884" s="13" t="str">
        <f>TRIM(CLEAN(Raw_Data!B2884))</f>
        <v>Customer Support</v>
      </c>
      <c r="C2884" s="18" t="s">
        <v>54</v>
      </c>
      <c r="D2884" s="14" t="str">
        <f>IF(ISBLANK(Raw_Data!D2884),AVERAGE(Raw_Data!D$2:D$5002),Raw_Data!D2884)</f>
        <v>81099.74</v>
      </c>
      <c r="E2884" s="15" t="str">
        <f>IF(ISBLANK(Raw_Data!E2884),AVERAGE(Raw_Data!E$2:E$5002),Raw_Data!E2884)</f>
        <v>27987.06</v>
      </c>
      <c r="F2884" s="15" t="str">
        <f>IF(ISBLANK(Raw_Data!F2884),AVERAGE(Raw_Data!F$2:F$5002),Raw_Data!F2884)</f>
        <v>23464.71</v>
      </c>
      <c r="G2884" s="14" t="str">
        <f>IF(ISBLANK(Raw_Data!G2884),AVERAGE(Raw_Data!G$2:G$5002),Raw_Data!G2884)</f>
        <v>17214.55</v>
      </c>
      <c r="H2884" s="15" t="str">
        <f t="shared" si="1"/>
        <v>132552.00</v>
      </c>
      <c r="I2884" s="14" t="str">
        <f t="shared" si="2"/>
        <v>115337.00</v>
      </c>
      <c r="J2884" s="16" t="str">
        <f>TEXT(Raw_Data!J2884,"MMM-YYY")</f>
        <v>Mar-2025</v>
      </c>
      <c r="K2884" s="13" t="str">
        <f>Raw_Data!K2884</f>
        <v>3</v>
      </c>
      <c r="L2884" s="17" t="str">
        <f>Raw_Data!L2884</f>
        <v>Chennai-South</v>
      </c>
      <c r="M2884" s="13" t="str">
        <f t="shared" si="3"/>
        <v>OK</v>
      </c>
      <c r="N2884" s="18" t="str">
        <f t="shared" si="4"/>
        <v>VALID</v>
      </c>
    </row>
    <row r="2885" ht="15.75" customHeight="1">
      <c r="A2885" s="13" t="str">
        <f>Raw_Data!A2885</f>
        <v>EMP3034</v>
      </c>
      <c r="B2885" s="13" t="str">
        <f>TRIM(CLEAN(Raw_Data!B2885))</f>
        <v>IT</v>
      </c>
      <c r="C2885" s="18" t="s">
        <v>37</v>
      </c>
      <c r="D2885" s="14" t="str">
        <f>IF(ISBLANK(Raw_Data!D2885),AVERAGE(Raw_Data!D$2:D$5002),Raw_Data!D2885)</f>
        <v>81110.63</v>
      </c>
      <c r="E2885" s="15" t="str">
        <f>IF(ISBLANK(Raw_Data!E2885),AVERAGE(Raw_Data!E$2:E$5002),Raw_Data!E2885)</f>
        <v>27991.68</v>
      </c>
      <c r="F2885" s="15" t="str">
        <f>IF(ISBLANK(Raw_Data!F2885),AVERAGE(Raw_Data!F$2:F$5002),Raw_Data!F2885)</f>
        <v>23472.39</v>
      </c>
      <c r="G2885" s="14" t="str">
        <f>IF(ISBLANK(Raw_Data!G2885),AVERAGE(Raw_Data!G$2:G$5002),Raw_Data!G2885)</f>
        <v>17217.95</v>
      </c>
      <c r="H2885" s="15" t="str">
        <f t="shared" si="1"/>
        <v>132575.00</v>
      </c>
      <c r="I2885" s="14" t="str">
        <f t="shared" si="2"/>
        <v>115357.00</v>
      </c>
      <c r="J2885" s="16" t="str">
        <f>TEXT(Raw_Data!J2885,"MMM-YYY")</f>
        <v>Aug-2025</v>
      </c>
      <c r="K2885" s="13" t="str">
        <f>Raw_Data!K2885</f>
        <v>14</v>
      </c>
      <c r="L2885" s="17" t="str">
        <f>Raw_Data!L2885</f>
        <v>Kolkata-East</v>
      </c>
      <c r="M2885" s="13" t="str">
        <f t="shared" si="3"/>
        <v>OK</v>
      </c>
      <c r="N2885" s="18" t="str">
        <f t="shared" si="4"/>
        <v>VALID</v>
      </c>
    </row>
    <row r="2886" ht="15.75" customHeight="1">
      <c r="A2886" s="13" t="str">
        <f>Raw_Data!A2886</f>
        <v>EMP3035</v>
      </c>
      <c r="B2886" s="13" t="str">
        <f>TRIM(CLEAN(Raw_Data!B2886))</f>
        <v>Sales</v>
      </c>
      <c r="C2886" s="18" t="s">
        <v>18</v>
      </c>
      <c r="D2886" s="14" t="str">
        <f>IF(ISBLANK(Raw_Data!D2886),AVERAGE(Raw_Data!D$2:D$5002),Raw_Data!D2886)</f>
        <v>81121.51</v>
      </c>
      <c r="E2886" s="15" t="str">
        <f>IF(ISBLANK(Raw_Data!E2886),AVERAGE(Raw_Data!E$2:E$5002),Raw_Data!E2886)</f>
        <v>27996.29</v>
      </c>
      <c r="F2886" s="15" t="str">
        <f>IF(ISBLANK(Raw_Data!F2886),AVERAGE(Raw_Data!F$2:F$5002),Raw_Data!F2886)</f>
        <v>23480.07</v>
      </c>
      <c r="G2886" s="14" t="str">
        <f>IF(ISBLANK(Raw_Data!G2886),AVERAGE(Raw_Data!G$2:G$5002),Raw_Data!G2886)</f>
        <v>17221.35</v>
      </c>
      <c r="H2886" s="15" t="str">
        <f t="shared" si="1"/>
        <v>132598.00</v>
      </c>
      <c r="I2886" s="14" t="str">
        <f t="shared" si="2"/>
        <v>115377.00</v>
      </c>
      <c r="J2886" s="16" t="str">
        <f>TEXT(Raw_Data!J2886,"MMM-YYY")</f>
        <v>Aug-2025</v>
      </c>
      <c r="K2886" s="13" t="str">
        <f>Raw_Data!K2886</f>
        <v>24</v>
      </c>
      <c r="L2886" s="17" t="str">
        <f>Raw_Data!L2886</f>
        <v>Pune-West</v>
      </c>
      <c r="M2886" s="13" t="str">
        <f t="shared" si="3"/>
        <v>OK</v>
      </c>
      <c r="N2886" s="18" t="str">
        <f t="shared" si="4"/>
        <v>VALID</v>
      </c>
    </row>
    <row r="2887" ht="15.75" customHeight="1">
      <c r="A2887" s="13" t="str">
        <f>Raw_Data!A2887</f>
        <v>EMP3036</v>
      </c>
      <c r="B2887" s="13" t="str">
        <f>TRIM(CLEAN(Raw_Data!B2887))</f>
        <v>Marketing</v>
      </c>
      <c r="C2887" s="18" t="s">
        <v>26</v>
      </c>
      <c r="D2887" s="14" t="str">
        <f>IF(ISBLANK(Raw_Data!D2887),AVERAGE(Raw_Data!D$2:D$5002),Raw_Data!D2887)</f>
        <v>81132.39</v>
      </c>
      <c r="E2887" s="15" t="str">
        <f>IF(ISBLANK(Raw_Data!E2887),AVERAGE(Raw_Data!E$2:E$5002),Raw_Data!E2887)</f>
        <v>28000.91</v>
      </c>
      <c r="F2887" s="15" t="str">
        <f>IF(ISBLANK(Raw_Data!F2887),AVERAGE(Raw_Data!F$2:F$5002),Raw_Data!F2887)</f>
        <v>23487.75</v>
      </c>
      <c r="G2887" s="14" t="str">
        <f>IF(ISBLANK(Raw_Data!G2887),AVERAGE(Raw_Data!G$2:G$5002),Raw_Data!G2887)</f>
        <v>17224.74</v>
      </c>
      <c r="H2887" s="15" t="str">
        <f t="shared" si="1"/>
        <v>132621.00</v>
      </c>
      <c r="I2887" s="14" t="str">
        <f t="shared" si="2"/>
        <v>115396.00</v>
      </c>
      <c r="J2887" s="16" t="str">
        <f>TEXT(Raw_Data!J2887,"MMM-YYY")</f>
        <v>Feb-2025</v>
      </c>
      <c r="K2887" s="13" t="str">
        <f>Raw_Data!K2887</f>
        <v>15</v>
      </c>
      <c r="L2887" s="17" t="str">
        <f>Raw_Data!L2887</f>
        <v>Hyderabad-South</v>
      </c>
      <c r="M2887" s="13" t="str">
        <f t="shared" si="3"/>
        <v>OK</v>
      </c>
      <c r="N2887" s="18" t="str">
        <f t="shared" si="4"/>
        <v>VALID</v>
      </c>
    </row>
    <row r="2888" ht="15.75" customHeight="1">
      <c r="A2888" s="13" t="str">
        <f>Raw_Data!A2888</f>
        <v>EMP3037</v>
      </c>
      <c r="B2888" s="13" t="str">
        <f>TRIM(CLEAN(Raw_Data!B2888))</f>
        <v>Customer Support</v>
      </c>
      <c r="C2888" s="18" t="s">
        <v>14</v>
      </c>
      <c r="D2888" s="14" t="str">
        <f>IF(ISBLANK(Raw_Data!D2888),AVERAGE(Raw_Data!D$2:D$5002),Raw_Data!D2888)</f>
        <v>81143.27</v>
      </c>
      <c r="E2888" s="15" t="str">
        <f>IF(ISBLANK(Raw_Data!E2888),AVERAGE(Raw_Data!E$2:E$5002),Raw_Data!E2888)</f>
        <v>28005.52</v>
      </c>
      <c r="F2888" s="15" t="str">
        <f>IF(ISBLANK(Raw_Data!F2888),AVERAGE(Raw_Data!F$2:F$5002),Raw_Data!F2888)</f>
        <v>23495.43</v>
      </c>
      <c r="G2888" s="14" t="str">
        <f>IF(ISBLANK(Raw_Data!G2888),AVERAGE(Raw_Data!G$2:G$5002),Raw_Data!G2888)</f>
        <v>17228.14</v>
      </c>
      <c r="H2888" s="15" t="str">
        <f t="shared" si="1"/>
        <v>132644.00</v>
      </c>
      <c r="I2888" s="14" t="str">
        <f t="shared" si="2"/>
        <v>115416.00</v>
      </c>
      <c r="J2888" s="16" t="str">
        <f>TEXT(Raw_Data!J2888,"MMM-YYY")</f>
        <v>Sep-2025</v>
      </c>
      <c r="K2888" s="13" t="str">
        <f>Raw_Data!K2888</f>
        <v>21</v>
      </c>
      <c r="L2888" s="17" t="str">
        <f>Raw_Data!L2888</f>
        <v>Chandigarh-North</v>
      </c>
      <c r="M2888" s="13" t="str">
        <f t="shared" si="3"/>
        <v>OK</v>
      </c>
      <c r="N2888" s="18" t="str">
        <f t="shared" si="4"/>
        <v>VALID</v>
      </c>
    </row>
    <row r="2889" ht="15.75" customHeight="1">
      <c r="A2889" s="13" t="str">
        <f>Raw_Data!A2889</f>
        <v>EMP3038</v>
      </c>
      <c r="B2889" s="13" t="s">
        <v>29</v>
      </c>
      <c r="C2889" s="18" t="s">
        <v>26</v>
      </c>
      <c r="D2889" s="14" t="str">
        <f>IF(ISBLANK(Raw_Data!D2889),AVERAGE(Raw_Data!D$2:D$5002),Raw_Data!D2889)</f>
        <v>81154.16</v>
      </c>
      <c r="E2889" s="15" t="str">
        <f>IF(ISBLANK(Raw_Data!E2889),AVERAGE(Raw_Data!E$2:E$5002),Raw_Data!E2889)</f>
        <v>28010.14</v>
      </c>
      <c r="F2889" s="15" t="str">
        <f>IF(ISBLANK(Raw_Data!F2889),AVERAGE(Raw_Data!F$2:F$5002),Raw_Data!F2889)</f>
        <v>23503.11</v>
      </c>
      <c r="G2889" s="14" t="str">
        <f>IF(ISBLANK(Raw_Data!G2889),AVERAGE(Raw_Data!G$2:G$5002),Raw_Data!G2889)</f>
        <v>17231.54</v>
      </c>
      <c r="H2889" s="15" t="str">
        <f t="shared" si="1"/>
        <v>132667.00</v>
      </c>
      <c r="I2889" s="14" t="str">
        <f t="shared" si="2"/>
        <v>115435.00</v>
      </c>
      <c r="J2889" s="16" t="str">
        <f>TEXT(Raw_Data!J2889,"MMM-YYY")</f>
        <v>Jan-2025</v>
      </c>
      <c r="K2889" s="13" t="str">
        <f>Raw_Data!K2889</f>
        <v>9</v>
      </c>
      <c r="L2889" s="17" t="str">
        <f>Raw_Data!L2889</f>
        <v>Ahmedabad-West</v>
      </c>
      <c r="M2889" s="13" t="str">
        <f t="shared" si="3"/>
        <v>OK</v>
      </c>
      <c r="N2889" s="18" t="str">
        <f t="shared" si="4"/>
        <v>VALID</v>
      </c>
    </row>
    <row r="2890" ht="15.75" customHeight="1">
      <c r="A2890" s="13" t="str">
        <f>Raw_Data!A2890</f>
        <v>EMP3039</v>
      </c>
      <c r="B2890" s="13" t="str">
        <f>TRIM(CLEAN(Raw_Data!B2890))</f>
        <v>HR</v>
      </c>
      <c r="C2890" s="18" t="s">
        <v>18</v>
      </c>
      <c r="D2890" s="14" t="str">
        <f>IF(ISBLANK(Raw_Data!D2890),AVERAGE(Raw_Data!D$2:D$5002),Raw_Data!D2890)</f>
        <v>81165.04</v>
      </c>
      <c r="E2890" s="15" t="str">
        <f>IF(ISBLANK(Raw_Data!E2890),AVERAGE(Raw_Data!E$2:E$5002),Raw_Data!E2890)</f>
        <v>28014.75</v>
      </c>
      <c r="F2890" s="15" t="str">
        <f>IF(ISBLANK(Raw_Data!F2890),AVERAGE(Raw_Data!F$2:F$5002),Raw_Data!F2890)</f>
        <v>23510.79</v>
      </c>
      <c r="G2890" s="14" t="str">
        <f>IF(ISBLANK(Raw_Data!G2890),AVERAGE(Raw_Data!G$2:G$5002),Raw_Data!G2890)</f>
        <v>17234.94</v>
      </c>
      <c r="H2890" s="15" t="str">
        <f t="shared" si="1"/>
        <v>132691.00</v>
      </c>
      <c r="I2890" s="14" t="str">
        <f t="shared" si="2"/>
        <v>115456.00</v>
      </c>
      <c r="J2890" s="16" t="str">
        <f>TEXT(Raw_Data!J2890,"MMM-YYY")</f>
        <v>Feb-2025</v>
      </c>
      <c r="K2890" s="13" t="str">
        <f>Raw_Data!K2890</f>
        <v>13</v>
      </c>
      <c r="L2890" s="17" t="str">
        <f>Raw_Data!L2890</f>
        <v>Jaipur-North</v>
      </c>
      <c r="M2890" s="13" t="str">
        <f t="shared" si="3"/>
        <v>OK</v>
      </c>
      <c r="N2890" s="18" t="str">
        <f t="shared" si="4"/>
        <v>VALID</v>
      </c>
    </row>
    <row r="2891" ht="15.75" customHeight="1">
      <c r="A2891" s="13" t="str">
        <f>Raw_Data!A2891</f>
        <v>EMP3040</v>
      </c>
      <c r="B2891" s="13" t="str">
        <f>TRIM(CLEAN(Raw_Data!B2891))</f>
        <v>HR</v>
      </c>
      <c r="C2891" s="18" t="s">
        <v>33</v>
      </c>
      <c r="D2891" s="14" t="str">
        <f>IF(ISBLANK(Raw_Data!D2891),AVERAGE(Raw_Data!D$2:D$5002),Raw_Data!D2891)</f>
        <v>81175.92</v>
      </c>
      <c r="E2891" s="15" t="str">
        <f>IF(ISBLANK(Raw_Data!E2891),AVERAGE(Raw_Data!E$2:E$5002),Raw_Data!E2891)</f>
        <v>28019.37</v>
      </c>
      <c r="F2891" s="15" t="str">
        <f>IF(ISBLANK(Raw_Data!F2891),AVERAGE(Raw_Data!F$2:F$5002),Raw_Data!F2891)</f>
        <v>23518.47</v>
      </c>
      <c r="G2891" s="14" t="str">
        <f>IF(ISBLANK(Raw_Data!G2891),AVERAGE(Raw_Data!G$2:G$5002),Raw_Data!G2891)</f>
        <v>17238.33</v>
      </c>
      <c r="H2891" s="15" t="str">
        <f t="shared" si="1"/>
        <v>132714.00</v>
      </c>
      <c r="I2891" s="14" t="str">
        <f t="shared" si="2"/>
        <v>115476.00</v>
      </c>
      <c r="J2891" s="16" t="str">
        <f>TEXT(Raw_Data!J2891,"MMM-YYY")</f>
        <v>Dec-2025</v>
      </c>
      <c r="K2891" s="13" t="str">
        <f>Raw_Data!K2891</f>
        <v>17</v>
      </c>
      <c r="L2891" s="17" t="str">
        <f>Raw_Data!L2891</f>
        <v>Mumbai-HO</v>
      </c>
      <c r="M2891" s="13" t="str">
        <f t="shared" si="3"/>
        <v>OK</v>
      </c>
      <c r="N2891" s="18" t="str">
        <f t="shared" si="4"/>
        <v>VALID</v>
      </c>
    </row>
    <row r="2892" ht="15.75" customHeight="1">
      <c r="A2892" s="13" t="str">
        <f>Raw_Data!A2892</f>
        <v>EMP3041</v>
      </c>
      <c r="B2892" s="13" t="str">
        <f>TRIM(CLEAN(Raw_Data!B2892))</f>
        <v>Marketing</v>
      </c>
      <c r="C2892" s="18" t="s">
        <v>18</v>
      </c>
      <c r="D2892" s="14" t="str">
        <f>IF(ISBLANK(Raw_Data!D2892),AVERAGE(Raw_Data!D$2:D$5002),Raw_Data!D2892)</f>
        <v>81186.81</v>
      </c>
      <c r="E2892" s="15" t="str">
        <f>IF(ISBLANK(Raw_Data!E2892),AVERAGE(Raw_Data!E$2:E$5002),Raw_Data!E2892)</f>
        <v>28023.98</v>
      </c>
      <c r="F2892" s="15" t="str">
        <f>IF(ISBLANK(Raw_Data!F2892),AVERAGE(Raw_Data!F$2:F$5002),Raw_Data!F2892)</f>
        <v>23526.15</v>
      </c>
      <c r="G2892" s="14" t="str">
        <f>IF(ISBLANK(Raw_Data!G2892),AVERAGE(Raw_Data!G$2:G$5002),Raw_Data!G2892)</f>
        <v>17241.73</v>
      </c>
      <c r="H2892" s="15" t="str">
        <f t="shared" si="1"/>
        <v>132737.00</v>
      </c>
      <c r="I2892" s="14" t="str">
        <f t="shared" si="2"/>
        <v>115495.00</v>
      </c>
      <c r="J2892" s="16" t="str">
        <f>TEXT(Raw_Data!J2892,"MMM-YYY")</f>
        <v>Jul-2025</v>
      </c>
      <c r="K2892" s="13" t="str">
        <f>Raw_Data!K2892</f>
        <v>11</v>
      </c>
      <c r="L2892" s="17" t="str">
        <f>Raw_Data!L2892</f>
        <v>Delhi-North</v>
      </c>
      <c r="M2892" s="13" t="str">
        <f t="shared" si="3"/>
        <v>OK</v>
      </c>
      <c r="N2892" s="18" t="str">
        <f t="shared" si="4"/>
        <v>VALID</v>
      </c>
    </row>
    <row r="2893" ht="15.75" customHeight="1">
      <c r="A2893" s="13" t="str">
        <f>Raw_Data!A2893</f>
        <v>EMP3043</v>
      </c>
      <c r="B2893" s="13" t="str">
        <f>TRIM(CLEAN(Raw_Data!B2893))</f>
        <v>Operations</v>
      </c>
      <c r="C2893" s="18" t="s">
        <v>18</v>
      </c>
      <c r="D2893" s="14" t="str">
        <f>IF(ISBLANK(Raw_Data!D2893),AVERAGE(Raw_Data!D$2:D$5002),Raw_Data!D2893)</f>
        <v>81208.57</v>
      </c>
      <c r="E2893" s="15" t="str">
        <f>IF(ISBLANK(Raw_Data!E2893),AVERAGE(Raw_Data!E$2:E$5002),Raw_Data!E2893)</f>
        <v>28033.21</v>
      </c>
      <c r="F2893" s="15" t="str">
        <f>IF(ISBLANK(Raw_Data!F2893),AVERAGE(Raw_Data!F$2:F$5002),Raw_Data!F2893)</f>
        <v>23541.51</v>
      </c>
      <c r="G2893" s="14" t="str">
        <f>IF(ISBLANK(Raw_Data!G2893),AVERAGE(Raw_Data!G$2:G$5002),Raw_Data!G2893)</f>
        <v>17248.53</v>
      </c>
      <c r="H2893" s="15" t="str">
        <f t="shared" si="1"/>
        <v>132783.00</v>
      </c>
      <c r="I2893" s="14" t="str">
        <f t="shared" si="2"/>
        <v>115534.00</v>
      </c>
      <c r="J2893" s="16" t="str">
        <f>TEXT(Raw_Data!J2893,"MMM-YYY")</f>
        <v>Feb-2025</v>
      </c>
      <c r="K2893" s="13" t="str">
        <f>Raw_Data!K2893</f>
        <v>19</v>
      </c>
      <c r="L2893" s="17" t="str">
        <f>Raw_Data!L2893</f>
        <v>Chennai-South</v>
      </c>
      <c r="M2893" s="13" t="str">
        <f t="shared" si="3"/>
        <v>OK</v>
      </c>
      <c r="N2893" s="18" t="str">
        <f t="shared" si="4"/>
        <v>VALID</v>
      </c>
    </row>
    <row r="2894" ht="15.75" customHeight="1">
      <c r="A2894" s="13" t="str">
        <f>Raw_Data!A2894</f>
        <v>EMP3044</v>
      </c>
      <c r="B2894" s="13" t="str">
        <f>TRIM(CLEAN(Raw_Data!B2894))</f>
        <v>Operations</v>
      </c>
      <c r="C2894" s="18" t="s">
        <v>26</v>
      </c>
      <c r="D2894" s="14" t="str">
        <f>IF(ISBLANK(Raw_Data!D2894),AVERAGE(Raw_Data!D$2:D$5002),Raw_Data!D2894)</f>
        <v>81219.45</v>
      </c>
      <c r="E2894" s="15" t="str">
        <f>IF(ISBLANK(Raw_Data!E2894),AVERAGE(Raw_Data!E$2:E$5002),Raw_Data!E2894)</f>
        <v>28037.83</v>
      </c>
      <c r="F2894" s="15" t="str">
        <f>IF(ISBLANK(Raw_Data!F2894),AVERAGE(Raw_Data!F$2:F$5002),Raw_Data!F2894)</f>
        <v>23549.19</v>
      </c>
      <c r="G2894" s="14" t="str">
        <f>IF(ISBLANK(Raw_Data!G2894),AVERAGE(Raw_Data!G$2:G$5002),Raw_Data!G2894)</f>
        <v>17251.92</v>
      </c>
      <c r="H2894" s="15" t="str">
        <f t="shared" si="1"/>
        <v>132806.00</v>
      </c>
      <c r="I2894" s="14" t="str">
        <f t="shared" si="2"/>
        <v>115554.00</v>
      </c>
      <c r="J2894" s="16" t="str">
        <f>TEXT(Raw_Data!J2894,"MMM-YYY")</f>
        <v>Feb-2025</v>
      </c>
      <c r="K2894" s="13" t="str">
        <f>Raw_Data!K2894</f>
        <v>25</v>
      </c>
      <c r="L2894" s="17" t="str">
        <f>Raw_Data!L2894</f>
        <v>Kolkata-East</v>
      </c>
      <c r="M2894" s="13" t="str">
        <f t="shared" si="3"/>
        <v>OK</v>
      </c>
      <c r="N2894" s="18" t="str">
        <f t="shared" si="4"/>
        <v>VALID</v>
      </c>
    </row>
    <row r="2895" ht="15.75" customHeight="1">
      <c r="A2895" s="13" t="str">
        <f>Raw_Data!A2895</f>
        <v>EMP3045</v>
      </c>
      <c r="B2895" s="13" t="str">
        <f>TRIM(CLEAN(Raw_Data!B2895))</f>
        <v>HR</v>
      </c>
      <c r="C2895" s="18" t="s">
        <v>18</v>
      </c>
      <c r="D2895" s="14" t="str">
        <f>IF(ISBLANK(Raw_Data!D2895),AVERAGE(Raw_Data!D$2:D$5002),Raw_Data!D2895)</f>
        <v>81230.34</v>
      </c>
      <c r="E2895" s="15" t="str">
        <f>IF(ISBLANK(Raw_Data!E2895),AVERAGE(Raw_Data!E$2:E$5002),Raw_Data!E2895)</f>
        <v>28042.44</v>
      </c>
      <c r="F2895" s="15" t="str">
        <f>IF(ISBLANK(Raw_Data!F2895),AVERAGE(Raw_Data!F$2:F$5002),Raw_Data!F2895)</f>
        <v>23556.87</v>
      </c>
      <c r="G2895" s="14" t="str">
        <f>IF(ISBLANK(Raw_Data!G2895),AVERAGE(Raw_Data!G$2:G$5002),Raw_Data!G2895)</f>
        <v>17255.32</v>
      </c>
      <c r="H2895" s="15" t="str">
        <f t="shared" si="1"/>
        <v>132830.00</v>
      </c>
      <c r="I2895" s="14" t="str">
        <f t="shared" si="2"/>
        <v>115575.00</v>
      </c>
      <c r="J2895" s="16" t="str">
        <f>TEXT(Raw_Data!J2895,"MMM-YYY")</f>
        <v>Feb-2025</v>
      </c>
      <c r="K2895" s="13" t="str">
        <f>Raw_Data!K2895</f>
        <v>3</v>
      </c>
      <c r="L2895" s="17" t="str">
        <f>Raw_Data!L2895</f>
        <v>Pune-West</v>
      </c>
      <c r="M2895" s="13" t="str">
        <f t="shared" si="3"/>
        <v>OK</v>
      </c>
      <c r="N2895" s="18" t="str">
        <f t="shared" si="4"/>
        <v>VALID</v>
      </c>
    </row>
    <row r="2896" ht="15.75" customHeight="1">
      <c r="A2896" s="13" t="str">
        <f>Raw_Data!A2896</f>
        <v>EMP3046</v>
      </c>
      <c r="B2896" s="13" t="str">
        <f>TRIM(CLEAN(Raw_Data!B2896))</f>
        <v>HR</v>
      </c>
      <c r="C2896" s="18" t="s">
        <v>37</v>
      </c>
      <c r="D2896" s="14" t="str">
        <f>IF(ISBLANK(Raw_Data!D2896),AVERAGE(Raw_Data!D$2:D$5002),Raw_Data!D2896)</f>
        <v>81241.22</v>
      </c>
      <c r="E2896" s="15" t="str">
        <f>IF(ISBLANK(Raw_Data!E2896),AVERAGE(Raw_Data!E$2:E$5002),Raw_Data!E2896)</f>
        <v>28047.06</v>
      </c>
      <c r="F2896" s="15" t="str">
        <f>IF(ISBLANK(Raw_Data!F2896),AVERAGE(Raw_Data!F$2:F$5002),Raw_Data!F2896)</f>
        <v>23564.55</v>
      </c>
      <c r="G2896" s="14" t="str">
        <f>IF(ISBLANK(Raw_Data!G2896),AVERAGE(Raw_Data!G$2:G$5002),Raw_Data!G2896)</f>
        <v>17258.72</v>
      </c>
      <c r="H2896" s="15" t="str">
        <f t="shared" si="1"/>
        <v>132853.00</v>
      </c>
      <c r="I2896" s="14" t="str">
        <f t="shared" si="2"/>
        <v>115594.00</v>
      </c>
      <c r="J2896" s="16" t="str">
        <f>TEXT(Raw_Data!J2896,"MMM-YYY")</f>
        <v>Mar-2025</v>
      </c>
      <c r="K2896" s="13" t="str">
        <f>Raw_Data!K2896</f>
        <v>1</v>
      </c>
      <c r="L2896" s="17" t="str">
        <f>Raw_Data!L2896</f>
        <v>Hyderabad-South</v>
      </c>
      <c r="M2896" s="13" t="str">
        <f t="shared" si="3"/>
        <v>OK</v>
      </c>
      <c r="N2896" s="18" t="str">
        <f t="shared" si="4"/>
        <v>VALID</v>
      </c>
    </row>
    <row r="2897" ht="15.75" customHeight="1">
      <c r="A2897" s="13" t="str">
        <f>Raw_Data!A2897</f>
        <v>EMP3047</v>
      </c>
      <c r="B2897" s="13" t="str">
        <f>TRIM(CLEAN(Raw_Data!B2897))</f>
        <v>IT</v>
      </c>
      <c r="C2897" s="18" t="s">
        <v>14</v>
      </c>
      <c r="D2897" s="14" t="str">
        <f>IF(ISBLANK(Raw_Data!D2897),AVERAGE(Raw_Data!D$2:D$5002),Raw_Data!D2897)</f>
        <v>81252.10</v>
      </c>
      <c r="E2897" s="15" t="str">
        <f>IF(ISBLANK(Raw_Data!E2897),AVERAGE(Raw_Data!E$2:E$5002),Raw_Data!E2897)</f>
        <v>28051.67</v>
      </c>
      <c r="F2897" s="15" t="str">
        <f>IF(ISBLANK(Raw_Data!F2897),AVERAGE(Raw_Data!F$2:F$5002),Raw_Data!F2897)</f>
        <v>23572.23</v>
      </c>
      <c r="G2897" s="14" t="str">
        <f>IF(ISBLANK(Raw_Data!G2897),AVERAGE(Raw_Data!G$2:G$5002),Raw_Data!G2897)</f>
        <v>17262.12</v>
      </c>
      <c r="H2897" s="15" t="str">
        <f t="shared" si="1"/>
        <v>132876.00</v>
      </c>
      <c r="I2897" s="14" t="str">
        <f t="shared" si="2"/>
        <v>115614.00</v>
      </c>
      <c r="J2897" s="16" t="str">
        <f>TEXT(Raw_Data!J2897,"MMM-YYY")</f>
        <v>May-2025</v>
      </c>
      <c r="K2897" s="13" t="str">
        <f>Raw_Data!K2897</f>
        <v>21</v>
      </c>
      <c r="L2897" s="17" t="str">
        <f>Raw_Data!L2897</f>
        <v>Chandigarh-North</v>
      </c>
      <c r="M2897" s="13" t="str">
        <f t="shared" si="3"/>
        <v>OK</v>
      </c>
      <c r="N2897" s="18" t="str">
        <f t="shared" si="4"/>
        <v>VALID</v>
      </c>
    </row>
    <row r="2898" ht="15.75" customHeight="1">
      <c r="A2898" s="13" t="str">
        <f>Raw_Data!A2898</f>
        <v>EMP3048</v>
      </c>
      <c r="B2898" s="13" t="str">
        <f>TRIM(CLEAN(Raw_Data!B2898))</f>
        <v>Sales</v>
      </c>
      <c r="C2898" s="18" t="s">
        <v>54</v>
      </c>
      <c r="D2898" s="14" t="str">
        <f>IF(ISBLANK(Raw_Data!D2898),AVERAGE(Raw_Data!D$2:D$5002),Raw_Data!D2898)</f>
        <v>81262.99</v>
      </c>
      <c r="E2898" s="15" t="str">
        <f>IF(ISBLANK(Raw_Data!E2898),AVERAGE(Raw_Data!E$2:E$5002),Raw_Data!E2898)</f>
        <v>28056.29</v>
      </c>
      <c r="F2898" s="15" t="str">
        <f>IF(ISBLANK(Raw_Data!F2898),AVERAGE(Raw_Data!F$2:F$5002),Raw_Data!F2898)</f>
        <v>23579.91</v>
      </c>
      <c r="G2898" s="14" t="str">
        <f>IF(ISBLANK(Raw_Data!G2898),AVERAGE(Raw_Data!G$2:G$5002),Raw_Data!G2898)</f>
        <v>17265.51</v>
      </c>
      <c r="H2898" s="15" t="str">
        <f t="shared" si="1"/>
        <v>132899.00</v>
      </c>
      <c r="I2898" s="14" t="str">
        <f t="shared" si="2"/>
        <v>115633.00</v>
      </c>
      <c r="J2898" s="16" t="str">
        <f>TEXT(Raw_Data!J2898,"MMM-YYY")</f>
        <v>Nov-2025</v>
      </c>
      <c r="K2898" s="13" t="str">
        <f>Raw_Data!K2898</f>
        <v>9</v>
      </c>
      <c r="L2898" s="17" t="str">
        <f>Raw_Data!L2898</f>
        <v>Ahmedabad-West</v>
      </c>
      <c r="M2898" s="13" t="str">
        <f t="shared" si="3"/>
        <v>OK</v>
      </c>
      <c r="N2898" s="18" t="str">
        <f t="shared" si="4"/>
        <v>VALID</v>
      </c>
    </row>
    <row r="2899" ht="15.75" customHeight="1">
      <c r="A2899" s="13" t="str">
        <f>Raw_Data!A2899</f>
        <v>EMP3049</v>
      </c>
      <c r="B2899" s="13" t="str">
        <f>TRIM(CLEAN(Raw_Data!B2899))</f>
        <v>Marketing</v>
      </c>
      <c r="C2899" s="18" t="s">
        <v>33</v>
      </c>
      <c r="D2899" s="14" t="str">
        <f>IF(ISBLANK(Raw_Data!D2899),AVERAGE(Raw_Data!D$2:D$5002),Raw_Data!D2899)</f>
        <v>81273.87</v>
      </c>
      <c r="E2899" s="15" t="str">
        <f>IF(ISBLANK(Raw_Data!E2899),AVERAGE(Raw_Data!E$2:E$5002),Raw_Data!E2899)</f>
        <v>28060.90</v>
      </c>
      <c r="F2899" s="15" t="str">
        <f>IF(ISBLANK(Raw_Data!F2899),AVERAGE(Raw_Data!F$2:F$5002),Raw_Data!F2899)</f>
        <v>23587.59</v>
      </c>
      <c r="G2899" s="14" t="str">
        <f>IF(ISBLANK(Raw_Data!G2899),AVERAGE(Raw_Data!G$2:G$5002),Raw_Data!G2899)</f>
        <v>17268.91</v>
      </c>
      <c r="H2899" s="15" t="str">
        <f t="shared" si="1"/>
        <v>132922.00</v>
      </c>
      <c r="I2899" s="14" t="str">
        <f t="shared" si="2"/>
        <v>115653.00</v>
      </c>
      <c r="J2899" s="16" t="str">
        <f>TEXT(Raw_Data!J2899,"MMM-YYY")</f>
        <v>Sep-2025</v>
      </c>
      <c r="K2899" s="13" t="str">
        <f>Raw_Data!K2899</f>
        <v>17</v>
      </c>
      <c r="L2899" s="17" t="str">
        <f>Raw_Data!L2899</f>
        <v>Jaipur-North</v>
      </c>
      <c r="M2899" s="13" t="str">
        <f t="shared" si="3"/>
        <v>OK</v>
      </c>
      <c r="N2899" s="18" t="str">
        <f t="shared" si="4"/>
        <v>VALID</v>
      </c>
    </row>
    <row r="2900" ht="15.75" customHeight="1">
      <c r="A2900" s="13" t="str">
        <f>Raw_Data!A2900</f>
        <v>EMP3050</v>
      </c>
      <c r="B2900" s="13" t="str">
        <f>TRIM(CLEAN(Raw_Data!B2900))</f>
        <v>Operations</v>
      </c>
      <c r="C2900" s="18" t="s">
        <v>37</v>
      </c>
      <c r="D2900" s="14" t="str">
        <f>IF(ISBLANK(Raw_Data!D2900),AVERAGE(Raw_Data!D$2:D$5002),Raw_Data!D2900)</f>
        <v>81284.75</v>
      </c>
      <c r="E2900" s="15" t="str">
        <f>IF(ISBLANK(Raw_Data!E2900),AVERAGE(Raw_Data!E$2:E$5002),Raw_Data!E2900)</f>
        <v>28065.52</v>
      </c>
      <c r="F2900" s="15" t="str">
        <f>IF(ISBLANK(Raw_Data!F2900),AVERAGE(Raw_Data!F$2:F$5002),Raw_Data!F2900)</f>
        <v>23595.27</v>
      </c>
      <c r="G2900" s="14" t="str">
        <f>IF(ISBLANK(Raw_Data!G2900),AVERAGE(Raw_Data!G$2:G$5002),Raw_Data!G2900)</f>
        <v>17272.31</v>
      </c>
      <c r="H2900" s="15" t="str">
        <f t="shared" si="1"/>
        <v>132946.00</v>
      </c>
      <c r="I2900" s="14" t="str">
        <f t="shared" si="2"/>
        <v>115674.00</v>
      </c>
      <c r="J2900" s="16" t="str">
        <f>TEXT(Raw_Data!J2900,"MMM-YYY")</f>
        <v>Nov-2025</v>
      </c>
      <c r="K2900" s="13" t="str">
        <f>Raw_Data!K2900</f>
        <v>19</v>
      </c>
      <c r="L2900" s="17" t="str">
        <f>Raw_Data!L2900</f>
        <v>Mumbai-HO</v>
      </c>
      <c r="M2900" s="13" t="str">
        <f t="shared" si="3"/>
        <v>OK</v>
      </c>
      <c r="N2900" s="18" t="str">
        <f t="shared" si="4"/>
        <v>VALID</v>
      </c>
    </row>
    <row r="2901" ht="15.75" customHeight="1">
      <c r="A2901" s="13" t="str">
        <f>Raw_Data!A2901</f>
        <v>EMP3051</v>
      </c>
      <c r="B2901" s="13" t="str">
        <f>TRIM(CLEAN(Raw_Data!B2901))</f>
        <v>IT</v>
      </c>
      <c r="C2901" s="18" t="s">
        <v>26</v>
      </c>
      <c r="D2901" s="14" t="str">
        <f>IF(ISBLANK(Raw_Data!D2901),AVERAGE(Raw_Data!D$2:D$5002),Raw_Data!D2901)</f>
        <v>81295.64</v>
      </c>
      <c r="E2901" s="15" t="str">
        <f>IF(ISBLANK(Raw_Data!E2901),AVERAGE(Raw_Data!E$2:E$5002),Raw_Data!E2901)</f>
        <v>28070.13</v>
      </c>
      <c r="F2901" s="15" t="str">
        <f>IF(ISBLANK(Raw_Data!F2901),AVERAGE(Raw_Data!F$2:F$5002),Raw_Data!F2901)</f>
        <v>23602.95</v>
      </c>
      <c r="G2901" s="14" t="str">
        <f>IF(ISBLANK(Raw_Data!G2901),AVERAGE(Raw_Data!G$2:G$5002),Raw_Data!G2901)</f>
        <v>17275.71</v>
      </c>
      <c r="H2901" s="15" t="str">
        <f t="shared" si="1"/>
        <v>132969.00</v>
      </c>
      <c r="I2901" s="14" t="str">
        <f t="shared" si="2"/>
        <v>115693.00</v>
      </c>
      <c r="J2901" s="16" t="str">
        <f>TEXT(Raw_Data!J2901,"MMM-YYY")</f>
        <v>Jul-2025</v>
      </c>
      <c r="K2901" s="13" t="str">
        <f>Raw_Data!K2901</f>
        <v>20</v>
      </c>
      <c r="L2901" s="17" t="str">
        <f>Raw_Data!L2901</f>
        <v>Delhi-North</v>
      </c>
      <c r="M2901" s="13" t="str">
        <f t="shared" si="3"/>
        <v>OK</v>
      </c>
      <c r="N2901" s="18" t="str">
        <f t="shared" si="4"/>
        <v>VALID</v>
      </c>
    </row>
    <row r="2902" ht="15.75" customHeight="1">
      <c r="A2902" s="13" t="str">
        <f>Raw_Data!A2902</f>
        <v>EMP3052</v>
      </c>
      <c r="B2902" s="13" t="str">
        <f>TRIM(CLEAN(Raw_Data!B2902))</f>
        <v>HR</v>
      </c>
      <c r="C2902" s="18" t="s">
        <v>26</v>
      </c>
      <c r="D2902" s="14" t="str">
        <f>IF(ISBLANK(Raw_Data!D2902),AVERAGE(Raw_Data!D$2:D$5002),Raw_Data!D2902)</f>
        <v>81306.52</v>
      </c>
      <c r="E2902" s="15" t="str">
        <f>IF(ISBLANK(Raw_Data!E2902),AVERAGE(Raw_Data!E$2:E$5002),Raw_Data!E2902)</f>
        <v>28074.74</v>
      </c>
      <c r="F2902" s="15" t="str">
        <f>IF(ISBLANK(Raw_Data!F2902),AVERAGE(Raw_Data!F$2:F$5002),Raw_Data!F2902)</f>
        <v>23610.63</v>
      </c>
      <c r="G2902" s="14" t="str">
        <f>IF(ISBLANK(Raw_Data!G2902),AVERAGE(Raw_Data!G$2:G$5002),Raw_Data!G2902)</f>
        <v>17279.10</v>
      </c>
      <c r="H2902" s="15" t="str">
        <f t="shared" si="1"/>
        <v>132992.00</v>
      </c>
      <c r="I2902" s="14" t="str">
        <f t="shared" si="2"/>
        <v>115713.00</v>
      </c>
      <c r="J2902" s="16" t="str">
        <f>TEXT(Raw_Data!J2902,"MMM-YYY")</f>
        <v>Oct-2025</v>
      </c>
      <c r="K2902" s="13" t="str">
        <f>Raw_Data!K2902</f>
        <v>20</v>
      </c>
      <c r="L2902" s="17" t="str">
        <f>Raw_Data!L2902</f>
        <v>Bangalore-South</v>
      </c>
      <c r="M2902" s="13" t="str">
        <f t="shared" si="3"/>
        <v>OK</v>
      </c>
      <c r="N2902" s="18" t="str">
        <f t="shared" si="4"/>
        <v>VALID</v>
      </c>
    </row>
    <row r="2903" ht="15.75" customHeight="1">
      <c r="A2903" s="13" t="str">
        <f>Raw_Data!A2903</f>
        <v>EMP3053</v>
      </c>
      <c r="B2903" s="13" t="str">
        <f>TRIM(CLEAN(Raw_Data!B2903))</f>
        <v>Customer Support</v>
      </c>
      <c r="C2903" s="18" t="s">
        <v>54</v>
      </c>
      <c r="D2903" s="14" t="str">
        <f>IF(ISBLANK(Raw_Data!D2903),AVERAGE(Raw_Data!D$2:D$5002),Raw_Data!D2903)</f>
        <v>81317.40</v>
      </c>
      <c r="E2903" s="15" t="str">
        <f>IF(ISBLANK(Raw_Data!E2903),AVERAGE(Raw_Data!E$2:E$5002),Raw_Data!E2903)</f>
        <v>28079.36</v>
      </c>
      <c r="F2903" s="15" t="str">
        <f>IF(ISBLANK(Raw_Data!F2903),AVERAGE(Raw_Data!F$2:F$5002),Raw_Data!F2903)</f>
        <v>23618.31</v>
      </c>
      <c r="G2903" s="14" t="str">
        <f>IF(ISBLANK(Raw_Data!G2903),AVERAGE(Raw_Data!G$2:G$5002),Raw_Data!G2903)</f>
        <v>17282.50</v>
      </c>
      <c r="H2903" s="15" t="str">
        <f t="shared" si="1"/>
        <v>133015.00</v>
      </c>
      <c r="I2903" s="14" t="str">
        <f t="shared" si="2"/>
        <v>115732.00</v>
      </c>
      <c r="J2903" s="16" t="str">
        <f>TEXT(Raw_Data!J2903,"MMM-YYY")</f>
        <v>Mar-2025</v>
      </c>
      <c r="K2903" s="13" t="str">
        <f>Raw_Data!K2903</f>
        <v>3</v>
      </c>
      <c r="L2903" s="17" t="str">
        <f>Raw_Data!L2903</f>
        <v>Chennai-South</v>
      </c>
      <c r="M2903" s="13" t="str">
        <f t="shared" si="3"/>
        <v>OK</v>
      </c>
      <c r="N2903" s="18" t="str">
        <f t="shared" si="4"/>
        <v>VALID</v>
      </c>
    </row>
    <row r="2904" ht="15.75" customHeight="1">
      <c r="A2904" s="13" t="str">
        <f>Raw_Data!A2904</f>
        <v>EMP3054</v>
      </c>
      <c r="B2904" s="13" t="str">
        <f>TRIM(CLEAN(Raw_Data!B2904))</f>
        <v>Customer Support</v>
      </c>
      <c r="C2904" s="18" t="s">
        <v>30</v>
      </c>
      <c r="D2904" s="14" t="str">
        <f>IF(ISBLANK(Raw_Data!D2904),AVERAGE(Raw_Data!D$2:D$5002),Raw_Data!D2904)</f>
        <v>81328.28</v>
      </c>
      <c r="E2904" s="15" t="str">
        <f>IF(ISBLANK(Raw_Data!E2904),AVERAGE(Raw_Data!E$2:E$5002),Raw_Data!E2904)</f>
        <v>28083.97</v>
      </c>
      <c r="F2904" s="15" t="str">
        <f>IF(ISBLANK(Raw_Data!F2904),AVERAGE(Raw_Data!F$2:F$5002),Raw_Data!F2904)</f>
        <v>23625.99</v>
      </c>
      <c r="G2904" s="14" t="str">
        <f>IF(ISBLANK(Raw_Data!G2904),AVERAGE(Raw_Data!G$2:G$5002),Raw_Data!G2904)</f>
        <v>17285.90</v>
      </c>
      <c r="H2904" s="15" t="str">
        <f t="shared" si="1"/>
        <v>133038.00</v>
      </c>
      <c r="I2904" s="14" t="str">
        <f t="shared" si="2"/>
        <v>115752.00</v>
      </c>
      <c r="J2904" s="16" t="str">
        <f>TEXT(Raw_Data!J2904,"MMM-YYY")</f>
        <v>Nov-2025</v>
      </c>
      <c r="K2904" s="13" t="str">
        <f>Raw_Data!K2904</f>
        <v>6</v>
      </c>
      <c r="L2904" s="17" t="str">
        <f>Raw_Data!L2904</f>
        <v>Kolkata-East</v>
      </c>
      <c r="M2904" s="13" t="str">
        <f t="shared" si="3"/>
        <v>OK</v>
      </c>
      <c r="N2904" s="18" t="str">
        <f t="shared" si="4"/>
        <v>VALID</v>
      </c>
    </row>
    <row r="2905" ht="15.75" customHeight="1">
      <c r="A2905" s="13" t="str">
        <f>Raw_Data!A2905</f>
        <v>EMP3055</v>
      </c>
      <c r="B2905" s="13" t="str">
        <f>TRIM(CLEAN(Raw_Data!B2905))</f>
        <v>Sales</v>
      </c>
      <c r="C2905" s="18" t="s">
        <v>26</v>
      </c>
      <c r="D2905" s="14" t="str">
        <f>IF(ISBLANK(Raw_Data!D2905),AVERAGE(Raw_Data!D$2:D$5002),Raw_Data!D2905)</f>
        <v>81339.17</v>
      </c>
      <c r="E2905" s="15" t="str">
        <f>IF(ISBLANK(Raw_Data!E2905),AVERAGE(Raw_Data!E$2:E$5002),Raw_Data!E2905)</f>
        <v>28088.59</v>
      </c>
      <c r="F2905" s="15" t="str">
        <f>IF(ISBLANK(Raw_Data!F2905),AVERAGE(Raw_Data!F$2:F$5002),Raw_Data!F2905)</f>
        <v>23633.67</v>
      </c>
      <c r="G2905" s="14" t="str">
        <f>IF(ISBLANK(Raw_Data!G2905),AVERAGE(Raw_Data!G$2:G$5002),Raw_Data!G2905)</f>
        <v>17289.30</v>
      </c>
      <c r="H2905" s="15" t="str">
        <f t="shared" si="1"/>
        <v>133061.00</v>
      </c>
      <c r="I2905" s="14" t="str">
        <f t="shared" si="2"/>
        <v>115772.00</v>
      </c>
      <c r="J2905" s="16" t="str">
        <f>TEXT(Raw_Data!J2905,"MMM-YYY")</f>
        <v>May-2025</v>
      </c>
      <c r="K2905" s="13" t="str">
        <f>Raw_Data!K2905</f>
        <v>12</v>
      </c>
      <c r="L2905" s="17" t="str">
        <f>Raw_Data!L2905</f>
        <v>Pune-West</v>
      </c>
      <c r="M2905" s="13" t="str">
        <f t="shared" si="3"/>
        <v>OK</v>
      </c>
      <c r="N2905" s="18" t="str">
        <f t="shared" si="4"/>
        <v>VALID</v>
      </c>
    </row>
    <row r="2906" ht="15.75" customHeight="1">
      <c r="A2906" s="13" t="str">
        <f>Raw_Data!A2906</f>
        <v>EMP3056</v>
      </c>
      <c r="B2906" s="13" t="str">
        <f>TRIM(CLEAN(Raw_Data!B2906))</f>
        <v>Finance</v>
      </c>
      <c r="C2906" s="18" t="s">
        <v>37</v>
      </c>
      <c r="D2906" s="14" t="str">
        <f>IF(ISBLANK(Raw_Data!D2906),AVERAGE(Raw_Data!D$2:D$5002),Raw_Data!D2906)</f>
        <v>81350.05</v>
      </c>
      <c r="E2906" s="15" t="str">
        <f>IF(ISBLANK(Raw_Data!E2906),AVERAGE(Raw_Data!E$2:E$5002),Raw_Data!E2906)</f>
        <v>28093.20</v>
      </c>
      <c r="F2906" s="15" t="str">
        <f>IF(ISBLANK(Raw_Data!F2906),AVERAGE(Raw_Data!F$2:F$5002),Raw_Data!F2906)</f>
        <v>23641.35</v>
      </c>
      <c r="G2906" s="14" t="str">
        <f>IF(ISBLANK(Raw_Data!G2906),AVERAGE(Raw_Data!G$2:G$5002),Raw_Data!G2906)</f>
        <v>17292.69</v>
      </c>
      <c r="H2906" s="15" t="str">
        <f t="shared" si="1"/>
        <v>133085.00</v>
      </c>
      <c r="I2906" s="14" t="str">
        <f t="shared" si="2"/>
        <v>115792.00</v>
      </c>
      <c r="J2906" s="16" t="str">
        <f>TEXT(Raw_Data!J2906,"MMM-YYY")</f>
        <v>Jul-2025</v>
      </c>
      <c r="K2906" s="13" t="str">
        <f>Raw_Data!K2906</f>
        <v>11</v>
      </c>
      <c r="L2906" s="17" t="str">
        <f>Raw_Data!L2906</f>
        <v>Hyderabad-South</v>
      </c>
      <c r="M2906" s="13" t="str">
        <f t="shared" si="3"/>
        <v>OK</v>
      </c>
      <c r="N2906" s="18" t="str">
        <f t="shared" si="4"/>
        <v>VALID</v>
      </c>
    </row>
    <row r="2907" ht="15.75" customHeight="1">
      <c r="A2907" s="13" t="str">
        <f>Raw_Data!A2907</f>
        <v>EMP3057</v>
      </c>
      <c r="B2907" s="13" t="str">
        <f>TRIM(CLEAN(Raw_Data!B2907))</f>
        <v>Marketing</v>
      </c>
      <c r="C2907" s="18" t="s">
        <v>33</v>
      </c>
      <c r="D2907" s="14" t="str">
        <f>IF(ISBLANK(Raw_Data!D2907),AVERAGE(Raw_Data!D$2:D$5002),Raw_Data!D2907)</f>
        <v>81360.93</v>
      </c>
      <c r="E2907" s="15" t="str">
        <f>IF(ISBLANK(Raw_Data!E2907),AVERAGE(Raw_Data!E$2:E$5002),Raw_Data!E2907)</f>
        <v>28097.82</v>
      </c>
      <c r="F2907" s="15" t="str">
        <f>IF(ISBLANK(Raw_Data!F2907),AVERAGE(Raw_Data!F$2:F$5002),Raw_Data!F2907)</f>
        <v>23649.03</v>
      </c>
      <c r="G2907" s="14" t="str">
        <f>IF(ISBLANK(Raw_Data!G2907),AVERAGE(Raw_Data!G$2:G$5002),Raw_Data!G2907)</f>
        <v>17296.09</v>
      </c>
      <c r="H2907" s="15" t="str">
        <f t="shared" si="1"/>
        <v>133108.00</v>
      </c>
      <c r="I2907" s="14" t="str">
        <f t="shared" si="2"/>
        <v>115812.00</v>
      </c>
      <c r="J2907" s="16" t="str">
        <f>TEXT(Raw_Data!J2907,"MMM-YYY")</f>
        <v>Jan-2025</v>
      </c>
      <c r="K2907" s="13" t="str">
        <f>Raw_Data!K2907</f>
        <v>12</v>
      </c>
      <c r="L2907" s="17" t="str">
        <f>Raw_Data!L2907</f>
        <v>Chandigarh-North</v>
      </c>
      <c r="M2907" s="13" t="str">
        <f t="shared" si="3"/>
        <v>OK</v>
      </c>
      <c r="N2907" s="18" t="str">
        <f t="shared" si="4"/>
        <v>VALID</v>
      </c>
    </row>
    <row r="2908" ht="15.75" customHeight="1">
      <c r="A2908" s="13" t="str">
        <f>Raw_Data!A2908</f>
        <v>EMP3058</v>
      </c>
      <c r="B2908" s="13" t="str">
        <f>TRIM(CLEAN(Raw_Data!B2908))</f>
        <v>IT</v>
      </c>
      <c r="C2908" s="18" t="s">
        <v>33</v>
      </c>
      <c r="D2908" s="14" t="str">
        <f>IF(ISBLANK(Raw_Data!D2908),AVERAGE(Raw_Data!D$2:D$5002),Raw_Data!D2908)</f>
        <v>81371.82</v>
      </c>
      <c r="E2908" s="15" t="str">
        <f>IF(ISBLANK(Raw_Data!E2908),AVERAGE(Raw_Data!E$2:E$5002),Raw_Data!E2908)</f>
        <v>28102.43</v>
      </c>
      <c r="F2908" s="15" t="str">
        <f>IF(ISBLANK(Raw_Data!F2908),AVERAGE(Raw_Data!F$2:F$5002),Raw_Data!F2908)</f>
        <v>23656.71</v>
      </c>
      <c r="G2908" s="14" t="str">
        <f>IF(ISBLANK(Raw_Data!G2908),AVERAGE(Raw_Data!G$2:G$5002),Raw_Data!G2908)</f>
        <v>17299.49</v>
      </c>
      <c r="H2908" s="15" t="str">
        <f t="shared" si="1"/>
        <v>133131.00</v>
      </c>
      <c r="I2908" s="14" t="str">
        <f t="shared" si="2"/>
        <v>115832.00</v>
      </c>
      <c r="J2908" s="16" t="str">
        <f>TEXT(Raw_Data!J2908,"MMM-YYY")</f>
        <v>Jul-2025</v>
      </c>
      <c r="K2908" s="13" t="str">
        <f>Raw_Data!K2908</f>
        <v>15</v>
      </c>
      <c r="L2908" s="17" t="str">
        <f>Raw_Data!L2908</f>
        <v>Ahmedabad-West</v>
      </c>
      <c r="M2908" s="13" t="str">
        <f t="shared" si="3"/>
        <v>OK</v>
      </c>
      <c r="N2908" s="18" t="str">
        <f t="shared" si="4"/>
        <v>VALID</v>
      </c>
    </row>
    <row r="2909" ht="15.75" customHeight="1">
      <c r="A2909" s="13" t="str">
        <f>Raw_Data!A2909</f>
        <v>EMP3059</v>
      </c>
      <c r="B2909" s="13" t="str">
        <f>TRIM(CLEAN(Raw_Data!B2909))</f>
        <v>Operations</v>
      </c>
      <c r="C2909" s="18" t="s">
        <v>14</v>
      </c>
      <c r="D2909" s="14" t="str">
        <f>IF(ISBLANK(Raw_Data!D2909),AVERAGE(Raw_Data!D$2:D$5002),Raw_Data!D2909)</f>
        <v>81382.70</v>
      </c>
      <c r="E2909" s="15" t="str">
        <f>IF(ISBLANK(Raw_Data!E2909),AVERAGE(Raw_Data!E$2:E$5002),Raw_Data!E2909)</f>
        <v>28107.05</v>
      </c>
      <c r="F2909" s="15" t="str">
        <f>IF(ISBLANK(Raw_Data!F2909),AVERAGE(Raw_Data!F$2:F$5002),Raw_Data!F2909)</f>
        <v>23664.39</v>
      </c>
      <c r="G2909" s="14" t="str">
        <f>IF(ISBLANK(Raw_Data!G2909),AVERAGE(Raw_Data!G$2:G$5002),Raw_Data!G2909)</f>
        <v>17302.89</v>
      </c>
      <c r="H2909" s="15" t="str">
        <f t="shared" si="1"/>
        <v>133154.00</v>
      </c>
      <c r="I2909" s="14" t="str">
        <f t="shared" si="2"/>
        <v>115851.00</v>
      </c>
      <c r="J2909" s="16" t="str">
        <f>TEXT(Raw_Data!J2909,"MMM-YYY")</f>
        <v>Feb-2025</v>
      </c>
      <c r="K2909" s="13" t="str">
        <f>Raw_Data!K2909</f>
        <v>11</v>
      </c>
      <c r="L2909" s="17" t="str">
        <f>Raw_Data!L2909</f>
        <v>Jaipur-North</v>
      </c>
      <c r="M2909" s="13" t="str">
        <f t="shared" si="3"/>
        <v>OK</v>
      </c>
      <c r="N2909" s="18" t="str">
        <f t="shared" si="4"/>
        <v>VALID</v>
      </c>
    </row>
    <row r="2910" ht="15.75" customHeight="1">
      <c r="A2910" s="13" t="str">
        <f>Raw_Data!A2910</f>
        <v>EMP3060</v>
      </c>
      <c r="B2910" s="13" t="str">
        <f>TRIM(CLEAN(Raw_Data!B2910))</f>
        <v>Customer Support</v>
      </c>
      <c r="C2910" s="18" t="s">
        <v>37</v>
      </c>
      <c r="D2910" s="14" t="str">
        <f>IF(ISBLANK(Raw_Data!D2910),AVERAGE(Raw_Data!D$2:D$5002),Raw_Data!D2910)</f>
        <v>81393.58</v>
      </c>
      <c r="E2910" s="15" t="str">
        <f>IF(ISBLANK(Raw_Data!E2910),AVERAGE(Raw_Data!E$2:E$5002),Raw_Data!E2910)</f>
        <v>28111.66</v>
      </c>
      <c r="F2910" s="15" t="str">
        <f>IF(ISBLANK(Raw_Data!F2910),AVERAGE(Raw_Data!F$2:F$5002),Raw_Data!F2910)</f>
        <v>23672.07</v>
      </c>
      <c r="G2910" s="14" t="str">
        <f>IF(ISBLANK(Raw_Data!G2910),AVERAGE(Raw_Data!G$2:G$5002),Raw_Data!G2910)</f>
        <v>17306.28</v>
      </c>
      <c r="H2910" s="15" t="str">
        <f t="shared" si="1"/>
        <v>133177.00</v>
      </c>
      <c r="I2910" s="14" t="str">
        <f t="shared" si="2"/>
        <v>115871.00</v>
      </c>
      <c r="J2910" s="16" t="str">
        <f>TEXT(Raw_Data!J2910,"MMM-YYY")</f>
        <v>Jun-2025</v>
      </c>
      <c r="K2910" s="13" t="str">
        <f>Raw_Data!K2910</f>
        <v>24</v>
      </c>
      <c r="L2910" s="17" t="str">
        <f>Raw_Data!L2910</f>
        <v>Mumbai-HO</v>
      </c>
      <c r="M2910" s="13" t="str">
        <f t="shared" si="3"/>
        <v>OK</v>
      </c>
      <c r="N2910" s="18" t="str">
        <f t="shared" si="4"/>
        <v>VALID</v>
      </c>
    </row>
    <row r="2911" ht="15.75" customHeight="1">
      <c r="A2911" s="13" t="str">
        <f>Raw_Data!A2911</f>
        <v>EMP3061</v>
      </c>
      <c r="B2911" s="13" t="str">
        <f>TRIM(CLEAN(Raw_Data!B2911))</f>
        <v>Finance</v>
      </c>
      <c r="C2911" s="18" t="s">
        <v>26</v>
      </c>
      <c r="D2911" s="14" t="str">
        <f>IF(ISBLANK(Raw_Data!D2911),AVERAGE(Raw_Data!D$2:D$5002),Raw_Data!D2911)</f>
        <v>81404.47</v>
      </c>
      <c r="E2911" s="15" t="str">
        <f>IF(ISBLANK(Raw_Data!E2911),AVERAGE(Raw_Data!E$2:E$5002),Raw_Data!E2911)</f>
        <v>28116.28</v>
      </c>
      <c r="F2911" s="15" t="str">
        <f>IF(ISBLANK(Raw_Data!F2911),AVERAGE(Raw_Data!F$2:F$5002),Raw_Data!F2911)</f>
        <v>23679.75</v>
      </c>
      <c r="G2911" s="14" t="str">
        <f>IF(ISBLANK(Raw_Data!G2911),AVERAGE(Raw_Data!G$2:G$5002),Raw_Data!G2911)</f>
        <v>17309.68</v>
      </c>
      <c r="H2911" s="15" t="str">
        <f t="shared" si="1"/>
        <v>133200.00</v>
      </c>
      <c r="I2911" s="14" t="str">
        <f t="shared" si="2"/>
        <v>115890.00</v>
      </c>
      <c r="J2911" s="16" t="str">
        <f>TEXT(Raw_Data!J2911,"MMM-YYY")</f>
        <v>Jan-2025</v>
      </c>
      <c r="K2911" s="13" t="str">
        <f>Raw_Data!K2911</f>
        <v>3</v>
      </c>
      <c r="L2911" s="17" t="str">
        <f>Raw_Data!L2911</f>
        <v>Delhi-North</v>
      </c>
      <c r="M2911" s="13" t="str">
        <f t="shared" si="3"/>
        <v>OK</v>
      </c>
      <c r="N2911" s="18" t="str">
        <f t="shared" si="4"/>
        <v>VALID</v>
      </c>
    </row>
    <row r="2912" ht="15.75" customHeight="1">
      <c r="A2912" s="13" t="str">
        <f>Raw_Data!A2912</f>
        <v>EMP3062</v>
      </c>
      <c r="B2912" s="13" t="str">
        <f>TRIM(CLEAN(Raw_Data!B2912))</f>
        <v>HR</v>
      </c>
      <c r="C2912" s="18" t="s">
        <v>26</v>
      </c>
      <c r="D2912" s="14" t="str">
        <f>IF(ISBLANK(Raw_Data!D2912),AVERAGE(Raw_Data!D$2:D$5002),Raw_Data!D2912)</f>
        <v>81415.35</v>
      </c>
      <c r="E2912" s="15" t="str">
        <f>IF(ISBLANK(Raw_Data!E2912),AVERAGE(Raw_Data!E$2:E$5002),Raw_Data!E2912)</f>
        <v>28120.89</v>
      </c>
      <c r="F2912" s="15" t="str">
        <f>IF(ISBLANK(Raw_Data!F2912),AVERAGE(Raw_Data!F$2:F$5002),Raw_Data!F2912)</f>
        <v>23687.43</v>
      </c>
      <c r="G2912" s="14" t="str">
        <f>IF(ISBLANK(Raw_Data!G2912),AVERAGE(Raw_Data!G$2:G$5002),Raw_Data!G2912)</f>
        <v>17313.08</v>
      </c>
      <c r="H2912" s="15" t="str">
        <f t="shared" si="1"/>
        <v>133224.00</v>
      </c>
      <c r="I2912" s="14" t="str">
        <f t="shared" si="2"/>
        <v>115911.00</v>
      </c>
      <c r="J2912" s="16" t="str">
        <f>TEXT(Raw_Data!J2912,"MMM-YYY")</f>
        <v>Jul-2025</v>
      </c>
      <c r="K2912" s="13" t="str">
        <f>Raw_Data!K2912</f>
        <v>22</v>
      </c>
      <c r="L2912" s="17" t="str">
        <f>Raw_Data!L2912</f>
        <v>Bangalore-South</v>
      </c>
      <c r="M2912" s="13" t="str">
        <f t="shared" si="3"/>
        <v>OK</v>
      </c>
      <c r="N2912" s="18" t="str">
        <f t="shared" si="4"/>
        <v>VALID</v>
      </c>
    </row>
    <row r="2913" ht="15.75" customHeight="1">
      <c r="A2913" s="13" t="str">
        <f>Raw_Data!A2913</f>
        <v>EMP3063</v>
      </c>
      <c r="B2913" s="13" t="str">
        <f>TRIM(CLEAN(Raw_Data!B2913))</f>
        <v>Marketing</v>
      </c>
      <c r="C2913" s="18" t="s">
        <v>18</v>
      </c>
      <c r="D2913" s="14" t="str">
        <f>IF(ISBLANK(Raw_Data!D2913),AVERAGE(Raw_Data!D$2:D$5002),Raw_Data!D2913)</f>
        <v>81426.23</v>
      </c>
      <c r="E2913" s="15" t="str">
        <f>IF(ISBLANK(Raw_Data!E2913),AVERAGE(Raw_Data!E$2:E$5002),Raw_Data!E2913)</f>
        <v>28125.51</v>
      </c>
      <c r="F2913" s="15" t="str">
        <f>IF(ISBLANK(Raw_Data!F2913),AVERAGE(Raw_Data!F$2:F$5002),Raw_Data!F2913)</f>
        <v>23695.11</v>
      </c>
      <c r="G2913" s="14" t="str">
        <f>IF(ISBLANK(Raw_Data!G2913),AVERAGE(Raw_Data!G$2:G$5002),Raw_Data!G2913)</f>
        <v>17316.48</v>
      </c>
      <c r="H2913" s="15" t="str">
        <f t="shared" si="1"/>
        <v>133247.00</v>
      </c>
      <c r="I2913" s="14" t="str">
        <f t="shared" si="2"/>
        <v>115931.00</v>
      </c>
      <c r="J2913" s="16" t="str">
        <f>TEXT(Raw_Data!J2913,"MMM-YYY")</f>
        <v>Dec-2025</v>
      </c>
      <c r="K2913" s="13" t="str">
        <f>Raw_Data!K2913</f>
        <v>24</v>
      </c>
      <c r="L2913" s="17" t="str">
        <f>Raw_Data!L2913</f>
        <v>Chennai-South</v>
      </c>
      <c r="M2913" s="13" t="str">
        <f t="shared" si="3"/>
        <v>OK</v>
      </c>
      <c r="N2913" s="18" t="str">
        <f t="shared" si="4"/>
        <v>VALID</v>
      </c>
    </row>
    <row r="2914" ht="15.75" customHeight="1">
      <c r="A2914" s="13" t="str">
        <f>Raw_Data!A2914</f>
        <v>EMP3064</v>
      </c>
      <c r="B2914" s="13" t="str">
        <f>TRIM(CLEAN(Raw_Data!B2914))</f>
        <v>Finance</v>
      </c>
      <c r="C2914" s="18" t="s">
        <v>14</v>
      </c>
      <c r="D2914" s="14" t="str">
        <f>IF(ISBLANK(Raw_Data!D2914),AVERAGE(Raw_Data!D$2:D$5002),Raw_Data!D2914)</f>
        <v>81437.11</v>
      </c>
      <c r="E2914" s="15" t="str">
        <f>IF(ISBLANK(Raw_Data!E2914),AVERAGE(Raw_Data!E$2:E$5002),Raw_Data!E2914)</f>
        <v>28130.12</v>
      </c>
      <c r="F2914" s="15" t="str">
        <f>IF(ISBLANK(Raw_Data!F2914),AVERAGE(Raw_Data!F$2:F$5002),Raw_Data!F2914)</f>
        <v>23702.79</v>
      </c>
      <c r="G2914" s="14" t="str">
        <f>IF(ISBLANK(Raw_Data!G2914),AVERAGE(Raw_Data!G$2:G$5002),Raw_Data!G2914)</f>
        <v>17319.87</v>
      </c>
      <c r="H2914" s="15" t="str">
        <f t="shared" si="1"/>
        <v>133270.00</v>
      </c>
      <c r="I2914" s="14" t="str">
        <f t="shared" si="2"/>
        <v>115950.00</v>
      </c>
      <c r="J2914" s="16" t="str">
        <f>TEXT(Raw_Data!J2914,"MMM-YYY")</f>
        <v>May-2025</v>
      </c>
      <c r="K2914" s="13" t="str">
        <f>Raw_Data!K2914</f>
        <v>6</v>
      </c>
      <c r="L2914" s="17" t="str">
        <f>Raw_Data!L2914</f>
        <v>Kolkata-East</v>
      </c>
      <c r="M2914" s="13" t="str">
        <f t="shared" si="3"/>
        <v>OK</v>
      </c>
      <c r="N2914" s="18" t="str">
        <f t="shared" si="4"/>
        <v>VALID</v>
      </c>
    </row>
    <row r="2915" ht="15.75" customHeight="1">
      <c r="A2915" s="13" t="str">
        <f>Raw_Data!A2915</f>
        <v>EMP3065</v>
      </c>
      <c r="B2915" s="13" t="str">
        <f>TRIM(CLEAN(Raw_Data!B2915))</f>
        <v>HR</v>
      </c>
      <c r="C2915" s="18" t="s">
        <v>37</v>
      </c>
      <c r="D2915" s="14" t="str">
        <f>IF(ISBLANK(Raw_Data!D2915),AVERAGE(Raw_Data!D$2:D$5002),Raw_Data!D2915)</f>
        <v>81448.00</v>
      </c>
      <c r="E2915" s="15" t="str">
        <f>IF(ISBLANK(Raw_Data!E2915),AVERAGE(Raw_Data!E$2:E$5002),Raw_Data!E2915)</f>
        <v>28134.74</v>
      </c>
      <c r="F2915" s="15" t="str">
        <f>IF(ISBLANK(Raw_Data!F2915),AVERAGE(Raw_Data!F$2:F$5002),Raw_Data!F2915)</f>
        <v>23710.47</v>
      </c>
      <c r="G2915" s="14" t="str">
        <f>IF(ISBLANK(Raw_Data!G2915),AVERAGE(Raw_Data!G$2:G$5002),Raw_Data!G2915)</f>
        <v>17323.27</v>
      </c>
      <c r="H2915" s="15" t="str">
        <f t="shared" si="1"/>
        <v>133293.00</v>
      </c>
      <c r="I2915" s="14" t="str">
        <f t="shared" si="2"/>
        <v>115970.00</v>
      </c>
      <c r="J2915" s="16" t="str">
        <f>TEXT(Raw_Data!J2915,"MMM-YYY")</f>
        <v>Apr-2025</v>
      </c>
      <c r="K2915" s="13" t="str">
        <f>Raw_Data!K2915</f>
        <v>11</v>
      </c>
      <c r="L2915" s="17" t="str">
        <f>Raw_Data!L2915</f>
        <v>Pune-West</v>
      </c>
      <c r="M2915" s="13" t="str">
        <f t="shared" si="3"/>
        <v>OK</v>
      </c>
      <c r="N2915" s="18" t="str">
        <f t="shared" si="4"/>
        <v>VALID</v>
      </c>
    </row>
    <row r="2916" ht="15.75" customHeight="1">
      <c r="A2916" s="13" t="str">
        <f>Raw_Data!A2916</f>
        <v>EMP3066</v>
      </c>
      <c r="B2916" s="13" t="str">
        <f>TRIM(CLEAN(Raw_Data!B2916))</f>
        <v>Marketing</v>
      </c>
      <c r="C2916" s="18" t="s">
        <v>26</v>
      </c>
      <c r="D2916" s="14" t="str">
        <f>IF(ISBLANK(Raw_Data!D2916),AVERAGE(Raw_Data!D$2:D$5002),Raw_Data!D2916)</f>
        <v>81458.88</v>
      </c>
      <c r="E2916" s="15" t="str">
        <f>IF(ISBLANK(Raw_Data!E2916),AVERAGE(Raw_Data!E$2:E$5002),Raw_Data!E2916)</f>
        <v>28139.35</v>
      </c>
      <c r="F2916" s="15" t="str">
        <f>IF(ISBLANK(Raw_Data!F2916),AVERAGE(Raw_Data!F$2:F$5002),Raw_Data!F2916)</f>
        <v>23718.15</v>
      </c>
      <c r="G2916" s="14" t="str">
        <f>IF(ISBLANK(Raw_Data!G2916),AVERAGE(Raw_Data!G$2:G$5002),Raw_Data!G2916)</f>
        <v>17326.67</v>
      </c>
      <c r="H2916" s="15" t="str">
        <f t="shared" si="1"/>
        <v>133316.00</v>
      </c>
      <c r="I2916" s="14" t="str">
        <f t="shared" si="2"/>
        <v>115989.00</v>
      </c>
      <c r="J2916" s="16" t="str">
        <f>TEXT(Raw_Data!J2916,"MMM-YYY")</f>
        <v>May-2025</v>
      </c>
      <c r="K2916" s="13" t="str">
        <f>Raw_Data!K2916</f>
        <v>19</v>
      </c>
      <c r="L2916" s="17" t="str">
        <f>Raw_Data!L2916</f>
        <v>Hyderabad-South</v>
      </c>
      <c r="M2916" s="13" t="str">
        <f t="shared" si="3"/>
        <v>OK</v>
      </c>
      <c r="N2916" s="18" t="str">
        <f t="shared" si="4"/>
        <v>VALID</v>
      </c>
    </row>
    <row r="2917" ht="15.75" customHeight="1">
      <c r="A2917" s="13" t="str">
        <f>Raw_Data!A2917</f>
        <v>EMP3067</v>
      </c>
      <c r="B2917" s="13" t="str">
        <f>TRIM(CLEAN(Raw_Data!B2917))</f>
        <v>IT</v>
      </c>
      <c r="C2917" s="18" t="s">
        <v>54</v>
      </c>
      <c r="D2917" s="14" t="str">
        <f>IF(ISBLANK(Raw_Data!D2917),AVERAGE(Raw_Data!D$2:D$5002),Raw_Data!D2917)</f>
        <v>81469.76</v>
      </c>
      <c r="E2917" s="15" t="str">
        <f>IF(ISBLANK(Raw_Data!E2917),AVERAGE(Raw_Data!E$2:E$5002),Raw_Data!E2917)</f>
        <v>28143.97</v>
      </c>
      <c r="F2917" s="15" t="str">
        <f>IF(ISBLANK(Raw_Data!F2917),AVERAGE(Raw_Data!F$2:F$5002),Raw_Data!F2917)</f>
        <v>23725.83</v>
      </c>
      <c r="G2917" s="14" t="str">
        <f>IF(ISBLANK(Raw_Data!G2917),AVERAGE(Raw_Data!G$2:G$5002),Raw_Data!G2917)</f>
        <v>17330.07</v>
      </c>
      <c r="H2917" s="15" t="str">
        <f t="shared" si="1"/>
        <v>133340.00</v>
      </c>
      <c r="I2917" s="14" t="str">
        <f t="shared" si="2"/>
        <v>116010.00</v>
      </c>
      <c r="J2917" s="16" t="str">
        <f>TEXT(Raw_Data!J2917,"MMM-YYY")</f>
        <v>Jul-2025</v>
      </c>
      <c r="K2917" s="13" t="str">
        <f>Raw_Data!K2917</f>
        <v>7</v>
      </c>
      <c r="L2917" s="17" t="str">
        <f>Raw_Data!L2917</f>
        <v>Chandigarh-North</v>
      </c>
      <c r="M2917" s="13" t="str">
        <f t="shared" si="3"/>
        <v>OK</v>
      </c>
      <c r="N2917" s="18" t="str">
        <f t="shared" si="4"/>
        <v>VALID</v>
      </c>
    </row>
    <row r="2918" ht="15.75" customHeight="1">
      <c r="A2918" s="13" t="str">
        <f>Raw_Data!A2918</f>
        <v>EMP3068</v>
      </c>
      <c r="B2918" s="13" t="str">
        <f>TRIM(CLEAN(Raw_Data!B2918))</f>
        <v>Finance</v>
      </c>
      <c r="C2918" s="18" t="s">
        <v>37</v>
      </c>
      <c r="D2918" s="14" t="str">
        <f>IF(ISBLANK(Raw_Data!D2918),AVERAGE(Raw_Data!D$2:D$5002),Raw_Data!D2918)</f>
        <v>81480.65</v>
      </c>
      <c r="E2918" s="15" t="str">
        <f>IF(ISBLANK(Raw_Data!E2918),AVERAGE(Raw_Data!E$2:E$5002),Raw_Data!E2918)</f>
        <v>28148.58</v>
      </c>
      <c r="F2918" s="15" t="str">
        <f>IF(ISBLANK(Raw_Data!F2918),AVERAGE(Raw_Data!F$2:F$5002),Raw_Data!F2918)</f>
        <v>23733.51</v>
      </c>
      <c r="G2918" s="14" t="str">
        <f>IF(ISBLANK(Raw_Data!G2918),AVERAGE(Raw_Data!G$2:G$5002),Raw_Data!G2918)</f>
        <v>17333.46</v>
      </c>
      <c r="H2918" s="15" t="str">
        <f t="shared" si="1"/>
        <v>133363.00</v>
      </c>
      <c r="I2918" s="14" t="str">
        <f t="shared" si="2"/>
        <v>116030.00</v>
      </c>
      <c r="J2918" s="16" t="str">
        <f>TEXT(Raw_Data!J2918,"MMM-YYY")</f>
        <v>Sep-2025</v>
      </c>
      <c r="K2918" s="13" t="str">
        <f>Raw_Data!K2918</f>
        <v>21</v>
      </c>
      <c r="L2918" s="17" t="str">
        <f>Raw_Data!L2918</f>
        <v>Ahmedabad-West</v>
      </c>
      <c r="M2918" s="13" t="str">
        <f t="shared" si="3"/>
        <v>OK</v>
      </c>
      <c r="N2918" s="18" t="str">
        <f t="shared" si="4"/>
        <v>VALID</v>
      </c>
    </row>
    <row r="2919" ht="15.75" customHeight="1">
      <c r="A2919" s="13" t="str">
        <f>Raw_Data!A2919</f>
        <v>EMP3069</v>
      </c>
      <c r="B2919" s="13" t="str">
        <f>TRIM(CLEAN(Raw_Data!B2919))</f>
        <v>Sales</v>
      </c>
      <c r="C2919" s="18" t="s">
        <v>26</v>
      </c>
      <c r="D2919" s="14" t="str">
        <f>IF(ISBLANK(Raw_Data!D2919),AVERAGE(Raw_Data!D$2:D$5002),Raw_Data!D2919)</f>
        <v>81491.53</v>
      </c>
      <c r="E2919" s="15" t="str">
        <f>IF(ISBLANK(Raw_Data!E2919),AVERAGE(Raw_Data!E$2:E$5002),Raw_Data!E2919)</f>
        <v>28153.19</v>
      </c>
      <c r="F2919" s="15" t="str">
        <f>IF(ISBLANK(Raw_Data!F2919),AVERAGE(Raw_Data!F$2:F$5002),Raw_Data!F2919)</f>
        <v>23741.19</v>
      </c>
      <c r="G2919" s="14" t="str">
        <f>IF(ISBLANK(Raw_Data!G2919),AVERAGE(Raw_Data!G$2:G$5002),Raw_Data!G2919)</f>
        <v>17336.86</v>
      </c>
      <c r="H2919" s="15" t="str">
        <f t="shared" si="1"/>
        <v>133386.00</v>
      </c>
      <c r="I2919" s="14" t="str">
        <f t="shared" si="2"/>
        <v>116049.00</v>
      </c>
      <c r="J2919" s="16" t="str">
        <f>TEXT(Raw_Data!J2919,"MMM-YYY")</f>
        <v>Sep-2025</v>
      </c>
      <c r="K2919" s="13" t="str">
        <f>Raw_Data!K2919</f>
        <v>7</v>
      </c>
      <c r="L2919" s="17" t="str">
        <f>Raw_Data!L2919</f>
        <v>Jaipur-North</v>
      </c>
      <c r="M2919" s="13" t="str">
        <f t="shared" si="3"/>
        <v>OK</v>
      </c>
      <c r="N2919" s="18" t="str">
        <f t="shared" si="4"/>
        <v>VALID</v>
      </c>
    </row>
    <row r="2920" ht="15.75" customHeight="1">
      <c r="A2920" s="13" t="str">
        <f>Raw_Data!A2920</f>
        <v>EMP3070</v>
      </c>
      <c r="B2920" s="13" t="str">
        <f>TRIM(CLEAN(Raw_Data!B2920))</f>
        <v>Sales</v>
      </c>
      <c r="C2920" s="18" t="s">
        <v>30</v>
      </c>
      <c r="D2920" s="14" t="str">
        <f>IF(ISBLANK(Raw_Data!D2920),AVERAGE(Raw_Data!D$2:D$5002),Raw_Data!D2920)</f>
        <v>81502.41</v>
      </c>
      <c r="E2920" s="15" t="str">
        <f>IF(ISBLANK(Raw_Data!E2920),AVERAGE(Raw_Data!E$2:E$5002),Raw_Data!E2920)</f>
        <v>28157.81</v>
      </c>
      <c r="F2920" s="15" t="str">
        <f>IF(ISBLANK(Raw_Data!F2920),AVERAGE(Raw_Data!F$2:F$5002),Raw_Data!F2920)</f>
        <v>23748.87</v>
      </c>
      <c r="G2920" s="14" t="str">
        <f>IF(ISBLANK(Raw_Data!G2920),AVERAGE(Raw_Data!G$2:G$5002),Raw_Data!G2920)</f>
        <v>17340.26</v>
      </c>
      <c r="H2920" s="15" t="str">
        <f t="shared" si="1"/>
        <v>133409.00</v>
      </c>
      <c r="I2920" s="14" t="str">
        <f t="shared" si="2"/>
        <v>116069.00</v>
      </c>
      <c r="J2920" s="16" t="str">
        <f>TEXT(Raw_Data!J2920,"MMM-YYY")</f>
        <v>Jan-2025</v>
      </c>
      <c r="K2920" s="13" t="str">
        <f>Raw_Data!K2920</f>
        <v>25</v>
      </c>
      <c r="L2920" s="17" t="str">
        <f>Raw_Data!L2920</f>
        <v>Mumbai-HO</v>
      </c>
      <c r="M2920" s="13" t="str">
        <f t="shared" si="3"/>
        <v>OK</v>
      </c>
      <c r="N2920" s="18" t="str">
        <f t="shared" si="4"/>
        <v>VALID</v>
      </c>
    </row>
    <row r="2921" ht="15.75" customHeight="1">
      <c r="A2921" s="13" t="str">
        <f>Raw_Data!A2921</f>
        <v>EMP3071</v>
      </c>
      <c r="B2921" s="13" t="str">
        <f>TRIM(CLEAN(Raw_Data!B2921))</f>
        <v>Customer Support</v>
      </c>
      <c r="C2921" s="18" t="s">
        <v>33</v>
      </c>
      <c r="D2921" s="14" t="str">
        <f>IF(ISBLANK(Raw_Data!D2921),AVERAGE(Raw_Data!D$2:D$5002),Raw_Data!D2921)</f>
        <v>81513.29</v>
      </c>
      <c r="E2921" s="15" t="str">
        <f>IF(ISBLANK(Raw_Data!E2921),AVERAGE(Raw_Data!E$2:E$5002),Raw_Data!E2921)</f>
        <v>28162.42</v>
      </c>
      <c r="F2921" s="15" t="str">
        <f>IF(ISBLANK(Raw_Data!F2921),AVERAGE(Raw_Data!F$2:F$5002),Raw_Data!F2921)</f>
        <v>23756.55</v>
      </c>
      <c r="G2921" s="14" t="str">
        <f>IF(ISBLANK(Raw_Data!G2921),AVERAGE(Raw_Data!G$2:G$5002),Raw_Data!G2921)</f>
        <v>17343.66</v>
      </c>
      <c r="H2921" s="15" t="str">
        <f t="shared" si="1"/>
        <v>133432.00</v>
      </c>
      <c r="I2921" s="14" t="str">
        <f t="shared" si="2"/>
        <v>116088.00</v>
      </c>
      <c r="J2921" s="16" t="str">
        <f>TEXT(Raw_Data!J2921,"MMM-YYY")</f>
        <v>May-2025</v>
      </c>
      <c r="K2921" s="13" t="str">
        <f>Raw_Data!K2921</f>
        <v>25</v>
      </c>
      <c r="L2921" s="17" t="str">
        <f>Raw_Data!L2921</f>
        <v>Delhi-North</v>
      </c>
      <c r="M2921" s="13" t="str">
        <f t="shared" si="3"/>
        <v>OK</v>
      </c>
      <c r="N2921" s="18" t="str">
        <f t="shared" si="4"/>
        <v>VALID</v>
      </c>
    </row>
    <row r="2922" ht="15.75" customHeight="1">
      <c r="A2922" s="13" t="str">
        <f>Raw_Data!A2922</f>
        <v>EMP3073</v>
      </c>
      <c r="B2922" s="13" t="str">
        <f>TRIM(CLEAN(Raw_Data!B2922))</f>
        <v>Finance</v>
      </c>
      <c r="C2922" s="18" t="s">
        <v>18</v>
      </c>
      <c r="D2922" s="14" t="str">
        <f>IF(ISBLANK(Raw_Data!D2922),AVERAGE(Raw_Data!D$2:D$5002),Raw_Data!D2922)</f>
        <v>81535.06</v>
      </c>
      <c r="E2922" s="15" t="str">
        <f>IF(ISBLANK(Raw_Data!E2922),AVERAGE(Raw_Data!E$2:E$5002),Raw_Data!E2922)</f>
        <v>28171.65</v>
      </c>
      <c r="F2922" s="15" t="str">
        <f>IF(ISBLANK(Raw_Data!F2922),AVERAGE(Raw_Data!F$2:F$5002),Raw_Data!F2922)</f>
        <v>23771.91</v>
      </c>
      <c r="G2922" s="14" t="str">
        <f>IF(ISBLANK(Raw_Data!G2922),AVERAGE(Raw_Data!G$2:G$5002),Raw_Data!G2922)</f>
        <v>17350.45</v>
      </c>
      <c r="H2922" s="15" t="str">
        <f t="shared" si="1"/>
        <v>133479.00</v>
      </c>
      <c r="I2922" s="14" t="str">
        <f t="shared" si="2"/>
        <v>116129.00</v>
      </c>
      <c r="J2922" s="16" t="str">
        <f>TEXT(Raw_Data!J2922,"MMM-YYY")</f>
        <v>Aug-2025</v>
      </c>
      <c r="K2922" s="13" t="str">
        <f>Raw_Data!K2922</f>
        <v>11</v>
      </c>
      <c r="L2922" s="17" t="str">
        <f>Raw_Data!L2922</f>
        <v>Chennai-South</v>
      </c>
      <c r="M2922" s="13" t="str">
        <f t="shared" si="3"/>
        <v>OK</v>
      </c>
      <c r="N2922" s="18" t="str">
        <f t="shared" si="4"/>
        <v>VALID</v>
      </c>
    </row>
    <row r="2923" ht="15.75" customHeight="1">
      <c r="A2923" s="13" t="str">
        <f>Raw_Data!A2923</f>
        <v>EMP3074</v>
      </c>
      <c r="B2923" s="13" t="str">
        <f>TRIM(CLEAN(Raw_Data!B2923))</f>
        <v>IT</v>
      </c>
      <c r="C2923" s="18" t="s">
        <v>26</v>
      </c>
      <c r="D2923" s="14" t="str">
        <f>IF(ISBLANK(Raw_Data!D2923),AVERAGE(Raw_Data!D$2:D$5002),Raw_Data!D2923)</f>
        <v>81545.94</v>
      </c>
      <c r="E2923" s="15" t="str">
        <f>IF(ISBLANK(Raw_Data!E2923),AVERAGE(Raw_Data!E$2:E$5002),Raw_Data!E2923)</f>
        <v>28176.27</v>
      </c>
      <c r="F2923" s="15" t="str">
        <f>IF(ISBLANK(Raw_Data!F2923),AVERAGE(Raw_Data!F$2:F$5002),Raw_Data!F2923)</f>
        <v>23779.59</v>
      </c>
      <c r="G2923" s="14" t="str">
        <f>IF(ISBLANK(Raw_Data!G2923),AVERAGE(Raw_Data!G$2:G$5002),Raw_Data!G2923)</f>
        <v>17353.85</v>
      </c>
      <c r="H2923" s="15" t="str">
        <f t="shared" si="1"/>
        <v>133502.00</v>
      </c>
      <c r="I2923" s="14" t="str">
        <f t="shared" si="2"/>
        <v>116148.00</v>
      </c>
      <c r="J2923" s="16" t="str">
        <f>TEXT(Raw_Data!J2923,"MMM-YYY")</f>
        <v>Dec-2025</v>
      </c>
      <c r="K2923" s="13" t="str">
        <f>Raw_Data!K2923</f>
        <v>5</v>
      </c>
      <c r="L2923" s="17" t="str">
        <f>Raw_Data!L2923</f>
        <v>Kolkata-East</v>
      </c>
      <c r="M2923" s="13" t="str">
        <f t="shared" si="3"/>
        <v>OK</v>
      </c>
      <c r="N2923" s="18" t="str">
        <f t="shared" si="4"/>
        <v>VALID</v>
      </c>
    </row>
    <row r="2924" ht="15.75" customHeight="1">
      <c r="A2924" s="13" t="str">
        <f>Raw_Data!A2924</f>
        <v>EMP3075</v>
      </c>
      <c r="B2924" s="13" t="str">
        <f>TRIM(CLEAN(Raw_Data!B2924))</f>
        <v>HR</v>
      </c>
      <c r="C2924" s="18" t="s">
        <v>18</v>
      </c>
      <c r="D2924" s="14" t="str">
        <f>IF(ISBLANK(Raw_Data!D2924),AVERAGE(Raw_Data!D$2:D$5002),Raw_Data!D2924)</f>
        <v>81556.83</v>
      </c>
      <c r="E2924" s="15" t="str">
        <f>IF(ISBLANK(Raw_Data!E2924),AVERAGE(Raw_Data!E$2:E$5002),Raw_Data!E2924)</f>
        <v>28180.88</v>
      </c>
      <c r="F2924" s="15" t="str">
        <f>IF(ISBLANK(Raw_Data!F2924),AVERAGE(Raw_Data!F$2:F$5002),Raw_Data!F2924)</f>
        <v>23787.27</v>
      </c>
      <c r="G2924" s="14" t="str">
        <f>IF(ISBLANK(Raw_Data!G2924),AVERAGE(Raw_Data!G$2:G$5002),Raw_Data!G2924)</f>
        <v>17357.25</v>
      </c>
      <c r="H2924" s="15" t="str">
        <f t="shared" si="1"/>
        <v>133525.00</v>
      </c>
      <c r="I2924" s="14" t="str">
        <f t="shared" si="2"/>
        <v>116168.00</v>
      </c>
      <c r="J2924" s="16" t="str">
        <f>TEXT(Raw_Data!J2924,"MMM-YYY")</f>
        <v>Oct-2025</v>
      </c>
      <c r="K2924" s="13" t="str">
        <f>Raw_Data!K2924</f>
        <v>23</v>
      </c>
      <c r="L2924" s="17" t="str">
        <f>Raw_Data!L2924</f>
        <v>Pune-West</v>
      </c>
      <c r="M2924" s="13" t="str">
        <f t="shared" si="3"/>
        <v>OK</v>
      </c>
      <c r="N2924" s="18" t="str">
        <f t="shared" si="4"/>
        <v>VALID</v>
      </c>
    </row>
    <row r="2925" ht="15.75" customHeight="1">
      <c r="A2925" s="13" t="str">
        <f>Raw_Data!A2925</f>
        <v>EMP3076</v>
      </c>
      <c r="B2925" s="13" t="str">
        <f>TRIM(CLEAN(Raw_Data!B2925))</f>
        <v>Operations</v>
      </c>
      <c r="C2925" s="18" t="s">
        <v>14</v>
      </c>
      <c r="D2925" s="14" t="str">
        <f>IF(ISBLANK(Raw_Data!D2925),AVERAGE(Raw_Data!D$2:D$5002),Raw_Data!D2925)</f>
        <v>81567.71</v>
      </c>
      <c r="E2925" s="15" t="str">
        <f>IF(ISBLANK(Raw_Data!E2925),AVERAGE(Raw_Data!E$2:E$5002),Raw_Data!E2925)</f>
        <v>28185.50</v>
      </c>
      <c r="F2925" s="15" t="str">
        <f>IF(ISBLANK(Raw_Data!F2925),AVERAGE(Raw_Data!F$2:F$5002),Raw_Data!F2925)</f>
        <v>23794.95</v>
      </c>
      <c r="G2925" s="14" t="str">
        <f>IF(ISBLANK(Raw_Data!G2925),AVERAGE(Raw_Data!G$2:G$5002),Raw_Data!G2925)</f>
        <v>17360.64</v>
      </c>
      <c r="H2925" s="15" t="str">
        <f t="shared" si="1"/>
        <v>133548.00</v>
      </c>
      <c r="I2925" s="14" t="str">
        <f t="shared" si="2"/>
        <v>116187.00</v>
      </c>
      <c r="J2925" s="16" t="str">
        <f>TEXT(Raw_Data!J2925,"MMM-YYY")</f>
        <v>May-2025</v>
      </c>
      <c r="K2925" s="13" t="str">
        <f>Raw_Data!K2925</f>
        <v>18</v>
      </c>
      <c r="L2925" s="17" t="str">
        <f>Raw_Data!L2925</f>
        <v>Hyderabad-South</v>
      </c>
      <c r="M2925" s="13" t="str">
        <f t="shared" si="3"/>
        <v>OK</v>
      </c>
      <c r="N2925" s="18" t="str">
        <f t="shared" si="4"/>
        <v>VALID</v>
      </c>
    </row>
    <row r="2926" ht="15.75" customHeight="1">
      <c r="A2926" s="13" t="str">
        <f>Raw_Data!A2926</f>
        <v>EMP3077</v>
      </c>
      <c r="B2926" s="13" t="str">
        <f>TRIM(CLEAN(Raw_Data!B2926))</f>
        <v>Customer Support</v>
      </c>
      <c r="C2926" s="18" t="s">
        <v>33</v>
      </c>
      <c r="D2926" s="14" t="str">
        <f>IF(ISBLANK(Raw_Data!D2926),AVERAGE(Raw_Data!D$2:D$5002),Raw_Data!D2926)</f>
        <v>81578.59</v>
      </c>
      <c r="E2926" s="15" t="str">
        <f>IF(ISBLANK(Raw_Data!E2926),AVERAGE(Raw_Data!E$2:E$5002),Raw_Data!E2926)</f>
        <v>28190.11</v>
      </c>
      <c r="F2926" s="15" t="str">
        <f>IF(ISBLANK(Raw_Data!F2926),AVERAGE(Raw_Data!F$2:F$5002),Raw_Data!F2926)</f>
        <v>23802.63</v>
      </c>
      <c r="G2926" s="14" t="str">
        <f>IF(ISBLANK(Raw_Data!G2926),AVERAGE(Raw_Data!G$2:G$5002),Raw_Data!G2926)</f>
        <v>17364.04</v>
      </c>
      <c r="H2926" s="15" t="str">
        <f t="shared" si="1"/>
        <v>133571.00</v>
      </c>
      <c r="I2926" s="14" t="str">
        <f t="shared" si="2"/>
        <v>116207.00</v>
      </c>
      <c r="J2926" s="16" t="str">
        <f>TEXT(Raw_Data!J2926,"MMM-YYY")</f>
        <v>Nov-2025</v>
      </c>
      <c r="K2926" s="13" t="str">
        <f>Raw_Data!K2926</f>
        <v>18</v>
      </c>
      <c r="L2926" s="17" t="str">
        <f>Raw_Data!L2926</f>
        <v>Chandigarh-North</v>
      </c>
      <c r="M2926" s="13" t="str">
        <f t="shared" si="3"/>
        <v>OK</v>
      </c>
      <c r="N2926" s="18" t="str">
        <f t="shared" si="4"/>
        <v>VALID</v>
      </c>
    </row>
    <row r="2927" ht="15.75" customHeight="1">
      <c r="A2927" s="13" t="str">
        <f>Raw_Data!A2927</f>
        <v>EMP3078</v>
      </c>
      <c r="B2927" s="13" t="str">
        <f>TRIM(CLEAN(Raw_Data!B2927))</f>
        <v>Customer Support</v>
      </c>
      <c r="C2927" s="18" t="s">
        <v>30</v>
      </c>
      <c r="D2927" s="14" t="str">
        <f>IF(ISBLANK(Raw_Data!D2927),AVERAGE(Raw_Data!D$2:D$5002),Raw_Data!D2927)</f>
        <v>81589.48</v>
      </c>
      <c r="E2927" s="15" t="str">
        <f>IF(ISBLANK(Raw_Data!E2927),AVERAGE(Raw_Data!E$2:E$5002),Raw_Data!E2927)</f>
        <v>28194.73</v>
      </c>
      <c r="F2927" s="15" t="str">
        <f>IF(ISBLANK(Raw_Data!F2927),AVERAGE(Raw_Data!F$2:F$5002),Raw_Data!F2927)</f>
        <v>23810.31</v>
      </c>
      <c r="G2927" s="14" t="str">
        <f>IF(ISBLANK(Raw_Data!G2927),AVERAGE(Raw_Data!G$2:G$5002),Raw_Data!G2927)</f>
        <v>17367.44</v>
      </c>
      <c r="H2927" s="15" t="str">
        <f t="shared" si="1"/>
        <v>133595.00</v>
      </c>
      <c r="I2927" s="14" t="str">
        <f t="shared" si="2"/>
        <v>116228.00</v>
      </c>
      <c r="J2927" s="16" t="str">
        <f>TEXT(Raw_Data!J2927,"MMM-YYY")</f>
        <v>Jan-2025</v>
      </c>
      <c r="K2927" s="13" t="str">
        <f>Raw_Data!K2927</f>
        <v>2</v>
      </c>
      <c r="L2927" s="17" t="str">
        <f>Raw_Data!L2927</f>
        <v>Ahmedabad-West</v>
      </c>
      <c r="M2927" s="13" t="str">
        <f t="shared" si="3"/>
        <v>OK</v>
      </c>
      <c r="N2927" s="18" t="str">
        <f t="shared" si="4"/>
        <v>VALID</v>
      </c>
    </row>
    <row r="2928" ht="15.75" customHeight="1">
      <c r="A2928" s="13" t="str">
        <f>Raw_Data!A2928</f>
        <v>EMP3079</v>
      </c>
      <c r="B2928" s="13" t="str">
        <f>TRIM(CLEAN(Raw_Data!B2928))</f>
        <v>Sales</v>
      </c>
      <c r="C2928" s="18" t="s">
        <v>54</v>
      </c>
      <c r="D2928" s="14" t="str">
        <f>IF(ISBLANK(Raw_Data!D2928),AVERAGE(Raw_Data!D$2:D$5002),Raw_Data!D2928)</f>
        <v>81600.36</v>
      </c>
      <c r="E2928" s="15" t="str">
        <f>IF(ISBLANK(Raw_Data!E2928),AVERAGE(Raw_Data!E$2:E$5002),Raw_Data!E2928)</f>
        <v>28199.34</v>
      </c>
      <c r="F2928" s="15" t="str">
        <f>IF(ISBLANK(Raw_Data!F2928),AVERAGE(Raw_Data!F$2:F$5002),Raw_Data!F2928)</f>
        <v>23817.99</v>
      </c>
      <c r="G2928" s="14" t="str">
        <f>IF(ISBLANK(Raw_Data!G2928),AVERAGE(Raw_Data!G$2:G$5002),Raw_Data!G2928)</f>
        <v>17370.84</v>
      </c>
      <c r="H2928" s="15" t="str">
        <f t="shared" si="1"/>
        <v>133618.00</v>
      </c>
      <c r="I2928" s="14" t="str">
        <f t="shared" si="2"/>
        <v>116247.00</v>
      </c>
      <c r="J2928" s="16" t="str">
        <f>TEXT(Raw_Data!J2928,"MMM-YYY")</f>
        <v>Dec-2025</v>
      </c>
      <c r="K2928" s="13" t="str">
        <f>Raw_Data!K2928</f>
        <v>9</v>
      </c>
      <c r="L2928" s="17" t="str">
        <f>Raw_Data!L2928</f>
        <v>Jaipur-North</v>
      </c>
      <c r="M2928" s="13" t="str">
        <f t="shared" si="3"/>
        <v>OK</v>
      </c>
      <c r="N2928" s="18" t="str">
        <f t="shared" si="4"/>
        <v>VALID</v>
      </c>
    </row>
    <row r="2929" ht="15.75" customHeight="1">
      <c r="A2929" s="13" t="str">
        <f>Raw_Data!A2929</f>
        <v>EMP3080</v>
      </c>
      <c r="B2929" s="13" t="str">
        <f>TRIM(CLEAN(Raw_Data!B2929))</f>
        <v>HR</v>
      </c>
      <c r="C2929" s="18" t="s">
        <v>54</v>
      </c>
      <c r="D2929" s="14" t="str">
        <f>IF(ISBLANK(Raw_Data!D2929),AVERAGE(Raw_Data!D$2:D$5002),Raw_Data!D2929)</f>
        <v>81611.24</v>
      </c>
      <c r="E2929" s="15" t="str">
        <f>IF(ISBLANK(Raw_Data!E2929),AVERAGE(Raw_Data!E$2:E$5002),Raw_Data!E2929)</f>
        <v>28203.96</v>
      </c>
      <c r="F2929" s="15" t="str">
        <f>IF(ISBLANK(Raw_Data!F2929),AVERAGE(Raw_Data!F$2:F$5002),Raw_Data!F2929)</f>
        <v>23825.67</v>
      </c>
      <c r="G2929" s="14" t="str">
        <f>IF(ISBLANK(Raw_Data!G2929),AVERAGE(Raw_Data!G$2:G$5002),Raw_Data!G2929)</f>
        <v>17374.24</v>
      </c>
      <c r="H2929" s="15" t="str">
        <f t="shared" si="1"/>
        <v>133641.00</v>
      </c>
      <c r="I2929" s="14" t="str">
        <f t="shared" si="2"/>
        <v>116267.00</v>
      </c>
      <c r="J2929" s="16" t="str">
        <f>TEXT(Raw_Data!J2929,"MMM-YYY")</f>
        <v>May-2025</v>
      </c>
      <c r="K2929" s="13" t="str">
        <f>Raw_Data!K2929</f>
        <v>10</v>
      </c>
      <c r="L2929" s="17" t="str">
        <f>Raw_Data!L2929</f>
        <v>Mumbai-HO</v>
      </c>
      <c r="M2929" s="13" t="str">
        <f t="shared" si="3"/>
        <v>OK</v>
      </c>
      <c r="N2929" s="18" t="str">
        <f t="shared" si="4"/>
        <v>VALID</v>
      </c>
    </row>
    <row r="2930" ht="15.75" customHeight="1">
      <c r="A2930" s="13" t="str">
        <f>Raw_Data!A2930</f>
        <v>EMP3081</v>
      </c>
      <c r="B2930" s="13" t="str">
        <f>TRIM(CLEAN(Raw_Data!B2930))</f>
        <v>Finance</v>
      </c>
      <c r="C2930" s="18" t="s">
        <v>33</v>
      </c>
      <c r="D2930" s="14" t="str">
        <f>IF(ISBLANK(Raw_Data!D2930),AVERAGE(Raw_Data!D$2:D$5002),Raw_Data!D2930)</f>
        <v>81622.12</v>
      </c>
      <c r="E2930" s="15" t="str">
        <f>IF(ISBLANK(Raw_Data!E2930),AVERAGE(Raw_Data!E$2:E$5002),Raw_Data!E2930)</f>
        <v>28208.57</v>
      </c>
      <c r="F2930" s="15" t="str">
        <f>IF(ISBLANK(Raw_Data!F2930),AVERAGE(Raw_Data!F$2:F$5002),Raw_Data!F2930)</f>
        <v>23833.35</v>
      </c>
      <c r="G2930" s="14" t="str">
        <f>IF(ISBLANK(Raw_Data!G2930),AVERAGE(Raw_Data!G$2:G$5002),Raw_Data!G2930)</f>
        <v>17377.63</v>
      </c>
      <c r="H2930" s="15" t="str">
        <f t="shared" si="1"/>
        <v>133664.00</v>
      </c>
      <c r="I2930" s="14" t="str">
        <f t="shared" si="2"/>
        <v>116286.00</v>
      </c>
      <c r="J2930" s="16" t="str">
        <f>TEXT(Raw_Data!J2930,"MMM-YYY")</f>
        <v>Oct-2025</v>
      </c>
      <c r="K2930" s="13" t="str">
        <f>Raw_Data!K2930</f>
        <v>18</v>
      </c>
      <c r="L2930" s="17" t="str">
        <f>Raw_Data!L2930</f>
        <v>Delhi-North</v>
      </c>
      <c r="M2930" s="13" t="str">
        <f t="shared" si="3"/>
        <v>OK</v>
      </c>
      <c r="N2930" s="18" t="str">
        <f t="shared" si="4"/>
        <v>VALID</v>
      </c>
    </row>
    <row r="2931" ht="15.75" customHeight="1">
      <c r="A2931" s="13" t="str">
        <f>Raw_Data!A2931</f>
        <v>EMP3082</v>
      </c>
      <c r="B2931" s="13" t="str">
        <f>TRIM(CLEAN(Raw_Data!B2931))</f>
        <v>Sales</v>
      </c>
      <c r="C2931" s="18" t="s">
        <v>14</v>
      </c>
      <c r="D2931" s="14" t="str">
        <f>IF(ISBLANK(Raw_Data!D2931),AVERAGE(Raw_Data!D$2:D$5002),Raw_Data!D2931)</f>
        <v>81633.01</v>
      </c>
      <c r="E2931" s="15" t="str">
        <f>IF(ISBLANK(Raw_Data!E2931),AVERAGE(Raw_Data!E$2:E$5002),Raw_Data!E2931)</f>
        <v>28213.19</v>
      </c>
      <c r="F2931" s="15" t="str">
        <f>IF(ISBLANK(Raw_Data!F2931),AVERAGE(Raw_Data!F$2:F$5002),Raw_Data!F2931)</f>
        <v>23841.03</v>
      </c>
      <c r="G2931" s="14" t="str">
        <f>IF(ISBLANK(Raw_Data!G2931),AVERAGE(Raw_Data!G$2:G$5002),Raw_Data!G2931)</f>
        <v>17381.03</v>
      </c>
      <c r="H2931" s="15" t="str">
        <f t="shared" si="1"/>
        <v>133687.00</v>
      </c>
      <c r="I2931" s="14" t="str">
        <f t="shared" si="2"/>
        <v>116306.00</v>
      </c>
      <c r="J2931" s="16" t="str">
        <f>TEXT(Raw_Data!J2931,"MMM-YYY")</f>
        <v>Jun-2025</v>
      </c>
      <c r="K2931" s="13" t="str">
        <f>Raw_Data!K2931</f>
        <v>10</v>
      </c>
      <c r="L2931" s="17" t="str">
        <f>Raw_Data!L2931</f>
        <v>Bangalore-South</v>
      </c>
      <c r="M2931" s="13" t="str">
        <f t="shared" si="3"/>
        <v>OK</v>
      </c>
      <c r="N2931" s="18" t="str">
        <f t="shared" si="4"/>
        <v>VALID</v>
      </c>
    </row>
    <row r="2932" ht="15.75" customHeight="1">
      <c r="A2932" s="13" t="str">
        <f>Raw_Data!A2932</f>
        <v>EMP3083</v>
      </c>
      <c r="B2932" s="13" t="str">
        <f>TRIM(CLEAN(Raw_Data!B2932))</f>
        <v>Finance</v>
      </c>
      <c r="C2932" s="18" t="s">
        <v>26</v>
      </c>
      <c r="D2932" s="14" t="str">
        <f>IF(ISBLANK(Raw_Data!D2932),AVERAGE(Raw_Data!D$2:D$5002),Raw_Data!D2932)</f>
        <v>81643.89</v>
      </c>
      <c r="E2932" s="15" t="str">
        <f>IF(ISBLANK(Raw_Data!E2932),AVERAGE(Raw_Data!E$2:E$5002),Raw_Data!E2932)</f>
        <v>28217.80</v>
      </c>
      <c r="F2932" s="15" t="str">
        <f>IF(ISBLANK(Raw_Data!F2932),AVERAGE(Raw_Data!F$2:F$5002),Raw_Data!F2932)</f>
        <v>23848.71</v>
      </c>
      <c r="G2932" s="14" t="str">
        <f>IF(ISBLANK(Raw_Data!G2932),AVERAGE(Raw_Data!G$2:G$5002),Raw_Data!G2932)</f>
        <v>17384.43</v>
      </c>
      <c r="H2932" s="15" t="str">
        <f t="shared" si="1"/>
        <v>133710.00</v>
      </c>
      <c r="I2932" s="14" t="str">
        <f t="shared" si="2"/>
        <v>116326.00</v>
      </c>
      <c r="J2932" s="16" t="str">
        <f>TEXT(Raw_Data!J2932,"MMM-YYY")</f>
        <v>Aug-2025</v>
      </c>
      <c r="K2932" s="13" t="str">
        <f>Raw_Data!K2932</f>
        <v>24</v>
      </c>
      <c r="L2932" s="17" t="str">
        <f>Raw_Data!L2932</f>
        <v>Chennai-South</v>
      </c>
      <c r="M2932" s="13" t="str">
        <f t="shared" si="3"/>
        <v>OK</v>
      </c>
      <c r="N2932" s="18" t="str">
        <f t="shared" si="4"/>
        <v>VALID</v>
      </c>
    </row>
    <row r="2933" ht="15.75" customHeight="1">
      <c r="A2933" s="13" t="str">
        <f>Raw_Data!A2933</f>
        <v>EMP3085</v>
      </c>
      <c r="B2933" s="13" t="str">
        <f>TRIM(CLEAN(Raw_Data!B2933))</f>
        <v>Operations</v>
      </c>
      <c r="C2933" s="18" t="s">
        <v>37</v>
      </c>
      <c r="D2933" s="14" t="str">
        <f>IF(ISBLANK(Raw_Data!D2933),AVERAGE(Raw_Data!D$2:D$5002),Raw_Data!D2933)</f>
        <v>81665.66</v>
      </c>
      <c r="E2933" s="15" t="str">
        <f>IF(ISBLANK(Raw_Data!E2933),AVERAGE(Raw_Data!E$2:E$5002),Raw_Data!E2933)</f>
        <v>28227.03</v>
      </c>
      <c r="F2933" s="15" t="str">
        <f>IF(ISBLANK(Raw_Data!F2933),AVERAGE(Raw_Data!F$2:F$5002),Raw_Data!F2933)</f>
        <v>23864.07</v>
      </c>
      <c r="G2933" s="14" t="str">
        <f>IF(ISBLANK(Raw_Data!G2933),AVERAGE(Raw_Data!G$2:G$5002),Raw_Data!G2933)</f>
        <v>17391.22</v>
      </c>
      <c r="H2933" s="15" t="str">
        <f t="shared" si="1"/>
        <v>133757.00</v>
      </c>
      <c r="I2933" s="14" t="str">
        <f t="shared" si="2"/>
        <v>116366.00</v>
      </c>
      <c r="J2933" s="16" t="str">
        <f>TEXT(Raw_Data!J2933,"MMM-YYY")</f>
        <v>Sep-2025</v>
      </c>
      <c r="K2933" s="13" t="str">
        <f>Raw_Data!K2933</f>
        <v>24</v>
      </c>
      <c r="L2933" s="17" t="str">
        <f>Raw_Data!L2933</f>
        <v>Pune-West</v>
      </c>
      <c r="M2933" s="13" t="str">
        <f t="shared" si="3"/>
        <v>OK</v>
      </c>
      <c r="N2933" s="18" t="str">
        <f t="shared" si="4"/>
        <v>VALID</v>
      </c>
    </row>
    <row r="2934" ht="15.75" customHeight="1">
      <c r="A2934" s="13" t="str">
        <f>Raw_Data!A2934</f>
        <v>EMP3086</v>
      </c>
      <c r="B2934" s="13" t="str">
        <f>TRIM(CLEAN(Raw_Data!B2934))</f>
        <v>HR</v>
      </c>
      <c r="C2934" s="18" t="s">
        <v>18</v>
      </c>
      <c r="D2934" s="14" t="str">
        <f>IF(ISBLANK(Raw_Data!D2934),AVERAGE(Raw_Data!D$2:D$5002),Raw_Data!D2934)</f>
        <v>81676.54</v>
      </c>
      <c r="E2934" s="15" t="str">
        <f>IF(ISBLANK(Raw_Data!E2934),AVERAGE(Raw_Data!E$2:E$5002),Raw_Data!E2934)</f>
        <v>28231.64</v>
      </c>
      <c r="F2934" s="15" t="str">
        <f>IF(ISBLANK(Raw_Data!F2934),AVERAGE(Raw_Data!F$2:F$5002),Raw_Data!F2934)</f>
        <v>23871.75</v>
      </c>
      <c r="G2934" s="14" t="str">
        <f>IF(ISBLANK(Raw_Data!G2934),AVERAGE(Raw_Data!G$2:G$5002),Raw_Data!G2934)</f>
        <v>17394.62</v>
      </c>
      <c r="H2934" s="15" t="str">
        <f t="shared" si="1"/>
        <v>133780.00</v>
      </c>
      <c r="I2934" s="14" t="str">
        <f t="shared" si="2"/>
        <v>116385.00</v>
      </c>
      <c r="J2934" s="16" t="str">
        <f>TEXT(Raw_Data!J2934,"MMM-YYY")</f>
        <v>Oct-2025</v>
      </c>
      <c r="K2934" s="13" t="str">
        <f>Raw_Data!K2934</f>
        <v>20</v>
      </c>
      <c r="L2934" s="17" t="str">
        <f>Raw_Data!L2934</f>
        <v>Hyderabad-South</v>
      </c>
      <c r="M2934" s="13" t="str">
        <f t="shared" si="3"/>
        <v>OK</v>
      </c>
      <c r="N2934" s="18" t="str">
        <f t="shared" si="4"/>
        <v>VALID</v>
      </c>
    </row>
    <row r="2935" ht="15.75" customHeight="1">
      <c r="A2935" s="13" t="str">
        <f>Raw_Data!A2935</f>
        <v>EMP3087</v>
      </c>
      <c r="B2935" s="13" t="str">
        <f>TRIM(CLEAN(Raw_Data!B2935))</f>
        <v>Sales</v>
      </c>
      <c r="C2935" s="18" t="s">
        <v>54</v>
      </c>
      <c r="D2935" s="14" t="str">
        <f>IF(ISBLANK(Raw_Data!D2935),AVERAGE(Raw_Data!D$2:D$5002),Raw_Data!D2935)</f>
        <v>81687.42</v>
      </c>
      <c r="E2935" s="15" t="str">
        <f>IF(ISBLANK(Raw_Data!E2935),AVERAGE(Raw_Data!E$2:E$5002),Raw_Data!E2935)</f>
        <v>28236.26</v>
      </c>
      <c r="F2935" s="15" t="str">
        <f>IF(ISBLANK(Raw_Data!F2935),AVERAGE(Raw_Data!F$2:F$5002),Raw_Data!F2935)</f>
        <v>23879.43</v>
      </c>
      <c r="G2935" s="14" t="str">
        <f>IF(ISBLANK(Raw_Data!G2935),AVERAGE(Raw_Data!G$2:G$5002),Raw_Data!G2935)</f>
        <v>17398.02</v>
      </c>
      <c r="H2935" s="15" t="str">
        <f t="shared" si="1"/>
        <v>133803.00</v>
      </c>
      <c r="I2935" s="14" t="str">
        <f t="shared" si="2"/>
        <v>116405.00</v>
      </c>
      <c r="J2935" s="16" t="str">
        <f>TEXT(Raw_Data!J2935,"MMM-YYY")</f>
        <v>Aug-2025</v>
      </c>
      <c r="K2935" s="13" t="str">
        <f>Raw_Data!K2935</f>
        <v>1</v>
      </c>
      <c r="L2935" s="17" t="str">
        <f>Raw_Data!L2935</f>
        <v>Chandigarh-North</v>
      </c>
      <c r="M2935" s="13" t="str">
        <f t="shared" si="3"/>
        <v>OK</v>
      </c>
      <c r="N2935" s="18" t="str">
        <f t="shared" si="4"/>
        <v>VALID</v>
      </c>
    </row>
    <row r="2936" ht="15.75" customHeight="1">
      <c r="A2936" s="13" t="str">
        <f>Raw_Data!A2936</f>
        <v>EMP3088</v>
      </c>
      <c r="B2936" s="13" t="str">
        <f>TRIM(CLEAN(Raw_Data!B2936))</f>
        <v>Customer Support</v>
      </c>
      <c r="C2936" s="18" t="s">
        <v>33</v>
      </c>
      <c r="D2936" s="14" t="str">
        <f>IF(ISBLANK(Raw_Data!D2936),AVERAGE(Raw_Data!D$2:D$5002),Raw_Data!D2936)</f>
        <v>81698.31</v>
      </c>
      <c r="E2936" s="15" t="str">
        <f>IF(ISBLANK(Raw_Data!E2936),AVERAGE(Raw_Data!E$2:E$5002),Raw_Data!E2936)</f>
        <v>28240.87</v>
      </c>
      <c r="F2936" s="15" t="str">
        <f>IF(ISBLANK(Raw_Data!F2936),AVERAGE(Raw_Data!F$2:F$5002),Raw_Data!F2936)</f>
        <v>23887.11</v>
      </c>
      <c r="G2936" s="14" t="str">
        <f>IF(ISBLANK(Raw_Data!G2936),AVERAGE(Raw_Data!G$2:G$5002),Raw_Data!G2936)</f>
        <v>17401.42</v>
      </c>
      <c r="H2936" s="15" t="str">
        <f t="shared" si="1"/>
        <v>133826.00</v>
      </c>
      <c r="I2936" s="14" t="str">
        <f t="shared" si="2"/>
        <v>116425.00</v>
      </c>
      <c r="J2936" s="16" t="str">
        <f>TEXT(Raw_Data!J2936,"MMM-YYY")</f>
        <v>Oct-2025</v>
      </c>
      <c r="K2936" s="13" t="str">
        <f>Raw_Data!K2936</f>
        <v>25</v>
      </c>
      <c r="L2936" s="17" t="str">
        <f>Raw_Data!L2936</f>
        <v>Ahmedabad-West</v>
      </c>
      <c r="M2936" s="13" t="str">
        <f t="shared" si="3"/>
        <v>OK</v>
      </c>
      <c r="N2936" s="18" t="str">
        <f t="shared" si="4"/>
        <v>VALID</v>
      </c>
    </row>
    <row r="2937" ht="15.75" customHeight="1">
      <c r="A2937" s="13" t="str">
        <f>Raw_Data!A2937</f>
        <v>EMP3089</v>
      </c>
      <c r="B2937" s="13" t="str">
        <f>TRIM(CLEAN(Raw_Data!B2937))</f>
        <v>Marketing</v>
      </c>
      <c r="C2937" s="18" t="s">
        <v>33</v>
      </c>
      <c r="D2937" s="14" t="str">
        <f>IF(ISBLANK(Raw_Data!D2937),AVERAGE(Raw_Data!D$2:D$5002),Raw_Data!D2937)</f>
        <v>81709.19</v>
      </c>
      <c r="E2937" s="15" t="str">
        <f>IF(ISBLANK(Raw_Data!E2937),AVERAGE(Raw_Data!E$2:E$5002),Raw_Data!E2937)</f>
        <v>28245.49</v>
      </c>
      <c r="F2937" s="15" t="str">
        <f>IF(ISBLANK(Raw_Data!F2937),AVERAGE(Raw_Data!F$2:F$5002),Raw_Data!F2937)</f>
        <v>23894.79</v>
      </c>
      <c r="G2937" s="14" t="str">
        <f>IF(ISBLANK(Raw_Data!G2937),AVERAGE(Raw_Data!G$2:G$5002),Raw_Data!G2937)</f>
        <v>17404.81</v>
      </c>
      <c r="H2937" s="15" t="str">
        <f t="shared" si="1"/>
        <v>133849.00</v>
      </c>
      <c r="I2937" s="14" t="str">
        <f t="shared" si="2"/>
        <v>116444.00</v>
      </c>
      <c r="J2937" s="16" t="str">
        <f>TEXT(Raw_Data!J2937,"MMM-YYY")</f>
        <v>Nov-2025</v>
      </c>
      <c r="K2937" s="13" t="str">
        <f>Raw_Data!K2937</f>
        <v>18</v>
      </c>
      <c r="L2937" s="17" t="str">
        <f>Raw_Data!L2937</f>
        <v>Jaipur-North</v>
      </c>
      <c r="M2937" s="13" t="str">
        <f t="shared" si="3"/>
        <v>OK</v>
      </c>
      <c r="N2937" s="18" t="str">
        <f t="shared" si="4"/>
        <v>VALID</v>
      </c>
    </row>
    <row r="2938" ht="15.75" customHeight="1">
      <c r="A2938" s="13" t="str">
        <f>Raw_Data!A2938</f>
        <v>EMP3090</v>
      </c>
      <c r="B2938" s="13" t="str">
        <f>TRIM(CLEAN(Raw_Data!B2938))</f>
        <v>IT</v>
      </c>
      <c r="C2938" s="18" t="s">
        <v>33</v>
      </c>
      <c r="D2938" s="14" t="str">
        <f>IF(ISBLANK(Raw_Data!D2938),AVERAGE(Raw_Data!D$2:D$5002),Raw_Data!D2938)</f>
        <v>81720.07</v>
      </c>
      <c r="E2938" s="15" t="str">
        <f>IF(ISBLANK(Raw_Data!E2938),AVERAGE(Raw_Data!E$2:E$5002),Raw_Data!E2938)</f>
        <v>28250.10</v>
      </c>
      <c r="F2938" s="15" t="str">
        <f>IF(ISBLANK(Raw_Data!F2938),AVERAGE(Raw_Data!F$2:F$5002),Raw_Data!F2938)</f>
        <v>23902.47</v>
      </c>
      <c r="G2938" s="14" t="str">
        <f>IF(ISBLANK(Raw_Data!G2938),AVERAGE(Raw_Data!G$2:G$5002),Raw_Data!G2938)</f>
        <v>17408.21</v>
      </c>
      <c r="H2938" s="15" t="str">
        <f t="shared" si="1"/>
        <v>133873.00</v>
      </c>
      <c r="I2938" s="14" t="str">
        <f t="shared" si="2"/>
        <v>116465.00</v>
      </c>
      <c r="J2938" s="16" t="str">
        <f>TEXT(Raw_Data!J2938,"MMM-YYY")</f>
        <v>Sep-2025</v>
      </c>
      <c r="K2938" s="13" t="str">
        <f>Raw_Data!K2938</f>
        <v>14</v>
      </c>
      <c r="L2938" s="17" t="str">
        <f>Raw_Data!L2938</f>
        <v>Mumbai-HO</v>
      </c>
      <c r="M2938" s="13" t="str">
        <f t="shared" si="3"/>
        <v>OK</v>
      </c>
      <c r="N2938" s="18" t="str">
        <f t="shared" si="4"/>
        <v>VALID</v>
      </c>
    </row>
    <row r="2939" ht="15.75" customHeight="1">
      <c r="A2939" s="13" t="str">
        <f>Raw_Data!A2939</f>
        <v>EMP3091</v>
      </c>
      <c r="B2939" s="13" t="str">
        <f>TRIM(CLEAN(Raw_Data!B2939))</f>
        <v>Sales</v>
      </c>
      <c r="C2939" s="18" t="s">
        <v>18</v>
      </c>
      <c r="D2939" s="14" t="str">
        <f>IF(ISBLANK(Raw_Data!D2939),AVERAGE(Raw_Data!D$2:D$5002),Raw_Data!D2939)</f>
        <v>81730.95</v>
      </c>
      <c r="E2939" s="15" t="str">
        <f>IF(ISBLANK(Raw_Data!E2939),AVERAGE(Raw_Data!E$2:E$5002),Raw_Data!E2939)</f>
        <v>28254.72</v>
      </c>
      <c r="F2939" s="15" t="str">
        <f>IF(ISBLANK(Raw_Data!F2939),AVERAGE(Raw_Data!F$2:F$5002),Raw_Data!F2939)</f>
        <v>23910.15</v>
      </c>
      <c r="G2939" s="14" t="str">
        <f>IF(ISBLANK(Raw_Data!G2939),AVERAGE(Raw_Data!G$2:G$5002),Raw_Data!G2939)</f>
        <v>17411.61</v>
      </c>
      <c r="H2939" s="15" t="str">
        <f t="shared" si="1"/>
        <v>133896.00</v>
      </c>
      <c r="I2939" s="14" t="str">
        <f t="shared" si="2"/>
        <v>116484.00</v>
      </c>
      <c r="J2939" s="16" t="str">
        <f>TEXT(Raw_Data!J2939,"MMM-YYY")</f>
        <v>May-2025</v>
      </c>
      <c r="K2939" s="13" t="str">
        <f>Raw_Data!K2939</f>
        <v>21</v>
      </c>
      <c r="L2939" s="17" t="str">
        <f>Raw_Data!L2939</f>
        <v>Delhi-North</v>
      </c>
      <c r="M2939" s="13" t="str">
        <f t="shared" si="3"/>
        <v>OK</v>
      </c>
      <c r="N2939" s="18" t="str">
        <f t="shared" si="4"/>
        <v>VALID</v>
      </c>
    </row>
    <row r="2940" ht="15.75" customHeight="1">
      <c r="A2940" s="13" t="str">
        <f>Raw_Data!A2940</f>
        <v>EMP3092</v>
      </c>
      <c r="B2940" s="13" t="str">
        <f>TRIM(CLEAN(Raw_Data!B2940))</f>
        <v>Operations</v>
      </c>
      <c r="C2940" s="18" t="s">
        <v>30</v>
      </c>
      <c r="D2940" s="14" t="str">
        <f>IF(ISBLANK(Raw_Data!D2940),AVERAGE(Raw_Data!D$2:D$5002),Raw_Data!D2940)</f>
        <v>81741.84</v>
      </c>
      <c r="E2940" s="15" t="str">
        <f>IF(ISBLANK(Raw_Data!E2940),AVERAGE(Raw_Data!E$2:E$5002),Raw_Data!E2940)</f>
        <v>28259.33</v>
      </c>
      <c r="F2940" s="15" t="str">
        <f>IF(ISBLANK(Raw_Data!F2940),AVERAGE(Raw_Data!F$2:F$5002),Raw_Data!F2940)</f>
        <v>23917.83</v>
      </c>
      <c r="G2940" s="14" t="str">
        <f>IF(ISBLANK(Raw_Data!G2940),AVERAGE(Raw_Data!G$2:G$5002),Raw_Data!G2940)</f>
        <v>17415.01</v>
      </c>
      <c r="H2940" s="15" t="str">
        <f t="shared" si="1"/>
        <v>133919.00</v>
      </c>
      <c r="I2940" s="14" t="str">
        <f t="shared" si="2"/>
        <v>116504.00</v>
      </c>
      <c r="J2940" s="16" t="str">
        <f>TEXT(Raw_Data!J2940,"MMM-YYY")</f>
        <v>Mar-2025</v>
      </c>
      <c r="K2940" s="13" t="str">
        <f>Raw_Data!K2940</f>
        <v>18</v>
      </c>
      <c r="L2940" s="17" t="str">
        <f>Raw_Data!L2940</f>
        <v>Bangalore-South</v>
      </c>
      <c r="M2940" s="13" t="str">
        <f t="shared" si="3"/>
        <v>OK</v>
      </c>
      <c r="N2940" s="18" t="str">
        <f t="shared" si="4"/>
        <v>VALID</v>
      </c>
    </row>
    <row r="2941" ht="15.75" customHeight="1">
      <c r="A2941" s="13" t="str">
        <f>Raw_Data!A2941</f>
        <v>EMP3093</v>
      </c>
      <c r="B2941" s="13" t="str">
        <f>TRIM(CLEAN(Raw_Data!B2941))</f>
        <v>IT</v>
      </c>
      <c r="C2941" s="18" t="s">
        <v>33</v>
      </c>
      <c r="D2941" s="14" t="str">
        <f>IF(ISBLANK(Raw_Data!D2941),AVERAGE(Raw_Data!D$2:D$5002),Raw_Data!D2941)</f>
        <v>81752.72</v>
      </c>
      <c r="E2941" s="15" t="str">
        <f>IF(ISBLANK(Raw_Data!E2941),AVERAGE(Raw_Data!E$2:E$5002),Raw_Data!E2941)</f>
        <v>28263.95</v>
      </c>
      <c r="F2941" s="15" t="str">
        <f>IF(ISBLANK(Raw_Data!F2941),AVERAGE(Raw_Data!F$2:F$5002),Raw_Data!F2941)</f>
        <v>23925.51</v>
      </c>
      <c r="G2941" s="14" t="str">
        <f>IF(ISBLANK(Raw_Data!G2941),AVERAGE(Raw_Data!G$2:G$5002),Raw_Data!G2941)</f>
        <v>17418.40</v>
      </c>
      <c r="H2941" s="15" t="str">
        <f t="shared" si="1"/>
        <v>133942.00</v>
      </c>
      <c r="I2941" s="14" t="str">
        <f t="shared" si="2"/>
        <v>116524.00</v>
      </c>
      <c r="J2941" s="16" t="str">
        <f>TEXT(Raw_Data!J2941,"MMM-YYY")</f>
        <v>May-2025</v>
      </c>
      <c r="K2941" s="13" t="str">
        <f>Raw_Data!K2941</f>
        <v>17</v>
      </c>
      <c r="L2941" s="17" t="str">
        <f>Raw_Data!L2941</f>
        <v>Chennai-South</v>
      </c>
      <c r="M2941" s="13" t="str">
        <f t="shared" si="3"/>
        <v>OK</v>
      </c>
      <c r="N2941" s="18" t="str">
        <f t="shared" si="4"/>
        <v>VALID</v>
      </c>
    </row>
    <row r="2942" ht="15.75" customHeight="1">
      <c r="A2942" s="13" t="str">
        <f>Raw_Data!A2942</f>
        <v>EMP3095</v>
      </c>
      <c r="B2942" s="13" t="str">
        <f>TRIM(CLEAN(Raw_Data!B2942))</f>
        <v>Sales</v>
      </c>
      <c r="C2942" s="18" t="s">
        <v>37</v>
      </c>
      <c r="D2942" s="14" t="str">
        <f>IF(ISBLANK(Raw_Data!D2942),AVERAGE(Raw_Data!D$2:D$5002),Raw_Data!D2942)</f>
        <v>81774.49</v>
      </c>
      <c r="E2942" s="15" t="str">
        <f>IF(ISBLANK(Raw_Data!E2942),AVERAGE(Raw_Data!E$2:E$5002),Raw_Data!E2942)</f>
        <v>28273.18</v>
      </c>
      <c r="F2942" s="15" t="str">
        <f>IF(ISBLANK(Raw_Data!F2942),AVERAGE(Raw_Data!F$2:F$5002),Raw_Data!F2942)</f>
        <v>23940.87</v>
      </c>
      <c r="G2942" s="14" t="str">
        <f>IF(ISBLANK(Raw_Data!G2942),AVERAGE(Raw_Data!G$2:G$5002),Raw_Data!G2942)</f>
        <v>17425.20</v>
      </c>
      <c r="H2942" s="15" t="str">
        <f t="shared" si="1"/>
        <v>133989.00</v>
      </c>
      <c r="I2942" s="14" t="str">
        <f t="shared" si="2"/>
        <v>116564.00</v>
      </c>
      <c r="J2942" s="16" t="str">
        <f>TEXT(Raw_Data!J2942,"MMM-YYY")</f>
        <v>Oct-2025</v>
      </c>
      <c r="K2942" s="13" t="str">
        <f>Raw_Data!K2942</f>
        <v>4</v>
      </c>
      <c r="L2942" s="17" t="str">
        <f>Raw_Data!L2942</f>
        <v>Pune-West</v>
      </c>
      <c r="M2942" s="13" t="str">
        <f t="shared" si="3"/>
        <v>OK</v>
      </c>
      <c r="N2942" s="18" t="str">
        <f t="shared" si="4"/>
        <v>VALID</v>
      </c>
    </row>
    <row r="2943" ht="15.75" customHeight="1">
      <c r="A2943" s="13" t="str">
        <f>Raw_Data!A2943</f>
        <v>EMP3096</v>
      </c>
      <c r="B2943" s="13" t="str">
        <f>TRIM(CLEAN(Raw_Data!B2943))</f>
        <v>Marketing</v>
      </c>
      <c r="C2943" s="18" t="s">
        <v>26</v>
      </c>
      <c r="D2943" s="14" t="str">
        <f>IF(ISBLANK(Raw_Data!D2943),AVERAGE(Raw_Data!D$2:D$5002),Raw_Data!D2943)</f>
        <v>81785.37</v>
      </c>
      <c r="E2943" s="15" t="str">
        <f>IF(ISBLANK(Raw_Data!E2943),AVERAGE(Raw_Data!E$2:E$5002),Raw_Data!E2943)</f>
        <v>28277.79</v>
      </c>
      <c r="F2943" s="15" t="str">
        <f>IF(ISBLANK(Raw_Data!F2943),AVERAGE(Raw_Data!F$2:F$5002),Raw_Data!F2943)</f>
        <v>23948.55</v>
      </c>
      <c r="G2943" s="14" t="str">
        <f>IF(ISBLANK(Raw_Data!G2943),AVERAGE(Raw_Data!G$2:G$5002),Raw_Data!G2943)</f>
        <v>17428.60</v>
      </c>
      <c r="H2943" s="15" t="str">
        <f t="shared" si="1"/>
        <v>134012.00</v>
      </c>
      <c r="I2943" s="14" t="str">
        <f t="shared" si="2"/>
        <v>116583.00</v>
      </c>
      <c r="J2943" s="16" t="str">
        <f>TEXT(Raw_Data!J2943,"MMM-YYY")</f>
        <v>Jul-2025</v>
      </c>
      <c r="K2943" s="13" t="str">
        <f>Raw_Data!K2943</f>
        <v>8</v>
      </c>
      <c r="L2943" s="17" t="str">
        <f>Raw_Data!L2943</f>
        <v>Hyderabad-South</v>
      </c>
      <c r="M2943" s="13" t="str">
        <f t="shared" si="3"/>
        <v>OK</v>
      </c>
      <c r="N2943" s="18" t="str">
        <f t="shared" si="4"/>
        <v>VALID</v>
      </c>
    </row>
    <row r="2944" ht="15.75" customHeight="1">
      <c r="A2944" s="13" t="str">
        <f>Raw_Data!A2944</f>
        <v>EMP3097</v>
      </c>
      <c r="B2944" s="13" t="str">
        <f>TRIM(CLEAN(Raw_Data!B2944))</f>
        <v>Customer Support</v>
      </c>
      <c r="C2944" s="18" t="s">
        <v>54</v>
      </c>
      <c r="D2944" s="14" t="str">
        <f>IF(ISBLANK(Raw_Data!D2944),AVERAGE(Raw_Data!D$2:D$5002),Raw_Data!D2944)</f>
        <v>81796.25</v>
      </c>
      <c r="E2944" s="15" t="str">
        <f>IF(ISBLANK(Raw_Data!E2944),AVERAGE(Raw_Data!E$2:E$5002),Raw_Data!E2944)</f>
        <v>28282.41</v>
      </c>
      <c r="F2944" s="15" t="str">
        <f>IF(ISBLANK(Raw_Data!F2944),AVERAGE(Raw_Data!F$2:F$5002),Raw_Data!F2944)</f>
        <v>23956.23</v>
      </c>
      <c r="G2944" s="14" t="str">
        <f>IF(ISBLANK(Raw_Data!G2944),AVERAGE(Raw_Data!G$2:G$5002),Raw_Data!G2944)</f>
        <v>17431.99</v>
      </c>
      <c r="H2944" s="15" t="str">
        <f t="shared" si="1"/>
        <v>134035.00</v>
      </c>
      <c r="I2944" s="14" t="str">
        <f t="shared" si="2"/>
        <v>116603.00</v>
      </c>
      <c r="J2944" s="16" t="str">
        <f>TEXT(Raw_Data!J2944,"MMM-YYY")</f>
        <v>Apr-2025</v>
      </c>
      <c r="K2944" s="13" t="str">
        <f>Raw_Data!K2944</f>
        <v>10</v>
      </c>
      <c r="L2944" s="17" t="str">
        <f>Raw_Data!L2944</f>
        <v>Chandigarh-North</v>
      </c>
      <c r="M2944" s="13" t="str">
        <f t="shared" si="3"/>
        <v>OK</v>
      </c>
      <c r="N2944" s="18" t="str">
        <f t="shared" si="4"/>
        <v>VALID</v>
      </c>
    </row>
    <row r="2945" ht="15.75" customHeight="1">
      <c r="A2945" s="13" t="str">
        <f>Raw_Data!A2945</f>
        <v>EMP3098</v>
      </c>
      <c r="B2945" s="13" t="str">
        <f>TRIM(CLEAN(Raw_Data!B2945))</f>
        <v>HR</v>
      </c>
      <c r="C2945" s="18" t="s">
        <v>37</v>
      </c>
      <c r="D2945" s="14" t="str">
        <f>IF(ISBLANK(Raw_Data!D2945),AVERAGE(Raw_Data!D$2:D$5002),Raw_Data!D2945)</f>
        <v>81807.14</v>
      </c>
      <c r="E2945" s="15" t="str">
        <f>IF(ISBLANK(Raw_Data!E2945),AVERAGE(Raw_Data!E$2:E$5002),Raw_Data!E2945)</f>
        <v>28287.02</v>
      </c>
      <c r="F2945" s="15" t="str">
        <f>IF(ISBLANK(Raw_Data!F2945),AVERAGE(Raw_Data!F$2:F$5002),Raw_Data!F2945)</f>
        <v>23963.91</v>
      </c>
      <c r="G2945" s="14" t="str">
        <f>IF(ISBLANK(Raw_Data!G2945),AVERAGE(Raw_Data!G$2:G$5002),Raw_Data!G2945)</f>
        <v>17435.39</v>
      </c>
      <c r="H2945" s="15" t="str">
        <f t="shared" si="1"/>
        <v>134058.00</v>
      </c>
      <c r="I2945" s="14" t="str">
        <f t="shared" si="2"/>
        <v>116623.00</v>
      </c>
      <c r="J2945" s="16" t="str">
        <f>TEXT(Raw_Data!J2945,"MMM-YYY")</f>
        <v>Mar-2025</v>
      </c>
      <c r="K2945" s="13" t="str">
        <f>Raw_Data!K2945</f>
        <v>1</v>
      </c>
      <c r="L2945" s="17" t="str">
        <f>Raw_Data!L2945</f>
        <v>Ahmedabad-West</v>
      </c>
      <c r="M2945" s="13" t="str">
        <f t="shared" si="3"/>
        <v>OK</v>
      </c>
      <c r="N2945" s="18" t="str">
        <f t="shared" si="4"/>
        <v>VALID</v>
      </c>
    </row>
    <row r="2946" ht="15.75" customHeight="1">
      <c r="A2946" s="13" t="str">
        <f>Raw_Data!A2946</f>
        <v>EMP3099</v>
      </c>
      <c r="B2946" s="13" t="str">
        <f>TRIM(CLEAN(Raw_Data!B2946))</f>
        <v>Operations</v>
      </c>
      <c r="C2946" s="18" t="s">
        <v>18</v>
      </c>
      <c r="D2946" s="14" t="str">
        <f>IF(ISBLANK(Raw_Data!D2946),AVERAGE(Raw_Data!D$2:D$5002),Raw_Data!D2946)</f>
        <v>81818.02</v>
      </c>
      <c r="E2946" s="15" t="str">
        <f>IF(ISBLANK(Raw_Data!E2946),AVERAGE(Raw_Data!E$2:E$5002),Raw_Data!E2946)</f>
        <v>28291.64</v>
      </c>
      <c r="F2946" s="15" t="str">
        <f>IF(ISBLANK(Raw_Data!F2946),AVERAGE(Raw_Data!F$2:F$5002),Raw_Data!F2946)</f>
        <v>23971.59</v>
      </c>
      <c r="G2946" s="14" t="str">
        <f>IF(ISBLANK(Raw_Data!G2946),AVERAGE(Raw_Data!G$2:G$5002),Raw_Data!G2946)</f>
        <v>17438.79</v>
      </c>
      <c r="H2946" s="15" t="str">
        <f t="shared" si="1"/>
        <v>134081.00</v>
      </c>
      <c r="I2946" s="14" t="str">
        <f t="shared" si="2"/>
        <v>116642.00</v>
      </c>
      <c r="J2946" s="16" t="str">
        <f>TEXT(Raw_Data!J2946,"MMM-YYY")</f>
        <v>Nov-2025</v>
      </c>
      <c r="K2946" s="13" t="str">
        <f>Raw_Data!K2946</f>
        <v>21</v>
      </c>
      <c r="L2946" s="17" t="str">
        <f>Raw_Data!L2946</f>
        <v>Jaipur-North</v>
      </c>
      <c r="M2946" s="13" t="str">
        <f t="shared" si="3"/>
        <v>OK</v>
      </c>
      <c r="N2946" s="18" t="str">
        <f t="shared" si="4"/>
        <v>VALID</v>
      </c>
    </row>
    <row r="2947" ht="15.75" customHeight="1">
      <c r="A2947" s="13" t="str">
        <f>Raw_Data!A2947</f>
        <v>EMP3100</v>
      </c>
      <c r="B2947" s="13" t="str">
        <f>TRIM(CLEAN(Raw_Data!B2947))</f>
        <v>IT</v>
      </c>
      <c r="C2947" s="18" t="s">
        <v>54</v>
      </c>
      <c r="D2947" s="14" t="str">
        <f>IF(ISBLANK(Raw_Data!D2947),AVERAGE(Raw_Data!D$2:D$5002),Raw_Data!D2947)</f>
        <v>81828.90</v>
      </c>
      <c r="E2947" s="15" t="str">
        <f>IF(ISBLANK(Raw_Data!E2947),AVERAGE(Raw_Data!E$2:E$5002),Raw_Data!E2947)</f>
        <v>28296.25</v>
      </c>
      <c r="F2947" s="15" t="str">
        <f>IF(ISBLANK(Raw_Data!F2947),AVERAGE(Raw_Data!F$2:F$5002),Raw_Data!F2947)</f>
        <v>23979.27</v>
      </c>
      <c r="G2947" s="14" t="str">
        <f>IF(ISBLANK(Raw_Data!G2947),AVERAGE(Raw_Data!G$2:G$5002),Raw_Data!G2947)</f>
        <v>17442.19</v>
      </c>
      <c r="H2947" s="15" t="str">
        <f t="shared" si="1"/>
        <v>134104.00</v>
      </c>
      <c r="I2947" s="14" t="str">
        <f t="shared" si="2"/>
        <v>116662.00</v>
      </c>
      <c r="J2947" s="16" t="str">
        <f>TEXT(Raw_Data!J2947,"MMM-YYY")</f>
        <v>Mar-2025</v>
      </c>
      <c r="K2947" s="13" t="str">
        <f>Raw_Data!K2947</f>
        <v>18</v>
      </c>
      <c r="L2947" s="17" t="str">
        <f>Raw_Data!L2947</f>
        <v>Mumbai-HO</v>
      </c>
      <c r="M2947" s="13" t="str">
        <f t="shared" si="3"/>
        <v>OK</v>
      </c>
      <c r="N2947" s="18" t="str">
        <f t="shared" si="4"/>
        <v>VALID</v>
      </c>
    </row>
    <row r="2948" ht="15.75" customHeight="1">
      <c r="A2948" s="13" t="str">
        <f>Raw_Data!A2948</f>
        <v>EMP3101</v>
      </c>
      <c r="B2948" s="13" t="str">
        <f>TRIM(CLEAN(Raw_Data!B2948))</f>
        <v>IT</v>
      </c>
      <c r="C2948" s="18" t="s">
        <v>30</v>
      </c>
      <c r="D2948" s="14" t="str">
        <f>IF(ISBLANK(Raw_Data!D2948),AVERAGE(Raw_Data!D$2:D$5002),Raw_Data!D2948)</f>
        <v>81839.78</v>
      </c>
      <c r="E2948" s="15" t="str">
        <f>IF(ISBLANK(Raw_Data!E2948),AVERAGE(Raw_Data!E$2:E$5002),Raw_Data!E2948)</f>
        <v>28300.87</v>
      </c>
      <c r="F2948" s="15" t="str">
        <f>IF(ISBLANK(Raw_Data!F2948),AVERAGE(Raw_Data!F$2:F$5002),Raw_Data!F2948)</f>
        <v>23986.95</v>
      </c>
      <c r="G2948" s="14" t="str">
        <f>IF(ISBLANK(Raw_Data!G2948),AVERAGE(Raw_Data!G$2:G$5002),Raw_Data!G2948)</f>
        <v>17445.58</v>
      </c>
      <c r="H2948" s="15" t="str">
        <f t="shared" si="1"/>
        <v>134128.00</v>
      </c>
      <c r="I2948" s="14" t="str">
        <f t="shared" si="2"/>
        <v>116682.00</v>
      </c>
      <c r="J2948" s="16" t="str">
        <f>TEXT(Raw_Data!J2948,"MMM-YYY")</f>
        <v>Mar-2025</v>
      </c>
      <c r="K2948" s="13" t="str">
        <f>Raw_Data!K2948</f>
        <v>20</v>
      </c>
      <c r="L2948" s="17" t="str">
        <f>Raw_Data!L2948</f>
        <v>Delhi-North</v>
      </c>
      <c r="M2948" s="13" t="str">
        <f t="shared" si="3"/>
        <v>OK</v>
      </c>
      <c r="N2948" s="18" t="str">
        <f t="shared" si="4"/>
        <v>VALID</v>
      </c>
    </row>
    <row r="2949" ht="15.75" customHeight="1">
      <c r="A2949" s="13" t="str">
        <f>Raw_Data!A2949</f>
        <v>EMP3102</v>
      </c>
      <c r="B2949" s="13" t="str">
        <f>TRIM(CLEAN(Raw_Data!B2949))</f>
        <v>Finance</v>
      </c>
      <c r="C2949" s="18" t="s">
        <v>18</v>
      </c>
      <c r="D2949" s="14" t="str">
        <f>IF(ISBLANK(Raw_Data!D2949),AVERAGE(Raw_Data!D$2:D$5002),Raw_Data!D2949)</f>
        <v>81850.67</v>
      </c>
      <c r="E2949" s="15" t="str">
        <f>IF(ISBLANK(Raw_Data!E2949),AVERAGE(Raw_Data!E$2:E$5002),Raw_Data!E2949)</f>
        <v>28305.48</v>
      </c>
      <c r="F2949" s="15" t="str">
        <f>IF(ISBLANK(Raw_Data!F2949),AVERAGE(Raw_Data!F$2:F$5002),Raw_Data!F2949)</f>
        <v>23994.63</v>
      </c>
      <c r="G2949" s="14" t="str">
        <f>IF(ISBLANK(Raw_Data!G2949),AVERAGE(Raw_Data!G$2:G$5002),Raw_Data!G2949)</f>
        <v>17448.98</v>
      </c>
      <c r="H2949" s="15" t="str">
        <f t="shared" si="1"/>
        <v>134151.00</v>
      </c>
      <c r="I2949" s="14" t="str">
        <f t="shared" si="2"/>
        <v>116702.00</v>
      </c>
      <c r="J2949" s="16" t="str">
        <f>TEXT(Raw_Data!J2949,"MMM-YYY")</f>
        <v>Jul-2025</v>
      </c>
      <c r="K2949" s="13" t="str">
        <f>Raw_Data!K2949</f>
        <v>16</v>
      </c>
      <c r="L2949" s="17" t="str">
        <f>Raw_Data!L2949</f>
        <v>Bangalore-South</v>
      </c>
      <c r="M2949" s="13" t="str">
        <f t="shared" si="3"/>
        <v>OK</v>
      </c>
      <c r="N2949" s="18" t="str">
        <f t="shared" si="4"/>
        <v>VALID</v>
      </c>
    </row>
    <row r="2950" ht="15.75" customHeight="1">
      <c r="A2950" s="13" t="str">
        <f>Raw_Data!A2950</f>
        <v>EMP3103</v>
      </c>
      <c r="B2950" s="13" t="str">
        <f>TRIM(CLEAN(Raw_Data!B2950))</f>
        <v>Operations</v>
      </c>
      <c r="C2950" s="18" t="s">
        <v>33</v>
      </c>
      <c r="D2950" s="14" t="str">
        <f>IF(ISBLANK(Raw_Data!D2950),AVERAGE(Raw_Data!D$2:D$5002),Raw_Data!D2950)</f>
        <v>81861.55</v>
      </c>
      <c r="E2950" s="15" t="str">
        <f>IF(ISBLANK(Raw_Data!E2950),AVERAGE(Raw_Data!E$2:E$5002),Raw_Data!E2950)</f>
        <v>28310.10</v>
      </c>
      <c r="F2950" s="15" t="str">
        <f>IF(ISBLANK(Raw_Data!F2950),AVERAGE(Raw_Data!F$2:F$5002),Raw_Data!F2950)</f>
        <v>24002.31</v>
      </c>
      <c r="G2950" s="14" t="str">
        <f>IF(ISBLANK(Raw_Data!G2950),AVERAGE(Raw_Data!G$2:G$5002),Raw_Data!G2950)</f>
        <v>17452.38</v>
      </c>
      <c r="H2950" s="15" t="str">
        <f t="shared" si="1"/>
        <v>134174.00</v>
      </c>
      <c r="I2950" s="14" t="str">
        <f t="shared" si="2"/>
        <v>116722.00</v>
      </c>
      <c r="J2950" s="16" t="str">
        <f>TEXT(Raw_Data!J2950,"MMM-YYY")</f>
        <v>Jun-2025</v>
      </c>
      <c r="K2950" s="13" t="str">
        <f>Raw_Data!K2950</f>
        <v>11</v>
      </c>
      <c r="L2950" s="17" t="str">
        <f>Raw_Data!L2950</f>
        <v>Chennai-South</v>
      </c>
      <c r="M2950" s="13" t="str">
        <f t="shared" si="3"/>
        <v>OK</v>
      </c>
      <c r="N2950" s="18" t="str">
        <f t="shared" si="4"/>
        <v>VALID</v>
      </c>
    </row>
    <row r="2951" ht="15.75" customHeight="1">
      <c r="A2951" s="13" t="str">
        <f>Raw_Data!A2951</f>
        <v>EMP3104</v>
      </c>
      <c r="B2951" s="13" t="str">
        <f>TRIM(CLEAN(Raw_Data!B2951))</f>
        <v>Operations</v>
      </c>
      <c r="C2951" s="18" t="s">
        <v>14</v>
      </c>
      <c r="D2951" s="14" t="str">
        <f>IF(ISBLANK(Raw_Data!D2951),AVERAGE(Raw_Data!D$2:D$5002),Raw_Data!D2951)</f>
        <v>81872.43</v>
      </c>
      <c r="E2951" s="15" t="str">
        <f>IF(ISBLANK(Raw_Data!E2951),AVERAGE(Raw_Data!E$2:E$5002),Raw_Data!E2951)</f>
        <v>28314.71</v>
      </c>
      <c r="F2951" s="15" t="str">
        <f>IF(ISBLANK(Raw_Data!F2951),AVERAGE(Raw_Data!F$2:F$5002),Raw_Data!F2951)</f>
        <v>24009.99</v>
      </c>
      <c r="G2951" s="14" t="str">
        <f>IF(ISBLANK(Raw_Data!G2951),AVERAGE(Raw_Data!G$2:G$5002),Raw_Data!G2951)</f>
        <v>17455.78</v>
      </c>
      <c r="H2951" s="15" t="str">
        <f t="shared" si="1"/>
        <v>134197.00</v>
      </c>
      <c r="I2951" s="14" t="str">
        <f t="shared" si="2"/>
        <v>116741.00</v>
      </c>
      <c r="J2951" s="16" t="str">
        <f>TEXT(Raw_Data!J2951,"MMM-YYY")</f>
        <v>Jan-2025</v>
      </c>
      <c r="K2951" s="13" t="str">
        <f>Raw_Data!K2951</f>
        <v>15</v>
      </c>
      <c r="L2951" s="17" t="str">
        <f>Raw_Data!L2951</f>
        <v>Kolkata-East</v>
      </c>
      <c r="M2951" s="13" t="str">
        <f t="shared" si="3"/>
        <v>OK</v>
      </c>
      <c r="N2951" s="18" t="str">
        <f t="shared" si="4"/>
        <v>VALID</v>
      </c>
    </row>
    <row r="2952" ht="15.75" customHeight="1">
      <c r="A2952" s="13" t="str">
        <f>Raw_Data!A2952</f>
        <v>EMP3105</v>
      </c>
      <c r="B2952" s="13" t="str">
        <f>TRIM(CLEAN(Raw_Data!B2952))</f>
        <v>HR</v>
      </c>
      <c r="C2952" s="18" t="s">
        <v>26</v>
      </c>
      <c r="D2952" s="14" t="str">
        <f>IF(ISBLANK(Raw_Data!D2952),AVERAGE(Raw_Data!D$2:D$5002),Raw_Data!D2952)</f>
        <v>81883.32</v>
      </c>
      <c r="E2952" s="15" t="str">
        <f>IF(ISBLANK(Raw_Data!E2952),AVERAGE(Raw_Data!E$2:E$5002),Raw_Data!E2952)</f>
        <v>28319.32</v>
      </c>
      <c r="F2952" s="15" t="str">
        <f>IF(ISBLANK(Raw_Data!F2952),AVERAGE(Raw_Data!F$2:F$5002),Raw_Data!F2952)</f>
        <v>24017.67</v>
      </c>
      <c r="G2952" s="14" t="str">
        <f>IF(ISBLANK(Raw_Data!G2952),AVERAGE(Raw_Data!G$2:G$5002),Raw_Data!G2952)</f>
        <v>17459.17</v>
      </c>
      <c r="H2952" s="15" t="str">
        <f t="shared" si="1"/>
        <v>134220.00</v>
      </c>
      <c r="I2952" s="14" t="str">
        <f t="shared" si="2"/>
        <v>116761.00</v>
      </c>
      <c r="J2952" s="16" t="str">
        <f>TEXT(Raw_Data!J2952,"MMM-YYY")</f>
        <v>Jul-2025</v>
      </c>
      <c r="K2952" s="13" t="str">
        <f>Raw_Data!K2952</f>
        <v>13</v>
      </c>
      <c r="L2952" s="17" t="str">
        <f>Raw_Data!L2952</f>
        <v>Pune-West</v>
      </c>
      <c r="M2952" s="13" t="str">
        <f t="shared" si="3"/>
        <v>OK</v>
      </c>
      <c r="N2952" s="18" t="str">
        <f t="shared" si="4"/>
        <v>VALID</v>
      </c>
    </row>
    <row r="2953" ht="15.75" customHeight="1">
      <c r="A2953" s="13" t="str">
        <f>Raw_Data!A2953</f>
        <v>EMP3106</v>
      </c>
      <c r="B2953" s="13" t="str">
        <f>TRIM(CLEAN(Raw_Data!B2953))</f>
        <v>Customer Support</v>
      </c>
      <c r="C2953" s="18" t="s">
        <v>14</v>
      </c>
      <c r="D2953" s="14" t="str">
        <f>IF(ISBLANK(Raw_Data!D2953),AVERAGE(Raw_Data!D$2:D$5002),Raw_Data!D2953)</f>
        <v>81894.20</v>
      </c>
      <c r="E2953" s="15" t="str">
        <f>IF(ISBLANK(Raw_Data!E2953),AVERAGE(Raw_Data!E$2:E$5002),Raw_Data!E2953)</f>
        <v>28323.94</v>
      </c>
      <c r="F2953" s="15" t="str">
        <f>IF(ISBLANK(Raw_Data!F2953),AVERAGE(Raw_Data!F$2:F$5002),Raw_Data!F2953)</f>
        <v>24025.35</v>
      </c>
      <c r="G2953" s="14" t="str">
        <f>IF(ISBLANK(Raw_Data!G2953),AVERAGE(Raw_Data!G$2:G$5002),Raw_Data!G2953)</f>
        <v>17462.57</v>
      </c>
      <c r="H2953" s="15" t="str">
        <f t="shared" si="1"/>
        <v>134243.00</v>
      </c>
      <c r="I2953" s="14" t="str">
        <f t="shared" si="2"/>
        <v>116780.00</v>
      </c>
      <c r="J2953" s="16" t="str">
        <f>TEXT(Raw_Data!J2953,"MMM-YYY")</f>
        <v>May-2025</v>
      </c>
      <c r="K2953" s="13" t="str">
        <f>Raw_Data!K2953</f>
        <v>21</v>
      </c>
      <c r="L2953" s="17" t="str">
        <f>Raw_Data!L2953</f>
        <v>Hyderabad-South</v>
      </c>
      <c r="M2953" s="13" t="str">
        <f t="shared" si="3"/>
        <v>OK</v>
      </c>
      <c r="N2953" s="18" t="str">
        <f t="shared" si="4"/>
        <v>VALID</v>
      </c>
    </row>
    <row r="2954" ht="15.75" customHeight="1">
      <c r="A2954" s="13" t="str">
        <f>Raw_Data!A2954</f>
        <v>EMP3107</v>
      </c>
      <c r="B2954" s="13" t="str">
        <f>TRIM(CLEAN(Raw_Data!B2954))</f>
        <v>Finance</v>
      </c>
      <c r="C2954" s="18" t="s">
        <v>33</v>
      </c>
      <c r="D2954" s="14" t="str">
        <f>IF(ISBLANK(Raw_Data!D2954),AVERAGE(Raw_Data!D$2:D$5002),Raw_Data!D2954)</f>
        <v>81905.08</v>
      </c>
      <c r="E2954" s="15" t="str">
        <f>IF(ISBLANK(Raw_Data!E2954),AVERAGE(Raw_Data!E$2:E$5002),Raw_Data!E2954)</f>
        <v>28328.55</v>
      </c>
      <c r="F2954" s="15" t="str">
        <f>IF(ISBLANK(Raw_Data!F2954),AVERAGE(Raw_Data!F$2:F$5002),Raw_Data!F2954)</f>
        <v>24033.03</v>
      </c>
      <c r="G2954" s="14" t="str">
        <f>IF(ISBLANK(Raw_Data!G2954),AVERAGE(Raw_Data!G$2:G$5002),Raw_Data!G2954)</f>
        <v>17465.97</v>
      </c>
      <c r="H2954" s="15" t="str">
        <f t="shared" si="1"/>
        <v>134267.00</v>
      </c>
      <c r="I2954" s="14" t="str">
        <f t="shared" si="2"/>
        <v>116801.00</v>
      </c>
      <c r="J2954" s="16" t="str">
        <f>TEXT(Raw_Data!J2954,"MMM-YYY")</f>
        <v>Nov-2025</v>
      </c>
      <c r="K2954" s="13" t="str">
        <f>Raw_Data!K2954</f>
        <v>13</v>
      </c>
      <c r="L2954" s="17" t="str">
        <f>Raw_Data!L2954</f>
        <v>Chandigarh-North</v>
      </c>
      <c r="M2954" s="13" t="str">
        <f t="shared" si="3"/>
        <v>OK</v>
      </c>
      <c r="N2954" s="18" t="str">
        <f t="shared" si="4"/>
        <v>VALID</v>
      </c>
    </row>
    <row r="2955" ht="15.75" customHeight="1">
      <c r="A2955" s="13" t="str">
        <f>Raw_Data!A2955</f>
        <v>EMP3109</v>
      </c>
      <c r="B2955" s="13" t="str">
        <f>TRIM(CLEAN(Raw_Data!B2955))</f>
        <v>Marketing</v>
      </c>
      <c r="C2955" s="18" t="s">
        <v>37</v>
      </c>
      <c r="D2955" s="14" t="str">
        <f>IF(ISBLANK(Raw_Data!D2955),AVERAGE(Raw_Data!D$2:D$5002),Raw_Data!D2955)</f>
        <v>81926.85</v>
      </c>
      <c r="E2955" s="15" t="str">
        <f>IF(ISBLANK(Raw_Data!E2955),AVERAGE(Raw_Data!E$2:E$5002),Raw_Data!E2955)</f>
        <v>28337.78</v>
      </c>
      <c r="F2955" s="15" t="str">
        <f>IF(ISBLANK(Raw_Data!F2955),AVERAGE(Raw_Data!F$2:F$5002),Raw_Data!F2955)</f>
        <v>24048.39</v>
      </c>
      <c r="G2955" s="14" t="str">
        <f>IF(ISBLANK(Raw_Data!G2955),AVERAGE(Raw_Data!G$2:G$5002),Raw_Data!G2955)</f>
        <v>17472.76</v>
      </c>
      <c r="H2955" s="15" t="str">
        <f t="shared" si="1"/>
        <v>134313.00</v>
      </c>
      <c r="I2955" s="14" t="str">
        <f t="shared" si="2"/>
        <v>116840.00</v>
      </c>
      <c r="J2955" s="16" t="str">
        <f>TEXT(Raw_Data!J2955,"MMM-YYY")</f>
        <v>Apr-2025</v>
      </c>
      <c r="K2955" s="13" t="str">
        <f>Raw_Data!K2955</f>
        <v>19</v>
      </c>
      <c r="L2955" s="17" t="str">
        <f>Raw_Data!L2955</f>
        <v>Jaipur-North</v>
      </c>
      <c r="M2955" s="13" t="str">
        <f t="shared" si="3"/>
        <v>OK</v>
      </c>
      <c r="N2955" s="18" t="str">
        <f t="shared" si="4"/>
        <v>VALID</v>
      </c>
    </row>
    <row r="2956" ht="15.75" customHeight="1">
      <c r="A2956" s="13" t="str">
        <f>Raw_Data!A2956</f>
        <v>EMP3110</v>
      </c>
      <c r="B2956" s="13" t="str">
        <f>TRIM(CLEAN(Raw_Data!B2956))</f>
        <v>Finance</v>
      </c>
      <c r="C2956" s="18" t="s">
        <v>30</v>
      </c>
      <c r="D2956" s="14" t="str">
        <f>IF(ISBLANK(Raw_Data!D2956),AVERAGE(Raw_Data!D$2:D$5002),Raw_Data!D2956)</f>
        <v>81937.73</v>
      </c>
      <c r="E2956" s="15" t="str">
        <f>IF(ISBLANK(Raw_Data!E2956),AVERAGE(Raw_Data!E$2:E$5002),Raw_Data!E2956)</f>
        <v>28342.40</v>
      </c>
      <c r="F2956" s="15" t="str">
        <f>IF(ISBLANK(Raw_Data!F2956),AVERAGE(Raw_Data!F$2:F$5002),Raw_Data!F2956)</f>
        <v>24056.07</v>
      </c>
      <c r="G2956" s="14" t="str">
        <f>IF(ISBLANK(Raw_Data!G2956),AVERAGE(Raw_Data!G$2:G$5002),Raw_Data!G2956)</f>
        <v>17476.16</v>
      </c>
      <c r="H2956" s="15" t="str">
        <f t="shared" si="1"/>
        <v>134336.00</v>
      </c>
      <c r="I2956" s="14" t="str">
        <f t="shared" si="2"/>
        <v>116860.00</v>
      </c>
      <c r="J2956" s="16" t="str">
        <f>TEXT(Raw_Data!J2956,"MMM-YYY")</f>
        <v>Nov-2025</v>
      </c>
      <c r="K2956" s="13" t="str">
        <f>Raw_Data!K2956</f>
        <v>23</v>
      </c>
      <c r="L2956" s="17" t="str">
        <f>Raw_Data!L2956</f>
        <v>Mumbai-HO</v>
      </c>
      <c r="M2956" s="13" t="str">
        <f t="shared" si="3"/>
        <v>OK</v>
      </c>
      <c r="N2956" s="18" t="str">
        <f t="shared" si="4"/>
        <v>VALID</v>
      </c>
    </row>
    <row r="2957" ht="15.75" customHeight="1">
      <c r="A2957" s="13" t="str">
        <f>Raw_Data!A2957</f>
        <v>EMP3111</v>
      </c>
      <c r="B2957" s="13" t="str">
        <f>TRIM(CLEAN(Raw_Data!B2957))</f>
        <v>Customer Support</v>
      </c>
      <c r="C2957" s="18" t="s">
        <v>26</v>
      </c>
      <c r="D2957" s="14" t="str">
        <f>IF(ISBLANK(Raw_Data!D2957),AVERAGE(Raw_Data!D$2:D$5002),Raw_Data!D2957)</f>
        <v>81948.61</v>
      </c>
      <c r="E2957" s="15" t="str">
        <f>IF(ISBLANK(Raw_Data!E2957),AVERAGE(Raw_Data!E$2:E$5002),Raw_Data!E2957)</f>
        <v>28347.01</v>
      </c>
      <c r="F2957" s="15" t="str">
        <f>IF(ISBLANK(Raw_Data!F2957),AVERAGE(Raw_Data!F$2:F$5002),Raw_Data!F2957)</f>
        <v>24063.75</v>
      </c>
      <c r="G2957" s="14" t="str">
        <f>IF(ISBLANK(Raw_Data!G2957),AVERAGE(Raw_Data!G$2:G$5002),Raw_Data!G2957)</f>
        <v>17479.56</v>
      </c>
      <c r="H2957" s="15" t="str">
        <f t="shared" si="1"/>
        <v>134359.00</v>
      </c>
      <c r="I2957" s="14" t="str">
        <f t="shared" si="2"/>
        <v>116879.00</v>
      </c>
      <c r="J2957" s="16" t="str">
        <f>TEXT(Raw_Data!J2957,"MMM-YYY")</f>
        <v>Oct-2025</v>
      </c>
      <c r="K2957" s="13" t="str">
        <f>Raw_Data!K2957</f>
        <v>19</v>
      </c>
      <c r="L2957" s="17" t="str">
        <f>Raw_Data!L2957</f>
        <v>Delhi-North</v>
      </c>
      <c r="M2957" s="13" t="str">
        <f t="shared" si="3"/>
        <v>OK</v>
      </c>
      <c r="N2957" s="18" t="str">
        <f t="shared" si="4"/>
        <v>VALID</v>
      </c>
    </row>
    <row r="2958" ht="15.75" customHeight="1">
      <c r="A2958" s="13" t="str">
        <f>Raw_Data!A2958</f>
        <v>EMP3113</v>
      </c>
      <c r="B2958" s="13" t="str">
        <f>TRIM(CLEAN(Raw_Data!B2958))</f>
        <v>Customer Support</v>
      </c>
      <c r="C2958" s="18" t="s">
        <v>18</v>
      </c>
      <c r="D2958" s="14" t="str">
        <f>IF(ISBLANK(Raw_Data!D2958),AVERAGE(Raw_Data!D$2:D$5002),Raw_Data!D2958)</f>
        <v>81970.38</v>
      </c>
      <c r="E2958" s="15" t="str">
        <f>IF(ISBLANK(Raw_Data!E2958),AVERAGE(Raw_Data!E$2:E$5002),Raw_Data!E2958)</f>
        <v>28356.24</v>
      </c>
      <c r="F2958" s="15" t="str">
        <f>IF(ISBLANK(Raw_Data!F2958),AVERAGE(Raw_Data!F$2:F$5002),Raw_Data!F2958)</f>
        <v>24079.11</v>
      </c>
      <c r="G2958" s="14" t="str">
        <f>IF(ISBLANK(Raw_Data!G2958),AVERAGE(Raw_Data!G$2:G$5002),Raw_Data!G2958)</f>
        <v>17486.35</v>
      </c>
      <c r="H2958" s="15" t="str">
        <f t="shared" si="1"/>
        <v>134406.00</v>
      </c>
      <c r="I2958" s="14" t="str">
        <f t="shared" si="2"/>
        <v>116920.00</v>
      </c>
      <c r="J2958" s="16" t="str">
        <f>TEXT(Raw_Data!J2958,"MMM-YYY")</f>
        <v>May-2025</v>
      </c>
      <c r="K2958" s="13" t="str">
        <f>Raw_Data!K2958</f>
        <v>16</v>
      </c>
      <c r="L2958" s="17" t="str">
        <f>Raw_Data!L2958</f>
        <v>Chennai-South</v>
      </c>
      <c r="M2958" s="13" t="str">
        <f t="shared" si="3"/>
        <v>OK</v>
      </c>
      <c r="N2958" s="18" t="str">
        <f t="shared" si="4"/>
        <v>VALID</v>
      </c>
    </row>
    <row r="2959" ht="15.75" customHeight="1">
      <c r="A2959" s="13" t="str">
        <f>Raw_Data!A2959</f>
        <v>EMP3114</v>
      </c>
      <c r="B2959" s="13" t="str">
        <f>TRIM(CLEAN(Raw_Data!B2959))</f>
        <v>HR</v>
      </c>
      <c r="C2959" s="18" t="s">
        <v>14</v>
      </c>
      <c r="D2959" s="14" t="str">
        <f>IF(ISBLANK(Raw_Data!D2959),AVERAGE(Raw_Data!D$2:D$5002),Raw_Data!D2959)</f>
        <v>81981.26</v>
      </c>
      <c r="E2959" s="15" t="str">
        <f>IF(ISBLANK(Raw_Data!E2959),AVERAGE(Raw_Data!E$2:E$5002),Raw_Data!E2959)</f>
        <v>28360.86</v>
      </c>
      <c r="F2959" s="15" t="str">
        <f>IF(ISBLANK(Raw_Data!F2959),AVERAGE(Raw_Data!F$2:F$5002),Raw_Data!F2959)</f>
        <v>24086.79</v>
      </c>
      <c r="G2959" s="14" t="str">
        <f>IF(ISBLANK(Raw_Data!G2959),AVERAGE(Raw_Data!G$2:G$5002),Raw_Data!G2959)</f>
        <v>17489.75</v>
      </c>
      <c r="H2959" s="15" t="str">
        <f t="shared" si="1"/>
        <v>134429.00</v>
      </c>
      <c r="I2959" s="14" t="str">
        <f t="shared" si="2"/>
        <v>116939.00</v>
      </c>
      <c r="J2959" s="16" t="str">
        <f>TEXT(Raw_Data!J2959,"MMM-YYY")</f>
        <v>May-2025</v>
      </c>
      <c r="K2959" s="13" t="str">
        <f>Raw_Data!K2959</f>
        <v>24</v>
      </c>
      <c r="L2959" s="17" t="str">
        <f>Raw_Data!L2959</f>
        <v>Kolkata-East</v>
      </c>
      <c r="M2959" s="13" t="str">
        <f t="shared" si="3"/>
        <v>OK</v>
      </c>
      <c r="N2959" s="18" t="str">
        <f t="shared" si="4"/>
        <v>VALID</v>
      </c>
    </row>
    <row r="2960" ht="15.75" customHeight="1">
      <c r="A2960" s="13" t="str">
        <f>Raw_Data!A2960</f>
        <v>EMP3115</v>
      </c>
      <c r="B2960" s="13" t="str">
        <f>TRIM(CLEAN(Raw_Data!B2960))</f>
        <v>HR</v>
      </c>
      <c r="C2960" s="18" t="s">
        <v>30</v>
      </c>
      <c r="D2960" s="14" t="str">
        <f>IF(ISBLANK(Raw_Data!D2960),AVERAGE(Raw_Data!D$2:D$5002),Raw_Data!D2960)</f>
        <v>81992.15</v>
      </c>
      <c r="E2960" s="15" t="str">
        <f>IF(ISBLANK(Raw_Data!E2960),AVERAGE(Raw_Data!E$2:E$5002),Raw_Data!E2960)</f>
        <v>28365.47</v>
      </c>
      <c r="F2960" s="15" t="str">
        <f>IF(ISBLANK(Raw_Data!F2960),AVERAGE(Raw_Data!F$2:F$5002),Raw_Data!F2960)</f>
        <v>24094.47</v>
      </c>
      <c r="G2960" s="14" t="str">
        <f>IF(ISBLANK(Raw_Data!G2960),AVERAGE(Raw_Data!G$2:G$5002),Raw_Data!G2960)</f>
        <v>17493.15</v>
      </c>
      <c r="H2960" s="15" t="str">
        <f t="shared" si="1"/>
        <v>134452.00</v>
      </c>
      <c r="I2960" s="14" t="str">
        <f t="shared" si="2"/>
        <v>116959.00</v>
      </c>
      <c r="J2960" s="16" t="str">
        <f>TEXT(Raw_Data!J2960,"MMM-YYY")</f>
        <v>Dec-2025</v>
      </c>
      <c r="K2960" s="13" t="str">
        <f>Raw_Data!K2960</f>
        <v>24</v>
      </c>
      <c r="L2960" s="17" t="str">
        <f>Raw_Data!L2960</f>
        <v>Pune-West</v>
      </c>
      <c r="M2960" s="13" t="str">
        <f t="shared" si="3"/>
        <v>OK</v>
      </c>
      <c r="N2960" s="18" t="str">
        <f t="shared" si="4"/>
        <v>VALID</v>
      </c>
    </row>
    <row r="2961" ht="15.75" customHeight="1">
      <c r="A2961" s="13" t="str">
        <f>Raw_Data!A2961</f>
        <v>EMP3116</v>
      </c>
      <c r="B2961" s="13" t="str">
        <f>TRIM(CLEAN(Raw_Data!B2961))</f>
        <v>Marketing</v>
      </c>
      <c r="C2961" s="18" t="s">
        <v>30</v>
      </c>
      <c r="D2961" s="14" t="str">
        <f>IF(ISBLANK(Raw_Data!D2961),AVERAGE(Raw_Data!D$2:D$5002),Raw_Data!D2961)</f>
        <v>82003.03</v>
      </c>
      <c r="E2961" s="15" t="str">
        <f>IF(ISBLANK(Raw_Data!E2961),AVERAGE(Raw_Data!E$2:E$5002),Raw_Data!E2961)</f>
        <v>28370.09</v>
      </c>
      <c r="F2961" s="15" t="str">
        <f>IF(ISBLANK(Raw_Data!F2961),AVERAGE(Raw_Data!F$2:F$5002),Raw_Data!F2961)</f>
        <v>24102.15</v>
      </c>
      <c r="G2961" s="14" t="str">
        <f>IF(ISBLANK(Raw_Data!G2961),AVERAGE(Raw_Data!G$2:G$5002),Raw_Data!G2961)</f>
        <v>17496.55</v>
      </c>
      <c r="H2961" s="15" t="str">
        <f t="shared" si="1"/>
        <v>134475.00</v>
      </c>
      <c r="I2961" s="14" t="str">
        <f t="shared" si="2"/>
        <v>116978.00</v>
      </c>
      <c r="J2961" s="16" t="str">
        <f>TEXT(Raw_Data!J2961,"MMM-YYY")</f>
        <v>Feb-2025</v>
      </c>
      <c r="K2961" s="13" t="str">
        <f>Raw_Data!K2961</f>
        <v>1</v>
      </c>
      <c r="L2961" s="17" t="str">
        <f>Raw_Data!L2961</f>
        <v>Hyderabad-South</v>
      </c>
      <c r="M2961" s="13" t="str">
        <f t="shared" si="3"/>
        <v>OK</v>
      </c>
      <c r="N2961" s="18" t="str">
        <f t="shared" si="4"/>
        <v>VALID</v>
      </c>
    </row>
    <row r="2962" ht="15.75" customHeight="1">
      <c r="A2962" s="13" t="str">
        <f>Raw_Data!A2962</f>
        <v>EMP3117</v>
      </c>
      <c r="B2962" s="13" t="str">
        <f>TRIM(CLEAN(Raw_Data!B2962))</f>
        <v>Marketing</v>
      </c>
      <c r="C2962" s="18" t="s">
        <v>37</v>
      </c>
      <c r="D2962" s="14" t="str">
        <f>IF(ISBLANK(Raw_Data!D2962),AVERAGE(Raw_Data!D$2:D$5002),Raw_Data!D2962)</f>
        <v>82013.91</v>
      </c>
      <c r="E2962" s="15" t="str">
        <f>IF(ISBLANK(Raw_Data!E2962),AVERAGE(Raw_Data!E$2:E$5002),Raw_Data!E2962)</f>
        <v>28374.70</v>
      </c>
      <c r="F2962" s="15" t="str">
        <f>IF(ISBLANK(Raw_Data!F2962),AVERAGE(Raw_Data!F$2:F$5002),Raw_Data!F2962)</f>
        <v>24109.83</v>
      </c>
      <c r="G2962" s="14" t="str">
        <f>IF(ISBLANK(Raw_Data!G2962),AVERAGE(Raw_Data!G$2:G$5002),Raw_Data!G2962)</f>
        <v>17499.94</v>
      </c>
      <c r="H2962" s="15" t="str">
        <f t="shared" si="1"/>
        <v>134498.00</v>
      </c>
      <c r="I2962" s="14" t="str">
        <f t="shared" si="2"/>
        <v>116998.00</v>
      </c>
      <c r="J2962" s="16" t="str">
        <f>TEXT(Raw_Data!J2962,"MMM-YYY")</f>
        <v>May-2025</v>
      </c>
      <c r="K2962" s="13" t="str">
        <f>Raw_Data!K2962</f>
        <v>5</v>
      </c>
      <c r="L2962" s="17" t="str">
        <f>Raw_Data!L2962</f>
        <v>Chandigarh-North</v>
      </c>
      <c r="M2962" s="13" t="str">
        <f t="shared" si="3"/>
        <v>OK</v>
      </c>
      <c r="N2962" s="18" t="str">
        <f t="shared" si="4"/>
        <v>VALID</v>
      </c>
    </row>
    <row r="2963" ht="15.75" customHeight="1">
      <c r="A2963" s="13" t="str">
        <f>Raw_Data!A2963</f>
        <v>EMP3118</v>
      </c>
      <c r="B2963" s="13" t="str">
        <f>TRIM(CLEAN(Raw_Data!B2963))</f>
        <v>Finance</v>
      </c>
      <c r="C2963" s="18" t="s">
        <v>18</v>
      </c>
      <c r="D2963" s="14" t="str">
        <f>IF(ISBLANK(Raw_Data!D2963),AVERAGE(Raw_Data!D$2:D$5002),Raw_Data!D2963)</f>
        <v>82024.79</v>
      </c>
      <c r="E2963" s="15" t="str">
        <f>IF(ISBLANK(Raw_Data!E2963),AVERAGE(Raw_Data!E$2:E$5002),Raw_Data!E2963)</f>
        <v>28379.32</v>
      </c>
      <c r="F2963" s="15" t="str">
        <f>IF(ISBLANK(Raw_Data!F2963),AVERAGE(Raw_Data!F$2:F$5002),Raw_Data!F2963)</f>
        <v>24117.51</v>
      </c>
      <c r="G2963" s="14" t="str">
        <f>IF(ISBLANK(Raw_Data!G2963),AVERAGE(Raw_Data!G$2:G$5002),Raw_Data!G2963)</f>
        <v>17503.34</v>
      </c>
      <c r="H2963" s="15" t="str">
        <f t="shared" si="1"/>
        <v>134522.00</v>
      </c>
      <c r="I2963" s="14" t="str">
        <f t="shared" si="2"/>
        <v>117019.00</v>
      </c>
      <c r="J2963" s="16" t="str">
        <f>TEXT(Raw_Data!J2963,"MMM-YYY")</f>
        <v>Mar-2025</v>
      </c>
      <c r="K2963" s="13" t="str">
        <f>Raw_Data!K2963</f>
        <v>8</v>
      </c>
      <c r="L2963" s="17" t="str">
        <f>Raw_Data!L2963</f>
        <v>Ahmedabad-West</v>
      </c>
      <c r="M2963" s="13" t="str">
        <f t="shared" si="3"/>
        <v>OK</v>
      </c>
      <c r="N2963" s="18" t="str">
        <f t="shared" si="4"/>
        <v>VALID</v>
      </c>
    </row>
    <row r="2964" ht="15.75" customHeight="1">
      <c r="A2964" s="13" t="str">
        <f>Raw_Data!A2964</f>
        <v>EMP3119</v>
      </c>
      <c r="B2964" s="13" t="str">
        <f>TRIM(CLEAN(Raw_Data!B2964))</f>
        <v>IT</v>
      </c>
      <c r="C2964" s="18" t="s">
        <v>33</v>
      </c>
      <c r="D2964" s="14" t="str">
        <f>IF(ISBLANK(Raw_Data!D2964),AVERAGE(Raw_Data!D$2:D$5002),Raw_Data!D2964)</f>
        <v>82035.68</v>
      </c>
      <c r="E2964" s="15" t="str">
        <f>IF(ISBLANK(Raw_Data!E2964),AVERAGE(Raw_Data!E$2:E$5002),Raw_Data!E2964)</f>
        <v>28383.93</v>
      </c>
      <c r="F2964" s="15" t="str">
        <f>IF(ISBLANK(Raw_Data!F2964),AVERAGE(Raw_Data!F$2:F$5002),Raw_Data!F2964)</f>
        <v>24125.19</v>
      </c>
      <c r="G2964" s="14" t="str">
        <f>IF(ISBLANK(Raw_Data!G2964),AVERAGE(Raw_Data!G$2:G$5002),Raw_Data!G2964)</f>
        <v>17506.74</v>
      </c>
      <c r="H2964" s="15" t="str">
        <f t="shared" si="1"/>
        <v>134545.00</v>
      </c>
      <c r="I2964" s="14" t="str">
        <f t="shared" si="2"/>
        <v>117038.00</v>
      </c>
      <c r="J2964" s="16" t="str">
        <f>TEXT(Raw_Data!J2964,"MMM-YYY")</f>
        <v>Jun-2025</v>
      </c>
      <c r="K2964" s="13" t="str">
        <f>Raw_Data!K2964</f>
        <v>21</v>
      </c>
      <c r="L2964" s="17" t="str">
        <f>Raw_Data!L2964</f>
        <v>Jaipur-North</v>
      </c>
      <c r="M2964" s="13" t="str">
        <f t="shared" si="3"/>
        <v>OK</v>
      </c>
      <c r="N2964" s="18" t="str">
        <f t="shared" si="4"/>
        <v>VALID</v>
      </c>
    </row>
    <row r="2965" ht="15.75" customHeight="1">
      <c r="A2965" s="13" t="str">
        <f>Raw_Data!A2965</f>
        <v>EMP3120</v>
      </c>
      <c r="B2965" s="13" t="str">
        <f>TRIM(CLEAN(Raw_Data!B2965))</f>
        <v>Customer Support</v>
      </c>
      <c r="C2965" s="18" t="s">
        <v>18</v>
      </c>
      <c r="D2965" s="14" t="str">
        <f>IF(ISBLANK(Raw_Data!D2965),AVERAGE(Raw_Data!D$2:D$5002),Raw_Data!D2965)</f>
        <v>82046.56</v>
      </c>
      <c r="E2965" s="15" t="str">
        <f>IF(ISBLANK(Raw_Data!E2965),AVERAGE(Raw_Data!E$2:E$5002),Raw_Data!E2965)</f>
        <v>28388.55</v>
      </c>
      <c r="F2965" s="15" t="str">
        <f>IF(ISBLANK(Raw_Data!F2965),AVERAGE(Raw_Data!F$2:F$5002),Raw_Data!F2965)</f>
        <v>24132.87</v>
      </c>
      <c r="G2965" s="14" t="str">
        <f>IF(ISBLANK(Raw_Data!G2965),AVERAGE(Raw_Data!G$2:G$5002),Raw_Data!G2965)</f>
        <v>17510.14</v>
      </c>
      <c r="H2965" s="15" t="str">
        <f t="shared" si="1"/>
        <v>134568.00</v>
      </c>
      <c r="I2965" s="14" t="str">
        <f t="shared" si="2"/>
        <v>117058.00</v>
      </c>
      <c r="J2965" s="16" t="str">
        <f>TEXT(Raw_Data!J2965,"MMM-YYY")</f>
        <v>Oct-2025</v>
      </c>
      <c r="K2965" s="13" t="str">
        <f>Raw_Data!K2965</f>
        <v>12</v>
      </c>
      <c r="L2965" s="17" t="str">
        <f>Raw_Data!L2965</f>
        <v>Mumbai-HO</v>
      </c>
      <c r="M2965" s="13" t="str">
        <f t="shared" si="3"/>
        <v>OK</v>
      </c>
      <c r="N2965" s="18" t="str">
        <f t="shared" si="4"/>
        <v>VALID</v>
      </c>
    </row>
    <row r="2966" ht="15.75" customHeight="1">
      <c r="A2966" s="13" t="str">
        <f>Raw_Data!A2966</f>
        <v>EMP3121</v>
      </c>
      <c r="B2966" s="13" t="str">
        <f>TRIM(CLEAN(Raw_Data!B2966))</f>
        <v>HR</v>
      </c>
      <c r="C2966" s="18" t="s">
        <v>30</v>
      </c>
      <c r="D2966" s="14" t="str">
        <f>IF(ISBLANK(Raw_Data!D2966),AVERAGE(Raw_Data!D$2:D$5002),Raw_Data!D2966)</f>
        <v>82057.44</v>
      </c>
      <c r="E2966" s="15" t="str">
        <f>IF(ISBLANK(Raw_Data!E2966),AVERAGE(Raw_Data!E$2:E$5002),Raw_Data!E2966)</f>
        <v>28393.16</v>
      </c>
      <c r="F2966" s="15" t="str">
        <f>IF(ISBLANK(Raw_Data!F2966),AVERAGE(Raw_Data!F$2:F$5002),Raw_Data!F2966)</f>
        <v>24140.55</v>
      </c>
      <c r="G2966" s="14" t="str">
        <f>IF(ISBLANK(Raw_Data!G2966),AVERAGE(Raw_Data!G$2:G$5002),Raw_Data!G2966)</f>
        <v>17513.53</v>
      </c>
      <c r="H2966" s="15" t="str">
        <f t="shared" si="1"/>
        <v>134591.00</v>
      </c>
      <c r="I2966" s="14" t="str">
        <f t="shared" si="2"/>
        <v>117077.00</v>
      </c>
      <c r="J2966" s="16" t="str">
        <f>TEXT(Raw_Data!J2966,"MMM-YYY")</f>
        <v>Dec-2025</v>
      </c>
      <c r="K2966" s="13" t="str">
        <f>Raw_Data!K2966</f>
        <v>18</v>
      </c>
      <c r="L2966" s="17" t="str">
        <f>Raw_Data!L2966</f>
        <v>Delhi-North</v>
      </c>
      <c r="M2966" s="13" t="str">
        <f t="shared" si="3"/>
        <v>OK</v>
      </c>
      <c r="N2966" s="18" t="str">
        <f t="shared" si="4"/>
        <v>VALID</v>
      </c>
    </row>
    <row r="2967" ht="15.75" customHeight="1">
      <c r="A2967" s="13" t="str">
        <f>Raw_Data!A2967</f>
        <v>EMP3122</v>
      </c>
      <c r="B2967" s="13" t="str">
        <f>TRIM(CLEAN(Raw_Data!B2967))</f>
        <v>Finance</v>
      </c>
      <c r="C2967" s="18" t="s">
        <v>30</v>
      </c>
      <c r="D2967" s="14" t="str">
        <f>IF(ISBLANK(Raw_Data!D2967),AVERAGE(Raw_Data!D$2:D$5002),Raw_Data!D2967)</f>
        <v>82068.33</v>
      </c>
      <c r="E2967" s="15" t="str">
        <f>IF(ISBLANK(Raw_Data!E2967),AVERAGE(Raw_Data!E$2:E$5002),Raw_Data!E2967)</f>
        <v>28397.77</v>
      </c>
      <c r="F2967" s="15" t="str">
        <f>IF(ISBLANK(Raw_Data!F2967),AVERAGE(Raw_Data!F$2:F$5002),Raw_Data!F2967)</f>
        <v>24148.23</v>
      </c>
      <c r="G2967" s="14" t="str">
        <f>IF(ISBLANK(Raw_Data!G2967),AVERAGE(Raw_Data!G$2:G$5002),Raw_Data!G2967)</f>
        <v>17516.93</v>
      </c>
      <c r="H2967" s="15" t="str">
        <f t="shared" si="1"/>
        <v>134614.00</v>
      </c>
      <c r="I2967" s="14" t="str">
        <f t="shared" si="2"/>
        <v>117097.00</v>
      </c>
      <c r="J2967" s="16" t="str">
        <f>TEXT(Raw_Data!J2967,"MMM-YYY")</f>
        <v>May-2025</v>
      </c>
      <c r="K2967" s="13" t="str">
        <f>Raw_Data!K2967</f>
        <v>14</v>
      </c>
      <c r="L2967" s="17" t="str">
        <f>Raw_Data!L2967</f>
        <v>Bangalore-South</v>
      </c>
      <c r="M2967" s="13" t="str">
        <f t="shared" si="3"/>
        <v>OK</v>
      </c>
      <c r="N2967" s="18" t="str">
        <f t="shared" si="4"/>
        <v>VALID</v>
      </c>
    </row>
    <row r="2968" ht="15.75" customHeight="1">
      <c r="A2968" s="13" t="str">
        <f>Raw_Data!A2968</f>
        <v>EMP3123</v>
      </c>
      <c r="B2968" s="13" t="str">
        <f>TRIM(CLEAN(Raw_Data!B2968))</f>
        <v>Sales</v>
      </c>
      <c r="C2968" s="18" t="s">
        <v>33</v>
      </c>
      <c r="D2968" s="14" t="str">
        <f>IF(ISBLANK(Raw_Data!D2968),AVERAGE(Raw_Data!D$2:D$5002),Raw_Data!D2968)</f>
        <v>71831.17</v>
      </c>
      <c r="E2968" s="15" t="str">
        <f>IF(ISBLANK(Raw_Data!E2968),AVERAGE(Raw_Data!E$2:E$5002),Raw_Data!E2968)</f>
        <v>28402.39</v>
      </c>
      <c r="F2968" s="15" t="str">
        <f>IF(ISBLANK(Raw_Data!F2968),AVERAGE(Raw_Data!F$2:F$5002),Raw_Data!F2968)</f>
        <v>24155.91</v>
      </c>
      <c r="G2968" s="14" t="str">
        <f>IF(ISBLANK(Raw_Data!G2968),AVERAGE(Raw_Data!G$2:G$5002),Raw_Data!G2968)</f>
        <v>17520.33</v>
      </c>
      <c r="H2968" s="15" t="str">
        <f t="shared" si="1"/>
        <v>124389.00</v>
      </c>
      <c r="I2968" s="14" t="str">
        <f t="shared" si="2"/>
        <v>106869.00</v>
      </c>
      <c r="J2968" s="16" t="str">
        <f>TEXT(Raw_Data!J2968,"MMM-YYY")</f>
        <v>May-2025</v>
      </c>
      <c r="K2968" s="13" t="str">
        <f>Raw_Data!K2968</f>
        <v>1</v>
      </c>
      <c r="L2968" s="17" t="str">
        <f>Raw_Data!L2968</f>
        <v>Chennai-South</v>
      </c>
      <c r="M2968" s="13" t="str">
        <f t="shared" si="3"/>
        <v>OK</v>
      </c>
      <c r="N2968" s="18" t="str">
        <f t="shared" si="4"/>
        <v>VALID</v>
      </c>
    </row>
    <row r="2969" ht="15.75" customHeight="1">
      <c r="A2969" s="13" t="str">
        <f>Raw_Data!A2969</f>
        <v>EMP3124</v>
      </c>
      <c r="B2969" s="13" t="str">
        <f>TRIM(CLEAN(Raw_Data!B2969))</f>
        <v>Sales</v>
      </c>
      <c r="C2969" s="18" t="s">
        <v>14</v>
      </c>
      <c r="D2969" s="14" t="str">
        <f>IF(ISBLANK(Raw_Data!D2969),AVERAGE(Raw_Data!D$2:D$5002),Raw_Data!D2969)</f>
        <v>82090.09</v>
      </c>
      <c r="E2969" s="15" t="str">
        <f>IF(ISBLANK(Raw_Data!E2969),AVERAGE(Raw_Data!E$2:E$5002),Raw_Data!E2969)</f>
        <v>28407.00</v>
      </c>
      <c r="F2969" s="15" t="str">
        <f>IF(ISBLANK(Raw_Data!F2969),AVERAGE(Raw_Data!F$2:F$5002),Raw_Data!F2969)</f>
        <v>24163.59</v>
      </c>
      <c r="G2969" s="14" t="str">
        <f>IF(ISBLANK(Raw_Data!G2969),AVERAGE(Raw_Data!G$2:G$5002),Raw_Data!G2969)</f>
        <v>17523.73</v>
      </c>
      <c r="H2969" s="15" t="str">
        <f t="shared" si="1"/>
        <v>134661.00</v>
      </c>
      <c r="I2969" s="14" t="str">
        <f t="shared" si="2"/>
        <v>117137.00</v>
      </c>
      <c r="J2969" s="16" t="str">
        <f>TEXT(Raw_Data!J2969,"MMM-YYY")</f>
        <v>Jan-2025</v>
      </c>
      <c r="K2969" s="13" t="str">
        <f>Raw_Data!K2969</f>
        <v>24</v>
      </c>
      <c r="L2969" s="17" t="str">
        <f>Raw_Data!L2969</f>
        <v>Kolkata-East</v>
      </c>
      <c r="M2969" s="13" t="str">
        <f t="shared" si="3"/>
        <v>OK</v>
      </c>
      <c r="N2969" s="18" t="str">
        <f t="shared" si="4"/>
        <v>VALID</v>
      </c>
    </row>
    <row r="2970" ht="15.75" customHeight="1">
      <c r="A2970" s="13" t="str">
        <f>Raw_Data!A2970</f>
        <v>EMP3125</v>
      </c>
      <c r="B2970" s="13" t="str">
        <f>TRIM(CLEAN(Raw_Data!B2970))</f>
        <v>IT</v>
      </c>
      <c r="C2970" s="18" t="s">
        <v>14</v>
      </c>
      <c r="D2970" s="14" t="str">
        <f>IF(ISBLANK(Raw_Data!D2970),AVERAGE(Raw_Data!D$2:D$5002),Raw_Data!D2970)</f>
        <v>82100.98</v>
      </c>
      <c r="E2970" s="15" t="str">
        <f>IF(ISBLANK(Raw_Data!E2970),AVERAGE(Raw_Data!E$2:E$5002),Raw_Data!E2970)</f>
        <v>28411.62</v>
      </c>
      <c r="F2970" s="15" t="str">
        <f>IF(ISBLANK(Raw_Data!F2970),AVERAGE(Raw_Data!F$2:F$5002),Raw_Data!F2970)</f>
        <v>24171.27</v>
      </c>
      <c r="G2970" s="14" t="str">
        <f>IF(ISBLANK(Raw_Data!G2970),AVERAGE(Raw_Data!G$2:G$5002),Raw_Data!G2970)</f>
        <v>17527.12</v>
      </c>
      <c r="H2970" s="15" t="str">
        <f t="shared" si="1"/>
        <v>134684.00</v>
      </c>
      <c r="I2970" s="14" t="str">
        <f t="shared" si="2"/>
        <v>117157.00</v>
      </c>
      <c r="J2970" s="16" t="str">
        <f>TEXT(Raw_Data!J2970,"MMM-YYY")</f>
        <v>Aug-2025</v>
      </c>
      <c r="K2970" s="13" t="str">
        <f>Raw_Data!K2970</f>
        <v>3</v>
      </c>
      <c r="L2970" s="17" t="str">
        <f>Raw_Data!L2970</f>
        <v>Pune-West</v>
      </c>
      <c r="M2970" s="13" t="str">
        <f t="shared" si="3"/>
        <v>OK</v>
      </c>
      <c r="N2970" s="18" t="str">
        <f t="shared" si="4"/>
        <v>VALID</v>
      </c>
    </row>
    <row r="2971" ht="15.75" customHeight="1">
      <c r="A2971" s="13" t="str">
        <f>Raw_Data!A2971</f>
        <v>EMP3126</v>
      </c>
      <c r="B2971" s="13" t="str">
        <f>TRIM(CLEAN(Raw_Data!B2971))</f>
        <v>IT</v>
      </c>
      <c r="C2971" s="18" t="s">
        <v>26</v>
      </c>
      <c r="D2971" s="14" t="str">
        <f>IF(ISBLANK(Raw_Data!D2971),AVERAGE(Raw_Data!D$2:D$5002),Raw_Data!D2971)</f>
        <v>82111.86</v>
      </c>
      <c r="E2971" s="15" t="str">
        <f>IF(ISBLANK(Raw_Data!E2971),AVERAGE(Raw_Data!E$2:E$5002),Raw_Data!E2971)</f>
        <v>28416.23</v>
      </c>
      <c r="F2971" s="15" t="str">
        <f>IF(ISBLANK(Raw_Data!F2971),AVERAGE(Raw_Data!F$2:F$5002),Raw_Data!F2971)</f>
        <v>24178.95</v>
      </c>
      <c r="G2971" s="14" t="str">
        <f>IF(ISBLANK(Raw_Data!G2971),AVERAGE(Raw_Data!G$2:G$5002),Raw_Data!G2971)</f>
        <v>17530.52</v>
      </c>
      <c r="H2971" s="15" t="str">
        <f t="shared" si="1"/>
        <v>134707.00</v>
      </c>
      <c r="I2971" s="14" t="str">
        <f t="shared" si="2"/>
        <v>117176.00</v>
      </c>
      <c r="J2971" s="16" t="str">
        <f>TEXT(Raw_Data!J2971,"MMM-YYY")</f>
        <v>Mar-2025</v>
      </c>
      <c r="K2971" s="13" t="str">
        <f>Raw_Data!K2971</f>
        <v>23</v>
      </c>
      <c r="L2971" s="17" t="str">
        <f>Raw_Data!L2971</f>
        <v>Hyderabad-South</v>
      </c>
      <c r="M2971" s="13" t="str">
        <f t="shared" si="3"/>
        <v>OK</v>
      </c>
      <c r="N2971" s="18" t="str">
        <f t="shared" si="4"/>
        <v>VALID</v>
      </c>
    </row>
    <row r="2972" ht="15.75" customHeight="1">
      <c r="A2972" s="13" t="str">
        <f>Raw_Data!A2972</f>
        <v>EMP3128</v>
      </c>
      <c r="B2972" s="13" t="str">
        <f>TRIM(CLEAN(Raw_Data!B2972))</f>
        <v>Operations</v>
      </c>
      <c r="C2972" s="18" t="s">
        <v>18</v>
      </c>
      <c r="D2972" s="14" t="str">
        <f>IF(ISBLANK(Raw_Data!D2972),AVERAGE(Raw_Data!D$2:D$5002),Raw_Data!D2972)</f>
        <v>82133.62</v>
      </c>
      <c r="E2972" s="15" t="str">
        <f>IF(ISBLANK(Raw_Data!E2972),AVERAGE(Raw_Data!E$2:E$5002),Raw_Data!E2972)</f>
        <v>28425.46</v>
      </c>
      <c r="F2972" s="15" t="str">
        <f>IF(ISBLANK(Raw_Data!F2972),AVERAGE(Raw_Data!F$2:F$5002),Raw_Data!F2972)</f>
        <v>24194.31</v>
      </c>
      <c r="G2972" s="14" t="str">
        <f>IF(ISBLANK(Raw_Data!G2972),AVERAGE(Raw_Data!G$2:G$5002),Raw_Data!G2972)</f>
        <v>17537.32</v>
      </c>
      <c r="H2972" s="15" t="str">
        <f t="shared" si="1"/>
        <v>134753.00</v>
      </c>
      <c r="I2972" s="14" t="str">
        <f t="shared" si="2"/>
        <v>117216.00</v>
      </c>
      <c r="J2972" s="16" t="str">
        <f>TEXT(Raw_Data!J2972,"MMM-YYY")</f>
        <v>Feb-2025</v>
      </c>
      <c r="K2972" s="13" t="str">
        <f>Raw_Data!K2972</f>
        <v>12</v>
      </c>
      <c r="L2972" s="17" t="str">
        <f>Raw_Data!L2972</f>
        <v>Ahmedabad-West</v>
      </c>
      <c r="M2972" s="13" t="str">
        <f t="shared" si="3"/>
        <v>OK</v>
      </c>
      <c r="N2972" s="18" t="str">
        <f t="shared" si="4"/>
        <v>VALID</v>
      </c>
    </row>
    <row r="2973" ht="15.75" customHeight="1">
      <c r="A2973" s="13" t="str">
        <f>Raw_Data!A2973</f>
        <v>EMP3129</v>
      </c>
      <c r="B2973" s="13" t="str">
        <f>TRIM(CLEAN(Raw_Data!B2973))</f>
        <v>HR</v>
      </c>
      <c r="C2973" s="18" t="s">
        <v>14</v>
      </c>
      <c r="D2973" s="14" t="str">
        <f>IF(ISBLANK(Raw_Data!D2973),AVERAGE(Raw_Data!D$2:D$5002),Raw_Data!D2973)</f>
        <v>82144.51</v>
      </c>
      <c r="E2973" s="15" t="str">
        <f>IF(ISBLANK(Raw_Data!E2973),AVERAGE(Raw_Data!E$2:E$5002),Raw_Data!E2973)</f>
        <v>28430.08</v>
      </c>
      <c r="F2973" s="15" t="str">
        <f>IF(ISBLANK(Raw_Data!F2973),AVERAGE(Raw_Data!F$2:F$5002),Raw_Data!F2973)</f>
        <v>24201.99</v>
      </c>
      <c r="G2973" s="14" t="str">
        <f>IF(ISBLANK(Raw_Data!G2973),AVERAGE(Raw_Data!G$2:G$5002),Raw_Data!G2973)</f>
        <v>17540.71</v>
      </c>
      <c r="H2973" s="15" t="str">
        <f t="shared" si="1"/>
        <v>134777.00</v>
      </c>
      <c r="I2973" s="14" t="str">
        <f t="shared" si="2"/>
        <v>117236.00</v>
      </c>
      <c r="J2973" s="16" t="str">
        <f>TEXT(Raw_Data!J2973,"MMM-YYY")</f>
        <v>Feb-2025</v>
      </c>
      <c r="K2973" s="13" t="str">
        <f>Raw_Data!K2973</f>
        <v>20</v>
      </c>
      <c r="L2973" s="17" t="str">
        <f>Raw_Data!L2973</f>
        <v>Jaipur-North</v>
      </c>
      <c r="M2973" s="13" t="str">
        <f t="shared" si="3"/>
        <v>OK</v>
      </c>
      <c r="N2973" s="18" t="str">
        <f t="shared" si="4"/>
        <v>VALID</v>
      </c>
    </row>
    <row r="2974" ht="15.75" customHeight="1">
      <c r="A2974" s="13" t="str">
        <f>Raw_Data!A2974</f>
        <v>EMP3130</v>
      </c>
      <c r="B2974" s="13" t="str">
        <f>TRIM(CLEAN(Raw_Data!B2974))</f>
        <v>Customer Support</v>
      </c>
      <c r="C2974" s="18" t="s">
        <v>54</v>
      </c>
      <c r="D2974" s="14" t="str">
        <f>IF(ISBLANK(Raw_Data!D2974),AVERAGE(Raw_Data!D$2:D$5002),Raw_Data!D2974)</f>
        <v>82155.39</v>
      </c>
      <c r="E2974" s="15" t="str">
        <f>IF(ISBLANK(Raw_Data!E2974),AVERAGE(Raw_Data!E$2:E$5002),Raw_Data!E2974)</f>
        <v>28434.69</v>
      </c>
      <c r="F2974" s="15" t="str">
        <f>IF(ISBLANK(Raw_Data!F2974),AVERAGE(Raw_Data!F$2:F$5002),Raw_Data!F2974)</f>
        <v>24209.67</v>
      </c>
      <c r="G2974" s="14" t="str">
        <f>IF(ISBLANK(Raw_Data!G2974),AVERAGE(Raw_Data!G$2:G$5002),Raw_Data!G2974)</f>
        <v>17544.11</v>
      </c>
      <c r="H2974" s="15" t="str">
        <f t="shared" si="1"/>
        <v>134800.00</v>
      </c>
      <c r="I2974" s="14" t="str">
        <f t="shared" si="2"/>
        <v>117256.00</v>
      </c>
      <c r="J2974" s="16" t="str">
        <f>TEXT(Raw_Data!J2974,"MMM-YYY")</f>
        <v>Oct-2025</v>
      </c>
      <c r="K2974" s="13" t="str">
        <f>Raw_Data!K2974</f>
        <v>11</v>
      </c>
      <c r="L2974" s="17" t="str">
        <f>Raw_Data!L2974</f>
        <v>Mumbai-HO</v>
      </c>
      <c r="M2974" s="13" t="str">
        <f t="shared" si="3"/>
        <v>OK</v>
      </c>
      <c r="N2974" s="18" t="str">
        <f t="shared" si="4"/>
        <v>VALID</v>
      </c>
    </row>
    <row r="2975" ht="15.75" customHeight="1">
      <c r="A2975" s="13" t="str">
        <f>Raw_Data!A2975</f>
        <v>EMP3131</v>
      </c>
      <c r="B2975" s="13" t="str">
        <f>TRIM(CLEAN(Raw_Data!B2975))</f>
        <v>Finance</v>
      </c>
      <c r="C2975" s="18" t="s">
        <v>30</v>
      </c>
      <c r="D2975" s="14" t="str">
        <f>IF(ISBLANK(Raw_Data!D2975),AVERAGE(Raw_Data!D$2:D$5002),Raw_Data!D2975)</f>
        <v>82166.27</v>
      </c>
      <c r="E2975" s="15" t="str">
        <f>IF(ISBLANK(Raw_Data!E2975),AVERAGE(Raw_Data!E$2:E$5002),Raw_Data!E2975)</f>
        <v>28439.31</v>
      </c>
      <c r="F2975" s="15" t="str">
        <f>IF(ISBLANK(Raw_Data!F2975),AVERAGE(Raw_Data!F$2:F$5002),Raw_Data!F2975)</f>
        <v>24217.35</v>
      </c>
      <c r="G2975" s="14" t="str">
        <f>IF(ISBLANK(Raw_Data!G2975),AVERAGE(Raw_Data!G$2:G$5002),Raw_Data!G2975)</f>
        <v>17547.51</v>
      </c>
      <c r="H2975" s="15" t="str">
        <f t="shared" si="1"/>
        <v>134823.00</v>
      </c>
      <c r="I2975" s="14" t="str">
        <f t="shared" si="2"/>
        <v>117275.00</v>
      </c>
      <c r="J2975" s="16" t="str">
        <f>TEXT(Raw_Data!J2975,"MMM-YYY")</f>
        <v>Dec-2025</v>
      </c>
      <c r="K2975" s="13" t="str">
        <f>Raw_Data!K2975</f>
        <v>17</v>
      </c>
      <c r="L2975" s="17" t="str">
        <f>Raw_Data!L2975</f>
        <v>Delhi-North</v>
      </c>
      <c r="M2975" s="13" t="str">
        <f t="shared" si="3"/>
        <v>OK</v>
      </c>
      <c r="N2975" s="18" t="str">
        <f t="shared" si="4"/>
        <v>VALID</v>
      </c>
    </row>
    <row r="2976" ht="15.75" customHeight="1">
      <c r="A2976" s="13" t="str">
        <f>Raw_Data!A2976</f>
        <v>EMP3132</v>
      </c>
      <c r="B2976" s="13" t="str">
        <f>TRIM(CLEAN(Raw_Data!B2976))</f>
        <v>Marketing</v>
      </c>
      <c r="C2976" s="18" t="s">
        <v>37</v>
      </c>
      <c r="D2976" s="14" t="str">
        <f>IF(ISBLANK(Raw_Data!D2976),AVERAGE(Raw_Data!D$2:D$5002),Raw_Data!D2976)</f>
        <v>82177.16</v>
      </c>
      <c r="E2976" s="15" t="str">
        <f>IF(ISBLANK(Raw_Data!E2976),AVERAGE(Raw_Data!E$2:E$5002),Raw_Data!E2976)</f>
        <v>28443.92</v>
      </c>
      <c r="F2976" s="15" t="str">
        <f>IF(ISBLANK(Raw_Data!F2976),AVERAGE(Raw_Data!F$2:F$5002),Raw_Data!F2976)</f>
        <v>24225.03</v>
      </c>
      <c r="G2976" s="14" t="str">
        <f>IF(ISBLANK(Raw_Data!G2976),AVERAGE(Raw_Data!G$2:G$5002),Raw_Data!G2976)</f>
        <v>17550.91</v>
      </c>
      <c r="H2976" s="15" t="str">
        <f t="shared" si="1"/>
        <v>134846.00</v>
      </c>
      <c r="I2976" s="14" t="str">
        <f t="shared" si="2"/>
        <v>117295.00</v>
      </c>
      <c r="J2976" s="16" t="str">
        <f>TEXT(Raw_Data!J2976,"MMM-YYY")</f>
        <v>Jan-2025</v>
      </c>
      <c r="K2976" s="13" t="str">
        <f>Raw_Data!K2976</f>
        <v>1</v>
      </c>
      <c r="L2976" s="17" t="str">
        <f>Raw_Data!L2976</f>
        <v>Bangalore-South</v>
      </c>
      <c r="M2976" s="13" t="str">
        <f t="shared" si="3"/>
        <v>OK</v>
      </c>
      <c r="N2976" s="18" t="str">
        <f t="shared" si="4"/>
        <v>VALID</v>
      </c>
    </row>
    <row r="2977" ht="15.75" customHeight="1">
      <c r="A2977" s="13" t="str">
        <f>Raw_Data!A2977</f>
        <v>EMP3133</v>
      </c>
      <c r="B2977" s="13" t="str">
        <f>TRIM(CLEAN(Raw_Data!B2977))</f>
        <v>Marketing</v>
      </c>
      <c r="C2977" s="18" t="s">
        <v>54</v>
      </c>
      <c r="D2977" s="14" t="str">
        <f>IF(ISBLANK(Raw_Data!D2977),AVERAGE(Raw_Data!D$2:D$5002),Raw_Data!D2977)</f>
        <v>82188.04</v>
      </c>
      <c r="E2977" s="15" t="str">
        <f>IF(ISBLANK(Raw_Data!E2977),AVERAGE(Raw_Data!E$2:E$5002),Raw_Data!E2977)</f>
        <v>28448.54</v>
      </c>
      <c r="F2977" s="15" t="str">
        <f>IF(ISBLANK(Raw_Data!F2977),AVERAGE(Raw_Data!F$2:F$5002),Raw_Data!F2977)</f>
        <v>24232.71</v>
      </c>
      <c r="G2977" s="14" t="str">
        <f>IF(ISBLANK(Raw_Data!G2977),AVERAGE(Raw_Data!G$2:G$5002),Raw_Data!G2977)</f>
        <v>17554.31</v>
      </c>
      <c r="H2977" s="15" t="str">
        <f t="shared" si="1"/>
        <v>134869.00</v>
      </c>
      <c r="I2977" s="14" t="str">
        <f t="shared" si="2"/>
        <v>117315.00</v>
      </c>
      <c r="J2977" s="16" t="str">
        <f>TEXT(Raw_Data!J2977,"MMM-YYY")</f>
        <v>Sep-2025</v>
      </c>
      <c r="K2977" s="13" t="str">
        <f>Raw_Data!K2977</f>
        <v>19</v>
      </c>
      <c r="L2977" s="17" t="str">
        <f>Raw_Data!L2977</f>
        <v>Chennai-South</v>
      </c>
      <c r="M2977" s="13" t="str">
        <f t="shared" si="3"/>
        <v>OK</v>
      </c>
      <c r="N2977" s="18" t="str">
        <f t="shared" si="4"/>
        <v>VALID</v>
      </c>
    </row>
    <row r="2978" ht="15.75" customHeight="1">
      <c r="A2978" s="13" t="str">
        <f>Raw_Data!A2978</f>
        <v>EMP3134</v>
      </c>
      <c r="B2978" s="13" t="str">
        <f>TRIM(CLEAN(Raw_Data!B2978))</f>
        <v>Finance</v>
      </c>
      <c r="C2978" s="18" t="s">
        <v>18</v>
      </c>
      <c r="D2978" s="14" t="str">
        <f>IF(ISBLANK(Raw_Data!D2978),AVERAGE(Raw_Data!D$2:D$5002),Raw_Data!D2978)</f>
        <v>82198.92</v>
      </c>
      <c r="E2978" s="15" t="str">
        <f>IF(ISBLANK(Raw_Data!E2978),AVERAGE(Raw_Data!E$2:E$5002),Raw_Data!E2978)</f>
        <v>28453.15</v>
      </c>
      <c r="F2978" s="15" t="str">
        <f>IF(ISBLANK(Raw_Data!F2978),AVERAGE(Raw_Data!F$2:F$5002),Raw_Data!F2978)</f>
        <v>24240.39</v>
      </c>
      <c r="G2978" s="14" t="str">
        <f>IF(ISBLANK(Raw_Data!G2978),AVERAGE(Raw_Data!G$2:G$5002),Raw_Data!G2978)</f>
        <v>17557.70</v>
      </c>
      <c r="H2978" s="15" t="str">
        <f t="shared" si="1"/>
        <v>134892.00</v>
      </c>
      <c r="I2978" s="14" t="str">
        <f t="shared" si="2"/>
        <v>117334.00</v>
      </c>
      <c r="J2978" s="16" t="str">
        <f>TEXT(Raw_Data!J2978,"MMM-YYY")</f>
        <v>Nov-2025</v>
      </c>
      <c r="K2978" s="13" t="str">
        <f>Raw_Data!K2978</f>
        <v>8</v>
      </c>
      <c r="L2978" s="17" t="str">
        <f>Raw_Data!L2978</f>
        <v>Kolkata-East</v>
      </c>
      <c r="M2978" s="13" t="str">
        <f t="shared" si="3"/>
        <v>OK</v>
      </c>
      <c r="N2978" s="18" t="str">
        <f t="shared" si="4"/>
        <v>VALID</v>
      </c>
    </row>
    <row r="2979" ht="15.75" customHeight="1">
      <c r="A2979" s="13" t="str">
        <f>Raw_Data!A2979</f>
        <v>EMP3135</v>
      </c>
      <c r="B2979" s="13" t="str">
        <f>TRIM(CLEAN(Raw_Data!B2979))</f>
        <v>HR</v>
      </c>
      <c r="C2979" s="18" t="s">
        <v>54</v>
      </c>
      <c r="D2979" s="14" t="str">
        <f>IF(ISBLANK(Raw_Data!D2979),AVERAGE(Raw_Data!D$2:D$5002),Raw_Data!D2979)</f>
        <v>82209.81</v>
      </c>
      <c r="E2979" s="15" t="str">
        <f>IF(ISBLANK(Raw_Data!E2979),AVERAGE(Raw_Data!E$2:E$5002),Raw_Data!E2979)</f>
        <v>28457.77</v>
      </c>
      <c r="F2979" s="15" t="str">
        <f>IF(ISBLANK(Raw_Data!F2979),AVERAGE(Raw_Data!F$2:F$5002),Raw_Data!F2979)</f>
        <v>24248.07</v>
      </c>
      <c r="G2979" s="14" t="str">
        <f>IF(ISBLANK(Raw_Data!G2979),AVERAGE(Raw_Data!G$2:G$5002),Raw_Data!G2979)</f>
        <v>17561.10</v>
      </c>
      <c r="H2979" s="15" t="str">
        <f t="shared" si="1"/>
        <v>134916.00</v>
      </c>
      <c r="I2979" s="14" t="str">
        <f t="shared" si="2"/>
        <v>117355.00</v>
      </c>
      <c r="J2979" s="16" t="str">
        <f>TEXT(Raw_Data!J2979,"MMM-YYY")</f>
        <v>Jul-2025</v>
      </c>
      <c r="K2979" s="13" t="str">
        <f>Raw_Data!K2979</f>
        <v>13</v>
      </c>
      <c r="L2979" s="17" t="str">
        <f>Raw_Data!L2979</f>
        <v>Pune-West</v>
      </c>
      <c r="M2979" s="13" t="str">
        <f t="shared" si="3"/>
        <v>OK</v>
      </c>
      <c r="N2979" s="18" t="str">
        <f t="shared" si="4"/>
        <v>VALID</v>
      </c>
    </row>
    <row r="2980" ht="15.75" customHeight="1">
      <c r="A2980" s="13" t="str">
        <f>Raw_Data!A2980</f>
        <v>EMP3136</v>
      </c>
      <c r="B2980" s="13" t="str">
        <f>TRIM(CLEAN(Raw_Data!B2980))</f>
        <v>Customer Support</v>
      </c>
      <c r="C2980" s="18" t="s">
        <v>18</v>
      </c>
      <c r="D2980" s="14" t="str">
        <f>IF(ISBLANK(Raw_Data!D2980),AVERAGE(Raw_Data!D$2:D$5002),Raw_Data!D2980)</f>
        <v>82220.69</v>
      </c>
      <c r="E2980" s="15" t="str">
        <f>IF(ISBLANK(Raw_Data!E2980),AVERAGE(Raw_Data!E$2:E$5002),Raw_Data!E2980)</f>
        <v>28462.38</v>
      </c>
      <c r="F2980" s="15" t="str">
        <f>IF(ISBLANK(Raw_Data!F2980),AVERAGE(Raw_Data!F$2:F$5002),Raw_Data!F2980)</f>
        <v>24255.75</v>
      </c>
      <c r="G2980" s="14" t="str">
        <f>IF(ISBLANK(Raw_Data!G2980),AVERAGE(Raw_Data!G$2:G$5002),Raw_Data!G2980)</f>
        <v>17564.50</v>
      </c>
      <c r="H2980" s="15" t="str">
        <f t="shared" si="1"/>
        <v>134939.00</v>
      </c>
      <c r="I2980" s="14" t="str">
        <f t="shared" si="2"/>
        <v>117375.00</v>
      </c>
      <c r="J2980" s="16" t="str">
        <f>TEXT(Raw_Data!J2980,"MMM-YYY")</f>
        <v>Jul-2025</v>
      </c>
      <c r="K2980" s="13" t="str">
        <f>Raw_Data!K2980</f>
        <v>1</v>
      </c>
      <c r="L2980" s="17" t="str">
        <f>Raw_Data!L2980</f>
        <v>Hyderabad-South</v>
      </c>
      <c r="M2980" s="13" t="str">
        <f t="shared" si="3"/>
        <v>OK</v>
      </c>
      <c r="N2980" s="18" t="str">
        <f t="shared" si="4"/>
        <v>VALID</v>
      </c>
    </row>
    <row r="2981" ht="15.75" customHeight="1">
      <c r="A2981" s="13" t="str">
        <f>Raw_Data!A2981</f>
        <v>EMP3138</v>
      </c>
      <c r="B2981" s="13" t="str">
        <f>TRIM(CLEAN(Raw_Data!B2981))</f>
        <v>Sales</v>
      </c>
      <c r="C2981" s="18" t="s">
        <v>37</v>
      </c>
      <c r="D2981" s="14" t="str">
        <f>IF(ISBLANK(Raw_Data!D2981),AVERAGE(Raw_Data!D$2:D$5002),Raw_Data!D2981)</f>
        <v>82242.45</v>
      </c>
      <c r="E2981" s="15" t="str">
        <f>IF(ISBLANK(Raw_Data!E2981),AVERAGE(Raw_Data!E$2:E$5002),Raw_Data!E2981)</f>
        <v>28471.61</v>
      </c>
      <c r="F2981" s="15" t="str">
        <f>IF(ISBLANK(Raw_Data!F2981),AVERAGE(Raw_Data!F$2:F$5002),Raw_Data!F2981)</f>
        <v>24271.11</v>
      </c>
      <c r="G2981" s="14" t="str">
        <f>IF(ISBLANK(Raw_Data!G2981),AVERAGE(Raw_Data!G$2:G$5002),Raw_Data!G2981)</f>
        <v>17571.29</v>
      </c>
      <c r="H2981" s="15" t="str">
        <f t="shared" si="1"/>
        <v>134985.00</v>
      </c>
      <c r="I2981" s="14" t="str">
        <f t="shared" si="2"/>
        <v>117414.00</v>
      </c>
      <c r="J2981" s="16" t="str">
        <f>TEXT(Raw_Data!J2981,"MMM-YYY")</f>
        <v>Mar-2025</v>
      </c>
      <c r="K2981" s="13" t="str">
        <f>Raw_Data!K2981</f>
        <v>10</v>
      </c>
      <c r="L2981" s="17" t="str">
        <f>Raw_Data!L2981</f>
        <v>Ahmedabad-West</v>
      </c>
      <c r="M2981" s="13" t="str">
        <f t="shared" si="3"/>
        <v>OK</v>
      </c>
      <c r="N2981" s="18" t="str">
        <f t="shared" si="4"/>
        <v>VALID</v>
      </c>
    </row>
    <row r="2982" ht="15.75" customHeight="1">
      <c r="A2982" s="13" t="str">
        <f>Raw_Data!A2982</f>
        <v>EMP3139</v>
      </c>
      <c r="B2982" s="13" t="str">
        <f>TRIM(CLEAN(Raw_Data!B2982))</f>
        <v>Finance</v>
      </c>
      <c r="C2982" s="18" t="s">
        <v>30</v>
      </c>
      <c r="D2982" s="14" t="str">
        <f>IF(ISBLANK(Raw_Data!D2982),AVERAGE(Raw_Data!D$2:D$5002),Raw_Data!D2982)</f>
        <v>82253.34</v>
      </c>
      <c r="E2982" s="15" t="str">
        <f>IF(ISBLANK(Raw_Data!E2982),AVERAGE(Raw_Data!E$2:E$5002),Raw_Data!E2982)</f>
        <v>28476.22</v>
      </c>
      <c r="F2982" s="15" t="str">
        <f>IF(ISBLANK(Raw_Data!F2982),AVERAGE(Raw_Data!F$2:F$5002),Raw_Data!F2982)</f>
        <v>24278.79</v>
      </c>
      <c r="G2982" s="14" t="str">
        <f>IF(ISBLANK(Raw_Data!G2982),AVERAGE(Raw_Data!G$2:G$5002),Raw_Data!G2982)</f>
        <v>17574.69</v>
      </c>
      <c r="H2982" s="15" t="str">
        <f t="shared" si="1"/>
        <v>135008.00</v>
      </c>
      <c r="I2982" s="14" t="str">
        <f t="shared" si="2"/>
        <v>117433.00</v>
      </c>
      <c r="J2982" s="16" t="str">
        <f>TEXT(Raw_Data!J2982,"MMM-YYY")</f>
        <v>Jan-2025</v>
      </c>
      <c r="K2982" s="13" t="str">
        <f>Raw_Data!K2982</f>
        <v>6</v>
      </c>
      <c r="L2982" s="17" t="str">
        <f>Raw_Data!L2982</f>
        <v>Jaipur-North</v>
      </c>
      <c r="M2982" s="13" t="str">
        <f t="shared" si="3"/>
        <v>OK</v>
      </c>
      <c r="N2982" s="18" t="str">
        <f t="shared" si="4"/>
        <v>VALID</v>
      </c>
    </row>
    <row r="2983" ht="15.75" customHeight="1">
      <c r="A2983" s="13" t="str">
        <f>Raw_Data!A2983</f>
        <v>EMP3140</v>
      </c>
      <c r="B2983" s="13" t="str">
        <f>TRIM(CLEAN(Raw_Data!B2983))</f>
        <v>Sales</v>
      </c>
      <c r="C2983" s="18" t="s">
        <v>30</v>
      </c>
      <c r="D2983" s="14" t="str">
        <f>IF(ISBLANK(Raw_Data!D2983),AVERAGE(Raw_Data!D$2:D$5002),Raw_Data!D2983)</f>
        <v>82264.22</v>
      </c>
      <c r="E2983" s="15" t="str">
        <f>IF(ISBLANK(Raw_Data!E2983),AVERAGE(Raw_Data!E$2:E$5002),Raw_Data!E2983)</f>
        <v>28480.84</v>
      </c>
      <c r="F2983" s="15" t="str">
        <f>IF(ISBLANK(Raw_Data!F2983),AVERAGE(Raw_Data!F$2:F$5002),Raw_Data!F2983)</f>
        <v>24286.47</v>
      </c>
      <c r="G2983" s="14" t="str">
        <f>IF(ISBLANK(Raw_Data!G2983),AVERAGE(Raw_Data!G$2:G$5002),Raw_Data!G2983)</f>
        <v>17578.09</v>
      </c>
      <c r="H2983" s="15" t="str">
        <f t="shared" si="1"/>
        <v>135032.00</v>
      </c>
      <c r="I2983" s="14" t="str">
        <f t="shared" si="2"/>
        <v>117454.00</v>
      </c>
      <c r="J2983" s="16" t="str">
        <f>TEXT(Raw_Data!J2983,"MMM-YYY")</f>
        <v>Feb-2025</v>
      </c>
      <c r="K2983" s="13" t="str">
        <f>Raw_Data!K2983</f>
        <v>17</v>
      </c>
      <c r="L2983" s="17" t="str">
        <f>Raw_Data!L2983</f>
        <v>Mumbai-HO</v>
      </c>
      <c r="M2983" s="13" t="str">
        <f t="shared" si="3"/>
        <v>OK</v>
      </c>
      <c r="N2983" s="18" t="str">
        <f t="shared" si="4"/>
        <v>VALID</v>
      </c>
    </row>
    <row r="2984" ht="15.75" customHeight="1">
      <c r="A2984" s="13" t="str">
        <f>Raw_Data!A2984</f>
        <v>EMP3141</v>
      </c>
      <c r="B2984" s="13" t="str">
        <f>TRIM(CLEAN(Raw_Data!B2984))</f>
        <v>HR</v>
      </c>
      <c r="C2984" s="18" t="s">
        <v>18</v>
      </c>
      <c r="D2984" s="14" t="str">
        <f>IF(ISBLANK(Raw_Data!D2984),AVERAGE(Raw_Data!D$2:D$5002),Raw_Data!D2984)</f>
        <v>82275.10</v>
      </c>
      <c r="E2984" s="15" t="str">
        <f>IF(ISBLANK(Raw_Data!E2984),AVERAGE(Raw_Data!E$2:E$5002),Raw_Data!E2984)</f>
        <v>28485.45</v>
      </c>
      <c r="F2984" s="15" t="str">
        <f>IF(ISBLANK(Raw_Data!F2984),AVERAGE(Raw_Data!F$2:F$5002),Raw_Data!F2984)</f>
        <v>24294.15</v>
      </c>
      <c r="G2984" s="14" t="str">
        <f>IF(ISBLANK(Raw_Data!G2984),AVERAGE(Raw_Data!G$2:G$5002),Raw_Data!G2984)</f>
        <v>17581.49</v>
      </c>
      <c r="H2984" s="15" t="str">
        <f t="shared" si="1"/>
        <v>135055.00</v>
      </c>
      <c r="I2984" s="14" t="str">
        <f t="shared" si="2"/>
        <v>117474.00</v>
      </c>
      <c r="J2984" s="16" t="str">
        <f>TEXT(Raw_Data!J2984,"MMM-YYY")</f>
        <v>Aug-2025</v>
      </c>
      <c r="K2984" s="13" t="str">
        <f>Raw_Data!K2984</f>
        <v>10</v>
      </c>
      <c r="L2984" s="17" t="str">
        <f>Raw_Data!L2984</f>
        <v>Delhi-North</v>
      </c>
      <c r="M2984" s="13" t="str">
        <f t="shared" si="3"/>
        <v>OK</v>
      </c>
      <c r="N2984" s="18" t="str">
        <f t="shared" si="4"/>
        <v>VALID</v>
      </c>
    </row>
    <row r="2985" ht="15.75" customHeight="1">
      <c r="A2985" s="13" t="str">
        <f>Raw_Data!A2985</f>
        <v>EMP3142</v>
      </c>
      <c r="B2985" s="13" t="str">
        <f>TRIM(CLEAN(Raw_Data!B2985))</f>
        <v>Operations</v>
      </c>
      <c r="C2985" s="18" t="s">
        <v>30</v>
      </c>
      <c r="D2985" s="14" t="str">
        <f>IF(ISBLANK(Raw_Data!D2985),AVERAGE(Raw_Data!D$2:D$5002),Raw_Data!D2985)</f>
        <v>82285.99</v>
      </c>
      <c r="E2985" s="15" t="str">
        <f>IF(ISBLANK(Raw_Data!E2985),AVERAGE(Raw_Data!E$2:E$5002),Raw_Data!E2985)</f>
        <v>28490.07</v>
      </c>
      <c r="F2985" s="15" t="str">
        <f>IF(ISBLANK(Raw_Data!F2985),AVERAGE(Raw_Data!F$2:F$5002),Raw_Data!F2985)</f>
        <v>24301.83</v>
      </c>
      <c r="G2985" s="14" t="str">
        <f>IF(ISBLANK(Raw_Data!G2985),AVERAGE(Raw_Data!G$2:G$5002),Raw_Data!G2985)</f>
        <v>17584.88</v>
      </c>
      <c r="H2985" s="15" t="str">
        <f t="shared" si="1"/>
        <v>135078.00</v>
      </c>
      <c r="I2985" s="14" t="str">
        <f t="shared" si="2"/>
        <v>117493.00</v>
      </c>
      <c r="J2985" s="16" t="str">
        <f>TEXT(Raw_Data!J2985,"MMM-YYY")</f>
        <v>Jul-2025</v>
      </c>
      <c r="K2985" s="13" t="str">
        <f>Raw_Data!K2985</f>
        <v>11</v>
      </c>
      <c r="L2985" s="17" t="str">
        <f>Raw_Data!L2985</f>
        <v>Bangalore-South</v>
      </c>
      <c r="M2985" s="13" t="str">
        <f t="shared" si="3"/>
        <v>OK</v>
      </c>
      <c r="N2985" s="18" t="str">
        <f t="shared" si="4"/>
        <v>VALID</v>
      </c>
    </row>
    <row r="2986" ht="15.75" customHeight="1">
      <c r="A2986" s="13" t="str">
        <f>Raw_Data!A2986</f>
        <v>EMP3143</v>
      </c>
      <c r="B2986" s="13" t="str">
        <f>TRIM(CLEAN(Raw_Data!B2986))</f>
        <v>Marketing</v>
      </c>
      <c r="C2986" s="18" t="s">
        <v>26</v>
      </c>
      <c r="D2986" s="14" t="str">
        <f>IF(ISBLANK(Raw_Data!D2986),AVERAGE(Raw_Data!D$2:D$5002),Raw_Data!D2986)</f>
        <v>82296.87</v>
      </c>
      <c r="E2986" s="15" t="str">
        <f>IF(ISBLANK(Raw_Data!E2986),AVERAGE(Raw_Data!E$2:E$5002),Raw_Data!E2986)</f>
        <v>28494.68</v>
      </c>
      <c r="F2986" s="15" t="str">
        <f>IF(ISBLANK(Raw_Data!F2986),AVERAGE(Raw_Data!F$2:F$5002),Raw_Data!F2986)</f>
        <v>24309.51</v>
      </c>
      <c r="G2986" s="14" t="str">
        <f>IF(ISBLANK(Raw_Data!G2986),AVERAGE(Raw_Data!G$2:G$5002),Raw_Data!G2986)</f>
        <v>17588.28</v>
      </c>
      <c r="H2986" s="15" t="str">
        <f t="shared" si="1"/>
        <v>135101.00</v>
      </c>
      <c r="I2986" s="14" t="str">
        <f t="shared" si="2"/>
        <v>117513.00</v>
      </c>
      <c r="J2986" s="16" t="str">
        <f>TEXT(Raw_Data!J2986,"MMM-YYY")</f>
        <v>Oct-2025</v>
      </c>
      <c r="K2986" s="13" t="str">
        <f>Raw_Data!K2986</f>
        <v>5</v>
      </c>
      <c r="L2986" s="17" t="str">
        <f>Raw_Data!L2986</f>
        <v>Chennai-South</v>
      </c>
      <c r="M2986" s="13" t="str">
        <f t="shared" si="3"/>
        <v>OK</v>
      </c>
      <c r="N2986" s="18" t="str">
        <f t="shared" si="4"/>
        <v>VALID</v>
      </c>
    </row>
    <row r="2987" ht="15.75" customHeight="1">
      <c r="A2987" s="13" t="str">
        <f>Raw_Data!A2987</f>
        <v>EMP3144</v>
      </c>
      <c r="B2987" s="13" t="str">
        <f>TRIM(CLEAN(Raw_Data!B2987))</f>
        <v>IT</v>
      </c>
      <c r="C2987" s="18" t="s">
        <v>14</v>
      </c>
      <c r="D2987" s="14" t="str">
        <f>IF(ISBLANK(Raw_Data!D2987),AVERAGE(Raw_Data!D$2:D$5002),Raw_Data!D2987)</f>
        <v>82307.75</v>
      </c>
      <c r="E2987" s="15" t="str">
        <f>IF(ISBLANK(Raw_Data!E2987),AVERAGE(Raw_Data!E$2:E$5002),Raw_Data!E2987)</f>
        <v>28499.30</v>
      </c>
      <c r="F2987" s="15" t="str">
        <f>IF(ISBLANK(Raw_Data!F2987),AVERAGE(Raw_Data!F$2:F$5002),Raw_Data!F2987)</f>
        <v>24317.19</v>
      </c>
      <c r="G2987" s="14" t="str">
        <f>IF(ISBLANK(Raw_Data!G2987),AVERAGE(Raw_Data!G$2:G$5002),Raw_Data!G2987)</f>
        <v>17591.68</v>
      </c>
      <c r="H2987" s="15" t="str">
        <f t="shared" si="1"/>
        <v>135124.00</v>
      </c>
      <c r="I2987" s="14" t="str">
        <f t="shared" si="2"/>
        <v>117532.00</v>
      </c>
      <c r="J2987" s="16" t="str">
        <f>TEXT(Raw_Data!J2987,"MMM-YYY")</f>
        <v>Nov-2025</v>
      </c>
      <c r="K2987" s="13" t="str">
        <f>Raw_Data!K2987</f>
        <v>11</v>
      </c>
      <c r="L2987" s="17" t="str">
        <f>Raw_Data!L2987</f>
        <v>Kolkata-East</v>
      </c>
      <c r="M2987" s="13" t="str">
        <f t="shared" si="3"/>
        <v>OK</v>
      </c>
      <c r="N2987" s="18" t="str">
        <f t="shared" si="4"/>
        <v>VALID</v>
      </c>
    </row>
    <row r="2988" ht="15.75" customHeight="1">
      <c r="A2988" s="13" t="str">
        <f>Raw_Data!A2988</f>
        <v>EMP3145</v>
      </c>
      <c r="B2988" s="13" t="str">
        <f>TRIM(CLEAN(Raw_Data!B2988))</f>
        <v>Marketing</v>
      </c>
      <c r="C2988" s="18" t="s">
        <v>37</v>
      </c>
      <c r="D2988" s="14" t="str">
        <f>IF(ISBLANK(Raw_Data!D2988),AVERAGE(Raw_Data!D$2:D$5002),Raw_Data!D2988)</f>
        <v>82318.63</v>
      </c>
      <c r="E2988" s="15" t="str">
        <f>IF(ISBLANK(Raw_Data!E2988),AVERAGE(Raw_Data!E$2:E$5002),Raw_Data!E2988)</f>
        <v>28503.91</v>
      </c>
      <c r="F2988" s="15" t="str">
        <f>IF(ISBLANK(Raw_Data!F2988),AVERAGE(Raw_Data!F$2:F$5002),Raw_Data!F2988)</f>
        <v>24324.87</v>
      </c>
      <c r="G2988" s="14" t="str">
        <f>IF(ISBLANK(Raw_Data!G2988),AVERAGE(Raw_Data!G$2:G$5002),Raw_Data!G2988)</f>
        <v>17595.08</v>
      </c>
      <c r="H2988" s="15" t="str">
        <f t="shared" si="1"/>
        <v>135147.00</v>
      </c>
      <c r="I2988" s="14" t="str">
        <f t="shared" si="2"/>
        <v>117552.00</v>
      </c>
      <c r="J2988" s="16" t="str">
        <f>TEXT(Raw_Data!J2988,"MMM-YYY")</f>
        <v>Aug-2025</v>
      </c>
      <c r="K2988" s="13" t="str">
        <f>Raw_Data!K2988</f>
        <v>14</v>
      </c>
      <c r="L2988" s="17" t="str">
        <f>Raw_Data!L2988</f>
        <v>Pune-West</v>
      </c>
      <c r="M2988" s="13" t="str">
        <f t="shared" si="3"/>
        <v>OK</v>
      </c>
      <c r="N2988" s="18" t="str">
        <f t="shared" si="4"/>
        <v>VALID</v>
      </c>
    </row>
    <row r="2989" ht="15.75" customHeight="1">
      <c r="A2989" s="13" t="str">
        <f>Raw_Data!A2989</f>
        <v>EMP3146</v>
      </c>
      <c r="B2989" s="13" t="str">
        <f>TRIM(CLEAN(Raw_Data!B2989))</f>
        <v>Operations</v>
      </c>
      <c r="C2989" s="18" t="s">
        <v>54</v>
      </c>
      <c r="D2989" s="14" t="str">
        <f>IF(ISBLANK(Raw_Data!D2989),AVERAGE(Raw_Data!D$2:D$5002),Raw_Data!D2989)</f>
        <v>82329.52</v>
      </c>
      <c r="E2989" s="15" t="str">
        <f>IF(ISBLANK(Raw_Data!E2989),AVERAGE(Raw_Data!E$2:E$5002),Raw_Data!E2989)</f>
        <v>28508.53</v>
      </c>
      <c r="F2989" s="15" t="str">
        <f>IF(ISBLANK(Raw_Data!F2989),AVERAGE(Raw_Data!F$2:F$5002),Raw_Data!F2989)</f>
        <v>24332.55</v>
      </c>
      <c r="G2989" s="14" t="str">
        <f>IF(ISBLANK(Raw_Data!G2989),AVERAGE(Raw_Data!G$2:G$5002),Raw_Data!G2989)</f>
        <v>17598.47</v>
      </c>
      <c r="H2989" s="15" t="str">
        <f t="shared" si="1"/>
        <v>135171.00</v>
      </c>
      <c r="I2989" s="14" t="str">
        <f t="shared" si="2"/>
        <v>117573.00</v>
      </c>
      <c r="J2989" s="16" t="str">
        <f>TEXT(Raw_Data!J2989,"MMM-YYY")</f>
        <v>Jun-2025</v>
      </c>
      <c r="K2989" s="13" t="str">
        <f>Raw_Data!K2989</f>
        <v>17</v>
      </c>
      <c r="L2989" s="17" t="str">
        <f>Raw_Data!L2989</f>
        <v>Hyderabad-South</v>
      </c>
      <c r="M2989" s="13" t="str">
        <f t="shared" si="3"/>
        <v>OK</v>
      </c>
      <c r="N2989" s="18" t="str">
        <f t="shared" si="4"/>
        <v>VALID</v>
      </c>
    </row>
    <row r="2990" ht="15.75" customHeight="1">
      <c r="A2990" s="13" t="str">
        <f>Raw_Data!A2990</f>
        <v>EMP3147</v>
      </c>
      <c r="B2990" s="13" t="str">
        <f>TRIM(CLEAN(Raw_Data!B2990))</f>
        <v>Marketing</v>
      </c>
      <c r="C2990" s="18" t="s">
        <v>30</v>
      </c>
      <c r="D2990" s="14" t="str">
        <f>IF(ISBLANK(Raw_Data!D2990),AVERAGE(Raw_Data!D$2:D$5002),Raw_Data!D2990)</f>
        <v>82340.40</v>
      </c>
      <c r="E2990" s="15" t="str">
        <f>IF(ISBLANK(Raw_Data!E2990),AVERAGE(Raw_Data!E$2:E$5002),Raw_Data!E2990)</f>
        <v>28513.14</v>
      </c>
      <c r="F2990" s="15" t="str">
        <f>IF(ISBLANK(Raw_Data!F2990),AVERAGE(Raw_Data!F$2:F$5002),Raw_Data!F2990)</f>
        <v>24340.23</v>
      </c>
      <c r="G2990" s="14" t="str">
        <f>IF(ISBLANK(Raw_Data!G2990),AVERAGE(Raw_Data!G$2:G$5002),Raw_Data!G2990)</f>
        <v>17601.87</v>
      </c>
      <c r="H2990" s="15" t="str">
        <f t="shared" si="1"/>
        <v>135194.00</v>
      </c>
      <c r="I2990" s="14" t="str">
        <f t="shared" si="2"/>
        <v>117592.00</v>
      </c>
      <c r="J2990" s="16" t="str">
        <f>TEXT(Raw_Data!J2990,"MMM-YYY")</f>
        <v>Jun-2025</v>
      </c>
      <c r="K2990" s="13" t="str">
        <f>Raw_Data!K2990</f>
        <v>25</v>
      </c>
      <c r="L2990" s="17" t="str">
        <f>Raw_Data!L2990</f>
        <v>Chandigarh-North</v>
      </c>
      <c r="M2990" s="13" t="str">
        <f t="shared" si="3"/>
        <v>OK</v>
      </c>
      <c r="N2990" s="18" t="str">
        <f t="shared" si="4"/>
        <v>VALID</v>
      </c>
    </row>
    <row r="2991" ht="15.75" customHeight="1">
      <c r="A2991" s="13" t="str">
        <f>Raw_Data!A2991</f>
        <v>EMP3148</v>
      </c>
      <c r="B2991" s="13" t="str">
        <f>TRIM(CLEAN(Raw_Data!B2991))</f>
        <v>IT</v>
      </c>
      <c r="C2991" s="18" t="s">
        <v>54</v>
      </c>
      <c r="D2991" s="14" t="str">
        <f>IF(ISBLANK(Raw_Data!D2991),AVERAGE(Raw_Data!D$2:D$5002),Raw_Data!D2991)</f>
        <v>82351.28</v>
      </c>
      <c r="E2991" s="15" t="str">
        <f>IF(ISBLANK(Raw_Data!E2991),AVERAGE(Raw_Data!E$2:E$5002),Raw_Data!E2991)</f>
        <v>28517.76</v>
      </c>
      <c r="F2991" s="15" t="str">
        <f>IF(ISBLANK(Raw_Data!F2991),AVERAGE(Raw_Data!F$2:F$5002),Raw_Data!F2991)</f>
        <v>24347.91</v>
      </c>
      <c r="G2991" s="14" t="str">
        <f>IF(ISBLANK(Raw_Data!G2991),AVERAGE(Raw_Data!G$2:G$5002),Raw_Data!G2991)</f>
        <v>17605.27</v>
      </c>
      <c r="H2991" s="15" t="str">
        <f t="shared" si="1"/>
        <v>135217.00</v>
      </c>
      <c r="I2991" s="14" t="str">
        <f t="shared" si="2"/>
        <v>117612.00</v>
      </c>
      <c r="J2991" s="16" t="str">
        <f>TEXT(Raw_Data!J2991,"MMM-YYY")</f>
        <v>Jun-2025</v>
      </c>
      <c r="K2991" s="13" t="str">
        <f>Raw_Data!K2991</f>
        <v>12</v>
      </c>
      <c r="L2991" s="17" t="str">
        <f>Raw_Data!L2991</f>
        <v>Ahmedabad-West</v>
      </c>
      <c r="M2991" s="13" t="str">
        <f t="shared" si="3"/>
        <v>OK</v>
      </c>
      <c r="N2991" s="18" t="str">
        <f t="shared" si="4"/>
        <v>VALID</v>
      </c>
    </row>
    <row r="2992" ht="15.75" customHeight="1">
      <c r="A2992" s="13" t="str">
        <f>Raw_Data!A2992</f>
        <v>EMP3149</v>
      </c>
      <c r="B2992" s="13" t="str">
        <f>TRIM(CLEAN(Raw_Data!B2992))</f>
        <v>Sales</v>
      </c>
      <c r="C2992" s="18" t="s">
        <v>14</v>
      </c>
      <c r="D2992" s="14" t="str">
        <f>IF(ISBLANK(Raw_Data!D2992),AVERAGE(Raw_Data!D$2:D$5002),Raw_Data!D2992)</f>
        <v>82362.17</v>
      </c>
      <c r="E2992" s="15" t="str">
        <f>IF(ISBLANK(Raw_Data!E2992),AVERAGE(Raw_Data!E$2:E$5002),Raw_Data!E2992)</f>
        <v>28522.37</v>
      </c>
      <c r="F2992" s="15" t="str">
        <f>IF(ISBLANK(Raw_Data!F2992),AVERAGE(Raw_Data!F$2:F$5002),Raw_Data!F2992)</f>
        <v>24355.59</v>
      </c>
      <c r="G2992" s="14" t="str">
        <f>IF(ISBLANK(Raw_Data!G2992),AVERAGE(Raw_Data!G$2:G$5002),Raw_Data!G2992)</f>
        <v>17608.67</v>
      </c>
      <c r="H2992" s="15" t="str">
        <f t="shared" si="1"/>
        <v>135240.00</v>
      </c>
      <c r="I2992" s="14" t="str">
        <f t="shared" si="2"/>
        <v>117631.00</v>
      </c>
      <c r="J2992" s="16" t="str">
        <f>TEXT(Raw_Data!J2992,"MMM-YYY")</f>
        <v>Dec-2025</v>
      </c>
      <c r="K2992" s="13" t="str">
        <f>Raw_Data!K2992</f>
        <v>1</v>
      </c>
      <c r="L2992" s="17" t="str">
        <f>Raw_Data!L2992</f>
        <v>Jaipur-North</v>
      </c>
      <c r="M2992" s="13" t="str">
        <f t="shared" si="3"/>
        <v>OK</v>
      </c>
      <c r="N2992" s="18" t="str">
        <f t="shared" si="4"/>
        <v>VALID</v>
      </c>
    </row>
    <row r="2993" ht="15.75" customHeight="1">
      <c r="A2993" s="13" t="str">
        <f>Raw_Data!A2993</f>
        <v>EMP3150</v>
      </c>
      <c r="B2993" s="13" t="str">
        <f>TRIM(CLEAN(Raw_Data!B2993))</f>
        <v>IT</v>
      </c>
      <c r="C2993" s="18" t="s">
        <v>26</v>
      </c>
      <c r="D2993" s="14" t="str">
        <f>IF(ISBLANK(Raw_Data!D2993),AVERAGE(Raw_Data!D$2:D$5002),Raw_Data!D2993)</f>
        <v>82373.05</v>
      </c>
      <c r="E2993" s="15" t="str">
        <f>IF(ISBLANK(Raw_Data!E2993),AVERAGE(Raw_Data!E$2:E$5002),Raw_Data!E2993)</f>
        <v>28526.99</v>
      </c>
      <c r="F2993" s="15" t="str">
        <f>IF(ISBLANK(Raw_Data!F2993),AVERAGE(Raw_Data!F$2:F$5002),Raw_Data!F2993)</f>
        <v>24363.27</v>
      </c>
      <c r="G2993" s="14" t="str">
        <f>IF(ISBLANK(Raw_Data!G2993),AVERAGE(Raw_Data!G$2:G$5002),Raw_Data!G2993)</f>
        <v>17612.06</v>
      </c>
      <c r="H2993" s="15" t="str">
        <f t="shared" si="1"/>
        <v>135263.00</v>
      </c>
      <c r="I2993" s="14" t="str">
        <f t="shared" si="2"/>
        <v>117651.00</v>
      </c>
      <c r="J2993" s="16" t="str">
        <f>TEXT(Raw_Data!J2993,"MMM-YYY")</f>
        <v>Feb-2025</v>
      </c>
      <c r="K2993" s="13" t="str">
        <f>Raw_Data!K2993</f>
        <v>6</v>
      </c>
      <c r="L2993" s="17" t="str">
        <f>Raw_Data!L2993</f>
        <v>Mumbai-HO</v>
      </c>
      <c r="M2993" s="13" t="str">
        <f t="shared" si="3"/>
        <v>OK</v>
      </c>
      <c r="N2993" s="18" t="str">
        <f t="shared" si="4"/>
        <v>VALID</v>
      </c>
    </row>
    <row r="2994" ht="15.75" customHeight="1">
      <c r="A2994" s="13" t="str">
        <f>Raw_Data!A2994</f>
        <v>EMP3151</v>
      </c>
      <c r="B2994" s="13" t="str">
        <f>TRIM(CLEAN(Raw_Data!B2994))</f>
        <v>Sales</v>
      </c>
      <c r="C2994" s="18" t="s">
        <v>37</v>
      </c>
      <c r="D2994" s="14" t="str">
        <f>IF(ISBLANK(Raw_Data!D2994),AVERAGE(Raw_Data!D$2:D$5002),Raw_Data!D2994)</f>
        <v>82383.93</v>
      </c>
      <c r="E2994" s="15" t="str">
        <f>IF(ISBLANK(Raw_Data!E2994),AVERAGE(Raw_Data!E$2:E$5002),Raw_Data!E2994)</f>
        <v>28531.60</v>
      </c>
      <c r="F2994" s="15" t="str">
        <f>IF(ISBLANK(Raw_Data!F2994),AVERAGE(Raw_Data!F$2:F$5002),Raw_Data!F2994)</f>
        <v>24370.95</v>
      </c>
      <c r="G2994" s="14" t="str">
        <f>IF(ISBLANK(Raw_Data!G2994),AVERAGE(Raw_Data!G$2:G$5002),Raw_Data!G2994)</f>
        <v>17615.46</v>
      </c>
      <c r="H2994" s="15" t="str">
        <f t="shared" si="1"/>
        <v>135286.00</v>
      </c>
      <c r="I2994" s="14" t="str">
        <f t="shared" si="2"/>
        <v>117671.00</v>
      </c>
      <c r="J2994" s="16" t="str">
        <f>TEXT(Raw_Data!J2994,"MMM-YYY")</f>
        <v>Jun-2025</v>
      </c>
      <c r="K2994" s="13" t="str">
        <f>Raw_Data!K2994</f>
        <v>6</v>
      </c>
      <c r="L2994" s="17" t="str">
        <f>Raw_Data!L2994</f>
        <v>Delhi-North</v>
      </c>
      <c r="M2994" s="13" t="str">
        <f t="shared" si="3"/>
        <v>OK</v>
      </c>
      <c r="N2994" s="18" t="str">
        <f t="shared" si="4"/>
        <v>VALID</v>
      </c>
    </row>
    <row r="2995" ht="15.75" customHeight="1">
      <c r="A2995" s="13" t="str">
        <f>Raw_Data!A2995</f>
        <v>EMP3152</v>
      </c>
      <c r="B2995" s="13" t="str">
        <f>TRIM(CLEAN(Raw_Data!B2995))</f>
        <v>Sales</v>
      </c>
      <c r="C2995" s="18" t="s">
        <v>33</v>
      </c>
      <c r="D2995" s="14" t="str">
        <f>IF(ISBLANK(Raw_Data!D2995),AVERAGE(Raw_Data!D$2:D$5002),Raw_Data!D2995)</f>
        <v>82394.82</v>
      </c>
      <c r="E2995" s="15" t="str">
        <f>IF(ISBLANK(Raw_Data!E2995),AVERAGE(Raw_Data!E$2:E$5002),Raw_Data!E2995)</f>
        <v>28536.22</v>
      </c>
      <c r="F2995" s="15" t="str">
        <f>IF(ISBLANK(Raw_Data!F2995),AVERAGE(Raw_Data!F$2:F$5002),Raw_Data!F2995)</f>
        <v>24378.63</v>
      </c>
      <c r="G2995" s="14" t="str">
        <f>IF(ISBLANK(Raw_Data!G2995),AVERAGE(Raw_Data!G$2:G$5002),Raw_Data!G2995)</f>
        <v>17618.86</v>
      </c>
      <c r="H2995" s="15" t="str">
        <f t="shared" si="1"/>
        <v>135310.00</v>
      </c>
      <c r="I2995" s="14" t="str">
        <f t="shared" si="2"/>
        <v>117691.00</v>
      </c>
      <c r="J2995" s="16" t="str">
        <f>TEXT(Raw_Data!J2995,"MMM-YYY")</f>
        <v>Oct-2025</v>
      </c>
      <c r="K2995" s="13" t="str">
        <f>Raw_Data!K2995</f>
        <v>14</v>
      </c>
      <c r="L2995" s="17" t="str">
        <f>Raw_Data!L2995</f>
        <v>Bangalore-South</v>
      </c>
      <c r="M2995" s="13" t="str">
        <f t="shared" si="3"/>
        <v>OK</v>
      </c>
      <c r="N2995" s="18" t="str">
        <f t="shared" si="4"/>
        <v>VALID</v>
      </c>
    </row>
    <row r="2996" ht="15.75" customHeight="1">
      <c r="A2996" s="13" t="str">
        <f>Raw_Data!A2996</f>
        <v>EMP3153</v>
      </c>
      <c r="B2996" s="13" t="str">
        <f>TRIM(CLEAN(Raw_Data!B2996))</f>
        <v>Customer Support</v>
      </c>
      <c r="C2996" s="18" t="s">
        <v>54</v>
      </c>
      <c r="D2996" s="14" t="str">
        <f>IF(ISBLANK(Raw_Data!D2996),AVERAGE(Raw_Data!D$2:D$5002),Raw_Data!D2996)</f>
        <v>82405.70</v>
      </c>
      <c r="E2996" s="15" t="str">
        <f>IF(ISBLANK(Raw_Data!E2996),AVERAGE(Raw_Data!E$2:E$5002),Raw_Data!E2996)</f>
        <v>28540.83</v>
      </c>
      <c r="F2996" s="15" t="str">
        <f>IF(ISBLANK(Raw_Data!F2996),AVERAGE(Raw_Data!F$2:F$5002),Raw_Data!F2996)</f>
        <v>24386.31</v>
      </c>
      <c r="G2996" s="14" t="str">
        <f>IF(ISBLANK(Raw_Data!G2996),AVERAGE(Raw_Data!G$2:G$5002),Raw_Data!G2996)</f>
        <v>17622.26</v>
      </c>
      <c r="H2996" s="15" t="str">
        <f t="shared" si="1"/>
        <v>135333.00</v>
      </c>
      <c r="I2996" s="14" t="str">
        <f t="shared" si="2"/>
        <v>117711.00</v>
      </c>
      <c r="J2996" s="16" t="str">
        <f>TEXT(Raw_Data!J2996,"MMM-YYY")</f>
        <v>Sep-2025</v>
      </c>
      <c r="K2996" s="13" t="str">
        <f>Raw_Data!K2996</f>
        <v>16</v>
      </c>
      <c r="L2996" s="17" t="str">
        <f>Raw_Data!L2996</f>
        <v>Chennai-South</v>
      </c>
      <c r="M2996" s="13" t="str">
        <f t="shared" si="3"/>
        <v>OK</v>
      </c>
      <c r="N2996" s="18" t="str">
        <f t="shared" si="4"/>
        <v>VALID</v>
      </c>
    </row>
    <row r="2997" ht="15.75" customHeight="1">
      <c r="A2997" s="13" t="str">
        <f>Raw_Data!A2997</f>
        <v>EMP3154</v>
      </c>
      <c r="B2997" s="13" t="str">
        <f>TRIM(CLEAN(Raw_Data!B2997))</f>
        <v>HR</v>
      </c>
      <c r="C2997" s="18" t="s">
        <v>14</v>
      </c>
      <c r="D2997" s="14" t="str">
        <f>IF(ISBLANK(Raw_Data!D2997),AVERAGE(Raw_Data!D$2:D$5002),Raw_Data!D2997)</f>
        <v>82416.58</v>
      </c>
      <c r="E2997" s="15" t="str">
        <f>IF(ISBLANK(Raw_Data!E2997),AVERAGE(Raw_Data!E$2:E$5002),Raw_Data!E2997)</f>
        <v>28545.45</v>
      </c>
      <c r="F2997" s="15" t="str">
        <f>IF(ISBLANK(Raw_Data!F2997),AVERAGE(Raw_Data!F$2:F$5002),Raw_Data!F2997)</f>
        <v>24393.99</v>
      </c>
      <c r="G2997" s="14" t="str">
        <f>IF(ISBLANK(Raw_Data!G2997),AVERAGE(Raw_Data!G$2:G$5002),Raw_Data!G2997)</f>
        <v>17625.65</v>
      </c>
      <c r="H2997" s="15" t="str">
        <f t="shared" si="1"/>
        <v>135356.00</v>
      </c>
      <c r="I2997" s="14" t="str">
        <f t="shared" si="2"/>
        <v>117730.00</v>
      </c>
      <c r="J2997" s="16" t="str">
        <f>TEXT(Raw_Data!J2997,"MMM-YYY")</f>
        <v>Jul-2025</v>
      </c>
      <c r="K2997" s="13" t="str">
        <f>Raw_Data!K2997</f>
        <v>8</v>
      </c>
      <c r="L2997" s="17" t="str">
        <f>Raw_Data!L2997</f>
        <v>Kolkata-East</v>
      </c>
      <c r="M2997" s="13" t="str">
        <f t="shared" si="3"/>
        <v>OK</v>
      </c>
      <c r="N2997" s="18" t="str">
        <f t="shared" si="4"/>
        <v>VALID</v>
      </c>
    </row>
    <row r="2998" ht="15.75" customHeight="1">
      <c r="A2998" s="13" t="str">
        <f>Raw_Data!A2998</f>
        <v>EMP3155</v>
      </c>
      <c r="B2998" s="13" t="str">
        <f>TRIM(CLEAN(Raw_Data!B2998))</f>
        <v>HR</v>
      </c>
      <c r="C2998" s="18" t="s">
        <v>33</v>
      </c>
      <c r="D2998" s="14" t="str">
        <f>IF(ISBLANK(Raw_Data!D2998),AVERAGE(Raw_Data!D$2:D$5002),Raw_Data!D2998)</f>
        <v>82427.46</v>
      </c>
      <c r="E2998" s="15" t="str">
        <f>IF(ISBLANK(Raw_Data!E2998),AVERAGE(Raw_Data!E$2:E$5002),Raw_Data!E2998)</f>
        <v>28550.06</v>
      </c>
      <c r="F2998" s="15" t="str">
        <f>IF(ISBLANK(Raw_Data!F2998),AVERAGE(Raw_Data!F$2:F$5002),Raw_Data!F2998)</f>
        <v>24401.67</v>
      </c>
      <c r="G2998" s="14" t="str">
        <f>IF(ISBLANK(Raw_Data!G2998),AVERAGE(Raw_Data!G$2:G$5002),Raw_Data!G2998)</f>
        <v>17629.05</v>
      </c>
      <c r="H2998" s="15" t="str">
        <f t="shared" si="1"/>
        <v>135379.00</v>
      </c>
      <c r="I2998" s="14" t="str">
        <f t="shared" si="2"/>
        <v>117750.00</v>
      </c>
      <c r="J2998" s="16" t="str">
        <f>TEXT(Raw_Data!J2998,"MMM-YYY")</f>
        <v>Mar-2025</v>
      </c>
      <c r="K2998" s="13" t="str">
        <f>Raw_Data!K2998</f>
        <v>1</v>
      </c>
      <c r="L2998" s="17" t="str">
        <f>Raw_Data!L2998</f>
        <v>Pune-West</v>
      </c>
      <c r="M2998" s="13" t="str">
        <f t="shared" si="3"/>
        <v>OK</v>
      </c>
      <c r="N2998" s="18" t="str">
        <f t="shared" si="4"/>
        <v>VALID</v>
      </c>
    </row>
    <row r="2999" ht="15.75" customHeight="1">
      <c r="A2999" s="13" t="str">
        <f>Raw_Data!A2999</f>
        <v>EMP3156</v>
      </c>
      <c r="B2999" s="13" t="s">
        <v>17</v>
      </c>
      <c r="C2999" s="18" t="s">
        <v>37</v>
      </c>
      <c r="D2999" s="14" t="str">
        <f>IF(ISBLANK(Raw_Data!D2999),AVERAGE(Raw_Data!D$2:D$5002),Raw_Data!D2999)</f>
        <v>82438.35</v>
      </c>
      <c r="E2999" s="15" t="str">
        <f>IF(ISBLANK(Raw_Data!E2999),AVERAGE(Raw_Data!E$2:E$5002),Raw_Data!E2999)</f>
        <v>28554.68</v>
      </c>
      <c r="F2999" s="15" t="str">
        <f>IF(ISBLANK(Raw_Data!F2999),AVERAGE(Raw_Data!F$2:F$5002),Raw_Data!F2999)</f>
        <v>24409.35</v>
      </c>
      <c r="G2999" s="14" t="str">
        <f>IF(ISBLANK(Raw_Data!G2999),AVERAGE(Raw_Data!G$2:G$5002),Raw_Data!G2999)</f>
        <v>17632.45</v>
      </c>
      <c r="H2999" s="15" t="str">
        <f t="shared" si="1"/>
        <v>135402.00</v>
      </c>
      <c r="I2999" s="14" t="str">
        <f t="shared" si="2"/>
        <v>117770.00</v>
      </c>
      <c r="J2999" s="16" t="str">
        <f>TEXT(Raw_Data!J2999,"MMM-YYY")</f>
        <v>Nov-2025</v>
      </c>
      <c r="K2999" s="13" t="str">
        <f>Raw_Data!K2999</f>
        <v>17</v>
      </c>
      <c r="L2999" s="17" t="str">
        <f>Raw_Data!L2999</f>
        <v>Hyderabad-South</v>
      </c>
      <c r="M2999" s="13" t="str">
        <f t="shared" si="3"/>
        <v>OK</v>
      </c>
      <c r="N2999" s="18" t="str">
        <f t="shared" si="4"/>
        <v>VALID</v>
      </c>
    </row>
    <row r="3000" ht="15.75" customHeight="1">
      <c r="A3000" s="13" t="str">
        <f>Raw_Data!A3000</f>
        <v>EMP3157</v>
      </c>
      <c r="B3000" s="13" t="str">
        <f>TRIM(CLEAN(Raw_Data!B3000))</f>
        <v>Customer Support</v>
      </c>
      <c r="C3000" s="18" t="s">
        <v>18</v>
      </c>
      <c r="D3000" s="14" t="str">
        <f>IF(ISBLANK(Raw_Data!D3000),AVERAGE(Raw_Data!D$2:D$5002),Raw_Data!D3000)</f>
        <v>82449.23</v>
      </c>
      <c r="E3000" s="15" t="str">
        <f>IF(ISBLANK(Raw_Data!E3000),AVERAGE(Raw_Data!E$2:E$5002),Raw_Data!E3000)</f>
        <v>28559.29</v>
      </c>
      <c r="F3000" s="15" t="str">
        <f>IF(ISBLANK(Raw_Data!F3000),AVERAGE(Raw_Data!F$2:F$5002),Raw_Data!F3000)</f>
        <v>24417.03</v>
      </c>
      <c r="G3000" s="14" t="str">
        <f>IF(ISBLANK(Raw_Data!G3000),AVERAGE(Raw_Data!G$2:G$5002),Raw_Data!G3000)</f>
        <v>17635.85</v>
      </c>
      <c r="H3000" s="15" t="str">
        <f t="shared" si="1"/>
        <v>135426.00</v>
      </c>
      <c r="I3000" s="14" t="str">
        <f t="shared" si="2"/>
        <v>117790.00</v>
      </c>
      <c r="J3000" s="16" t="str">
        <f>TEXT(Raw_Data!J3000,"MMM-YYY")</f>
        <v>Oct-2025</v>
      </c>
      <c r="K3000" s="13" t="str">
        <f>Raw_Data!K3000</f>
        <v>14</v>
      </c>
      <c r="L3000" s="17" t="str">
        <f>Raw_Data!L3000</f>
        <v>Chandigarh-North</v>
      </c>
      <c r="M3000" s="13" t="str">
        <f t="shared" si="3"/>
        <v>OK</v>
      </c>
      <c r="N3000" s="18" t="str">
        <f t="shared" si="4"/>
        <v>VALID</v>
      </c>
    </row>
    <row r="3001" ht="15.75" customHeight="1">
      <c r="A3001" s="13" t="str">
        <f>Raw_Data!A3001</f>
        <v>EMP3158</v>
      </c>
      <c r="B3001" s="13" t="str">
        <f>TRIM(CLEAN(Raw_Data!B3001))</f>
        <v>Sales</v>
      </c>
      <c r="C3001" s="18" t="s">
        <v>30</v>
      </c>
      <c r="D3001" s="14" t="str">
        <f>IF(ISBLANK(Raw_Data!D3001),AVERAGE(Raw_Data!D$2:D$5002),Raw_Data!D3001)</f>
        <v>82460.11</v>
      </c>
      <c r="E3001" s="15" t="str">
        <f>IF(ISBLANK(Raw_Data!E3001),AVERAGE(Raw_Data!E$2:E$5002),Raw_Data!E3001)</f>
        <v>28563.90</v>
      </c>
      <c r="F3001" s="15" t="str">
        <f>IF(ISBLANK(Raw_Data!F3001),AVERAGE(Raw_Data!F$2:F$5002),Raw_Data!F3001)</f>
        <v>24424.71</v>
      </c>
      <c r="G3001" s="14" t="str">
        <f>IF(ISBLANK(Raw_Data!G3001),AVERAGE(Raw_Data!G$2:G$5002),Raw_Data!G3001)</f>
        <v>17639.24</v>
      </c>
      <c r="H3001" s="15" t="str">
        <f t="shared" si="1"/>
        <v>135449.00</v>
      </c>
      <c r="I3001" s="14" t="str">
        <f t="shared" si="2"/>
        <v>117810.00</v>
      </c>
      <c r="J3001" s="16" t="str">
        <f>TEXT(Raw_Data!J3001,"MMM-YYY")</f>
        <v>May-2025</v>
      </c>
      <c r="K3001" s="13" t="str">
        <f>Raw_Data!K3001</f>
        <v>6</v>
      </c>
      <c r="L3001" s="17" t="str">
        <f>Raw_Data!L3001</f>
        <v>Ahmedabad-West</v>
      </c>
      <c r="M3001" s="13" t="str">
        <f t="shared" si="3"/>
        <v>OK</v>
      </c>
      <c r="N3001" s="18" t="str">
        <f t="shared" si="4"/>
        <v>VALID</v>
      </c>
    </row>
    <row r="3002" ht="15.75" customHeight="1">
      <c r="A3002" s="13" t="str">
        <f>Raw_Data!A3002</f>
        <v>EMP3159</v>
      </c>
      <c r="B3002" s="13" t="str">
        <f>TRIM(CLEAN(Raw_Data!B3002))</f>
        <v>Operations</v>
      </c>
      <c r="C3002" s="18" t="s">
        <v>33</v>
      </c>
      <c r="D3002" s="14" t="str">
        <f>IF(ISBLANK(Raw_Data!D3002),AVERAGE(Raw_Data!D$2:D$5002),Raw_Data!D3002)</f>
        <v>82471.00</v>
      </c>
      <c r="E3002" s="15" t="str">
        <f>IF(ISBLANK(Raw_Data!E3002),AVERAGE(Raw_Data!E$2:E$5002),Raw_Data!E3002)</f>
        <v>28568.52</v>
      </c>
      <c r="F3002" s="15" t="str">
        <f>IF(ISBLANK(Raw_Data!F3002),AVERAGE(Raw_Data!F$2:F$5002),Raw_Data!F3002)</f>
        <v>24432.39</v>
      </c>
      <c r="G3002" s="14" t="str">
        <f>IF(ISBLANK(Raw_Data!G3002),AVERAGE(Raw_Data!G$2:G$5002),Raw_Data!G3002)</f>
        <v>17642.64</v>
      </c>
      <c r="H3002" s="15" t="str">
        <f t="shared" si="1"/>
        <v>135472.00</v>
      </c>
      <c r="I3002" s="14" t="str">
        <f t="shared" si="2"/>
        <v>117829.00</v>
      </c>
      <c r="J3002" s="16" t="str">
        <f>TEXT(Raw_Data!J3002,"MMM-YYY")</f>
        <v>Dec-2025</v>
      </c>
      <c r="K3002" s="13" t="str">
        <f>Raw_Data!K3002</f>
        <v>25</v>
      </c>
      <c r="L3002" s="17" t="str">
        <f>Raw_Data!L3002</f>
        <v>Jaipur-North</v>
      </c>
      <c r="M3002" s="13" t="str">
        <f t="shared" si="3"/>
        <v>OK</v>
      </c>
      <c r="N3002" s="18" t="str">
        <f t="shared" si="4"/>
        <v>VALID</v>
      </c>
    </row>
    <row r="3003" ht="15.75" customHeight="1">
      <c r="A3003" s="13" t="str">
        <f>Raw_Data!A3003</f>
        <v>EMP3160</v>
      </c>
      <c r="B3003" s="13" t="str">
        <f>TRIM(CLEAN(Raw_Data!B3003))</f>
        <v>Sales</v>
      </c>
      <c r="C3003" s="18" t="s">
        <v>37</v>
      </c>
      <c r="D3003" s="14" t="str">
        <f>IF(ISBLANK(Raw_Data!D3003),AVERAGE(Raw_Data!D$2:D$5002),Raw_Data!D3003)</f>
        <v>82481.88</v>
      </c>
      <c r="E3003" s="15" t="str">
        <f>IF(ISBLANK(Raw_Data!E3003),AVERAGE(Raw_Data!E$2:E$5002),Raw_Data!E3003)</f>
        <v>28573.13</v>
      </c>
      <c r="F3003" s="15" t="str">
        <f>IF(ISBLANK(Raw_Data!F3003),AVERAGE(Raw_Data!F$2:F$5002),Raw_Data!F3003)</f>
        <v>24440.07</v>
      </c>
      <c r="G3003" s="14" t="str">
        <f>IF(ISBLANK(Raw_Data!G3003),AVERAGE(Raw_Data!G$2:G$5002),Raw_Data!G3003)</f>
        <v>17646.04</v>
      </c>
      <c r="H3003" s="15" t="str">
        <f t="shared" si="1"/>
        <v>135495.00</v>
      </c>
      <c r="I3003" s="14" t="str">
        <f t="shared" si="2"/>
        <v>117849.00</v>
      </c>
      <c r="J3003" s="16" t="str">
        <f>TEXT(Raw_Data!J3003,"MMM-YYY")</f>
        <v>Dec-2025</v>
      </c>
      <c r="K3003" s="13" t="str">
        <f>Raw_Data!K3003</f>
        <v>10</v>
      </c>
      <c r="L3003" s="17" t="str">
        <f>Raw_Data!L3003</f>
        <v>Mumbai-HO</v>
      </c>
      <c r="M3003" s="13" t="str">
        <f t="shared" si="3"/>
        <v>OK</v>
      </c>
      <c r="N3003" s="18" t="str">
        <f t="shared" si="4"/>
        <v>VALID</v>
      </c>
    </row>
    <row r="3004" ht="15.75" customHeight="1">
      <c r="A3004" s="13" t="str">
        <f>Raw_Data!A3004</f>
        <v>EMP3161</v>
      </c>
      <c r="B3004" s="13" t="str">
        <f>TRIM(CLEAN(Raw_Data!B3004))</f>
        <v>Marketing</v>
      </c>
      <c r="C3004" s="18" t="s">
        <v>33</v>
      </c>
      <c r="D3004" s="14" t="str">
        <f>IF(ISBLANK(Raw_Data!D3004),AVERAGE(Raw_Data!D$2:D$5002),Raw_Data!D3004)</f>
        <v>82492.76</v>
      </c>
      <c r="E3004" s="15" t="str">
        <f>IF(ISBLANK(Raw_Data!E3004),AVERAGE(Raw_Data!E$2:E$5002),Raw_Data!E3004)</f>
        <v>28577.75</v>
      </c>
      <c r="F3004" s="15" t="str">
        <f>IF(ISBLANK(Raw_Data!F3004),AVERAGE(Raw_Data!F$2:F$5002),Raw_Data!F3004)</f>
        <v>24447.75</v>
      </c>
      <c r="G3004" s="14" t="str">
        <f>IF(ISBLANK(Raw_Data!G3004),AVERAGE(Raw_Data!G$2:G$5002),Raw_Data!G3004)</f>
        <v>17649.44</v>
      </c>
      <c r="H3004" s="15" t="str">
        <f t="shared" si="1"/>
        <v>135518.00</v>
      </c>
      <c r="I3004" s="14" t="str">
        <f t="shared" si="2"/>
        <v>117869.00</v>
      </c>
      <c r="J3004" s="16" t="str">
        <f>TEXT(Raw_Data!J3004,"MMM-YYY")</f>
        <v>Nov-2025</v>
      </c>
      <c r="K3004" s="13" t="str">
        <f>Raw_Data!K3004</f>
        <v>5</v>
      </c>
      <c r="L3004" s="17" t="str">
        <f>Raw_Data!L3004</f>
        <v>Delhi-North</v>
      </c>
      <c r="M3004" s="13" t="str">
        <f t="shared" si="3"/>
        <v>OK</v>
      </c>
      <c r="N3004" s="18" t="str">
        <f t="shared" si="4"/>
        <v>VALID</v>
      </c>
    </row>
    <row r="3005" ht="15.75" customHeight="1">
      <c r="A3005" s="13" t="str">
        <f>Raw_Data!A3005</f>
        <v>EMP3162</v>
      </c>
      <c r="B3005" s="13" t="str">
        <f>TRIM(CLEAN(Raw_Data!B3005))</f>
        <v>Operations</v>
      </c>
      <c r="C3005" s="18" t="s">
        <v>14</v>
      </c>
      <c r="D3005" s="14" t="str">
        <f>IF(ISBLANK(Raw_Data!D3005),AVERAGE(Raw_Data!D$2:D$5002),Raw_Data!D3005)</f>
        <v>82503.65</v>
      </c>
      <c r="E3005" s="15" t="str">
        <f>IF(ISBLANK(Raw_Data!E3005),AVERAGE(Raw_Data!E$2:E$5002),Raw_Data!E3005)</f>
        <v>28582.36</v>
      </c>
      <c r="F3005" s="15" t="str">
        <f>IF(ISBLANK(Raw_Data!F3005),AVERAGE(Raw_Data!F$2:F$5002),Raw_Data!F3005)</f>
        <v>24455.43</v>
      </c>
      <c r="G3005" s="14" t="str">
        <f>IF(ISBLANK(Raw_Data!G3005),AVERAGE(Raw_Data!G$2:G$5002),Raw_Data!G3005)</f>
        <v>17652.83</v>
      </c>
      <c r="H3005" s="15" t="str">
        <f t="shared" si="1"/>
        <v>135541.00</v>
      </c>
      <c r="I3005" s="14" t="str">
        <f t="shared" si="2"/>
        <v>117888.00</v>
      </c>
      <c r="J3005" s="16" t="str">
        <f>TEXT(Raw_Data!J3005,"MMM-YYY")</f>
        <v>Mar-2025</v>
      </c>
      <c r="K3005" s="13" t="str">
        <f>Raw_Data!K3005</f>
        <v>5</v>
      </c>
      <c r="L3005" s="17" t="str">
        <f>Raw_Data!L3005</f>
        <v>Bangalore-South</v>
      </c>
      <c r="M3005" s="13" t="str">
        <f t="shared" si="3"/>
        <v>OK</v>
      </c>
      <c r="N3005" s="18" t="str">
        <f t="shared" si="4"/>
        <v>VALID</v>
      </c>
    </row>
    <row r="3006" ht="15.75" customHeight="1">
      <c r="A3006" s="13" t="str">
        <f>Raw_Data!A3006</f>
        <v>EMP3163</v>
      </c>
      <c r="B3006" s="13" t="str">
        <f>TRIM(CLEAN(Raw_Data!B3006))</f>
        <v>Operations</v>
      </c>
      <c r="C3006" s="18" t="s">
        <v>37</v>
      </c>
      <c r="D3006" s="14" t="str">
        <f>IF(ISBLANK(Raw_Data!D3006),AVERAGE(Raw_Data!D$2:D$5002),Raw_Data!D3006)</f>
        <v>82514.53</v>
      </c>
      <c r="E3006" s="15" t="str">
        <f>IF(ISBLANK(Raw_Data!E3006),AVERAGE(Raw_Data!E$2:E$5002),Raw_Data!E3006)</f>
        <v>28586.98</v>
      </c>
      <c r="F3006" s="15" t="str">
        <f>IF(ISBLANK(Raw_Data!F3006),AVERAGE(Raw_Data!F$2:F$5002),Raw_Data!F3006)</f>
        <v>24463.11</v>
      </c>
      <c r="G3006" s="14" t="str">
        <f>IF(ISBLANK(Raw_Data!G3006),AVERAGE(Raw_Data!G$2:G$5002),Raw_Data!G3006)</f>
        <v>17656.23</v>
      </c>
      <c r="H3006" s="15" t="str">
        <f t="shared" si="1"/>
        <v>135565.00</v>
      </c>
      <c r="I3006" s="14" t="str">
        <f t="shared" si="2"/>
        <v>117909.00</v>
      </c>
      <c r="J3006" s="16" t="str">
        <f>TEXT(Raw_Data!J3006,"MMM-YYY")</f>
        <v>Jun-2025</v>
      </c>
      <c r="K3006" s="13" t="str">
        <f>Raw_Data!K3006</f>
        <v>13</v>
      </c>
      <c r="L3006" s="17" t="str">
        <f>Raw_Data!L3006</f>
        <v>Chennai-South</v>
      </c>
      <c r="M3006" s="13" t="str">
        <f t="shared" si="3"/>
        <v>OK</v>
      </c>
      <c r="N3006" s="18" t="str">
        <f t="shared" si="4"/>
        <v>VALID</v>
      </c>
    </row>
    <row r="3007" ht="15.75" customHeight="1">
      <c r="A3007" s="13" t="str">
        <f>Raw_Data!A3007</f>
        <v>EMP3164</v>
      </c>
      <c r="B3007" s="13" t="str">
        <f>TRIM(CLEAN(Raw_Data!B3007))</f>
        <v>IT</v>
      </c>
      <c r="C3007" s="18" t="s">
        <v>37</v>
      </c>
      <c r="D3007" s="14" t="str">
        <f>IF(ISBLANK(Raw_Data!D3007),AVERAGE(Raw_Data!D$2:D$5002),Raw_Data!D3007)</f>
        <v>82525.41</v>
      </c>
      <c r="E3007" s="15" t="str">
        <f>IF(ISBLANK(Raw_Data!E3007),AVERAGE(Raw_Data!E$2:E$5002),Raw_Data!E3007)</f>
        <v>28591.59</v>
      </c>
      <c r="F3007" s="15" t="str">
        <f>IF(ISBLANK(Raw_Data!F3007),AVERAGE(Raw_Data!F$2:F$5002),Raw_Data!F3007)</f>
        <v>24470.79</v>
      </c>
      <c r="G3007" s="14" t="str">
        <f>IF(ISBLANK(Raw_Data!G3007),AVERAGE(Raw_Data!G$2:G$5002),Raw_Data!G3007)</f>
        <v>17659.63</v>
      </c>
      <c r="H3007" s="15" t="str">
        <f t="shared" si="1"/>
        <v>135588.00</v>
      </c>
      <c r="I3007" s="14" t="str">
        <f t="shared" si="2"/>
        <v>117928.00</v>
      </c>
      <c r="J3007" s="16" t="str">
        <f>TEXT(Raw_Data!J3007,"MMM-YYY")</f>
        <v>Nov-2025</v>
      </c>
      <c r="K3007" s="13" t="str">
        <f>Raw_Data!K3007</f>
        <v>24</v>
      </c>
      <c r="L3007" s="17" t="str">
        <f>Raw_Data!L3007</f>
        <v>Kolkata-East</v>
      </c>
      <c r="M3007" s="13" t="str">
        <f t="shared" si="3"/>
        <v>OK</v>
      </c>
      <c r="N3007" s="18" t="str">
        <f t="shared" si="4"/>
        <v>VALID</v>
      </c>
    </row>
    <row r="3008" ht="15.75" customHeight="1">
      <c r="A3008" s="13" t="str">
        <f>Raw_Data!A3008</f>
        <v>EMP3165</v>
      </c>
      <c r="B3008" s="13" t="str">
        <f>TRIM(CLEAN(Raw_Data!B3008))</f>
        <v>Operations</v>
      </c>
      <c r="C3008" s="18" t="s">
        <v>18</v>
      </c>
      <c r="D3008" s="14" t="str">
        <f>IF(ISBLANK(Raw_Data!D3008),AVERAGE(Raw_Data!D$2:D$5002),Raw_Data!D3008)</f>
        <v>82536.29</v>
      </c>
      <c r="E3008" s="15" t="str">
        <f>IF(ISBLANK(Raw_Data!E3008),AVERAGE(Raw_Data!E$2:E$5002),Raw_Data!E3008)</f>
        <v>28596.21</v>
      </c>
      <c r="F3008" s="15" t="str">
        <f>IF(ISBLANK(Raw_Data!F3008),AVERAGE(Raw_Data!F$2:F$5002),Raw_Data!F3008)</f>
        <v>24478.47</v>
      </c>
      <c r="G3008" s="14" t="str">
        <f>IF(ISBLANK(Raw_Data!G3008),AVERAGE(Raw_Data!G$2:G$5002),Raw_Data!G3008)</f>
        <v>17663.03</v>
      </c>
      <c r="H3008" s="15" t="str">
        <f t="shared" si="1"/>
        <v>135611.00</v>
      </c>
      <c r="I3008" s="14" t="str">
        <f t="shared" si="2"/>
        <v>117948.00</v>
      </c>
      <c r="J3008" s="16" t="str">
        <f>TEXT(Raw_Data!J3008,"MMM-YYY")</f>
        <v>Jan-2025</v>
      </c>
      <c r="K3008" s="13" t="str">
        <f>Raw_Data!K3008</f>
        <v>16</v>
      </c>
      <c r="L3008" s="17" t="str">
        <f>Raw_Data!L3008</f>
        <v>Pune-West</v>
      </c>
      <c r="M3008" s="13" t="str">
        <f t="shared" si="3"/>
        <v>OK</v>
      </c>
      <c r="N3008" s="18" t="str">
        <f t="shared" si="4"/>
        <v>VALID</v>
      </c>
    </row>
    <row r="3009" ht="15.75" customHeight="1">
      <c r="A3009" s="13" t="str">
        <f>Raw_Data!A3009</f>
        <v>EMP3166</v>
      </c>
      <c r="B3009" s="13" t="str">
        <f>TRIM(CLEAN(Raw_Data!B3009))</f>
        <v>Operations</v>
      </c>
      <c r="C3009" s="18" t="s">
        <v>30</v>
      </c>
      <c r="D3009" s="14" t="str">
        <f>IF(ISBLANK(Raw_Data!D3009),AVERAGE(Raw_Data!D$2:D$5002),Raw_Data!D3009)</f>
        <v>82547.18</v>
      </c>
      <c r="E3009" s="15" t="str">
        <f>IF(ISBLANK(Raw_Data!E3009),AVERAGE(Raw_Data!E$2:E$5002),Raw_Data!E3009)</f>
        <v>28600.82</v>
      </c>
      <c r="F3009" s="15" t="str">
        <f>IF(ISBLANK(Raw_Data!F3009),AVERAGE(Raw_Data!F$2:F$5002),Raw_Data!F3009)</f>
        <v>24486.15</v>
      </c>
      <c r="G3009" s="14" t="str">
        <f>IF(ISBLANK(Raw_Data!G3009),AVERAGE(Raw_Data!G$2:G$5002),Raw_Data!G3009)</f>
        <v>17666.42</v>
      </c>
      <c r="H3009" s="15" t="str">
        <f t="shared" si="1"/>
        <v>135634.00</v>
      </c>
      <c r="I3009" s="14" t="str">
        <f t="shared" si="2"/>
        <v>117968.00</v>
      </c>
      <c r="J3009" s="16" t="str">
        <f>TEXT(Raw_Data!J3009,"MMM-YYY")</f>
        <v>Apr-2025</v>
      </c>
      <c r="K3009" s="13" t="str">
        <f>Raw_Data!K3009</f>
        <v>12</v>
      </c>
      <c r="L3009" s="17" t="str">
        <f>Raw_Data!L3009</f>
        <v>Hyderabad-South</v>
      </c>
      <c r="M3009" s="13" t="str">
        <f t="shared" si="3"/>
        <v>OK</v>
      </c>
      <c r="N3009" s="18" t="str">
        <f t="shared" si="4"/>
        <v>VALID</v>
      </c>
    </row>
    <row r="3010" ht="15.75" customHeight="1">
      <c r="A3010" s="13" t="str">
        <f>Raw_Data!A3010</f>
        <v>EMP3167</v>
      </c>
      <c r="B3010" s="13" t="str">
        <f>TRIM(CLEAN(Raw_Data!B3010))</f>
        <v>Sales</v>
      </c>
      <c r="C3010" s="18" t="s">
        <v>37</v>
      </c>
      <c r="D3010" s="14" t="str">
        <f>IF(ISBLANK(Raw_Data!D3010),AVERAGE(Raw_Data!D$2:D$5002),Raw_Data!D3010)</f>
        <v>82558.06</v>
      </c>
      <c r="E3010" s="15" t="str">
        <f>IF(ISBLANK(Raw_Data!E3010),AVERAGE(Raw_Data!E$2:E$5002),Raw_Data!E3010)</f>
        <v>28605.44</v>
      </c>
      <c r="F3010" s="15" t="str">
        <f>IF(ISBLANK(Raw_Data!F3010),AVERAGE(Raw_Data!F$2:F$5002),Raw_Data!F3010)</f>
        <v>24493.83</v>
      </c>
      <c r="G3010" s="14" t="str">
        <f>IF(ISBLANK(Raw_Data!G3010),AVERAGE(Raw_Data!G$2:G$5002),Raw_Data!G3010)</f>
        <v>17669.82</v>
      </c>
      <c r="H3010" s="15" t="str">
        <f t="shared" si="1"/>
        <v>135657.00</v>
      </c>
      <c r="I3010" s="14" t="str">
        <f t="shared" si="2"/>
        <v>117987.00</v>
      </c>
      <c r="J3010" s="16" t="str">
        <f>TEXT(Raw_Data!J3010,"MMM-YYY")</f>
        <v>Mar-2025</v>
      </c>
      <c r="K3010" s="13" t="str">
        <f>Raw_Data!K3010</f>
        <v>23</v>
      </c>
      <c r="L3010" s="17" t="str">
        <f>Raw_Data!L3010</f>
        <v>Chandigarh-North</v>
      </c>
      <c r="M3010" s="13" t="str">
        <f t="shared" si="3"/>
        <v>OK</v>
      </c>
      <c r="N3010" s="18" t="str">
        <f t="shared" si="4"/>
        <v>VALID</v>
      </c>
    </row>
    <row r="3011" ht="15.75" customHeight="1">
      <c r="A3011" s="13" t="str">
        <f>Raw_Data!A3011</f>
        <v>EMP3168</v>
      </c>
      <c r="B3011" s="13" t="str">
        <f>TRIM(CLEAN(Raw_Data!B3011))</f>
        <v>Operations</v>
      </c>
      <c r="C3011" s="18" t="s">
        <v>14</v>
      </c>
      <c r="D3011" s="14" t="str">
        <f>IF(ISBLANK(Raw_Data!D3011),AVERAGE(Raw_Data!D$2:D$5002),Raw_Data!D3011)</f>
        <v>82568.94</v>
      </c>
      <c r="E3011" s="15" t="str">
        <f>IF(ISBLANK(Raw_Data!E3011),AVERAGE(Raw_Data!E$2:E$5002),Raw_Data!E3011)</f>
        <v>28610.05</v>
      </c>
      <c r="F3011" s="15" t="str">
        <f>IF(ISBLANK(Raw_Data!F3011),AVERAGE(Raw_Data!F$2:F$5002),Raw_Data!F3011)</f>
        <v>24501.51</v>
      </c>
      <c r="G3011" s="14" t="str">
        <f>IF(ISBLANK(Raw_Data!G3011),AVERAGE(Raw_Data!G$2:G$5002),Raw_Data!G3011)</f>
        <v>17673.22</v>
      </c>
      <c r="H3011" s="15" t="str">
        <f t="shared" si="1"/>
        <v>135681.00</v>
      </c>
      <c r="I3011" s="14" t="str">
        <f t="shared" si="2"/>
        <v>118008.00</v>
      </c>
      <c r="J3011" s="16" t="str">
        <f>TEXT(Raw_Data!J3011,"MMM-YYY")</f>
        <v>Jan-2025</v>
      </c>
      <c r="K3011" s="13" t="str">
        <f>Raw_Data!K3011</f>
        <v>24</v>
      </c>
      <c r="L3011" s="17" t="str">
        <f>Raw_Data!L3011</f>
        <v>Ahmedabad-West</v>
      </c>
      <c r="M3011" s="13" t="str">
        <f t="shared" si="3"/>
        <v>OK</v>
      </c>
      <c r="N3011" s="18" t="str">
        <f t="shared" si="4"/>
        <v>VALID</v>
      </c>
    </row>
    <row r="3012" ht="15.75" customHeight="1">
      <c r="A3012" s="13" t="str">
        <f>Raw_Data!A3012</f>
        <v>EMP3169</v>
      </c>
      <c r="B3012" s="13" t="str">
        <f>TRIM(CLEAN(Raw_Data!B3012))</f>
        <v>IT</v>
      </c>
      <c r="C3012" s="18" t="s">
        <v>37</v>
      </c>
      <c r="D3012" s="14" t="str">
        <f>IF(ISBLANK(Raw_Data!D3012),AVERAGE(Raw_Data!D$2:D$5002),Raw_Data!D3012)</f>
        <v>82579.83</v>
      </c>
      <c r="E3012" s="15" t="str">
        <f>IF(ISBLANK(Raw_Data!E3012),AVERAGE(Raw_Data!E$2:E$5002),Raw_Data!E3012)</f>
        <v>28614.67</v>
      </c>
      <c r="F3012" s="15" t="str">
        <f>IF(ISBLANK(Raw_Data!F3012),AVERAGE(Raw_Data!F$2:F$5002),Raw_Data!F3012)</f>
        <v>24509.19</v>
      </c>
      <c r="G3012" s="14" t="str">
        <f>IF(ISBLANK(Raw_Data!G3012),AVERAGE(Raw_Data!G$2:G$5002),Raw_Data!G3012)</f>
        <v>17676.62</v>
      </c>
      <c r="H3012" s="15" t="str">
        <f t="shared" si="1"/>
        <v>135704.00</v>
      </c>
      <c r="I3012" s="14" t="str">
        <f t="shared" si="2"/>
        <v>118027.00</v>
      </c>
      <c r="J3012" s="16" t="str">
        <f>TEXT(Raw_Data!J3012,"MMM-YYY")</f>
        <v>Sep-2025</v>
      </c>
      <c r="K3012" s="13" t="str">
        <f>Raw_Data!K3012</f>
        <v>16</v>
      </c>
      <c r="L3012" s="17" t="str">
        <f>Raw_Data!L3012</f>
        <v>Jaipur-North</v>
      </c>
      <c r="M3012" s="13" t="str">
        <f t="shared" si="3"/>
        <v>OK</v>
      </c>
      <c r="N3012" s="18" t="str">
        <f t="shared" si="4"/>
        <v>VALID</v>
      </c>
    </row>
    <row r="3013" ht="15.75" customHeight="1">
      <c r="A3013" s="13" t="str">
        <f>Raw_Data!A3013</f>
        <v>EMP3170</v>
      </c>
      <c r="B3013" s="13" t="str">
        <f>TRIM(CLEAN(Raw_Data!B3013))</f>
        <v>Customer Support</v>
      </c>
      <c r="C3013" s="18" t="s">
        <v>37</v>
      </c>
      <c r="D3013" s="14" t="str">
        <f>IF(ISBLANK(Raw_Data!D3013),AVERAGE(Raw_Data!D$2:D$5002),Raw_Data!D3013)</f>
        <v>82590.71</v>
      </c>
      <c r="E3013" s="15" t="str">
        <f>IF(ISBLANK(Raw_Data!E3013),AVERAGE(Raw_Data!E$2:E$5002),Raw_Data!E3013)</f>
        <v>28619.28</v>
      </c>
      <c r="F3013" s="15" t="str">
        <f>IF(ISBLANK(Raw_Data!F3013),AVERAGE(Raw_Data!F$2:F$5002),Raw_Data!F3013)</f>
        <v>24516.87</v>
      </c>
      <c r="G3013" s="14" t="str">
        <f>IF(ISBLANK(Raw_Data!G3013),AVERAGE(Raw_Data!G$2:G$5002),Raw_Data!G3013)</f>
        <v>17680.01</v>
      </c>
      <c r="H3013" s="15" t="str">
        <f t="shared" si="1"/>
        <v>135727.00</v>
      </c>
      <c r="I3013" s="14" t="str">
        <f t="shared" si="2"/>
        <v>118047.00</v>
      </c>
      <c r="J3013" s="16" t="str">
        <f>TEXT(Raw_Data!J3013,"MMM-YYY")</f>
        <v>Dec-2025</v>
      </c>
      <c r="K3013" s="13" t="str">
        <f>Raw_Data!K3013</f>
        <v>8</v>
      </c>
      <c r="L3013" s="17" t="str">
        <f>Raw_Data!L3013</f>
        <v>Mumbai-HO</v>
      </c>
      <c r="M3013" s="13" t="str">
        <f t="shared" si="3"/>
        <v>OK</v>
      </c>
      <c r="N3013" s="18" t="str">
        <f t="shared" si="4"/>
        <v>VALID</v>
      </c>
    </row>
    <row r="3014" ht="15.75" customHeight="1">
      <c r="A3014" s="13" t="str">
        <f>Raw_Data!A3014</f>
        <v>EMP3171</v>
      </c>
      <c r="B3014" s="13" t="str">
        <f>TRIM(CLEAN(Raw_Data!B3014))</f>
        <v>IT</v>
      </c>
      <c r="C3014" s="18" t="s">
        <v>54</v>
      </c>
      <c r="D3014" s="14" t="str">
        <f>IF(ISBLANK(Raw_Data!D3014),AVERAGE(Raw_Data!D$2:D$5002),Raw_Data!D3014)</f>
        <v>82601.59</v>
      </c>
      <c r="E3014" s="15" t="str">
        <f>IF(ISBLANK(Raw_Data!E3014),AVERAGE(Raw_Data!E$2:E$5002),Raw_Data!E3014)</f>
        <v>28623.90</v>
      </c>
      <c r="F3014" s="15" t="str">
        <f>IF(ISBLANK(Raw_Data!F3014),AVERAGE(Raw_Data!F$2:F$5002),Raw_Data!F3014)</f>
        <v>24524.55</v>
      </c>
      <c r="G3014" s="14" t="str">
        <f>IF(ISBLANK(Raw_Data!G3014),AVERAGE(Raw_Data!G$2:G$5002),Raw_Data!G3014)</f>
        <v>17683.41</v>
      </c>
      <c r="H3014" s="15" t="str">
        <f t="shared" si="1"/>
        <v>135750.00</v>
      </c>
      <c r="I3014" s="14" t="str">
        <f t="shared" si="2"/>
        <v>118067.00</v>
      </c>
      <c r="J3014" s="16" t="str">
        <f>TEXT(Raw_Data!J3014,"MMM-YYY")</f>
        <v>Nov-2025</v>
      </c>
      <c r="K3014" s="13" t="str">
        <f>Raw_Data!K3014</f>
        <v>14</v>
      </c>
      <c r="L3014" s="17" t="str">
        <f>Raw_Data!L3014</f>
        <v>Delhi-North</v>
      </c>
      <c r="M3014" s="13" t="str">
        <f t="shared" si="3"/>
        <v>OK</v>
      </c>
      <c r="N3014" s="18" t="str">
        <f t="shared" si="4"/>
        <v>VALID</v>
      </c>
    </row>
    <row r="3015" ht="15.75" customHeight="1">
      <c r="A3015" s="13" t="str">
        <f>Raw_Data!A3015</f>
        <v>EMP3172</v>
      </c>
      <c r="B3015" s="13" t="str">
        <f>TRIM(CLEAN(Raw_Data!B3015))</f>
        <v>Customer Support</v>
      </c>
      <c r="C3015" s="18" t="s">
        <v>30</v>
      </c>
      <c r="D3015" s="14" t="str">
        <f>IF(ISBLANK(Raw_Data!D3015),AVERAGE(Raw_Data!D$2:D$5002),Raw_Data!D3015)</f>
        <v>82612.47</v>
      </c>
      <c r="E3015" s="15" t="str">
        <f>IF(ISBLANK(Raw_Data!E3015),AVERAGE(Raw_Data!E$2:E$5002),Raw_Data!E3015)</f>
        <v>28628.51</v>
      </c>
      <c r="F3015" s="15" t="str">
        <f>IF(ISBLANK(Raw_Data!F3015),AVERAGE(Raw_Data!F$2:F$5002),Raw_Data!F3015)</f>
        <v>24532.23</v>
      </c>
      <c r="G3015" s="14" t="str">
        <f>IF(ISBLANK(Raw_Data!G3015),AVERAGE(Raw_Data!G$2:G$5002),Raw_Data!G3015)</f>
        <v>17686.81</v>
      </c>
      <c r="H3015" s="15" t="str">
        <f t="shared" si="1"/>
        <v>135773.00</v>
      </c>
      <c r="I3015" s="14" t="str">
        <f t="shared" si="2"/>
        <v>118086.00</v>
      </c>
      <c r="J3015" s="16" t="str">
        <f>TEXT(Raw_Data!J3015,"MMM-YYY")</f>
        <v>Aug-2025</v>
      </c>
      <c r="K3015" s="13" t="str">
        <f>Raw_Data!K3015</f>
        <v>2</v>
      </c>
      <c r="L3015" s="17" t="str">
        <f>Raw_Data!L3015</f>
        <v>Bangalore-South</v>
      </c>
      <c r="M3015" s="13" t="str">
        <f t="shared" si="3"/>
        <v>OK</v>
      </c>
      <c r="N3015" s="18" t="str">
        <f t="shared" si="4"/>
        <v>VALID</v>
      </c>
    </row>
    <row r="3016" ht="15.75" customHeight="1">
      <c r="A3016" s="13" t="str">
        <f>Raw_Data!A3016</f>
        <v>EMP3173</v>
      </c>
      <c r="B3016" s="13" t="str">
        <f>TRIM(CLEAN(Raw_Data!B3016))</f>
        <v>IT</v>
      </c>
      <c r="C3016" s="18" t="s">
        <v>14</v>
      </c>
      <c r="D3016" s="14" t="str">
        <f>IF(ISBLANK(Raw_Data!D3016),AVERAGE(Raw_Data!D$2:D$5002),Raw_Data!D3016)</f>
        <v>82623.36</v>
      </c>
      <c r="E3016" s="15" t="str">
        <f>IF(ISBLANK(Raw_Data!E3016),AVERAGE(Raw_Data!E$2:E$5002),Raw_Data!E3016)</f>
        <v>28633.13</v>
      </c>
      <c r="F3016" s="15" t="str">
        <f>IF(ISBLANK(Raw_Data!F3016),AVERAGE(Raw_Data!F$2:F$5002),Raw_Data!F3016)</f>
        <v>24539.91</v>
      </c>
      <c r="G3016" s="14" t="str">
        <f>IF(ISBLANK(Raw_Data!G3016),AVERAGE(Raw_Data!G$2:G$5002),Raw_Data!G3016)</f>
        <v>17690.21</v>
      </c>
      <c r="H3016" s="15" t="str">
        <f t="shared" si="1"/>
        <v>135796.00</v>
      </c>
      <c r="I3016" s="14" t="str">
        <f t="shared" si="2"/>
        <v>118106.00</v>
      </c>
      <c r="J3016" s="16" t="str">
        <f>TEXT(Raw_Data!J3016,"MMM-YYY")</f>
        <v>Oct-2025</v>
      </c>
      <c r="K3016" s="13" t="str">
        <f>Raw_Data!K3016</f>
        <v>1</v>
      </c>
      <c r="L3016" s="17" t="str">
        <f>Raw_Data!L3016</f>
        <v>Chennai-South</v>
      </c>
      <c r="M3016" s="13" t="str">
        <f t="shared" si="3"/>
        <v>OK</v>
      </c>
      <c r="N3016" s="18" t="str">
        <f t="shared" si="4"/>
        <v>VALID</v>
      </c>
    </row>
    <row r="3017" ht="15.75" customHeight="1">
      <c r="A3017" s="13" t="str">
        <f>Raw_Data!A3017</f>
        <v>EMP3174</v>
      </c>
      <c r="B3017" s="13" t="str">
        <f>TRIM(CLEAN(Raw_Data!B3017))</f>
        <v>IT</v>
      </c>
      <c r="C3017" s="18" t="s">
        <v>54</v>
      </c>
      <c r="D3017" s="14" t="str">
        <f>IF(ISBLANK(Raw_Data!D3017),AVERAGE(Raw_Data!D$2:D$5002),Raw_Data!D3017)</f>
        <v>82634.24</v>
      </c>
      <c r="E3017" s="15" t="str">
        <f>IF(ISBLANK(Raw_Data!E3017),AVERAGE(Raw_Data!E$2:E$5002),Raw_Data!E3017)</f>
        <v>28637.74</v>
      </c>
      <c r="F3017" s="15" t="str">
        <f>IF(ISBLANK(Raw_Data!F3017),AVERAGE(Raw_Data!F$2:F$5002),Raw_Data!F3017)</f>
        <v>24547.59</v>
      </c>
      <c r="G3017" s="14" t="str">
        <f>IF(ISBLANK(Raw_Data!G3017),AVERAGE(Raw_Data!G$2:G$5002),Raw_Data!G3017)</f>
        <v>17693.60</v>
      </c>
      <c r="H3017" s="15" t="str">
        <f t="shared" si="1"/>
        <v>135820.00</v>
      </c>
      <c r="I3017" s="14" t="str">
        <f t="shared" si="2"/>
        <v>118126.00</v>
      </c>
      <c r="J3017" s="16" t="str">
        <f>TEXT(Raw_Data!J3017,"MMM-YYY")</f>
        <v>May-2025</v>
      </c>
      <c r="K3017" s="13" t="str">
        <f>Raw_Data!K3017</f>
        <v>5</v>
      </c>
      <c r="L3017" s="17" t="str">
        <f>Raw_Data!L3017</f>
        <v>Kolkata-East</v>
      </c>
      <c r="M3017" s="13" t="str">
        <f t="shared" si="3"/>
        <v>OK</v>
      </c>
      <c r="N3017" s="18" t="str">
        <f t="shared" si="4"/>
        <v>VALID</v>
      </c>
    </row>
    <row r="3018" ht="15.75" customHeight="1">
      <c r="A3018" s="13" t="str">
        <f>Raw_Data!A3018</f>
        <v>EMP3175</v>
      </c>
      <c r="B3018" s="13" t="str">
        <f>TRIM(CLEAN(Raw_Data!B3018))</f>
        <v>Customer Support</v>
      </c>
      <c r="C3018" s="18" t="s">
        <v>33</v>
      </c>
      <c r="D3018" s="14" t="str">
        <f>IF(ISBLANK(Raw_Data!D3018),AVERAGE(Raw_Data!D$2:D$5002),Raw_Data!D3018)</f>
        <v>82645.12</v>
      </c>
      <c r="E3018" s="15" t="str">
        <f>IF(ISBLANK(Raw_Data!E3018),AVERAGE(Raw_Data!E$2:E$5002),Raw_Data!E3018)</f>
        <v>28642.35</v>
      </c>
      <c r="F3018" s="15" t="str">
        <f>IF(ISBLANK(Raw_Data!F3018),AVERAGE(Raw_Data!F$2:F$5002),Raw_Data!F3018)</f>
        <v>24555.27</v>
      </c>
      <c r="G3018" s="14" t="str">
        <f>IF(ISBLANK(Raw_Data!G3018),AVERAGE(Raw_Data!G$2:G$5002),Raw_Data!G3018)</f>
        <v>17697.00</v>
      </c>
      <c r="H3018" s="15" t="str">
        <f t="shared" si="1"/>
        <v>135843.00</v>
      </c>
      <c r="I3018" s="14" t="str">
        <f t="shared" si="2"/>
        <v>118146.00</v>
      </c>
      <c r="J3018" s="16" t="str">
        <f>TEXT(Raw_Data!J3018,"MMM-YYY")</f>
        <v>Dec-2025</v>
      </c>
      <c r="K3018" s="13" t="str">
        <f>Raw_Data!K3018</f>
        <v>7</v>
      </c>
      <c r="L3018" s="17" t="str">
        <f>Raw_Data!L3018</f>
        <v>Pune-West</v>
      </c>
      <c r="M3018" s="13" t="str">
        <f t="shared" si="3"/>
        <v>OK</v>
      </c>
      <c r="N3018" s="18" t="str">
        <f t="shared" si="4"/>
        <v>VALID</v>
      </c>
    </row>
    <row r="3019" ht="15.75" customHeight="1">
      <c r="A3019" s="13" t="str">
        <f>Raw_Data!A3019</f>
        <v>EMP3176</v>
      </c>
      <c r="B3019" s="13" t="str">
        <f>TRIM(CLEAN(Raw_Data!B3019))</f>
        <v>Operations</v>
      </c>
      <c r="C3019" s="18" t="s">
        <v>26</v>
      </c>
      <c r="D3019" s="14" t="str">
        <f>IF(ISBLANK(Raw_Data!D3019),AVERAGE(Raw_Data!D$2:D$5002),Raw_Data!D3019)</f>
        <v>82656.01</v>
      </c>
      <c r="E3019" s="15" t="str">
        <f>IF(ISBLANK(Raw_Data!E3019),AVERAGE(Raw_Data!E$2:E$5002),Raw_Data!E3019)</f>
        <v>28646.97</v>
      </c>
      <c r="F3019" s="15" t="str">
        <f>IF(ISBLANK(Raw_Data!F3019),AVERAGE(Raw_Data!F$2:F$5002),Raw_Data!F3019)</f>
        <v>24562.95</v>
      </c>
      <c r="G3019" s="14" t="str">
        <f>IF(ISBLANK(Raw_Data!G3019),AVERAGE(Raw_Data!G$2:G$5002),Raw_Data!G3019)</f>
        <v>17700.40</v>
      </c>
      <c r="H3019" s="15" t="str">
        <f t="shared" si="1"/>
        <v>135866.00</v>
      </c>
      <c r="I3019" s="14" t="str">
        <f t="shared" si="2"/>
        <v>118166.00</v>
      </c>
      <c r="J3019" s="16" t="str">
        <f>TEXT(Raw_Data!J3019,"MMM-YYY")</f>
        <v>Mar-2025</v>
      </c>
      <c r="K3019" s="13" t="str">
        <f>Raw_Data!K3019</f>
        <v>7</v>
      </c>
      <c r="L3019" s="17" t="str">
        <f>Raw_Data!L3019</f>
        <v>Hyderabad-South</v>
      </c>
      <c r="M3019" s="13" t="str">
        <f t="shared" si="3"/>
        <v>OK</v>
      </c>
      <c r="N3019" s="18" t="str">
        <f t="shared" si="4"/>
        <v>VALID</v>
      </c>
    </row>
    <row r="3020" ht="15.75" customHeight="1">
      <c r="A3020" s="13" t="str">
        <f>Raw_Data!A3020</f>
        <v>EMP3177</v>
      </c>
      <c r="B3020" s="13" t="str">
        <f>TRIM(CLEAN(Raw_Data!B3020))</f>
        <v>Marketing</v>
      </c>
      <c r="C3020" s="18" t="s">
        <v>30</v>
      </c>
      <c r="D3020" s="14" t="str">
        <f>IF(ISBLANK(Raw_Data!D3020),AVERAGE(Raw_Data!D$2:D$5002),Raw_Data!D3020)</f>
        <v>82666.89</v>
      </c>
      <c r="E3020" s="15" t="str">
        <f>IF(ISBLANK(Raw_Data!E3020),AVERAGE(Raw_Data!E$2:E$5002),Raw_Data!E3020)</f>
        <v>28651.58</v>
      </c>
      <c r="F3020" s="15" t="str">
        <f>IF(ISBLANK(Raw_Data!F3020),AVERAGE(Raw_Data!F$2:F$5002),Raw_Data!F3020)</f>
        <v>24570.63</v>
      </c>
      <c r="G3020" s="14" t="str">
        <f>IF(ISBLANK(Raw_Data!G3020),AVERAGE(Raw_Data!G$2:G$5002),Raw_Data!G3020)</f>
        <v>17703.80</v>
      </c>
      <c r="H3020" s="15" t="str">
        <f t="shared" si="1"/>
        <v>135889.00</v>
      </c>
      <c r="I3020" s="14" t="str">
        <f t="shared" si="2"/>
        <v>118185.00</v>
      </c>
      <c r="J3020" s="16" t="str">
        <f>TEXT(Raw_Data!J3020,"MMM-YYY")</f>
        <v>Mar-2025</v>
      </c>
      <c r="K3020" s="13" t="str">
        <f>Raw_Data!K3020</f>
        <v>12</v>
      </c>
      <c r="L3020" s="17" t="str">
        <f>Raw_Data!L3020</f>
        <v>Chandigarh-North</v>
      </c>
      <c r="M3020" s="13" t="str">
        <f t="shared" si="3"/>
        <v>OK</v>
      </c>
      <c r="N3020" s="18" t="str">
        <f t="shared" si="4"/>
        <v>VALID</v>
      </c>
    </row>
    <row r="3021" ht="15.75" customHeight="1">
      <c r="A3021" s="13" t="str">
        <f>Raw_Data!A3021</f>
        <v>EMP3178</v>
      </c>
      <c r="B3021" s="13" t="str">
        <f>TRIM(CLEAN(Raw_Data!B3021))</f>
        <v>Operations</v>
      </c>
      <c r="C3021" s="18" t="s">
        <v>33</v>
      </c>
      <c r="D3021" s="14" t="str">
        <f>IF(ISBLANK(Raw_Data!D3021),AVERAGE(Raw_Data!D$2:D$5002),Raw_Data!D3021)</f>
        <v>82677.77</v>
      </c>
      <c r="E3021" s="15" t="str">
        <f>IF(ISBLANK(Raw_Data!E3021),AVERAGE(Raw_Data!E$2:E$5002),Raw_Data!E3021)</f>
        <v>28656.20</v>
      </c>
      <c r="F3021" s="15" t="str">
        <f>IF(ISBLANK(Raw_Data!F3021),AVERAGE(Raw_Data!F$2:F$5002),Raw_Data!F3021)</f>
        <v>24578.31</v>
      </c>
      <c r="G3021" s="14" t="str">
        <f>IF(ISBLANK(Raw_Data!G3021),AVERAGE(Raw_Data!G$2:G$5002),Raw_Data!G3021)</f>
        <v>17707.19</v>
      </c>
      <c r="H3021" s="15" t="str">
        <f t="shared" si="1"/>
        <v>135912.00</v>
      </c>
      <c r="I3021" s="14" t="str">
        <f t="shared" si="2"/>
        <v>118205.00</v>
      </c>
      <c r="J3021" s="16" t="str">
        <f>TEXT(Raw_Data!J3021,"MMM-YYY")</f>
        <v>Nov-2025</v>
      </c>
      <c r="K3021" s="13" t="str">
        <f>Raw_Data!K3021</f>
        <v>25</v>
      </c>
      <c r="L3021" s="17" t="str">
        <f>Raw_Data!L3021</f>
        <v>Ahmedabad-West</v>
      </c>
      <c r="M3021" s="13" t="str">
        <f t="shared" si="3"/>
        <v>OK</v>
      </c>
      <c r="N3021" s="18" t="str">
        <f t="shared" si="4"/>
        <v>VALID</v>
      </c>
    </row>
    <row r="3022" ht="15.75" customHeight="1">
      <c r="A3022" s="13" t="str">
        <f>Raw_Data!A3022</f>
        <v>EMP3179</v>
      </c>
      <c r="B3022" s="13" t="str">
        <f>TRIM(CLEAN(Raw_Data!B3022))</f>
        <v>Finance</v>
      </c>
      <c r="C3022" s="18" t="s">
        <v>26</v>
      </c>
      <c r="D3022" s="14" t="str">
        <f>IF(ISBLANK(Raw_Data!D3022),AVERAGE(Raw_Data!D$2:D$5002),Raw_Data!D3022)</f>
        <v>82688.66</v>
      </c>
      <c r="E3022" s="15" t="str">
        <f>IF(ISBLANK(Raw_Data!E3022),AVERAGE(Raw_Data!E$2:E$5002),Raw_Data!E3022)</f>
        <v>28660.81</v>
      </c>
      <c r="F3022" s="15" t="str">
        <f>IF(ISBLANK(Raw_Data!F3022),AVERAGE(Raw_Data!F$2:F$5002),Raw_Data!F3022)</f>
        <v>24585.99</v>
      </c>
      <c r="G3022" s="14" t="str">
        <f>IF(ISBLANK(Raw_Data!G3022),AVERAGE(Raw_Data!G$2:G$5002),Raw_Data!G3022)</f>
        <v>17710.59</v>
      </c>
      <c r="H3022" s="15" t="str">
        <f t="shared" si="1"/>
        <v>135935.00</v>
      </c>
      <c r="I3022" s="14" t="str">
        <f t="shared" si="2"/>
        <v>118224.00</v>
      </c>
      <c r="J3022" s="16" t="str">
        <f>TEXT(Raw_Data!J3022,"MMM-YYY")</f>
        <v>Jun-2025</v>
      </c>
      <c r="K3022" s="13" t="str">
        <f>Raw_Data!K3022</f>
        <v>8</v>
      </c>
      <c r="L3022" s="17" t="str">
        <f>Raw_Data!L3022</f>
        <v>Jaipur-North</v>
      </c>
      <c r="M3022" s="13" t="str">
        <f t="shared" si="3"/>
        <v>OK</v>
      </c>
      <c r="N3022" s="18" t="str">
        <f t="shared" si="4"/>
        <v>VALID</v>
      </c>
    </row>
    <row r="3023" ht="15.75" customHeight="1">
      <c r="A3023" s="13" t="str">
        <f>Raw_Data!A3023</f>
        <v>EMP3180</v>
      </c>
      <c r="B3023" s="13" t="str">
        <f>TRIM(CLEAN(Raw_Data!B3023))</f>
        <v>HR</v>
      </c>
      <c r="C3023" s="18" t="s">
        <v>14</v>
      </c>
      <c r="D3023" s="14" t="str">
        <f>IF(ISBLANK(Raw_Data!D3023),AVERAGE(Raw_Data!D$2:D$5002),Raw_Data!D3023)</f>
        <v>82699.54</v>
      </c>
      <c r="E3023" s="15" t="str">
        <f>IF(ISBLANK(Raw_Data!E3023),AVERAGE(Raw_Data!E$2:E$5002),Raw_Data!E3023)</f>
        <v>28665.43</v>
      </c>
      <c r="F3023" s="15" t="str">
        <f>IF(ISBLANK(Raw_Data!F3023),AVERAGE(Raw_Data!F$2:F$5002),Raw_Data!F3023)</f>
        <v>24593.67</v>
      </c>
      <c r="G3023" s="14" t="str">
        <f>IF(ISBLANK(Raw_Data!G3023),AVERAGE(Raw_Data!G$2:G$5002),Raw_Data!G3023)</f>
        <v>17713.99</v>
      </c>
      <c r="H3023" s="15" t="str">
        <f t="shared" si="1"/>
        <v>135959.00</v>
      </c>
      <c r="I3023" s="14" t="str">
        <f t="shared" si="2"/>
        <v>118245.00</v>
      </c>
      <c r="J3023" s="16" t="str">
        <f>TEXT(Raw_Data!J3023,"MMM-YYY")</f>
        <v>Sep-2025</v>
      </c>
      <c r="K3023" s="13" t="str">
        <f>Raw_Data!K3023</f>
        <v>13</v>
      </c>
      <c r="L3023" s="17" t="str">
        <f>Raw_Data!L3023</f>
        <v>Mumbai-HO</v>
      </c>
      <c r="M3023" s="13" t="str">
        <f t="shared" si="3"/>
        <v>OK</v>
      </c>
      <c r="N3023" s="18" t="str">
        <f t="shared" si="4"/>
        <v>VALID</v>
      </c>
    </row>
    <row r="3024" ht="15.75" customHeight="1">
      <c r="A3024" s="13" t="str">
        <f>Raw_Data!A3024</f>
        <v>EMP3181</v>
      </c>
      <c r="B3024" s="13" t="str">
        <f>TRIM(CLEAN(Raw_Data!B3024))</f>
        <v>Operations</v>
      </c>
      <c r="C3024" s="18" t="s">
        <v>54</v>
      </c>
      <c r="D3024" s="14" t="str">
        <f>IF(ISBLANK(Raw_Data!D3024),AVERAGE(Raw_Data!D$2:D$5002),Raw_Data!D3024)</f>
        <v>82710.42</v>
      </c>
      <c r="E3024" s="15" t="str">
        <f>IF(ISBLANK(Raw_Data!E3024),AVERAGE(Raw_Data!E$2:E$5002),Raw_Data!E3024)</f>
        <v>28670.04</v>
      </c>
      <c r="F3024" s="15" t="str">
        <f>IF(ISBLANK(Raw_Data!F3024),AVERAGE(Raw_Data!F$2:F$5002),Raw_Data!F3024)</f>
        <v>24601.35</v>
      </c>
      <c r="G3024" s="14" t="str">
        <f>IF(ISBLANK(Raw_Data!G3024),AVERAGE(Raw_Data!G$2:G$5002),Raw_Data!G3024)</f>
        <v>17717.39</v>
      </c>
      <c r="H3024" s="15" t="str">
        <f t="shared" si="1"/>
        <v>135982.00</v>
      </c>
      <c r="I3024" s="14" t="str">
        <f t="shared" si="2"/>
        <v>118265.00</v>
      </c>
      <c r="J3024" s="16" t="str">
        <f>TEXT(Raw_Data!J3024,"MMM-YYY")</f>
        <v>Feb-2025</v>
      </c>
      <c r="K3024" s="13" t="str">
        <f>Raw_Data!K3024</f>
        <v>14</v>
      </c>
      <c r="L3024" s="17" t="str">
        <f>Raw_Data!L3024</f>
        <v>Delhi-North</v>
      </c>
      <c r="M3024" s="13" t="str">
        <f t="shared" si="3"/>
        <v>OK</v>
      </c>
      <c r="N3024" s="18" t="str">
        <f t="shared" si="4"/>
        <v>VALID</v>
      </c>
    </row>
    <row r="3025" ht="15.75" customHeight="1">
      <c r="A3025" s="13" t="str">
        <f>Raw_Data!A3025</f>
        <v>EMP3182</v>
      </c>
      <c r="B3025" s="13" t="str">
        <f>TRIM(CLEAN(Raw_Data!B3025))</f>
        <v>HR</v>
      </c>
      <c r="C3025" s="18" t="s">
        <v>26</v>
      </c>
      <c r="D3025" s="14" t="str">
        <f>IF(ISBLANK(Raw_Data!D3025),AVERAGE(Raw_Data!D$2:D$5002),Raw_Data!D3025)</f>
        <v>82721.30</v>
      </c>
      <c r="E3025" s="15" t="str">
        <f>IF(ISBLANK(Raw_Data!E3025),AVERAGE(Raw_Data!E$2:E$5002),Raw_Data!E3025)</f>
        <v>28674.66</v>
      </c>
      <c r="F3025" s="15" t="str">
        <f>IF(ISBLANK(Raw_Data!F3025),AVERAGE(Raw_Data!F$2:F$5002),Raw_Data!F3025)</f>
        <v>24609.03</v>
      </c>
      <c r="G3025" s="14" t="str">
        <f>IF(ISBLANK(Raw_Data!G3025),AVERAGE(Raw_Data!G$2:G$5002),Raw_Data!G3025)</f>
        <v>17720.79</v>
      </c>
      <c r="H3025" s="15" t="str">
        <f t="shared" si="1"/>
        <v>136005.00</v>
      </c>
      <c r="I3025" s="14" t="str">
        <f t="shared" si="2"/>
        <v>118284.00</v>
      </c>
      <c r="J3025" s="16" t="str">
        <f>TEXT(Raw_Data!J3025,"MMM-YYY")</f>
        <v>May-2025</v>
      </c>
      <c r="K3025" s="13" t="str">
        <f>Raw_Data!K3025</f>
        <v>1</v>
      </c>
      <c r="L3025" s="17" t="str">
        <f>Raw_Data!L3025</f>
        <v>Bangalore-South</v>
      </c>
      <c r="M3025" s="13" t="str">
        <f t="shared" si="3"/>
        <v>OK</v>
      </c>
      <c r="N3025" s="18" t="str">
        <f t="shared" si="4"/>
        <v>VALID</v>
      </c>
    </row>
    <row r="3026" ht="15.75" customHeight="1">
      <c r="A3026" s="13" t="str">
        <f>Raw_Data!A3026</f>
        <v>EMP3183</v>
      </c>
      <c r="B3026" s="13" t="str">
        <f>TRIM(CLEAN(Raw_Data!B3026))</f>
        <v>HR</v>
      </c>
      <c r="C3026" s="18" t="s">
        <v>33</v>
      </c>
      <c r="D3026" s="14" t="str">
        <f>IF(ISBLANK(Raw_Data!D3026),AVERAGE(Raw_Data!D$2:D$5002),Raw_Data!D3026)</f>
        <v>82732.19</v>
      </c>
      <c r="E3026" s="15" t="str">
        <f>IF(ISBLANK(Raw_Data!E3026),AVERAGE(Raw_Data!E$2:E$5002),Raw_Data!E3026)</f>
        <v>28679.27</v>
      </c>
      <c r="F3026" s="15" t="str">
        <f>IF(ISBLANK(Raw_Data!F3026),AVERAGE(Raw_Data!F$2:F$5002),Raw_Data!F3026)</f>
        <v>24616.71</v>
      </c>
      <c r="G3026" s="14" t="str">
        <f>IF(ISBLANK(Raw_Data!G3026),AVERAGE(Raw_Data!G$2:G$5002),Raw_Data!G3026)</f>
        <v>17724.18</v>
      </c>
      <c r="H3026" s="15" t="str">
        <f t="shared" si="1"/>
        <v>136028.00</v>
      </c>
      <c r="I3026" s="14" t="str">
        <f t="shared" si="2"/>
        <v>118304.00</v>
      </c>
      <c r="J3026" s="16" t="str">
        <f>TEXT(Raw_Data!J3026,"MMM-YYY")</f>
        <v>Nov-2025</v>
      </c>
      <c r="K3026" s="13" t="str">
        <f>Raw_Data!K3026</f>
        <v>8</v>
      </c>
      <c r="L3026" s="17" t="str">
        <f>Raw_Data!L3026</f>
        <v>Chennai-South</v>
      </c>
      <c r="M3026" s="13" t="str">
        <f t="shared" si="3"/>
        <v>OK</v>
      </c>
      <c r="N3026" s="18" t="str">
        <f t="shared" si="4"/>
        <v>VALID</v>
      </c>
    </row>
    <row r="3027" ht="15.75" customHeight="1">
      <c r="A3027" s="13" t="str">
        <f>Raw_Data!A3027</f>
        <v>EMP3184</v>
      </c>
      <c r="B3027" s="13" t="str">
        <f>TRIM(CLEAN(Raw_Data!B3027))</f>
        <v>IT</v>
      </c>
      <c r="C3027" s="18" t="s">
        <v>54</v>
      </c>
      <c r="D3027" s="14" t="str">
        <f>IF(ISBLANK(Raw_Data!D3027),AVERAGE(Raw_Data!D$2:D$5002),Raw_Data!D3027)</f>
        <v>82743.07</v>
      </c>
      <c r="E3027" s="15" t="str">
        <f>IF(ISBLANK(Raw_Data!E3027),AVERAGE(Raw_Data!E$2:E$5002),Raw_Data!E3027)</f>
        <v>28683.89</v>
      </c>
      <c r="F3027" s="15" t="str">
        <f>IF(ISBLANK(Raw_Data!F3027),AVERAGE(Raw_Data!F$2:F$5002),Raw_Data!F3027)</f>
        <v>24624.39</v>
      </c>
      <c r="G3027" s="14" t="str">
        <f>IF(ISBLANK(Raw_Data!G3027),AVERAGE(Raw_Data!G$2:G$5002),Raw_Data!G3027)</f>
        <v>17727.58</v>
      </c>
      <c r="H3027" s="15" t="str">
        <f t="shared" si="1"/>
        <v>136051.00</v>
      </c>
      <c r="I3027" s="14" t="str">
        <f t="shared" si="2"/>
        <v>118323.00</v>
      </c>
      <c r="J3027" s="16" t="str">
        <f>TEXT(Raw_Data!J3027,"MMM-YYY")</f>
        <v>Oct-2025</v>
      </c>
      <c r="K3027" s="13" t="str">
        <f>Raw_Data!K3027</f>
        <v>11</v>
      </c>
      <c r="L3027" s="17" t="str">
        <f>Raw_Data!L3027</f>
        <v>Kolkata-East</v>
      </c>
      <c r="M3027" s="13" t="str">
        <f t="shared" si="3"/>
        <v>OK</v>
      </c>
      <c r="N3027" s="18" t="str">
        <f t="shared" si="4"/>
        <v>VALID</v>
      </c>
    </row>
    <row r="3028" ht="15.75" customHeight="1">
      <c r="A3028" s="13" t="str">
        <f>Raw_Data!A3028</f>
        <v>EMP3185</v>
      </c>
      <c r="B3028" s="13" t="str">
        <f>TRIM(CLEAN(Raw_Data!B3028))</f>
        <v>Finance</v>
      </c>
      <c r="C3028" s="18" t="s">
        <v>37</v>
      </c>
      <c r="D3028" s="14" t="str">
        <f>IF(ISBLANK(Raw_Data!D3028),AVERAGE(Raw_Data!D$2:D$5002),Raw_Data!D3028)</f>
        <v>82753.95</v>
      </c>
      <c r="E3028" s="15" t="str">
        <f>IF(ISBLANK(Raw_Data!E3028),AVERAGE(Raw_Data!E$2:E$5002),Raw_Data!E3028)</f>
        <v>28688.50</v>
      </c>
      <c r="F3028" s="15" t="str">
        <f>IF(ISBLANK(Raw_Data!F3028),AVERAGE(Raw_Data!F$2:F$5002),Raw_Data!F3028)</f>
        <v>24632.07</v>
      </c>
      <c r="G3028" s="14" t="str">
        <f>IF(ISBLANK(Raw_Data!G3028),AVERAGE(Raw_Data!G$2:G$5002),Raw_Data!G3028)</f>
        <v>17730.98</v>
      </c>
      <c r="H3028" s="15" t="str">
        <f t="shared" si="1"/>
        <v>136075.00</v>
      </c>
      <c r="I3028" s="14" t="str">
        <f t="shared" si="2"/>
        <v>118344.00</v>
      </c>
      <c r="J3028" s="16" t="str">
        <f>TEXT(Raw_Data!J3028,"MMM-YYY")</f>
        <v>Feb-2025</v>
      </c>
      <c r="K3028" s="13" t="str">
        <f>Raw_Data!K3028</f>
        <v>4</v>
      </c>
      <c r="L3028" s="17" t="str">
        <f>Raw_Data!L3028</f>
        <v>Pune-West</v>
      </c>
      <c r="M3028" s="13" t="str">
        <f t="shared" si="3"/>
        <v>OK</v>
      </c>
      <c r="N3028" s="18" t="str">
        <f t="shared" si="4"/>
        <v>VALID</v>
      </c>
    </row>
    <row r="3029" ht="15.75" customHeight="1">
      <c r="A3029" s="13" t="str">
        <f>Raw_Data!A3029</f>
        <v>EMP3187</v>
      </c>
      <c r="B3029" s="13" t="str">
        <f>TRIM(CLEAN(Raw_Data!B3029))</f>
        <v>Operations</v>
      </c>
      <c r="C3029" s="18" t="s">
        <v>37</v>
      </c>
      <c r="D3029" s="14" t="str">
        <f>IF(ISBLANK(Raw_Data!D3029),AVERAGE(Raw_Data!D$2:D$5002),Raw_Data!D3029)</f>
        <v>82775.72</v>
      </c>
      <c r="E3029" s="15" t="str">
        <f>IF(ISBLANK(Raw_Data!E3029),AVERAGE(Raw_Data!E$2:E$5002),Raw_Data!E3029)</f>
        <v>28697.73</v>
      </c>
      <c r="F3029" s="15" t="str">
        <f>IF(ISBLANK(Raw_Data!F3029),AVERAGE(Raw_Data!F$2:F$5002),Raw_Data!F3029)</f>
        <v>24647.43</v>
      </c>
      <c r="G3029" s="14" t="str">
        <f>IF(ISBLANK(Raw_Data!G3029),AVERAGE(Raw_Data!G$2:G$5002),Raw_Data!G3029)</f>
        <v>17737.77</v>
      </c>
      <c r="H3029" s="15" t="str">
        <f t="shared" si="1"/>
        <v>136121.00</v>
      </c>
      <c r="I3029" s="14" t="str">
        <f t="shared" si="2"/>
        <v>118383.00</v>
      </c>
      <c r="J3029" s="16" t="str">
        <f>TEXT(Raw_Data!J3029,"MMM-YYY")</f>
        <v>Nov-2025</v>
      </c>
      <c r="K3029" s="13" t="str">
        <f>Raw_Data!K3029</f>
        <v>12</v>
      </c>
      <c r="L3029" s="17" t="str">
        <f>Raw_Data!L3029</f>
        <v>Chandigarh-North</v>
      </c>
      <c r="M3029" s="13" t="str">
        <f t="shared" si="3"/>
        <v>OK</v>
      </c>
      <c r="N3029" s="18" t="str">
        <f t="shared" si="4"/>
        <v>VALID</v>
      </c>
    </row>
    <row r="3030" ht="15.75" customHeight="1">
      <c r="A3030" s="13" t="str">
        <f>Raw_Data!A3030</f>
        <v>EMP3188</v>
      </c>
      <c r="B3030" s="13" t="str">
        <f>TRIM(CLEAN(Raw_Data!B3030))</f>
        <v>Marketing</v>
      </c>
      <c r="C3030" s="18" t="s">
        <v>26</v>
      </c>
      <c r="D3030" s="14" t="str">
        <f>IF(ISBLANK(Raw_Data!D3030),AVERAGE(Raw_Data!D$2:D$5002),Raw_Data!D3030)</f>
        <v>82786.60</v>
      </c>
      <c r="E3030" s="15" t="str">
        <f>IF(ISBLANK(Raw_Data!E3030),AVERAGE(Raw_Data!E$2:E$5002),Raw_Data!E3030)</f>
        <v>28702.35</v>
      </c>
      <c r="F3030" s="15" t="str">
        <f>IF(ISBLANK(Raw_Data!F3030),AVERAGE(Raw_Data!F$2:F$5002),Raw_Data!F3030)</f>
        <v>24655.11</v>
      </c>
      <c r="G3030" s="14" t="str">
        <f>IF(ISBLANK(Raw_Data!G3030),AVERAGE(Raw_Data!G$2:G$5002),Raw_Data!G3030)</f>
        <v>17741.17</v>
      </c>
      <c r="H3030" s="15" t="str">
        <f t="shared" si="1"/>
        <v>136144.00</v>
      </c>
      <c r="I3030" s="14" t="str">
        <f t="shared" si="2"/>
        <v>118403.00</v>
      </c>
      <c r="J3030" s="16" t="str">
        <f>TEXT(Raw_Data!J3030,"MMM-YYY")</f>
        <v>Sep-2025</v>
      </c>
      <c r="K3030" s="13" t="str">
        <f>Raw_Data!K3030</f>
        <v>11</v>
      </c>
      <c r="L3030" s="17" t="str">
        <f>Raw_Data!L3030</f>
        <v>Ahmedabad-West</v>
      </c>
      <c r="M3030" s="13" t="str">
        <f t="shared" si="3"/>
        <v>OK</v>
      </c>
      <c r="N3030" s="18" t="str">
        <f t="shared" si="4"/>
        <v>VALID</v>
      </c>
    </row>
    <row r="3031" ht="15.75" customHeight="1">
      <c r="A3031" s="13" t="str">
        <f>Raw_Data!A3031</f>
        <v>EMP3189</v>
      </c>
      <c r="B3031" s="13" t="str">
        <f>TRIM(CLEAN(Raw_Data!B3031))</f>
        <v>Operations</v>
      </c>
      <c r="C3031" s="18" t="s">
        <v>26</v>
      </c>
      <c r="D3031" s="14" t="str">
        <f>IF(ISBLANK(Raw_Data!D3031),AVERAGE(Raw_Data!D$2:D$5002),Raw_Data!D3031)</f>
        <v>82797.49</v>
      </c>
      <c r="E3031" s="15" t="str">
        <f>IF(ISBLANK(Raw_Data!E3031),AVERAGE(Raw_Data!E$2:E$5002),Raw_Data!E3031)</f>
        <v>28706.96</v>
      </c>
      <c r="F3031" s="15" t="str">
        <f>IF(ISBLANK(Raw_Data!F3031),AVERAGE(Raw_Data!F$2:F$5002),Raw_Data!F3031)</f>
        <v>24662.79</v>
      </c>
      <c r="G3031" s="14" t="str">
        <f>IF(ISBLANK(Raw_Data!G3031),AVERAGE(Raw_Data!G$2:G$5002),Raw_Data!G3031)</f>
        <v>17744.57</v>
      </c>
      <c r="H3031" s="15" t="str">
        <f t="shared" si="1"/>
        <v>136167.00</v>
      </c>
      <c r="I3031" s="14" t="str">
        <f t="shared" si="2"/>
        <v>118422.00</v>
      </c>
      <c r="J3031" s="16" t="str">
        <f>TEXT(Raw_Data!J3031,"MMM-YYY")</f>
        <v>Apr-2025</v>
      </c>
      <c r="K3031" s="13" t="str">
        <f>Raw_Data!K3031</f>
        <v>22</v>
      </c>
      <c r="L3031" s="17" t="str">
        <f>Raw_Data!L3031</f>
        <v>Jaipur-North</v>
      </c>
      <c r="M3031" s="13" t="str">
        <f t="shared" si="3"/>
        <v>OK</v>
      </c>
      <c r="N3031" s="18" t="str">
        <f t="shared" si="4"/>
        <v>VALID</v>
      </c>
    </row>
    <row r="3032" ht="15.75" customHeight="1">
      <c r="A3032" s="13" t="str">
        <f>Raw_Data!A3032</f>
        <v>EMP3190</v>
      </c>
      <c r="B3032" s="13" t="str">
        <f>TRIM(CLEAN(Raw_Data!B3032))</f>
        <v>Finance</v>
      </c>
      <c r="C3032" s="18" t="s">
        <v>30</v>
      </c>
      <c r="D3032" s="14" t="str">
        <f>IF(ISBLANK(Raw_Data!D3032),AVERAGE(Raw_Data!D$2:D$5002),Raw_Data!D3032)</f>
        <v>82808.37</v>
      </c>
      <c r="E3032" s="15" t="str">
        <f>IF(ISBLANK(Raw_Data!E3032),AVERAGE(Raw_Data!E$2:E$5002),Raw_Data!E3032)</f>
        <v>28711.58</v>
      </c>
      <c r="F3032" s="15" t="str">
        <f>IF(ISBLANK(Raw_Data!F3032),AVERAGE(Raw_Data!F$2:F$5002),Raw_Data!F3032)</f>
        <v>24670.47</v>
      </c>
      <c r="G3032" s="14" t="str">
        <f>IF(ISBLANK(Raw_Data!G3032),AVERAGE(Raw_Data!G$2:G$5002),Raw_Data!G3032)</f>
        <v>17747.97</v>
      </c>
      <c r="H3032" s="15" t="str">
        <f t="shared" si="1"/>
        <v>136190.00</v>
      </c>
      <c r="I3032" s="14" t="str">
        <f t="shared" si="2"/>
        <v>118442.00</v>
      </c>
      <c r="J3032" s="16" t="str">
        <f>TEXT(Raw_Data!J3032,"MMM-YYY")</f>
        <v>Dec-2025</v>
      </c>
      <c r="K3032" s="13" t="str">
        <f>Raw_Data!K3032</f>
        <v>3</v>
      </c>
      <c r="L3032" s="17" t="str">
        <f>Raw_Data!L3032</f>
        <v>Mumbai-HO</v>
      </c>
      <c r="M3032" s="13" t="str">
        <f t="shared" si="3"/>
        <v>OK</v>
      </c>
      <c r="N3032" s="18" t="str">
        <f t="shared" si="4"/>
        <v>VALID</v>
      </c>
    </row>
    <row r="3033" ht="15.75" customHeight="1">
      <c r="A3033" s="13" t="str">
        <f>Raw_Data!A3033</f>
        <v>EMP3191</v>
      </c>
      <c r="B3033" s="13" t="str">
        <f>TRIM(CLEAN(Raw_Data!B3033))</f>
        <v>Operations</v>
      </c>
      <c r="C3033" s="18" t="s">
        <v>26</v>
      </c>
      <c r="D3033" s="14" t="str">
        <f>IF(ISBLANK(Raw_Data!D3033),AVERAGE(Raw_Data!D$2:D$5002),Raw_Data!D3033)</f>
        <v>82819.25</v>
      </c>
      <c r="E3033" s="15" t="str">
        <f>IF(ISBLANK(Raw_Data!E3033),AVERAGE(Raw_Data!E$2:E$5002),Raw_Data!E3033)</f>
        <v>28716.19</v>
      </c>
      <c r="F3033" s="15" t="str">
        <f>IF(ISBLANK(Raw_Data!F3033),AVERAGE(Raw_Data!F$2:F$5002),Raw_Data!F3033)</f>
        <v>24678.15</v>
      </c>
      <c r="G3033" s="14" t="str">
        <f>IF(ISBLANK(Raw_Data!G3033),AVERAGE(Raw_Data!G$2:G$5002),Raw_Data!G3033)</f>
        <v>17751.36</v>
      </c>
      <c r="H3033" s="15" t="str">
        <f t="shared" si="1"/>
        <v>136214.00</v>
      </c>
      <c r="I3033" s="14" t="str">
        <f t="shared" si="2"/>
        <v>118463.00</v>
      </c>
      <c r="J3033" s="16" t="str">
        <f>TEXT(Raw_Data!J3033,"MMM-YYY")</f>
        <v>Nov-2025</v>
      </c>
      <c r="K3033" s="13" t="str">
        <f>Raw_Data!K3033</f>
        <v>7</v>
      </c>
      <c r="L3033" s="17" t="str">
        <f>Raw_Data!L3033</f>
        <v>Delhi-North</v>
      </c>
      <c r="M3033" s="13" t="str">
        <f t="shared" si="3"/>
        <v>OK</v>
      </c>
      <c r="N3033" s="18" t="str">
        <f t="shared" si="4"/>
        <v>VALID</v>
      </c>
    </row>
    <row r="3034" ht="15.75" customHeight="1">
      <c r="A3034" s="13" t="str">
        <f>Raw_Data!A3034</f>
        <v>EMP3192</v>
      </c>
      <c r="B3034" s="13" t="str">
        <f>TRIM(CLEAN(Raw_Data!B3034))</f>
        <v>Customer Support</v>
      </c>
      <c r="C3034" s="18" t="s">
        <v>37</v>
      </c>
      <c r="D3034" s="14" t="str">
        <f>IF(ISBLANK(Raw_Data!D3034),AVERAGE(Raw_Data!D$2:D$5002),Raw_Data!D3034)</f>
        <v>82830.13</v>
      </c>
      <c r="E3034" s="15" t="str">
        <f>IF(ISBLANK(Raw_Data!E3034),AVERAGE(Raw_Data!E$2:E$5002),Raw_Data!E3034)</f>
        <v>28720.81</v>
      </c>
      <c r="F3034" s="15" t="str">
        <f>IF(ISBLANK(Raw_Data!F3034),AVERAGE(Raw_Data!F$2:F$5002),Raw_Data!F3034)</f>
        <v>24685.83</v>
      </c>
      <c r="G3034" s="14" t="str">
        <f>IF(ISBLANK(Raw_Data!G3034),AVERAGE(Raw_Data!G$2:G$5002),Raw_Data!G3034)</f>
        <v>17754.76</v>
      </c>
      <c r="H3034" s="15" t="str">
        <f t="shared" si="1"/>
        <v>136237.00</v>
      </c>
      <c r="I3034" s="14" t="str">
        <f t="shared" si="2"/>
        <v>118482.00</v>
      </c>
      <c r="J3034" s="16" t="str">
        <f>TEXT(Raw_Data!J3034,"MMM-YYY")</f>
        <v>Jan-2025</v>
      </c>
      <c r="K3034" s="13" t="str">
        <f>Raw_Data!K3034</f>
        <v>7</v>
      </c>
      <c r="L3034" s="17" t="str">
        <f>Raw_Data!L3034</f>
        <v>Bangalore-South</v>
      </c>
      <c r="M3034" s="13" t="str">
        <f t="shared" si="3"/>
        <v>OK</v>
      </c>
      <c r="N3034" s="18" t="str">
        <f t="shared" si="4"/>
        <v>VALID</v>
      </c>
    </row>
    <row r="3035" ht="15.75" customHeight="1">
      <c r="A3035" s="13" t="str">
        <f>Raw_Data!A3035</f>
        <v>EMP3193</v>
      </c>
      <c r="B3035" s="13" t="str">
        <f>TRIM(CLEAN(Raw_Data!B3035))</f>
        <v>Sales</v>
      </c>
      <c r="C3035" s="18" t="s">
        <v>37</v>
      </c>
      <c r="D3035" s="14" t="str">
        <f>IF(ISBLANK(Raw_Data!D3035),AVERAGE(Raw_Data!D$2:D$5002),Raw_Data!D3035)</f>
        <v>82841.02</v>
      </c>
      <c r="E3035" s="15" t="str">
        <f>IF(ISBLANK(Raw_Data!E3035),AVERAGE(Raw_Data!E$2:E$5002),Raw_Data!E3035)</f>
        <v>28725.42</v>
      </c>
      <c r="F3035" s="15" t="str">
        <f>IF(ISBLANK(Raw_Data!F3035),AVERAGE(Raw_Data!F$2:F$5002),Raw_Data!F3035)</f>
        <v>24693.51</v>
      </c>
      <c r="G3035" s="14" t="str">
        <f>IF(ISBLANK(Raw_Data!G3035),AVERAGE(Raw_Data!G$2:G$5002),Raw_Data!G3035)</f>
        <v>17758.16</v>
      </c>
      <c r="H3035" s="15" t="str">
        <f t="shared" si="1"/>
        <v>136260.00</v>
      </c>
      <c r="I3035" s="14" t="str">
        <f t="shared" si="2"/>
        <v>118502.00</v>
      </c>
      <c r="J3035" s="16" t="str">
        <f>TEXT(Raw_Data!J3035,"MMM-YYY")</f>
        <v>May-2025</v>
      </c>
      <c r="K3035" s="13" t="str">
        <f>Raw_Data!K3035</f>
        <v>7</v>
      </c>
      <c r="L3035" s="17" t="str">
        <f>Raw_Data!L3035</f>
        <v>Chennai-South</v>
      </c>
      <c r="M3035" s="13" t="str">
        <f t="shared" si="3"/>
        <v>OK</v>
      </c>
      <c r="N3035" s="18" t="str">
        <f t="shared" si="4"/>
        <v>VALID</v>
      </c>
    </row>
    <row r="3036" ht="15.75" customHeight="1">
      <c r="A3036" s="13" t="str">
        <f>Raw_Data!A3036</f>
        <v>EMP3194</v>
      </c>
      <c r="B3036" s="13" t="str">
        <f>TRIM(CLEAN(Raw_Data!B3036))</f>
        <v>Finance</v>
      </c>
      <c r="C3036" s="18" t="s">
        <v>30</v>
      </c>
      <c r="D3036" s="14" t="str">
        <f>IF(ISBLANK(Raw_Data!D3036),AVERAGE(Raw_Data!D$2:D$5002),Raw_Data!D3036)</f>
        <v>82851.90</v>
      </c>
      <c r="E3036" s="15" t="str">
        <f>IF(ISBLANK(Raw_Data!E3036),AVERAGE(Raw_Data!E$2:E$5002),Raw_Data!E3036)</f>
        <v>28730.03</v>
      </c>
      <c r="F3036" s="15" t="str">
        <f>IF(ISBLANK(Raw_Data!F3036),AVERAGE(Raw_Data!F$2:F$5002),Raw_Data!F3036)</f>
        <v>24701.19</v>
      </c>
      <c r="G3036" s="14" t="str">
        <f>IF(ISBLANK(Raw_Data!G3036),AVERAGE(Raw_Data!G$2:G$5002),Raw_Data!G3036)</f>
        <v>17761.56</v>
      </c>
      <c r="H3036" s="15" t="str">
        <f t="shared" si="1"/>
        <v>136283.00</v>
      </c>
      <c r="I3036" s="14" t="str">
        <f t="shared" si="2"/>
        <v>118521.00</v>
      </c>
      <c r="J3036" s="16" t="str">
        <f>TEXT(Raw_Data!J3036,"MMM-YYY")</f>
        <v>Jul-2025</v>
      </c>
      <c r="K3036" s="13" t="str">
        <f>Raw_Data!K3036</f>
        <v>6</v>
      </c>
      <c r="L3036" s="17" t="str">
        <f>Raw_Data!L3036</f>
        <v>Kolkata-East</v>
      </c>
      <c r="M3036" s="13" t="str">
        <f t="shared" si="3"/>
        <v>OK</v>
      </c>
      <c r="N3036" s="18" t="str">
        <f t="shared" si="4"/>
        <v>VALID</v>
      </c>
    </row>
    <row r="3037" ht="15.75" customHeight="1">
      <c r="A3037" s="13" t="str">
        <f>Raw_Data!A3037</f>
        <v>EMP3195</v>
      </c>
      <c r="B3037" s="13" t="str">
        <f>TRIM(CLEAN(Raw_Data!B3037))</f>
        <v>Finance</v>
      </c>
      <c r="C3037" s="18" t="s">
        <v>30</v>
      </c>
      <c r="D3037" s="14" t="str">
        <f>IF(ISBLANK(Raw_Data!D3037),AVERAGE(Raw_Data!D$2:D$5002),Raw_Data!D3037)</f>
        <v>82862.78</v>
      </c>
      <c r="E3037" s="15" t="str">
        <f>IF(ISBLANK(Raw_Data!E3037),AVERAGE(Raw_Data!E$2:E$5002),Raw_Data!E3037)</f>
        <v>28734.65</v>
      </c>
      <c r="F3037" s="15" t="str">
        <f>IF(ISBLANK(Raw_Data!F3037),AVERAGE(Raw_Data!F$2:F$5002),Raw_Data!F3037)</f>
        <v>24708.87</v>
      </c>
      <c r="G3037" s="14" t="str">
        <f>IF(ISBLANK(Raw_Data!G3037),AVERAGE(Raw_Data!G$2:G$5002),Raw_Data!G3037)</f>
        <v>17764.95</v>
      </c>
      <c r="H3037" s="15" t="str">
        <f t="shared" si="1"/>
        <v>136306.00</v>
      </c>
      <c r="I3037" s="14" t="str">
        <f t="shared" si="2"/>
        <v>118541.00</v>
      </c>
      <c r="J3037" s="16" t="str">
        <f>TEXT(Raw_Data!J3037,"MMM-YYY")</f>
        <v>Dec-2025</v>
      </c>
      <c r="K3037" s="13" t="str">
        <f>Raw_Data!K3037</f>
        <v>15</v>
      </c>
      <c r="L3037" s="17" t="str">
        <f>Raw_Data!L3037</f>
        <v>Pune-West</v>
      </c>
      <c r="M3037" s="13" t="str">
        <f t="shared" si="3"/>
        <v>OK</v>
      </c>
      <c r="N3037" s="18" t="str">
        <f t="shared" si="4"/>
        <v>VALID</v>
      </c>
    </row>
    <row r="3038" ht="15.75" customHeight="1">
      <c r="A3038" s="13" t="str">
        <f>Raw_Data!A3038</f>
        <v>EMP3196</v>
      </c>
      <c r="B3038" s="13" t="str">
        <f>TRIM(CLEAN(Raw_Data!B3038))</f>
        <v>Marketing</v>
      </c>
      <c r="C3038" s="18" t="s">
        <v>30</v>
      </c>
      <c r="D3038" s="14" t="str">
        <f>IF(ISBLANK(Raw_Data!D3038),AVERAGE(Raw_Data!D$2:D$5002),Raw_Data!D3038)</f>
        <v>82873.67</v>
      </c>
      <c r="E3038" s="15" t="str">
        <f>IF(ISBLANK(Raw_Data!E3038),AVERAGE(Raw_Data!E$2:E$5002),Raw_Data!E3038)</f>
        <v>28739.26</v>
      </c>
      <c r="F3038" s="15" t="str">
        <f>IF(ISBLANK(Raw_Data!F3038),AVERAGE(Raw_Data!F$2:F$5002),Raw_Data!F3038)</f>
        <v>24716.55</v>
      </c>
      <c r="G3038" s="14" t="str">
        <f>IF(ISBLANK(Raw_Data!G3038),AVERAGE(Raw_Data!G$2:G$5002),Raw_Data!G3038)</f>
        <v>17768.35</v>
      </c>
      <c r="H3038" s="15" t="str">
        <f t="shared" si="1"/>
        <v>136329.00</v>
      </c>
      <c r="I3038" s="14" t="str">
        <f t="shared" si="2"/>
        <v>118561.00</v>
      </c>
      <c r="J3038" s="16" t="str">
        <f>TEXT(Raw_Data!J3038,"MMM-YYY")</f>
        <v>Feb-2025</v>
      </c>
      <c r="K3038" s="13" t="str">
        <f>Raw_Data!K3038</f>
        <v>23</v>
      </c>
      <c r="L3038" s="17" t="str">
        <f>Raw_Data!L3038</f>
        <v>Hyderabad-South</v>
      </c>
      <c r="M3038" s="13" t="str">
        <f t="shared" si="3"/>
        <v>OK</v>
      </c>
      <c r="N3038" s="18" t="str">
        <f t="shared" si="4"/>
        <v>VALID</v>
      </c>
    </row>
    <row r="3039" ht="15.75" customHeight="1">
      <c r="A3039" s="13" t="str">
        <f>Raw_Data!A3039</f>
        <v>EMP3197</v>
      </c>
      <c r="B3039" s="13" t="str">
        <f>TRIM(CLEAN(Raw_Data!B3039))</f>
        <v>Sales</v>
      </c>
      <c r="C3039" s="18" t="s">
        <v>37</v>
      </c>
      <c r="D3039" s="14" t="str">
        <f>IF(ISBLANK(Raw_Data!D3039),AVERAGE(Raw_Data!D$2:D$5002),Raw_Data!D3039)</f>
        <v>82884.55</v>
      </c>
      <c r="E3039" s="15" t="str">
        <f>IF(ISBLANK(Raw_Data!E3039),AVERAGE(Raw_Data!E$2:E$5002),Raw_Data!E3039)</f>
        <v>28743.88</v>
      </c>
      <c r="F3039" s="15" t="str">
        <f>IF(ISBLANK(Raw_Data!F3039),AVERAGE(Raw_Data!F$2:F$5002),Raw_Data!F3039)</f>
        <v>24724.23</v>
      </c>
      <c r="G3039" s="14" t="str">
        <f>IF(ISBLANK(Raw_Data!G3039),AVERAGE(Raw_Data!G$2:G$5002),Raw_Data!G3039)</f>
        <v>17771.75</v>
      </c>
      <c r="H3039" s="15" t="str">
        <f t="shared" si="1"/>
        <v>136353.00</v>
      </c>
      <c r="I3039" s="14" t="str">
        <f t="shared" si="2"/>
        <v>118581.00</v>
      </c>
      <c r="J3039" s="16" t="str">
        <f>TEXT(Raw_Data!J3039,"MMM-YYY")</f>
        <v>Aug-2025</v>
      </c>
      <c r="K3039" s="13" t="str">
        <f>Raw_Data!K3039</f>
        <v>5</v>
      </c>
      <c r="L3039" s="17" t="str">
        <f>Raw_Data!L3039</f>
        <v>Chandigarh-North</v>
      </c>
      <c r="M3039" s="13" t="str">
        <f t="shared" si="3"/>
        <v>OK</v>
      </c>
      <c r="N3039" s="18" t="str">
        <f t="shared" si="4"/>
        <v>VALID</v>
      </c>
    </row>
    <row r="3040" ht="15.75" customHeight="1">
      <c r="A3040" s="13" t="str">
        <f>Raw_Data!A3040</f>
        <v>EMP3198</v>
      </c>
      <c r="B3040" s="13" t="str">
        <f>TRIM(CLEAN(Raw_Data!B3040))</f>
        <v>Operations</v>
      </c>
      <c r="C3040" s="18" t="s">
        <v>14</v>
      </c>
      <c r="D3040" s="14" t="str">
        <f>IF(ISBLANK(Raw_Data!D3040),AVERAGE(Raw_Data!D$2:D$5002),Raw_Data!D3040)</f>
        <v>82895.43</v>
      </c>
      <c r="E3040" s="15" t="str">
        <f>IF(ISBLANK(Raw_Data!E3040),AVERAGE(Raw_Data!E$2:E$5002),Raw_Data!E3040)</f>
        <v>28748.49</v>
      </c>
      <c r="F3040" s="15" t="str">
        <f>IF(ISBLANK(Raw_Data!F3040),AVERAGE(Raw_Data!F$2:F$5002),Raw_Data!F3040)</f>
        <v>24731.91</v>
      </c>
      <c r="G3040" s="14" t="str">
        <f>IF(ISBLANK(Raw_Data!G3040),AVERAGE(Raw_Data!G$2:G$5002),Raw_Data!G3040)</f>
        <v>17775.15</v>
      </c>
      <c r="H3040" s="15" t="str">
        <f t="shared" si="1"/>
        <v>136376.00</v>
      </c>
      <c r="I3040" s="14" t="str">
        <f t="shared" si="2"/>
        <v>118601.00</v>
      </c>
      <c r="J3040" s="16" t="str">
        <f>TEXT(Raw_Data!J3040,"MMM-YYY")</f>
        <v>Apr-2025</v>
      </c>
      <c r="K3040" s="13" t="str">
        <f>Raw_Data!K3040</f>
        <v>22</v>
      </c>
      <c r="L3040" s="17" t="str">
        <f>Raw_Data!L3040</f>
        <v>Ahmedabad-West</v>
      </c>
      <c r="M3040" s="13" t="str">
        <f t="shared" si="3"/>
        <v>OK</v>
      </c>
      <c r="N3040" s="18" t="str">
        <f t="shared" si="4"/>
        <v>VALID</v>
      </c>
    </row>
    <row r="3041" ht="15.75" customHeight="1">
      <c r="A3041" s="13" t="str">
        <f>Raw_Data!A3041</f>
        <v>EMP3199</v>
      </c>
      <c r="B3041" s="13" t="str">
        <f>TRIM(CLEAN(Raw_Data!B3041))</f>
        <v>IT</v>
      </c>
      <c r="C3041" s="18" t="s">
        <v>54</v>
      </c>
      <c r="D3041" s="14" t="str">
        <f>IF(ISBLANK(Raw_Data!D3041),AVERAGE(Raw_Data!D$2:D$5002),Raw_Data!D3041)</f>
        <v>82906.32</v>
      </c>
      <c r="E3041" s="15" t="str">
        <f>IF(ISBLANK(Raw_Data!E3041),AVERAGE(Raw_Data!E$2:E$5002),Raw_Data!E3041)</f>
        <v>28753.11</v>
      </c>
      <c r="F3041" s="15" t="str">
        <f>IF(ISBLANK(Raw_Data!F3041),AVERAGE(Raw_Data!F$2:F$5002),Raw_Data!F3041)</f>
        <v>24739.59</v>
      </c>
      <c r="G3041" s="14" t="str">
        <f>IF(ISBLANK(Raw_Data!G3041),AVERAGE(Raw_Data!G$2:G$5002),Raw_Data!G3041)</f>
        <v>17778.54</v>
      </c>
      <c r="H3041" s="15" t="str">
        <f t="shared" si="1"/>
        <v>136399.00</v>
      </c>
      <c r="I3041" s="14" t="str">
        <f t="shared" si="2"/>
        <v>118620.00</v>
      </c>
      <c r="J3041" s="16" t="str">
        <f>TEXT(Raw_Data!J3041,"MMM-YYY")</f>
        <v>Nov-2025</v>
      </c>
      <c r="K3041" s="13" t="str">
        <f>Raw_Data!K3041</f>
        <v>22</v>
      </c>
      <c r="L3041" s="17" t="str">
        <f>Raw_Data!L3041</f>
        <v>Jaipur-North</v>
      </c>
      <c r="M3041" s="13" t="str">
        <f t="shared" si="3"/>
        <v>OK</v>
      </c>
      <c r="N3041" s="18" t="str">
        <f t="shared" si="4"/>
        <v>VALID</v>
      </c>
    </row>
    <row r="3042" ht="15.75" customHeight="1">
      <c r="A3042" s="13" t="str">
        <f>Raw_Data!A3042</f>
        <v>EMP3200</v>
      </c>
      <c r="B3042" s="13" t="str">
        <f>TRIM(CLEAN(Raw_Data!B3042))</f>
        <v>Marketing</v>
      </c>
      <c r="C3042" s="18" t="s">
        <v>54</v>
      </c>
      <c r="D3042" s="14" t="str">
        <f>IF(ISBLANK(Raw_Data!D3042),AVERAGE(Raw_Data!D$2:D$5002),Raw_Data!D3042)</f>
        <v>82917.20</v>
      </c>
      <c r="E3042" s="15" t="str">
        <f>IF(ISBLANK(Raw_Data!E3042),AVERAGE(Raw_Data!E$2:E$5002),Raw_Data!E3042)</f>
        <v>28757.72</v>
      </c>
      <c r="F3042" s="15" t="str">
        <f>IF(ISBLANK(Raw_Data!F3042),AVERAGE(Raw_Data!F$2:F$5002),Raw_Data!F3042)</f>
        <v>24747.27</v>
      </c>
      <c r="G3042" s="14" t="str">
        <f>IF(ISBLANK(Raw_Data!G3042),AVERAGE(Raw_Data!G$2:G$5002),Raw_Data!G3042)</f>
        <v>17781.94</v>
      </c>
      <c r="H3042" s="15" t="str">
        <f t="shared" si="1"/>
        <v>136422.00</v>
      </c>
      <c r="I3042" s="14" t="str">
        <f t="shared" si="2"/>
        <v>118640.00</v>
      </c>
      <c r="J3042" s="16" t="str">
        <f>TEXT(Raw_Data!J3042,"MMM-YYY")</f>
        <v>Dec-2025</v>
      </c>
      <c r="K3042" s="13" t="str">
        <f>Raw_Data!K3042</f>
        <v>6</v>
      </c>
      <c r="L3042" s="17" t="str">
        <f>Raw_Data!L3042</f>
        <v>Mumbai-HO</v>
      </c>
      <c r="M3042" s="13" t="str">
        <f t="shared" si="3"/>
        <v>OK</v>
      </c>
      <c r="N3042" s="18" t="str">
        <f t="shared" si="4"/>
        <v>VALID</v>
      </c>
    </row>
    <row r="3043" ht="15.75" customHeight="1">
      <c r="A3043" s="13" t="str">
        <f>Raw_Data!A3043</f>
        <v>EMP3201</v>
      </c>
      <c r="B3043" s="13" t="str">
        <f>TRIM(CLEAN(Raw_Data!B3043))</f>
        <v>Finance</v>
      </c>
      <c r="C3043" s="18" t="s">
        <v>37</v>
      </c>
      <c r="D3043" s="14" t="str">
        <f>IF(ISBLANK(Raw_Data!D3043),AVERAGE(Raw_Data!D$2:D$5002),Raw_Data!D3043)</f>
        <v>82928.08</v>
      </c>
      <c r="E3043" s="15" t="str">
        <f>IF(ISBLANK(Raw_Data!E3043),AVERAGE(Raw_Data!E$2:E$5002),Raw_Data!E3043)</f>
        <v>28762.34</v>
      </c>
      <c r="F3043" s="15" t="str">
        <f>IF(ISBLANK(Raw_Data!F3043),AVERAGE(Raw_Data!F$2:F$5002),Raw_Data!F3043)</f>
        <v>24754.95</v>
      </c>
      <c r="G3043" s="14" t="str">
        <f>IF(ISBLANK(Raw_Data!G3043),AVERAGE(Raw_Data!G$2:G$5002),Raw_Data!G3043)</f>
        <v>17785.34</v>
      </c>
      <c r="H3043" s="15" t="str">
        <f t="shared" si="1"/>
        <v>136445.00</v>
      </c>
      <c r="I3043" s="14" t="str">
        <f t="shared" si="2"/>
        <v>118660.00</v>
      </c>
      <c r="J3043" s="16" t="str">
        <f>TEXT(Raw_Data!J3043,"MMM-YYY")</f>
        <v>Mar-2025</v>
      </c>
      <c r="K3043" s="13" t="str">
        <f>Raw_Data!K3043</f>
        <v>17</v>
      </c>
      <c r="L3043" s="17" t="str">
        <f>Raw_Data!L3043</f>
        <v>Delhi-North</v>
      </c>
      <c r="M3043" s="13" t="str">
        <f t="shared" si="3"/>
        <v>OK</v>
      </c>
      <c r="N3043" s="18" t="str">
        <f t="shared" si="4"/>
        <v>VALID</v>
      </c>
    </row>
    <row r="3044" ht="15.75" customHeight="1">
      <c r="A3044" s="13" t="str">
        <f>Raw_Data!A3044</f>
        <v>EMP3202</v>
      </c>
      <c r="B3044" s="13" t="str">
        <f>TRIM(CLEAN(Raw_Data!B3044))</f>
        <v>Finance</v>
      </c>
      <c r="C3044" s="18" t="s">
        <v>26</v>
      </c>
      <c r="D3044" s="14" t="str">
        <f>IF(ISBLANK(Raw_Data!D3044),AVERAGE(Raw_Data!D$2:D$5002),Raw_Data!D3044)</f>
        <v>82938.96</v>
      </c>
      <c r="E3044" s="15" t="str">
        <f>IF(ISBLANK(Raw_Data!E3044),AVERAGE(Raw_Data!E$2:E$5002),Raw_Data!E3044)</f>
        <v>28766.95</v>
      </c>
      <c r="F3044" s="15" t="str">
        <f>IF(ISBLANK(Raw_Data!F3044),AVERAGE(Raw_Data!F$2:F$5002),Raw_Data!F3044)</f>
        <v>24762.63</v>
      </c>
      <c r="G3044" s="14" t="str">
        <f>IF(ISBLANK(Raw_Data!G3044),AVERAGE(Raw_Data!G$2:G$5002),Raw_Data!G3044)</f>
        <v>17788.74</v>
      </c>
      <c r="H3044" s="15" t="str">
        <f t="shared" si="1"/>
        <v>136469.00</v>
      </c>
      <c r="I3044" s="14" t="str">
        <f t="shared" si="2"/>
        <v>118680.00</v>
      </c>
      <c r="J3044" s="16" t="str">
        <f>TEXT(Raw_Data!J3044,"MMM-YYY")</f>
        <v>Jan-2025</v>
      </c>
      <c r="K3044" s="13" t="str">
        <f>Raw_Data!K3044</f>
        <v>4</v>
      </c>
      <c r="L3044" s="17" t="str">
        <f>Raw_Data!L3044</f>
        <v>Bangalore-South</v>
      </c>
      <c r="M3044" s="13" t="str">
        <f t="shared" si="3"/>
        <v>OK</v>
      </c>
      <c r="N3044" s="18" t="str">
        <f t="shared" si="4"/>
        <v>VALID</v>
      </c>
    </row>
    <row r="3045" ht="15.75" customHeight="1">
      <c r="A3045" s="13" t="str">
        <f>Raw_Data!A3045</f>
        <v>EMP3203</v>
      </c>
      <c r="B3045" s="13" t="str">
        <f>TRIM(CLEAN(Raw_Data!B3045))</f>
        <v>Sales</v>
      </c>
      <c r="C3045" s="18" t="s">
        <v>33</v>
      </c>
      <c r="D3045" s="14" t="str">
        <f>IF(ISBLANK(Raw_Data!D3045),AVERAGE(Raw_Data!D$2:D$5002),Raw_Data!D3045)</f>
        <v>82949.85</v>
      </c>
      <c r="E3045" s="15" t="str">
        <f>IF(ISBLANK(Raw_Data!E3045),AVERAGE(Raw_Data!E$2:E$5002),Raw_Data!E3045)</f>
        <v>28771.57</v>
      </c>
      <c r="F3045" s="15" t="str">
        <f>IF(ISBLANK(Raw_Data!F3045),AVERAGE(Raw_Data!F$2:F$5002),Raw_Data!F3045)</f>
        <v>24770.31</v>
      </c>
      <c r="G3045" s="14" t="str">
        <f>IF(ISBLANK(Raw_Data!G3045),AVERAGE(Raw_Data!G$2:G$5002),Raw_Data!G3045)</f>
        <v>17792.13</v>
      </c>
      <c r="H3045" s="15" t="str">
        <f t="shared" si="1"/>
        <v>136492.00</v>
      </c>
      <c r="I3045" s="14" t="str">
        <f t="shared" si="2"/>
        <v>118700.00</v>
      </c>
      <c r="J3045" s="16" t="str">
        <f>TEXT(Raw_Data!J3045,"MMM-YYY")</f>
        <v>Jul-2025</v>
      </c>
      <c r="K3045" s="13" t="str">
        <f>Raw_Data!K3045</f>
        <v>12</v>
      </c>
      <c r="L3045" s="17" t="str">
        <f>Raw_Data!L3045</f>
        <v>Chennai-South</v>
      </c>
      <c r="M3045" s="13" t="str">
        <f t="shared" si="3"/>
        <v>OK</v>
      </c>
      <c r="N3045" s="18" t="str">
        <f t="shared" si="4"/>
        <v>VALID</v>
      </c>
    </row>
    <row r="3046" ht="15.75" customHeight="1">
      <c r="A3046" s="13" t="str">
        <f>Raw_Data!A3046</f>
        <v>EMP3204</v>
      </c>
      <c r="B3046" s="13" t="str">
        <f>TRIM(CLEAN(Raw_Data!B3046))</f>
        <v>HR</v>
      </c>
      <c r="C3046" s="18" t="s">
        <v>14</v>
      </c>
      <c r="D3046" s="14" t="str">
        <f>IF(ISBLANK(Raw_Data!D3046),AVERAGE(Raw_Data!D$2:D$5002),Raw_Data!D3046)</f>
        <v>82960.73</v>
      </c>
      <c r="E3046" s="15" t="str">
        <f>IF(ISBLANK(Raw_Data!E3046),AVERAGE(Raw_Data!E$2:E$5002),Raw_Data!E3046)</f>
        <v>28776.18</v>
      </c>
      <c r="F3046" s="15" t="str">
        <f>IF(ISBLANK(Raw_Data!F3046),AVERAGE(Raw_Data!F$2:F$5002),Raw_Data!F3046)</f>
        <v>24777.99</v>
      </c>
      <c r="G3046" s="14" t="str">
        <f>IF(ISBLANK(Raw_Data!G3046),AVERAGE(Raw_Data!G$2:G$5002),Raw_Data!G3046)</f>
        <v>17795.53</v>
      </c>
      <c r="H3046" s="15" t="str">
        <f t="shared" si="1"/>
        <v>136515.00</v>
      </c>
      <c r="I3046" s="14" t="str">
        <f t="shared" si="2"/>
        <v>118719.00</v>
      </c>
      <c r="J3046" s="16" t="str">
        <f>TEXT(Raw_Data!J3046,"MMM-YYY")</f>
        <v>May-2025</v>
      </c>
      <c r="K3046" s="13" t="str">
        <f>Raw_Data!K3046</f>
        <v>15</v>
      </c>
      <c r="L3046" s="17" t="str">
        <f>Raw_Data!L3046</f>
        <v>Kolkata-East</v>
      </c>
      <c r="M3046" s="13" t="str">
        <f t="shared" si="3"/>
        <v>OK</v>
      </c>
      <c r="N3046" s="18" t="str">
        <f t="shared" si="4"/>
        <v>VALID</v>
      </c>
    </row>
    <row r="3047" ht="15.75" customHeight="1">
      <c r="A3047" s="13" t="str">
        <f>Raw_Data!A3047</f>
        <v>EMP3205</v>
      </c>
      <c r="B3047" s="13" t="str">
        <f>TRIM(CLEAN(Raw_Data!B3047))</f>
        <v>IT</v>
      </c>
      <c r="C3047" s="18" t="s">
        <v>33</v>
      </c>
      <c r="D3047" s="14" t="str">
        <f>IF(ISBLANK(Raw_Data!D3047),AVERAGE(Raw_Data!D$2:D$5002),Raw_Data!D3047)</f>
        <v>82971.61</v>
      </c>
      <c r="E3047" s="15" t="str">
        <f>IF(ISBLANK(Raw_Data!E3047),AVERAGE(Raw_Data!E$2:E$5002),Raw_Data!E3047)</f>
        <v>28780.80</v>
      </c>
      <c r="F3047" s="15" t="str">
        <f>IF(ISBLANK(Raw_Data!F3047),AVERAGE(Raw_Data!F$2:F$5002),Raw_Data!F3047)</f>
        <v>24785.67</v>
      </c>
      <c r="G3047" s="14" t="str">
        <f>IF(ISBLANK(Raw_Data!G3047),AVERAGE(Raw_Data!G$2:G$5002),Raw_Data!G3047)</f>
        <v>17798.93</v>
      </c>
      <c r="H3047" s="15" t="str">
        <f t="shared" si="1"/>
        <v>136538.00</v>
      </c>
      <c r="I3047" s="14" t="str">
        <f t="shared" si="2"/>
        <v>118739.00</v>
      </c>
      <c r="J3047" s="16" t="str">
        <f>TEXT(Raw_Data!J3047,"MMM-YYY")</f>
        <v>Sep-2025</v>
      </c>
      <c r="K3047" s="13" t="str">
        <f>Raw_Data!K3047</f>
        <v>7</v>
      </c>
      <c r="L3047" s="17" t="str">
        <f>Raw_Data!L3047</f>
        <v>Pune-West</v>
      </c>
      <c r="M3047" s="13" t="str">
        <f t="shared" si="3"/>
        <v>OK</v>
      </c>
      <c r="N3047" s="18" t="str">
        <f t="shared" si="4"/>
        <v>VALID</v>
      </c>
    </row>
    <row r="3048" ht="15.75" customHeight="1">
      <c r="A3048" s="13" t="str">
        <f>Raw_Data!A3048</f>
        <v>EMP3206</v>
      </c>
      <c r="B3048" s="13" t="str">
        <f>TRIM(CLEAN(Raw_Data!B3048))</f>
        <v>Sales</v>
      </c>
      <c r="C3048" s="18" t="s">
        <v>54</v>
      </c>
      <c r="D3048" s="14" t="str">
        <f>IF(ISBLANK(Raw_Data!D3048),AVERAGE(Raw_Data!D$2:D$5002),Raw_Data!D3048)</f>
        <v>82982.50</v>
      </c>
      <c r="E3048" s="15" t="str">
        <f>IF(ISBLANK(Raw_Data!E3048),AVERAGE(Raw_Data!E$2:E$5002),Raw_Data!E3048)</f>
        <v>28785.41</v>
      </c>
      <c r="F3048" s="15" t="str">
        <f>IF(ISBLANK(Raw_Data!F3048),AVERAGE(Raw_Data!F$2:F$5002),Raw_Data!F3048)</f>
        <v>24793.35</v>
      </c>
      <c r="G3048" s="14" t="str">
        <f>IF(ISBLANK(Raw_Data!G3048),AVERAGE(Raw_Data!G$2:G$5002),Raw_Data!G3048)</f>
        <v>17802.33</v>
      </c>
      <c r="H3048" s="15" t="str">
        <f t="shared" si="1"/>
        <v>136561.00</v>
      </c>
      <c r="I3048" s="14" t="str">
        <f t="shared" si="2"/>
        <v>118759.00</v>
      </c>
      <c r="J3048" s="16" t="str">
        <f>TEXT(Raw_Data!J3048,"MMM-YYY")</f>
        <v>Feb-2025</v>
      </c>
      <c r="K3048" s="13" t="str">
        <f>Raw_Data!K3048</f>
        <v>21</v>
      </c>
      <c r="L3048" s="17" t="str">
        <f>Raw_Data!L3048</f>
        <v>Hyderabad-South</v>
      </c>
      <c r="M3048" s="13" t="str">
        <f t="shared" si="3"/>
        <v>OK</v>
      </c>
      <c r="N3048" s="18" t="str">
        <f t="shared" si="4"/>
        <v>VALID</v>
      </c>
    </row>
    <row r="3049" ht="15.75" customHeight="1">
      <c r="A3049" s="13" t="str">
        <f>Raw_Data!A3049</f>
        <v>EMP3207</v>
      </c>
      <c r="B3049" s="13" t="str">
        <f>TRIM(CLEAN(Raw_Data!B3049))</f>
        <v>Finance</v>
      </c>
      <c r="C3049" s="18" t="s">
        <v>37</v>
      </c>
      <c r="D3049" s="14" t="str">
        <f>IF(ISBLANK(Raw_Data!D3049),AVERAGE(Raw_Data!D$2:D$5002),Raw_Data!D3049)</f>
        <v>82993.38</v>
      </c>
      <c r="E3049" s="15" t="str">
        <f>IF(ISBLANK(Raw_Data!E3049),AVERAGE(Raw_Data!E$2:E$5002),Raw_Data!E3049)</f>
        <v>28790.03</v>
      </c>
      <c r="F3049" s="15" t="str">
        <f>IF(ISBLANK(Raw_Data!F3049),AVERAGE(Raw_Data!F$2:F$5002),Raw_Data!F3049)</f>
        <v>24801.03</v>
      </c>
      <c r="G3049" s="14" t="str">
        <f>IF(ISBLANK(Raw_Data!G3049),AVERAGE(Raw_Data!G$2:G$5002),Raw_Data!G3049)</f>
        <v>17805.72</v>
      </c>
      <c r="H3049" s="15" t="str">
        <f t="shared" si="1"/>
        <v>136584.00</v>
      </c>
      <c r="I3049" s="14" t="str">
        <f t="shared" si="2"/>
        <v>118778.00</v>
      </c>
      <c r="J3049" s="16" t="str">
        <f>TEXT(Raw_Data!J3049,"MMM-YYY")</f>
        <v>Nov-2025</v>
      </c>
      <c r="K3049" s="13" t="str">
        <f>Raw_Data!K3049</f>
        <v>22</v>
      </c>
      <c r="L3049" s="17" t="str">
        <f>Raw_Data!L3049</f>
        <v>Chandigarh-North</v>
      </c>
      <c r="M3049" s="13" t="str">
        <f t="shared" si="3"/>
        <v>OK</v>
      </c>
      <c r="N3049" s="18" t="str">
        <f t="shared" si="4"/>
        <v>VALID</v>
      </c>
    </row>
    <row r="3050" ht="15.75" customHeight="1">
      <c r="A3050" s="13" t="str">
        <f>Raw_Data!A3050</f>
        <v>EMP3208</v>
      </c>
      <c r="B3050" s="13" t="str">
        <f>TRIM(CLEAN(Raw_Data!B3050))</f>
        <v>Marketing</v>
      </c>
      <c r="C3050" s="18" t="s">
        <v>37</v>
      </c>
      <c r="D3050" s="14" t="str">
        <f>IF(ISBLANK(Raw_Data!D3050),AVERAGE(Raw_Data!D$2:D$5002),Raw_Data!D3050)</f>
        <v>83004.26</v>
      </c>
      <c r="E3050" s="15" t="str">
        <f>IF(ISBLANK(Raw_Data!E3050),AVERAGE(Raw_Data!E$2:E$5002),Raw_Data!E3050)</f>
        <v>28794.64</v>
      </c>
      <c r="F3050" s="15" t="str">
        <f>IF(ISBLANK(Raw_Data!F3050),AVERAGE(Raw_Data!F$2:F$5002),Raw_Data!F3050)</f>
        <v>24808.71</v>
      </c>
      <c r="G3050" s="14" t="str">
        <f>IF(ISBLANK(Raw_Data!G3050),AVERAGE(Raw_Data!G$2:G$5002),Raw_Data!G3050)</f>
        <v>17809.12</v>
      </c>
      <c r="H3050" s="15" t="str">
        <f t="shared" si="1"/>
        <v>136608.00</v>
      </c>
      <c r="I3050" s="14" t="str">
        <f t="shared" si="2"/>
        <v>118799.00</v>
      </c>
      <c r="J3050" s="16" t="str">
        <f>TEXT(Raw_Data!J3050,"MMM-YYY")</f>
        <v>Jun-2025</v>
      </c>
      <c r="K3050" s="13" t="str">
        <f>Raw_Data!K3050</f>
        <v>7</v>
      </c>
      <c r="L3050" s="17" t="str">
        <f>Raw_Data!L3050</f>
        <v>Ahmedabad-West</v>
      </c>
      <c r="M3050" s="13" t="str">
        <f t="shared" si="3"/>
        <v>OK</v>
      </c>
      <c r="N3050" s="18" t="str">
        <f t="shared" si="4"/>
        <v>VALID</v>
      </c>
    </row>
    <row r="3051" ht="15.75" customHeight="1">
      <c r="A3051" s="13" t="str">
        <f>Raw_Data!A3051</f>
        <v>EMP3209</v>
      </c>
      <c r="B3051" s="13" t="str">
        <f>TRIM(CLEAN(Raw_Data!B3051))</f>
        <v>Finance</v>
      </c>
      <c r="C3051" s="18" t="s">
        <v>26</v>
      </c>
      <c r="D3051" s="14" t="str">
        <f>IF(ISBLANK(Raw_Data!D3051),AVERAGE(Raw_Data!D$2:D$5002),Raw_Data!D3051)</f>
        <v>83015.14</v>
      </c>
      <c r="E3051" s="15" t="str">
        <f>IF(ISBLANK(Raw_Data!E3051),AVERAGE(Raw_Data!E$2:E$5002),Raw_Data!E3051)</f>
        <v>28799.26</v>
      </c>
      <c r="F3051" s="15" t="str">
        <f>IF(ISBLANK(Raw_Data!F3051),AVERAGE(Raw_Data!F$2:F$5002),Raw_Data!F3051)</f>
        <v>24816.39</v>
      </c>
      <c r="G3051" s="14" t="str">
        <f>IF(ISBLANK(Raw_Data!G3051),AVERAGE(Raw_Data!G$2:G$5002),Raw_Data!G3051)</f>
        <v>17812.52</v>
      </c>
      <c r="H3051" s="15" t="str">
        <f t="shared" si="1"/>
        <v>136631.00</v>
      </c>
      <c r="I3051" s="14" t="str">
        <f t="shared" si="2"/>
        <v>118818.00</v>
      </c>
      <c r="J3051" s="16" t="str">
        <f>TEXT(Raw_Data!J3051,"MMM-YYY")</f>
        <v>Mar-2025</v>
      </c>
      <c r="K3051" s="13" t="str">
        <f>Raw_Data!K3051</f>
        <v>25</v>
      </c>
      <c r="L3051" s="17" t="str">
        <f>Raw_Data!L3051</f>
        <v>Jaipur-North</v>
      </c>
      <c r="M3051" s="13" t="str">
        <f t="shared" si="3"/>
        <v>OK</v>
      </c>
      <c r="N3051" s="18" t="str">
        <f t="shared" si="4"/>
        <v>VALID</v>
      </c>
    </row>
    <row r="3052" ht="15.75" customHeight="1">
      <c r="A3052" s="13" t="str">
        <f>Raw_Data!A3052</f>
        <v>EMP3210</v>
      </c>
      <c r="B3052" s="13" t="str">
        <f>TRIM(CLEAN(Raw_Data!B3052))</f>
        <v>Sales</v>
      </c>
      <c r="C3052" s="18" t="s">
        <v>18</v>
      </c>
      <c r="D3052" s="14" t="str">
        <f>IF(ISBLANK(Raw_Data!D3052),AVERAGE(Raw_Data!D$2:D$5002),Raw_Data!D3052)</f>
        <v>83026.03</v>
      </c>
      <c r="E3052" s="15" t="str">
        <f>IF(ISBLANK(Raw_Data!E3052),AVERAGE(Raw_Data!E$2:E$5002),Raw_Data!E3052)</f>
        <v>28803.87</v>
      </c>
      <c r="F3052" s="15" t="str">
        <f>IF(ISBLANK(Raw_Data!F3052),AVERAGE(Raw_Data!F$2:F$5002),Raw_Data!F3052)</f>
        <v>24824.07</v>
      </c>
      <c r="G3052" s="14" t="str">
        <f>IF(ISBLANK(Raw_Data!G3052),AVERAGE(Raw_Data!G$2:G$5002),Raw_Data!G3052)</f>
        <v>17815.92</v>
      </c>
      <c r="H3052" s="15" t="str">
        <f t="shared" si="1"/>
        <v>136654.00</v>
      </c>
      <c r="I3052" s="14" t="str">
        <f t="shared" si="2"/>
        <v>118838.00</v>
      </c>
      <c r="J3052" s="16" t="str">
        <f>TEXT(Raw_Data!J3052,"MMM-YYY")</f>
        <v>Jan-2025</v>
      </c>
      <c r="K3052" s="13" t="str">
        <f>Raw_Data!K3052</f>
        <v>21</v>
      </c>
      <c r="L3052" s="17" t="str">
        <f>Raw_Data!L3052</f>
        <v>Mumbai-HO</v>
      </c>
      <c r="M3052" s="13" t="str">
        <f t="shared" si="3"/>
        <v>OK</v>
      </c>
      <c r="N3052" s="18" t="str">
        <f t="shared" si="4"/>
        <v>VALID</v>
      </c>
    </row>
    <row r="3053" ht="15.75" customHeight="1">
      <c r="A3053" s="13" t="str">
        <f>Raw_Data!A3053</f>
        <v>EMP3211</v>
      </c>
      <c r="B3053" s="13" t="str">
        <f>TRIM(CLEAN(Raw_Data!B3053))</f>
        <v>Marketing</v>
      </c>
      <c r="C3053" s="18" t="s">
        <v>18</v>
      </c>
      <c r="D3053" s="14" t="str">
        <f>IF(ISBLANK(Raw_Data!D3053),AVERAGE(Raw_Data!D$2:D$5002),Raw_Data!D3053)</f>
        <v>83036.91</v>
      </c>
      <c r="E3053" s="15" t="str">
        <f>IF(ISBLANK(Raw_Data!E3053),AVERAGE(Raw_Data!E$2:E$5002),Raw_Data!E3053)</f>
        <v>28808.48</v>
      </c>
      <c r="F3053" s="15" t="str">
        <f>IF(ISBLANK(Raw_Data!F3053),AVERAGE(Raw_Data!F$2:F$5002),Raw_Data!F3053)</f>
        <v>24831.75</v>
      </c>
      <c r="G3053" s="14" t="str">
        <f>IF(ISBLANK(Raw_Data!G3053),AVERAGE(Raw_Data!G$2:G$5002),Raw_Data!G3053)</f>
        <v>17819.31</v>
      </c>
      <c r="H3053" s="15" t="str">
        <f t="shared" si="1"/>
        <v>136677.00</v>
      </c>
      <c r="I3053" s="14" t="str">
        <f t="shared" si="2"/>
        <v>118858.00</v>
      </c>
      <c r="J3053" s="16" t="str">
        <f>TEXT(Raw_Data!J3053,"MMM-YYY")</f>
        <v>May-2025</v>
      </c>
      <c r="K3053" s="13" t="str">
        <f>Raw_Data!K3053</f>
        <v>3</v>
      </c>
      <c r="L3053" s="17" t="str">
        <f>Raw_Data!L3053</f>
        <v>Delhi-North</v>
      </c>
      <c r="M3053" s="13" t="str">
        <f t="shared" si="3"/>
        <v>OK</v>
      </c>
      <c r="N3053" s="18" t="str">
        <f t="shared" si="4"/>
        <v>VALID</v>
      </c>
    </row>
    <row r="3054" ht="15.75" customHeight="1">
      <c r="A3054" s="13" t="str">
        <f>Raw_Data!A3054</f>
        <v>EMP3212</v>
      </c>
      <c r="B3054" s="13" t="str">
        <f>TRIM(CLEAN(Raw_Data!B3054))</f>
        <v>Operations</v>
      </c>
      <c r="C3054" s="18" t="s">
        <v>37</v>
      </c>
      <c r="D3054" s="14" t="str">
        <f>IF(ISBLANK(Raw_Data!D3054),AVERAGE(Raw_Data!D$2:D$5002),Raw_Data!D3054)</f>
        <v>83047.79</v>
      </c>
      <c r="E3054" s="15" t="str">
        <f>IF(ISBLANK(Raw_Data!E3054),AVERAGE(Raw_Data!E$2:E$5002),Raw_Data!E3054)</f>
        <v>28813.10</v>
      </c>
      <c r="F3054" s="15" t="str">
        <f>IF(ISBLANK(Raw_Data!F3054),AVERAGE(Raw_Data!F$2:F$5002),Raw_Data!F3054)</f>
        <v>24839.43</v>
      </c>
      <c r="G3054" s="14" t="str">
        <f>IF(ISBLANK(Raw_Data!G3054),AVERAGE(Raw_Data!G$2:G$5002),Raw_Data!G3054)</f>
        <v>17822.71</v>
      </c>
      <c r="H3054" s="15" t="str">
        <f t="shared" si="1"/>
        <v>136700.00</v>
      </c>
      <c r="I3054" s="14" t="str">
        <f t="shared" si="2"/>
        <v>118877.00</v>
      </c>
      <c r="J3054" s="16" t="str">
        <f>TEXT(Raw_Data!J3054,"MMM-YYY")</f>
        <v>Aug-2025</v>
      </c>
      <c r="K3054" s="13" t="str">
        <f>Raw_Data!K3054</f>
        <v>11</v>
      </c>
      <c r="L3054" s="17" t="str">
        <f>Raw_Data!L3054</f>
        <v>Bangalore-South</v>
      </c>
      <c r="M3054" s="13" t="str">
        <f t="shared" si="3"/>
        <v>OK</v>
      </c>
      <c r="N3054" s="18" t="str">
        <f t="shared" si="4"/>
        <v>VALID</v>
      </c>
    </row>
    <row r="3055" ht="15.75" customHeight="1">
      <c r="A3055" s="13" t="str">
        <f>Raw_Data!A3055</f>
        <v>EMP3213</v>
      </c>
      <c r="B3055" s="13" t="str">
        <f>TRIM(CLEAN(Raw_Data!B3055))</f>
        <v>IT</v>
      </c>
      <c r="C3055" s="18" t="s">
        <v>33</v>
      </c>
      <c r="D3055" s="14" t="str">
        <f>IF(ISBLANK(Raw_Data!D3055),AVERAGE(Raw_Data!D$2:D$5002),Raw_Data!D3055)</f>
        <v>83058.68</v>
      </c>
      <c r="E3055" s="15" t="str">
        <f>IF(ISBLANK(Raw_Data!E3055),AVERAGE(Raw_Data!E$2:E$5002),Raw_Data!E3055)</f>
        <v>28817.71</v>
      </c>
      <c r="F3055" s="15" t="str">
        <f>IF(ISBLANK(Raw_Data!F3055),AVERAGE(Raw_Data!F$2:F$5002),Raw_Data!F3055)</f>
        <v>24847.11</v>
      </c>
      <c r="G3055" s="14" t="str">
        <f>IF(ISBLANK(Raw_Data!G3055),AVERAGE(Raw_Data!G$2:G$5002),Raw_Data!G3055)</f>
        <v>17826.11</v>
      </c>
      <c r="H3055" s="15" t="str">
        <f t="shared" si="1"/>
        <v>136723.00</v>
      </c>
      <c r="I3055" s="14" t="str">
        <f t="shared" si="2"/>
        <v>118897.00</v>
      </c>
      <c r="J3055" s="16" t="str">
        <f>TEXT(Raw_Data!J3055,"MMM-YYY")</f>
        <v>Nov-2025</v>
      </c>
      <c r="K3055" s="13" t="str">
        <f>Raw_Data!K3055</f>
        <v>14</v>
      </c>
      <c r="L3055" s="17" t="str">
        <f>Raw_Data!L3055</f>
        <v>Chennai-South</v>
      </c>
      <c r="M3055" s="13" t="str">
        <f t="shared" si="3"/>
        <v>OK</v>
      </c>
      <c r="N3055" s="18" t="str">
        <f t="shared" si="4"/>
        <v>VALID</v>
      </c>
    </row>
    <row r="3056" ht="15.75" customHeight="1">
      <c r="A3056" s="13" t="str">
        <f>Raw_Data!A3056</f>
        <v>EMP3214</v>
      </c>
      <c r="B3056" s="13" t="str">
        <f>TRIM(CLEAN(Raw_Data!B3056))</f>
        <v>Customer Support</v>
      </c>
      <c r="C3056" s="18" t="s">
        <v>14</v>
      </c>
      <c r="D3056" s="14" t="str">
        <f>IF(ISBLANK(Raw_Data!D3056),AVERAGE(Raw_Data!D$2:D$5002),Raw_Data!D3056)</f>
        <v>83069.56</v>
      </c>
      <c r="E3056" s="15" t="str">
        <f>IF(ISBLANK(Raw_Data!E3056),AVERAGE(Raw_Data!E$2:E$5002),Raw_Data!E3056)</f>
        <v>28822.33</v>
      </c>
      <c r="F3056" s="15" t="str">
        <f>IF(ISBLANK(Raw_Data!F3056),AVERAGE(Raw_Data!F$2:F$5002),Raw_Data!F3056)</f>
        <v>24854.79</v>
      </c>
      <c r="G3056" s="14" t="str">
        <f>IF(ISBLANK(Raw_Data!G3056),AVERAGE(Raw_Data!G$2:G$5002),Raw_Data!G3056)</f>
        <v>17829.51</v>
      </c>
      <c r="H3056" s="15" t="str">
        <f t="shared" si="1"/>
        <v>136747.00</v>
      </c>
      <c r="I3056" s="14" t="str">
        <f t="shared" si="2"/>
        <v>118917.00</v>
      </c>
      <c r="J3056" s="16" t="str">
        <f>TEXT(Raw_Data!J3056,"MMM-YYY")</f>
        <v>Sep-2025</v>
      </c>
      <c r="K3056" s="13" t="str">
        <f>Raw_Data!K3056</f>
        <v>8</v>
      </c>
      <c r="L3056" s="17" t="str">
        <f>Raw_Data!L3056</f>
        <v>Kolkata-East</v>
      </c>
      <c r="M3056" s="13" t="str">
        <f t="shared" si="3"/>
        <v>OK</v>
      </c>
      <c r="N3056" s="18" t="str">
        <f t="shared" si="4"/>
        <v>VALID</v>
      </c>
    </row>
    <row r="3057" ht="15.75" customHeight="1">
      <c r="A3057" s="13" t="str">
        <f>Raw_Data!A3057</f>
        <v>EMP3215</v>
      </c>
      <c r="B3057" s="13" t="str">
        <f>TRIM(CLEAN(Raw_Data!B3057))</f>
        <v>Marketing</v>
      </c>
      <c r="C3057" s="18" t="s">
        <v>33</v>
      </c>
      <c r="D3057" s="14" t="str">
        <f>IF(ISBLANK(Raw_Data!D3057),AVERAGE(Raw_Data!D$2:D$5002),Raw_Data!D3057)</f>
        <v>83080.44</v>
      </c>
      <c r="E3057" s="15" t="str">
        <f>IF(ISBLANK(Raw_Data!E3057),AVERAGE(Raw_Data!E$2:E$5002),Raw_Data!E3057)</f>
        <v>28826.94</v>
      </c>
      <c r="F3057" s="15" t="str">
        <f>IF(ISBLANK(Raw_Data!F3057),AVERAGE(Raw_Data!F$2:F$5002),Raw_Data!F3057)</f>
        <v>24862.47</v>
      </c>
      <c r="G3057" s="14" t="str">
        <f>IF(ISBLANK(Raw_Data!G3057),AVERAGE(Raw_Data!G$2:G$5002),Raw_Data!G3057)</f>
        <v>17832.90</v>
      </c>
      <c r="H3057" s="15" t="str">
        <f t="shared" si="1"/>
        <v>136770.00</v>
      </c>
      <c r="I3057" s="14" t="str">
        <f t="shared" si="2"/>
        <v>118937.00</v>
      </c>
      <c r="J3057" s="16" t="str">
        <f>TEXT(Raw_Data!J3057,"MMM-YYY")</f>
        <v>Jan-2025</v>
      </c>
      <c r="K3057" s="13" t="str">
        <f>Raw_Data!K3057</f>
        <v>21</v>
      </c>
      <c r="L3057" s="17" t="str">
        <f>Raw_Data!L3057</f>
        <v>Pune-West</v>
      </c>
      <c r="M3057" s="13" t="str">
        <f t="shared" si="3"/>
        <v>OK</v>
      </c>
      <c r="N3057" s="18" t="str">
        <f t="shared" si="4"/>
        <v>VALID</v>
      </c>
    </row>
    <row r="3058" ht="15.75" customHeight="1">
      <c r="A3058" s="13" t="str">
        <f>Raw_Data!A3058</f>
        <v>EMP3216</v>
      </c>
      <c r="B3058" s="13" t="str">
        <f>TRIM(CLEAN(Raw_Data!B3058))</f>
        <v>Operations</v>
      </c>
      <c r="C3058" s="18" t="s">
        <v>33</v>
      </c>
      <c r="D3058" s="14" t="str">
        <f>IF(ISBLANK(Raw_Data!D3058),AVERAGE(Raw_Data!D$2:D$5002),Raw_Data!D3058)</f>
        <v>83091.33</v>
      </c>
      <c r="E3058" s="15" t="str">
        <f>IF(ISBLANK(Raw_Data!E3058),AVERAGE(Raw_Data!E$2:E$5002),Raw_Data!E3058)</f>
        <v>28831.56</v>
      </c>
      <c r="F3058" s="15" t="str">
        <f>IF(ISBLANK(Raw_Data!F3058),AVERAGE(Raw_Data!F$2:F$5002),Raw_Data!F3058)</f>
        <v>24870.15</v>
      </c>
      <c r="G3058" s="14" t="str">
        <f>IF(ISBLANK(Raw_Data!G3058),AVERAGE(Raw_Data!G$2:G$5002),Raw_Data!G3058)</f>
        <v>17836.30</v>
      </c>
      <c r="H3058" s="15" t="str">
        <f t="shared" si="1"/>
        <v>136793.00</v>
      </c>
      <c r="I3058" s="14" t="str">
        <f t="shared" si="2"/>
        <v>118957.00</v>
      </c>
      <c r="J3058" s="16" t="str">
        <f>TEXT(Raw_Data!J3058,"MMM-YYY")</f>
        <v>Oct-2025</v>
      </c>
      <c r="K3058" s="13" t="str">
        <f>Raw_Data!K3058</f>
        <v>22</v>
      </c>
      <c r="L3058" s="17" t="str">
        <f>Raw_Data!L3058</f>
        <v>Hyderabad-South</v>
      </c>
      <c r="M3058" s="13" t="str">
        <f t="shared" si="3"/>
        <v>OK</v>
      </c>
      <c r="N3058" s="18" t="str">
        <f t="shared" si="4"/>
        <v>VALID</v>
      </c>
    </row>
    <row r="3059" ht="15.75" customHeight="1">
      <c r="A3059" s="13" t="str">
        <f>Raw_Data!A3059</f>
        <v>EMP3217</v>
      </c>
      <c r="B3059" s="13" t="str">
        <f>TRIM(CLEAN(Raw_Data!B3059))</f>
        <v>Finance</v>
      </c>
      <c r="C3059" s="18" t="s">
        <v>54</v>
      </c>
      <c r="D3059" s="14" t="str">
        <f>IF(ISBLANK(Raw_Data!D3059),AVERAGE(Raw_Data!D$2:D$5002),Raw_Data!D3059)</f>
        <v>83102.21</v>
      </c>
      <c r="E3059" s="15" t="str">
        <f>IF(ISBLANK(Raw_Data!E3059),AVERAGE(Raw_Data!E$2:E$5002),Raw_Data!E3059)</f>
        <v>28836.17</v>
      </c>
      <c r="F3059" s="15" t="str">
        <f>IF(ISBLANK(Raw_Data!F3059),AVERAGE(Raw_Data!F$2:F$5002),Raw_Data!F3059)</f>
        <v>24877.83</v>
      </c>
      <c r="G3059" s="14" t="str">
        <f>IF(ISBLANK(Raw_Data!G3059),AVERAGE(Raw_Data!G$2:G$5002),Raw_Data!G3059)</f>
        <v>17839.70</v>
      </c>
      <c r="H3059" s="15" t="str">
        <f t="shared" si="1"/>
        <v>136816.00</v>
      </c>
      <c r="I3059" s="14" t="str">
        <f t="shared" si="2"/>
        <v>118976.00</v>
      </c>
      <c r="J3059" s="16" t="str">
        <f>TEXT(Raw_Data!J3059,"MMM-YYY")</f>
        <v>Aug-2025</v>
      </c>
      <c r="K3059" s="13" t="str">
        <f>Raw_Data!K3059</f>
        <v>7</v>
      </c>
      <c r="L3059" s="17" t="str">
        <f>Raw_Data!L3059</f>
        <v>Chandigarh-North</v>
      </c>
      <c r="M3059" s="13" t="str">
        <f t="shared" si="3"/>
        <v>OK</v>
      </c>
      <c r="N3059" s="18" t="str">
        <f t="shared" si="4"/>
        <v>VALID</v>
      </c>
    </row>
    <row r="3060" ht="15.75" customHeight="1">
      <c r="A3060" s="13" t="str">
        <f>Raw_Data!A3060</f>
        <v>EMP3218</v>
      </c>
      <c r="B3060" s="13" t="str">
        <f>TRIM(CLEAN(Raw_Data!B3060))</f>
        <v>Customer Support</v>
      </c>
      <c r="C3060" s="18" t="s">
        <v>33</v>
      </c>
      <c r="D3060" s="14" t="str">
        <f>IF(ISBLANK(Raw_Data!D3060),AVERAGE(Raw_Data!D$2:D$5002),Raw_Data!D3060)</f>
        <v>83113.09</v>
      </c>
      <c r="E3060" s="15" t="str">
        <f>IF(ISBLANK(Raw_Data!E3060),AVERAGE(Raw_Data!E$2:E$5002),Raw_Data!E3060)</f>
        <v>28840.79</v>
      </c>
      <c r="F3060" s="15" t="str">
        <f>IF(ISBLANK(Raw_Data!F3060),AVERAGE(Raw_Data!F$2:F$5002),Raw_Data!F3060)</f>
        <v>24885.51</v>
      </c>
      <c r="G3060" s="14" t="str">
        <f>IF(ISBLANK(Raw_Data!G3060),AVERAGE(Raw_Data!G$2:G$5002),Raw_Data!G3060)</f>
        <v>17843.10</v>
      </c>
      <c r="H3060" s="15" t="str">
        <f t="shared" si="1"/>
        <v>136839.00</v>
      </c>
      <c r="I3060" s="14" t="str">
        <f t="shared" si="2"/>
        <v>118996.00</v>
      </c>
      <c r="J3060" s="16" t="str">
        <f>TEXT(Raw_Data!J3060,"MMM-YYY")</f>
        <v>Oct-2025</v>
      </c>
      <c r="K3060" s="13" t="str">
        <f>Raw_Data!K3060</f>
        <v>16</v>
      </c>
      <c r="L3060" s="17" t="str">
        <f>Raw_Data!L3060</f>
        <v>Ahmedabad-West</v>
      </c>
      <c r="M3060" s="13" t="str">
        <f t="shared" si="3"/>
        <v>OK</v>
      </c>
      <c r="N3060" s="18" t="str">
        <f t="shared" si="4"/>
        <v>VALID</v>
      </c>
    </row>
    <row r="3061" ht="15.75" customHeight="1">
      <c r="A3061" s="13" t="str">
        <f>Raw_Data!A3061</f>
        <v>EMP3219</v>
      </c>
      <c r="B3061" s="13" t="str">
        <f>TRIM(CLEAN(Raw_Data!B3061))</f>
        <v>Finance</v>
      </c>
      <c r="C3061" s="18" t="s">
        <v>26</v>
      </c>
      <c r="D3061" s="14" t="str">
        <f>IF(ISBLANK(Raw_Data!D3061),AVERAGE(Raw_Data!D$2:D$5002),Raw_Data!D3061)</f>
        <v>83123.97</v>
      </c>
      <c r="E3061" s="15" t="str">
        <f>IF(ISBLANK(Raw_Data!E3061),AVERAGE(Raw_Data!E$2:E$5002),Raw_Data!E3061)</f>
        <v>28845.40</v>
      </c>
      <c r="F3061" s="15" t="str">
        <f>IF(ISBLANK(Raw_Data!F3061),AVERAGE(Raw_Data!F$2:F$5002),Raw_Data!F3061)</f>
        <v>24893.19</v>
      </c>
      <c r="G3061" s="14" t="str">
        <f>IF(ISBLANK(Raw_Data!G3061),AVERAGE(Raw_Data!G$2:G$5002),Raw_Data!G3061)</f>
        <v>17846.49</v>
      </c>
      <c r="H3061" s="15" t="str">
        <f t="shared" si="1"/>
        <v>136863.00</v>
      </c>
      <c r="I3061" s="14" t="str">
        <f t="shared" si="2"/>
        <v>119017.00</v>
      </c>
      <c r="J3061" s="16" t="str">
        <f>TEXT(Raw_Data!J3061,"MMM-YYY")</f>
        <v>Jul-2025</v>
      </c>
      <c r="K3061" s="13" t="str">
        <f>Raw_Data!K3061</f>
        <v>12</v>
      </c>
      <c r="L3061" s="17" t="str">
        <f>Raw_Data!L3061</f>
        <v>Jaipur-North</v>
      </c>
      <c r="M3061" s="13" t="str">
        <f t="shared" si="3"/>
        <v>OK</v>
      </c>
      <c r="N3061" s="18" t="str">
        <f t="shared" si="4"/>
        <v>VALID</v>
      </c>
    </row>
    <row r="3062" ht="15.75" customHeight="1">
      <c r="A3062" s="13" t="str">
        <f>Raw_Data!A3062</f>
        <v>EMP3220</v>
      </c>
      <c r="B3062" s="13" t="str">
        <f>TRIM(CLEAN(Raw_Data!B3062))</f>
        <v>Sales</v>
      </c>
      <c r="C3062" s="18" t="s">
        <v>33</v>
      </c>
      <c r="D3062" s="14" t="str">
        <f>IF(ISBLANK(Raw_Data!D3062),AVERAGE(Raw_Data!D$2:D$5002),Raw_Data!D3062)</f>
        <v>83134.86</v>
      </c>
      <c r="E3062" s="15" t="str">
        <f>IF(ISBLANK(Raw_Data!E3062),AVERAGE(Raw_Data!E$2:E$5002),Raw_Data!E3062)</f>
        <v>28850.02</v>
      </c>
      <c r="F3062" s="15" t="str">
        <f>IF(ISBLANK(Raw_Data!F3062),AVERAGE(Raw_Data!F$2:F$5002),Raw_Data!F3062)</f>
        <v>24900.87</v>
      </c>
      <c r="G3062" s="14" t="str">
        <f>IF(ISBLANK(Raw_Data!G3062),AVERAGE(Raw_Data!G$2:G$5002),Raw_Data!G3062)</f>
        <v>17849.89</v>
      </c>
      <c r="H3062" s="15" t="str">
        <f t="shared" si="1"/>
        <v>136886.00</v>
      </c>
      <c r="I3062" s="14" t="str">
        <f t="shared" si="2"/>
        <v>119036.00</v>
      </c>
      <c r="J3062" s="16" t="str">
        <f>TEXT(Raw_Data!J3062,"MMM-YYY")</f>
        <v>Oct-2025</v>
      </c>
      <c r="K3062" s="13" t="str">
        <f>Raw_Data!K3062</f>
        <v>18</v>
      </c>
      <c r="L3062" s="17" t="str">
        <f>Raw_Data!L3062</f>
        <v>Mumbai-HO</v>
      </c>
      <c r="M3062" s="13" t="str">
        <f t="shared" si="3"/>
        <v>OK</v>
      </c>
      <c r="N3062" s="18" t="str">
        <f t="shared" si="4"/>
        <v>VALID</v>
      </c>
    </row>
    <row r="3063" ht="15.75" customHeight="1">
      <c r="A3063" s="13" t="str">
        <f>Raw_Data!A3063</f>
        <v>EMP3221</v>
      </c>
      <c r="B3063" s="13" t="str">
        <f>TRIM(CLEAN(Raw_Data!B3063))</f>
        <v>Sales</v>
      </c>
      <c r="C3063" s="18" t="s">
        <v>26</v>
      </c>
      <c r="D3063" s="14" t="str">
        <f>IF(ISBLANK(Raw_Data!D3063),AVERAGE(Raw_Data!D$2:D$5002),Raw_Data!D3063)</f>
        <v>83145.74</v>
      </c>
      <c r="E3063" s="15" t="str">
        <f>IF(ISBLANK(Raw_Data!E3063),AVERAGE(Raw_Data!E$2:E$5002),Raw_Data!E3063)</f>
        <v>28854.63</v>
      </c>
      <c r="F3063" s="15" t="str">
        <f>IF(ISBLANK(Raw_Data!F3063),AVERAGE(Raw_Data!F$2:F$5002),Raw_Data!F3063)</f>
        <v>24908.55</v>
      </c>
      <c r="G3063" s="14" t="str">
        <f>IF(ISBLANK(Raw_Data!G3063),AVERAGE(Raw_Data!G$2:G$5002),Raw_Data!G3063)</f>
        <v>17853.29</v>
      </c>
      <c r="H3063" s="15" t="str">
        <f t="shared" si="1"/>
        <v>136909.00</v>
      </c>
      <c r="I3063" s="14" t="str">
        <f t="shared" si="2"/>
        <v>119056.00</v>
      </c>
      <c r="J3063" s="16" t="str">
        <f>TEXT(Raw_Data!J3063,"MMM-YYY")</f>
        <v>Oct-2025</v>
      </c>
      <c r="K3063" s="13" t="str">
        <f>Raw_Data!K3063</f>
        <v>23</v>
      </c>
      <c r="L3063" s="17" t="str">
        <f>Raw_Data!L3063</f>
        <v>Delhi-North</v>
      </c>
      <c r="M3063" s="13" t="str">
        <f t="shared" si="3"/>
        <v>OK</v>
      </c>
      <c r="N3063" s="18" t="str">
        <f t="shared" si="4"/>
        <v>VALID</v>
      </c>
    </row>
    <row r="3064" ht="15.75" customHeight="1">
      <c r="A3064" s="13" t="str">
        <f>Raw_Data!A3064</f>
        <v>EMP3222</v>
      </c>
      <c r="B3064" s="13" t="str">
        <f>TRIM(CLEAN(Raw_Data!B3064))</f>
        <v>IT</v>
      </c>
      <c r="C3064" s="18" t="s">
        <v>54</v>
      </c>
      <c r="D3064" s="14" t="str">
        <f>IF(ISBLANK(Raw_Data!D3064),AVERAGE(Raw_Data!D$2:D$5002),Raw_Data!D3064)</f>
        <v>83156.62</v>
      </c>
      <c r="E3064" s="15" t="str">
        <f>IF(ISBLANK(Raw_Data!E3064),AVERAGE(Raw_Data!E$2:E$5002),Raw_Data!E3064)</f>
        <v>28859.25</v>
      </c>
      <c r="F3064" s="15" t="str">
        <f>IF(ISBLANK(Raw_Data!F3064),AVERAGE(Raw_Data!F$2:F$5002),Raw_Data!F3064)</f>
        <v>24916.23</v>
      </c>
      <c r="G3064" s="14" t="str">
        <f>IF(ISBLANK(Raw_Data!G3064),AVERAGE(Raw_Data!G$2:G$5002),Raw_Data!G3064)</f>
        <v>17856.69</v>
      </c>
      <c r="H3064" s="15" t="str">
        <f t="shared" si="1"/>
        <v>136932.00</v>
      </c>
      <c r="I3064" s="14" t="str">
        <f t="shared" si="2"/>
        <v>119075.00</v>
      </c>
      <c r="J3064" s="16" t="str">
        <f>TEXT(Raw_Data!J3064,"MMM-YYY")</f>
        <v>Jun-2025</v>
      </c>
      <c r="K3064" s="13" t="str">
        <f>Raw_Data!K3064</f>
        <v>23</v>
      </c>
      <c r="L3064" s="17" t="str">
        <f>Raw_Data!L3064</f>
        <v>Bangalore-South</v>
      </c>
      <c r="M3064" s="13" t="str">
        <f t="shared" si="3"/>
        <v>OK</v>
      </c>
      <c r="N3064" s="18" t="str">
        <f t="shared" si="4"/>
        <v>VALID</v>
      </c>
    </row>
    <row r="3065" ht="15.75" customHeight="1">
      <c r="A3065" s="13" t="str">
        <f>Raw_Data!A3065</f>
        <v>EMP3223</v>
      </c>
      <c r="B3065" s="13" t="str">
        <f>TRIM(CLEAN(Raw_Data!B3065))</f>
        <v>Sales</v>
      </c>
      <c r="C3065" s="18" t="s">
        <v>54</v>
      </c>
      <c r="D3065" s="14" t="str">
        <f>IF(ISBLANK(Raw_Data!D3065),AVERAGE(Raw_Data!D$2:D$5002),Raw_Data!D3065)</f>
        <v>83167.51</v>
      </c>
      <c r="E3065" s="15" t="str">
        <f>IF(ISBLANK(Raw_Data!E3065),AVERAGE(Raw_Data!E$2:E$5002),Raw_Data!E3065)</f>
        <v>28863.86</v>
      </c>
      <c r="F3065" s="15" t="str">
        <f>IF(ISBLANK(Raw_Data!F3065),AVERAGE(Raw_Data!F$2:F$5002),Raw_Data!F3065)</f>
        <v>24923.91</v>
      </c>
      <c r="G3065" s="14" t="str">
        <f>IF(ISBLANK(Raw_Data!G3065),AVERAGE(Raw_Data!G$2:G$5002),Raw_Data!G3065)</f>
        <v>14562.73</v>
      </c>
      <c r="H3065" s="15" t="str">
        <f t="shared" si="1"/>
        <v>136955.00</v>
      </c>
      <c r="I3065" s="14" t="str">
        <f t="shared" si="2"/>
        <v>122392.00</v>
      </c>
      <c r="J3065" s="16" t="str">
        <f>TEXT(Raw_Data!J3065,"MMM-YYY")</f>
        <v>Apr-2025</v>
      </c>
      <c r="K3065" s="13" t="str">
        <f>Raw_Data!K3065</f>
        <v>20</v>
      </c>
      <c r="L3065" s="17" t="str">
        <f>Raw_Data!L3065</f>
        <v>Chennai-South</v>
      </c>
      <c r="M3065" s="13" t="str">
        <f t="shared" si="3"/>
        <v>OK</v>
      </c>
      <c r="N3065" s="18" t="str">
        <f t="shared" si="4"/>
        <v>VALID</v>
      </c>
    </row>
    <row r="3066" ht="15.75" customHeight="1">
      <c r="A3066" s="13" t="str">
        <f>Raw_Data!A3066</f>
        <v>EMP3224</v>
      </c>
      <c r="B3066" s="13" t="str">
        <f>TRIM(CLEAN(Raw_Data!B3066))</f>
        <v>Operations</v>
      </c>
      <c r="C3066" s="18" t="s">
        <v>30</v>
      </c>
      <c r="D3066" s="14" t="str">
        <f>IF(ISBLANK(Raw_Data!D3066),AVERAGE(Raw_Data!D$2:D$5002),Raw_Data!D3066)</f>
        <v>83178.39</v>
      </c>
      <c r="E3066" s="15" t="str">
        <f>IF(ISBLANK(Raw_Data!E3066),AVERAGE(Raw_Data!E$2:E$5002),Raw_Data!E3066)</f>
        <v>28868.48</v>
      </c>
      <c r="F3066" s="15" t="str">
        <f>IF(ISBLANK(Raw_Data!F3066),AVERAGE(Raw_Data!F$2:F$5002),Raw_Data!F3066)</f>
        <v>24931.59</v>
      </c>
      <c r="G3066" s="14" t="str">
        <f>IF(ISBLANK(Raw_Data!G3066),AVERAGE(Raw_Data!G$2:G$5002),Raw_Data!G3066)</f>
        <v>17863.48</v>
      </c>
      <c r="H3066" s="15" t="str">
        <f t="shared" si="1"/>
        <v>136978.00</v>
      </c>
      <c r="I3066" s="14" t="str">
        <f t="shared" si="2"/>
        <v>119115.00</v>
      </c>
      <c r="J3066" s="16" t="str">
        <f>TEXT(Raw_Data!J3066,"MMM-YYY")</f>
        <v>Aug-2025</v>
      </c>
      <c r="K3066" s="13" t="str">
        <f>Raw_Data!K3066</f>
        <v>1</v>
      </c>
      <c r="L3066" s="17" t="str">
        <f>Raw_Data!L3066</f>
        <v>Kolkata-East</v>
      </c>
      <c r="M3066" s="13" t="str">
        <f t="shared" si="3"/>
        <v>OK</v>
      </c>
      <c r="N3066" s="18" t="str">
        <f t="shared" si="4"/>
        <v>VALID</v>
      </c>
    </row>
    <row r="3067" ht="15.75" customHeight="1">
      <c r="A3067" s="13" t="str">
        <f>Raw_Data!A3067</f>
        <v>EMP3225</v>
      </c>
      <c r="B3067" s="13" t="str">
        <f>TRIM(CLEAN(Raw_Data!B3067))</f>
        <v>HR</v>
      </c>
      <c r="C3067" s="18" t="s">
        <v>26</v>
      </c>
      <c r="D3067" s="14" t="str">
        <f>IF(ISBLANK(Raw_Data!D3067),AVERAGE(Raw_Data!D$2:D$5002),Raw_Data!D3067)</f>
        <v>83189.27</v>
      </c>
      <c r="E3067" s="15" t="str">
        <f>IF(ISBLANK(Raw_Data!E3067),AVERAGE(Raw_Data!E$2:E$5002),Raw_Data!E3067)</f>
        <v>28873.09</v>
      </c>
      <c r="F3067" s="15" t="str">
        <f>IF(ISBLANK(Raw_Data!F3067),AVERAGE(Raw_Data!F$2:F$5002),Raw_Data!F3067)</f>
        <v>24939.27</v>
      </c>
      <c r="G3067" s="14" t="str">
        <f>IF(ISBLANK(Raw_Data!G3067),AVERAGE(Raw_Data!G$2:G$5002),Raw_Data!G3067)</f>
        <v>17866.88</v>
      </c>
      <c r="H3067" s="15" t="str">
        <f t="shared" si="1"/>
        <v>137002.00</v>
      </c>
      <c r="I3067" s="14" t="str">
        <f t="shared" si="2"/>
        <v>119135.00</v>
      </c>
      <c r="J3067" s="16" t="str">
        <f>TEXT(Raw_Data!J3067,"MMM-YYY")</f>
        <v>Sep-2025</v>
      </c>
      <c r="K3067" s="13" t="str">
        <f>Raw_Data!K3067</f>
        <v>20</v>
      </c>
      <c r="L3067" s="17" t="str">
        <f>Raw_Data!L3067</f>
        <v>Pune-West</v>
      </c>
      <c r="M3067" s="13" t="str">
        <f t="shared" si="3"/>
        <v>OK</v>
      </c>
      <c r="N3067" s="18" t="str">
        <f t="shared" si="4"/>
        <v>VALID</v>
      </c>
    </row>
    <row r="3068" ht="15.75" customHeight="1">
      <c r="A3068" s="13" t="str">
        <f>Raw_Data!A3068</f>
        <v>EMP3227</v>
      </c>
      <c r="B3068" s="13" t="str">
        <f>TRIM(CLEAN(Raw_Data!B3068))</f>
        <v>Marketing</v>
      </c>
      <c r="C3068" s="18" t="s">
        <v>26</v>
      </c>
      <c r="D3068" s="14" t="str">
        <f>IF(ISBLANK(Raw_Data!D3068),AVERAGE(Raw_Data!D$2:D$5002),Raw_Data!D3068)</f>
        <v>83211.04</v>
      </c>
      <c r="E3068" s="15" t="str">
        <f>IF(ISBLANK(Raw_Data!E3068),AVERAGE(Raw_Data!E$2:E$5002),Raw_Data!E3068)</f>
        <v>28882.32</v>
      </c>
      <c r="F3068" s="15" t="str">
        <f>IF(ISBLANK(Raw_Data!F3068),AVERAGE(Raw_Data!F$2:F$5002),Raw_Data!F3068)</f>
        <v>24954.63</v>
      </c>
      <c r="G3068" s="14" t="str">
        <f>IF(ISBLANK(Raw_Data!G3068),AVERAGE(Raw_Data!G$2:G$5002),Raw_Data!G3068)</f>
        <v>17873.67</v>
      </c>
      <c r="H3068" s="15" t="str">
        <f t="shared" si="1"/>
        <v>137048.00</v>
      </c>
      <c r="I3068" s="14" t="str">
        <f t="shared" si="2"/>
        <v>119174.00</v>
      </c>
      <c r="J3068" s="16" t="str">
        <f>TEXT(Raw_Data!J3068,"MMM-YYY")</f>
        <v>Feb-2025</v>
      </c>
      <c r="K3068" s="13" t="str">
        <f>Raw_Data!K3068</f>
        <v>14</v>
      </c>
      <c r="L3068" s="17" t="str">
        <f>Raw_Data!L3068</f>
        <v>Chandigarh-North</v>
      </c>
      <c r="M3068" s="13" t="str">
        <f t="shared" si="3"/>
        <v>OK</v>
      </c>
      <c r="N3068" s="18" t="str">
        <f t="shared" si="4"/>
        <v>VALID</v>
      </c>
    </row>
    <row r="3069" ht="15.75" customHeight="1">
      <c r="A3069" s="13" t="str">
        <f>Raw_Data!A3069</f>
        <v>EMP3228</v>
      </c>
      <c r="B3069" s="13" t="str">
        <f>TRIM(CLEAN(Raw_Data!B3069))</f>
        <v>Sales</v>
      </c>
      <c r="C3069" s="18" t="s">
        <v>54</v>
      </c>
      <c r="D3069" s="14" t="str">
        <f>IF(ISBLANK(Raw_Data!D3069),AVERAGE(Raw_Data!D$2:D$5002),Raw_Data!D3069)</f>
        <v>83221.92</v>
      </c>
      <c r="E3069" s="15" t="str">
        <f>IF(ISBLANK(Raw_Data!E3069),AVERAGE(Raw_Data!E$2:E$5002),Raw_Data!E3069)</f>
        <v>28886.93</v>
      </c>
      <c r="F3069" s="15" t="str">
        <f>IF(ISBLANK(Raw_Data!F3069),AVERAGE(Raw_Data!F$2:F$5002),Raw_Data!F3069)</f>
        <v>24962.31</v>
      </c>
      <c r="G3069" s="14" t="str">
        <f>IF(ISBLANK(Raw_Data!G3069),AVERAGE(Raw_Data!G$2:G$5002),Raw_Data!G3069)</f>
        <v>17877.07</v>
      </c>
      <c r="H3069" s="15" t="str">
        <f t="shared" si="1"/>
        <v>137071.00</v>
      </c>
      <c r="I3069" s="14" t="str">
        <f t="shared" si="2"/>
        <v>119194.00</v>
      </c>
      <c r="J3069" s="16" t="str">
        <f>TEXT(Raw_Data!J3069,"MMM-YYY")</f>
        <v>Jun-2025</v>
      </c>
      <c r="K3069" s="13" t="str">
        <f>Raw_Data!K3069</f>
        <v>19</v>
      </c>
      <c r="L3069" s="17" t="str">
        <f>Raw_Data!L3069</f>
        <v>Ahmedabad-West</v>
      </c>
      <c r="M3069" s="13" t="str">
        <f t="shared" si="3"/>
        <v>OK</v>
      </c>
      <c r="N3069" s="18" t="str">
        <f t="shared" si="4"/>
        <v>VALID</v>
      </c>
    </row>
    <row r="3070" ht="15.75" customHeight="1">
      <c r="A3070" s="13" t="str">
        <f>Raw_Data!A3070</f>
        <v>EMP3229</v>
      </c>
      <c r="B3070" s="13" t="str">
        <f>TRIM(CLEAN(Raw_Data!B3070))</f>
        <v>Finance</v>
      </c>
      <c r="C3070" s="18" t="s">
        <v>30</v>
      </c>
      <c r="D3070" s="14" t="str">
        <f>IF(ISBLANK(Raw_Data!D3070),AVERAGE(Raw_Data!D$2:D$5002),Raw_Data!D3070)</f>
        <v>83232.80</v>
      </c>
      <c r="E3070" s="15" t="str">
        <f>IF(ISBLANK(Raw_Data!E3070),AVERAGE(Raw_Data!E$2:E$5002),Raw_Data!E3070)</f>
        <v>28891.55</v>
      </c>
      <c r="F3070" s="15" t="str">
        <f>IF(ISBLANK(Raw_Data!F3070),AVERAGE(Raw_Data!F$2:F$5002),Raw_Data!F3070)</f>
        <v>24969.99</v>
      </c>
      <c r="G3070" s="14" t="str">
        <f>IF(ISBLANK(Raw_Data!G3070),AVERAGE(Raw_Data!G$2:G$5002),Raw_Data!G3070)</f>
        <v>17880.47</v>
      </c>
      <c r="H3070" s="15" t="str">
        <f t="shared" si="1"/>
        <v>137094.00</v>
      </c>
      <c r="I3070" s="14" t="str">
        <f t="shared" si="2"/>
        <v>119214.00</v>
      </c>
      <c r="J3070" s="16" t="str">
        <f>TEXT(Raw_Data!J3070,"MMM-YYY")</f>
        <v>Jan-2025</v>
      </c>
      <c r="K3070" s="13" t="str">
        <f>Raw_Data!K3070</f>
        <v>19</v>
      </c>
      <c r="L3070" s="17" t="str">
        <f>Raw_Data!L3070</f>
        <v>Jaipur-North</v>
      </c>
      <c r="M3070" s="13" t="str">
        <f t="shared" si="3"/>
        <v>OK</v>
      </c>
      <c r="N3070" s="18" t="str">
        <f t="shared" si="4"/>
        <v>VALID</v>
      </c>
    </row>
    <row r="3071" ht="15.75" customHeight="1">
      <c r="A3071" s="13" t="str">
        <f>Raw_Data!A3071</f>
        <v>EMP3230</v>
      </c>
      <c r="B3071" s="13" t="str">
        <f>TRIM(CLEAN(Raw_Data!B3071))</f>
        <v>Operations</v>
      </c>
      <c r="C3071" s="18" t="s">
        <v>54</v>
      </c>
      <c r="D3071" s="14" t="str">
        <f>IF(ISBLANK(Raw_Data!D3071),AVERAGE(Raw_Data!D$2:D$5002),Raw_Data!D3071)</f>
        <v>83243.69</v>
      </c>
      <c r="E3071" s="15" t="str">
        <f>IF(ISBLANK(Raw_Data!E3071),AVERAGE(Raw_Data!E$2:E$5002),Raw_Data!E3071)</f>
        <v>28896.16</v>
      </c>
      <c r="F3071" s="15" t="str">
        <f>IF(ISBLANK(Raw_Data!F3071),AVERAGE(Raw_Data!F$2:F$5002),Raw_Data!F3071)</f>
        <v>24977.67</v>
      </c>
      <c r="G3071" s="14" t="str">
        <f>IF(ISBLANK(Raw_Data!G3071),AVERAGE(Raw_Data!G$2:G$5002),Raw_Data!G3071)</f>
        <v>17883.87</v>
      </c>
      <c r="H3071" s="15" t="str">
        <f t="shared" si="1"/>
        <v>137118.00</v>
      </c>
      <c r="I3071" s="14" t="str">
        <f t="shared" si="2"/>
        <v>119234.00</v>
      </c>
      <c r="J3071" s="16" t="str">
        <f>TEXT(Raw_Data!J3071,"MMM-YYY")</f>
        <v>May-2025</v>
      </c>
      <c r="K3071" s="13" t="str">
        <f>Raw_Data!K3071</f>
        <v>20</v>
      </c>
      <c r="L3071" s="17" t="str">
        <f>Raw_Data!L3071</f>
        <v>Mumbai-HO</v>
      </c>
      <c r="M3071" s="13" t="str">
        <f t="shared" si="3"/>
        <v>OK</v>
      </c>
      <c r="N3071" s="18" t="str">
        <f t="shared" si="4"/>
        <v>VALID</v>
      </c>
    </row>
    <row r="3072" ht="15.75" customHeight="1">
      <c r="A3072" s="13" t="str">
        <f>Raw_Data!A3072</f>
        <v>EMP3231</v>
      </c>
      <c r="B3072" s="13" t="str">
        <f>TRIM(CLEAN(Raw_Data!B3072))</f>
        <v>Customer Support</v>
      </c>
      <c r="C3072" s="18" t="s">
        <v>30</v>
      </c>
      <c r="D3072" s="14" t="str">
        <f>IF(ISBLANK(Raw_Data!D3072),AVERAGE(Raw_Data!D$2:D$5002),Raw_Data!D3072)</f>
        <v>83254.57</v>
      </c>
      <c r="E3072" s="15" t="str">
        <f>IF(ISBLANK(Raw_Data!E3072),AVERAGE(Raw_Data!E$2:E$5002),Raw_Data!E3072)</f>
        <v>28900.78</v>
      </c>
      <c r="F3072" s="15" t="str">
        <f>IF(ISBLANK(Raw_Data!F3072),AVERAGE(Raw_Data!F$2:F$5002),Raw_Data!F3072)</f>
        <v>24985.35</v>
      </c>
      <c r="G3072" s="14" t="str">
        <f>IF(ISBLANK(Raw_Data!G3072),AVERAGE(Raw_Data!G$2:G$5002),Raw_Data!G3072)</f>
        <v>17887.27</v>
      </c>
      <c r="H3072" s="15" t="str">
        <f t="shared" si="1"/>
        <v>137141.00</v>
      </c>
      <c r="I3072" s="14" t="str">
        <f t="shared" si="2"/>
        <v>119254.00</v>
      </c>
      <c r="J3072" s="16" t="str">
        <f>TEXT(Raw_Data!J3072,"MMM-YYY")</f>
        <v>Feb-2025</v>
      </c>
      <c r="K3072" s="13" t="str">
        <f>Raw_Data!K3072</f>
        <v>8</v>
      </c>
      <c r="L3072" s="17" t="str">
        <f>Raw_Data!L3072</f>
        <v>Delhi-North</v>
      </c>
      <c r="M3072" s="13" t="str">
        <f t="shared" si="3"/>
        <v>OK</v>
      </c>
      <c r="N3072" s="18" t="str">
        <f t="shared" si="4"/>
        <v>VALID</v>
      </c>
    </row>
    <row r="3073" ht="15.75" customHeight="1">
      <c r="A3073" s="13" t="str">
        <f>Raw_Data!A3073</f>
        <v>EMP3233</v>
      </c>
      <c r="B3073" s="13" t="str">
        <f>TRIM(CLEAN(Raw_Data!B3073))</f>
        <v>Finance</v>
      </c>
      <c r="C3073" s="18" t="s">
        <v>26</v>
      </c>
      <c r="D3073" s="14" t="str">
        <f>IF(ISBLANK(Raw_Data!D3073),AVERAGE(Raw_Data!D$2:D$5002),Raw_Data!D3073)</f>
        <v>83276.34</v>
      </c>
      <c r="E3073" s="15" t="str">
        <f>IF(ISBLANK(Raw_Data!E3073),AVERAGE(Raw_Data!E$2:E$5002),Raw_Data!E3073)</f>
        <v>28910.01</v>
      </c>
      <c r="F3073" s="15" t="str">
        <f>IF(ISBLANK(Raw_Data!F3073),AVERAGE(Raw_Data!F$2:F$5002),Raw_Data!F3073)</f>
        <v>25000.71</v>
      </c>
      <c r="G3073" s="14" t="str">
        <f>IF(ISBLANK(Raw_Data!G3073),AVERAGE(Raw_Data!G$2:G$5002),Raw_Data!G3073)</f>
        <v>17894.06</v>
      </c>
      <c r="H3073" s="15" t="str">
        <f t="shared" si="1"/>
        <v>137187.00</v>
      </c>
      <c r="I3073" s="14" t="str">
        <f t="shared" si="2"/>
        <v>119293.00</v>
      </c>
      <c r="J3073" s="16" t="str">
        <f>TEXT(Raw_Data!J3073,"MMM-YYY")</f>
        <v>Jan-2025</v>
      </c>
      <c r="K3073" s="13" t="str">
        <f>Raw_Data!K3073</f>
        <v>13</v>
      </c>
      <c r="L3073" s="17" t="str">
        <f>Raw_Data!L3073</f>
        <v>Chennai-South</v>
      </c>
      <c r="M3073" s="13" t="str">
        <f t="shared" si="3"/>
        <v>OK</v>
      </c>
      <c r="N3073" s="18" t="str">
        <f t="shared" si="4"/>
        <v>VALID</v>
      </c>
    </row>
    <row r="3074" ht="15.75" customHeight="1">
      <c r="A3074" s="13" t="str">
        <f>Raw_Data!A3074</f>
        <v>EMP3234</v>
      </c>
      <c r="B3074" s="13" t="str">
        <f>TRIM(CLEAN(Raw_Data!B3074))</f>
        <v>Sales</v>
      </c>
      <c r="C3074" s="18" t="s">
        <v>14</v>
      </c>
      <c r="D3074" s="14" t="str">
        <f>IF(ISBLANK(Raw_Data!D3074),AVERAGE(Raw_Data!D$2:D$5002),Raw_Data!D3074)</f>
        <v>83287.22</v>
      </c>
      <c r="E3074" s="15" t="str">
        <f>IF(ISBLANK(Raw_Data!E3074),AVERAGE(Raw_Data!E$2:E$5002),Raw_Data!E3074)</f>
        <v>28914.62</v>
      </c>
      <c r="F3074" s="15" t="str">
        <f>IF(ISBLANK(Raw_Data!F3074),AVERAGE(Raw_Data!F$2:F$5002),Raw_Data!F3074)</f>
        <v>25008.39</v>
      </c>
      <c r="G3074" s="14" t="str">
        <f>IF(ISBLANK(Raw_Data!G3074),AVERAGE(Raw_Data!G$2:G$5002),Raw_Data!G3074)</f>
        <v>17897.46</v>
      </c>
      <c r="H3074" s="15" t="str">
        <f t="shared" si="1"/>
        <v>137210.00</v>
      </c>
      <c r="I3074" s="14" t="str">
        <f t="shared" si="2"/>
        <v>119313.00</v>
      </c>
      <c r="J3074" s="16" t="str">
        <f>TEXT(Raw_Data!J3074,"MMM-YYY")</f>
        <v>Sep-2025</v>
      </c>
      <c r="K3074" s="13" t="str">
        <f>Raw_Data!K3074</f>
        <v>13</v>
      </c>
      <c r="L3074" s="17" t="str">
        <f>Raw_Data!L3074</f>
        <v>Kolkata-East</v>
      </c>
      <c r="M3074" s="13" t="str">
        <f t="shared" si="3"/>
        <v>OK</v>
      </c>
      <c r="N3074" s="18" t="str">
        <f t="shared" si="4"/>
        <v>VALID</v>
      </c>
    </row>
    <row r="3075" ht="15.75" customHeight="1">
      <c r="A3075" s="13" t="str">
        <f>Raw_Data!A3075</f>
        <v>EMP3235</v>
      </c>
      <c r="B3075" s="13" t="str">
        <f>TRIM(CLEAN(Raw_Data!B3075))</f>
        <v>Marketing</v>
      </c>
      <c r="C3075" s="18" t="s">
        <v>18</v>
      </c>
      <c r="D3075" s="14" t="str">
        <f>IF(ISBLANK(Raw_Data!D3075),AVERAGE(Raw_Data!D$2:D$5002),Raw_Data!D3075)</f>
        <v>83298.10</v>
      </c>
      <c r="E3075" s="15" t="str">
        <f>IF(ISBLANK(Raw_Data!E3075),AVERAGE(Raw_Data!E$2:E$5002),Raw_Data!E3075)</f>
        <v>28919.24</v>
      </c>
      <c r="F3075" s="15" t="str">
        <f>IF(ISBLANK(Raw_Data!F3075),AVERAGE(Raw_Data!F$2:F$5002),Raw_Data!F3075)</f>
        <v>25016.07</v>
      </c>
      <c r="G3075" s="14" t="str">
        <f>IF(ISBLANK(Raw_Data!G3075),AVERAGE(Raw_Data!G$2:G$5002),Raw_Data!G3075)</f>
        <v>17900.86</v>
      </c>
      <c r="H3075" s="15" t="str">
        <f t="shared" si="1"/>
        <v>137233.00</v>
      </c>
      <c r="I3075" s="14" t="str">
        <f t="shared" si="2"/>
        <v>119332.00</v>
      </c>
      <c r="J3075" s="16" t="str">
        <f>TEXT(Raw_Data!J3075,"MMM-YYY")</f>
        <v>Sep-2025</v>
      </c>
      <c r="K3075" s="13" t="str">
        <f>Raw_Data!K3075</f>
        <v>13</v>
      </c>
      <c r="L3075" s="17" t="str">
        <f>Raw_Data!L3075</f>
        <v>Pune-West</v>
      </c>
      <c r="M3075" s="13" t="str">
        <f t="shared" si="3"/>
        <v>OK</v>
      </c>
      <c r="N3075" s="18" t="str">
        <f t="shared" si="4"/>
        <v>VALID</v>
      </c>
    </row>
    <row r="3076" ht="15.75" customHeight="1">
      <c r="A3076" s="13" t="str">
        <f>Raw_Data!A3076</f>
        <v>EMP3236</v>
      </c>
      <c r="B3076" s="13" t="str">
        <f>TRIM(CLEAN(Raw_Data!B3076))</f>
        <v>Finance</v>
      </c>
      <c r="C3076" s="18" t="s">
        <v>18</v>
      </c>
      <c r="D3076" s="14" t="str">
        <f>IF(ISBLANK(Raw_Data!D3076),AVERAGE(Raw_Data!D$2:D$5002),Raw_Data!D3076)</f>
        <v>83308.98</v>
      </c>
      <c r="E3076" s="15" t="str">
        <f>IF(ISBLANK(Raw_Data!E3076),AVERAGE(Raw_Data!E$2:E$5002),Raw_Data!E3076)</f>
        <v>28923.85</v>
      </c>
      <c r="F3076" s="15" t="str">
        <f>IF(ISBLANK(Raw_Data!F3076),AVERAGE(Raw_Data!F$2:F$5002),Raw_Data!F3076)</f>
        <v>25023.75</v>
      </c>
      <c r="G3076" s="14" t="str">
        <f>IF(ISBLANK(Raw_Data!G3076),AVERAGE(Raw_Data!G$2:G$5002),Raw_Data!G3076)</f>
        <v>17904.25</v>
      </c>
      <c r="H3076" s="15" t="str">
        <f t="shared" si="1"/>
        <v>137257.00</v>
      </c>
      <c r="I3076" s="14" t="str">
        <f t="shared" si="2"/>
        <v>119353.00</v>
      </c>
      <c r="J3076" s="16" t="str">
        <f>TEXT(Raw_Data!J3076,"MMM-YYY")</f>
        <v>Dec-2025</v>
      </c>
      <c r="K3076" s="13" t="str">
        <f>Raw_Data!K3076</f>
        <v>3</v>
      </c>
      <c r="L3076" s="17" t="str">
        <f>Raw_Data!L3076</f>
        <v>Hyderabad-South</v>
      </c>
      <c r="M3076" s="13" t="str">
        <f t="shared" si="3"/>
        <v>OK</v>
      </c>
      <c r="N3076" s="18" t="str">
        <f t="shared" si="4"/>
        <v>VALID</v>
      </c>
    </row>
    <row r="3077" ht="15.75" customHeight="1">
      <c r="A3077" s="13" t="str">
        <f>Raw_Data!A3077</f>
        <v>EMP3237</v>
      </c>
      <c r="B3077" s="13" t="str">
        <f>TRIM(CLEAN(Raw_Data!B3077))</f>
        <v>HR</v>
      </c>
      <c r="C3077" s="18" t="s">
        <v>14</v>
      </c>
      <c r="D3077" s="14" t="str">
        <f>IF(ISBLANK(Raw_Data!D3077),AVERAGE(Raw_Data!D$2:D$5002),Raw_Data!D3077)</f>
        <v>83319.87</v>
      </c>
      <c r="E3077" s="15" t="str">
        <f>IF(ISBLANK(Raw_Data!E3077),AVERAGE(Raw_Data!E$2:E$5002),Raw_Data!E3077)</f>
        <v>28928.47</v>
      </c>
      <c r="F3077" s="15" t="str">
        <f>IF(ISBLANK(Raw_Data!F3077),AVERAGE(Raw_Data!F$2:F$5002),Raw_Data!F3077)</f>
        <v>25031.43</v>
      </c>
      <c r="G3077" s="14" t="str">
        <f>IF(ISBLANK(Raw_Data!G3077),AVERAGE(Raw_Data!G$2:G$5002),Raw_Data!G3077)</f>
        <v>17907.65</v>
      </c>
      <c r="H3077" s="15" t="str">
        <f t="shared" si="1"/>
        <v>137280.00</v>
      </c>
      <c r="I3077" s="14" t="str">
        <f t="shared" si="2"/>
        <v>119372.00</v>
      </c>
      <c r="J3077" s="16" t="str">
        <f>TEXT(Raw_Data!J3077,"MMM-YYY")</f>
        <v>Aug-2025</v>
      </c>
      <c r="K3077" s="13" t="str">
        <f>Raw_Data!K3077</f>
        <v>14</v>
      </c>
      <c r="L3077" s="17" t="str">
        <f>Raw_Data!L3077</f>
        <v>Chandigarh-North</v>
      </c>
      <c r="M3077" s="13" t="str">
        <f t="shared" si="3"/>
        <v>OK</v>
      </c>
      <c r="N3077" s="18" t="str">
        <f t="shared" si="4"/>
        <v>VALID</v>
      </c>
    </row>
    <row r="3078" ht="15.75" customHeight="1">
      <c r="A3078" s="13" t="str">
        <f>Raw_Data!A3078</f>
        <v>EMP3238</v>
      </c>
      <c r="B3078" s="13" t="str">
        <f>TRIM(CLEAN(Raw_Data!B3078))</f>
        <v>Marketing</v>
      </c>
      <c r="C3078" s="18" t="s">
        <v>14</v>
      </c>
      <c r="D3078" s="14" t="str">
        <f>IF(ISBLANK(Raw_Data!D3078),AVERAGE(Raw_Data!D$2:D$5002),Raw_Data!D3078)</f>
        <v>83330.75</v>
      </c>
      <c r="E3078" s="15" t="str">
        <f>IF(ISBLANK(Raw_Data!E3078),AVERAGE(Raw_Data!E$2:E$5002),Raw_Data!E3078)</f>
        <v>28933.08</v>
      </c>
      <c r="F3078" s="15" t="str">
        <f>IF(ISBLANK(Raw_Data!F3078),AVERAGE(Raw_Data!F$2:F$5002),Raw_Data!F3078)</f>
        <v>25039.11</v>
      </c>
      <c r="G3078" s="14" t="str">
        <f>IF(ISBLANK(Raw_Data!G3078),AVERAGE(Raw_Data!G$2:G$5002),Raw_Data!G3078)</f>
        <v>17911.05</v>
      </c>
      <c r="H3078" s="15" t="str">
        <f t="shared" si="1"/>
        <v>137303.00</v>
      </c>
      <c r="I3078" s="14" t="str">
        <f t="shared" si="2"/>
        <v>119392.00</v>
      </c>
      <c r="J3078" s="16" t="str">
        <f>TEXT(Raw_Data!J3078,"MMM-YYY")</f>
        <v>Oct-2025</v>
      </c>
      <c r="K3078" s="13" t="str">
        <f>Raw_Data!K3078</f>
        <v>23</v>
      </c>
      <c r="L3078" s="17" t="str">
        <f>Raw_Data!L3078</f>
        <v>Ahmedabad-West</v>
      </c>
      <c r="M3078" s="13" t="str">
        <f t="shared" si="3"/>
        <v>OK</v>
      </c>
      <c r="N3078" s="18" t="str">
        <f t="shared" si="4"/>
        <v>VALID</v>
      </c>
    </row>
    <row r="3079" ht="15.75" customHeight="1">
      <c r="A3079" s="13" t="str">
        <f>Raw_Data!A3079</f>
        <v>EMP3239</v>
      </c>
      <c r="B3079" s="13" t="str">
        <f>TRIM(CLEAN(Raw_Data!B3079))</f>
        <v>Sales</v>
      </c>
      <c r="C3079" s="18" t="s">
        <v>26</v>
      </c>
      <c r="D3079" s="14" t="str">
        <f>IF(ISBLANK(Raw_Data!D3079),AVERAGE(Raw_Data!D$2:D$5002),Raw_Data!D3079)</f>
        <v>83341.63</v>
      </c>
      <c r="E3079" s="15" t="str">
        <f>IF(ISBLANK(Raw_Data!E3079),AVERAGE(Raw_Data!E$2:E$5002),Raw_Data!E3079)</f>
        <v>28937.70</v>
      </c>
      <c r="F3079" s="15" t="str">
        <f>IF(ISBLANK(Raw_Data!F3079),AVERAGE(Raw_Data!F$2:F$5002),Raw_Data!F3079)</f>
        <v>25046.79</v>
      </c>
      <c r="G3079" s="14" t="str">
        <f>IF(ISBLANK(Raw_Data!G3079),AVERAGE(Raw_Data!G$2:G$5002),Raw_Data!G3079)</f>
        <v>17914.45</v>
      </c>
      <c r="H3079" s="15" t="str">
        <f t="shared" si="1"/>
        <v>137326.00</v>
      </c>
      <c r="I3079" s="14" t="str">
        <f t="shared" si="2"/>
        <v>119412.00</v>
      </c>
      <c r="J3079" s="16" t="str">
        <f>TEXT(Raw_Data!J3079,"MMM-YYY")</f>
        <v>Dec-2025</v>
      </c>
      <c r="K3079" s="13" t="str">
        <f>Raw_Data!K3079</f>
        <v>2</v>
      </c>
      <c r="L3079" s="17" t="str">
        <f>Raw_Data!L3079</f>
        <v>Jaipur-North</v>
      </c>
      <c r="M3079" s="13" t="str">
        <f t="shared" si="3"/>
        <v>OK</v>
      </c>
      <c r="N3079" s="18" t="str">
        <f t="shared" si="4"/>
        <v>VALID</v>
      </c>
    </row>
    <row r="3080" ht="15.75" customHeight="1">
      <c r="A3080" s="13" t="str">
        <f>Raw_Data!A3080</f>
        <v>EMP3240</v>
      </c>
      <c r="B3080" s="13" t="str">
        <f>TRIM(CLEAN(Raw_Data!B3080))</f>
        <v>Customer Support</v>
      </c>
      <c r="C3080" s="18" t="s">
        <v>33</v>
      </c>
      <c r="D3080" s="14" t="str">
        <f>IF(ISBLANK(Raw_Data!D3080),AVERAGE(Raw_Data!D$2:D$5002),Raw_Data!D3080)</f>
        <v>83352.52</v>
      </c>
      <c r="E3080" s="15" t="str">
        <f>IF(ISBLANK(Raw_Data!E3080),AVERAGE(Raw_Data!E$2:E$5002),Raw_Data!E3080)</f>
        <v>28942.31</v>
      </c>
      <c r="F3080" s="15" t="str">
        <f>IF(ISBLANK(Raw_Data!F3080),AVERAGE(Raw_Data!F$2:F$5002),Raw_Data!F3080)</f>
        <v>25054.47</v>
      </c>
      <c r="G3080" s="14" t="str">
        <f>IF(ISBLANK(Raw_Data!G3080),AVERAGE(Raw_Data!G$2:G$5002),Raw_Data!G3080)</f>
        <v>17917.84</v>
      </c>
      <c r="H3080" s="15" t="str">
        <f t="shared" si="1"/>
        <v>137349.00</v>
      </c>
      <c r="I3080" s="14" t="str">
        <f t="shared" si="2"/>
        <v>119431.00</v>
      </c>
      <c r="J3080" s="16" t="str">
        <f>TEXT(Raw_Data!J3080,"MMM-YYY")</f>
        <v>Jul-2025</v>
      </c>
      <c r="K3080" s="13" t="str">
        <f>Raw_Data!K3080</f>
        <v>21</v>
      </c>
      <c r="L3080" s="17" t="str">
        <f>Raw_Data!L3080</f>
        <v>Mumbai-HO</v>
      </c>
      <c r="M3080" s="13" t="str">
        <f t="shared" si="3"/>
        <v>OK</v>
      </c>
      <c r="N3080" s="18" t="str">
        <f t="shared" si="4"/>
        <v>VALID</v>
      </c>
    </row>
    <row r="3081" ht="15.75" customHeight="1">
      <c r="A3081" s="13" t="str">
        <f>Raw_Data!A3081</f>
        <v>EMP3241</v>
      </c>
      <c r="B3081" s="13" t="str">
        <f>TRIM(CLEAN(Raw_Data!B3081))</f>
        <v>Customer Support</v>
      </c>
      <c r="C3081" s="18" t="s">
        <v>14</v>
      </c>
      <c r="D3081" s="14" t="str">
        <f>IF(ISBLANK(Raw_Data!D3081),AVERAGE(Raw_Data!D$2:D$5002),Raw_Data!D3081)</f>
        <v>83363.40</v>
      </c>
      <c r="E3081" s="15" t="str">
        <f>IF(ISBLANK(Raw_Data!E3081),AVERAGE(Raw_Data!E$2:E$5002),Raw_Data!E3081)</f>
        <v>28946.93</v>
      </c>
      <c r="F3081" s="15" t="str">
        <f>IF(ISBLANK(Raw_Data!F3081),AVERAGE(Raw_Data!F$2:F$5002),Raw_Data!F3081)</f>
        <v>25062.15</v>
      </c>
      <c r="G3081" s="14" t="str">
        <f>IF(ISBLANK(Raw_Data!G3081),AVERAGE(Raw_Data!G$2:G$5002),Raw_Data!G3081)</f>
        <v>17921.24</v>
      </c>
      <c r="H3081" s="15" t="str">
        <f t="shared" si="1"/>
        <v>137372.00</v>
      </c>
      <c r="I3081" s="14" t="str">
        <f t="shared" si="2"/>
        <v>119451.00</v>
      </c>
      <c r="J3081" s="16" t="str">
        <f>TEXT(Raw_Data!J3081,"MMM-YYY")</f>
        <v>Sep-2025</v>
      </c>
      <c r="K3081" s="13" t="str">
        <f>Raw_Data!K3081</f>
        <v>8</v>
      </c>
      <c r="L3081" s="17" t="str">
        <f>Raw_Data!L3081</f>
        <v>Delhi-North</v>
      </c>
      <c r="M3081" s="13" t="str">
        <f t="shared" si="3"/>
        <v>OK</v>
      </c>
      <c r="N3081" s="18" t="str">
        <f t="shared" si="4"/>
        <v>VALID</v>
      </c>
    </row>
    <row r="3082" ht="15.75" customHeight="1">
      <c r="A3082" s="13" t="str">
        <f>Raw_Data!A3082</f>
        <v>EMP3243</v>
      </c>
      <c r="B3082" s="13" t="str">
        <f>TRIM(CLEAN(Raw_Data!B3082))</f>
        <v>Marketing</v>
      </c>
      <c r="C3082" s="18" t="s">
        <v>37</v>
      </c>
      <c r="D3082" s="14" t="str">
        <f>IF(ISBLANK(Raw_Data!D3082),AVERAGE(Raw_Data!D$2:D$5002),Raw_Data!D3082)</f>
        <v>83385.17</v>
      </c>
      <c r="E3082" s="15" t="str">
        <f>IF(ISBLANK(Raw_Data!E3082),AVERAGE(Raw_Data!E$2:E$5002),Raw_Data!E3082)</f>
        <v>28956.16</v>
      </c>
      <c r="F3082" s="15" t="str">
        <f>IF(ISBLANK(Raw_Data!F3082),AVERAGE(Raw_Data!F$2:F$5002),Raw_Data!F3082)</f>
        <v>25077.51</v>
      </c>
      <c r="G3082" s="14" t="str">
        <f>IF(ISBLANK(Raw_Data!G3082),AVERAGE(Raw_Data!G$2:G$5002),Raw_Data!G3082)</f>
        <v>17928.04</v>
      </c>
      <c r="H3082" s="15" t="str">
        <f t="shared" si="1"/>
        <v>137419.00</v>
      </c>
      <c r="I3082" s="14" t="str">
        <f t="shared" si="2"/>
        <v>119491.00</v>
      </c>
      <c r="J3082" s="16" t="str">
        <f>TEXT(Raw_Data!J3082,"MMM-YYY")</f>
        <v>Feb-2025</v>
      </c>
      <c r="K3082" s="13" t="str">
        <f>Raw_Data!K3082</f>
        <v>14</v>
      </c>
      <c r="L3082" s="17" t="str">
        <f>Raw_Data!L3082</f>
        <v>Chennai-South</v>
      </c>
      <c r="M3082" s="13" t="str">
        <f t="shared" si="3"/>
        <v>OK</v>
      </c>
      <c r="N3082" s="18" t="str">
        <f t="shared" si="4"/>
        <v>VALID</v>
      </c>
    </row>
    <row r="3083" ht="15.75" customHeight="1">
      <c r="A3083" s="13" t="str">
        <f>Raw_Data!A3083</f>
        <v>EMP3245</v>
      </c>
      <c r="B3083" s="13" t="str">
        <f>TRIM(CLEAN(Raw_Data!B3083))</f>
        <v>Operations</v>
      </c>
      <c r="C3083" s="18" t="s">
        <v>30</v>
      </c>
      <c r="D3083" s="14" t="str">
        <f>IF(ISBLANK(Raw_Data!D3083),AVERAGE(Raw_Data!D$2:D$5002),Raw_Data!D3083)</f>
        <v>83406.93</v>
      </c>
      <c r="E3083" s="15" t="str">
        <f>IF(ISBLANK(Raw_Data!E3083),AVERAGE(Raw_Data!E$2:E$5002),Raw_Data!E3083)</f>
        <v>28965.39</v>
      </c>
      <c r="F3083" s="15" t="str">
        <f>IF(ISBLANK(Raw_Data!F3083),AVERAGE(Raw_Data!F$2:F$5002),Raw_Data!F3083)</f>
        <v>25092.87</v>
      </c>
      <c r="G3083" s="14" t="str">
        <f>IF(ISBLANK(Raw_Data!G3083),AVERAGE(Raw_Data!G$2:G$5002),Raw_Data!G3083)</f>
        <v>17934.83</v>
      </c>
      <c r="H3083" s="15" t="str">
        <f t="shared" si="1"/>
        <v>137465.00</v>
      </c>
      <c r="I3083" s="14" t="str">
        <f t="shared" si="2"/>
        <v>119530.00</v>
      </c>
      <c r="J3083" s="16" t="str">
        <f>TEXT(Raw_Data!J3083,"MMM-YYY")</f>
        <v>Sep-2025</v>
      </c>
      <c r="K3083" s="13" t="str">
        <f>Raw_Data!K3083</f>
        <v>6</v>
      </c>
      <c r="L3083" s="17" t="str">
        <f>Raw_Data!L3083</f>
        <v>Pune-West</v>
      </c>
      <c r="M3083" s="13" t="str">
        <f t="shared" si="3"/>
        <v>OK</v>
      </c>
      <c r="N3083" s="18" t="str">
        <f t="shared" si="4"/>
        <v>VALID</v>
      </c>
    </row>
    <row r="3084" ht="15.75" customHeight="1">
      <c r="A3084" s="13" t="str">
        <f>Raw_Data!A3084</f>
        <v>EMP3246</v>
      </c>
      <c r="B3084" s="13" t="str">
        <f>TRIM(CLEAN(Raw_Data!B3084))</f>
        <v>Marketing</v>
      </c>
      <c r="C3084" s="18" t="s">
        <v>37</v>
      </c>
      <c r="D3084" s="14" t="str">
        <f>IF(ISBLANK(Raw_Data!D3084),AVERAGE(Raw_Data!D$2:D$5002),Raw_Data!D3084)</f>
        <v>83417.81</v>
      </c>
      <c r="E3084" s="15" t="str">
        <f>IF(ISBLANK(Raw_Data!E3084),AVERAGE(Raw_Data!E$2:E$5002),Raw_Data!E3084)</f>
        <v>28970.00</v>
      </c>
      <c r="F3084" s="15" t="str">
        <f>IF(ISBLANK(Raw_Data!F3084),AVERAGE(Raw_Data!F$2:F$5002),Raw_Data!F3084)</f>
        <v>25100.55</v>
      </c>
      <c r="G3084" s="14" t="str">
        <f>IF(ISBLANK(Raw_Data!G3084),AVERAGE(Raw_Data!G$2:G$5002),Raw_Data!G3084)</f>
        <v>17938.23</v>
      </c>
      <c r="H3084" s="15" t="str">
        <f t="shared" si="1"/>
        <v>137488.00</v>
      </c>
      <c r="I3084" s="14" t="str">
        <f t="shared" si="2"/>
        <v>119550.00</v>
      </c>
      <c r="J3084" s="16" t="str">
        <f>TEXT(Raw_Data!J3084,"MMM-YYY")</f>
        <v>Jun-2025</v>
      </c>
      <c r="K3084" s="13" t="str">
        <f>Raw_Data!K3084</f>
        <v>25</v>
      </c>
      <c r="L3084" s="17" t="str">
        <f>Raw_Data!L3084</f>
        <v>Hyderabad-South</v>
      </c>
      <c r="M3084" s="13" t="str">
        <f t="shared" si="3"/>
        <v>OK</v>
      </c>
      <c r="N3084" s="18" t="str">
        <f t="shared" si="4"/>
        <v>VALID</v>
      </c>
    </row>
    <row r="3085" ht="15.75" customHeight="1">
      <c r="A3085" s="13" t="str">
        <f>Raw_Data!A3085</f>
        <v>EMP3247</v>
      </c>
      <c r="B3085" s="13" t="str">
        <f>TRIM(CLEAN(Raw_Data!B3085))</f>
        <v>Sales</v>
      </c>
      <c r="C3085" s="18" t="s">
        <v>33</v>
      </c>
      <c r="D3085" s="14" t="str">
        <f>IF(ISBLANK(Raw_Data!D3085),AVERAGE(Raw_Data!D$2:D$5002),Raw_Data!D3085)</f>
        <v>83428.70</v>
      </c>
      <c r="E3085" s="15" t="str">
        <f>IF(ISBLANK(Raw_Data!E3085),AVERAGE(Raw_Data!E$2:E$5002),Raw_Data!E3085)</f>
        <v>28974.61</v>
      </c>
      <c r="F3085" s="15" t="str">
        <f>IF(ISBLANK(Raw_Data!F3085),AVERAGE(Raw_Data!F$2:F$5002),Raw_Data!F3085)</f>
        <v>25108.23</v>
      </c>
      <c r="G3085" s="14" t="str">
        <f>IF(ISBLANK(Raw_Data!G3085),AVERAGE(Raw_Data!G$2:G$5002),Raw_Data!G3085)</f>
        <v>17941.63</v>
      </c>
      <c r="H3085" s="15" t="str">
        <f t="shared" si="1"/>
        <v>137512.00</v>
      </c>
      <c r="I3085" s="14" t="str">
        <f t="shared" si="2"/>
        <v>119570.00</v>
      </c>
      <c r="J3085" s="16" t="str">
        <f>TEXT(Raw_Data!J3085,"MMM-YYY")</f>
        <v>Feb-2025</v>
      </c>
      <c r="K3085" s="13" t="str">
        <f>Raw_Data!K3085</f>
        <v>6</v>
      </c>
      <c r="L3085" s="17" t="str">
        <f>Raw_Data!L3085</f>
        <v>Chandigarh-North</v>
      </c>
      <c r="M3085" s="13" t="str">
        <f t="shared" si="3"/>
        <v>OK</v>
      </c>
      <c r="N3085" s="18" t="str">
        <f t="shared" si="4"/>
        <v>VALID</v>
      </c>
    </row>
    <row r="3086" ht="15.75" customHeight="1">
      <c r="A3086" s="13" t="str">
        <f>Raw_Data!A3086</f>
        <v>EMP3248</v>
      </c>
      <c r="B3086" s="13" t="str">
        <f>TRIM(CLEAN(Raw_Data!B3086))</f>
        <v>Marketing</v>
      </c>
      <c r="C3086" s="18" t="s">
        <v>26</v>
      </c>
      <c r="D3086" s="14" t="str">
        <f>IF(ISBLANK(Raw_Data!D3086),AVERAGE(Raw_Data!D$2:D$5002),Raw_Data!D3086)</f>
        <v>83439.58</v>
      </c>
      <c r="E3086" s="15" t="str">
        <f>IF(ISBLANK(Raw_Data!E3086),AVERAGE(Raw_Data!E$2:E$5002),Raw_Data!E3086)</f>
        <v>28979.23</v>
      </c>
      <c r="F3086" s="15" t="str">
        <f>IF(ISBLANK(Raw_Data!F3086),AVERAGE(Raw_Data!F$2:F$5002),Raw_Data!F3086)</f>
        <v>25115.91</v>
      </c>
      <c r="G3086" s="14" t="str">
        <f>IF(ISBLANK(Raw_Data!G3086),AVERAGE(Raw_Data!G$2:G$5002),Raw_Data!G3086)</f>
        <v>17945.02</v>
      </c>
      <c r="H3086" s="15" t="str">
        <f t="shared" si="1"/>
        <v>137535.00</v>
      </c>
      <c r="I3086" s="14" t="str">
        <f t="shared" si="2"/>
        <v>119590.00</v>
      </c>
      <c r="J3086" s="16" t="str">
        <f>TEXT(Raw_Data!J3086,"MMM-YYY")</f>
        <v>Feb-2025</v>
      </c>
      <c r="K3086" s="13" t="str">
        <f>Raw_Data!K3086</f>
        <v>2</v>
      </c>
      <c r="L3086" s="17" t="str">
        <f>Raw_Data!L3086</f>
        <v>Ahmedabad-West</v>
      </c>
      <c r="M3086" s="13" t="str">
        <f t="shared" si="3"/>
        <v>OK</v>
      </c>
      <c r="N3086" s="18" t="str">
        <f t="shared" si="4"/>
        <v>VALID</v>
      </c>
    </row>
    <row r="3087" ht="15.75" customHeight="1">
      <c r="A3087" s="13" t="str">
        <f>Raw_Data!A3087</f>
        <v>EMP3249</v>
      </c>
      <c r="B3087" s="13" t="str">
        <f>TRIM(CLEAN(Raw_Data!B3087))</f>
        <v>Operations</v>
      </c>
      <c r="C3087" s="18" t="s">
        <v>18</v>
      </c>
      <c r="D3087" s="14" t="str">
        <f>IF(ISBLANK(Raw_Data!D3087),AVERAGE(Raw_Data!D$2:D$5002),Raw_Data!D3087)</f>
        <v>83450.46</v>
      </c>
      <c r="E3087" s="15" t="str">
        <f>IF(ISBLANK(Raw_Data!E3087),AVERAGE(Raw_Data!E$2:E$5002),Raw_Data!E3087)</f>
        <v>28983.84</v>
      </c>
      <c r="F3087" s="15" t="str">
        <f>IF(ISBLANK(Raw_Data!F3087),AVERAGE(Raw_Data!F$2:F$5002),Raw_Data!F3087)</f>
        <v>25123.59</v>
      </c>
      <c r="G3087" s="14" t="str">
        <f>IF(ISBLANK(Raw_Data!G3087),AVERAGE(Raw_Data!G$2:G$5002),Raw_Data!G3087)</f>
        <v>17948.42</v>
      </c>
      <c r="H3087" s="15" t="str">
        <f t="shared" si="1"/>
        <v>137558.00</v>
      </c>
      <c r="I3087" s="14" t="str">
        <f t="shared" si="2"/>
        <v>119610.00</v>
      </c>
      <c r="J3087" s="16" t="str">
        <f>TEXT(Raw_Data!J3087,"MMM-YYY")</f>
        <v>Dec-2025</v>
      </c>
      <c r="K3087" s="13" t="str">
        <f>Raw_Data!K3087</f>
        <v>8</v>
      </c>
      <c r="L3087" s="17" t="str">
        <f>Raw_Data!L3087</f>
        <v>Jaipur-North</v>
      </c>
      <c r="M3087" s="13" t="str">
        <f t="shared" si="3"/>
        <v>OK</v>
      </c>
      <c r="N3087" s="18" t="str">
        <f t="shared" si="4"/>
        <v>VALID</v>
      </c>
    </row>
    <row r="3088" ht="15.75" customHeight="1">
      <c r="A3088" s="13" t="str">
        <f>Raw_Data!A3088</f>
        <v>EMP3251</v>
      </c>
      <c r="B3088" s="13" t="str">
        <f>TRIM(CLEAN(Raw_Data!B3088))</f>
        <v>IT</v>
      </c>
      <c r="C3088" s="18" t="s">
        <v>54</v>
      </c>
      <c r="D3088" s="14" t="str">
        <f>IF(ISBLANK(Raw_Data!D3088),AVERAGE(Raw_Data!D$2:D$5002),Raw_Data!D3088)</f>
        <v>83472.23</v>
      </c>
      <c r="E3088" s="15" t="str">
        <f>IF(ISBLANK(Raw_Data!E3088),AVERAGE(Raw_Data!E$2:E$5002),Raw_Data!E3088)</f>
        <v>28993.07</v>
      </c>
      <c r="F3088" s="15" t="str">
        <f>IF(ISBLANK(Raw_Data!F3088),AVERAGE(Raw_Data!F$2:F$5002),Raw_Data!F3088)</f>
        <v>25138.95</v>
      </c>
      <c r="G3088" s="14" t="str">
        <f>IF(ISBLANK(Raw_Data!G3088),AVERAGE(Raw_Data!G$2:G$5002),Raw_Data!G3088)</f>
        <v>17955.22</v>
      </c>
      <c r="H3088" s="15" t="str">
        <f t="shared" si="1"/>
        <v>137604.00</v>
      </c>
      <c r="I3088" s="14" t="str">
        <f t="shared" si="2"/>
        <v>119649.00</v>
      </c>
      <c r="J3088" s="16" t="str">
        <f>TEXT(Raw_Data!J3088,"MMM-YYY")</f>
        <v>Mar-2025</v>
      </c>
      <c r="K3088" s="13" t="str">
        <f>Raw_Data!K3088</f>
        <v>23</v>
      </c>
      <c r="L3088" s="17" t="str">
        <f>Raw_Data!L3088</f>
        <v>Delhi-North</v>
      </c>
      <c r="M3088" s="13" t="str">
        <f t="shared" si="3"/>
        <v>OK</v>
      </c>
      <c r="N3088" s="18" t="str">
        <f t="shared" si="4"/>
        <v>VALID</v>
      </c>
    </row>
    <row r="3089" ht="15.75" customHeight="1">
      <c r="A3089" s="13" t="str">
        <f>Raw_Data!A3089</f>
        <v>EMP3252</v>
      </c>
      <c r="B3089" s="13" t="str">
        <f>TRIM(CLEAN(Raw_Data!B3089))</f>
        <v>Sales</v>
      </c>
      <c r="C3089" s="18" t="s">
        <v>26</v>
      </c>
      <c r="D3089" s="14" t="str">
        <f>IF(ISBLANK(Raw_Data!D3089),AVERAGE(Raw_Data!D$2:D$5002),Raw_Data!D3089)</f>
        <v>83483.11</v>
      </c>
      <c r="E3089" s="15" t="str">
        <f>IF(ISBLANK(Raw_Data!E3089),AVERAGE(Raw_Data!E$2:E$5002),Raw_Data!E3089)</f>
        <v>28997.69</v>
      </c>
      <c r="F3089" s="15" t="str">
        <f>IF(ISBLANK(Raw_Data!F3089),AVERAGE(Raw_Data!F$2:F$5002),Raw_Data!F3089)</f>
        <v>25146.63</v>
      </c>
      <c r="G3089" s="14" t="str">
        <f>IF(ISBLANK(Raw_Data!G3089),AVERAGE(Raw_Data!G$2:G$5002),Raw_Data!G3089)</f>
        <v>17958.61</v>
      </c>
      <c r="H3089" s="15" t="str">
        <f t="shared" si="1"/>
        <v>137627.00</v>
      </c>
      <c r="I3089" s="14" t="str">
        <f t="shared" si="2"/>
        <v>119668.00</v>
      </c>
      <c r="J3089" s="16" t="str">
        <f>TEXT(Raw_Data!J3089,"MMM-YYY")</f>
        <v>Oct-2025</v>
      </c>
      <c r="K3089" s="13" t="str">
        <f>Raw_Data!K3089</f>
        <v>24</v>
      </c>
      <c r="L3089" s="17" t="str">
        <f>Raw_Data!L3089</f>
        <v>Bangalore-South</v>
      </c>
      <c r="M3089" s="13" t="str">
        <f t="shared" si="3"/>
        <v>OK</v>
      </c>
      <c r="N3089" s="18" t="str">
        <f t="shared" si="4"/>
        <v>VALID</v>
      </c>
    </row>
    <row r="3090" ht="15.75" customHeight="1">
      <c r="A3090" s="13" t="str">
        <f>Raw_Data!A3090</f>
        <v>EMP3254</v>
      </c>
      <c r="B3090" s="13" t="str">
        <f>TRIM(CLEAN(Raw_Data!B3090))</f>
        <v>Marketing</v>
      </c>
      <c r="C3090" s="18" t="s">
        <v>33</v>
      </c>
      <c r="D3090" s="14" t="str">
        <f>IF(ISBLANK(Raw_Data!D3090),AVERAGE(Raw_Data!D$2:D$5002),Raw_Data!D3090)</f>
        <v>83504.88</v>
      </c>
      <c r="E3090" s="15" t="str">
        <f>IF(ISBLANK(Raw_Data!E3090),AVERAGE(Raw_Data!E$2:E$5002),Raw_Data!E3090)</f>
        <v>29006.92</v>
      </c>
      <c r="F3090" s="15" t="str">
        <f>IF(ISBLANK(Raw_Data!F3090),AVERAGE(Raw_Data!F$2:F$5002),Raw_Data!F3090)</f>
        <v>25161.99</v>
      </c>
      <c r="G3090" s="14" t="str">
        <f>IF(ISBLANK(Raw_Data!G3090),AVERAGE(Raw_Data!G$2:G$5002),Raw_Data!G3090)</f>
        <v>17965.41</v>
      </c>
      <c r="H3090" s="15" t="str">
        <f t="shared" si="1"/>
        <v>137674.00</v>
      </c>
      <c r="I3090" s="14" t="str">
        <f t="shared" si="2"/>
        <v>119709.00</v>
      </c>
      <c r="J3090" s="16" t="str">
        <f>TEXT(Raw_Data!J3090,"MMM-YYY")</f>
        <v>Aug-2025</v>
      </c>
      <c r="K3090" s="13" t="str">
        <f>Raw_Data!K3090</f>
        <v>3</v>
      </c>
      <c r="L3090" s="17" t="str">
        <f>Raw_Data!L3090</f>
        <v>Kolkata-East</v>
      </c>
      <c r="M3090" s="13" t="str">
        <f t="shared" si="3"/>
        <v>OK</v>
      </c>
      <c r="N3090" s="18" t="str">
        <f t="shared" si="4"/>
        <v>VALID</v>
      </c>
    </row>
    <row r="3091" ht="15.75" customHeight="1">
      <c r="A3091" s="13" t="str">
        <f>Raw_Data!A3091</f>
        <v>EMP3255</v>
      </c>
      <c r="B3091" s="13" t="str">
        <f>TRIM(CLEAN(Raw_Data!B3091))</f>
        <v>IT</v>
      </c>
      <c r="C3091" s="18" t="s">
        <v>30</v>
      </c>
      <c r="D3091" s="14" t="str">
        <f>IF(ISBLANK(Raw_Data!D3091),AVERAGE(Raw_Data!D$2:D$5002),Raw_Data!D3091)</f>
        <v>83515.76</v>
      </c>
      <c r="E3091" s="15" t="str">
        <f>IF(ISBLANK(Raw_Data!E3091),AVERAGE(Raw_Data!E$2:E$5002),Raw_Data!E3091)</f>
        <v>29011.53</v>
      </c>
      <c r="F3091" s="15" t="str">
        <f>IF(ISBLANK(Raw_Data!F3091),AVERAGE(Raw_Data!F$2:F$5002),Raw_Data!F3091)</f>
        <v>25169.67</v>
      </c>
      <c r="G3091" s="14" t="str">
        <f>IF(ISBLANK(Raw_Data!G3091),AVERAGE(Raw_Data!G$2:G$5002),Raw_Data!G3091)</f>
        <v>17968.81</v>
      </c>
      <c r="H3091" s="15" t="str">
        <f t="shared" si="1"/>
        <v>137697.00</v>
      </c>
      <c r="I3091" s="14" t="str">
        <f t="shared" si="2"/>
        <v>119728.00</v>
      </c>
      <c r="J3091" s="16" t="str">
        <f>TEXT(Raw_Data!J3091,"MMM-YYY")</f>
        <v>Mar-2025</v>
      </c>
      <c r="K3091" s="13" t="str">
        <f>Raw_Data!K3091</f>
        <v>2</v>
      </c>
      <c r="L3091" s="17" t="str">
        <f>Raw_Data!L3091</f>
        <v>Pune-West</v>
      </c>
      <c r="M3091" s="13" t="str">
        <f t="shared" si="3"/>
        <v>OK</v>
      </c>
      <c r="N3091" s="18" t="str">
        <f t="shared" si="4"/>
        <v>VALID</v>
      </c>
    </row>
    <row r="3092" ht="15.75" customHeight="1">
      <c r="A3092" s="13" t="str">
        <f>Raw_Data!A3092</f>
        <v>EMP3256</v>
      </c>
      <c r="B3092" s="13" t="str">
        <f>TRIM(CLEAN(Raw_Data!B3092))</f>
        <v>Operations</v>
      </c>
      <c r="C3092" s="18" t="s">
        <v>37</v>
      </c>
      <c r="D3092" s="14" t="str">
        <f>IF(ISBLANK(Raw_Data!D3092),AVERAGE(Raw_Data!D$2:D$5002),Raw_Data!D3092)</f>
        <v>83526.64</v>
      </c>
      <c r="E3092" s="15" t="str">
        <f>IF(ISBLANK(Raw_Data!E3092),AVERAGE(Raw_Data!E$2:E$5002),Raw_Data!E3092)</f>
        <v>29016.15</v>
      </c>
      <c r="F3092" s="15" t="str">
        <f>IF(ISBLANK(Raw_Data!F3092),AVERAGE(Raw_Data!F$2:F$5002),Raw_Data!F3092)</f>
        <v>25177.35</v>
      </c>
      <c r="G3092" s="14" t="str">
        <f>IF(ISBLANK(Raw_Data!G3092),AVERAGE(Raw_Data!G$2:G$5002),Raw_Data!G3092)</f>
        <v>17972.20</v>
      </c>
      <c r="H3092" s="15" t="str">
        <f t="shared" si="1"/>
        <v>137720.00</v>
      </c>
      <c r="I3092" s="14" t="str">
        <f t="shared" si="2"/>
        <v>119748.00</v>
      </c>
      <c r="J3092" s="16" t="str">
        <f>TEXT(Raw_Data!J3092,"MMM-YYY")</f>
        <v>Dec-2025</v>
      </c>
      <c r="K3092" s="13" t="str">
        <f>Raw_Data!K3092</f>
        <v>2</v>
      </c>
      <c r="L3092" s="17" t="str">
        <f>Raw_Data!L3092</f>
        <v>Hyderabad-South</v>
      </c>
      <c r="M3092" s="13" t="str">
        <f t="shared" si="3"/>
        <v>OK</v>
      </c>
      <c r="N3092" s="18" t="str">
        <f t="shared" si="4"/>
        <v>VALID</v>
      </c>
    </row>
    <row r="3093" ht="15.75" customHeight="1">
      <c r="A3093" s="13" t="str">
        <f>Raw_Data!A3093</f>
        <v>EMP3257</v>
      </c>
      <c r="B3093" s="13" t="str">
        <f>TRIM(CLEAN(Raw_Data!B3093))</f>
        <v>IT</v>
      </c>
      <c r="C3093" s="18" t="s">
        <v>14</v>
      </c>
      <c r="D3093" s="14" t="str">
        <f>IF(ISBLANK(Raw_Data!D3093),AVERAGE(Raw_Data!D$2:D$5002),Raw_Data!D3093)</f>
        <v>83537.53</v>
      </c>
      <c r="E3093" s="15" t="str">
        <f>IF(ISBLANK(Raw_Data!E3093),AVERAGE(Raw_Data!E$2:E$5002),Raw_Data!E3093)</f>
        <v>29020.76</v>
      </c>
      <c r="F3093" s="15" t="str">
        <f>IF(ISBLANK(Raw_Data!F3093),AVERAGE(Raw_Data!F$2:F$5002),Raw_Data!F3093)</f>
        <v>25185.03</v>
      </c>
      <c r="G3093" s="14" t="str">
        <f>IF(ISBLANK(Raw_Data!G3093),AVERAGE(Raw_Data!G$2:G$5002),Raw_Data!G3093)</f>
        <v>17975.60</v>
      </c>
      <c r="H3093" s="15" t="str">
        <f t="shared" si="1"/>
        <v>137743.00</v>
      </c>
      <c r="I3093" s="14" t="str">
        <f t="shared" si="2"/>
        <v>119767.00</v>
      </c>
      <c r="J3093" s="16" t="str">
        <f>TEXT(Raw_Data!J3093,"MMM-YYY")</f>
        <v>Sep-2025</v>
      </c>
      <c r="K3093" s="13" t="str">
        <f>Raw_Data!K3093</f>
        <v>16</v>
      </c>
      <c r="L3093" s="17" t="str">
        <f>Raw_Data!L3093</f>
        <v>Chandigarh-North</v>
      </c>
      <c r="M3093" s="13" t="str">
        <f t="shared" si="3"/>
        <v>OK</v>
      </c>
      <c r="N3093" s="18" t="str">
        <f t="shared" si="4"/>
        <v>VALID</v>
      </c>
    </row>
    <row r="3094" ht="15.75" customHeight="1">
      <c r="A3094" s="13" t="str">
        <f>Raw_Data!A3094</f>
        <v>EMP3258</v>
      </c>
      <c r="B3094" s="13" t="str">
        <f>TRIM(CLEAN(Raw_Data!B3094))</f>
        <v>Customer Support</v>
      </c>
      <c r="C3094" s="18" t="s">
        <v>30</v>
      </c>
      <c r="D3094" s="14" t="str">
        <f>IF(ISBLANK(Raw_Data!D3094),AVERAGE(Raw_Data!D$2:D$5002),Raw_Data!D3094)</f>
        <v>83548.41</v>
      </c>
      <c r="E3094" s="15" t="str">
        <f>IF(ISBLANK(Raw_Data!E3094),AVERAGE(Raw_Data!E$2:E$5002),Raw_Data!E3094)</f>
        <v>29025.38</v>
      </c>
      <c r="F3094" s="15" t="str">
        <f>IF(ISBLANK(Raw_Data!F3094),AVERAGE(Raw_Data!F$2:F$5002),Raw_Data!F3094)</f>
        <v>25192.71</v>
      </c>
      <c r="G3094" s="14" t="str">
        <f>IF(ISBLANK(Raw_Data!G3094),AVERAGE(Raw_Data!G$2:G$5002),Raw_Data!G3094)</f>
        <v>17979.00</v>
      </c>
      <c r="H3094" s="15" t="str">
        <f t="shared" si="1"/>
        <v>137766.00</v>
      </c>
      <c r="I3094" s="14" t="str">
        <f t="shared" si="2"/>
        <v>119787.00</v>
      </c>
      <c r="J3094" s="16" t="str">
        <f>TEXT(Raw_Data!J3094,"MMM-YYY")</f>
        <v>Nov-2025</v>
      </c>
      <c r="K3094" s="13" t="str">
        <f>Raw_Data!K3094</f>
        <v>18</v>
      </c>
      <c r="L3094" s="17" t="str">
        <f>Raw_Data!L3094</f>
        <v>Ahmedabad-West</v>
      </c>
      <c r="M3094" s="13" t="str">
        <f t="shared" si="3"/>
        <v>OK</v>
      </c>
      <c r="N3094" s="18" t="str">
        <f t="shared" si="4"/>
        <v>VALID</v>
      </c>
    </row>
    <row r="3095" ht="15.75" customHeight="1">
      <c r="A3095" s="13" t="str">
        <f>Raw_Data!A3095</f>
        <v>EMP3259</v>
      </c>
      <c r="B3095" s="13" t="str">
        <f>TRIM(CLEAN(Raw_Data!B3095))</f>
        <v>Finance</v>
      </c>
      <c r="C3095" s="18" t="s">
        <v>26</v>
      </c>
      <c r="D3095" s="14" t="str">
        <f>IF(ISBLANK(Raw_Data!D3095),AVERAGE(Raw_Data!D$2:D$5002),Raw_Data!D3095)</f>
        <v>83559.29</v>
      </c>
      <c r="E3095" s="15" t="str">
        <f>IF(ISBLANK(Raw_Data!E3095),AVERAGE(Raw_Data!E$2:E$5002),Raw_Data!E3095)</f>
        <v>29029.99</v>
      </c>
      <c r="F3095" s="15" t="str">
        <f>IF(ISBLANK(Raw_Data!F3095),AVERAGE(Raw_Data!F$2:F$5002),Raw_Data!F3095)</f>
        <v>25200.39</v>
      </c>
      <c r="G3095" s="14" t="str">
        <f>IF(ISBLANK(Raw_Data!G3095),AVERAGE(Raw_Data!G$2:G$5002),Raw_Data!G3095)</f>
        <v>17982.40</v>
      </c>
      <c r="H3095" s="15" t="str">
        <f t="shared" si="1"/>
        <v>137790.00</v>
      </c>
      <c r="I3095" s="14" t="str">
        <f t="shared" si="2"/>
        <v>119808.00</v>
      </c>
      <c r="J3095" s="16" t="str">
        <f>TEXT(Raw_Data!J3095,"MMM-YYY")</f>
        <v>Jul-2025</v>
      </c>
      <c r="K3095" s="13" t="str">
        <f>Raw_Data!K3095</f>
        <v>17</v>
      </c>
      <c r="L3095" s="17" t="str">
        <f>Raw_Data!L3095</f>
        <v>Jaipur-North</v>
      </c>
      <c r="M3095" s="13" t="str">
        <f t="shared" si="3"/>
        <v>OK</v>
      </c>
      <c r="N3095" s="18" t="str">
        <f t="shared" si="4"/>
        <v>VALID</v>
      </c>
    </row>
    <row r="3096" ht="15.75" customHeight="1">
      <c r="A3096" s="13" t="str">
        <f>Raw_Data!A3096</f>
        <v>EMP3261</v>
      </c>
      <c r="B3096" s="13" t="str">
        <f>TRIM(CLEAN(Raw_Data!B3096))</f>
        <v>HR</v>
      </c>
      <c r="C3096" s="18" t="s">
        <v>33</v>
      </c>
      <c r="D3096" s="14" t="str">
        <f>IF(ISBLANK(Raw_Data!D3096),AVERAGE(Raw_Data!D$2:D$5002),Raw_Data!D3096)</f>
        <v>83581.06</v>
      </c>
      <c r="E3096" s="15" t="str">
        <f>IF(ISBLANK(Raw_Data!E3096),AVERAGE(Raw_Data!E$2:E$5002),Raw_Data!E3096)</f>
        <v>29039.22</v>
      </c>
      <c r="F3096" s="15" t="str">
        <f>IF(ISBLANK(Raw_Data!F3096),AVERAGE(Raw_Data!F$2:F$5002),Raw_Data!F3096)</f>
        <v>25215.75</v>
      </c>
      <c r="G3096" s="14" t="str">
        <f>IF(ISBLANK(Raw_Data!G3096),AVERAGE(Raw_Data!G$2:G$5002),Raw_Data!G3096)</f>
        <v>17989.19</v>
      </c>
      <c r="H3096" s="15" t="str">
        <f t="shared" si="1"/>
        <v>137836.00</v>
      </c>
      <c r="I3096" s="14" t="str">
        <f t="shared" si="2"/>
        <v>119847.00</v>
      </c>
      <c r="J3096" s="16" t="str">
        <f>TEXT(Raw_Data!J3096,"MMM-YYY")</f>
        <v>Oct-2025</v>
      </c>
      <c r="K3096" s="13" t="str">
        <f>Raw_Data!K3096</f>
        <v>23</v>
      </c>
      <c r="L3096" s="17" t="str">
        <f>Raw_Data!L3096</f>
        <v>Delhi-North</v>
      </c>
      <c r="M3096" s="13" t="str">
        <f t="shared" si="3"/>
        <v>OK</v>
      </c>
      <c r="N3096" s="18" t="str">
        <f t="shared" si="4"/>
        <v>VALID</v>
      </c>
    </row>
    <row r="3097" ht="15.75" customHeight="1">
      <c r="A3097" s="13" t="str">
        <f>Raw_Data!A3097</f>
        <v>EMP3262</v>
      </c>
      <c r="B3097" s="13" t="str">
        <f>TRIM(CLEAN(Raw_Data!B3097))</f>
        <v>HR</v>
      </c>
      <c r="C3097" s="18" t="s">
        <v>33</v>
      </c>
      <c r="D3097" s="14" t="str">
        <f>IF(ISBLANK(Raw_Data!D3097),AVERAGE(Raw_Data!D$2:D$5002),Raw_Data!D3097)</f>
        <v>83591.94</v>
      </c>
      <c r="E3097" s="15" t="str">
        <f>IF(ISBLANK(Raw_Data!E3097),AVERAGE(Raw_Data!E$2:E$5002),Raw_Data!E3097)</f>
        <v>29043.84</v>
      </c>
      <c r="F3097" s="15" t="str">
        <f>IF(ISBLANK(Raw_Data!F3097),AVERAGE(Raw_Data!F$2:F$5002),Raw_Data!F3097)</f>
        <v>25223.43</v>
      </c>
      <c r="G3097" s="14" t="str">
        <f>IF(ISBLANK(Raw_Data!G3097),AVERAGE(Raw_Data!G$2:G$5002),Raw_Data!G3097)</f>
        <v>17992.59</v>
      </c>
      <c r="H3097" s="15" t="str">
        <f t="shared" si="1"/>
        <v>137859.00</v>
      </c>
      <c r="I3097" s="14" t="str">
        <f t="shared" si="2"/>
        <v>119866.00</v>
      </c>
      <c r="J3097" s="16" t="str">
        <f>TEXT(Raw_Data!J3097,"MMM-YYY")</f>
        <v>Apr-2025</v>
      </c>
      <c r="K3097" s="13" t="str">
        <f>Raw_Data!K3097</f>
        <v>7</v>
      </c>
      <c r="L3097" s="17" t="str">
        <f>Raw_Data!L3097</f>
        <v>Bangalore-South</v>
      </c>
      <c r="M3097" s="13" t="str">
        <f t="shared" si="3"/>
        <v>OK</v>
      </c>
      <c r="N3097" s="18" t="str">
        <f t="shared" si="4"/>
        <v>VALID</v>
      </c>
    </row>
    <row r="3098" ht="15.75" customHeight="1">
      <c r="A3098" s="13" t="str">
        <f>Raw_Data!A3098</f>
        <v>EMP3263</v>
      </c>
      <c r="B3098" s="13" t="str">
        <f>TRIM(CLEAN(Raw_Data!B3098))</f>
        <v>Marketing</v>
      </c>
      <c r="C3098" s="18" t="s">
        <v>26</v>
      </c>
      <c r="D3098" s="14" t="str">
        <f>IF(ISBLANK(Raw_Data!D3098),AVERAGE(Raw_Data!D$2:D$5002),Raw_Data!D3098)</f>
        <v>83602.83</v>
      </c>
      <c r="E3098" s="15" t="str">
        <f>IF(ISBLANK(Raw_Data!E3098),AVERAGE(Raw_Data!E$2:E$5002),Raw_Data!E3098)</f>
        <v>29048.45</v>
      </c>
      <c r="F3098" s="15" t="str">
        <f>IF(ISBLANK(Raw_Data!F3098),AVERAGE(Raw_Data!F$2:F$5002),Raw_Data!F3098)</f>
        <v>25231.11</v>
      </c>
      <c r="G3098" s="14" t="str">
        <f>IF(ISBLANK(Raw_Data!G3098),AVERAGE(Raw_Data!G$2:G$5002),Raw_Data!G3098)</f>
        <v>17995.99</v>
      </c>
      <c r="H3098" s="15" t="str">
        <f t="shared" si="1"/>
        <v>137882.00</v>
      </c>
      <c r="I3098" s="14" t="str">
        <f t="shared" si="2"/>
        <v>119886.00</v>
      </c>
      <c r="J3098" s="16" t="str">
        <f>TEXT(Raw_Data!J3098,"MMM-YYY")</f>
        <v>Oct-2025</v>
      </c>
      <c r="K3098" s="13" t="str">
        <f>Raw_Data!K3098</f>
        <v>3</v>
      </c>
      <c r="L3098" s="17" t="str">
        <f>Raw_Data!L3098</f>
        <v>Chennai-South</v>
      </c>
      <c r="M3098" s="13" t="str">
        <f t="shared" si="3"/>
        <v>OK</v>
      </c>
      <c r="N3098" s="18" t="str">
        <f t="shared" si="4"/>
        <v>VALID</v>
      </c>
    </row>
    <row r="3099" ht="15.75" customHeight="1">
      <c r="A3099" s="13" t="str">
        <f>Raw_Data!A3099</f>
        <v>EMP3264</v>
      </c>
      <c r="B3099" s="13" t="str">
        <f>TRIM(CLEAN(Raw_Data!B3099))</f>
        <v>HR</v>
      </c>
      <c r="C3099" s="18" t="s">
        <v>30</v>
      </c>
      <c r="D3099" s="14" t="str">
        <f>IF(ISBLANK(Raw_Data!D3099),AVERAGE(Raw_Data!D$2:D$5002),Raw_Data!D3099)</f>
        <v>83613.71</v>
      </c>
      <c r="E3099" s="15" t="str">
        <f>IF(ISBLANK(Raw_Data!E3099),AVERAGE(Raw_Data!E$2:E$5002),Raw_Data!E3099)</f>
        <v>29053.06</v>
      </c>
      <c r="F3099" s="15" t="str">
        <f>IF(ISBLANK(Raw_Data!F3099),AVERAGE(Raw_Data!F$2:F$5002),Raw_Data!F3099)</f>
        <v>25238.79</v>
      </c>
      <c r="G3099" s="14" t="str">
        <f>IF(ISBLANK(Raw_Data!G3099),AVERAGE(Raw_Data!G$2:G$5002),Raw_Data!G3099)</f>
        <v>17999.38</v>
      </c>
      <c r="H3099" s="15" t="str">
        <f t="shared" si="1"/>
        <v>137906.00</v>
      </c>
      <c r="I3099" s="14" t="str">
        <f t="shared" si="2"/>
        <v>119907.00</v>
      </c>
      <c r="J3099" s="16" t="str">
        <f>TEXT(Raw_Data!J3099,"MMM-YYY")</f>
        <v>Jun-2025</v>
      </c>
      <c r="K3099" s="13" t="str">
        <f>Raw_Data!K3099</f>
        <v>1</v>
      </c>
      <c r="L3099" s="17" t="str">
        <f>Raw_Data!L3099</f>
        <v>Kolkata-East</v>
      </c>
      <c r="M3099" s="13" t="str">
        <f t="shared" si="3"/>
        <v>OK</v>
      </c>
      <c r="N3099" s="18" t="str">
        <f t="shared" si="4"/>
        <v>VALID</v>
      </c>
    </row>
    <row r="3100" ht="15.75" customHeight="1">
      <c r="A3100" s="13" t="str">
        <f>Raw_Data!A3100</f>
        <v>EMP3265</v>
      </c>
      <c r="B3100" s="13" t="str">
        <f>TRIM(CLEAN(Raw_Data!B3100))</f>
        <v>Customer Support</v>
      </c>
      <c r="C3100" s="18" t="s">
        <v>33</v>
      </c>
      <c r="D3100" s="14" t="str">
        <f>IF(ISBLANK(Raw_Data!D3100),AVERAGE(Raw_Data!D$2:D$5002),Raw_Data!D3100)</f>
        <v>83624.59</v>
      </c>
      <c r="E3100" s="15" t="str">
        <f>IF(ISBLANK(Raw_Data!E3100),AVERAGE(Raw_Data!E$2:E$5002),Raw_Data!E3100)</f>
        <v>29057.68</v>
      </c>
      <c r="F3100" s="15" t="str">
        <f>IF(ISBLANK(Raw_Data!F3100),AVERAGE(Raw_Data!F$2:F$5002),Raw_Data!F3100)</f>
        <v>25246.47</v>
      </c>
      <c r="G3100" s="14" t="str">
        <f>IF(ISBLANK(Raw_Data!G3100),AVERAGE(Raw_Data!G$2:G$5002),Raw_Data!G3100)</f>
        <v>18002.78</v>
      </c>
      <c r="H3100" s="15" t="str">
        <f t="shared" si="1"/>
        <v>137929.00</v>
      </c>
      <c r="I3100" s="14" t="str">
        <f t="shared" si="2"/>
        <v>119926.00</v>
      </c>
      <c r="J3100" s="16" t="str">
        <f>TEXT(Raw_Data!J3100,"MMM-YYY")</f>
        <v>Jul-2025</v>
      </c>
      <c r="K3100" s="13" t="str">
        <f>Raw_Data!K3100</f>
        <v>21</v>
      </c>
      <c r="L3100" s="17" t="str">
        <f>Raw_Data!L3100</f>
        <v>Pune-West</v>
      </c>
      <c r="M3100" s="13" t="str">
        <f t="shared" si="3"/>
        <v>OK</v>
      </c>
      <c r="N3100" s="18" t="str">
        <f t="shared" si="4"/>
        <v>VALID</v>
      </c>
    </row>
    <row r="3101" ht="15.75" customHeight="1">
      <c r="A3101" s="13" t="str">
        <f>Raw_Data!A3101</f>
        <v>EMP3266</v>
      </c>
      <c r="B3101" s="13" t="str">
        <f>TRIM(CLEAN(Raw_Data!B3101))</f>
        <v>Operations</v>
      </c>
      <c r="C3101" s="18" t="s">
        <v>30</v>
      </c>
      <c r="D3101" s="14" t="str">
        <f>IF(ISBLANK(Raw_Data!D3101),AVERAGE(Raw_Data!D$2:D$5002),Raw_Data!D3101)</f>
        <v>83635.47</v>
      </c>
      <c r="E3101" s="15" t="str">
        <f>IF(ISBLANK(Raw_Data!E3101),AVERAGE(Raw_Data!E$2:E$5002),Raw_Data!E3101)</f>
        <v>29062.29</v>
      </c>
      <c r="F3101" s="15" t="str">
        <f>IF(ISBLANK(Raw_Data!F3101),AVERAGE(Raw_Data!F$2:F$5002),Raw_Data!F3101)</f>
        <v>25254.15</v>
      </c>
      <c r="G3101" s="14" t="str">
        <f>IF(ISBLANK(Raw_Data!G3101),AVERAGE(Raw_Data!G$2:G$5002),Raw_Data!G3101)</f>
        <v>18006.18</v>
      </c>
      <c r="H3101" s="15" t="str">
        <f t="shared" si="1"/>
        <v>137952.00</v>
      </c>
      <c r="I3101" s="14" t="str">
        <f t="shared" si="2"/>
        <v>119946.00</v>
      </c>
      <c r="J3101" s="16" t="str">
        <f>TEXT(Raw_Data!J3101,"MMM-YYY")</f>
        <v>Dec-2025</v>
      </c>
      <c r="K3101" s="13" t="str">
        <f>Raw_Data!K3101</f>
        <v>10</v>
      </c>
      <c r="L3101" s="17" t="str">
        <f>Raw_Data!L3101</f>
        <v>Hyderabad-South</v>
      </c>
      <c r="M3101" s="13" t="str">
        <f t="shared" si="3"/>
        <v>OK</v>
      </c>
      <c r="N3101" s="18" t="str">
        <f t="shared" si="4"/>
        <v>VALID</v>
      </c>
    </row>
    <row r="3102" ht="15.75" customHeight="1">
      <c r="A3102" s="13" t="str">
        <f>Raw_Data!A3102</f>
        <v>EMP3267</v>
      </c>
      <c r="B3102" s="13" t="str">
        <f>TRIM(CLEAN(Raw_Data!B3102))</f>
        <v>Finance</v>
      </c>
      <c r="C3102" s="18" t="s">
        <v>33</v>
      </c>
      <c r="D3102" s="14" t="str">
        <f>IF(ISBLANK(Raw_Data!D3102),AVERAGE(Raw_Data!D$2:D$5002),Raw_Data!D3102)</f>
        <v>83646.36</v>
      </c>
      <c r="E3102" s="15" t="str">
        <f>IF(ISBLANK(Raw_Data!E3102),AVERAGE(Raw_Data!E$2:E$5002),Raw_Data!E3102)</f>
        <v>29066.91</v>
      </c>
      <c r="F3102" s="15" t="str">
        <f>IF(ISBLANK(Raw_Data!F3102),AVERAGE(Raw_Data!F$2:F$5002),Raw_Data!F3102)</f>
        <v>25261.83</v>
      </c>
      <c r="G3102" s="14" t="str">
        <f>IF(ISBLANK(Raw_Data!G3102),AVERAGE(Raw_Data!G$2:G$5002),Raw_Data!G3102)</f>
        <v>18009.58</v>
      </c>
      <c r="H3102" s="15" t="str">
        <f t="shared" si="1"/>
        <v>137975.00</v>
      </c>
      <c r="I3102" s="14" t="str">
        <f t="shared" si="2"/>
        <v>119965.00</v>
      </c>
      <c r="J3102" s="16" t="str">
        <f>TEXT(Raw_Data!J3102,"MMM-YYY")</f>
        <v>Sep-2025</v>
      </c>
      <c r="K3102" s="13" t="str">
        <f>Raw_Data!K3102</f>
        <v>4</v>
      </c>
      <c r="L3102" s="17" t="str">
        <f>Raw_Data!L3102</f>
        <v>Chandigarh-North</v>
      </c>
      <c r="M3102" s="13" t="str">
        <f t="shared" si="3"/>
        <v>OK</v>
      </c>
      <c r="N3102" s="18" t="str">
        <f t="shared" si="4"/>
        <v>VALID</v>
      </c>
    </row>
    <row r="3103" ht="15.75" customHeight="1">
      <c r="A3103" s="13" t="str">
        <f>Raw_Data!A3103</f>
        <v>EMP3268</v>
      </c>
      <c r="B3103" s="13" t="str">
        <f>TRIM(CLEAN(Raw_Data!B3103))</f>
        <v>IT</v>
      </c>
      <c r="C3103" s="18" t="s">
        <v>37</v>
      </c>
      <c r="D3103" s="14" t="str">
        <f>IF(ISBLANK(Raw_Data!D3103),AVERAGE(Raw_Data!D$2:D$5002),Raw_Data!D3103)</f>
        <v>83657.24</v>
      </c>
      <c r="E3103" s="15" t="str">
        <f>IF(ISBLANK(Raw_Data!E3103),AVERAGE(Raw_Data!E$2:E$5002),Raw_Data!E3103)</f>
        <v>29071.52</v>
      </c>
      <c r="F3103" s="15" t="str">
        <f>IF(ISBLANK(Raw_Data!F3103),AVERAGE(Raw_Data!F$2:F$5002),Raw_Data!F3103)</f>
        <v>25269.51</v>
      </c>
      <c r="G3103" s="14" t="str">
        <f>IF(ISBLANK(Raw_Data!G3103),AVERAGE(Raw_Data!G$2:G$5002),Raw_Data!G3103)</f>
        <v>18012.97</v>
      </c>
      <c r="H3103" s="15" t="str">
        <f t="shared" si="1"/>
        <v>137998.00</v>
      </c>
      <c r="I3103" s="14" t="str">
        <f t="shared" si="2"/>
        <v>119985.00</v>
      </c>
      <c r="J3103" s="16" t="str">
        <f>TEXT(Raw_Data!J3103,"MMM-YYY")</f>
        <v>Apr-2025</v>
      </c>
      <c r="K3103" s="13" t="str">
        <f>Raw_Data!K3103</f>
        <v>7</v>
      </c>
      <c r="L3103" s="17" t="str">
        <f>Raw_Data!L3103</f>
        <v>Ahmedabad-West</v>
      </c>
      <c r="M3103" s="13" t="str">
        <f t="shared" si="3"/>
        <v>OK</v>
      </c>
      <c r="N3103" s="18" t="str">
        <f t="shared" si="4"/>
        <v>VALID</v>
      </c>
    </row>
    <row r="3104" ht="15.75" customHeight="1">
      <c r="A3104" s="13" t="str">
        <f>Raw_Data!A3104</f>
        <v>EMP3269</v>
      </c>
      <c r="B3104" s="13" t="str">
        <f>TRIM(CLEAN(Raw_Data!B3104))</f>
        <v>Sales</v>
      </c>
      <c r="C3104" s="18" t="s">
        <v>33</v>
      </c>
      <c r="D3104" s="14" t="str">
        <f>IF(ISBLANK(Raw_Data!D3104),AVERAGE(Raw_Data!D$2:D$5002),Raw_Data!D3104)</f>
        <v>83668.12</v>
      </c>
      <c r="E3104" s="15" t="str">
        <f>IF(ISBLANK(Raw_Data!E3104),AVERAGE(Raw_Data!E$2:E$5002),Raw_Data!E3104)</f>
        <v>29076.14</v>
      </c>
      <c r="F3104" s="15" t="str">
        <f>IF(ISBLANK(Raw_Data!F3104),AVERAGE(Raw_Data!F$2:F$5002),Raw_Data!F3104)</f>
        <v>25277.19</v>
      </c>
      <c r="G3104" s="14" t="str">
        <f>IF(ISBLANK(Raw_Data!G3104),AVERAGE(Raw_Data!G$2:G$5002),Raw_Data!G3104)</f>
        <v>18016.37</v>
      </c>
      <c r="H3104" s="15" t="str">
        <f t="shared" si="1"/>
        <v>138021.00</v>
      </c>
      <c r="I3104" s="14" t="str">
        <f t="shared" si="2"/>
        <v>120005.00</v>
      </c>
      <c r="J3104" s="16" t="str">
        <f>TEXT(Raw_Data!J3104,"MMM-YYY")</f>
        <v>Feb-2025</v>
      </c>
      <c r="K3104" s="13" t="str">
        <f>Raw_Data!K3104</f>
        <v>18</v>
      </c>
      <c r="L3104" s="17" t="str">
        <f>Raw_Data!L3104</f>
        <v>Jaipur-North</v>
      </c>
      <c r="M3104" s="13" t="str">
        <f t="shared" si="3"/>
        <v>OK</v>
      </c>
      <c r="N3104" s="18" t="str">
        <f t="shared" si="4"/>
        <v>VALID</v>
      </c>
    </row>
    <row r="3105" ht="15.75" customHeight="1">
      <c r="A3105" s="13" t="str">
        <f>Raw_Data!A3105</f>
        <v>EMP3270</v>
      </c>
      <c r="B3105" s="13" t="str">
        <f>TRIM(CLEAN(Raw_Data!B3105))</f>
        <v>Operations</v>
      </c>
      <c r="C3105" s="18" t="s">
        <v>33</v>
      </c>
      <c r="D3105" s="14" t="str">
        <f>IF(ISBLANK(Raw_Data!D3105),AVERAGE(Raw_Data!D$2:D$5002),Raw_Data!D3105)</f>
        <v>83679.01</v>
      </c>
      <c r="E3105" s="15" t="str">
        <f>IF(ISBLANK(Raw_Data!E3105),AVERAGE(Raw_Data!E$2:E$5002),Raw_Data!E3105)</f>
        <v>29080.75</v>
      </c>
      <c r="F3105" s="15" t="str">
        <f>IF(ISBLANK(Raw_Data!F3105),AVERAGE(Raw_Data!F$2:F$5002),Raw_Data!F3105)</f>
        <v>25284.87</v>
      </c>
      <c r="G3105" s="14" t="str">
        <f>IF(ISBLANK(Raw_Data!G3105),AVERAGE(Raw_Data!G$2:G$5002),Raw_Data!G3105)</f>
        <v>18019.77</v>
      </c>
      <c r="H3105" s="15" t="str">
        <f t="shared" si="1"/>
        <v>138045.00</v>
      </c>
      <c r="I3105" s="14" t="str">
        <f t="shared" si="2"/>
        <v>120025.00</v>
      </c>
      <c r="J3105" s="16" t="str">
        <f>TEXT(Raw_Data!J3105,"MMM-YYY")</f>
        <v>Sep-2025</v>
      </c>
      <c r="K3105" s="13" t="str">
        <f>Raw_Data!K3105</f>
        <v>22</v>
      </c>
      <c r="L3105" s="17" t="str">
        <f>Raw_Data!L3105</f>
        <v>Mumbai-HO</v>
      </c>
      <c r="M3105" s="13" t="str">
        <f t="shared" si="3"/>
        <v>OK</v>
      </c>
      <c r="N3105" s="18" t="str">
        <f t="shared" si="4"/>
        <v>VALID</v>
      </c>
    </row>
    <row r="3106" ht="15.75" customHeight="1">
      <c r="A3106" s="13" t="str">
        <f>Raw_Data!A3106</f>
        <v>EMP3271</v>
      </c>
      <c r="B3106" s="13" t="str">
        <f>TRIM(CLEAN(Raw_Data!B3106))</f>
        <v>Marketing</v>
      </c>
      <c r="C3106" s="18" t="s">
        <v>33</v>
      </c>
      <c r="D3106" s="14" t="str">
        <f>IF(ISBLANK(Raw_Data!D3106),AVERAGE(Raw_Data!D$2:D$5002),Raw_Data!D3106)</f>
        <v>83689.89</v>
      </c>
      <c r="E3106" s="15" t="str">
        <f>IF(ISBLANK(Raw_Data!E3106),AVERAGE(Raw_Data!E$2:E$5002),Raw_Data!E3106)</f>
        <v>29085.37</v>
      </c>
      <c r="F3106" s="15" t="str">
        <f>IF(ISBLANK(Raw_Data!F3106),AVERAGE(Raw_Data!F$2:F$5002),Raw_Data!F3106)</f>
        <v>25292.55</v>
      </c>
      <c r="G3106" s="14" t="str">
        <f>IF(ISBLANK(Raw_Data!G3106),AVERAGE(Raw_Data!G$2:G$5002),Raw_Data!G3106)</f>
        <v>18023.17</v>
      </c>
      <c r="H3106" s="15" t="str">
        <f t="shared" si="1"/>
        <v>138068.00</v>
      </c>
      <c r="I3106" s="14" t="str">
        <f t="shared" si="2"/>
        <v>120045.00</v>
      </c>
      <c r="J3106" s="16" t="str">
        <f>TEXT(Raw_Data!J3106,"MMM-YYY")</f>
        <v>Jul-2025</v>
      </c>
      <c r="K3106" s="13" t="str">
        <f>Raw_Data!K3106</f>
        <v>17</v>
      </c>
      <c r="L3106" s="17" t="str">
        <f>Raw_Data!L3106</f>
        <v>Delhi-North</v>
      </c>
      <c r="M3106" s="13" t="str">
        <f t="shared" si="3"/>
        <v>OK</v>
      </c>
      <c r="N3106" s="18" t="str">
        <f t="shared" si="4"/>
        <v>VALID</v>
      </c>
    </row>
    <row r="3107" ht="15.75" customHeight="1">
      <c r="A3107" s="13" t="str">
        <f>Raw_Data!A3107</f>
        <v>EMP3272</v>
      </c>
      <c r="B3107" s="13" t="str">
        <f>TRIM(CLEAN(Raw_Data!B3107))</f>
        <v>Operations</v>
      </c>
      <c r="C3107" s="18" t="s">
        <v>14</v>
      </c>
      <c r="D3107" s="14" t="str">
        <f>IF(ISBLANK(Raw_Data!D3107),AVERAGE(Raw_Data!D$2:D$5002),Raw_Data!D3107)</f>
        <v>83700.77</v>
      </c>
      <c r="E3107" s="15" t="str">
        <f>IF(ISBLANK(Raw_Data!E3107),AVERAGE(Raw_Data!E$2:E$5002),Raw_Data!E3107)</f>
        <v>29089.98</v>
      </c>
      <c r="F3107" s="15" t="str">
        <f>IF(ISBLANK(Raw_Data!F3107),AVERAGE(Raw_Data!F$2:F$5002),Raw_Data!F3107)</f>
        <v>25300.23</v>
      </c>
      <c r="G3107" s="14" t="str">
        <f>IF(ISBLANK(Raw_Data!G3107),AVERAGE(Raw_Data!G$2:G$5002),Raw_Data!G3107)</f>
        <v>14562.73</v>
      </c>
      <c r="H3107" s="15" t="str">
        <f t="shared" si="1"/>
        <v>138091.00</v>
      </c>
      <c r="I3107" s="14" t="str">
        <f t="shared" si="2"/>
        <v>123528.00</v>
      </c>
      <c r="J3107" s="16" t="str">
        <f>TEXT(Raw_Data!J3107,"MMM-YYY")</f>
        <v>Aug-2025</v>
      </c>
      <c r="K3107" s="13" t="str">
        <f>Raw_Data!K3107</f>
        <v>23</v>
      </c>
      <c r="L3107" s="17" t="str">
        <f>Raw_Data!L3107</f>
        <v>Bangalore-South</v>
      </c>
      <c r="M3107" s="13" t="str">
        <f t="shared" si="3"/>
        <v>OK</v>
      </c>
      <c r="N3107" s="18" t="str">
        <f t="shared" si="4"/>
        <v>VALID</v>
      </c>
    </row>
    <row r="3108" ht="15.75" customHeight="1">
      <c r="A3108" s="13" t="str">
        <f>Raw_Data!A3108</f>
        <v>EMP3273</v>
      </c>
      <c r="B3108" s="13" t="str">
        <f>TRIM(CLEAN(Raw_Data!B3108))</f>
        <v>IT</v>
      </c>
      <c r="C3108" s="18" t="s">
        <v>18</v>
      </c>
      <c r="D3108" s="14" t="str">
        <f>IF(ISBLANK(Raw_Data!D3108),AVERAGE(Raw_Data!D$2:D$5002),Raw_Data!D3108)</f>
        <v>83711.65</v>
      </c>
      <c r="E3108" s="15" t="str">
        <f>IF(ISBLANK(Raw_Data!E3108),AVERAGE(Raw_Data!E$2:E$5002),Raw_Data!E3108)</f>
        <v>29094.60</v>
      </c>
      <c r="F3108" s="15" t="str">
        <f>IF(ISBLANK(Raw_Data!F3108),AVERAGE(Raw_Data!F$2:F$5002),Raw_Data!F3108)</f>
        <v>25307.91</v>
      </c>
      <c r="G3108" s="14" t="str">
        <f>IF(ISBLANK(Raw_Data!G3108),AVERAGE(Raw_Data!G$2:G$5002),Raw_Data!G3108)</f>
        <v>18029.96</v>
      </c>
      <c r="H3108" s="15" t="str">
        <f t="shared" si="1"/>
        <v>138114.00</v>
      </c>
      <c r="I3108" s="14" t="str">
        <f t="shared" si="2"/>
        <v>120084.00</v>
      </c>
      <c r="J3108" s="16" t="str">
        <f>TEXT(Raw_Data!J3108,"MMM-YYY")</f>
        <v>May-2025</v>
      </c>
      <c r="K3108" s="13" t="str">
        <f>Raw_Data!K3108</f>
        <v>11</v>
      </c>
      <c r="L3108" s="17" t="str">
        <f>Raw_Data!L3108</f>
        <v>Chennai-South</v>
      </c>
      <c r="M3108" s="13" t="str">
        <f t="shared" si="3"/>
        <v>OK</v>
      </c>
      <c r="N3108" s="18" t="str">
        <f t="shared" si="4"/>
        <v>VALID</v>
      </c>
    </row>
    <row r="3109" ht="15.75" customHeight="1">
      <c r="A3109" s="13" t="str">
        <f>Raw_Data!A3109</f>
        <v>EMP3274</v>
      </c>
      <c r="B3109" s="13" t="str">
        <f>TRIM(CLEAN(Raw_Data!B3109))</f>
        <v>Operations</v>
      </c>
      <c r="C3109" s="18" t="s">
        <v>30</v>
      </c>
      <c r="D3109" s="14" t="str">
        <f>IF(ISBLANK(Raw_Data!D3109),AVERAGE(Raw_Data!D$2:D$5002),Raw_Data!D3109)</f>
        <v>83722.54</v>
      </c>
      <c r="E3109" s="15" t="str">
        <f>IF(ISBLANK(Raw_Data!E3109),AVERAGE(Raw_Data!E$2:E$5002),Raw_Data!E3109)</f>
        <v>29099.21</v>
      </c>
      <c r="F3109" s="15" t="str">
        <f>IF(ISBLANK(Raw_Data!F3109),AVERAGE(Raw_Data!F$2:F$5002),Raw_Data!F3109)</f>
        <v>25315.59</v>
      </c>
      <c r="G3109" s="14" t="str">
        <f>IF(ISBLANK(Raw_Data!G3109),AVERAGE(Raw_Data!G$2:G$5002),Raw_Data!G3109)</f>
        <v>18033.36</v>
      </c>
      <c r="H3109" s="15" t="str">
        <f t="shared" si="1"/>
        <v>138137.00</v>
      </c>
      <c r="I3109" s="14" t="str">
        <f t="shared" si="2"/>
        <v>120104.00</v>
      </c>
      <c r="J3109" s="16" t="str">
        <f>TEXT(Raw_Data!J3109,"MMM-YYY")</f>
        <v>Apr-2025</v>
      </c>
      <c r="K3109" s="13" t="str">
        <f>Raw_Data!K3109</f>
        <v>21</v>
      </c>
      <c r="L3109" s="17" t="str">
        <f>Raw_Data!L3109</f>
        <v>Kolkata-East</v>
      </c>
      <c r="M3109" s="13" t="str">
        <f t="shared" si="3"/>
        <v>OK</v>
      </c>
      <c r="N3109" s="18" t="str">
        <f t="shared" si="4"/>
        <v>VALID</v>
      </c>
    </row>
    <row r="3110" ht="15.75" customHeight="1">
      <c r="A3110" s="13" t="str">
        <f>Raw_Data!A3110</f>
        <v>EMP3275</v>
      </c>
      <c r="B3110" s="13" t="str">
        <f>TRIM(CLEAN(Raw_Data!B3110))</f>
        <v>Sales</v>
      </c>
      <c r="C3110" s="18" t="s">
        <v>26</v>
      </c>
      <c r="D3110" s="14" t="str">
        <f>IF(ISBLANK(Raw_Data!D3110),AVERAGE(Raw_Data!D$2:D$5002),Raw_Data!D3110)</f>
        <v>83733.42</v>
      </c>
      <c r="E3110" s="15" t="str">
        <f>IF(ISBLANK(Raw_Data!E3110),AVERAGE(Raw_Data!E$2:E$5002),Raw_Data!E3110)</f>
        <v>29103.83</v>
      </c>
      <c r="F3110" s="15" t="str">
        <f>IF(ISBLANK(Raw_Data!F3110),AVERAGE(Raw_Data!F$2:F$5002),Raw_Data!F3110)</f>
        <v>25323.27</v>
      </c>
      <c r="G3110" s="14" t="str">
        <f>IF(ISBLANK(Raw_Data!G3110),AVERAGE(Raw_Data!G$2:G$5002),Raw_Data!G3110)</f>
        <v>18036.76</v>
      </c>
      <c r="H3110" s="15" t="str">
        <f t="shared" si="1"/>
        <v>138161.00</v>
      </c>
      <c r="I3110" s="14" t="str">
        <f t="shared" si="2"/>
        <v>120124.00</v>
      </c>
      <c r="J3110" s="16" t="str">
        <f>TEXT(Raw_Data!J3110,"MMM-YYY")</f>
        <v>Dec-2025</v>
      </c>
      <c r="K3110" s="13" t="str">
        <f>Raw_Data!K3110</f>
        <v>3</v>
      </c>
      <c r="L3110" s="17" t="str">
        <f>Raw_Data!L3110</f>
        <v>Pune-West</v>
      </c>
      <c r="M3110" s="13" t="str">
        <f t="shared" si="3"/>
        <v>OK</v>
      </c>
      <c r="N3110" s="18" t="str">
        <f t="shared" si="4"/>
        <v>VALID</v>
      </c>
    </row>
    <row r="3111" ht="15.75" customHeight="1">
      <c r="A3111" s="13" t="str">
        <f>Raw_Data!A3111</f>
        <v>EMP3276</v>
      </c>
      <c r="B3111" s="13" t="str">
        <f>TRIM(CLEAN(Raw_Data!B3111))</f>
        <v>HR</v>
      </c>
      <c r="C3111" s="18" t="s">
        <v>26</v>
      </c>
      <c r="D3111" s="14" t="str">
        <f>IF(ISBLANK(Raw_Data!D3111),AVERAGE(Raw_Data!D$2:D$5002),Raw_Data!D3111)</f>
        <v>83744.30</v>
      </c>
      <c r="E3111" s="15" t="str">
        <f>IF(ISBLANK(Raw_Data!E3111),AVERAGE(Raw_Data!E$2:E$5002),Raw_Data!E3111)</f>
        <v>29108.44</v>
      </c>
      <c r="F3111" s="15" t="str">
        <f>IF(ISBLANK(Raw_Data!F3111),AVERAGE(Raw_Data!F$2:F$5002),Raw_Data!F3111)</f>
        <v>25330.95</v>
      </c>
      <c r="G3111" s="14" t="str">
        <f>IF(ISBLANK(Raw_Data!G3111),AVERAGE(Raw_Data!G$2:G$5002),Raw_Data!G3111)</f>
        <v>18040.15</v>
      </c>
      <c r="H3111" s="15" t="str">
        <f t="shared" si="1"/>
        <v>138184.00</v>
      </c>
      <c r="I3111" s="14" t="str">
        <f t="shared" si="2"/>
        <v>120144.00</v>
      </c>
      <c r="J3111" s="16" t="str">
        <f>TEXT(Raw_Data!J3111,"MMM-YYY")</f>
        <v>Jun-2025</v>
      </c>
      <c r="K3111" s="13" t="str">
        <f>Raw_Data!K3111</f>
        <v>6</v>
      </c>
      <c r="L3111" s="17" t="str">
        <f>Raw_Data!L3111</f>
        <v>Hyderabad-South</v>
      </c>
      <c r="M3111" s="13" t="str">
        <f t="shared" si="3"/>
        <v>OK</v>
      </c>
      <c r="N3111" s="18" t="str">
        <f t="shared" si="4"/>
        <v>VALID</v>
      </c>
    </row>
    <row r="3112" ht="15.75" customHeight="1">
      <c r="A3112" s="13" t="str">
        <f>Raw_Data!A3112</f>
        <v>EMP3277</v>
      </c>
      <c r="B3112" s="13" t="str">
        <f>TRIM(CLEAN(Raw_Data!B3112))</f>
        <v>Customer Support</v>
      </c>
      <c r="C3112" s="18" t="s">
        <v>14</v>
      </c>
      <c r="D3112" s="14" t="str">
        <f>IF(ISBLANK(Raw_Data!D3112),AVERAGE(Raw_Data!D$2:D$5002),Raw_Data!D3112)</f>
        <v>83755.19</v>
      </c>
      <c r="E3112" s="15" t="str">
        <f>IF(ISBLANK(Raw_Data!E3112),AVERAGE(Raw_Data!E$2:E$5002),Raw_Data!E3112)</f>
        <v>29113.06</v>
      </c>
      <c r="F3112" s="15" t="str">
        <f>IF(ISBLANK(Raw_Data!F3112),AVERAGE(Raw_Data!F$2:F$5002),Raw_Data!F3112)</f>
        <v>25338.63</v>
      </c>
      <c r="G3112" s="14" t="str">
        <f>IF(ISBLANK(Raw_Data!G3112),AVERAGE(Raw_Data!G$2:G$5002),Raw_Data!G3112)</f>
        <v>18043.55</v>
      </c>
      <c r="H3112" s="15" t="str">
        <f t="shared" si="1"/>
        <v>138207.00</v>
      </c>
      <c r="I3112" s="14" t="str">
        <f t="shared" si="2"/>
        <v>120163.00</v>
      </c>
      <c r="J3112" s="16" t="str">
        <f>TEXT(Raw_Data!J3112,"MMM-YYY")</f>
        <v>Oct-2025</v>
      </c>
      <c r="K3112" s="13" t="str">
        <f>Raw_Data!K3112</f>
        <v>2</v>
      </c>
      <c r="L3112" s="17" t="str">
        <f>Raw_Data!L3112</f>
        <v>Chandigarh-North</v>
      </c>
      <c r="M3112" s="13" t="str">
        <f t="shared" si="3"/>
        <v>OK</v>
      </c>
      <c r="N3112" s="18" t="str">
        <f t="shared" si="4"/>
        <v>VALID</v>
      </c>
    </row>
    <row r="3113" ht="15.75" customHeight="1">
      <c r="A3113" s="13" t="str">
        <f>Raw_Data!A3113</f>
        <v>EMP3278</v>
      </c>
      <c r="B3113" s="13" t="str">
        <f>TRIM(CLEAN(Raw_Data!B3113))</f>
        <v>Customer Support</v>
      </c>
      <c r="C3113" s="18" t="s">
        <v>14</v>
      </c>
      <c r="D3113" s="14" t="str">
        <f>IF(ISBLANK(Raw_Data!D3113),AVERAGE(Raw_Data!D$2:D$5002),Raw_Data!D3113)</f>
        <v>83766.07</v>
      </c>
      <c r="E3113" s="15" t="str">
        <f>IF(ISBLANK(Raw_Data!E3113),AVERAGE(Raw_Data!E$2:E$5002),Raw_Data!E3113)</f>
        <v>29117.67</v>
      </c>
      <c r="F3113" s="15" t="str">
        <f>IF(ISBLANK(Raw_Data!F3113),AVERAGE(Raw_Data!F$2:F$5002),Raw_Data!F3113)</f>
        <v>25346.31</v>
      </c>
      <c r="G3113" s="14" t="str">
        <f>IF(ISBLANK(Raw_Data!G3113),AVERAGE(Raw_Data!G$2:G$5002),Raw_Data!G3113)</f>
        <v>18046.95</v>
      </c>
      <c r="H3113" s="15" t="str">
        <f t="shared" si="1"/>
        <v>138230.00</v>
      </c>
      <c r="I3113" s="14" t="str">
        <f t="shared" si="2"/>
        <v>120183.00</v>
      </c>
      <c r="J3113" s="16" t="str">
        <f>TEXT(Raw_Data!J3113,"MMM-YYY")</f>
        <v>Aug-2025</v>
      </c>
      <c r="K3113" s="13" t="str">
        <f>Raw_Data!K3113</f>
        <v>2</v>
      </c>
      <c r="L3113" s="17" t="str">
        <f>Raw_Data!L3113</f>
        <v>Ahmedabad-West</v>
      </c>
      <c r="M3113" s="13" t="str">
        <f t="shared" si="3"/>
        <v>OK</v>
      </c>
      <c r="N3113" s="18" t="str">
        <f t="shared" si="4"/>
        <v>VALID</v>
      </c>
    </row>
    <row r="3114" ht="15.75" customHeight="1">
      <c r="A3114" s="13" t="str">
        <f>Raw_Data!A3114</f>
        <v>EMP3279</v>
      </c>
      <c r="B3114" s="13" t="str">
        <f>TRIM(CLEAN(Raw_Data!B3114))</f>
        <v>HR</v>
      </c>
      <c r="C3114" s="18" t="s">
        <v>14</v>
      </c>
      <c r="D3114" s="14" t="str">
        <f>IF(ISBLANK(Raw_Data!D3114),AVERAGE(Raw_Data!D$2:D$5002),Raw_Data!D3114)</f>
        <v>83776.95</v>
      </c>
      <c r="E3114" s="15" t="str">
        <f>IF(ISBLANK(Raw_Data!E3114),AVERAGE(Raw_Data!E$2:E$5002),Raw_Data!E3114)</f>
        <v>29122.29</v>
      </c>
      <c r="F3114" s="15" t="str">
        <f>IF(ISBLANK(Raw_Data!F3114),AVERAGE(Raw_Data!F$2:F$5002),Raw_Data!F3114)</f>
        <v>25353.99</v>
      </c>
      <c r="G3114" s="14" t="str">
        <f>IF(ISBLANK(Raw_Data!G3114),AVERAGE(Raw_Data!G$2:G$5002),Raw_Data!G3114)</f>
        <v>18050.35</v>
      </c>
      <c r="H3114" s="15" t="str">
        <f t="shared" si="1"/>
        <v>138253.00</v>
      </c>
      <c r="I3114" s="14" t="str">
        <f t="shared" si="2"/>
        <v>120203.00</v>
      </c>
      <c r="J3114" s="16" t="str">
        <f>TEXT(Raw_Data!J3114,"MMM-YYY")</f>
        <v>Apr-2025</v>
      </c>
      <c r="K3114" s="13" t="str">
        <f>Raw_Data!K3114</f>
        <v>4</v>
      </c>
      <c r="L3114" s="17" t="str">
        <f>Raw_Data!L3114</f>
        <v>Jaipur-North</v>
      </c>
      <c r="M3114" s="13" t="str">
        <f t="shared" si="3"/>
        <v>OK</v>
      </c>
      <c r="N3114" s="18" t="str">
        <f t="shared" si="4"/>
        <v>VALID</v>
      </c>
    </row>
    <row r="3115" ht="15.75" customHeight="1">
      <c r="A3115" s="13" t="str">
        <f>Raw_Data!A3115</f>
        <v>EMP3280</v>
      </c>
      <c r="B3115" s="13" t="str">
        <f>TRIM(CLEAN(Raw_Data!B3115))</f>
        <v>IT</v>
      </c>
      <c r="C3115" s="18" t="s">
        <v>26</v>
      </c>
      <c r="D3115" s="14" t="str">
        <f>IF(ISBLANK(Raw_Data!D3115),AVERAGE(Raw_Data!D$2:D$5002),Raw_Data!D3115)</f>
        <v>83787.84</v>
      </c>
      <c r="E3115" s="15" t="str">
        <f>IF(ISBLANK(Raw_Data!E3115),AVERAGE(Raw_Data!E$2:E$5002),Raw_Data!E3115)</f>
        <v>29126.90</v>
      </c>
      <c r="F3115" s="15" t="str">
        <f>IF(ISBLANK(Raw_Data!F3115),AVERAGE(Raw_Data!F$2:F$5002),Raw_Data!F3115)</f>
        <v>25361.67</v>
      </c>
      <c r="G3115" s="14" t="str">
        <f>IF(ISBLANK(Raw_Data!G3115),AVERAGE(Raw_Data!G$2:G$5002),Raw_Data!G3115)</f>
        <v>18053.75</v>
      </c>
      <c r="H3115" s="15" t="str">
        <f t="shared" si="1"/>
        <v>138276.00</v>
      </c>
      <c r="I3115" s="14" t="str">
        <f t="shared" si="2"/>
        <v>120222.00</v>
      </c>
      <c r="J3115" s="16" t="str">
        <f>TEXT(Raw_Data!J3115,"MMM-YYY")</f>
        <v>Feb-2025</v>
      </c>
      <c r="K3115" s="13" t="str">
        <f>Raw_Data!K3115</f>
        <v>8</v>
      </c>
      <c r="L3115" s="17" t="str">
        <f>Raw_Data!L3115</f>
        <v>Mumbai-HO</v>
      </c>
      <c r="M3115" s="13" t="str">
        <f t="shared" si="3"/>
        <v>OK</v>
      </c>
      <c r="N3115" s="18" t="str">
        <f t="shared" si="4"/>
        <v>VALID</v>
      </c>
    </row>
    <row r="3116" ht="15.75" customHeight="1">
      <c r="A3116" s="13" t="str">
        <f>Raw_Data!A3116</f>
        <v>EMP3281</v>
      </c>
      <c r="B3116" s="13" t="str">
        <f>TRIM(CLEAN(Raw_Data!B3116))</f>
        <v>Sales</v>
      </c>
      <c r="C3116" s="18" t="s">
        <v>18</v>
      </c>
      <c r="D3116" s="14" t="str">
        <f>IF(ISBLANK(Raw_Data!D3116),AVERAGE(Raw_Data!D$2:D$5002),Raw_Data!D3116)</f>
        <v>83798.72</v>
      </c>
      <c r="E3116" s="15" t="str">
        <f>IF(ISBLANK(Raw_Data!E3116),AVERAGE(Raw_Data!E$2:E$5002),Raw_Data!E3116)</f>
        <v>29131.52</v>
      </c>
      <c r="F3116" s="15" t="str">
        <f>IF(ISBLANK(Raw_Data!F3116),AVERAGE(Raw_Data!F$2:F$5002),Raw_Data!F3116)</f>
        <v>25369.35</v>
      </c>
      <c r="G3116" s="14" t="str">
        <f>IF(ISBLANK(Raw_Data!G3116),AVERAGE(Raw_Data!G$2:G$5002),Raw_Data!G3116)</f>
        <v>18057.14</v>
      </c>
      <c r="H3116" s="15" t="str">
        <f t="shared" si="1"/>
        <v>138300.00</v>
      </c>
      <c r="I3116" s="14" t="str">
        <f t="shared" si="2"/>
        <v>120243.00</v>
      </c>
      <c r="J3116" s="16" t="str">
        <f>TEXT(Raw_Data!J3116,"MMM-YYY")</f>
        <v>Sep-2025</v>
      </c>
      <c r="K3116" s="13" t="str">
        <f>Raw_Data!K3116</f>
        <v>7</v>
      </c>
      <c r="L3116" s="17" t="str">
        <f>Raw_Data!L3116</f>
        <v>Delhi-North</v>
      </c>
      <c r="M3116" s="13" t="str">
        <f t="shared" si="3"/>
        <v>OK</v>
      </c>
      <c r="N3116" s="18" t="str">
        <f t="shared" si="4"/>
        <v>VALID</v>
      </c>
    </row>
    <row r="3117" ht="15.75" customHeight="1">
      <c r="A3117" s="13" t="str">
        <f>Raw_Data!A3117</f>
        <v>EMP3283</v>
      </c>
      <c r="B3117" s="13" t="str">
        <f>TRIM(CLEAN(Raw_Data!B3117))</f>
        <v>HR</v>
      </c>
      <c r="C3117" s="18" t="s">
        <v>18</v>
      </c>
      <c r="D3117" s="14" t="str">
        <f>IF(ISBLANK(Raw_Data!D3117),AVERAGE(Raw_Data!D$2:D$5002),Raw_Data!D3117)</f>
        <v>83820.48</v>
      </c>
      <c r="E3117" s="15" t="str">
        <f>IF(ISBLANK(Raw_Data!E3117),AVERAGE(Raw_Data!E$2:E$5002),Raw_Data!E3117)</f>
        <v>29140.74</v>
      </c>
      <c r="F3117" s="15" t="str">
        <f>IF(ISBLANK(Raw_Data!F3117),AVERAGE(Raw_Data!F$2:F$5002),Raw_Data!F3117)</f>
        <v>25384.71</v>
      </c>
      <c r="G3117" s="14" t="str">
        <f>IF(ISBLANK(Raw_Data!G3117),AVERAGE(Raw_Data!G$2:G$5002),Raw_Data!G3117)</f>
        <v>18063.94</v>
      </c>
      <c r="H3117" s="15" t="str">
        <f t="shared" si="1"/>
        <v>138346.00</v>
      </c>
      <c r="I3117" s="14" t="str">
        <f t="shared" si="2"/>
        <v>120282.00</v>
      </c>
      <c r="J3117" s="16" t="str">
        <f>TEXT(Raw_Data!J3117,"MMM-YYY")</f>
        <v>May-2025</v>
      </c>
      <c r="K3117" s="13" t="str">
        <f>Raw_Data!K3117</f>
        <v>16</v>
      </c>
      <c r="L3117" s="17" t="str">
        <f>Raw_Data!L3117</f>
        <v>Chennai-South</v>
      </c>
      <c r="M3117" s="13" t="str">
        <f t="shared" si="3"/>
        <v>OK</v>
      </c>
      <c r="N3117" s="18" t="str">
        <f t="shared" si="4"/>
        <v>VALID</v>
      </c>
    </row>
    <row r="3118" ht="15.75" customHeight="1">
      <c r="A3118" s="13" t="str">
        <f>Raw_Data!A3118</f>
        <v>EMP3284</v>
      </c>
      <c r="B3118" s="13" t="str">
        <f>TRIM(CLEAN(Raw_Data!B3118))</f>
        <v>HR</v>
      </c>
      <c r="C3118" s="18" t="s">
        <v>14</v>
      </c>
      <c r="D3118" s="14" t="str">
        <f>IF(ISBLANK(Raw_Data!D3118),AVERAGE(Raw_Data!D$2:D$5002),Raw_Data!D3118)</f>
        <v>83831.37</v>
      </c>
      <c r="E3118" s="15" t="str">
        <f>IF(ISBLANK(Raw_Data!E3118),AVERAGE(Raw_Data!E$2:E$5002),Raw_Data!E3118)</f>
        <v>29145.36</v>
      </c>
      <c r="F3118" s="15" t="str">
        <f>IF(ISBLANK(Raw_Data!F3118),AVERAGE(Raw_Data!F$2:F$5002),Raw_Data!F3118)</f>
        <v>25392.39</v>
      </c>
      <c r="G3118" s="14" t="str">
        <f>IF(ISBLANK(Raw_Data!G3118),AVERAGE(Raw_Data!G$2:G$5002),Raw_Data!G3118)</f>
        <v>18067.34</v>
      </c>
      <c r="H3118" s="15" t="str">
        <f t="shared" si="1"/>
        <v>138369.00</v>
      </c>
      <c r="I3118" s="14" t="str">
        <f t="shared" si="2"/>
        <v>120302.00</v>
      </c>
      <c r="J3118" s="16" t="str">
        <f>TEXT(Raw_Data!J3118,"MMM-YYY")</f>
        <v>Jul-2025</v>
      </c>
      <c r="K3118" s="13" t="str">
        <f>Raw_Data!K3118</f>
        <v>12</v>
      </c>
      <c r="L3118" s="17" t="str">
        <f>Raw_Data!L3118</f>
        <v>Kolkata-East</v>
      </c>
      <c r="M3118" s="13" t="str">
        <f t="shared" si="3"/>
        <v>OK</v>
      </c>
      <c r="N3118" s="18" t="str">
        <f t="shared" si="4"/>
        <v>VALID</v>
      </c>
    </row>
    <row r="3119" ht="15.75" customHeight="1">
      <c r="A3119" s="13" t="str">
        <f>Raw_Data!A3119</f>
        <v>EMP3285</v>
      </c>
      <c r="B3119" s="13" t="str">
        <f>TRIM(CLEAN(Raw_Data!B3119))</f>
        <v>Customer Support</v>
      </c>
      <c r="C3119" s="18" t="s">
        <v>33</v>
      </c>
      <c r="D3119" s="14" t="str">
        <f>IF(ISBLANK(Raw_Data!D3119),AVERAGE(Raw_Data!D$2:D$5002),Raw_Data!D3119)</f>
        <v>83842.25</v>
      </c>
      <c r="E3119" s="15" t="str">
        <f>IF(ISBLANK(Raw_Data!E3119),AVERAGE(Raw_Data!E$2:E$5002),Raw_Data!E3119)</f>
        <v>29149.97</v>
      </c>
      <c r="F3119" s="15" t="str">
        <f>IF(ISBLANK(Raw_Data!F3119),AVERAGE(Raw_Data!F$2:F$5002),Raw_Data!F3119)</f>
        <v>25400.07</v>
      </c>
      <c r="G3119" s="14" t="str">
        <f>IF(ISBLANK(Raw_Data!G3119),AVERAGE(Raw_Data!G$2:G$5002),Raw_Data!G3119)</f>
        <v>18070.73</v>
      </c>
      <c r="H3119" s="15" t="str">
        <f t="shared" si="1"/>
        <v>138392.00</v>
      </c>
      <c r="I3119" s="14" t="str">
        <f t="shared" si="2"/>
        <v>120321.00</v>
      </c>
      <c r="J3119" s="16" t="str">
        <f>TEXT(Raw_Data!J3119,"MMM-YYY")</f>
        <v>Mar-2025</v>
      </c>
      <c r="K3119" s="13" t="str">
        <f>Raw_Data!K3119</f>
        <v>23</v>
      </c>
      <c r="L3119" s="17" t="str">
        <f>Raw_Data!L3119</f>
        <v>Pune-West</v>
      </c>
      <c r="M3119" s="13" t="str">
        <f t="shared" si="3"/>
        <v>OK</v>
      </c>
      <c r="N3119" s="18" t="str">
        <f t="shared" si="4"/>
        <v>VALID</v>
      </c>
    </row>
    <row r="3120" ht="15.75" customHeight="1">
      <c r="A3120" s="13" t="str">
        <f>Raw_Data!A3120</f>
        <v>EMP3286</v>
      </c>
      <c r="B3120" s="13" t="str">
        <f>TRIM(CLEAN(Raw_Data!B3120))</f>
        <v>Marketing</v>
      </c>
      <c r="C3120" s="18" t="s">
        <v>14</v>
      </c>
      <c r="D3120" s="14" t="str">
        <f>IF(ISBLANK(Raw_Data!D3120),AVERAGE(Raw_Data!D$2:D$5002),Raw_Data!D3120)</f>
        <v>83853.13</v>
      </c>
      <c r="E3120" s="15" t="str">
        <f>IF(ISBLANK(Raw_Data!E3120),AVERAGE(Raw_Data!E$2:E$5002),Raw_Data!E3120)</f>
        <v>29154.59</v>
      </c>
      <c r="F3120" s="15" t="str">
        <f>IF(ISBLANK(Raw_Data!F3120),AVERAGE(Raw_Data!F$2:F$5002),Raw_Data!F3120)</f>
        <v>25407.75</v>
      </c>
      <c r="G3120" s="14" t="str">
        <f>IF(ISBLANK(Raw_Data!G3120),AVERAGE(Raw_Data!G$2:G$5002),Raw_Data!G3120)</f>
        <v>18074.13</v>
      </c>
      <c r="H3120" s="15" t="str">
        <f t="shared" si="1"/>
        <v>138415.00</v>
      </c>
      <c r="I3120" s="14" t="str">
        <f t="shared" si="2"/>
        <v>120341.00</v>
      </c>
      <c r="J3120" s="16" t="str">
        <f>TEXT(Raw_Data!J3120,"MMM-YYY")</f>
        <v>Jan-2025</v>
      </c>
      <c r="K3120" s="13" t="str">
        <f>Raw_Data!K3120</f>
        <v>8</v>
      </c>
      <c r="L3120" s="17" t="str">
        <f>Raw_Data!L3120</f>
        <v>Hyderabad-South</v>
      </c>
      <c r="M3120" s="13" t="str">
        <f t="shared" si="3"/>
        <v>OK</v>
      </c>
      <c r="N3120" s="18" t="str">
        <f t="shared" si="4"/>
        <v>VALID</v>
      </c>
    </row>
    <row r="3121" ht="15.75" customHeight="1">
      <c r="A3121" s="13" t="str">
        <f>Raw_Data!A3121</f>
        <v>EMP3287</v>
      </c>
      <c r="B3121" s="13" t="str">
        <f>TRIM(CLEAN(Raw_Data!B3121))</f>
        <v>Marketing</v>
      </c>
      <c r="C3121" s="18" t="s">
        <v>14</v>
      </c>
      <c r="D3121" s="14" t="str">
        <f>IF(ISBLANK(Raw_Data!D3121),AVERAGE(Raw_Data!D$2:D$5002),Raw_Data!D3121)</f>
        <v>83864.02</v>
      </c>
      <c r="E3121" s="15" t="str">
        <f>IF(ISBLANK(Raw_Data!E3121),AVERAGE(Raw_Data!E$2:E$5002),Raw_Data!E3121)</f>
        <v>29159.20</v>
      </c>
      <c r="F3121" s="15" t="str">
        <f>IF(ISBLANK(Raw_Data!F3121),AVERAGE(Raw_Data!F$2:F$5002),Raw_Data!F3121)</f>
        <v>25415.43</v>
      </c>
      <c r="G3121" s="14" t="str">
        <f>IF(ISBLANK(Raw_Data!G3121),AVERAGE(Raw_Data!G$2:G$5002),Raw_Data!G3121)</f>
        <v>18077.53</v>
      </c>
      <c r="H3121" s="15" t="str">
        <f t="shared" si="1"/>
        <v>138439.00</v>
      </c>
      <c r="I3121" s="14" t="str">
        <f t="shared" si="2"/>
        <v>120361.00</v>
      </c>
      <c r="J3121" s="16" t="str">
        <f>TEXT(Raw_Data!J3121,"MMM-YYY")</f>
        <v>May-2025</v>
      </c>
      <c r="K3121" s="13" t="str">
        <f>Raw_Data!K3121</f>
        <v>21</v>
      </c>
      <c r="L3121" s="17" t="str">
        <f>Raw_Data!L3121</f>
        <v>Chandigarh-North</v>
      </c>
      <c r="M3121" s="13" t="str">
        <f t="shared" si="3"/>
        <v>OK</v>
      </c>
      <c r="N3121" s="18" t="str">
        <f t="shared" si="4"/>
        <v>VALID</v>
      </c>
    </row>
    <row r="3122" ht="15.75" customHeight="1">
      <c r="A3122" s="13" t="str">
        <f>Raw_Data!A3122</f>
        <v>EMP3288</v>
      </c>
      <c r="B3122" s="13" t="str">
        <f>TRIM(CLEAN(Raw_Data!B3122))</f>
        <v>Marketing</v>
      </c>
      <c r="C3122" s="18" t="s">
        <v>26</v>
      </c>
      <c r="D3122" s="14" t="str">
        <f>IF(ISBLANK(Raw_Data!D3122),AVERAGE(Raw_Data!D$2:D$5002),Raw_Data!D3122)</f>
        <v>83874.90</v>
      </c>
      <c r="E3122" s="15" t="str">
        <f>IF(ISBLANK(Raw_Data!E3122),AVERAGE(Raw_Data!E$2:E$5002),Raw_Data!E3122)</f>
        <v>29163.82</v>
      </c>
      <c r="F3122" s="15" t="str">
        <f>IF(ISBLANK(Raw_Data!F3122),AVERAGE(Raw_Data!F$2:F$5002),Raw_Data!F3122)</f>
        <v>25423.11</v>
      </c>
      <c r="G3122" s="14" t="str">
        <f>IF(ISBLANK(Raw_Data!G3122),AVERAGE(Raw_Data!G$2:G$5002),Raw_Data!G3122)</f>
        <v>18080.93</v>
      </c>
      <c r="H3122" s="15" t="str">
        <f t="shared" si="1"/>
        <v>138462.00</v>
      </c>
      <c r="I3122" s="14" t="str">
        <f t="shared" si="2"/>
        <v>120381.00</v>
      </c>
      <c r="J3122" s="16" t="str">
        <f>TEXT(Raw_Data!J3122,"MMM-YYY")</f>
        <v>Jun-2025</v>
      </c>
      <c r="K3122" s="13" t="str">
        <f>Raw_Data!K3122</f>
        <v>24</v>
      </c>
      <c r="L3122" s="17" t="str">
        <f>Raw_Data!L3122</f>
        <v>Ahmedabad-West</v>
      </c>
      <c r="M3122" s="13" t="str">
        <f t="shared" si="3"/>
        <v>OK</v>
      </c>
      <c r="N3122" s="18" t="str">
        <f t="shared" si="4"/>
        <v>VALID</v>
      </c>
    </row>
    <row r="3123" ht="15.75" customHeight="1">
      <c r="A3123" s="13" t="str">
        <f>Raw_Data!A3123</f>
        <v>EMP3289</v>
      </c>
      <c r="B3123" s="13" t="str">
        <f>TRIM(CLEAN(Raw_Data!B3123))</f>
        <v>Sales</v>
      </c>
      <c r="C3123" s="18" t="s">
        <v>30</v>
      </c>
      <c r="D3123" s="14" t="str">
        <f>IF(ISBLANK(Raw_Data!D3123),AVERAGE(Raw_Data!D$2:D$5002),Raw_Data!D3123)</f>
        <v>83885.78</v>
      </c>
      <c r="E3123" s="15" t="str">
        <f>IF(ISBLANK(Raw_Data!E3123),AVERAGE(Raw_Data!E$2:E$5002),Raw_Data!E3123)</f>
        <v>29168.43</v>
      </c>
      <c r="F3123" s="15" t="str">
        <f>IF(ISBLANK(Raw_Data!F3123),AVERAGE(Raw_Data!F$2:F$5002),Raw_Data!F3123)</f>
        <v>25430.79</v>
      </c>
      <c r="G3123" s="14" t="str">
        <f>IF(ISBLANK(Raw_Data!G3123),AVERAGE(Raw_Data!G$2:G$5002),Raw_Data!G3123)</f>
        <v>18084.32</v>
      </c>
      <c r="H3123" s="15" t="str">
        <f t="shared" si="1"/>
        <v>138485.00</v>
      </c>
      <c r="I3123" s="14" t="str">
        <f t="shared" si="2"/>
        <v>120401.00</v>
      </c>
      <c r="J3123" s="16" t="str">
        <f>TEXT(Raw_Data!J3123,"MMM-YYY")</f>
        <v>Jun-2025</v>
      </c>
      <c r="K3123" s="13" t="str">
        <f>Raw_Data!K3123</f>
        <v>6</v>
      </c>
      <c r="L3123" s="17" t="str">
        <f>Raw_Data!L3123</f>
        <v>Jaipur-North</v>
      </c>
      <c r="M3123" s="13" t="str">
        <f t="shared" si="3"/>
        <v>OK</v>
      </c>
      <c r="N3123" s="18" t="str">
        <f t="shared" si="4"/>
        <v>VALID</v>
      </c>
    </row>
    <row r="3124" ht="15.75" customHeight="1">
      <c r="A3124" s="13" t="str">
        <f>Raw_Data!A3124</f>
        <v>EMP3290</v>
      </c>
      <c r="B3124" s="13" t="str">
        <f>TRIM(CLEAN(Raw_Data!B3124))</f>
        <v>Finance</v>
      </c>
      <c r="C3124" s="18" t="s">
        <v>54</v>
      </c>
      <c r="D3124" s="14" t="str">
        <f>IF(ISBLANK(Raw_Data!D3124),AVERAGE(Raw_Data!D$2:D$5002),Raw_Data!D3124)</f>
        <v>83896.67</v>
      </c>
      <c r="E3124" s="15" t="str">
        <f>IF(ISBLANK(Raw_Data!E3124),AVERAGE(Raw_Data!E$2:E$5002),Raw_Data!E3124)</f>
        <v>29173.05</v>
      </c>
      <c r="F3124" s="15" t="str">
        <f>IF(ISBLANK(Raw_Data!F3124),AVERAGE(Raw_Data!F$2:F$5002),Raw_Data!F3124)</f>
        <v>25438.47</v>
      </c>
      <c r="G3124" s="14" t="str">
        <f>IF(ISBLANK(Raw_Data!G3124),AVERAGE(Raw_Data!G$2:G$5002),Raw_Data!G3124)</f>
        <v>18087.72</v>
      </c>
      <c r="H3124" s="15" t="str">
        <f t="shared" si="1"/>
        <v>138508.00</v>
      </c>
      <c r="I3124" s="14" t="str">
        <f t="shared" si="2"/>
        <v>120420.00</v>
      </c>
      <c r="J3124" s="16" t="str">
        <f>TEXT(Raw_Data!J3124,"MMM-YYY")</f>
        <v>Oct-2025</v>
      </c>
      <c r="K3124" s="13" t="str">
        <f>Raw_Data!K3124</f>
        <v>2</v>
      </c>
      <c r="L3124" s="17" t="str">
        <f>Raw_Data!L3124</f>
        <v>Mumbai-HO</v>
      </c>
      <c r="M3124" s="13" t="str">
        <f t="shared" si="3"/>
        <v>OK</v>
      </c>
      <c r="N3124" s="18" t="str">
        <f t="shared" si="4"/>
        <v>VALID</v>
      </c>
    </row>
    <row r="3125" ht="15.75" customHeight="1">
      <c r="A3125" s="13" t="str">
        <f>Raw_Data!A3125</f>
        <v>EMP3291</v>
      </c>
      <c r="B3125" s="13" t="str">
        <f>TRIM(CLEAN(Raw_Data!B3125))</f>
        <v>IT</v>
      </c>
      <c r="C3125" s="18" t="s">
        <v>54</v>
      </c>
      <c r="D3125" s="14" t="str">
        <f>IF(ISBLANK(Raw_Data!D3125),AVERAGE(Raw_Data!D$2:D$5002),Raw_Data!D3125)</f>
        <v>83907.55</v>
      </c>
      <c r="E3125" s="15" t="str">
        <f>IF(ISBLANK(Raw_Data!E3125),AVERAGE(Raw_Data!E$2:E$5002),Raw_Data!E3125)</f>
        <v>29177.66</v>
      </c>
      <c r="F3125" s="15" t="str">
        <f>IF(ISBLANK(Raw_Data!F3125),AVERAGE(Raw_Data!F$2:F$5002),Raw_Data!F3125)</f>
        <v>25446.15</v>
      </c>
      <c r="G3125" s="14" t="str">
        <f>IF(ISBLANK(Raw_Data!G3125),AVERAGE(Raw_Data!G$2:G$5002),Raw_Data!G3125)</f>
        <v>18091.12</v>
      </c>
      <c r="H3125" s="15" t="str">
        <f t="shared" si="1"/>
        <v>138531.00</v>
      </c>
      <c r="I3125" s="14" t="str">
        <f t="shared" si="2"/>
        <v>120440.00</v>
      </c>
      <c r="J3125" s="16" t="str">
        <f>TEXT(Raw_Data!J3125,"MMM-YYY")</f>
        <v>Sep-2025</v>
      </c>
      <c r="K3125" s="13" t="str">
        <f>Raw_Data!K3125</f>
        <v>8</v>
      </c>
      <c r="L3125" s="17" t="str">
        <f>Raw_Data!L3125</f>
        <v>Delhi-North</v>
      </c>
      <c r="M3125" s="13" t="str">
        <f t="shared" si="3"/>
        <v>OK</v>
      </c>
      <c r="N3125" s="18" t="str">
        <f t="shared" si="4"/>
        <v>VALID</v>
      </c>
    </row>
    <row r="3126" ht="15.75" customHeight="1">
      <c r="A3126" s="13" t="str">
        <f>Raw_Data!A3126</f>
        <v>EMP3292</v>
      </c>
      <c r="B3126" s="13" t="str">
        <f>TRIM(CLEAN(Raw_Data!B3126))</f>
        <v>IT</v>
      </c>
      <c r="C3126" s="18" t="s">
        <v>14</v>
      </c>
      <c r="D3126" s="14" t="str">
        <f>IF(ISBLANK(Raw_Data!D3126),AVERAGE(Raw_Data!D$2:D$5002),Raw_Data!D3126)</f>
        <v>83918.43</v>
      </c>
      <c r="E3126" s="15" t="str">
        <f>IF(ISBLANK(Raw_Data!E3126),AVERAGE(Raw_Data!E$2:E$5002),Raw_Data!E3126)</f>
        <v>29182.28</v>
      </c>
      <c r="F3126" s="15" t="str">
        <f>IF(ISBLANK(Raw_Data!F3126),AVERAGE(Raw_Data!F$2:F$5002),Raw_Data!F3126)</f>
        <v>25453.83</v>
      </c>
      <c r="G3126" s="14" t="str">
        <f>IF(ISBLANK(Raw_Data!G3126),AVERAGE(Raw_Data!G$2:G$5002),Raw_Data!G3126)</f>
        <v>18094.52</v>
      </c>
      <c r="H3126" s="15" t="str">
        <f t="shared" si="1"/>
        <v>138555.00</v>
      </c>
      <c r="I3126" s="14" t="str">
        <f t="shared" si="2"/>
        <v>120460.00</v>
      </c>
      <c r="J3126" s="16" t="str">
        <f>TEXT(Raw_Data!J3126,"MMM-YYY")</f>
        <v>Mar-2025</v>
      </c>
      <c r="K3126" s="13" t="str">
        <f>Raw_Data!K3126</f>
        <v>24</v>
      </c>
      <c r="L3126" s="17" t="str">
        <f>Raw_Data!L3126</f>
        <v>Bangalore-South</v>
      </c>
      <c r="M3126" s="13" t="str">
        <f t="shared" si="3"/>
        <v>OK</v>
      </c>
      <c r="N3126" s="18" t="str">
        <f t="shared" si="4"/>
        <v>VALID</v>
      </c>
    </row>
    <row r="3127" ht="15.75" customHeight="1">
      <c r="A3127" s="13" t="str">
        <f>Raw_Data!A3127</f>
        <v>EMP3293</v>
      </c>
      <c r="B3127" s="13" t="str">
        <f>TRIM(CLEAN(Raw_Data!B3127))</f>
        <v>Sales</v>
      </c>
      <c r="C3127" s="18" t="s">
        <v>18</v>
      </c>
      <c r="D3127" s="14" t="str">
        <f>IF(ISBLANK(Raw_Data!D3127),AVERAGE(Raw_Data!D$2:D$5002),Raw_Data!D3127)</f>
        <v>83929.31</v>
      </c>
      <c r="E3127" s="15" t="str">
        <f>IF(ISBLANK(Raw_Data!E3127),AVERAGE(Raw_Data!E$2:E$5002),Raw_Data!E3127)</f>
        <v>29186.89</v>
      </c>
      <c r="F3127" s="15" t="str">
        <f>IF(ISBLANK(Raw_Data!F3127),AVERAGE(Raw_Data!F$2:F$5002),Raw_Data!F3127)</f>
        <v>25461.51</v>
      </c>
      <c r="G3127" s="14" t="str">
        <f>IF(ISBLANK(Raw_Data!G3127),AVERAGE(Raw_Data!G$2:G$5002),Raw_Data!G3127)</f>
        <v>18097.91</v>
      </c>
      <c r="H3127" s="15" t="str">
        <f t="shared" si="1"/>
        <v>138578.00</v>
      </c>
      <c r="I3127" s="14" t="str">
        <f t="shared" si="2"/>
        <v>120480.00</v>
      </c>
      <c r="J3127" s="16" t="str">
        <f>TEXT(Raw_Data!J3127,"MMM-YYY")</f>
        <v>Nov-2025</v>
      </c>
      <c r="K3127" s="13" t="str">
        <f>Raw_Data!K3127</f>
        <v>9</v>
      </c>
      <c r="L3127" s="17" t="str">
        <f>Raw_Data!L3127</f>
        <v>Chennai-South</v>
      </c>
      <c r="M3127" s="13" t="str">
        <f t="shared" si="3"/>
        <v>OK</v>
      </c>
      <c r="N3127" s="18" t="str">
        <f t="shared" si="4"/>
        <v>VALID</v>
      </c>
    </row>
    <row r="3128" ht="15.75" customHeight="1">
      <c r="A3128" s="13" t="str">
        <f>Raw_Data!A3128</f>
        <v>EMP3294</v>
      </c>
      <c r="B3128" s="13" t="str">
        <f>TRIM(CLEAN(Raw_Data!B3128))</f>
        <v>Marketing</v>
      </c>
      <c r="C3128" s="18" t="s">
        <v>14</v>
      </c>
      <c r="D3128" s="14" t="str">
        <f>IF(ISBLANK(Raw_Data!D3128),AVERAGE(Raw_Data!D$2:D$5002),Raw_Data!D3128)</f>
        <v>83940.20</v>
      </c>
      <c r="E3128" s="15" t="str">
        <f>IF(ISBLANK(Raw_Data!E3128),AVERAGE(Raw_Data!E$2:E$5002),Raw_Data!E3128)</f>
        <v>29191.51</v>
      </c>
      <c r="F3128" s="15" t="str">
        <f>IF(ISBLANK(Raw_Data!F3128),AVERAGE(Raw_Data!F$2:F$5002),Raw_Data!F3128)</f>
        <v>25469.19</v>
      </c>
      <c r="G3128" s="14" t="str">
        <f>IF(ISBLANK(Raw_Data!G3128),AVERAGE(Raw_Data!G$2:G$5002),Raw_Data!G3128)</f>
        <v>18101.31</v>
      </c>
      <c r="H3128" s="15" t="str">
        <f t="shared" si="1"/>
        <v>138601.00</v>
      </c>
      <c r="I3128" s="14" t="str">
        <f t="shared" si="2"/>
        <v>120500.00</v>
      </c>
      <c r="J3128" s="16" t="str">
        <f>TEXT(Raw_Data!J3128,"MMM-YYY")</f>
        <v>Sep-2025</v>
      </c>
      <c r="K3128" s="13" t="str">
        <f>Raw_Data!K3128</f>
        <v>1</v>
      </c>
      <c r="L3128" s="17" t="str">
        <f>Raw_Data!L3128</f>
        <v>Kolkata-East</v>
      </c>
      <c r="M3128" s="13" t="str">
        <f t="shared" si="3"/>
        <v>OK</v>
      </c>
      <c r="N3128" s="18" t="str">
        <f t="shared" si="4"/>
        <v>VALID</v>
      </c>
    </row>
    <row r="3129" ht="15.75" customHeight="1">
      <c r="A3129" s="13" t="str">
        <f>Raw_Data!A3129</f>
        <v>EMP3295</v>
      </c>
      <c r="B3129" s="13" t="str">
        <f>TRIM(CLEAN(Raw_Data!B3129))</f>
        <v>Marketing</v>
      </c>
      <c r="C3129" s="18" t="s">
        <v>37</v>
      </c>
      <c r="D3129" s="14" t="str">
        <f>IF(ISBLANK(Raw_Data!D3129),AVERAGE(Raw_Data!D$2:D$5002),Raw_Data!D3129)</f>
        <v>83951.08</v>
      </c>
      <c r="E3129" s="15" t="str">
        <f>IF(ISBLANK(Raw_Data!E3129),AVERAGE(Raw_Data!E$2:E$5002),Raw_Data!E3129)</f>
        <v>29196.12</v>
      </c>
      <c r="F3129" s="15" t="str">
        <f>IF(ISBLANK(Raw_Data!F3129),AVERAGE(Raw_Data!F$2:F$5002),Raw_Data!F3129)</f>
        <v>25476.87</v>
      </c>
      <c r="G3129" s="14" t="str">
        <f>IF(ISBLANK(Raw_Data!G3129),AVERAGE(Raw_Data!G$2:G$5002),Raw_Data!G3129)</f>
        <v>18104.71</v>
      </c>
      <c r="H3129" s="15" t="str">
        <f t="shared" si="1"/>
        <v>138624.00</v>
      </c>
      <c r="I3129" s="14" t="str">
        <f t="shared" si="2"/>
        <v>120519.00</v>
      </c>
      <c r="J3129" s="16" t="str">
        <f>TEXT(Raw_Data!J3129,"MMM-YYY")</f>
        <v>Apr-2025</v>
      </c>
      <c r="K3129" s="13" t="str">
        <f>Raw_Data!K3129</f>
        <v>14</v>
      </c>
      <c r="L3129" s="17" t="str">
        <f>Raw_Data!L3129</f>
        <v>Pune-West</v>
      </c>
      <c r="M3129" s="13" t="str">
        <f t="shared" si="3"/>
        <v>OK</v>
      </c>
      <c r="N3129" s="18" t="str">
        <f t="shared" si="4"/>
        <v>VALID</v>
      </c>
    </row>
    <row r="3130" ht="15.75" customHeight="1">
      <c r="A3130" s="13" t="str">
        <f>Raw_Data!A3130</f>
        <v>EMP3296</v>
      </c>
      <c r="B3130" s="13" t="str">
        <f>TRIM(CLEAN(Raw_Data!B3130))</f>
        <v>Operations</v>
      </c>
      <c r="C3130" s="18" t="s">
        <v>14</v>
      </c>
      <c r="D3130" s="14" t="str">
        <f>IF(ISBLANK(Raw_Data!D3130),AVERAGE(Raw_Data!D$2:D$5002),Raw_Data!D3130)</f>
        <v>83961.96</v>
      </c>
      <c r="E3130" s="15" t="str">
        <f>IF(ISBLANK(Raw_Data!E3130),AVERAGE(Raw_Data!E$2:E$5002),Raw_Data!E3130)</f>
        <v>29200.74</v>
      </c>
      <c r="F3130" s="15" t="str">
        <f>IF(ISBLANK(Raw_Data!F3130),AVERAGE(Raw_Data!F$2:F$5002),Raw_Data!F3130)</f>
        <v>25484.55</v>
      </c>
      <c r="G3130" s="14" t="str">
        <f>IF(ISBLANK(Raw_Data!G3130),AVERAGE(Raw_Data!G$2:G$5002),Raw_Data!G3130)</f>
        <v>18108.11</v>
      </c>
      <c r="H3130" s="15" t="str">
        <f t="shared" si="1"/>
        <v>138647.00</v>
      </c>
      <c r="I3130" s="14" t="str">
        <f t="shared" si="2"/>
        <v>120539.00</v>
      </c>
      <c r="J3130" s="16" t="str">
        <f>TEXT(Raw_Data!J3130,"MMM-YYY")</f>
        <v>Jun-2025</v>
      </c>
      <c r="K3130" s="13" t="str">
        <f>Raw_Data!K3130</f>
        <v>1</v>
      </c>
      <c r="L3130" s="17" t="str">
        <f>Raw_Data!L3130</f>
        <v>Hyderabad-South</v>
      </c>
      <c r="M3130" s="13" t="str">
        <f t="shared" si="3"/>
        <v>OK</v>
      </c>
      <c r="N3130" s="18" t="str">
        <f t="shared" si="4"/>
        <v>VALID</v>
      </c>
    </row>
    <row r="3131" ht="15.75" customHeight="1">
      <c r="A3131" s="13" t="str">
        <f>Raw_Data!A3131</f>
        <v>EMP3297</v>
      </c>
      <c r="B3131" s="13" t="str">
        <f>TRIM(CLEAN(Raw_Data!B3131))</f>
        <v>Customer Support</v>
      </c>
      <c r="C3131" s="18" t="s">
        <v>14</v>
      </c>
      <c r="D3131" s="14" t="str">
        <f>IF(ISBLANK(Raw_Data!D3131),AVERAGE(Raw_Data!D$2:D$5002),Raw_Data!D3131)</f>
        <v>83972.85</v>
      </c>
      <c r="E3131" s="15" t="str">
        <f>IF(ISBLANK(Raw_Data!E3131),AVERAGE(Raw_Data!E$2:E$5002),Raw_Data!E3131)</f>
        <v>29205.35</v>
      </c>
      <c r="F3131" s="15" t="str">
        <f>IF(ISBLANK(Raw_Data!F3131),AVERAGE(Raw_Data!F$2:F$5002),Raw_Data!F3131)</f>
        <v>25492.23</v>
      </c>
      <c r="G3131" s="14" t="str">
        <f>IF(ISBLANK(Raw_Data!G3131),AVERAGE(Raw_Data!G$2:G$5002),Raw_Data!G3131)</f>
        <v>18111.50</v>
      </c>
      <c r="H3131" s="15" t="str">
        <f t="shared" si="1"/>
        <v>138670.00</v>
      </c>
      <c r="I3131" s="14" t="str">
        <f t="shared" si="2"/>
        <v>120558.00</v>
      </c>
      <c r="J3131" s="16" t="str">
        <f>TEXT(Raw_Data!J3131,"MMM-YYY")</f>
        <v>Jun-2025</v>
      </c>
      <c r="K3131" s="13" t="str">
        <f>Raw_Data!K3131</f>
        <v>20</v>
      </c>
      <c r="L3131" s="17" t="str">
        <f>Raw_Data!L3131</f>
        <v>Chandigarh-North</v>
      </c>
      <c r="M3131" s="13" t="str">
        <f t="shared" si="3"/>
        <v>OK</v>
      </c>
      <c r="N3131" s="18" t="str">
        <f t="shared" si="4"/>
        <v>VALID</v>
      </c>
    </row>
    <row r="3132" ht="15.75" customHeight="1">
      <c r="A3132" s="13" t="str">
        <f>Raw_Data!A3132</f>
        <v>EMP3298</v>
      </c>
      <c r="B3132" s="13" t="str">
        <f>TRIM(CLEAN(Raw_Data!B3132))</f>
        <v>Customer Support</v>
      </c>
      <c r="C3132" s="18" t="s">
        <v>37</v>
      </c>
      <c r="D3132" s="14" t="str">
        <f>IF(ISBLANK(Raw_Data!D3132),AVERAGE(Raw_Data!D$2:D$5002),Raw_Data!D3132)</f>
        <v>83983.73</v>
      </c>
      <c r="E3132" s="15" t="str">
        <f>IF(ISBLANK(Raw_Data!E3132),AVERAGE(Raw_Data!E$2:E$5002),Raw_Data!E3132)</f>
        <v>29209.97</v>
      </c>
      <c r="F3132" s="15" t="str">
        <f>IF(ISBLANK(Raw_Data!F3132),AVERAGE(Raw_Data!F$2:F$5002),Raw_Data!F3132)</f>
        <v>25499.91</v>
      </c>
      <c r="G3132" s="14" t="str">
        <f>IF(ISBLANK(Raw_Data!G3132),AVERAGE(Raw_Data!G$2:G$5002),Raw_Data!G3132)</f>
        <v>18114.90</v>
      </c>
      <c r="H3132" s="15" t="str">
        <f t="shared" si="1"/>
        <v>138694.00</v>
      </c>
      <c r="I3132" s="14" t="str">
        <f t="shared" si="2"/>
        <v>120579.00</v>
      </c>
      <c r="J3132" s="16" t="str">
        <f>TEXT(Raw_Data!J3132,"MMM-YYY")</f>
        <v>Apr-2025</v>
      </c>
      <c r="K3132" s="13" t="str">
        <f>Raw_Data!K3132</f>
        <v>9</v>
      </c>
      <c r="L3132" s="17" t="str">
        <f>Raw_Data!L3132</f>
        <v>Ahmedabad-West</v>
      </c>
      <c r="M3132" s="13" t="str">
        <f t="shared" si="3"/>
        <v>OK</v>
      </c>
      <c r="N3132" s="18" t="str">
        <f t="shared" si="4"/>
        <v>VALID</v>
      </c>
    </row>
    <row r="3133" ht="15.75" customHeight="1">
      <c r="A3133" s="13" t="str">
        <f>Raw_Data!A3133</f>
        <v>EMP3299</v>
      </c>
      <c r="B3133" s="13" t="str">
        <f>TRIM(CLEAN(Raw_Data!B3133))</f>
        <v>IT</v>
      </c>
      <c r="C3133" s="18" t="s">
        <v>14</v>
      </c>
      <c r="D3133" s="14" t="str">
        <f>IF(ISBLANK(Raw_Data!D3133),AVERAGE(Raw_Data!D$2:D$5002),Raw_Data!D3133)</f>
        <v>83994.61</v>
      </c>
      <c r="E3133" s="15" t="str">
        <f>IF(ISBLANK(Raw_Data!E3133),AVERAGE(Raw_Data!E$2:E$5002),Raw_Data!E3133)</f>
        <v>29214.58</v>
      </c>
      <c r="F3133" s="15" t="str">
        <f>IF(ISBLANK(Raw_Data!F3133),AVERAGE(Raw_Data!F$2:F$5002),Raw_Data!F3133)</f>
        <v>25507.59</v>
      </c>
      <c r="G3133" s="14" t="str">
        <f>IF(ISBLANK(Raw_Data!G3133),AVERAGE(Raw_Data!G$2:G$5002),Raw_Data!G3133)</f>
        <v>18118.30</v>
      </c>
      <c r="H3133" s="15" t="str">
        <f t="shared" si="1"/>
        <v>138717.00</v>
      </c>
      <c r="I3133" s="14" t="str">
        <f t="shared" si="2"/>
        <v>120599.00</v>
      </c>
      <c r="J3133" s="16" t="str">
        <f>TEXT(Raw_Data!J3133,"MMM-YYY")</f>
        <v>May-2025</v>
      </c>
      <c r="K3133" s="13" t="str">
        <f>Raw_Data!K3133</f>
        <v>7</v>
      </c>
      <c r="L3133" s="17" t="str">
        <f>Raw_Data!L3133</f>
        <v>Jaipur-North</v>
      </c>
      <c r="M3133" s="13" t="str">
        <f t="shared" si="3"/>
        <v>OK</v>
      </c>
      <c r="N3133" s="18" t="str">
        <f t="shared" si="4"/>
        <v>VALID</v>
      </c>
    </row>
    <row r="3134" ht="15.75" customHeight="1">
      <c r="A3134" s="13" t="str">
        <f>Raw_Data!A3134</f>
        <v>EMP3300</v>
      </c>
      <c r="B3134" s="13" t="str">
        <f>TRIM(CLEAN(Raw_Data!B3134))</f>
        <v>HR</v>
      </c>
      <c r="C3134" s="18" t="s">
        <v>18</v>
      </c>
      <c r="D3134" s="14" t="str">
        <f>IF(ISBLANK(Raw_Data!D3134),AVERAGE(Raw_Data!D$2:D$5002),Raw_Data!D3134)</f>
        <v>84005.50</v>
      </c>
      <c r="E3134" s="15" t="str">
        <f>IF(ISBLANK(Raw_Data!E3134),AVERAGE(Raw_Data!E$2:E$5002),Raw_Data!E3134)</f>
        <v>29219.19</v>
      </c>
      <c r="F3134" s="15" t="str">
        <f>IF(ISBLANK(Raw_Data!F3134),AVERAGE(Raw_Data!F$2:F$5002),Raw_Data!F3134)</f>
        <v>25515.27</v>
      </c>
      <c r="G3134" s="14" t="str">
        <f>IF(ISBLANK(Raw_Data!G3134),AVERAGE(Raw_Data!G$2:G$5002),Raw_Data!G3134)</f>
        <v>18121.70</v>
      </c>
      <c r="H3134" s="15" t="str">
        <f t="shared" si="1"/>
        <v>138740.00</v>
      </c>
      <c r="I3134" s="14" t="str">
        <f t="shared" si="2"/>
        <v>120618.00</v>
      </c>
      <c r="J3134" s="16" t="str">
        <f>TEXT(Raw_Data!J3134,"MMM-YYY")</f>
        <v>Feb-2025</v>
      </c>
      <c r="K3134" s="13" t="str">
        <f>Raw_Data!K3134</f>
        <v>11</v>
      </c>
      <c r="L3134" s="17" t="str">
        <f>Raw_Data!L3134</f>
        <v>Mumbai-HO</v>
      </c>
      <c r="M3134" s="13" t="str">
        <f t="shared" si="3"/>
        <v>OK</v>
      </c>
      <c r="N3134" s="18" t="str">
        <f t="shared" si="4"/>
        <v>VALID</v>
      </c>
    </row>
    <row r="3135" ht="15.75" customHeight="1">
      <c r="A3135" s="13" t="str">
        <f>Raw_Data!A3135</f>
        <v>EMP3301</v>
      </c>
      <c r="B3135" s="13" t="str">
        <f>TRIM(CLEAN(Raw_Data!B3135))</f>
        <v>Operations</v>
      </c>
      <c r="C3135" s="18" t="s">
        <v>14</v>
      </c>
      <c r="D3135" s="14" t="str">
        <f>IF(ISBLANK(Raw_Data!D3135),AVERAGE(Raw_Data!D$2:D$5002),Raw_Data!D3135)</f>
        <v>84016.38</v>
      </c>
      <c r="E3135" s="15" t="str">
        <f>IF(ISBLANK(Raw_Data!E3135),AVERAGE(Raw_Data!E$2:E$5002),Raw_Data!E3135)</f>
        <v>29223.81</v>
      </c>
      <c r="F3135" s="15" t="str">
        <f>IF(ISBLANK(Raw_Data!F3135),AVERAGE(Raw_Data!F$2:F$5002),Raw_Data!F3135)</f>
        <v>25522.95</v>
      </c>
      <c r="G3135" s="14" t="str">
        <f>IF(ISBLANK(Raw_Data!G3135),AVERAGE(Raw_Data!G$2:G$5002),Raw_Data!G3135)</f>
        <v>18125.09</v>
      </c>
      <c r="H3135" s="15" t="str">
        <f t="shared" si="1"/>
        <v>138763.00</v>
      </c>
      <c r="I3135" s="14" t="str">
        <f t="shared" si="2"/>
        <v>120638.00</v>
      </c>
      <c r="J3135" s="16" t="str">
        <f>TEXT(Raw_Data!J3135,"MMM-YYY")</f>
        <v>Mar-2025</v>
      </c>
      <c r="K3135" s="13" t="str">
        <f>Raw_Data!K3135</f>
        <v>22</v>
      </c>
      <c r="L3135" s="17" t="str">
        <f>Raw_Data!L3135</f>
        <v>Delhi-North</v>
      </c>
      <c r="M3135" s="13" t="str">
        <f t="shared" si="3"/>
        <v>OK</v>
      </c>
      <c r="N3135" s="18" t="str">
        <f t="shared" si="4"/>
        <v>VALID</v>
      </c>
    </row>
    <row r="3136" ht="15.75" customHeight="1">
      <c r="A3136" s="13" t="str">
        <f>Raw_Data!A3136</f>
        <v>EMP3302</v>
      </c>
      <c r="B3136" s="13" t="str">
        <f>TRIM(CLEAN(Raw_Data!B3136))</f>
        <v>IT</v>
      </c>
      <c r="C3136" s="18" t="s">
        <v>18</v>
      </c>
      <c r="D3136" s="14" t="str">
        <f>IF(ISBLANK(Raw_Data!D3136),AVERAGE(Raw_Data!D$2:D$5002),Raw_Data!D3136)</f>
        <v>84027.26</v>
      </c>
      <c r="E3136" s="15" t="str">
        <f>IF(ISBLANK(Raw_Data!E3136),AVERAGE(Raw_Data!E$2:E$5002),Raw_Data!E3136)</f>
        <v>29228.42</v>
      </c>
      <c r="F3136" s="15" t="str">
        <f>IF(ISBLANK(Raw_Data!F3136),AVERAGE(Raw_Data!F$2:F$5002),Raw_Data!F3136)</f>
        <v>25530.63</v>
      </c>
      <c r="G3136" s="14" t="str">
        <f>IF(ISBLANK(Raw_Data!G3136),AVERAGE(Raw_Data!G$2:G$5002),Raw_Data!G3136)</f>
        <v>18128.49</v>
      </c>
      <c r="H3136" s="15" t="str">
        <f t="shared" si="1"/>
        <v>138786.00</v>
      </c>
      <c r="I3136" s="14" t="str">
        <f t="shared" si="2"/>
        <v>120658.00</v>
      </c>
      <c r="J3136" s="16" t="str">
        <f>TEXT(Raw_Data!J3136,"MMM-YYY")</f>
        <v>Jul-2025</v>
      </c>
      <c r="K3136" s="13" t="str">
        <f>Raw_Data!K3136</f>
        <v>2</v>
      </c>
      <c r="L3136" s="17" t="str">
        <f>Raw_Data!L3136</f>
        <v>Bangalore-South</v>
      </c>
      <c r="M3136" s="13" t="str">
        <f t="shared" si="3"/>
        <v>OK</v>
      </c>
      <c r="N3136" s="18" t="str">
        <f t="shared" si="4"/>
        <v>VALID</v>
      </c>
    </row>
    <row r="3137" ht="15.75" customHeight="1">
      <c r="A3137" s="13" t="str">
        <f>Raw_Data!A3137</f>
        <v>EMP3306</v>
      </c>
      <c r="B3137" s="13" t="str">
        <f>TRIM(CLEAN(Raw_Data!B3137))</f>
        <v>IT</v>
      </c>
      <c r="C3137" s="18" t="s">
        <v>37</v>
      </c>
      <c r="D3137" s="14" t="str">
        <f>IF(ISBLANK(Raw_Data!D3137),AVERAGE(Raw_Data!D$2:D$5002),Raw_Data!D3137)</f>
        <v>84070.79</v>
      </c>
      <c r="E3137" s="15" t="str">
        <f>IF(ISBLANK(Raw_Data!E3137),AVERAGE(Raw_Data!E$2:E$5002),Raw_Data!E3137)</f>
        <v>29246.88</v>
      </c>
      <c r="F3137" s="15" t="str">
        <f>IF(ISBLANK(Raw_Data!F3137),AVERAGE(Raw_Data!F$2:F$5002),Raw_Data!F3137)</f>
        <v>25561.35</v>
      </c>
      <c r="G3137" s="14" t="str">
        <f>IF(ISBLANK(Raw_Data!G3137),AVERAGE(Raw_Data!G$2:G$5002),Raw_Data!G3137)</f>
        <v>18142.08</v>
      </c>
      <c r="H3137" s="15" t="str">
        <f t="shared" si="1"/>
        <v>138879.00</v>
      </c>
      <c r="I3137" s="14" t="str">
        <f t="shared" si="2"/>
        <v>120737.00</v>
      </c>
      <c r="J3137" s="16" t="str">
        <f>TEXT(Raw_Data!J3137,"MMM-YYY")</f>
        <v>Nov-2025</v>
      </c>
      <c r="K3137" s="13" t="str">
        <f>Raw_Data!K3137</f>
        <v>15</v>
      </c>
      <c r="L3137" s="17" t="str">
        <f>Raw_Data!L3137</f>
        <v>Hyderabad-South</v>
      </c>
      <c r="M3137" s="13" t="str">
        <f t="shared" si="3"/>
        <v>OK</v>
      </c>
      <c r="N3137" s="18" t="str">
        <f t="shared" si="4"/>
        <v>VALID</v>
      </c>
    </row>
    <row r="3138" ht="15.75" customHeight="1">
      <c r="A3138" s="13" t="str">
        <f>Raw_Data!A3138</f>
        <v>EMP3307</v>
      </c>
      <c r="B3138" s="13" t="str">
        <f>TRIM(CLEAN(Raw_Data!B3138))</f>
        <v>Customer Support</v>
      </c>
      <c r="C3138" s="18" t="s">
        <v>18</v>
      </c>
      <c r="D3138" s="14" t="str">
        <f>IF(ISBLANK(Raw_Data!D3138),AVERAGE(Raw_Data!D$2:D$5002),Raw_Data!D3138)</f>
        <v>84081.68</v>
      </c>
      <c r="E3138" s="15" t="str">
        <f>IF(ISBLANK(Raw_Data!E3138),AVERAGE(Raw_Data!E$2:E$5002),Raw_Data!E3138)</f>
        <v>29251.50</v>
      </c>
      <c r="F3138" s="15" t="str">
        <f>IF(ISBLANK(Raw_Data!F3138),AVERAGE(Raw_Data!F$2:F$5002),Raw_Data!F3138)</f>
        <v>25569.03</v>
      </c>
      <c r="G3138" s="14" t="str">
        <f>IF(ISBLANK(Raw_Data!G3138),AVERAGE(Raw_Data!G$2:G$5002),Raw_Data!G3138)</f>
        <v>18145.48</v>
      </c>
      <c r="H3138" s="15" t="str">
        <f t="shared" si="1"/>
        <v>138902.00</v>
      </c>
      <c r="I3138" s="14" t="str">
        <f t="shared" si="2"/>
        <v>120757.00</v>
      </c>
      <c r="J3138" s="16" t="str">
        <f>TEXT(Raw_Data!J3138,"MMM-YYY")</f>
        <v>Feb-2025</v>
      </c>
      <c r="K3138" s="13" t="str">
        <f>Raw_Data!K3138</f>
        <v>7</v>
      </c>
      <c r="L3138" s="17" t="str">
        <f>Raw_Data!L3138</f>
        <v>Chandigarh-North</v>
      </c>
      <c r="M3138" s="13" t="str">
        <f t="shared" si="3"/>
        <v>OK</v>
      </c>
      <c r="N3138" s="18" t="str">
        <f t="shared" si="4"/>
        <v>VALID</v>
      </c>
    </row>
    <row r="3139" ht="15.75" customHeight="1">
      <c r="A3139" s="13" t="str">
        <f>Raw_Data!A3139</f>
        <v>EMP3308</v>
      </c>
      <c r="B3139" s="13" t="str">
        <f>TRIM(CLEAN(Raw_Data!B3139))</f>
        <v>Marketing</v>
      </c>
      <c r="C3139" s="18" t="s">
        <v>14</v>
      </c>
      <c r="D3139" s="14" t="str">
        <f>IF(ISBLANK(Raw_Data!D3139),AVERAGE(Raw_Data!D$2:D$5002),Raw_Data!D3139)</f>
        <v>84092.56</v>
      </c>
      <c r="E3139" s="15" t="str">
        <f>IF(ISBLANK(Raw_Data!E3139),AVERAGE(Raw_Data!E$2:E$5002),Raw_Data!E3139)</f>
        <v>29256.11</v>
      </c>
      <c r="F3139" s="15" t="str">
        <f>IF(ISBLANK(Raw_Data!F3139),AVERAGE(Raw_Data!F$2:F$5002),Raw_Data!F3139)</f>
        <v>25576.71</v>
      </c>
      <c r="G3139" s="14" t="str">
        <f>IF(ISBLANK(Raw_Data!G3139),AVERAGE(Raw_Data!G$2:G$5002),Raw_Data!G3139)</f>
        <v>18148.88</v>
      </c>
      <c r="H3139" s="15" t="str">
        <f t="shared" si="1"/>
        <v>138925.00</v>
      </c>
      <c r="I3139" s="14" t="str">
        <f t="shared" si="2"/>
        <v>120776.00</v>
      </c>
      <c r="J3139" s="16" t="str">
        <f>TEXT(Raw_Data!J3139,"MMM-YYY")</f>
        <v>Jul-2025</v>
      </c>
      <c r="K3139" s="13" t="str">
        <f>Raw_Data!K3139</f>
        <v>25</v>
      </c>
      <c r="L3139" s="17" t="str">
        <f>Raw_Data!L3139</f>
        <v>Ahmedabad-West</v>
      </c>
      <c r="M3139" s="13" t="str">
        <f t="shared" si="3"/>
        <v>OK</v>
      </c>
      <c r="N3139" s="18" t="str">
        <f t="shared" si="4"/>
        <v>VALID</v>
      </c>
    </row>
    <row r="3140" ht="15.75" customHeight="1">
      <c r="A3140" s="13" t="str">
        <f>Raw_Data!A3140</f>
        <v>EMP3310</v>
      </c>
      <c r="B3140" s="13" t="str">
        <f>TRIM(CLEAN(Raw_Data!B3140))</f>
        <v>HR</v>
      </c>
      <c r="C3140" s="18" t="s">
        <v>33</v>
      </c>
      <c r="D3140" s="14" t="str">
        <f>IF(ISBLANK(Raw_Data!D3140),AVERAGE(Raw_Data!D$2:D$5002),Raw_Data!D3140)</f>
        <v>84114.32</v>
      </c>
      <c r="E3140" s="15" t="str">
        <f>IF(ISBLANK(Raw_Data!E3140),AVERAGE(Raw_Data!E$2:E$5002),Raw_Data!E3140)</f>
        <v>29265.34</v>
      </c>
      <c r="F3140" s="15" t="str">
        <f>IF(ISBLANK(Raw_Data!F3140),AVERAGE(Raw_Data!F$2:F$5002),Raw_Data!F3140)</f>
        <v>25592.07</v>
      </c>
      <c r="G3140" s="14" t="str">
        <f>IF(ISBLANK(Raw_Data!G3140),AVERAGE(Raw_Data!G$2:G$5002),Raw_Data!G3140)</f>
        <v>18155.67</v>
      </c>
      <c r="H3140" s="15" t="str">
        <f t="shared" si="1"/>
        <v>138972.00</v>
      </c>
      <c r="I3140" s="14" t="str">
        <f t="shared" si="2"/>
        <v>120816.00</v>
      </c>
      <c r="J3140" s="16" t="str">
        <f>TEXT(Raw_Data!J3140,"MMM-YYY")</f>
        <v>Nov-2025</v>
      </c>
      <c r="K3140" s="13" t="str">
        <f>Raw_Data!K3140</f>
        <v>3</v>
      </c>
      <c r="L3140" s="17" t="str">
        <f>Raw_Data!L3140</f>
        <v>Mumbai-HO</v>
      </c>
      <c r="M3140" s="13" t="str">
        <f t="shared" si="3"/>
        <v>OK</v>
      </c>
      <c r="N3140" s="18" t="str">
        <f t="shared" si="4"/>
        <v>VALID</v>
      </c>
    </row>
    <row r="3141" ht="15.75" customHeight="1">
      <c r="A3141" s="13" t="str">
        <f>Raw_Data!A3141</f>
        <v>EMP3311</v>
      </c>
      <c r="B3141" s="13" t="str">
        <f>TRIM(CLEAN(Raw_Data!B3141))</f>
        <v>Operations</v>
      </c>
      <c r="C3141" s="18" t="s">
        <v>37</v>
      </c>
      <c r="D3141" s="14" t="str">
        <f>IF(ISBLANK(Raw_Data!D3141),AVERAGE(Raw_Data!D$2:D$5002),Raw_Data!D3141)</f>
        <v>84125.21</v>
      </c>
      <c r="E3141" s="15" t="str">
        <f>IF(ISBLANK(Raw_Data!E3141),AVERAGE(Raw_Data!E$2:E$5002),Raw_Data!E3141)</f>
        <v>29269.96</v>
      </c>
      <c r="F3141" s="15" t="str">
        <f>IF(ISBLANK(Raw_Data!F3141),AVERAGE(Raw_Data!F$2:F$5002),Raw_Data!F3141)</f>
        <v>25599.75</v>
      </c>
      <c r="G3141" s="14" t="str">
        <f>IF(ISBLANK(Raw_Data!G3141),AVERAGE(Raw_Data!G$2:G$5002),Raw_Data!G3141)</f>
        <v>18159.07</v>
      </c>
      <c r="H3141" s="15" t="str">
        <f t="shared" si="1"/>
        <v>138995.00</v>
      </c>
      <c r="I3141" s="14" t="str">
        <f t="shared" si="2"/>
        <v>120836.00</v>
      </c>
      <c r="J3141" s="16" t="str">
        <f>TEXT(Raw_Data!J3141,"MMM-YYY")</f>
        <v>Jun-2025</v>
      </c>
      <c r="K3141" s="13" t="str">
        <f>Raw_Data!K3141</f>
        <v>22</v>
      </c>
      <c r="L3141" s="17" t="str">
        <f>Raw_Data!L3141</f>
        <v>Delhi-North</v>
      </c>
      <c r="M3141" s="13" t="str">
        <f t="shared" si="3"/>
        <v>OK</v>
      </c>
      <c r="N3141" s="18" t="str">
        <f t="shared" si="4"/>
        <v>VALID</v>
      </c>
    </row>
    <row r="3142" ht="15.75" customHeight="1">
      <c r="A3142" s="13" t="str">
        <f>Raw_Data!A3142</f>
        <v>EMP3312</v>
      </c>
      <c r="B3142" s="13" t="str">
        <f>TRIM(CLEAN(Raw_Data!B3142))</f>
        <v>Sales</v>
      </c>
      <c r="C3142" s="18" t="s">
        <v>33</v>
      </c>
      <c r="D3142" s="14" t="str">
        <f>IF(ISBLANK(Raw_Data!D3142),AVERAGE(Raw_Data!D$2:D$5002),Raw_Data!D3142)</f>
        <v>84136.09</v>
      </c>
      <c r="E3142" s="15" t="str">
        <f>IF(ISBLANK(Raw_Data!E3142),AVERAGE(Raw_Data!E$2:E$5002),Raw_Data!E3142)</f>
        <v>29274.57</v>
      </c>
      <c r="F3142" s="15" t="str">
        <f>IF(ISBLANK(Raw_Data!F3142),AVERAGE(Raw_Data!F$2:F$5002),Raw_Data!F3142)</f>
        <v>25607.43</v>
      </c>
      <c r="G3142" s="14" t="str">
        <f>IF(ISBLANK(Raw_Data!G3142),AVERAGE(Raw_Data!G$2:G$5002),Raw_Data!G3142)</f>
        <v>18162.47</v>
      </c>
      <c r="H3142" s="15" t="str">
        <f t="shared" si="1"/>
        <v>139018.00</v>
      </c>
      <c r="I3142" s="14" t="str">
        <f t="shared" si="2"/>
        <v>120856.00</v>
      </c>
      <c r="J3142" s="16" t="str">
        <f>TEXT(Raw_Data!J3142,"MMM-YYY")</f>
        <v>May-2025</v>
      </c>
      <c r="K3142" s="13" t="str">
        <f>Raw_Data!K3142</f>
        <v>22</v>
      </c>
      <c r="L3142" s="17" t="str">
        <f>Raw_Data!L3142</f>
        <v>Bangalore-South</v>
      </c>
      <c r="M3142" s="13" t="str">
        <f t="shared" si="3"/>
        <v>OK</v>
      </c>
      <c r="N3142" s="18" t="str">
        <f t="shared" si="4"/>
        <v>VALID</v>
      </c>
    </row>
    <row r="3143" ht="15.75" customHeight="1">
      <c r="A3143" s="13" t="str">
        <f>Raw_Data!A3143</f>
        <v>EMP3313</v>
      </c>
      <c r="B3143" s="13" t="str">
        <f>TRIM(CLEAN(Raw_Data!B3143))</f>
        <v>Finance</v>
      </c>
      <c r="C3143" s="18" t="s">
        <v>26</v>
      </c>
      <c r="D3143" s="14" t="str">
        <f>IF(ISBLANK(Raw_Data!D3143),AVERAGE(Raw_Data!D$2:D$5002),Raw_Data!D3143)</f>
        <v>84146.97</v>
      </c>
      <c r="E3143" s="15" t="str">
        <f>IF(ISBLANK(Raw_Data!E3143),AVERAGE(Raw_Data!E$2:E$5002),Raw_Data!E3143)</f>
        <v>29279.19</v>
      </c>
      <c r="F3143" s="15" t="str">
        <f>IF(ISBLANK(Raw_Data!F3143),AVERAGE(Raw_Data!F$2:F$5002),Raw_Data!F3143)</f>
        <v>25615.11</v>
      </c>
      <c r="G3143" s="14" t="str">
        <f>IF(ISBLANK(Raw_Data!G3143),AVERAGE(Raw_Data!G$2:G$5002),Raw_Data!G3143)</f>
        <v>18165.86</v>
      </c>
      <c r="H3143" s="15" t="str">
        <f t="shared" si="1"/>
        <v>139041.00</v>
      </c>
      <c r="I3143" s="14" t="str">
        <f t="shared" si="2"/>
        <v>120875.00</v>
      </c>
      <c r="J3143" s="16" t="str">
        <f>TEXT(Raw_Data!J3143,"MMM-YYY")</f>
        <v>Oct-2025</v>
      </c>
      <c r="K3143" s="13" t="str">
        <f>Raw_Data!K3143</f>
        <v>7</v>
      </c>
      <c r="L3143" s="17" t="str">
        <f>Raw_Data!L3143</f>
        <v>Chennai-South</v>
      </c>
      <c r="M3143" s="13" t="str">
        <f t="shared" si="3"/>
        <v>OK</v>
      </c>
      <c r="N3143" s="18" t="str">
        <f t="shared" si="4"/>
        <v>VALID</v>
      </c>
    </row>
    <row r="3144" ht="15.75" customHeight="1">
      <c r="A3144" s="13" t="str">
        <f>Raw_Data!A3144</f>
        <v>EMP3315</v>
      </c>
      <c r="B3144" s="13" t="str">
        <f>TRIM(CLEAN(Raw_Data!B3144))</f>
        <v>Operations</v>
      </c>
      <c r="C3144" s="18" t="s">
        <v>30</v>
      </c>
      <c r="D3144" s="14" t="str">
        <f>IF(ISBLANK(Raw_Data!D3144),AVERAGE(Raw_Data!D$2:D$5002),Raw_Data!D3144)</f>
        <v>84168.74</v>
      </c>
      <c r="E3144" s="15" t="str">
        <f>IF(ISBLANK(Raw_Data!E3144),AVERAGE(Raw_Data!E$2:E$5002),Raw_Data!E3144)</f>
        <v>29288.42</v>
      </c>
      <c r="F3144" s="15" t="str">
        <f>IF(ISBLANK(Raw_Data!F3144),AVERAGE(Raw_Data!F$2:F$5002),Raw_Data!F3144)</f>
        <v>25630.47</v>
      </c>
      <c r="G3144" s="14" t="str">
        <f>IF(ISBLANK(Raw_Data!G3144),AVERAGE(Raw_Data!G$2:G$5002),Raw_Data!G3144)</f>
        <v>18172.66</v>
      </c>
      <c r="H3144" s="15" t="str">
        <f t="shared" si="1"/>
        <v>139088.00</v>
      </c>
      <c r="I3144" s="14" t="str">
        <f t="shared" si="2"/>
        <v>120915.00</v>
      </c>
      <c r="J3144" s="16" t="str">
        <f>TEXT(Raw_Data!J3144,"MMM-YYY")</f>
        <v>Apr-2025</v>
      </c>
      <c r="K3144" s="13" t="str">
        <f>Raw_Data!K3144</f>
        <v>12</v>
      </c>
      <c r="L3144" s="17" t="str">
        <f>Raw_Data!L3144</f>
        <v>Pune-West</v>
      </c>
      <c r="M3144" s="13" t="str">
        <f t="shared" si="3"/>
        <v>OK</v>
      </c>
      <c r="N3144" s="18" t="str">
        <f t="shared" si="4"/>
        <v>VALID</v>
      </c>
    </row>
    <row r="3145" ht="15.75" customHeight="1">
      <c r="A3145" s="13" t="str">
        <f>Raw_Data!A3145</f>
        <v>EMP3316</v>
      </c>
      <c r="B3145" s="13" t="str">
        <f>TRIM(CLEAN(Raw_Data!B3145))</f>
        <v>Operations</v>
      </c>
      <c r="C3145" s="18" t="s">
        <v>33</v>
      </c>
      <c r="D3145" s="14" t="str">
        <f>IF(ISBLANK(Raw_Data!D3145),AVERAGE(Raw_Data!D$2:D$5002),Raw_Data!D3145)</f>
        <v>84179.62</v>
      </c>
      <c r="E3145" s="15" t="str">
        <f>IF(ISBLANK(Raw_Data!E3145),AVERAGE(Raw_Data!E$2:E$5002),Raw_Data!E3145)</f>
        <v>29293.03</v>
      </c>
      <c r="F3145" s="15" t="str">
        <f>IF(ISBLANK(Raw_Data!F3145),AVERAGE(Raw_Data!F$2:F$5002),Raw_Data!F3145)</f>
        <v>25638.15</v>
      </c>
      <c r="G3145" s="14" t="str">
        <f>IF(ISBLANK(Raw_Data!G3145),AVERAGE(Raw_Data!G$2:G$5002),Raw_Data!G3145)</f>
        <v>18176.06</v>
      </c>
      <c r="H3145" s="15" t="str">
        <f t="shared" si="1"/>
        <v>139111.00</v>
      </c>
      <c r="I3145" s="14" t="str">
        <f t="shared" si="2"/>
        <v>120935.00</v>
      </c>
      <c r="J3145" s="16" t="str">
        <f>TEXT(Raw_Data!J3145,"MMM-YYY")</f>
        <v>May-2025</v>
      </c>
      <c r="K3145" s="13" t="str">
        <f>Raw_Data!K3145</f>
        <v>22</v>
      </c>
      <c r="L3145" s="17" t="str">
        <f>Raw_Data!L3145</f>
        <v>Hyderabad-South</v>
      </c>
      <c r="M3145" s="13" t="str">
        <f t="shared" si="3"/>
        <v>OK</v>
      </c>
      <c r="N3145" s="18" t="str">
        <f t="shared" si="4"/>
        <v>VALID</v>
      </c>
    </row>
    <row r="3146" ht="15.75" customHeight="1">
      <c r="A3146" s="13" t="str">
        <f>Raw_Data!A3146</f>
        <v>EMP3317</v>
      </c>
      <c r="B3146" s="13" t="str">
        <f>TRIM(CLEAN(Raw_Data!B3146))</f>
        <v>Sales</v>
      </c>
      <c r="C3146" s="18" t="s">
        <v>54</v>
      </c>
      <c r="D3146" s="14" t="str">
        <f>IF(ISBLANK(Raw_Data!D3146),AVERAGE(Raw_Data!D$2:D$5002),Raw_Data!D3146)</f>
        <v>84190.51</v>
      </c>
      <c r="E3146" s="15" t="str">
        <f>IF(ISBLANK(Raw_Data!E3146),AVERAGE(Raw_Data!E$2:E$5002),Raw_Data!E3146)</f>
        <v>29297.64</v>
      </c>
      <c r="F3146" s="15" t="str">
        <f>IF(ISBLANK(Raw_Data!F3146),AVERAGE(Raw_Data!F$2:F$5002),Raw_Data!F3146)</f>
        <v>25645.83</v>
      </c>
      <c r="G3146" s="14" t="str">
        <f>IF(ISBLANK(Raw_Data!G3146),AVERAGE(Raw_Data!G$2:G$5002),Raw_Data!G3146)</f>
        <v>18179.45</v>
      </c>
      <c r="H3146" s="15" t="str">
        <f t="shared" si="1"/>
        <v>139134.00</v>
      </c>
      <c r="I3146" s="14" t="str">
        <f t="shared" si="2"/>
        <v>120955.00</v>
      </c>
      <c r="J3146" s="16" t="str">
        <f>TEXT(Raw_Data!J3146,"MMM-YYY")</f>
        <v>Jan-2025</v>
      </c>
      <c r="K3146" s="13" t="str">
        <f>Raw_Data!K3146</f>
        <v>22</v>
      </c>
      <c r="L3146" s="17" t="str">
        <f>Raw_Data!L3146</f>
        <v>Chandigarh-North</v>
      </c>
      <c r="M3146" s="13" t="str">
        <f t="shared" si="3"/>
        <v>OK</v>
      </c>
      <c r="N3146" s="18" t="str">
        <f t="shared" si="4"/>
        <v>VALID</v>
      </c>
    </row>
    <row r="3147" ht="15.75" customHeight="1">
      <c r="A3147" s="13" t="str">
        <f>Raw_Data!A3147</f>
        <v>EMP3318</v>
      </c>
      <c r="B3147" s="13" t="str">
        <f>TRIM(CLEAN(Raw_Data!B3147))</f>
        <v>Customer Support</v>
      </c>
      <c r="C3147" s="18" t="s">
        <v>54</v>
      </c>
      <c r="D3147" s="14" t="str">
        <f>IF(ISBLANK(Raw_Data!D3147),AVERAGE(Raw_Data!D$2:D$5002),Raw_Data!D3147)</f>
        <v>84201.39</v>
      </c>
      <c r="E3147" s="15" t="str">
        <f>IF(ISBLANK(Raw_Data!E3147),AVERAGE(Raw_Data!E$2:E$5002),Raw_Data!E3147)</f>
        <v>29302.26</v>
      </c>
      <c r="F3147" s="15" t="str">
        <f>IF(ISBLANK(Raw_Data!F3147),AVERAGE(Raw_Data!F$2:F$5002),Raw_Data!F3147)</f>
        <v>25653.51</v>
      </c>
      <c r="G3147" s="14" t="str">
        <f>IF(ISBLANK(Raw_Data!G3147),AVERAGE(Raw_Data!G$2:G$5002),Raw_Data!G3147)</f>
        <v>14562.73</v>
      </c>
      <c r="H3147" s="15" t="str">
        <f t="shared" si="1"/>
        <v>139157.00</v>
      </c>
      <c r="I3147" s="14" t="str">
        <f t="shared" si="2"/>
        <v>124594.00</v>
      </c>
      <c r="J3147" s="16" t="str">
        <f>TEXT(Raw_Data!J3147,"MMM-YYY")</f>
        <v>Aug-2025</v>
      </c>
      <c r="K3147" s="13" t="str">
        <f>Raw_Data!K3147</f>
        <v>17</v>
      </c>
      <c r="L3147" s="17" t="str">
        <f>Raw_Data!L3147</f>
        <v>Ahmedabad-West</v>
      </c>
      <c r="M3147" s="13" t="str">
        <f t="shared" si="3"/>
        <v>OK</v>
      </c>
      <c r="N3147" s="18" t="str">
        <f t="shared" si="4"/>
        <v>VALID</v>
      </c>
    </row>
    <row r="3148" ht="15.75" customHeight="1">
      <c r="A3148" s="13" t="str">
        <f>Raw_Data!A3148</f>
        <v>EMP3319</v>
      </c>
      <c r="B3148" s="13" t="str">
        <f>TRIM(CLEAN(Raw_Data!B3148))</f>
        <v>HR</v>
      </c>
      <c r="C3148" s="18" t="s">
        <v>26</v>
      </c>
      <c r="D3148" s="14" t="str">
        <f>IF(ISBLANK(Raw_Data!D3148),AVERAGE(Raw_Data!D$2:D$5002),Raw_Data!D3148)</f>
        <v>84212.27</v>
      </c>
      <c r="E3148" s="15" t="str">
        <f>IF(ISBLANK(Raw_Data!E3148),AVERAGE(Raw_Data!E$2:E$5002),Raw_Data!E3148)</f>
        <v>29306.87</v>
      </c>
      <c r="F3148" s="15" t="str">
        <f>IF(ISBLANK(Raw_Data!F3148),AVERAGE(Raw_Data!F$2:F$5002),Raw_Data!F3148)</f>
        <v>25661.19</v>
      </c>
      <c r="G3148" s="14" t="str">
        <f>IF(ISBLANK(Raw_Data!G3148),AVERAGE(Raw_Data!G$2:G$5002),Raw_Data!G3148)</f>
        <v>18186.25</v>
      </c>
      <c r="H3148" s="15" t="str">
        <f t="shared" si="1"/>
        <v>139180.00</v>
      </c>
      <c r="I3148" s="14" t="str">
        <f t="shared" si="2"/>
        <v>120994.00</v>
      </c>
      <c r="J3148" s="16" t="str">
        <f>TEXT(Raw_Data!J3148,"MMM-YYY")</f>
        <v>Jan-2025</v>
      </c>
      <c r="K3148" s="13" t="str">
        <f>Raw_Data!K3148</f>
        <v>2</v>
      </c>
      <c r="L3148" s="17" t="str">
        <f>Raw_Data!L3148</f>
        <v>Jaipur-North</v>
      </c>
      <c r="M3148" s="13" t="str">
        <f t="shared" si="3"/>
        <v>OK</v>
      </c>
      <c r="N3148" s="18" t="str">
        <f t="shared" si="4"/>
        <v>VALID</v>
      </c>
    </row>
    <row r="3149" ht="15.75" customHeight="1">
      <c r="A3149" s="13" t="str">
        <f>Raw_Data!A3149</f>
        <v>EMP3320</v>
      </c>
      <c r="B3149" s="13" t="str">
        <f>TRIM(CLEAN(Raw_Data!B3149))</f>
        <v>Marketing</v>
      </c>
      <c r="C3149" s="18" t="s">
        <v>37</v>
      </c>
      <c r="D3149" s="14" t="str">
        <f>IF(ISBLANK(Raw_Data!D3149),AVERAGE(Raw_Data!D$2:D$5002),Raw_Data!D3149)</f>
        <v>84223.15</v>
      </c>
      <c r="E3149" s="15" t="str">
        <f>IF(ISBLANK(Raw_Data!E3149),AVERAGE(Raw_Data!E$2:E$5002),Raw_Data!E3149)</f>
        <v>29311.49</v>
      </c>
      <c r="F3149" s="15" t="str">
        <f>IF(ISBLANK(Raw_Data!F3149),AVERAGE(Raw_Data!F$2:F$5002),Raw_Data!F3149)</f>
        <v>25668.87</v>
      </c>
      <c r="G3149" s="14" t="str">
        <f>IF(ISBLANK(Raw_Data!G3149),AVERAGE(Raw_Data!G$2:G$5002),Raw_Data!G3149)</f>
        <v>18189.65</v>
      </c>
      <c r="H3149" s="15" t="str">
        <f t="shared" si="1"/>
        <v>139204.00</v>
      </c>
      <c r="I3149" s="14" t="str">
        <f t="shared" si="2"/>
        <v>121014.00</v>
      </c>
      <c r="J3149" s="16" t="str">
        <f>TEXT(Raw_Data!J3149,"MMM-YYY")</f>
        <v>Apr-2025</v>
      </c>
      <c r="K3149" s="13" t="str">
        <f>Raw_Data!K3149</f>
        <v>18</v>
      </c>
      <c r="L3149" s="17" t="str">
        <f>Raw_Data!L3149</f>
        <v>Mumbai-HO</v>
      </c>
      <c r="M3149" s="13" t="str">
        <f t="shared" si="3"/>
        <v>OK</v>
      </c>
      <c r="N3149" s="18" t="str">
        <f t="shared" si="4"/>
        <v>VALID</v>
      </c>
    </row>
    <row r="3150" ht="15.75" customHeight="1">
      <c r="A3150" s="13" t="str">
        <f>Raw_Data!A3150</f>
        <v>EMP3321</v>
      </c>
      <c r="B3150" s="13" t="str">
        <f>TRIM(CLEAN(Raw_Data!B3150))</f>
        <v>IT</v>
      </c>
      <c r="C3150" s="18" t="s">
        <v>14</v>
      </c>
      <c r="D3150" s="14" t="str">
        <f>IF(ISBLANK(Raw_Data!D3150),AVERAGE(Raw_Data!D$2:D$5002),Raw_Data!D3150)</f>
        <v>84234.04</v>
      </c>
      <c r="E3150" s="15" t="str">
        <f>IF(ISBLANK(Raw_Data!E3150),AVERAGE(Raw_Data!E$2:E$5002),Raw_Data!E3150)</f>
        <v>29316.10</v>
      </c>
      <c r="F3150" s="15" t="str">
        <f>IF(ISBLANK(Raw_Data!F3150),AVERAGE(Raw_Data!F$2:F$5002),Raw_Data!F3150)</f>
        <v>25676.55</v>
      </c>
      <c r="G3150" s="14" t="str">
        <f>IF(ISBLANK(Raw_Data!G3150),AVERAGE(Raw_Data!G$2:G$5002),Raw_Data!G3150)</f>
        <v>18193.04</v>
      </c>
      <c r="H3150" s="15" t="str">
        <f t="shared" si="1"/>
        <v>139227.00</v>
      </c>
      <c r="I3150" s="14" t="str">
        <f t="shared" si="2"/>
        <v>121034.00</v>
      </c>
      <c r="J3150" s="16" t="str">
        <f>TEXT(Raw_Data!J3150,"MMM-YYY")</f>
        <v>May-2025</v>
      </c>
      <c r="K3150" s="13" t="str">
        <f>Raw_Data!K3150</f>
        <v>1</v>
      </c>
      <c r="L3150" s="17" t="str">
        <f>Raw_Data!L3150</f>
        <v>Delhi-North</v>
      </c>
      <c r="M3150" s="13" t="str">
        <f t="shared" si="3"/>
        <v>OK</v>
      </c>
      <c r="N3150" s="18" t="str">
        <f t="shared" si="4"/>
        <v>VALID</v>
      </c>
    </row>
    <row r="3151" ht="15.75" customHeight="1">
      <c r="A3151" s="13" t="str">
        <f>Raw_Data!A3151</f>
        <v>EMP3322</v>
      </c>
      <c r="B3151" s="13" t="str">
        <f>TRIM(CLEAN(Raw_Data!B3151))</f>
        <v>Operations</v>
      </c>
      <c r="C3151" s="18" t="s">
        <v>14</v>
      </c>
      <c r="D3151" s="14" t="str">
        <f>IF(ISBLANK(Raw_Data!D3151),AVERAGE(Raw_Data!D$2:D$5002),Raw_Data!D3151)</f>
        <v>84244.92</v>
      </c>
      <c r="E3151" s="15" t="str">
        <f>IF(ISBLANK(Raw_Data!E3151),AVERAGE(Raw_Data!E$2:E$5002),Raw_Data!E3151)</f>
        <v>29320.72</v>
      </c>
      <c r="F3151" s="15" t="str">
        <f>IF(ISBLANK(Raw_Data!F3151),AVERAGE(Raw_Data!F$2:F$5002),Raw_Data!F3151)</f>
        <v>25684.23</v>
      </c>
      <c r="G3151" s="14" t="str">
        <f>IF(ISBLANK(Raw_Data!G3151),AVERAGE(Raw_Data!G$2:G$5002),Raw_Data!G3151)</f>
        <v>18196.44</v>
      </c>
      <c r="H3151" s="15" t="str">
        <f t="shared" si="1"/>
        <v>139250.00</v>
      </c>
      <c r="I3151" s="14" t="str">
        <f t="shared" si="2"/>
        <v>121054.00</v>
      </c>
      <c r="J3151" s="16" t="str">
        <f>TEXT(Raw_Data!J3151,"MMM-YYY")</f>
        <v>Oct-2025</v>
      </c>
      <c r="K3151" s="13" t="str">
        <f>Raw_Data!K3151</f>
        <v>15</v>
      </c>
      <c r="L3151" s="17" t="str">
        <f>Raw_Data!L3151</f>
        <v>Bangalore-South</v>
      </c>
      <c r="M3151" s="13" t="str">
        <f t="shared" si="3"/>
        <v>OK</v>
      </c>
      <c r="N3151" s="18" t="str">
        <f t="shared" si="4"/>
        <v>VALID</v>
      </c>
    </row>
    <row r="3152" ht="15.75" customHeight="1">
      <c r="A3152" s="13" t="str">
        <f>Raw_Data!A3152</f>
        <v>EMP3323</v>
      </c>
      <c r="B3152" s="13" t="str">
        <f>TRIM(CLEAN(Raw_Data!B3152))</f>
        <v>Finance</v>
      </c>
      <c r="C3152" s="18" t="s">
        <v>33</v>
      </c>
      <c r="D3152" s="14" t="str">
        <f>IF(ISBLANK(Raw_Data!D3152),AVERAGE(Raw_Data!D$2:D$5002),Raw_Data!D3152)</f>
        <v>84255.80</v>
      </c>
      <c r="E3152" s="15" t="str">
        <f>IF(ISBLANK(Raw_Data!E3152),AVERAGE(Raw_Data!E$2:E$5002),Raw_Data!E3152)</f>
        <v>29325.33</v>
      </c>
      <c r="F3152" s="15" t="str">
        <f>IF(ISBLANK(Raw_Data!F3152),AVERAGE(Raw_Data!F$2:F$5002),Raw_Data!F3152)</f>
        <v>25691.91</v>
      </c>
      <c r="G3152" s="14" t="str">
        <f>IF(ISBLANK(Raw_Data!G3152),AVERAGE(Raw_Data!G$2:G$5002),Raw_Data!G3152)</f>
        <v>18199.84</v>
      </c>
      <c r="H3152" s="15" t="str">
        <f t="shared" si="1"/>
        <v>139273.00</v>
      </c>
      <c r="I3152" s="14" t="str">
        <f t="shared" si="2"/>
        <v>121073.00</v>
      </c>
      <c r="J3152" s="16" t="str">
        <f>TEXT(Raw_Data!J3152,"MMM-YYY")</f>
        <v>May-2025</v>
      </c>
      <c r="K3152" s="13" t="str">
        <f>Raw_Data!K3152</f>
        <v>20</v>
      </c>
      <c r="L3152" s="17" t="str">
        <f>Raw_Data!L3152</f>
        <v>Chennai-South</v>
      </c>
      <c r="M3152" s="13" t="str">
        <f t="shared" si="3"/>
        <v>OK</v>
      </c>
      <c r="N3152" s="18" t="str">
        <f t="shared" si="4"/>
        <v>VALID</v>
      </c>
    </row>
    <row r="3153" ht="15.75" customHeight="1">
      <c r="A3153" s="13" t="str">
        <f>Raw_Data!A3153</f>
        <v>EMP3324</v>
      </c>
      <c r="B3153" s="13" t="str">
        <f>TRIM(CLEAN(Raw_Data!B3153))</f>
        <v>HR</v>
      </c>
      <c r="C3153" s="18" t="s">
        <v>18</v>
      </c>
      <c r="D3153" s="14" t="str">
        <f>IF(ISBLANK(Raw_Data!D3153),AVERAGE(Raw_Data!D$2:D$5002),Raw_Data!D3153)</f>
        <v>84266.69</v>
      </c>
      <c r="E3153" s="15" t="str">
        <f>IF(ISBLANK(Raw_Data!E3153),AVERAGE(Raw_Data!E$2:E$5002),Raw_Data!E3153)</f>
        <v>29329.95</v>
      </c>
      <c r="F3153" s="15" t="str">
        <f>IF(ISBLANK(Raw_Data!F3153),AVERAGE(Raw_Data!F$2:F$5002),Raw_Data!F3153)</f>
        <v>25699.59</v>
      </c>
      <c r="G3153" s="14" t="str">
        <f>IF(ISBLANK(Raw_Data!G3153),AVERAGE(Raw_Data!G$2:G$5002),Raw_Data!G3153)</f>
        <v>18203.24</v>
      </c>
      <c r="H3153" s="15" t="str">
        <f t="shared" si="1"/>
        <v>139296.00</v>
      </c>
      <c r="I3153" s="14" t="str">
        <f t="shared" si="2"/>
        <v>121093.00</v>
      </c>
      <c r="J3153" s="16" t="str">
        <f>TEXT(Raw_Data!J3153,"MMM-YYY")</f>
        <v>Nov-2025</v>
      </c>
      <c r="K3153" s="13" t="str">
        <f>Raw_Data!K3153</f>
        <v>20</v>
      </c>
      <c r="L3153" s="17" t="str">
        <f>Raw_Data!L3153</f>
        <v>Kolkata-East</v>
      </c>
      <c r="M3153" s="13" t="str">
        <f t="shared" si="3"/>
        <v>OK</v>
      </c>
      <c r="N3153" s="18" t="str">
        <f t="shared" si="4"/>
        <v>VALID</v>
      </c>
    </row>
    <row r="3154" ht="15.75" customHeight="1">
      <c r="A3154" s="13" t="str">
        <f>Raw_Data!A3154</f>
        <v>EMP3325</v>
      </c>
      <c r="B3154" s="13" t="str">
        <f>TRIM(CLEAN(Raw_Data!B3154))</f>
        <v>Customer Support</v>
      </c>
      <c r="C3154" s="18" t="s">
        <v>26</v>
      </c>
      <c r="D3154" s="14" t="str">
        <f>IF(ISBLANK(Raw_Data!D3154),AVERAGE(Raw_Data!D$2:D$5002),Raw_Data!D3154)</f>
        <v>84277.57</v>
      </c>
      <c r="E3154" s="15" t="str">
        <f>IF(ISBLANK(Raw_Data!E3154),AVERAGE(Raw_Data!E$2:E$5002),Raw_Data!E3154)</f>
        <v>29334.56</v>
      </c>
      <c r="F3154" s="15" t="str">
        <f>IF(ISBLANK(Raw_Data!F3154),AVERAGE(Raw_Data!F$2:F$5002),Raw_Data!F3154)</f>
        <v>25707.27</v>
      </c>
      <c r="G3154" s="14" t="str">
        <f>IF(ISBLANK(Raw_Data!G3154),AVERAGE(Raw_Data!G$2:G$5002),Raw_Data!G3154)</f>
        <v>18206.63</v>
      </c>
      <c r="H3154" s="15" t="str">
        <f t="shared" si="1"/>
        <v>139319.00</v>
      </c>
      <c r="I3154" s="14" t="str">
        <f t="shared" si="2"/>
        <v>121112.00</v>
      </c>
      <c r="J3154" s="16" t="str">
        <f>TEXT(Raw_Data!J3154,"MMM-YYY")</f>
        <v>Jun-2025</v>
      </c>
      <c r="K3154" s="13" t="str">
        <f>Raw_Data!K3154</f>
        <v>25</v>
      </c>
      <c r="L3154" s="17" t="str">
        <f>Raw_Data!L3154</f>
        <v>Pune-West</v>
      </c>
      <c r="M3154" s="13" t="str">
        <f t="shared" si="3"/>
        <v>OK</v>
      </c>
      <c r="N3154" s="18" t="str">
        <f t="shared" si="4"/>
        <v>VALID</v>
      </c>
    </row>
    <row r="3155" ht="15.75" customHeight="1">
      <c r="A3155" s="13" t="str">
        <f>Raw_Data!A3155</f>
        <v>EMP3326</v>
      </c>
      <c r="B3155" s="13" t="str">
        <f>TRIM(CLEAN(Raw_Data!B3155))</f>
        <v>Marketing</v>
      </c>
      <c r="C3155" s="18" t="s">
        <v>33</v>
      </c>
      <c r="D3155" s="14" t="str">
        <f>IF(ISBLANK(Raw_Data!D3155),AVERAGE(Raw_Data!D$2:D$5002),Raw_Data!D3155)</f>
        <v>84288.45</v>
      </c>
      <c r="E3155" s="15" t="str">
        <f>IF(ISBLANK(Raw_Data!E3155),AVERAGE(Raw_Data!E$2:E$5002),Raw_Data!E3155)</f>
        <v>29339.18</v>
      </c>
      <c r="F3155" s="15" t="str">
        <f>IF(ISBLANK(Raw_Data!F3155),AVERAGE(Raw_Data!F$2:F$5002),Raw_Data!F3155)</f>
        <v>25714.95</v>
      </c>
      <c r="G3155" s="14" t="str">
        <f>IF(ISBLANK(Raw_Data!G3155),AVERAGE(Raw_Data!G$2:G$5002),Raw_Data!G3155)</f>
        <v>18210.03</v>
      </c>
      <c r="H3155" s="15" t="str">
        <f t="shared" si="1"/>
        <v>139343.00</v>
      </c>
      <c r="I3155" s="14" t="str">
        <f t="shared" si="2"/>
        <v>121133.00</v>
      </c>
      <c r="J3155" s="16" t="str">
        <f>TEXT(Raw_Data!J3155,"MMM-YYY")</f>
        <v>Feb-2025</v>
      </c>
      <c r="K3155" s="13" t="str">
        <f>Raw_Data!K3155</f>
        <v>4</v>
      </c>
      <c r="L3155" s="17" t="str">
        <f>Raw_Data!L3155</f>
        <v>Hyderabad-South</v>
      </c>
      <c r="M3155" s="13" t="str">
        <f t="shared" si="3"/>
        <v>OK</v>
      </c>
      <c r="N3155" s="18" t="str">
        <f t="shared" si="4"/>
        <v>VALID</v>
      </c>
    </row>
    <row r="3156" ht="15.75" customHeight="1">
      <c r="A3156" s="13" t="str">
        <f>Raw_Data!A3156</f>
        <v>EMP3327</v>
      </c>
      <c r="B3156" s="13" t="str">
        <f>TRIM(CLEAN(Raw_Data!B3156))</f>
        <v>Marketing</v>
      </c>
      <c r="C3156" s="18" t="s">
        <v>14</v>
      </c>
      <c r="D3156" s="14" t="str">
        <f>IF(ISBLANK(Raw_Data!D3156),AVERAGE(Raw_Data!D$2:D$5002),Raw_Data!D3156)</f>
        <v>84299.34</v>
      </c>
      <c r="E3156" s="15" t="str">
        <f>IF(ISBLANK(Raw_Data!E3156),AVERAGE(Raw_Data!E$2:E$5002),Raw_Data!E3156)</f>
        <v>29343.79</v>
      </c>
      <c r="F3156" s="15" t="str">
        <f>IF(ISBLANK(Raw_Data!F3156),AVERAGE(Raw_Data!F$2:F$5002),Raw_Data!F3156)</f>
        <v>25722.63</v>
      </c>
      <c r="G3156" s="14" t="str">
        <f>IF(ISBLANK(Raw_Data!G3156),AVERAGE(Raw_Data!G$2:G$5002),Raw_Data!G3156)</f>
        <v>18213.43</v>
      </c>
      <c r="H3156" s="15" t="str">
        <f t="shared" si="1"/>
        <v>139366.00</v>
      </c>
      <c r="I3156" s="14" t="str">
        <f t="shared" si="2"/>
        <v>121153.00</v>
      </c>
      <c r="J3156" s="16" t="str">
        <f>TEXT(Raw_Data!J3156,"MMM-YYY")</f>
        <v>Feb-2025</v>
      </c>
      <c r="K3156" s="13" t="str">
        <f>Raw_Data!K3156</f>
        <v>1</v>
      </c>
      <c r="L3156" s="17" t="str">
        <f>Raw_Data!L3156</f>
        <v>Chandigarh-North</v>
      </c>
      <c r="M3156" s="13" t="str">
        <f t="shared" si="3"/>
        <v>OK</v>
      </c>
      <c r="N3156" s="18" t="str">
        <f t="shared" si="4"/>
        <v>VALID</v>
      </c>
    </row>
    <row r="3157" ht="15.75" customHeight="1">
      <c r="A3157" s="13" t="str">
        <f>Raw_Data!A3157</f>
        <v>EMP3328</v>
      </c>
      <c r="B3157" s="13" t="str">
        <f>TRIM(CLEAN(Raw_Data!B3157))</f>
        <v>HR</v>
      </c>
      <c r="C3157" s="18" t="s">
        <v>26</v>
      </c>
      <c r="D3157" s="14" t="str">
        <f>IF(ISBLANK(Raw_Data!D3157),AVERAGE(Raw_Data!D$2:D$5002),Raw_Data!D3157)</f>
        <v>84310.22</v>
      </c>
      <c r="E3157" s="15" t="str">
        <f>IF(ISBLANK(Raw_Data!E3157),AVERAGE(Raw_Data!E$2:E$5002),Raw_Data!E3157)</f>
        <v>29348.41</v>
      </c>
      <c r="F3157" s="15" t="str">
        <f>IF(ISBLANK(Raw_Data!F3157),AVERAGE(Raw_Data!F$2:F$5002),Raw_Data!F3157)</f>
        <v>25730.31</v>
      </c>
      <c r="G3157" s="14" t="str">
        <f>IF(ISBLANK(Raw_Data!G3157),AVERAGE(Raw_Data!G$2:G$5002),Raw_Data!G3157)</f>
        <v>18216.83</v>
      </c>
      <c r="H3157" s="15" t="str">
        <f t="shared" si="1"/>
        <v>139389.00</v>
      </c>
      <c r="I3157" s="14" t="str">
        <f t="shared" si="2"/>
        <v>121172.00</v>
      </c>
      <c r="J3157" s="16" t="str">
        <f>TEXT(Raw_Data!J3157,"MMM-YYY")</f>
        <v>Aug-2025</v>
      </c>
      <c r="K3157" s="13" t="str">
        <f>Raw_Data!K3157</f>
        <v>13</v>
      </c>
      <c r="L3157" s="17" t="str">
        <f>Raw_Data!L3157</f>
        <v>Ahmedabad-West</v>
      </c>
      <c r="M3157" s="13" t="str">
        <f t="shared" si="3"/>
        <v>OK</v>
      </c>
      <c r="N3157" s="18" t="str">
        <f t="shared" si="4"/>
        <v>VALID</v>
      </c>
    </row>
    <row r="3158" ht="15.75" customHeight="1">
      <c r="A3158" s="13" t="str">
        <f>Raw_Data!A3158</f>
        <v>EMP3329</v>
      </c>
      <c r="B3158" s="13" t="str">
        <f>TRIM(CLEAN(Raw_Data!B3158))</f>
        <v>IT</v>
      </c>
      <c r="C3158" s="18" t="s">
        <v>54</v>
      </c>
      <c r="D3158" s="14" t="str">
        <f>IF(ISBLANK(Raw_Data!D3158),AVERAGE(Raw_Data!D$2:D$5002),Raw_Data!D3158)</f>
        <v>84321.10</v>
      </c>
      <c r="E3158" s="15" t="str">
        <f>IF(ISBLANK(Raw_Data!E3158),AVERAGE(Raw_Data!E$2:E$5002),Raw_Data!E3158)</f>
        <v>29353.02</v>
      </c>
      <c r="F3158" s="15" t="str">
        <f>IF(ISBLANK(Raw_Data!F3158),AVERAGE(Raw_Data!F$2:F$5002),Raw_Data!F3158)</f>
        <v>25737.99</v>
      </c>
      <c r="G3158" s="14" t="str">
        <f>IF(ISBLANK(Raw_Data!G3158),AVERAGE(Raw_Data!G$2:G$5002),Raw_Data!G3158)</f>
        <v>18220.23</v>
      </c>
      <c r="H3158" s="15" t="str">
        <f t="shared" si="1"/>
        <v>139412.00</v>
      </c>
      <c r="I3158" s="14" t="str">
        <f t="shared" si="2"/>
        <v>121192.00</v>
      </c>
      <c r="J3158" s="16" t="str">
        <f>TEXT(Raw_Data!J3158,"MMM-YYY")</f>
        <v>Mar-2025</v>
      </c>
      <c r="K3158" s="13" t="str">
        <f>Raw_Data!K3158</f>
        <v>10</v>
      </c>
      <c r="L3158" s="17" t="str">
        <f>Raw_Data!L3158</f>
        <v>Jaipur-North</v>
      </c>
      <c r="M3158" s="13" t="str">
        <f t="shared" si="3"/>
        <v>OK</v>
      </c>
      <c r="N3158" s="18" t="str">
        <f t="shared" si="4"/>
        <v>VALID</v>
      </c>
    </row>
    <row r="3159" ht="15.75" customHeight="1">
      <c r="A3159" s="13" t="str">
        <f>Raw_Data!A3159</f>
        <v>EMP3330</v>
      </c>
      <c r="B3159" s="13" t="str">
        <f>TRIM(CLEAN(Raw_Data!B3159))</f>
        <v>Finance</v>
      </c>
      <c r="C3159" s="18" t="s">
        <v>30</v>
      </c>
      <c r="D3159" s="14" t="str">
        <f>IF(ISBLANK(Raw_Data!D3159),AVERAGE(Raw_Data!D$2:D$5002),Raw_Data!D3159)</f>
        <v>84331.98</v>
      </c>
      <c r="E3159" s="15" t="str">
        <f>IF(ISBLANK(Raw_Data!E3159),AVERAGE(Raw_Data!E$2:E$5002),Raw_Data!E3159)</f>
        <v>29357.64</v>
      </c>
      <c r="F3159" s="15" t="str">
        <f>IF(ISBLANK(Raw_Data!F3159),AVERAGE(Raw_Data!F$2:F$5002),Raw_Data!F3159)</f>
        <v>25745.67</v>
      </c>
      <c r="G3159" s="14" t="str">
        <f>IF(ISBLANK(Raw_Data!G3159),AVERAGE(Raw_Data!G$2:G$5002),Raw_Data!G3159)</f>
        <v>18223.62</v>
      </c>
      <c r="H3159" s="15" t="str">
        <f t="shared" si="1"/>
        <v>139435.00</v>
      </c>
      <c r="I3159" s="14" t="str">
        <f t="shared" si="2"/>
        <v>121211.00</v>
      </c>
      <c r="J3159" s="16" t="str">
        <f>TEXT(Raw_Data!J3159,"MMM-YYY")</f>
        <v>Apr-2025</v>
      </c>
      <c r="K3159" s="13" t="str">
        <f>Raw_Data!K3159</f>
        <v>11</v>
      </c>
      <c r="L3159" s="17" t="str">
        <f>Raw_Data!L3159</f>
        <v>Mumbai-HO</v>
      </c>
      <c r="M3159" s="13" t="str">
        <f t="shared" si="3"/>
        <v>OK</v>
      </c>
      <c r="N3159" s="18" t="str">
        <f t="shared" si="4"/>
        <v>VALID</v>
      </c>
    </row>
    <row r="3160" ht="15.75" customHeight="1">
      <c r="A3160" s="13" t="str">
        <f>Raw_Data!A3160</f>
        <v>EMP3331</v>
      </c>
      <c r="B3160" s="13" t="str">
        <f>TRIM(CLEAN(Raw_Data!B3160))</f>
        <v>IT</v>
      </c>
      <c r="C3160" s="18" t="s">
        <v>54</v>
      </c>
      <c r="D3160" s="14" t="str">
        <f>IF(ISBLANK(Raw_Data!D3160),AVERAGE(Raw_Data!D$2:D$5002),Raw_Data!D3160)</f>
        <v>84342.87</v>
      </c>
      <c r="E3160" s="15" t="str">
        <f>IF(ISBLANK(Raw_Data!E3160),AVERAGE(Raw_Data!E$2:E$5002),Raw_Data!E3160)</f>
        <v>29362.25</v>
      </c>
      <c r="F3160" s="15" t="str">
        <f>IF(ISBLANK(Raw_Data!F3160),AVERAGE(Raw_Data!F$2:F$5002),Raw_Data!F3160)</f>
        <v>25753.35</v>
      </c>
      <c r="G3160" s="14" t="str">
        <f>IF(ISBLANK(Raw_Data!G3160),AVERAGE(Raw_Data!G$2:G$5002),Raw_Data!G3160)</f>
        <v>18227.02</v>
      </c>
      <c r="H3160" s="15" t="str">
        <f t="shared" si="1"/>
        <v>139458.00</v>
      </c>
      <c r="I3160" s="14" t="str">
        <f t="shared" si="2"/>
        <v>121231.00</v>
      </c>
      <c r="J3160" s="16" t="str">
        <f>TEXT(Raw_Data!J3160,"MMM-YYY")</f>
        <v>Dec-2025</v>
      </c>
      <c r="K3160" s="13" t="str">
        <f>Raw_Data!K3160</f>
        <v>23</v>
      </c>
      <c r="L3160" s="17" t="str">
        <f>Raw_Data!L3160</f>
        <v>Delhi-North</v>
      </c>
      <c r="M3160" s="13" t="str">
        <f t="shared" si="3"/>
        <v>OK</v>
      </c>
      <c r="N3160" s="18" t="str">
        <f t="shared" si="4"/>
        <v>VALID</v>
      </c>
    </row>
    <row r="3161" ht="15.75" customHeight="1">
      <c r="A3161" s="13" t="str">
        <f>Raw_Data!A3161</f>
        <v>EMP3332</v>
      </c>
      <c r="B3161" s="13" t="str">
        <f>TRIM(CLEAN(Raw_Data!B3161))</f>
        <v>HR</v>
      </c>
      <c r="C3161" s="18" t="s">
        <v>14</v>
      </c>
      <c r="D3161" s="14" t="str">
        <f>IF(ISBLANK(Raw_Data!D3161),AVERAGE(Raw_Data!D$2:D$5002),Raw_Data!D3161)</f>
        <v>84353.75</v>
      </c>
      <c r="E3161" s="15" t="str">
        <f>IF(ISBLANK(Raw_Data!E3161),AVERAGE(Raw_Data!E$2:E$5002),Raw_Data!E3161)</f>
        <v>29366.87</v>
      </c>
      <c r="F3161" s="15" t="str">
        <f>IF(ISBLANK(Raw_Data!F3161),AVERAGE(Raw_Data!F$2:F$5002),Raw_Data!F3161)</f>
        <v>25761.03</v>
      </c>
      <c r="G3161" s="14" t="str">
        <f>IF(ISBLANK(Raw_Data!G3161),AVERAGE(Raw_Data!G$2:G$5002),Raw_Data!G3161)</f>
        <v>18230.42</v>
      </c>
      <c r="H3161" s="15" t="str">
        <f t="shared" si="1"/>
        <v>139482.00</v>
      </c>
      <c r="I3161" s="14" t="str">
        <f t="shared" si="2"/>
        <v>121252.00</v>
      </c>
      <c r="J3161" s="16" t="str">
        <f>TEXT(Raw_Data!J3161,"MMM-YYY")</f>
        <v>Jan-2025</v>
      </c>
      <c r="K3161" s="13" t="str">
        <f>Raw_Data!K3161</f>
        <v>9</v>
      </c>
      <c r="L3161" s="17" t="str">
        <f>Raw_Data!L3161</f>
        <v>Bangalore-South</v>
      </c>
      <c r="M3161" s="13" t="str">
        <f t="shared" si="3"/>
        <v>OK</v>
      </c>
      <c r="N3161" s="18" t="str">
        <f t="shared" si="4"/>
        <v>VALID</v>
      </c>
    </row>
    <row r="3162" ht="15.75" customHeight="1">
      <c r="A3162" s="13" t="str">
        <f>Raw_Data!A3162</f>
        <v>EMP3333</v>
      </c>
      <c r="B3162" s="13" t="str">
        <f>TRIM(CLEAN(Raw_Data!B3162))</f>
        <v>Customer Support</v>
      </c>
      <c r="C3162" s="18" t="s">
        <v>37</v>
      </c>
      <c r="D3162" s="14" t="str">
        <f>IF(ISBLANK(Raw_Data!D3162),AVERAGE(Raw_Data!D$2:D$5002),Raw_Data!D3162)</f>
        <v>71831.17</v>
      </c>
      <c r="E3162" s="15" t="str">
        <f>IF(ISBLANK(Raw_Data!E3162),AVERAGE(Raw_Data!E$2:E$5002),Raw_Data!E3162)</f>
        <v>29371.48</v>
      </c>
      <c r="F3162" s="15" t="str">
        <f>IF(ISBLANK(Raw_Data!F3162),AVERAGE(Raw_Data!F$2:F$5002),Raw_Data!F3162)</f>
        <v>25768.71</v>
      </c>
      <c r="G3162" s="14" t="str">
        <f>IF(ISBLANK(Raw_Data!G3162),AVERAGE(Raw_Data!G$2:G$5002),Raw_Data!G3162)</f>
        <v>18233.82</v>
      </c>
      <c r="H3162" s="15" t="str">
        <f t="shared" si="1"/>
        <v>126971.00</v>
      </c>
      <c r="I3162" s="14" t="str">
        <f t="shared" si="2"/>
        <v>108737.00</v>
      </c>
      <c r="J3162" s="16" t="str">
        <f>TEXT(Raw_Data!J3162,"MMM-YYY")</f>
        <v>Apr-2025</v>
      </c>
      <c r="K3162" s="13" t="str">
        <f>Raw_Data!K3162</f>
        <v>20</v>
      </c>
      <c r="L3162" s="17" t="str">
        <f>Raw_Data!L3162</f>
        <v>Chennai-South</v>
      </c>
      <c r="M3162" s="13" t="str">
        <f t="shared" si="3"/>
        <v>OK</v>
      </c>
      <c r="N3162" s="18" t="str">
        <f t="shared" si="4"/>
        <v>VALID</v>
      </c>
    </row>
    <row r="3163" ht="15.75" customHeight="1">
      <c r="A3163" s="13" t="str">
        <f>Raw_Data!A3163</f>
        <v>EMP3334</v>
      </c>
      <c r="B3163" s="13" t="str">
        <f>TRIM(CLEAN(Raw_Data!B3163))</f>
        <v>Finance</v>
      </c>
      <c r="C3163" s="18" t="s">
        <v>14</v>
      </c>
      <c r="D3163" s="14" t="str">
        <f>IF(ISBLANK(Raw_Data!D3163),AVERAGE(Raw_Data!D$2:D$5002),Raw_Data!D3163)</f>
        <v>84375.52</v>
      </c>
      <c r="E3163" s="15" t="str">
        <f>IF(ISBLANK(Raw_Data!E3163),AVERAGE(Raw_Data!E$2:E$5002),Raw_Data!E3163)</f>
        <v>29376.10</v>
      </c>
      <c r="F3163" s="15" t="str">
        <f>IF(ISBLANK(Raw_Data!F3163),AVERAGE(Raw_Data!F$2:F$5002),Raw_Data!F3163)</f>
        <v>25776.39</v>
      </c>
      <c r="G3163" s="14" t="str">
        <f>IF(ISBLANK(Raw_Data!G3163),AVERAGE(Raw_Data!G$2:G$5002),Raw_Data!G3163)</f>
        <v>18237.21</v>
      </c>
      <c r="H3163" s="15" t="str">
        <f t="shared" si="1"/>
        <v>139528.00</v>
      </c>
      <c r="I3163" s="14" t="str">
        <f t="shared" si="2"/>
        <v>121291.00</v>
      </c>
      <c r="J3163" s="16" t="str">
        <f>TEXT(Raw_Data!J3163,"MMM-YYY")</f>
        <v>Nov-2025</v>
      </c>
      <c r="K3163" s="13" t="str">
        <f>Raw_Data!K3163</f>
        <v>12</v>
      </c>
      <c r="L3163" s="17" t="str">
        <f>Raw_Data!L3163</f>
        <v>Kolkata-East</v>
      </c>
      <c r="M3163" s="13" t="str">
        <f t="shared" si="3"/>
        <v>OK</v>
      </c>
      <c r="N3163" s="18" t="str">
        <f t="shared" si="4"/>
        <v>VALID</v>
      </c>
    </row>
    <row r="3164" ht="15.75" customHeight="1">
      <c r="A3164" s="13" t="str">
        <f>Raw_Data!A3164</f>
        <v>EMP3335</v>
      </c>
      <c r="B3164" s="13" t="str">
        <f>TRIM(CLEAN(Raw_Data!B3164))</f>
        <v>Finance</v>
      </c>
      <c r="C3164" s="18" t="s">
        <v>30</v>
      </c>
      <c r="D3164" s="14" t="str">
        <f>IF(ISBLANK(Raw_Data!D3164),AVERAGE(Raw_Data!D$2:D$5002),Raw_Data!D3164)</f>
        <v>84386.40</v>
      </c>
      <c r="E3164" s="15" t="str">
        <f>IF(ISBLANK(Raw_Data!E3164),AVERAGE(Raw_Data!E$2:E$5002),Raw_Data!E3164)</f>
        <v>29380.71</v>
      </c>
      <c r="F3164" s="15" t="str">
        <f>IF(ISBLANK(Raw_Data!F3164),AVERAGE(Raw_Data!F$2:F$5002),Raw_Data!F3164)</f>
        <v>25784.07</v>
      </c>
      <c r="G3164" s="14" t="str">
        <f>IF(ISBLANK(Raw_Data!G3164),AVERAGE(Raw_Data!G$2:G$5002),Raw_Data!G3164)</f>
        <v>18240.61</v>
      </c>
      <c r="H3164" s="15" t="str">
        <f t="shared" si="1"/>
        <v>139551.00</v>
      </c>
      <c r="I3164" s="14" t="str">
        <f t="shared" si="2"/>
        <v>121310.00</v>
      </c>
      <c r="J3164" s="16" t="str">
        <f>TEXT(Raw_Data!J3164,"MMM-YYY")</f>
        <v>Aug-2025</v>
      </c>
      <c r="K3164" s="13" t="str">
        <f>Raw_Data!K3164</f>
        <v>8</v>
      </c>
      <c r="L3164" s="17" t="str">
        <f>Raw_Data!L3164</f>
        <v>Pune-West</v>
      </c>
      <c r="M3164" s="13" t="str">
        <f t="shared" si="3"/>
        <v>OK</v>
      </c>
      <c r="N3164" s="18" t="str">
        <f t="shared" si="4"/>
        <v>VALID</v>
      </c>
    </row>
    <row r="3165" ht="15.75" customHeight="1">
      <c r="A3165" s="13" t="str">
        <f>Raw_Data!A3165</f>
        <v>EMP3336</v>
      </c>
      <c r="B3165" s="13" t="str">
        <f>TRIM(CLEAN(Raw_Data!B3165))</f>
        <v>Marketing</v>
      </c>
      <c r="C3165" s="18" t="s">
        <v>30</v>
      </c>
      <c r="D3165" s="14" t="str">
        <f>IF(ISBLANK(Raw_Data!D3165),AVERAGE(Raw_Data!D$2:D$5002),Raw_Data!D3165)</f>
        <v>84397.28</v>
      </c>
      <c r="E3165" s="15" t="str">
        <f>IF(ISBLANK(Raw_Data!E3165),AVERAGE(Raw_Data!E$2:E$5002),Raw_Data!E3165)</f>
        <v>29385.32</v>
      </c>
      <c r="F3165" s="15" t="str">
        <f>IF(ISBLANK(Raw_Data!F3165),AVERAGE(Raw_Data!F$2:F$5002),Raw_Data!F3165)</f>
        <v>25791.75</v>
      </c>
      <c r="G3165" s="14" t="str">
        <f>IF(ISBLANK(Raw_Data!G3165),AVERAGE(Raw_Data!G$2:G$5002),Raw_Data!G3165)</f>
        <v>18244.01</v>
      </c>
      <c r="H3165" s="15" t="str">
        <f t="shared" si="1"/>
        <v>139574.00</v>
      </c>
      <c r="I3165" s="14" t="str">
        <f t="shared" si="2"/>
        <v>121330.00</v>
      </c>
      <c r="J3165" s="16" t="str">
        <f>TEXT(Raw_Data!J3165,"MMM-YYY")</f>
        <v>Apr-2025</v>
      </c>
      <c r="K3165" s="13" t="str">
        <f>Raw_Data!K3165</f>
        <v>2</v>
      </c>
      <c r="L3165" s="17" t="str">
        <f>Raw_Data!L3165</f>
        <v>Hyderabad-South</v>
      </c>
      <c r="M3165" s="13" t="str">
        <f t="shared" si="3"/>
        <v>OK</v>
      </c>
      <c r="N3165" s="18" t="str">
        <f t="shared" si="4"/>
        <v>VALID</v>
      </c>
    </row>
    <row r="3166" ht="15.75" customHeight="1">
      <c r="A3166" s="13" t="str">
        <f>Raw_Data!A3166</f>
        <v>EMP3337</v>
      </c>
      <c r="B3166" s="13" t="str">
        <f>TRIM(CLEAN(Raw_Data!B3166))</f>
        <v>Sales</v>
      </c>
      <c r="C3166" s="18" t="s">
        <v>54</v>
      </c>
      <c r="D3166" s="14" t="str">
        <f>IF(ISBLANK(Raw_Data!D3166),AVERAGE(Raw_Data!D$2:D$5002),Raw_Data!D3166)</f>
        <v>84408.16</v>
      </c>
      <c r="E3166" s="15" t="str">
        <f>IF(ISBLANK(Raw_Data!E3166),AVERAGE(Raw_Data!E$2:E$5002),Raw_Data!E3166)</f>
        <v>29389.94</v>
      </c>
      <c r="F3166" s="15" t="str">
        <f>IF(ISBLANK(Raw_Data!F3166),AVERAGE(Raw_Data!F$2:F$5002),Raw_Data!F3166)</f>
        <v>25799.43</v>
      </c>
      <c r="G3166" s="14" t="str">
        <f>IF(ISBLANK(Raw_Data!G3166),AVERAGE(Raw_Data!G$2:G$5002),Raw_Data!G3166)</f>
        <v>18247.41</v>
      </c>
      <c r="H3166" s="15" t="str">
        <f t="shared" si="1"/>
        <v>139598.00</v>
      </c>
      <c r="I3166" s="14" t="str">
        <f t="shared" si="2"/>
        <v>121351.00</v>
      </c>
      <c r="J3166" s="16" t="str">
        <f>TEXT(Raw_Data!J3166,"MMM-YYY")</f>
        <v>May-2025</v>
      </c>
      <c r="K3166" s="13" t="str">
        <f>Raw_Data!K3166</f>
        <v>17</v>
      </c>
      <c r="L3166" s="17" t="str">
        <f>Raw_Data!L3166</f>
        <v>Chandigarh-North</v>
      </c>
      <c r="M3166" s="13" t="str">
        <f t="shared" si="3"/>
        <v>OK</v>
      </c>
      <c r="N3166" s="18" t="str">
        <f t="shared" si="4"/>
        <v>VALID</v>
      </c>
    </row>
    <row r="3167" ht="15.75" customHeight="1">
      <c r="A3167" s="13" t="str">
        <f>Raw_Data!A3167</f>
        <v>EMP3338</v>
      </c>
      <c r="B3167" s="13" t="str">
        <f>TRIM(CLEAN(Raw_Data!B3167))</f>
        <v>Sales</v>
      </c>
      <c r="C3167" s="18" t="s">
        <v>18</v>
      </c>
      <c r="D3167" s="14" t="str">
        <f>IF(ISBLANK(Raw_Data!D3167),AVERAGE(Raw_Data!D$2:D$5002),Raw_Data!D3167)</f>
        <v>84419.05</v>
      </c>
      <c r="E3167" s="15" t="str">
        <f>IF(ISBLANK(Raw_Data!E3167),AVERAGE(Raw_Data!E$2:E$5002),Raw_Data!E3167)</f>
        <v>29394.55</v>
      </c>
      <c r="F3167" s="15" t="str">
        <f>IF(ISBLANK(Raw_Data!F3167),AVERAGE(Raw_Data!F$2:F$5002),Raw_Data!F3167)</f>
        <v>25807.11</v>
      </c>
      <c r="G3167" s="14" t="str">
        <f>IF(ISBLANK(Raw_Data!G3167),AVERAGE(Raw_Data!G$2:G$5002),Raw_Data!G3167)</f>
        <v>18250.80</v>
      </c>
      <c r="H3167" s="15" t="str">
        <f t="shared" si="1"/>
        <v>139621.00</v>
      </c>
      <c r="I3167" s="14" t="str">
        <f t="shared" si="2"/>
        <v>121370.00</v>
      </c>
      <c r="J3167" s="16" t="str">
        <f>TEXT(Raw_Data!J3167,"MMM-YYY")</f>
        <v>Oct-2025</v>
      </c>
      <c r="K3167" s="13" t="str">
        <f>Raw_Data!K3167</f>
        <v>9</v>
      </c>
      <c r="L3167" s="17" t="str">
        <f>Raw_Data!L3167</f>
        <v>Ahmedabad-West</v>
      </c>
      <c r="M3167" s="13" t="str">
        <f t="shared" si="3"/>
        <v>OK</v>
      </c>
      <c r="N3167" s="18" t="str">
        <f t="shared" si="4"/>
        <v>VALID</v>
      </c>
    </row>
    <row r="3168" ht="15.75" customHeight="1">
      <c r="A3168" s="13" t="str">
        <f>Raw_Data!A3168</f>
        <v>EMP3339</v>
      </c>
      <c r="B3168" s="13" t="str">
        <f>TRIM(CLEAN(Raw_Data!B3168))</f>
        <v>HR</v>
      </c>
      <c r="C3168" s="18" t="s">
        <v>26</v>
      </c>
      <c r="D3168" s="14" t="str">
        <f>IF(ISBLANK(Raw_Data!D3168),AVERAGE(Raw_Data!D$2:D$5002),Raw_Data!D3168)</f>
        <v>84429.93</v>
      </c>
      <c r="E3168" s="15" t="str">
        <f>IF(ISBLANK(Raw_Data!E3168),AVERAGE(Raw_Data!E$2:E$5002),Raw_Data!E3168)</f>
        <v>29399.17</v>
      </c>
      <c r="F3168" s="15" t="str">
        <f>IF(ISBLANK(Raw_Data!F3168),AVERAGE(Raw_Data!F$2:F$5002),Raw_Data!F3168)</f>
        <v>25814.79</v>
      </c>
      <c r="G3168" s="14" t="str">
        <f>IF(ISBLANK(Raw_Data!G3168),AVERAGE(Raw_Data!G$2:G$5002),Raw_Data!G3168)</f>
        <v>18254.20</v>
      </c>
      <c r="H3168" s="15" t="str">
        <f t="shared" si="1"/>
        <v>139644.00</v>
      </c>
      <c r="I3168" s="14" t="str">
        <f t="shared" si="2"/>
        <v>121390.00</v>
      </c>
      <c r="J3168" s="16" t="str">
        <f>TEXT(Raw_Data!J3168,"MMM-YYY")</f>
        <v>Feb-2025</v>
      </c>
      <c r="K3168" s="13" t="str">
        <f>Raw_Data!K3168</f>
        <v>9</v>
      </c>
      <c r="L3168" s="17" t="str">
        <f>Raw_Data!L3168</f>
        <v>Jaipur-North</v>
      </c>
      <c r="M3168" s="13" t="str">
        <f t="shared" si="3"/>
        <v>OK</v>
      </c>
      <c r="N3168" s="18" t="str">
        <f t="shared" si="4"/>
        <v>VALID</v>
      </c>
    </row>
    <row r="3169" ht="15.75" customHeight="1">
      <c r="A3169" s="13" t="str">
        <f>Raw_Data!A3169</f>
        <v>EMP3340</v>
      </c>
      <c r="B3169" s="13" t="str">
        <f>TRIM(CLEAN(Raw_Data!B3169))</f>
        <v>Operations</v>
      </c>
      <c r="C3169" s="18" t="s">
        <v>30</v>
      </c>
      <c r="D3169" s="14" t="str">
        <f>IF(ISBLANK(Raw_Data!D3169),AVERAGE(Raw_Data!D$2:D$5002),Raw_Data!D3169)</f>
        <v>84440.81</v>
      </c>
      <c r="E3169" s="15" t="str">
        <f>IF(ISBLANK(Raw_Data!E3169),AVERAGE(Raw_Data!E$2:E$5002),Raw_Data!E3169)</f>
        <v>29403.78</v>
      </c>
      <c r="F3169" s="15" t="str">
        <f>IF(ISBLANK(Raw_Data!F3169),AVERAGE(Raw_Data!F$2:F$5002),Raw_Data!F3169)</f>
        <v>25822.47</v>
      </c>
      <c r="G3169" s="14" t="str">
        <f>IF(ISBLANK(Raw_Data!G3169),AVERAGE(Raw_Data!G$2:G$5002),Raw_Data!G3169)</f>
        <v>18257.60</v>
      </c>
      <c r="H3169" s="15" t="str">
        <f t="shared" si="1"/>
        <v>139667.00</v>
      </c>
      <c r="I3169" s="14" t="str">
        <f t="shared" si="2"/>
        <v>121409.00</v>
      </c>
      <c r="J3169" s="16" t="str">
        <f>TEXT(Raw_Data!J3169,"MMM-YYY")</f>
        <v>Nov-2025</v>
      </c>
      <c r="K3169" s="13" t="str">
        <f>Raw_Data!K3169</f>
        <v>3</v>
      </c>
      <c r="L3169" s="17" t="str">
        <f>Raw_Data!L3169</f>
        <v>Mumbai-HO</v>
      </c>
      <c r="M3169" s="13" t="str">
        <f t="shared" si="3"/>
        <v>OK</v>
      </c>
      <c r="N3169" s="18" t="str">
        <f t="shared" si="4"/>
        <v>VALID</v>
      </c>
    </row>
    <row r="3170" ht="15.75" customHeight="1">
      <c r="A3170" s="13" t="str">
        <f>Raw_Data!A3170</f>
        <v>EMP3341</v>
      </c>
      <c r="B3170" s="13" t="str">
        <f>TRIM(CLEAN(Raw_Data!B3170))</f>
        <v>Customer Support</v>
      </c>
      <c r="C3170" s="18" t="s">
        <v>26</v>
      </c>
      <c r="D3170" s="14" t="str">
        <f>IF(ISBLANK(Raw_Data!D3170),AVERAGE(Raw_Data!D$2:D$5002),Raw_Data!D3170)</f>
        <v>84451.70</v>
      </c>
      <c r="E3170" s="15" t="str">
        <f>IF(ISBLANK(Raw_Data!E3170),AVERAGE(Raw_Data!E$2:E$5002),Raw_Data!E3170)</f>
        <v>29408.40</v>
      </c>
      <c r="F3170" s="15" t="str">
        <f>IF(ISBLANK(Raw_Data!F3170),AVERAGE(Raw_Data!F$2:F$5002),Raw_Data!F3170)</f>
        <v>25830.15</v>
      </c>
      <c r="G3170" s="14" t="str">
        <f>IF(ISBLANK(Raw_Data!G3170),AVERAGE(Raw_Data!G$2:G$5002),Raw_Data!G3170)</f>
        <v>18261.00</v>
      </c>
      <c r="H3170" s="15" t="str">
        <f t="shared" si="1"/>
        <v>139690.00</v>
      </c>
      <c r="I3170" s="14" t="str">
        <f t="shared" si="2"/>
        <v>121429.00</v>
      </c>
      <c r="J3170" s="16" t="str">
        <f>TEXT(Raw_Data!J3170,"MMM-YYY")</f>
        <v>Feb-2025</v>
      </c>
      <c r="K3170" s="13" t="str">
        <f>Raw_Data!K3170</f>
        <v>12</v>
      </c>
      <c r="L3170" s="17" t="str">
        <f>Raw_Data!L3170</f>
        <v>Delhi-North</v>
      </c>
      <c r="M3170" s="13" t="str">
        <f t="shared" si="3"/>
        <v>OK</v>
      </c>
      <c r="N3170" s="18" t="str">
        <f t="shared" si="4"/>
        <v>VALID</v>
      </c>
    </row>
    <row r="3171" ht="15.75" customHeight="1">
      <c r="A3171" s="13" t="str">
        <f>Raw_Data!A3171</f>
        <v>EMP3342</v>
      </c>
      <c r="B3171" s="13" t="str">
        <f>TRIM(CLEAN(Raw_Data!B3171))</f>
        <v>Finance</v>
      </c>
      <c r="C3171" s="18" t="s">
        <v>14</v>
      </c>
      <c r="D3171" s="14" t="str">
        <f>IF(ISBLANK(Raw_Data!D3171),AVERAGE(Raw_Data!D$2:D$5002),Raw_Data!D3171)</f>
        <v>84462.58</v>
      </c>
      <c r="E3171" s="15" t="str">
        <f>IF(ISBLANK(Raw_Data!E3171),AVERAGE(Raw_Data!E$2:E$5002),Raw_Data!E3171)</f>
        <v>29413.01</v>
      </c>
      <c r="F3171" s="15" t="str">
        <f>IF(ISBLANK(Raw_Data!F3171),AVERAGE(Raw_Data!F$2:F$5002),Raw_Data!F3171)</f>
        <v>25837.83</v>
      </c>
      <c r="G3171" s="14" t="str">
        <f>IF(ISBLANK(Raw_Data!G3171),AVERAGE(Raw_Data!G$2:G$5002),Raw_Data!G3171)</f>
        <v>18264.39</v>
      </c>
      <c r="H3171" s="15" t="str">
        <f t="shared" si="1"/>
        <v>139713.00</v>
      </c>
      <c r="I3171" s="14" t="str">
        <f t="shared" si="2"/>
        <v>121449.00</v>
      </c>
      <c r="J3171" s="16" t="str">
        <f>TEXT(Raw_Data!J3171,"MMM-YYY")</f>
        <v>Jun-2025</v>
      </c>
      <c r="K3171" s="13" t="str">
        <f>Raw_Data!K3171</f>
        <v>13</v>
      </c>
      <c r="L3171" s="17" t="str">
        <f>Raw_Data!L3171</f>
        <v>Bangalore-South</v>
      </c>
      <c r="M3171" s="13" t="str">
        <f t="shared" si="3"/>
        <v>OK</v>
      </c>
      <c r="N3171" s="18" t="str">
        <f t="shared" si="4"/>
        <v>VALID</v>
      </c>
    </row>
    <row r="3172" ht="15.75" customHeight="1">
      <c r="A3172" s="13" t="str">
        <f>Raw_Data!A3172</f>
        <v>EMP3343</v>
      </c>
      <c r="B3172" s="13" t="str">
        <f>TRIM(CLEAN(Raw_Data!B3172))</f>
        <v>HR</v>
      </c>
      <c r="C3172" s="18" t="s">
        <v>54</v>
      </c>
      <c r="D3172" s="14" t="str">
        <f>IF(ISBLANK(Raw_Data!D3172),AVERAGE(Raw_Data!D$2:D$5002),Raw_Data!D3172)</f>
        <v>84473.46</v>
      </c>
      <c r="E3172" s="15" t="str">
        <f>IF(ISBLANK(Raw_Data!E3172),AVERAGE(Raw_Data!E$2:E$5002),Raw_Data!E3172)</f>
        <v>29417.63</v>
      </c>
      <c r="F3172" s="15" t="str">
        <f>IF(ISBLANK(Raw_Data!F3172),AVERAGE(Raw_Data!F$2:F$5002),Raw_Data!F3172)</f>
        <v>25845.51</v>
      </c>
      <c r="G3172" s="14" t="str">
        <f>IF(ISBLANK(Raw_Data!G3172),AVERAGE(Raw_Data!G$2:G$5002),Raw_Data!G3172)</f>
        <v>18267.79</v>
      </c>
      <c r="H3172" s="15" t="str">
        <f t="shared" si="1"/>
        <v>139737.00</v>
      </c>
      <c r="I3172" s="14" t="str">
        <f t="shared" si="2"/>
        <v>121469.00</v>
      </c>
      <c r="J3172" s="16" t="str">
        <f>TEXT(Raw_Data!J3172,"MMM-YYY")</f>
        <v>Dec-2025</v>
      </c>
      <c r="K3172" s="13" t="str">
        <f>Raw_Data!K3172</f>
        <v>12</v>
      </c>
      <c r="L3172" s="17" t="str">
        <f>Raw_Data!L3172</f>
        <v>Chennai-South</v>
      </c>
      <c r="M3172" s="13" t="str">
        <f t="shared" si="3"/>
        <v>OK</v>
      </c>
      <c r="N3172" s="18" t="str">
        <f t="shared" si="4"/>
        <v>VALID</v>
      </c>
    </row>
    <row r="3173" ht="15.75" customHeight="1">
      <c r="A3173" s="13" t="str">
        <f>Raw_Data!A3173</f>
        <v>EMP3344</v>
      </c>
      <c r="B3173" s="13" t="str">
        <f>TRIM(CLEAN(Raw_Data!B3173))</f>
        <v>Finance</v>
      </c>
      <c r="C3173" s="18" t="s">
        <v>14</v>
      </c>
      <c r="D3173" s="14" t="str">
        <f>IF(ISBLANK(Raw_Data!D3173),AVERAGE(Raw_Data!D$2:D$5002),Raw_Data!D3173)</f>
        <v>84484.35</v>
      </c>
      <c r="E3173" s="15" t="str">
        <f>IF(ISBLANK(Raw_Data!E3173),AVERAGE(Raw_Data!E$2:E$5002),Raw_Data!E3173)</f>
        <v>29422.24</v>
      </c>
      <c r="F3173" s="15" t="str">
        <f>IF(ISBLANK(Raw_Data!F3173),AVERAGE(Raw_Data!F$2:F$5002),Raw_Data!F3173)</f>
        <v>25853.19</v>
      </c>
      <c r="G3173" s="14" t="str">
        <f>IF(ISBLANK(Raw_Data!G3173),AVERAGE(Raw_Data!G$2:G$5002),Raw_Data!G3173)</f>
        <v>18271.19</v>
      </c>
      <c r="H3173" s="15" t="str">
        <f t="shared" si="1"/>
        <v>139760.00</v>
      </c>
      <c r="I3173" s="14" t="str">
        <f t="shared" si="2"/>
        <v>121489.00</v>
      </c>
      <c r="J3173" s="16" t="str">
        <f>TEXT(Raw_Data!J3173,"MMM-YYY")</f>
        <v>May-2025</v>
      </c>
      <c r="K3173" s="13" t="str">
        <f>Raw_Data!K3173</f>
        <v>17</v>
      </c>
      <c r="L3173" s="17" t="str">
        <f>Raw_Data!L3173</f>
        <v>Kolkata-East</v>
      </c>
      <c r="M3173" s="13" t="str">
        <f t="shared" si="3"/>
        <v>OK</v>
      </c>
      <c r="N3173" s="18" t="str">
        <f t="shared" si="4"/>
        <v>VALID</v>
      </c>
    </row>
    <row r="3174" ht="15.75" customHeight="1">
      <c r="A3174" s="13" t="str">
        <f>Raw_Data!A3174</f>
        <v>EMP3345</v>
      </c>
      <c r="B3174" s="13" t="str">
        <f>TRIM(CLEAN(Raw_Data!B3174))</f>
        <v>Customer Support</v>
      </c>
      <c r="C3174" s="18" t="s">
        <v>54</v>
      </c>
      <c r="D3174" s="14" t="str">
        <f>IF(ISBLANK(Raw_Data!D3174),AVERAGE(Raw_Data!D$2:D$5002),Raw_Data!D3174)</f>
        <v>84495.23</v>
      </c>
      <c r="E3174" s="15" t="str">
        <f>IF(ISBLANK(Raw_Data!E3174),AVERAGE(Raw_Data!E$2:E$5002),Raw_Data!E3174)</f>
        <v>29426.86</v>
      </c>
      <c r="F3174" s="15" t="str">
        <f>IF(ISBLANK(Raw_Data!F3174),AVERAGE(Raw_Data!F$2:F$5002),Raw_Data!F3174)</f>
        <v>25860.87</v>
      </c>
      <c r="G3174" s="14" t="str">
        <f>IF(ISBLANK(Raw_Data!G3174),AVERAGE(Raw_Data!G$2:G$5002),Raw_Data!G3174)</f>
        <v>18274.59</v>
      </c>
      <c r="H3174" s="15" t="str">
        <f t="shared" si="1"/>
        <v>139783.00</v>
      </c>
      <c r="I3174" s="14" t="str">
        <f t="shared" si="2"/>
        <v>121508.00</v>
      </c>
      <c r="J3174" s="16" t="str">
        <f>TEXT(Raw_Data!J3174,"MMM-YYY")</f>
        <v>Jun-2025</v>
      </c>
      <c r="K3174" s="13" t="str">
        <f>Raw_Data!K3174</f>
        <v>8</v>
      </c>
      <c r="L3174" s="17" t="str">
        <f>Raw_Data!L3174</f>
        <v>Pune-West</v>
      </c>
      <c r="M3174" s="13" t="str">
        <f t="shared" si="3"/>
        <v>OK</v>
      </c>
      <c r="N3174" s="18" t="str">
        <f t="shared" si="4"/>
        <v>VALID</v>
      </c>
    </row>
    <row r="3175" ht="15.75" customHeight="1">
      <c r="A3175" s="13" t="str">
        <f>Raw_Data!A3175</f>
        <v>EMP3346</v>
      </c>
      <c r="B3175" s="13" t="str">
        <f>TRIM(CLEAN(Raw_Data!B3175))</f>
        <v>Finance</v>
      </c>
      <c r="C3175" s="18" t="s">
        <v>54</v>
      </c>
      <c r="D3175" s="14" t="str">
        <f>IF(ISBLANK(Raw_Data!D3175),AVERAGE(Raw_Data!D$2:D$5002),Raw_Data!D3175)</f>
        <v>84506.11</v>
      </c>
      <c r="E3175" s="15" t="str">
        <f>IF(ISBLANK(Raw_Data!E3175),AVERAGE(Raw_Data!E$2:E$5002),Raw_Data!E3175)</f>
        <v>29431.47</v>
      </c>
      <c r="F3175" s="15" t="str">
        <f>IF(ISBLANK(Raw_Data!F3175),AVERAGE(Raw_Data!F$2:F$5002),Raw_Data!F3175)</f>
        <v>25868.55</v>
      </c>
      <c r="G3175" s="14" t="str">
        <f>IF(ISBLANK(Raw_Data!G3175),AVERAGE(Raw_Data!G$2:G$5002),Raw_Data!G3175)</f>
        <v>18277.98</v>
      </c>
      <c r="H3175" s="15" t="str">
        <f t="shared" si="1"/>
        <v>139806.00</v>
      </c>
      <c r="I3175" s="14" t="str">
        <f t="shared" si="2"/>
        <v>121528.00</v>
      </c>
      <c r="J3175" s="16" t="str">
        <f>TEXT(Raw_Data!J3175,"MMM-YYY")</f>
        <v>Sep-2025</v>
      </c>
      <c r="K3175" s="13" t="str">
        <f>Raw_Data!K3175</f>
        <v>1</v>
      </c>
      <c r="L3175" s="17" t="str">
        <f>Raw_Data!L3175</f>
        <v>Hyderabad-South</v>
      </c>
      <c r="M3175" s="13" t="str">
        <f t="shared" si="3"/>
        <v>OK</v>
      </c>
      <c r="N3175" s="18" t="str">
        <f t="shared" si="4"/>
        <v>VALID</v>
      </c>
    </row>
    <row r="3176" ht="15.75" customHeight="1">
      <c r="A3176" s="13" t="str">
        <f>Raw_Data!A3176</f>
        <v>EMP3347</v>
      </c>
      <c r="B3176" s="13" t="str">
        <f>TRIM(CLEAN(Raw_Data!B3176))</f>
        <v>Operations</v>
      </c>
      <c r="C3176" s="18" t="s">
        <v>37</v>
      </c>
      <c r="D3176" s="14" t="str">
        <f>IF(ISBLANK(Raw_Data!D3176),AVERAGE(Raw_Data!D$2:D$5002),Raw_Data!D3176)</f>
        <v>84516.99</v>
      </c>
      <c r="E3176" s="15" t="str">
        <f>IF(ISBLANK(Raw_Data!E3176),AVERAGE(Raw_Data!E$2:E$5002),Raw_Data!E3176)</f>
        <v>29436.09</v>
      </c>
      <c r="F3176" s="15" t="str">
        <f>IF(ISBLANK(Raw_Data!F3176),AVERAGE(Raw_Data!F$2:F$5002),Raw_Data!F3176)</f>
        <v>25876.23</v>
      </c>
      <c r="G3176" s="14" t="str">
        <f>IF(ISBLANK(Raw_Data!G3176),AVERAGE(Raw_Data!G$2:G$5002),Raw_Data!G3176)</f>
        <v>18281.38</v>
      </c>
      <c r="H3176" s="15" t="str">
        <f t="shared" si="1"/>
        <v>139829.00</v>
      </c>
      <c r="I3176" s="14" t="str">
        <f t="shared" si="2"/>
        <v>121548.00</v>
      </c>
      <c r="J3176" s="16" t="str">
        <f>TEXT(Raw_Data!J3176,"MMM-YYY")</f>
        <v>Sep-2025</v>
      </c>
      <c r="K3176" s="13" t="str">
        <f>Raw_Data!K3176</f>
        <v>18</v>
      </c>
      <c r="L3176" s="17" t="str">
        <f>Raw_Data!L3176</f>
        <v>Chandigarh-North</v>
      </c>
      <c r="M3176" s="13" t="str">
        <f t="shared" si="3"/>
        <v>OK</v>
      </c>
      <c r="N3176" s="18" t="str">
        <f t="shared" si="4"/>
        <v>VALID</v>
      </c>
    </row>
    <row r="3177" ht="15.75" customHeight="1">
      <c r="A3177" s="13" t="str">
        <f>Raw_Data!A3177</f>
        <v>EMP3348</v>
      </c>
      <c r="B3177" s="13" t="str">
        <f>TRIM(CLEAN(Raw_Data!B3177))</f>
        <v>Sales</v>
      </c>
      <c r="C3177" s="18" t="s">
        <v>26</v>
      </c>
      <c r="D3177" s="14" t="str">
        <f>IF(ISBLANK(Raw_Data!D3177),AVERAGE(Raw_Data!D$2:D$5002),Raw_Data!D3177)</f>
        <v>84527.88</v>
      </c>
      <c r="E3177" s="15" t="str">
        <f>IF(ISBLANK(Raw_Data!E3177),AVERAGE(Raw_Data!E$2:E$5002),Raw_Data!E3177)</f>
        <v>29440.70</v>
      </c>
      <c r="F3177" s="15" t="str">
        <f>IF(ISBLANK(Raw_Data!F3177),AVERAGE(Raw_Data!F$2:F$5002),Raw_Data!F3177)</f>
        <v>25883.91</v>
      </c>
      <c r="G3177" s="14" t="str">
        <f>IF(ISBLANK(Raw_Data!G3177),AVERAGE(Raw_Data!G$2:G$5002),Raw_Data!G3177)</f>
        <v>18284.78</v>
      </c>
      <c r="H3177" s="15" t="str">
        <f t="shared" si="1"/>
        <v>139852.00</v>
      </c>
      <c r="I3177" s="14" t="str">
        <f t="shared" si="2"/>
        <v>121567.00</v>
      </c>
      <c r="J3177" s="16" t="str">
        <f>TEXT(Raw_Data!J3177,"MMM-YYY")</f>
        <v>Mar-2025</v>
      </c>
      <c r="K3177" s="13" t="str">
        <f>Raw_Data!K3177</f>
        <v>16</v>
      </c>
      <c r="L3177" s="17" t="str">
        <f>Raw_Data!L3177</f>
        <v>Ahmedabad-West</v>
      </c>
      <c r="M3177" s="13" t="str">
        <f t="shared" si="3"/>
        <v>OK</v>
      </c>
      <c r="N3177" s="18" t="str">
        <f t="shared" si="4"/>
        <v>VALID</v>
      </c>
    </row>
    <row r="3178" ht="15.75" customHeight="1">
      <c r="A3178" s="13" t="str">
        <f>Raw_Data!A3178</f>
        <v>EMP3349</v>
      </c>
      <c r="B3178" s="13" t="str">
        <f>TRIM(CLEAN(Raw_Data!B3178))</f>
        <v>Finance</v>
      </c>
      <c r="C3178" s="18" t="s">
        <v>37</v>
      </c>
      <c r="D3178" s="14" t="str">
        <f>IF(ISBLANK(Raw_Data!D3178),AVERAGE(Raw_Data!D$2:D$5002),Raw_Data!D3178)</f>
        <v>84538.76</v>
      </c>
      <c r="E3178" s="15" t="str">
        <f>IF(ISBLANK(Raw_Data!E3178),AVERAGE(Raw_Data!E$2:E$5002),Raw_Data!E3178)</f>
        <v>29445.32</v>
      </c>
      <c r="F3178" s="15" t="str">
        <f>IF(ISBLANK(Raw_Data!F3178),AVERAGE(Raw_Data!F$2:F$5002),Raw_Data!F3178)</f>
        <v>25891.59</v>
      </c>
      <c r="G3178" s="14" t="str">
        <f>IF(ISBLANK(Raw_Data!G3178),AVERAGE(Raw_Data!G$2:G$5002),Raw_Data!G3178)</f>
        <v>18288.18</v>
      </c>
      <c r="H3178" s="15" t="str">
        <f t="shared" si="1"/>
        <v>139876.00</v>
      </c>
      <c r="I3178" s="14" t="str">
        <f t="shared" si="2"/>
        <v>121588.00</v>
      </c>
      <c r="J3178" s="16" t="str">
        <f>TEXT(Raw_Data!J3178,"MMM-YYY")</f>
        <v>Dec-2025</v>
      </c>
      <c r="K3178" s="13" t="str">
        <f>Raw_Data!K3178</f>
        <v>17</v>
      </c>
      <c r="L3178" s="17" t="str">
        <f>Raw_Data!L3178</f>
        <v>Jaipur-North</v>
      </c>
      <c r="M3178" s="13" t="str">
        <f t="shared" si="3"/>
        <v>OK</v>
      </c>
      <c r="N3178" s="18" t="str">
        <f t="shared" si="4"/>
        <v>VALID</v>
      </c>
    </row>
    <row r="3179" ht="15.75" customHeight="1">
      <c r="A3179" s="13" t="str">
        <f>Raw_Data!A3179</f>
        <v>EMP3350</v>
      </c>
      <c r="B3179" s="13" t="str">
        <f>TRIM(CLEAN(Raw_Data!B3179))</f>
        <v>IT</v>
      </c>
      <c r="C3179" s="18" t="s">
        <v>37</v>
      </c>
      <c r="D3179" s="14" t="str">
        <f>IF(ISBLANK(Raw_Data!D3179),AVERAGE(Raw_Data!D$2:D$5002),Raw_Data!D3179)</f>
        <v>71831.17</v>
      </c>
      <c r="E3179" s="15" t="str">
        <f>IF(ISBLANK(Raw_Data!E3179),AVERAGE(Raw_Data!E$2:E$5002),Raw_Data!E3179)</f>
        <v>29449.93</v>
      </c>
      <c r="F3179" s="15" t="str">
        <f>IF(ISBLANK(Raw_Data!F3179),AVERAGE(Raw_Data!F$2:F$5002),Raw_Data!F3179)</f>
        <v>25899.27</v>
      </c>
      <c r="G3179" s="14" t="str">
        <f>IF(ISBLANK(Raw_Data!G3179),AVERAGE(Raw_Data!G$2:G$5002),Raw_Data!G3179)</f>
        <v>18291.57</v>
      </c>
      <c r="H3179" s="15" t="str">
        <f t="shared" si="1"/>
        <v>127180.00</v>
      </c>
      <c r="I3179" s="14" t="str">
        <f t="shared" si="2"/>
        <v>108888.00</v>
      </c>
      <c r="J3179" s="16" t="str">
        <f>TEXT(Raw_Data!J3179,"MMM-YYY")</f>
        <v>Nov-2025</v>
      </c>
      <c r="K3179" s="13" t="str">
        <f>Raw_Data!K3179</f>
        <v>9</v>
      </c>
      <c r="L3179" s="17" t="str">
        <f>Raw_Data!L3179</f>
        <v>Mumbai-HO</v>
      </c>
      <c r="M3179" s="13" t="str">
        <f t="shared" si="3"/>
        <v>OK</v>
      </c>
      <c r="N3179" s="18" t="str">
        <f t="shared" si="4"/>
        <v>VALID</v>
      </c>
    </row>
    <row r="3180" ht="15.75" customHeight="1">
      <c r="A3180" s="13" t="str">
        <f>Raw_Data!A3180</f>
        <v>EMP3351</v>
      </c>
      <c r="B3180" s="13" t="str">
        <f>TRIM(CLEAN(Raw_Data!B3180))</f>
        <v>HR</v>
      </c>
      <c r="C3180" s="18" t="s">
        <v>37</v>
      </c>
      <c r="D3180" s="14" t="str">
        <f>IF(ISBLANK(Raw_Data!D3180),AVERAGE(Raw_Data!D$2:D$5002),Raw_Data!D3180)</f>
        <v>84560.53</v>
      </c>
      <c r="E3180" s="15" t="str">
        <f>IF(ISBLANK(Raw_Data!E3180),AVERAGE(Raw_Data!E$2:E$5002),Raw_Data!E3180)</f>
        <v>29454.55</v>
      </c>
      <c r="F3180" s="15" t="str">
        <f>IF(ISBLANK(Raw_Data!F3180),AVERAGE(Raw_Data!F$2:F$5002),Raw_Data!F3180)</f>
        <v>25906.95</v>
      </c>
      <c r="G3180" s="14" t="str">
        <f>IF(ISBLANK(Raw_Data!G3180),AVERAGE(Raw_Data!G$2:G$5002),Raw_Data!G3180)</f>
        <v>18294.97</v>
      </c>
      <c r="H3180" s="15" t="str">
        <f t="shared" si="1"/>
        <v>139922.00</v>
      </c>
      <c r="I3180" s="14" t="str">
        <f t="shared" si="2"/>
        <v>121627.00</v>
      </c>
      <c r="J3180" s="16" t="str">
        <f>TEXT(Raw_Data!J3180,"MMM-YYY")</f>
        <v>Nov-2025</v>
      </c>
      <c r="K3180" s="13" t="str">
        <f>Raw_Data!K3180</f>
        <v>16</v>
      </c>
      <c r="L3180" s="17" t="str">
        <f>Raw_Data!L3180</f>
        <v>Delhi-North</v>
      </c>
      <c r="M3180" s="13" t="str">
        <f t="shared" si="3"/>
        <v>OK</v>
      </c>
      <c r="N3180" s="18" t="str">
        <f t="shared" si="4"/>
        <v>VALID</v>
      </c>
    </row>
    <row r="3181" ht="15.75" customHeight="1">
      <c r="A3181" s="13" t="str">
        <f>Raw_Data!A3181</f>
        <v>EMP3352</v>
      </c>
      <c r="B3181" s="13" t="str">
        <f>TRIM(CLEAN(Raw_Data!B3181))</f>
        <v>HR</v>
      </c>
      <c r="C3181" s="18" t="s">
        <v>33</v>
      </c>
      <c r="D3181" s="14" t="str">
        <f>IF(ISBLANK(Raw_Data!D3181),AVERAGE(Raw_Data!D$2:D$5002),Raw_Data!D3181)</f>
        <v>84571.41</v>
      </c>
      <c r="E3181" s="15" t="str">
        <f>IF(ISBLANK(Raw_Data!E3181),AVERAGE(Raw_Data!E$2:E$5002),Raw_Data!E3181)</f>
        <v>29459.16</v>
      </c>
      <c r="F3181" s="15" t="str">
        <f>IF(ISBLANK(Raw_Data!F3181),AVERAGE(Raw_Data!F$2:F$5002),Raw_Data!F3181)</f>
        <v>25914.63</v>
      </c>
      <c r="G3181" s="14" t="str">
        <f>IF(ISBLANK(Raw_Data!G3181),AVERAGE(Raw_Data!G$2:G$5002),Raw_Data!G3181)</f>
        <v>18298.37</v>
      </c>
      <c r="H3181" s="15" t="str">
        <f t="shared" si="1"/>
        <v>139945.00</v>
      </c>
      <c r="I3181" s="14" t="str">
        <f t="shared" si="2"/>
        <v>121647.00</v>
      </c>
      <c r="J3181" s="16" t="str">
        <f>TEXT(Raw_Data!J3181,"MMM-YYY")</f>
        <v>Mar-2025</v>
      </c>
      <c r="K3181" s="13" t="str">
        <f>Raw_Data!K3181</f>
        <v>1</v>
      </c>
      <c r="L3181" s="17" t="str">
        <f>Raw_Data!L3181</f>
        <v>Bangalore-South</v>
      </c>
      <c r="M3181" s="13" t="str">
        <f t="shared" si="3"/>
        <v>OK</v>
      </c>
      <c r="N3181" s="18" t="str">
        <f t="shared" si="4"/>
        <v>VALID</v>
      </c>
    </row>
    <row r="3182" ht="15.75" customHeight="1">
      <c r="A3182" s="13" t="str">
        <f>Raw_Data!A3182</f>
        <v>EMP3353</v>
      </c>
      <c r="B3182" s="13" t="str">
        <f>TRIM(CLEAN(Raw_Data!B3182))</f>
        <v>Marketing</v>
      </c>
      <c r="C3182" s="18" t="s">
        <v>14</v>
      </c>
      <c r="D3182" s="14" t="str">
        <f>IF(ISBLANK(Raw_Data!D3182),AVERAGE(Raw_Data!D$2:D$5002),Raw_Data!D3182)</f>
        <v>84582.29</v>
      </c>
      <c r="E3182" s="15" t="str">
        <f>IF(ISBLANK(Raw_Data!E3182),AVERAGE(Raw_Data!E$2:E$5002),Raw_Data!E3182)</f>
        <v>29463.77</v>
      </c>
      <c r="F3182" s="15" t="str">
        <f>IF(ISBLANK(Raw_Data!F3182),AVERAGE(Raw_Data!F$2:F$5002),Raw_Data!F3182)</f>
        <v>25922.31</v>
      </c>
      <c r="G3182" s="14" t="str">
        <f>IF(ISBLANK(Raw_Data!G3182),AVERAGE(Raw_Data!G$2:G$5002),Raw_Data!G3182)</f>
        <v>18301.77</v>
      </c>
      <c r="H3182" s="15" t="str">
        <f t="shared" si="1"/>
        <v>139968.00</v>
      </c>
      <c r="I3182" s="14" t="str">
        <f t="shared" si="2"/>
        <v>121666.00</v>
      </c>
      <c r="J3182" s="16" t="str">
        <f>TEXT(Raw_Data!J3182,"MMM-YYY")</f>
        <v>Jan-2025</v>
      </c>
      <c r="K3182" s="13" t="str">
        <f>Raw_Data!K3182</f>
        <v>9</v>
      </c>
      <c r="L3182" s="17" t="str">
        <f>Raw_Data!L3182</f>
        <v>Chennai-South</v>
      </c>
      <c r="M3182" s="13" t="str">
        <f t="shared" si="3"/>
        <v>OK</v>
      </c>
      <c r="N3182" s="18" t="str">
        <f t="shared" si="4"/>
        <v>VALID</v>
      </c>
    </row>
    <row r="3183" ht="15.75" customHeight="1">
      <c r="A3183" s="13" t="str">
        <f>Raw_Data!A3183</f>
        <v>EMP3355</v>
      </c>
      <c r="B3183" s="13" t="str">
        <f>TRIM(CLEAN(Raw_Data!B3183))</f>
        <v>Finance</v>
      </c>
      <c r="C3183" s="18" t="s">
        <v>33</v>
      </c>
      <c r="D3183" s="14" t="str">
        <f>IF(ISBLANK(Raw_Data!D3183),AVERAGE(Raw_Data!D$2:D$5002),Raw_Data!D3183)</f>
        <v>84604.06</v>
      </c>
      <c r="E3183" s="15" t="str">
        <f>IF(ISBLANK(Raw_Data!E3183),AVERAGE(Raw_Data!E$2:E$5002),Raw_Data!E3183)</f>
        <v>29473.00</v>
      </c>
      <c r="F3183" s="15" t="str">
        <f>IF(ISBLANK(Raw_Data!F3183),AVERAGE(Raw_Data!F$2:F$5002),Raw_Data!F3183)</f>
        <v>25937.67</v>
      </c>
      <c r="G3183" s="14" t="str">
        <f>IF(ISBLANK(Raw_Data!G3183),AVERAGE(Raw_Data!G$2:G$5002),Raw_Data!G3183)</f>
        <v>18308.56</v>
      </c>
      <c r="H3183" s="15" t="str">
        <f t="shared" si="1"/>
        <v>140015.00</v>
      </c>
      <c r="I3183" s="14" t="str">
        <f t="shared" si="2"/>
        <v>121706.00</v>
      </c>
      <c r="J3183" s="16" t="str">
        <f>TEXT(Raw_Data!J3183,"MMM-YYY")</f>
        <v>Jan-2025</v>
      </c>
      <c r="K3183" s="13" t="str">
        <f>Raw_Data!K3183</f>
        <v>4</v>
      </c>
      <c r="L3183" s="17" t="str">
        <f>Raw_Data!L3183</f>
        <v>Pune-West</v>
      </c>
      <c r="M3183" s="13" t="str">
        <f t="shared" si="3"/>
        <v>OK</v>
      </c>
      <c r="N3183" s="18" t="str">
        <f t="shared" si="4"/>
        <v>VALID</v>
      </c>
    </row>
    <row r="3184" ht="15.75" customHeight="1">
      <c r="A3184" s="13" t="str">
        <f>Raw_Data!A3184</f>
        <v>EMP3356</v>
      </c>
      <c r="B3184" s="13" t="str">
        <f>TRIM(CLEAN(Raw_Data!B3184))</f>
        <v>Operations</v>
      </c>
      <c r="C3184" s="18" t="s">
        <v>26</v>
      </c>
      <c r="D3184" s="14" t="str">
        <f>IF(ISBLANK(Raw_Data!D3184),AVERAGE(Raw_Data!D$2:D$5002),Raw_Data!D3184)</f>
        <v>84614.94</v>
      </c>
      <c r="E3184" s="15" t="str">
        <f>IF(ISBLANK(Raw_Data!E3184),AVERAGE(Raw_Data!E$2:E$5002),Raw_Data!E3184)</f>
        <v>29477.62</v>
      </c>
      <c r="F3184" s="15" t="str">
        <f>IF(ISBLANK(Raw_Data!F3184),AVERAGE(Raw_Data!F$2:F$5002),Raw_Data!F3184)</f>
        <v>25945.35</v>
      </c>
      <c r="G3184" s="14" t="str">
        <f>IF(ISBLANK(Raw_Data!G3184),AVERAGE(Raw_Data!G$2:G$5002),Raw_Data!G3184)</f>
        <v>18311.96</v>
      </c>
      <c r="H3184" s="15" t="str">
        <f t="shared" si="1"/>
        <v>140038.00</v>
      </c>
      <c r="I3184" s="14" t="str">
        <f t="shared" si="2"/>
        <v>121726.00</v>
      </c>
      <c r="J3184" s="16" t="str">
        <f>TEXT(Raw_Data!J3184,"MMM-YYY")</f>
        <v>Nov-2025</v>
      </c>
      <c r="K3184" s="13" t="str">
        <f>Raw_Data!K3184</f>
        <v>12</v>
      </c>
      <c r="L3184" s="17" t="str">
        <f>Raw_Data!L3184</f>
        <v>Hyderabad-South</v>
      </c>
      <c r="M3184" s="13" t="str">
        <f t="shared" si="3"/>
        <v>OK</v>
      </c>
      <c r="N3184" s="18" t="str">
        <f t="shared" si="4"/>
        <v>VALID</v>
      </c>
    </row>
    <row r="3185" ht="15.75" customHeight="1">
      <c r="A3185" s="13" t="str">
        <f>Raw_Data!A3185</f>
        <v>EMP3357</v>
      </c>
      <c r="B3185" s="13" t="str">
        <f>TRIM(CLEAN(Raw_Data!B3185))</f>
        <v>Operations</v>
      </c>
      <c r="C3185" s="18" t="s">
        <v>14</v>
      </c>
      <c r="D3185" s="14" t="str">
        <f>IF(ISBLANK(Raw_Data!D3185),AVERAGE(Raw_Data!D$2:D$5002),Raw_Data!D3185)</f>
        <v>84625.82</v>
      </c>
      <c r="E3185" s="15" t="str">
        <f>IF(ISBLANK(Raw_Data!E3185),AVERAGE(Raw_Data!E$2:E$5002),Raw_Data!E3185)</f>
        <v>29482.23</v>
      </c>
      <c r="F3185" s="15" t="str">
        <f>IF(ISBLANK(Raw_Data!F3185),AVERAGE(Raw_Data!F$2:F$5002),Raw_Data!F3185)</f>
        <v>25953.03</v>
      </c>
      <c r="G3185" s="14" t="str">
        <f>IF(ISBLANK(Raw_Data!G3185),AVERAGE(Raw_Data!G$2:G$5002),Raw_Data!G3185)</f>
        <v>18315.36</v>
      </c>
      <c r="H3185" s="15" t="str">
        <f t="shared" si="1"/>
        <v>140061.00</v>
      </c>
      <c r="I3185" s="14" t="str">
        <f t="shared" si="2"/>
        <v>121746.00</v>
      </c>
      <c r="J3185" s="16" t="str">
        <f>TEXT(Raw_Data!J3185,"MMM-YYY")</f>
        <v>Jun-2025</v>
      </c>
      <c r="K3185" s="13" t="str">
        <f>Raw_Data!K3185</f>
        <v>7</v>
      </c>
      <c r="L3185" s="17" t="str">
        <f>Raw_Data!L3185</f>
        <v>Chandigarh-North</v>
      </c>
      <c r="M3185" s="13" t="str">
        <f t="shared" si="3"/>
        <v>OK</v>
      </c>
      <c r="N3185" s="18" t="str">
        <f t="shared" si="4"/>
        <v>VALID</v>
      </c>
    </row>
    <row r="3186" ht="15.75" customHeight="1">
      <c r="A3186" s="13" t="str">
        <f>Raw_Data!A3186</f>
        <v>EMP3358</v>
      </c>
      <c r="B3186" s="13" t="str">
        <f>TRIM(CLEAN(Raw_Data!B3186))</f>
        <v>Finance</v>
      </c>
      <c r="C3186" s="18" t="s">
        <v>37</v>
      </c>
      <c r="D3186" s="14" t="str">
        <f>IF(ISBLANK(Raw_Data!D3186),AVERAGE(Raw_Data!D$2:D$5002),Raw_Data!D3186)</f>
        <v>84636.71</v>
      </c>
      <c r="E3186" s="15" t="str">
        <f>IF(ISBLANK(Raw_Data!E3186),AVERAGE(Raw_Data!E$2:E$5002),Raw_Data!E3186)</f>
        <v>29486.85</v>
      </c>
      <c r="F3186" s="15" t="str">
        <f>IF(ISBLANK(Raw_Data!F3186),AVERAGE(Raw_Data!F$2:F$5002),Raw_Data!F3186)</f>
        <v>25960.71</v>
      </c>
      <c r="G3186" s="14" t="str">
        <f>IF(ISBLANK(Raw_Data!G3186),AVERAGE(Raw_Data!G$2:G$5002),Raw_Data!G3186)</f>
        <v>18318.75</v>
      </c>
      <c r="H3186" s="15" t="str">
        <f t="shared" si="1"/>
        <v>140084.00</v>
      </c>
      <c r="I3186" s="14" t="str">
        <f t="shared" si="2"/>
        <v>121765.00</v>
      </c>
      <c r="J3186" s="16" t="str">
        <f>TEXT(Raw_Data!J3186,"MMM-YYY")</f>
        <v>Dec-2025</v>
      </c>
      <c r="K3186" s="13" t="str">
        <f>Raw_Data!K3186</f>
        <v>8</v>
      </c>
      <c r="L3186" s="17" t="str">
        <f>Raw_Data!L3186</f>
        <v>Ahmedabad-West</v>
      </c>
      <c r="M3186" s="13" t="str">
        <f t="shared" si="3"/>
        <v>OK</v>
      </c>
      <c r="N3186" s="18" t="str">
        <f t="shared" si="4"/>
        <v>VALID</v>
      </c>
    </row>
    <row r="3187" ht="15.75" customHeight="1">
      <c r="A3187" s="13" t="str">
        <f>Raw_Data!A3187</f>
        <v>EMP3359</v>
      </c>
      <c r="B3187" s="13" t="str">
        <f>TRIM(CLEAN(Raw_Data!B3187))</f>
        <v>HR</v>
      </c>
      <c r="C3187" s="18" t="s">
        <v>18</v>
      </c>
      <c r="D3187" s="14" t="str">
        <f>IF(ISBLANK(Raw_Data!D3187),AVERAGE(Raw_Data!D$2:D$5002),Raw_Data!D3187)</f>
        <v>84647.59</v>
      </c>
      <c r="E3187" s="15" t="str">
        <f>IF(ISBLANK(Raw_Data!E3187),AVERAGE(Raw_Data!E$2:E$5002),Raw_Data!E3187)</f>
        <v>29491.46</v>
      </c>
      <c r="F3187" s="15" t="str">
        <f>IF(ISBLANK(Raw_Data!F3187),AVERAGE(Raw_Data!F$2:F$5002),Raw_Data!F3187)</f>
        <v>25968.39</v>
      </c>
      <c r="G3187" s="14" t="str">
        <f>IF(ISBLANK(Raw_Data!G3187),AVERAGE(Raw_Data!G$2:G$5002),Raw_Data!G3187)</f>
        <v>18322.15</v>
      </c>
      <c r="H3187" s="15" t="str">
        <f t="shared" si="1"/>
        <v>140107.00</v>
      </c>
      <c r="I3187" s="14" t="str">
        <f t="shared" si="2"/>
        <v>121785.00</v>
      </c>
      <c r="J3187" s="16" t="str">
        <f>TEXT(Raw_Data!J3187,"MMM-YYY")</f>
        <v>Feb-2025</v>
      </c>
      <c r="K3187" s="13" t="str">
        <f>Raw_Data!K3187</f>
        <v>6</v>
      </c>
      <c r="L3187" s="17" t="str">
        <f>Raw_Data!L3187</f>
        <v>Jaipur-North</v>
      </c>
      <c r="M3187" s="13" t="str">
        <f t="shared" si="3"/>
        <v>OK</v>
      </c>
      <c r="N3187" s="18" t="str">
        <f t="shared" si="4"/>
        <v>VALID</v>
      </c>
    </row>
    <row r="3188" ht="15.75" customHeight="1">
      <c r="A3188" s="13" t="str">
        <f>Raw_Data!A3188</f>
        <v>EMP3360</v>
      </c>
      <c r="B3188" s="13" t="str">
        <f>TRIM(CLEAN(Raw_Data!B3188))</f>
        <v>Customer Support</v>
      </c>
      <c r="C3188" s="18" t="s">
        <v>18</v>
      </c>
      <c r="D3188" s="14" t="str">
        <f>IF(ISBLANK(Raw_Data!D3188),AVERAGE(Raw_Data!D$2:D$5002),Raw_Data!D3188)</f>
        <v>84658.47</v>
      </c>
      <c r="E3188" s="15" t="str">
        <f>IF(ISBLANK(Raw_Data!E3188),AVERAGE(Raw_Data!E$2:E$5002),Raw_Data!E3188)</f>
        <v>29496.08</v>
      </c>
      <c r="F3188" s="15" t="str">
        <f>IF(ISBLANK(Raw_Data!F3188),AVERAGE(Raw_Data!F$2:F$5002),Raw_Data!F3188)</f>
        <v>25976.07</v>
      </c>
      <c r="G3188" s="14" t="str">
        <f>IF(ISBLANK(Raw_Data!G3188),AVERAGE(Raw_Data!G$2:G$5002),Raw_Data!G3188)</f>
        <v>18325.55</v>
      </c>
      <c r="H3188" s="15" t="str">
        <f t="shared" si="1"/>
        <v>140131.00</v>
      </c>
      <c r="I3188" s="14" t="str">
        <f t="shared" si="2"/>
        <v>121805.00</v>
      </c>
      <c r="J3188" s="16" t="str">
        <f>TEXT(Raw_Data!J3188,"MMM-YYY")</f>
        <v>Nov-2025</v>
      </c>
      <c r="K3188" s="13" t="str">
        <f>Raw_Data!K3188</f>
        <v>8</v>
      </c>
      <c r="L3188" s="17" t="str">
        <f>Raw_Data!L3188</f>
        <v>Mumbai-HO</v>
      </c>
      <c r="M3188" s="13" t="str">
        <f t="shared" si="3"/>
        <v>OK</v>
      </c>
      <c r="N3188" s="18" t="str">
        <f t="shared" si="4"/>
        <v>VALID</v>
      </c>
    </row>
    <row r="3189" ht="15.75" customHeight="1">
      <c r="A3189" s="13" t="str">
        <f>Raw_Data!A3189</f>
        <v>EMP3361</v>
      </c>
      <c r="B3189" s="13" t="str">
        <f>TRIM(CLEAN(Raw_Data!B3189))</f>
        <v>HR</v>
      </c>
      <c r="C3189" s="18" t="s">
        <v>33</v>
      </c>
      <c r="D3189" s="14" t="str">
        <f>IF(ISBLANK(Raw_Data!D3189),AVERAGE(Raw_Data!D$2:D$5002),Raw_Data!D3189)</f>
        <v>84669.36</v>
      </c>
      <c r="E3189" s="15" t="str">
        <f>IF(ISBLANK(Raw_Data!E3189),AVERAGE(Raw_Data!E$2:E$5002),Raw_Data!E3189)</f>
        <v>29500.69</v>
      </c>
      <c r="F3189" s="15" t="str">
        <f>IF(ISBLANK(Raw_Data!F3189),AVERAGE(Raw_Data!F$2:F$5002),Raw_Data!F3189)</f>
        <v>25983.75</v>
      </c>
      <c r="G3189" s="14" t="str">
        <f>IF(ISBLANK(Raw_Data!G3189),AVERAGE(Raw_Data!G$2:G$5002),Raw_Data!G3189)</f>
        <v>18328.95</v>
      </c>
      <c r="H3189" s="15" t="str">
        <f t="shared" si="1"/>
        <v>140154.00</v>
      </c>
      <c r="I3189" s="14" t="str">
        <f t="shared" si="2"/>
        <v>121825.00</v>
      </c>
      <c r="J3189" s="16" t="str">
        <f>TEXT(Raw_Data!J3189,"MMM-YYY")</f>
        <v>Jul-2025</v>
      </c>
      <c r="K3189" s="13" t="str">
        <f>Raw_Data!K3189</f>
        <v>17</v>
      </c>
      <c r="L3189" s="17" t="str">
        <f>Raw_Data!L3189</f>
        <v>Delhi-North</v>
      </c>
      <c r="M3189" s="13" t="str">
        <f t="shared" si="3"/>
        <v>OK</v>
      </c>
      <c r="N3189" s="18" t="str">
        <f t="shared" si="4"/>
        <v>VALID</v>
      </c>
    </row>
    <row r="3190" ht="15.75" customHeight="1">
      <c r="A3190" s="13" t="str">
        <f>Raw_Data!A3190</f>
        <v>EMP3362</v>
      </c>
      <c r="B3190" s="13" t="str">
        <f>TRIM(CLEAN(Raw_Data!B3190))</f>
        <v>HR</v>
      </c>
      <c r="C3190" s="18" t="s">
        <v>14</v>
      </c>
      <c r="D3190" s="14" t="str">
        <f>IF(ISBLANK(Raw_Data!D3190),AVERAGE(Raw_Data!D$2:D$5002),Raw_Data!D3190)</f>
        <v>84680.24</v>
      </c>
      <c r="E3190" s="15" t="str">
        <f>IF(ISBLANK(Raw_Data!E3190),AVERAGE(Raw_Data!E$2:E$5002),Raw_Data!E3190)</f>
        <v>29505.31</v>
      </c>
      <c r="F3190" s="15" t="str">
        <f>IF(ISBLANK(Raw_Data!F3190),AVERAGE(Raw_Data!F$2:F$5002),Raw_Data!F3190)</f>
        <v>25991.43</v>
      </c>
      <c r="G3190" s="14" t="str">
        <f>IF(ISBLANK(Raw_Data!G3190),AVERAGE(Raw_Data!G$2:G$5002),Raw_Data!G3190)</f>
        <v>18332.34</v>
      </c>
      <c r="H3190" s="15" t="str">
        <f t="shared" si="1"/>
        <v>140177.00</v>
      </c>
      <c r="I3190" s="14" t="str">
        <f t="shared" si="2"/>
        <v>121845.00</v>
      </c>
      <c r="J3190" s="16" t="str">
        <f>TEXT(Raw_Data!J3190,"MMM-YYY")</f>
        <v>Dec-2025</v>
      </c>
      <c r="K3190" s="13" t="str">
        <f>Raw_Data!K3190</f>
        <v>1</v>
      </c>
      <c r="L3190" s="17" t="str">
        <f>Raw_Data!L3190</f>
        <v>Bangalore-South</v>
      </c>
      <c r="M3190" s="13" t="str">
        <f t="shared" si="3"/>
        <v>OK</v>
      </c>
      <c r="N3190" s="18" t="str">
        <f t="shared" si="4"/>
        <v>VALID</v>
      </c>
    </row>
    <row r="3191" ht="15.75" customHeight="1">
      <c r="A3191" s="13" t="str">
        <f>Raw_Data!A3191</f>
        <v>EMP3363</v>
      </c>
      <c r="B3191" s="13" t="str">
        <f>TRIM(CLEAN(Raw_Data!B3191))</f>
        <v>Finance</v>
      </c>
      <c r="C3191" s="18" t="s">
        <v>26</v>
      </c>
      <c r="D3191" s="14" t="str">
        <f>IF(ISBLANK(Raw_Data!D3191),AVERAGE(Raw_Data!D$2:D$5002),Raw_Data!D3191)</f>
        <v>84691.12</v>
      </c>
      <c r="E3191" s="15" t="str">
        <f>IF(ISBLANK(Raw_Data!E3191),AVERAGE(Raw_Data!E$2:E$5002),Raw_Data!E3191)</f>
        <v>29509.92</v>
      </c>
      <c r="F3191" s="15" t="str">
        <f>IF(ISBLANK(Raw_Data!F3191),AVERAGE(Raw_Data!F$2:F$5002),Raw_Data!F3191)</f>
        <v>25999.11</v>
      </c>
      <c r="G3191" s="14" t="str">
        <f>IF(ISBLANK(Raw_Data!G3191),AVERAGE(Raw_Data!G$2:G$5002),Raw_Data!G3191)</f>
        <v>18335.74</v>
      </c>
      <c r="H3191" s="15" t="str">
        <f t="shared" si="1"/>
        <v>140200.00</v>
      </c>
      <c r="I3191" s="14" t="str">
        <f t="shared" si="2"/>
        <v>121864.00</v>
      </c>
      <c r="J3191" s="16" t="str">
        <f>TEXT(Raw_Data!J3191,"MMM-YYY")</f>
        <v>Jul-2025</v>
      </c>
      <c r="K3191" s="13" t="str">
        <f>Raw_Data!K3191</f>
        <v>9</v>
      </c>
      <c r="L3191" s="17" t="str">
        <f>Raw_Data!L3191</f>
        <v>Chennai-South</v>
      </c>
      <c r="M3191" s="13" t="str">
        <f t="shared" si="3"/>
        <v>OK</v>
      </c>
      <c r="N3191" s="18" t="str">
        <f t="shared" si="4"/>
        <v>VALID</v>
      </c>
    </row>
    <row r="3192" ht="15.75" customHeight="1">
      <c r="A3192" s="13" t="str">
        <f>Raw_Data!A3192</f>
        <v>EMP3364</v>
      </c>
      <c r="B3192" s="13" t="str">
        <f>TRIM(CLEAN(Raw_Data!B3192))</f>
        <v>Sales</v>
      </c>
      <c r="C3192" s="18" t="s">
        <v>33</v>
      </c>
      <c r="D3192" s="14" t="str">
        <f>IF(ISBLANK(Raw_Data!D3192),AVERAGE(Raw_Data!D$2:D$5002),Raw_Data!D3192)</f>
        <v>84702.01</v>
      </c>
      <c r="E3192" s="15" t="str">
        <f>IF(ISBLANK(Raw_Data!E3192),AVERAGE(Raw_Data!E$2:E$5002),Raw_Data!E3192)</f>
        <v>29514.54</v>
      </c>
      <c r="F3192" s="15" t="str">
        <f>IF(ISBLANK(Raw_Data!F3192),AVERAGE(Raw_Data!F$2:F$5002),Raw_Data!F3192)</f>
        <v>26006.79</v>
      </c>
      <c r="G3192" s="14" t="str">
        <f>IF(ISBLANK(Raw_Data!G3192),AVERAGE(Raw_Data!G$2:G$5002),Raw_Data!G3192)</f>
        <v>18339.14</v>
      </c>
      <c r="H3192" s="15" t="str">
        <f t="shared" si="1"/>
        <v>140223.00</v>
      </c>
      <c r="I3192" s="14" t="str">
        <f t="shared" si="2"/>
        <v>121884.00</v>
      </c>
      <c r="J3192" s="16" t="str">
        <f>TEXT(Raw_Data!J3192,"MMM-YYY")</f>
        <v>Jun-2025</v>
      </c>
      <c r="K3192" s="13" t="str">
        <f>Raw_Data!K3192</f>
        <v>17</v>
      </c>
      <c r="L3192" s="17" t="str">
        <f>Raw_Data!L3192</f>
        <v>Kolkata-East</v>
      </c>
      <c r="M3192" s="13" t="str">
        <f t="shared" si="3"/>
        <v>OK</v>
      </c>
      <c r="N3192" s="18" t="str">
        <f t="shared" si="4"/>
        <v>VALID</v>
      </c>
    </row>
    <row r="3193" ht="15.75" customHeight="1">
      <c r="A3193" s="13" t="str">
        <f>Raw_Data!A3193</f>
        <v>EMP3365</v>
      </c>
      <c r="B3193" s="13" t="str">
        <f>TRIM(CLEAN(Raw_Data!B3193))</f>
        <v>Sales</v>
      </c>
      <c r="C3193" s="18" t="s">
        <v>18</v>
      </c>
      <c r="D3193" s="14" t="str">
        <f>IF(ISBLANK(Raw_Data!D3193),AVERAGE(Raw_Data!D$2:D$5002),Raw_Data!D3193)</f>
        <v>84712.89</v>
      </c>
      <c r="E3193" s="15" t="str">
        <f>IF(ISBLANK(Raw_Data!E3193),AVERAGE(Raw_Data!E$2:E$5002),Raw_Data!E3193)</f>
        <v>29519.15</v>
      </c>
      <c r="F3193" s="15" t="str">
        <f>IF(ISBLANK(Raw_Data!F3193),AVERAGE(Raw_Data!F$2:F$5002),Raw_Data!F3193)</f>
        <v>26014.47</v>
      </c>
      <c r="G3193" s="14" t="str">
        <f>IF(ISBLANK(Raw_Data!G3193),AVERAGE(Raw_Data!G$2:G$5002),Raw_Data!G3193)</f>
        <v>18342.54</v>
      </c>
      <c r="H3193" s="15" t="str">
        <f t="shared" si="1"/>
        <v>140247.00</v>
      </c>
      <c r="I3193" s="14" t="str">
        <f t="shared" si="2"/>
        <v>121904.00</v>
      </c>
      <c r="J3193" s="16" t="str">
        <f>TEXT(Raw_Data!J3193,"MMM-YYY")</f>
        <v>Nov-2025</v>
      </c>
      <c r="K3193" s="13" t="str">
        <f>Raw_Data!K3193</f>
        <v>5</v>
      </c>
      <c r="L3193" s="17" t="str">
        <f>Raw_Data!L3193</f>
        <v>Pune-West</v>
      </c>
      <c r="M3193" s="13" t="str">
        <f t="shared" si="3"/>
        <v>OK</v>
      </c>
      <c r="N3193" s="18" t="str">
        <f t="shared" si="4"/>
        <v>VALID</v>
      </c>
    </row>
    <row r="3194" ht="15.75" customHeight="1">
      <c r="A3194" s="13" t="str">
        <f>Raw_Data!A3194</f>
        <v>EMP3366</v>
      </c>
      <c r="B3194" s="13" t="str">
        <f>TRIM(CLEAN(Raw_Data!B3194))</f>
        <v>Operations</v>
      </c>
      <c r="C3194" s="18" t="s">
        <v>18</v>
      </c>
      <c r="D3194" s="14" t="str">
        <f>IF(ISBLANK(Raw_Data!D3194),AVERAGE(Raw_Data!D$2:D$5002),Raw_Data!D3194)</f>
        <v>84723.77</v>
      </c>
      <c r="E3194" s="15" t="str">
        <f>IF(ISBLANK(Raw_Data!E3194),AVERAGE(Raw_Data!E$2:E$5002),Raw_Data!E3194)</f>
        <v>29523.77</v>
      </c>
      <c r="F3194" s="15" t="str">
        <f>IF(ISBLANK(Raw_Data!F3194),AVERAGE(Raw_Data!F$2:F$5002),Raw_Data!F3194)</f>
        <v>26022.15</v>
      </c>
      <c r="G3194" s="14" t="str">
        <f>IF(ISBLANK(Raw_Data!G3194),AVERAGE(Raw_Data!G$2:G$5002),Raw_Data!G3194)</f>
        <v>18345.93</v>
      </c>
      <c r="H3194" s="15" t="str">
        <f t="shared" si="1"/>
        <v>140270.00</v>
      </c>
      <c r="I3194" s="14" t="str">
        <f t="shared" si="2"/>
        <v>121924.00</v>
      </c>
      <c r="J3194" s="16" t="str">
        <f>TEXT(Raw_Data!J3194,"MMM-YYY")</f>
        <v>Apr-2025</v>
      </c>
      <c r="K3194" s="13" t="str">
        <f>Raw_Data!K3194</f>
        <v>9</v>
      </c>
      <c r="L3194" s="17" t="str">
        <f>Raw_Data!L3194</f>
        <v>Hyderabad-South</v>
      </c>
      <c r="M3194" s="13" t="str">
        <f t="shared" si="3"/>
        <v>OK</v>
      </c>
      <c r="N3194" s="18" t="str">
        <f t="shared" si="4"/>
        <v>VALID</v>
      </c>
    </row>
    <row r="3195" ht="15.75" customHeight="1">
      <c r="A3195" s="13" t="str">
        <f>Raw_Data!A3195</f>
        <v>EMP3367</v>
      </c>
      <c r="B3195" s="13" t="str">
        <f>TRIM(CLEAN(Raw_Data!B3195))</f>
        <v>IT</v>
      </c>
      <c r="C3195" s="18" t="s">
        <v>14</v>
      </c>
      <c r="D3195" s="14" t="str">
        <f>IF(ISBLANK(Raw_Data!D3195),AVERAGE(Raw_Data!D$2:D$5002),Raw_Data!D3195)</f>
        <v>84734.65</v>
      </c>
      <c r="E3195" s="15" t="str">
        <f>IF(ISBLANK(Raw_Data!E3195),AVERAGE(Raw_Data!E$2:E$5002),Raw_Data!E3195)</f>
        <v>29528.38</v>
      </c>
      <c r="F3195" s="15" t="str">
        <f>IF(ISBLANK(Raw_Data!F3195),AVERAGE(Raw_Data!F$2:F$5002),Raw_Data!F3195)</f>
        <v>26029.83</v>
      </c>
      <c r="G3195" s="14" t="str">
        <f>IF(ISBLANK(Raw_Data!G3195),AVERAGE(Raw_Data!G$2:G$5002),Raw_Data!G3195)</f>
        <v>18349.33</v>
      </c>
      <c r="H3195" s="15" t="str">
        <f t="shared" si="1"/>
        <v>140293.00</v>
      </c>
      <c r="I3195" s="14" t="str">
        <f t="shared" si="2"/>
        <v>121944.00</v>
      </c>
      <c r="J3195" s="16" t="str">
        <f>TEXT(Raw_Data!J3195,"MMM-YYY")</f>
        <v>Aug-2025</v>
      </c>
      <c r="K3195" s="13" t="str">
        <f>Raw_Data!K3195</f>
        <v>13</v>
      </c>
      <c r="L3195" s="17" t="str">
        <f>Raw_Data!L3195</f>
        <v>Chandigarh-North</v>
      </c>
      <c r="M3195" s="13" t="str">
        <f t="shared" si="3"/>
        <v>OK</v>
      </c>
      <c r="N3195" s="18" t="str">
        <f t="shared" si="4"/>
        <v>VALID</v>
      </c>
    </row>
    <row r="3196" ht="15.75" customHeight="1">
      <c r="A3196" s="13" t="str">
        <f>Raw_Data!A3196</f>
        <v>EMP3368</v>
      </c>
      <c r="B3196" s="13" t="str">
        <f>TRIM(CLEAN(Raw_Data!B3196))</f>
        <v>Marketing</v>
      </c>
      <c r="C3196" s="18" t="s">
        <v>18</v>
      </c>
      <c r="D3196" s="14" t="str">
        <f>IF(ISBLANK(Raw_Data!D3196),AVERAGE(Raw_Data!D$2:D$5002),Raw_Data!D3196)</f>
        <v>84745.54</v>
      </c>
      <c r="E3196" s="15" t="str">
        <f>IF(ISBLANK(Raw_Data!E3196),AVERAGE(Raw_Data!E$2:E$5002),Raw_Data!E3196)</f>
        <v>29533.00</v>
      </c>
      <c r="F3196" s="15" t="str">
        <f>IF(ISBLANK(Raw_Data!F3196),AVERAGE(Raw_Data!F$2:F$5002),Raw_Data!F3196)</f>
        <v>26037.51</v>
      </c>
      <c r="G3196" s="14" t="str">
        <f>IF(ISBLANK(Raw_Data!G3196),AVERAGE(Raw_Data!G$2:G$5002),Raw_Data!G3196)</f>
        <v>14562.73</v>
      </c>
      <c r="H3196" s="15" t="str">
        <f t="shared" si="1"/>
        <v>140316.00</v>
      </c>
      <c r="I3196" s="14" t="str">
        <f t="shared" si="2"/>
        <v>125753.00</v>
      </c>
      <c r="J3196" s="16" t="str">
        <f>TEXT(Raw_Data!J3196,"MMM-YYY")</f>
        <v>Jan-2025</v>
      </c>
      <c r="K3196" s="13" t="str">
        <f>Raw_Data!K3196</f>
        <v>11</v>
      </c>
      <c r="L3196" s="17" t="str">
        <f>Raw_Data!L3196</f>
        <v>Ahmedabad-West</v>
      </c>
      <c r="M3196" s="13" t="str">
        <f t="shared" si="3"/>
        <v>OK</v>
      </c>
      <c r="N3196" s="18" t="str">
        <f t="shared" si="4"/>
        <v>VALID</v>
      </c>
    </row>
    <row r="3197" ht="15.75" customHeight="1">
      <c r="A3197" s="13" t="str">
        <f>Raw_Data!A3197</f>
        <v>EMP3369</v>
      </c>
      <c r="B3197" s="13" t="str">
        <f>TRIM(CLEAN(Raw_Data!B3197))</f>
        <v>Marketing</v>
      </c>
      <c r="C3197" s="18" t="s">
        <v>54</v>
      </c>
      <c r="D3197" s="14" t="str">
        <f>IF(ISBLANK(Raw_Data!D3197),AVERAGE(Raw_Data!D$2:D$5002),Raw_Data!D3197)</f>
        <v>84756.42</v>
      </c>
      <c r="E3197" s="15" t="str">
        <f>IF(ISBLANK(Raw_Data!E3197),AVERAGE(Raw_Data!E$2:E$5002),Raw_Data!E3197)</f>
        <v>29537.61</v>
      </c>
      <c r="F3197" s="15" t="str">
        <f>IF(ISBLANK(Raw_Data!F3197),AVERAGE(Raw_Data!F$2:F$5002),Raw_Data!F3197)</f>
        <v>26045.19</v>
      </c>
      <c r="G3197" s="14" t="str">
        <f>IF(ISBLANK(Raw_Data!G3197),AVERAGE(Raw_Data!G$2:G$5002),Raw_Data!G3197)</f>
        <v>18356.13</v>
      </c>
      <c r="H3197" s="15" t="str">
        <f t="shared" si="1"/>
        <v>140339.00</v>
      </c>
      <c r="I3197" s="14" t="str">
        <f t="shared" si="2"/>
        <v>121983.00</v>
      </c>
      <c r="J3197" s="16" t="str">
        <f>TEXT(Raw_Data!J3197,"MMM-YYY")</f>
        <v>Apr-2025</v>
      </c>
      <c r="K3197" s="13" t="str">
        <f>Raw_Data!K3197</f>
        <v>2</v>
      </c>
      <c r="L3197" s="17" t="str">
        <f>Raw_Data!L3197</f>
        <v>Jaipur-North</v>
      </c>
      <c r="M3197" s="13" t="str">
        <f t="shared" si="3"/>
        <v>OK</v>
      </c>
      <c r="N3197" s="18" t="str">
        <f t="shared" si="4"/>
        <v>VALID</v>
      </c>
    </row>
    <row r="3198" ht="15.75" customHeight="1">
      <c r="A3198" s="13" t="str">
        <f>Raw_Data!A3198</f>
        <v>EMP3370</v>
      </c>
      <c r="B3198" s="13" t="str">
        <f>TRIM(CLEAN(Raw_Data!B3198))</f>
        <v>Marketing</v>
      </c>
      <c r="C3198" s="18" t="s">
        <v>33</v>
      </c>
      <c r="D3198" s="14" t="str">
        <f>IF(ISBLANK(Raw_Data!D3198),AVERAGE(Raw_Data!D$2:D$5002),Raw_Data!D3198)</f>
        <v>84767.30</v>
      </c>
      <c r="E3198" s="15" t="str">
        <f>IF(ISBLANK(Raw_Data!E3198),AVERAGE(Raw_Data!E$2:E$5002),Raw_Data!E3198)</f>
        <v>29542.22</v>
      </c>
      <c r="F3198" s="15" t="str">
        <f>IF(ISBLANK(Raw_Data!F3198),AVERAGE(Raw_Data!F$2:F$5002),Raw_Data!F3198)</f>
        <v>26052.87</v>
      </c>
      <c r="G3198" s="14" t="str">
        <f>IF(ISBLANK(Raw_Data!G3198),AVERAGE(Raw_Data!G$2:G$5002),Raw_Data!G3198)</f>
        <v>18359.52</v>
      </c>
      <c r="H3198" s="15" t="str">
        <f t="shared" si="1"/>
        <v>140362.00</v>
      </c>
      <c r="I3198" s="14" t="str">
        <f t="shared" si="2"/>
        <v>122002.00</v>
      </c>
      <c r="J3198" s="16" t="str">
        <f>TEXT(Raw_Data!J3198,"MMM-YYY")</f>
        <v>May-2025</v>
      </c>
      <c r="K3198" s="13" t="str">
        <f>Raw_Data!K3198</f>
        <v>14</v>
      </c>
      <c r="L3198" s="17" t="str">
        <f>Raw_Data!L3198</f>
        <v>Mumbai-HO</v>
      </c>
      <c r="M3198" s="13" t="str">
        <f t="shared" si="3"/>
        <v>OK</v>
      </c>
      <c r="N3198" s="18" t="str">
        <f t="shared" si="4"/>
        <v>VALID</v>
      </c>
    </row>
    <row r="3199" ht="15.75" customHeight="1">
      <c r="A3199" s="13" t="str">
        <f>Raw_Data!A3199</f>
        <v>EMP3371</v>
      </c>
      <c r="B3199" s="13" t="str">
        <f>TRIM(CLEAN(Raw_Data!B3199))</f>
        <v>Operations</v>
      </c>
      <c r="C3199" s="18" t="s">
        <v>54</v>
      </c>
      <c r="D3199" s="14" t="str">
        <f>IF(ISBLANK(Raw_Data!D3199),AVERAGE(Raw_Data!D$2:D$5002),Raw_Data!D3199)</f>
        <v>84778.19</v>
      </c>
      <c r="E3199" s="15" t="str">
        <f>IF(ISBLANK(Raw_Data!E3199),AVERAGE(Raw_Data!E$2:E$5002),Raw_Data!E3199)</f>
        <v>29546.84</v>
      </c>
      <c r="F3199" s="15" t="str">
        <f>IF(ISBLANK(Raw_Data!F3199),AVERAGE(Raw_Data!F$2:F$5002),Raw_Data!F3199)</f>
        <v>26060.55</v>
      </c>
      <c r="G3199" s="14" t="str">
        <f>IF(ISBLANK(Raw_Data!G3199),AVERAGE(Raw_Data!G$2:G$5002),Raw_Data!G3199)</f>
        <v>18362.92</v>
      </c>
      <c r="H3199" s="15" t="str">
        <f t="shared" si="1"/>
        <v>140386.00</v>
      </c>
      <c r="I3199" s="14" t="str">
        <f t="shared" si="2"/>
        <v>122023.00</v>
      </c>
      <c r="J3199" s="16" t="str">
        <f>TEXT(Raw_Data!J3199,"MMM-YYY")</f>
        <v>Jan-2025</v>
      </c>
      <c r="K3199" s="13" t="str">
        <f>Raw_Data!K3199</f>
        <v>14</v>
      </c>
      <c r="L3199" s="17" t="str">
        <f>Raw_Data!L3199</f>
        <v>Delhi-North</v>
      </c>
      <c r="M3199" s="13" t="str">
        <f t="shared" si="3"/>
        <v>OK</v>
      </c>
      <c r="N3199" s="18" t="str">
        <f t="shared" si="4"/>
        <v>VALID</v>
      </c>
    </row>
    <row r="3200" ht="15.75" customHeight="1">
      <c r="A3200" s="13" t="str">
        <f>Raw_Data!A3200</f>
        <v>EMP3372</v>
      </c>
      <c r="B3200" s="13" t="str">
        <f>TRIM(CLEAN(Raw_Data!B3200))</f>
        <v>Finance</v>
      </c>
      <c r="C3200" s="18" t="s">
        <v>18</v>
      </c>
      <c r="D3200" s="14" t="str">
        <f>IF(ISBLANK(Raw_Data!D3200),AVERAGE(Raw_Data!D$2:D$5002),Raw_Data!D3200)</f>
        <v>84789.07</v>
      </c>
      <c r="E3200" s="15" t="str">
        <f>IF(ISBLANK(Raw_Data!E3200),AVERAGE(Raw_Data!E$2:E$5002),Raw_Data!E3200)</f>
        <v>29551.45</v>
      </c>
      <c r="F3200" s="15" t="str">
        <f>IF(ISBLANK(Raw_Data!F3200),AVERAGE(Raw_Data!F$2:F$5002),Raw_Data!F3200)</f>
        <v>26068.23</v>
      </c>
      <c r="G3200" s="14" t="str">
        <f>IF(ISBLANK(Raw_Data!G3200),AVERAGE(Raw_Data!G$2:G$5002),Raw_Data!G3200)</f>
        <v>18366.32</v>
      </c>
      <c r="H3200" s="15" t="str">
        <f t="shared" si="1"/>
        <v>140409.00</v>
      </c>
      <c r="I3200" s="14" t="str">
        <f t="shared" si="2"/>
        <v>122043.00</v>
      </c>
      <c r="J3200" s="16" t="str">
        <f>TEXT(Raw_Data!J3200,"MMM-YYY")</f>
        <v>Apr-2025</v>
      </c>
      <c r="K3200" s="13" t="str">
        <f>Raw_Data!K3200</f>
        <v>13</v>
      </c>
      <c r="L3200" s="17" t="str">
        <f>Raw_Data!L3200</f>
        <v>Bangalore-South</v>
      </c>
      <c r="M3200" s="13" t="str">
        <f t="shared" si="3"/>
        <v>OK</v>
      </c>
      <c r="N3200" s="18" t="str">
        <f t="shared" si="4"/>
        <v>VALID</v>
      </c>
    </row>
    <row r="3201" ht="15.75" customHeight="1">
      <c r="A3201" s="13" t="str">
        <f>Raw_Data!A3201</f>
        <v>EMP3373</v>
      </c>
      <c r="B3201" s="13" t="str">
        <f>TRIM(CLEAN(Raw_Data!B3201))</f>
        <v>Operations</v>
      </c>
      <c r="C3201" s="18" t="s">
        <v>14</v>
      </c>
      <c r="D3201" s="14" t="str">
        <f>IF(ISBLANK(Raw_Data!D3201),AVERAGE(Raw_Data!D$2:D$5002),Raw_Data!D3201)</f>
        <v>84799.95</v>
      </c>
      <c r="E3201" s="15" t="str">
        <f>IF(ISBLANK(Raw_Data!E3201),AVERAGE(Raw_Data!E$2:E$5002),Raw_Data!E3201)</f>
        <v>29556.07</v>
      </c>
      <c r="F3201" s="15" t="str">
        <f>IF(ISBLANK(Raw_Data!F3201),AVERAGE(Raw_Data!F$2:F$5002),Raw_Data!F3201)</f>
        <v>26075.91</v>
      </c>
      <c r="G3201" s="14" t="str">
        <f>IF(ISBLANK(Raw_Data!G3201),AVERAGE(Raw_Data!G$2:G$5002),Raw_Data!G3201)</f>
        <v>14562.73</v>
      </c>
      <c r="H3201" s="15" t="str">
        <f t="shared" si="1"/>
        <v>140432.00</v>
      </c>
      <c r="I3201" s="14" t="str">
        <f t="shared" si="2"/>
        <v>125869.00</v>
      </c>
      <c r="J3201" s="16" t="str">
        <f>TEXT(Raw_Data!J3201,"MMM-YYY")</f>
        <v>Apr-2025</v>
      </c>
      <c r="K3201" s="13" t="str">
        <f>Raw_Data!K3201</f>
        <v>17</v>
      </c>
      <c r="L3201" s="17" t="str">
        <f>Raw_Data!L3201</f>
        <v>Chennai-South</v>
      </c>
      <c r="M3201" s="13" t="str">
        <f t="shared" si="3"/>
        <v>OK</v>
      </c>
      <c r="N3201" s="18" t="str">
        <f t="shared" si="4"/>
        <v>VALID</v>
      </c>
    </row>
    <row r="3202" ht="15.75" customHeight="1">
      <c r="A3202" s="13" t="str">
        <f>Raw_Data!A3202</f>
        <v>EMP3374</v>
      </c>
      <c r="B3202" s="13" t="str">
        <f>TRIM(CLEAN(Raw_Data!B3202))</f>
        <v>Marketing</v>
      </c>
      <c r="C3202" s="18" t="s">
        <v>14</v>
      </c>
      <c r="D3202" s="14" t="str">
        <f>IF(ISBLANK(Raw_Data!D3202),AVERAGE(Raw_Data!D$2:D$5002),Raw_Data!D3202)</f>
        <v>84810.83</v>
      </c>
      <c r="E3202" s="15" t="str">
        <f>IF(ISBLANK(Raw_Data!E3202),AVERAGE(Raw_Data!E$2:E$5002),Raw_Data!E3202)</f>
        <v>29560.68</v>
      </c>
      <c r="F3202" s="15" t="str">
        <f>IF(ISBLANK(Raw_Data!F3202),AVERAGE(Raw_Data!F$2:F$5002),Raw_Data!F3202)</f>
        <v>26083.59</v>
      </c>
      <c r="G3202" s="14" t="str">
        <f>IF(ISBLANK(Raw_Data!G3202),AVERAGE(Raw_Data!G$2:G$5002),Raw_Data!G3202)</f>
        <v>18373.11</v>
      </c>
      <c r="H3202" s="15" t="str">
        <f t="shared" si="1"/>
        <v>140455.00</v>
      </c>
      <c r="I3202" s="14" t="str">
        <f t="shared" si="2"/>
        <v>122082.00</v>
      </c>
      <c r="J3202" s="16" t="str">
        <f>TEXT(Raw_Data!J3202,"MMM-YYY")</f>
        <v>Dec-2025</v>
      </c>
      <c r="K3202" s="13" t="str">
        <f>Raw_Data!K3202</f>
        <v>15</v>
      </c>
      <c r="L3202" s="17" t="str">
        <f>Raw_Data!L3202</f>
        <v>Kolkata-East</v>
      </c>
      <c r="M3202" s="13" t="str">
        <f t="shared" si="3"/>
        <v>OK</v>
      </c>
      <c r="N3202" s="18" t="str">
        <f t="shared" si="4"/>
        <v>VALID</v>
      </c>
    </row>
    <row r="3203" ht="15.75" customHeight="1">
      <c r="A3203" s="13" t="str">
        <f>Raw_Data!A3203</f>
        <v>EMP3376</v>
      </c>
      <c r="B3203" s="13" t="str">
        <f>TRIM(CLEAN(Raw_Data!B3203))</f>
        <v>Sales</v>
      </c>
      <c r="C3203" s="18" t="s">
        <v>54</v>
      </c>
      <c r="D3203" s="14" t="str">
        <f>IF(ISBLANK(Raw_Data!D3203),AVERAGE(Raw_Data!D$2:D$5002),Raw_Data!D3203)</f>
        <v>84832.60</v>
      </c>
      <c r="E3203" s="15" t="str">
        <f>IF(ISBLANK(Raw_Data!E3203),AVERAGE(Raw_Data!E$2:E$5002),Raw_Data!E3203)</f>
        <v>29569.91</v>
      </c>
      <c r="F3203" s="15" t="str">
        <f>IF(ISBLANK(Raw_Data!F3203),AVERAGE(Raw_Data!F$2:F$5002),Raw_Data!F3203)</f>
        <v>26098.95</v>
      </c>
      <c r="G3203" s="14" t="str">
        <f>IF(ISBLANK(Raw_Data!G3203),AVERAGE(Raw_Data!G$2:G$5002),Raw_Data!G3203)</f>
        <v>18379.91</v>
      </c>
      <c r="H3203" s="15" t="str">
        <f t="shared" si="1"/>
        <v>140501.00</v>
      </c>
      <c r="I3203" s="14" t="str">
        <f t="shared" si="2"/>
        <v>122121.00</v>
      </c>
      <c r="J3203" s="16" t="str">
        <f>TEXT(Raw_Data!J3203,"MMM-YYY")</f>
        <v>Jun-2025</v>
      </c>
      <c r="K3203" s="13" t="str">
        <f>Raw_Data!K3203</f>
        <v>11</v>
      </c>
      <c r="L3203" s="17" t="str">
        <f>Raw_Data!L3203</f>
        <v>Hyderabad-South</v>
      </c>
      <c r="M3203" s="13" t="str">
        <f t="shared" si="3"/>
        <v>OK</v>
      </c>
      <c r="N3203" s="18" t="str">
        <f t="shared" si="4"/>
        <v>VALID</v>
      </c>
    </row>
    <row r="3204" ht="15.75" customHeight="1">
      <c r="A3204" s="13" t="str">
        <f>Raw_Data!A3204</f>
        <v>EMP3377</v>
      </c>
      <c r="B3204" s="13" t="str">
        <f>TRIM(CLEAN(Raw_Data!B3204))</f>
        <v>Sales</v>
      </c>
      <c r="C3204" s="18" t="s">
        <v>18</v>
      </c>
      <c r="D3204" s="14" t="str">
        <f>IF(ISBLANK(Raw_Data!D3204),AVERAGE(Raw_Data!D$2:D$5002),Raw_Data!D3204)</f>
        <v>84843.48</v>
      </c>
      <c r="E3204" s="15" t="str">
        <f>IF(ISBLANK(Raw_Data!E3204),AVERAGE(Raw_Data!E$2:E$5002),Raw_Data!E3204)</f>
        <v>29574.53</v>
      </c>
      <c r="F3204" s="15" t="str">
        <f>IF(ISBLANK(Raw_Data!F3204),AVERAGE(Raw_Data!F$2:F$5002),Raw_Data!F3204)</f>
        <v>26106.63</v>
      </c>
      <c r="G3204" s="14" t="str">
        <f>IF(ISBLANK(Raw_Data!G3204),AVERAGE(Raw_Data!G$2:G$5002),Raw_Data!G3204)</f>
        <v>18383.31</v>
      </c>
      <c r="H3204" s="15" t="str">
        <f t="shared" si="1"/>
        <v>140525.00</v>
      </c>
      <c r="I3204" s="14" t="str">
        <f t="shared" si="2"/>
        <v>122142.00</v>
      </c>
      <c r="J3204" s="16" t="str">
        <f>TEXT(Raw_Data!J3204,"MMM-YYY")</f>
        <v>Apr-2025</v>
      </c>
      <c r="K3204" s="13" t="str">
        <f>Raw_Data!K3204</f>
        <v>10</v>
      </c>
      <c r="L3204" s="17" t="str">
        <f>Raw_Data!L3204</f>
        <v>Chandigarh-North</v>
      </c>
      <c r="M3204" s="13" t="str">
        <f t="shared" si="3"/>
        <v>OK</v>
      </c>
      <c r="N3204" s="18" t="str">
        <f t="shared" si="4"/>
        <v>VALID</v>
      </c>
    </row>
    <row r="3205" ht="15.75" customHeight="1">
      <c r="A3205" s="13" t="str">
        <f>Raw_Data!A3205</f>
        <v>EMP3378</v>
      </c>
      <c r="B3205" s="13" t="str">
        <f>TRIM(CLEAN(Raw_Data!B3205))</f>
        <v>Sales</v>
      </c>
      <c r="C3205" s="18" t="s">
        <v>37</v>
      </c>
      <c r="D3205" s="14" t="str">
        <f>IF(ISBLANK(Raw_Data!D3205),AVERAGE(Raw_Data!D$2:D$5002),Raw_Data!D3205)</f>
        <v>84854.37</v>
      </c>
      <c r="E3205" s="15" t="str">
        <f>IF(ISBLANK(Raw_Data!E3205),AVERAGE(Raw_Data!E$2:E$5002),Raw_Data!E3205)</f>
        <v>29579.14</v>
      </c>
      <c r="F3205" s="15" t="str">
        <f>IF(ISBLANK(Raw_Data!F3205),AVERAGE(Raw_Data!F$2:F$5002),Raw_Data!F3205)</f>
        <v>26114.31</v>
      </c>
      <c r="G3205" s="14" t="str">
        <f>IF(ISBLANK(Raw_Data!G3205),AVERAGE(Raw_Data!G$2:G$5002),Raw_Data!G3205)</f>
        <v>18386.71</v>
      </c>
      <c r="H3205" s="15" t="str">
        <f t="shared" si="1"/>
        <v>140548.00</v>
      </c>
      <c r="I3205" s="14" t="str">
        <f t="shared" si="2"/>
        <v>122161.00</v>
      </c>
      <c r="J3205" s="16" t="str">
        <f>TEXT(Raw_Data!J3205,"MMM-YYY")</f>
        <v>Nov-2025</v>
      </c>
      <c r="K3205" s="13" t="str">
        <f>Raw_Data!K3205</f>
        <v>20</v>
      </c>
      <c r="L3205" s="17" t="str">
        <f>Raw_Data!L3205</f>
        <v>Ahmedabad-West</v>
      </c>
      <c r="M3205" s="13" t="str">
        <f t="shared" si="3"/>
        <v>OK</v>
      </c>
      <c r="N3205" s="18" t="str">
        <f t="shared" si="4"/>
        <v>VALID</v>
      </c>
    </row>
    <row r="3206" ht="15.75" customHeight="1">
      <c r="A3206" s="13" t="str">
        <f>Raw_Data!A3206</f>
        <v>EMP3379</v>
      </c>
      <c r="B3206" s="13" t="str">
        <f>TRIM(CLEAN(Raw_Data!B3206))</f>
        <v>IT</v>
      </c>
      <c r="C3206" s="18" t="s">
        <v>33</v>
      </c>
      <c r="D3206" s="14" t="str">
        <f>IF(ISBLANK(Raw_Data!D3206),AVERAGE(Raw_Data!D$2:D$5002),Raw_Data!D3206)</f>
        <v>84865.25</v>
      </c>
      <c r="E3206" s="15" t="str">
        <f>IF(ISBLANK(Raw_Data!E3206),AVERAGE(Raw_Data!E$2:E$5002),Raw_Data!E3206)</f>
        <v>29583.76</v>
      </c>
      <c r="F3206" s="15" t="str">
        <f>IF(ISBLANK(Raw_Data!F3206),AVERAGE(Raw_Data!F$2:F$5002),Raw_Data!F3206)</f>
        <v>26121.99</v>
      </c>
      <c r="G3206" s="14" t="str">
        <f>IF(ISBLANK(Raw_Data!G3206),AVERAGE(Raw_Data!G$2:G$5002),Raw_Data!G3206)</f>
        <v>18390.10</v>
      </c>
      <c r="H3206" s="15" t="str">
        <f t="shared" si="1"/>
        <v>140571.00</v>
      </c>
      <c r="I3206" s="14" t="str">
        <f t="shared" si="2"/>
        <v>122181.00</v>
      </c>
      <c r="J3206" s="16" t="str">
        <f>TEXT(Raw_Data!J3206,"MMM-YYY")</f>
        <v>Mar-2025</v>
      </c>
      <c r="K3206" s="13" t="str">
        <f>Raw_Data!K3206</f>
        <v>17</v>
      </c>
      <c r="L3206" s="17" t="str">
        <f>Raw_Data!L3206</f>
        <v>Jaipur-North</v>
      </c>
      <c r="M3206" s="13" t="str">
        <f t="shared" si="3"/>
        <v>OK</v>
      </c>
      <c r="N3206" s="18" t="str">
        <f t="shared" si="4"/>
        <v>VALID</v>
      </c>
    </row>
    <row r="3207" ht="15.75" customHeight="1">
      <c r="A3207" s="13" t="str">
        <f>Raw_Data!A3207</f>
        <v>EMP3380</v>
      </c>
      <c r="B3207" s="13" t="str">
        <f>TRIM(CLEAN(Raw_Data!B3207))</f>
        <v>Sales</v>
      </c>
      <c r="C3207" s="18" t="s">
        <v>30</v>
      </c>
      <c r="D3207" s="14" t="str">
        <f>IF(ISBLANK(Raw_Data!D3207),AVERAGE(Raw_Data!D$2:D$5002),Raw_Data!D3207)</f>
        <v>84876.13</v>
      </c>
      <c r="E3207" s="15" t="str">
        <f>IF(ISBLANK(Raw_Data!E3207),AVERAGE(Raw_Data!E$2:E$5002),Raw_Data!E3207)</f>
        <v>29588.37</v>
      </c>
      <c r="F3207" s="15" t="str">
        <f>IF(ISBLANK(Raw_Data!F3207),AVERAGE(Raw_Data!F$2:F$5002),Raw_Data!F3207)</f>
        <v>26129.67</v>
      </c>
      <c r="G3207" s="14" t="str">
        <f>IF(ISBLANK(Raw_Data!G3207),AVERAGE(Raw_Data!G$2:G$5002),Raw_Data!G3207)</f>
        <v>18393.50</v>
      </c>
      <c r="H3207" s="15" t="str">
        <f t="shared" si="1"/>
        <v>140594.00</v>
      </c>
      <c r="I3207" s="14" t="str">
        <f t="shared" si="2"/>
        <v>122200.00</v>
      </c>
      <c r="J3207" s="16" t="str">
        <f>TEXT(Raw_Data!J3207,"MMM-YYY")</f>
        <v>Jul-2025</v>
      </c>
      <c r="K3207" s="13" t="str">
        <f>Raw_Data!K3207</f>
        <v>22</v>
      </c>
      <c r="L3207" s="17" t="str">
        <f>Raw_Data!L3207</f>
        <v>Mumbai-HO</v>
      </c>
      <c r="M3207" s="13" t="str">
        <f t="shared" si="3"/>
        <v>OK</v>
      </c>
      <c r="N3207" s="18" t="str">
        <f t="shared" si="4"/>
        <v>VALID</v>
      </c>
    </row>
    <row r="3208" ht="15.75" customHeight="1">
      <c r="A3208" s="13" t="str">
        <f>Raw_Data!A3208</f>
        <v>EMP3381</v>
      </c>
      <c r="B3208" s="13" t="str">
        <f>TRIM(CLEAN(Raw_Data!B3208))</f>
        <v>Marketing</v>
      </c>
      <c r="C3208" s="18" t="s">
        <v>37</v>
      </c>
      <c r="D3208" s="14" t="str">
        <f>IF(ISBLANK(Raw_Data!D3208),AVERAGE(Raw_Data!D$2:D$5002),Raw_Data!D3208)</f>
        <v>84887.02</v>
      </c>
      <c r="E3208" s="15" t="str">
        <f>IF(ISBLANK(Raw_Data!E3208),AVERAGE(Raw_Data!E$2:E$5002),Raw_Data!E3208)</f>
        <v>29592.99</v>
      </c>
      <c r="F3208" s="15" t="str">
        <f>IF(ISBLANK(Raw_Data!F3208),AVERAGE(Raw_Data!F$2:F$5002),Raw_Data!F3208)</f>
        <v>26137.35</v>
      </c>
      <c r="G3208" s="14" t="str">
        <f>IF(ISBLANK(Raw_Data!G3208),AVERAGE(Raw_Data!G$2:G$5002),Raw_Data!G3208)</f>
        <v>18396.90</v>
      </c>
      <c r="H3208" s="15" t="str">
        <f t="shared" si="1"/>
        <v>140617.00</v>
      </c>
      <c r="I3208" s="14" t="str">
        <f t="shared" si="2"/>
        <v>122220.00</v>
      </c>
      <c r="J3208" s="16" t="str">
        <f>TEXT(Raw_Data!J3208,"MMM-YYY")</f>
        <v>May-2025</v>
      </c>
      <c r="K3208" s="13" t="str">
        <f>Raw_Data!K3208</f>
        <v>14</v>
      </c>
      <c r="L3208" s="17" t="str">
        <f>Raw_Data!L3208</f>
        <v>Delhi-North</v>
      </c>
      <c r="M3208" s="13" t="str">
        <f t="shared" si="3"/>
        <v>OK</v>
      </c>
      <c r="N3208" s="18" t="str">
        <f t="shared" si="4"/>
        <v>VALID</v>
      </c>
    </row>
    <row r="3209" ht="15.75" customHeight="1">
      <c r="A3209" s="13" t="str">
        <f>Raw_Data!A3209</f>
        <v>EMP3382</v>
      </c>
      <c r="B3209" s="13" t="str">
        <f>TRIM(CLEAN(Raw_Data!B3209))</f>
        <v>IT</v>
      </c>
      <c r="C3209" s="18" t="s">
        <v>54</v>
      </c>
      <c r="D3209" s="14" t="str">
        <f>IF(ISBLANK(Raw_Data!D3209),AVERAGE(Raw_Data!D$2:D$5002),Raw_Data!D3209)</f>
        <v>84897.90</v>
      </c>
      <c r="E3209" s="15" t="str">
        <f>IF(ISBLANK(Raw_Data!E3209),AVERAGE(Raw_Data!E$2:E$5002),Raw_Data!E3209)</f>
        <v>29597.60</v>
      </c>
      <c r="F3209" s="15" t="str">
        <f>IF(ISBLANK(Raw_Data!F3209),AVERAGE(Raw_Data!F$2:F$5002),Raw_Data!F3209)</f>
        <v>26145.03</v>
      </c>
      <c r="G3209" s="14" t="str">
        <f>IF(ISBLANK(Raw_Data!G3209),AVERAGE(Raw_Data!G$2:G$5002),Raw_Data!G3209)</f>
        <v>18400.30</v>
      </c>
      <c r="H3209" s="15" t="str">
        <f t="shared" si="1"/>
        <v>140641.00</v>
      </c>
      <c r="I3209" s="14" t="str">
        <f t="shared" si="2"/>
        <v>122241.00</v>
      </c>
      <c r="J3209" s="16" t="str">
        <f>TEXT(Raw_Data!J3209,"MMM-YYY")</f>
        <v>Dec-2025</v>
      </c>
      <c r="K3209" s="13" t="str">
        <f>Raw_Data!K3209</f>
        <v>14</v>
      </c>
      <c r="L3209" s="17" t="str">
        <f>Raw_Data!L3209</f>
        <v>Bangalore-South</v>
      </c>
      <c r="M3209" s="13" t="str">
        <f t="shared" si="3"/>
        <v>OK</v>
      </c>
      <c r="N3209" s="18" t="str">
        <f t="shared" si="4"/>
        <v>VALID</v>
      </c>
    </row>
    <row r="3210" ht="15.75" customHeight="1">
      <c r="A3210" s="13" t="str">
        <f>Raw_Data!A3210</f>
        <v>EMP3384</v>
      </c>
      <c r="B3210" s="13" t="str">
        <f>TRIM(CLEAN(Raw_Data!B3210))</f>
        <v>Customer Support</v>
      </c>
      <c r="C3210" s="18" t="s">
        <v>18</v>
      </c>
      <c r="D3210" s="14" t="str">
        <f>IF(ISBLANK(Raw_Data!D3210),AVERAGE(Raw_Data!D$2:D$5002),Raw_Data!D3210)</f>
        <v>84919.66</v>
      </c>
      <c r="E3210" s="15" t="str">
        <f>IF(ISBLANK(Raw_Data!E3210),AVERAGE(Raw_Data!E$2:E$5002),Raw_Data!E3210)</f>
        <v>29606.83</v>
      </c>
      <c r="F3210" s="15" t="str">
        <f>IF(ISBLANK(Raw_Data!F3210),AVERAGE(Raw_Data!F$2:F$5002),Raw_Data!F3210)</f>
        <v>26160.39</v>
      </c>
      <c r="G3210" s="14" t="str">
        <f>IF(ISBLANK(Raw_Data!G3210),AVERAGE(Raw_Data!G$2:G$5002),Raw_Data!G3210)</f>
        <v>18407.09</v>
      </c>
      <c r="H3210" s="15" t="str">
        <f t="shared" si="1"/>
        <v>140687.00</v>
      </c>
      <c r="I3210" s="14" t="str">
        <f t="shared" si="2"/>
        <v>122280.00</v>
      </c>
      <c r="J3210" s="16" t="str">
        <f>TEXT(Raw_Data!J3210,"MMM-YYY")</f>
        <v>Nov-2025</v>
      </c>
      <c r="K3210" s="13" t="str">
        <f>Raw_Data!K3210</f>
        <v>3</v>
      </c>
      <c r="L3210" s="17" t="str">
        <f>Raw_Data!L3210</f>
        <v>Kolkata-East</v>
      </c>
      <c r="M3210" s="13" t="str">
        <f t="shared" si="3"/>
        <v>OK</v>
      </c>
      <c r="N3210" s="18" t="str">
        <f t="shared" si="4"/>
        <v>VALID</v>
      </c>
    </row>
    <row r="3211" ht="15.75" customHeight="1">
      <c r="A3211" s="13" t="str">
        <f>Raw_Data!A3211</f>
        <v>EMP3385</v>
      </c>
      <c r="B3211" s="13" t="str">
        <f>TRIM(CLEAN(Raw_Data!B3211))</f>
        <v>HR</v>
      </c>
      <c r="C3211" s="18" t="s">
        <v>26</v>
      </c>
      <c r="D3211" s="14" t="str">
        <f>IF(ISBLANK(Raw_Data!D3211),AVERAGE(Raw_Data!D$2:D$5002),Raw_Data!D3211)</f>
        <v>84930.55</v>
      </c>
      <c r="E3211" s="15" t="str">
        <f>IF(ISBLANK(Raw_Data!E3211),AVERAGE(Raw_Data!E$2:E$5002),Raw_Data!E3211)</f>
        <v>29611.45</v>
      </c>
      <c r="F3211" s="15" t="str">
        <f>IF(ISBLANK(Raw_Data!F3211),AVERAGE(Raw_Data!F$2:F$5002),Raw_Data!F3211)</f>
        <v>26168.07</v>
      </c>
      <c r="G3211" s="14" t="str">
        <f>IF(ISBLANK(Raw_Data!G3211),AVERAGE(Raw_Data!G$2:G$5002),Raw_Data!G3211)</f>
        <v>18410.49</v>
      </c>
      <c r="H3211" s="15" t="str">
        <f t="shared" si="1"/>
        <v>140710.00</v>
      </c>
      <c r="I3211" s="14" t="str">
        <f t="shared" si="2"/>
        <v>122300.00</v>
      </c>
      <c r="J3211" s="16" t="str">
        <f>TEXT(Raw_Data!J3211,"MMM-YYY")</f>
        <v>Apr-2025</v>
      </c>
      <c r="K3211" s="13" t="str">
        <f>Raw_Data!K3211</f>
        <v>15</v>
      </c>
      <c r="L3211" s="17" t="str">
        <f>Raw_Data!L3211</f>
        <v>Pune-West</v>
      </c>
      <c r="M3211" s="13" t="str">
        <f t="shared" si="3"/>
        <v>OK</v>
      </c>
      <c r="N3211" s="18" t="str">
        <f t="shared" si="4"/>
        <v>VALID</v>
      </c>
    </row>
    <row r="3212" ht="15.75" customHeight="1">
      <c r="A3212" s="13" t="str">
        <f>Raw_Data!A3212</f>
        <v>EMP3386</v>
      </c>
      <c r="B3212" s="13" t="str">
        <f>TRIM(CLEAN(Raw_Data!B3212))</f>
        <v>Finance</v>
      </c>
      <c r="C3212" s="18" t="s">
        <v>14</v>
      </c>
      <c r="D3212" s="14" t="str">
        <f>IF(ISBLANK(Raw_Data!D3212),AVERAGE(Raw_Data!D$2:D$5002),Raw_Data!D3212)</f>
        <v>84941.43</v>
      </c>
      <c r="E3212" s="15" t="str">
        <f>IF(ISBLANK(Raw_Data!E3212),AVERAGE(Raw_Data!E$2:E$5002),Raw_Data!E3212)</f>
        <v>29616.06</v>
      </c>
      <c r="F3212" s="15" t="str">
        <f>IF(ISBLANK(Raw_Data!F3212),AVERAGE(Raw_Data!F$2:F$5002),Raw_Data!F3212)</f>
        <v>26175.75</v>
      </c>
      <c r="G3212" s="14" t="str">
        <f>IF(ISBLANK(Raw_Data!G3212),AVERAGE(Raw_Data!G$2:G$5002),Raw_Data!G3212)</f>
        <v>18413.89</v>
      </c>
      <c r="H3212" s="15" t="str">
        <f t="shared" si="1"/>
        <v>140733.00</v>
      </c>
      <c r="I3212" s="14" t="str">
        <f t="shared" si="2"/>
        <v>122319.00</v>
      </c>
      <c r="J3212" s="16" t="str">
        <f>TEXT(Raw_Data!J3212,"MMM-YYY")</f>
        <v>Feb-2025</v>
      </c>
      <c r="K3212" s="13" t="str">
        <f>Raw_Data!K3212</f>
        <v>24</v>
      </c>
      <c r="L3212" s="17" t="str">
        <f>Raw_Data!L3212</f>
        <v>Hyderabad-South</v>
      </c>
      <c r="M3212" s="13" t="str">
        <f t="shared" si="3"/>
        <v>OK</v>
      </c>
      <c r="N3212" s="18" t="str">
        <f t="shared" si="4"/>
        <v>VALID</v>
      </c>
    </row>
    <row r="3213" ht="15.75" customHeight="1">
      <c r="A3213" s="13" t="str">
        <f>Raw_Data!A3213</f>
        <v>EMP3387</v>
      </c>
      <c r="B3213" s="13" t="str">
        <f>TRIM(CLEAN(Raw_Data!B3213))</f>
        <v>Operations</v>
      </c>
      <c r="C3213" s="18" t="s">
        <v>54</v>
      </c>
      <c r="D3213" s="14" t="str">
        <f>IF(ISBLANK(Raw_Data!D3213),AVERAGE(Raw_Data!D$2:D$5002),Raw_Data!D3213)</f>
        <v>84952.31</v>
      </c>
      <c r="E3213" s="15" t="str">
        <f>IF(ISBLANK(Raw_Data!E3213),AVERAGE(Raw_Data!E$2:E$5002),Raw_Data!E3213)</f>
        <v>29620.68</v>
      </c>
      <c r="F3213" s="15" t="str">
        <f>IF(ISBLANK(Raw_Data!F3213),AVERAGE(Raw_Data!F$2:F$5002),Raw_Data!F3213)</f>
        <v>26183.43</v>
      </c>
      <c r="G3213" s="14" t="str">
        <f>IF(ISBLANK(Raw_Data!G3213),AVERAGE(Raw_Data!G$2:G$5002),Raw_Data!G3213)</f>
        <v>18417.28</v>
      </c>
      <c r="H3213" s="15" t="str">
        <f t="shared" si="1"/>
        <v>140756.00</v>
      </c>
      <c r="I3213" s="14" t="str">
        <f t="shared" si="2"/>
        <v>122339.00</v>
      </c>
      <c r="J3213" s="16" t="str">
        <f>TEXT(Raw_Data!J3213,"MMM-YYY")</f>
        <v>Jun-2025</v>
      </c>
      <c r="K3213" s="13" t="str">
        <f>Raw_Data!K3213</f>
        <v>15</v>
      </c>
      <c r="L3213" s="17" t="str">
        <f>Raw_Data!L3213</f>
        <v>Chandigarh-North</v>
      </c>
      <c r="M3213" s="13" t="str">
        <f t="shared" si="3"/>
        <v>OK</v>
      </c>
      <c r="N3213" s="18" t="str">
        <f t="shared" si="4"/>
        <v>VALID</v>
      </c>
    </row>
    <row r="3214" ht="15.75" customHeight="1">
      <c r="A3214" s="13" t="str">
        <f>Raw_Data!A3214</f>
        <v>EMP3388</v>
      </c>
      <c r="B3214" s="13" t="str">
        <f>TRIM(CLEAN(Raw_Data!B3214))</f>
        <v>HR</v>
      </c>
      <c r="C3214" s="18" t="s">
        <v>54</v>
      </c>
      <c r="D3214" s="14" t="str">
        <f>IF(ISBLANK(Raw_Data!D3214),AVERAGE(Raw_Data!D$2:D$5002),Raw_Data!D3214)</f>
        <v>84963.20</v>
      </c>
      <c r="E3214" s="15" t="str">
        <f>IF(ISBLANK(Raw_Data!E3214),AVERAGE(Raw_Data!E$2:E$5002),Raw_Data!E3214)</f>
        <v>29625.29</v>
      </c>
      <c r="F3214" s="15" t="str">
        <f>IF(ISBLANK(Raw_Data!F3214),AVERAGE(Raw_Data!F$2:F$5002),Raw_Data!F3214)</f>
        <v>26191.11</v>
      </c>
      <c r="G3214" s="14" t="str">
        <f>IF(ISBLANK(Raw_Data!G3214),AVERAGE(Raw_Data!G$2:G$5002),Raw_Data!G3214)</f>
        <v>18420.68</v>
      </c>
      <c r="H3214" s="15" t="str">
        <f t="shared" si="1"/>
        <v>140780.00</v>
      </c>
      <c r="I3214" s="14" t="str">
        <f t="shared" si="2"/>
        <v>122359.00</v>
      </c>
      <c r="J3214" s="16" t="str">
        <f>TEXT(Raw_Data!J3214,"MMM-YYY")</f>
        <v>Oct-2025</v>
      </c>
      <c r="K3214" s="13" t="str">
        <f>Raw_Data!K3214</f>
        <v>18</v>
      </c>
      <c r="L3214" s="17" t="str">
        <f>Raw_Data!L3214</f>
        <v>Ahmedabad-West</v>
      </c>
      <c r="M3214" s="13" t="str">
        <f t="shared" si="3"/>
        <v>OK</v>
      </c>
      <c r="N3214" s="18" t="str">
        <f t="shared" si="4"/>
        <v>VALID</v>
      </c>
    </row>
    <row r="3215" ht="15.75" customHeight="1">
      <c r="A3215" s="13" t="str">
        <f>Raw_Data!A3215</f>
        <v>EMP3389</v>
      </c>
      <c r="B3215" s="13" t="str">
        <f>TRIM(CLEAN(Raw_Data!B3215))</f>
        <v>HR</v>
      </c>
      <c r="C3215" s="18" t="s">
        <v>54</v>
      </c>
      <c r="D3215" s="14" t="str">
        <f>IF(ISBLANK(Raw_Data!D3215),AVERAGE(Raw_Data!D$2:D$5002),Raw_Data!D3215)</f>
        <v>84974.08</v>
      </c>
      <c r="E3215" s="15" t="str">
        <f>IF(ISBLANK(Raw_Data!E3215),AVERAGE(Raw_Data!E$2:E$5002),Raw_Data!E3215)</f>
        <v>29629.90</v>
      </c>
      <c r="F3215" s="15" t="str">
        <f>IF(ISBLANK(Raw_Data!F3215),AVERAGE(Raw_Data!F$2:F$5002),Raw_Data!F3215)</f>
        <v>26198.79</v>
      </c>
      <c r="G3215" s="14" t="str">
        <f>IF(ISBLANK(Raw_Data!G3215),AVERAGE(Raw_Data!G$2:G$5002),Raw_Data!G3215)</f>
        <v>18424.08</v>
      </c>
      <c r="H3215" s="15" t="str">
        <f t="shared" si="1"/>
        <v>140803.00</v>
      </c>
      <c r="I3215" s="14" t="str">
        <f t="shared" si="2"/>
        <v>122379.00</v>
      </c>
      <c r="J3215" s="16" t="str">
        <f>TEXT(Raw_Data!J3215,"MMM-YYY")</f>
        <v>Apr-2025</v>
      </c>
      <c r="K3215" s="13" t="str">
        <f>Raw_Data!K3215</f>
        <v>24</v>
      </c>
      <c r="L3215" s="17" t="str">
        <f>Raw_Data!L3215</f>
        <v>Jaipur-North</v>
      </c>
      <c r="M3215" s="13" t="str">
        <f t="shared" si="3"/>
        <v>OK</v>
      </c>
      <c r="N3215" s="18" t="str">
        <f t="shared" si="4"/>
        <v>VALID</v>
      </c>
    </row>
    <row r="3216" ht="15.75" customHeight="1">
      <c r="A3216" s="13" t="str">
        <f>Raw_Data!A3216</f>
        <v>EMP3390</v>
      </c>
      <c r="B3216" s="13" t="str">
        <f>TRIM(CLEAN(Raw_Data!B3216))</f>
        <v>Operations</v>
      </c>
      <c r="C3216" s="18" t="s">
        <v>37</v>
      </c>
      <c r="D3216" s="14" t="str">
        <f>IF(ISBLANK(Raw_Data!D3216),AVERAGE(Raw_Data!D$2:D$5002),Raw_Data!D3216)</f>
        <v>84984.96</v>
      </c>
      <c r="E3216" s="15" t="str">
        <f>IF(ISBLANK(Raw_Data!E3216),AVERAGE(Raw_Data!E$2:E$5002),Raw_Data!E3216)</f>
        <v>29634.52</v>
      </c>
      <c r="F3216" s="15" t="str">
        <f>IF(ISBLANK(Raw_Data!F3216),AVERAGE(Raw_Data!F$2:F$5002),Raw_Data!F3216)</f>
        <v>26206.47</v>
      </c>
      <c r="G3216" s="14" t="str">
        <f>IF(ISBLANK(Raw_Data!G3216),AVERAGE(Raw_Data!G$2:G$5002),Raw_Data!G3216)</f>
        <v>18427.48</v>
      </c>
      <c r="H3216" s="15" t="str">
        <f t="shared" si="1"/>
        <v>140826.00</v>
      </c>
      <c r="I3216" s="14" t="str">
        <f t="shared" si="2"/>
        <v>122399.00</v>
      </c>
      <c r="J3216" s="16" t="str">
        <f>TEXT(Raw_Data!J3216,"MMM-YYY")</f>
        <v>Feb-2025</v>
      </c>
      <c r="K3216" s="13" t="str">
        <f>Raw_Data!K3216</f>
        <v>5</v>
      </c>
      <c r="L3216" s="17" t="str">
        <f>Raw_Data!L3216</f>
        <v>Mumbai-HO</v>
      </c>
      <c r="M3216" s="13" t="str">
        <f t="shared" si="3"/>
        <v>OK</v>
      </c>
      <c r="N3216" s="18" t="str">
        <f t="shared" si="4"/>
        <v>VALID</v>
      </c>
    </row>
    <row r="3217" ht="15.75" customHeight="1">
      <c r="A3217" s="13" t="str">
        <f>Raw_Data!A3217</f>
        <v>EMP3391</v>
      </c>
      <c r="B3217" s="13" t="str">
        <f>TRIM(CLEAN(Raw_Data!B3217))</f>
        <v>Customer Support</v>
      </c>
      <c r="C3217" s="18" t="s">
        <v>37</v>
      </c>
      <c r="D3217" s="14" t="str">
        <f>IF(ISBLANK(Raw_Data!D3217),AVERAGE(Raw_Data!D$2:D$5002),Raw_Data!D3217)</f>
        <v>84995.85</v>
      </c>
      <c r="E3217" s="15" t="str">
        <f>IF(ISBLANK(Raw_Data!E3217),AVERAGE(Raw_Data!E$2:E$5002),Raw_Data!E3217)</f>
        <v>29639.13</v>
      </c>
      <c r="F3217" s="15" t="str">
        <f>IF(ISBLANK(Raw_Data!F3217),AVERAGE(Raw_Data!F$2:F$5002),Raw_Data!F3217)</f>
        <v>26214.15</v>
      </c>
      <c r="G3217" s="14" t="str">
        <f>IF(ISBLANK(Raw_Data!G3217),AVERAGE(Raw_Data!G$2:G$5002),Raw_Data!G3217)</f>
        <v>18430.87</v>
      </c>
      <c r="H3217" s="15" t="str">
        <f t="shared" si="1"/>
        <v>140849.00</v>
      </c>
      <c r="I3217" s="14" t="str">
        <f t="shared" si="2"/>
        <v>122418.00</v>
      </c>
      <c r="J3217" s="16" t="str">
        <f>TEXT(Raw_Data!J3217,"MMM-YYY")</f>
        <v>May-2025</v>
      </c>
      <c r="K3217" s="13" t="str">
        <f>Raw_Data!K3217</f>
        <v>5</v>
      </c>
      <c r="L3217" s="17" t="str">
        <f>Raw_Data!L3217</f>
        <v>Delhi-North</v>
      </c>
      <c r="M3217" s="13" t="str">
        <f t="shared" si="3"/>
        <v>OK</v>
      </c>
      <c r="N3217" s="18" t="str">
        <f t="shared" si="4"/>
        <v>VALID</v>
      </c>
    </row>
    <row r="3218" ht="15.75" customHeight="1">
      <c r="A3218" s="13" t="str">
        <f>Raw_Data!A3218</f>
        <v>EMP3392</v>
      </c>
      <c r="B3218" s="13" t="str">
        <f>TRIM(CLEAN(Raw_Data!B3218))</f>
        <v>Finance</v>
      </c>
      <c r="C3218" s="18" t="s">
        <v>26</v>
      </c>
      <c r="D3218" s="14" t="str">
        <f>IF(ISBLANK(Raw_Data!D3218),AVERAGE(Raw_Data!D$2:D$5002),Raw_Data!D3218)</f>
        <v>85006.73</v>
      </c>
      <c r="E3218" s="15" t="str">
        <f>IF(ISBLANK(Raw_Data!E3218),AVERAGE(Raw_Data!E$2:E$5002),Raw_Data!E3218)</f>
        <v>29643.75</v>
      </c>
      <c r="F3218" s="15" t="str">
        <f>IF(ISBLANK(Raw_Data!F3218),AVERAGE(Raw_Data!F$2:F$5002),Raw_Data!F3218)</f>
        <v>26221.83</v>
      </c>
      <c r="G3218" s="14" t="str">
        <f>IF(ISBLANK(Raw_Data!G3218),AVERAGE(Raw_Data!G$2:G$5002),Raw_Data!G3218)</f>
        <v>18434.27</v>
      </c>
      <c r="H3218" s="15" t="str">
        <f t="shared" si="1"/>
        <v>140872.00</v>
      </c>
      <c r="I3218" s="14" t="str">
        <f t="shared" si="2"/>
        <v>122438.00</v>
      </c>
      <c r="J3218" s="16" t="str">
        <f>TEXT(Raw_Data!J3218,"MMM-YYY")</f>
        <v>Jan-2025</v>
      </c>
      <c r="K3218" s="13" t="str">
        <f>Raw_Data!K3218</f>
        <v>21</v>
      </c>
      <c r="L3218" s="17" t="str">
        <f>Raw_Data!L3218</f>
        <v>Bangalore-South</v>
      </c>
      <c r="M3218" s="13" t="str">
        <f t="shared" si="3"/>
        <v>OK</v>
      </c>
      <c r="N3218" s="18" t="str">
        <f t="shared" si="4"/>
        <v>VALID</v>
      </c>
    </row>
    <row r="3219" ht="15.75" customHeight="1">
      <c r="A3219" s="13" t="str">
        <f>Raw_Data!A3219</f>
        <v>EMP3393</v>
      </c>
      <c r="B3219" s="13" t="str">
        <f>TRIM(CLEAN(Raw_Data!B3219))</f>
        <v>Sales</v>
      </c>
      <c r="C3219" s="18" t="s">
        <v>30</v>
      </c>
      <c r="D3219" s="14" t="str">
        <f>IF(ISBLANK(Raw_Data!D3219),AVERAGE(Raw_Data!D$2:D$5002),Raw_Data!D3219)</f>
        <v>85017.61</v>
      </c>
      <c r="E3219" s="15" t="str">
        <f>IF(ISBLANK(Raw_Data!E3219),AVERAGE(Raw_Data!E$2:E$5002),Raw_Data!E3219)</f>
        <v>29648.36</v>
      </c>
      <c r="F3219" s="15" t="str">
        <f>IF(ISBLANK(Raw_Data!F3219),AVERAGE(Raw_Data!F$2:F$5002),Raw_Data!F3219)</f>
        <v>26229.51</v>
      </c>
      <c r="G3219" s="14" t="str">
        <f>IF(ISBLANK(Raw_Data!G3219),AVERAGE(Raw_Data!G$2:G$5002),Raw_Data!G3219)</f>
        <v>18437.67</v>
      </c>
      <c r="H3219" s="15" t="str">
        <f t="shared" si="1"/>
        <v>140895.00</v>
      </c>
      <c r="I3219" s="14" t="str">
        <f t="shared" si="2"/>
        <v>122457.00</v>
      </c>
      <c r="J3219" s="16" t="str">
        <f>TEXT(Raw_Data!J3219,"MMM-YYY")</f>
        <v>May-2025</v>
      </c>
      <c r="K3219" s="13" t="str">
        <f>Raw_Data!K3219</f>
        <v>17</v>
      </c>
      <c r="L3219" s="17" t="str">
        <f>Raw_Data!L3219</f>
        <v>Chennai-South</v>
      </c>
      <c r="M3219" s="13" t="str">
        <f t="shared" si="3"/>
        <v>OK</v>
      </c>
      <c r="N3219" s="18" t="str">
        <f t="shared" si="4"/>
        <v>VALID</v>
      </c>
    </row>
    <row r="3220" ht="15.75" customHeight="1">
      <c r="A3220" s="13" t="str">
        <f>Raw_Data!A3220</f>
        <v>EMP3394</v>
      </c>
      <c r="B3220" s="13" t="str">
        <f>TRIM(CLEAN(Raw_Data!B3220))</f>
        <v>HR</v>
      </c>
      <c r="C3220" s="18" t="s">
        <v>18</v>
      </c>
      <c r="D3220" s="14" t="str">
        <f>IF(ISBLANK(Raw_Data!D3220),AVERAGE(Raw_Data!D$2:D$5002),Raw_Data!D3220)</f>
        <v>85028.49</v>
      </c>
      <c r="E3220" s="15" t="str">
        <f>IF(ISBLANK(Raw_Data!E3220),AVERAGE(Raw_Data!E$2:E$5002),Raw_Data!E3220)</f>
        <v>29652.98</v>
      </c>
      <c r="F3220" s="15" t="str">
        <f>IF(ISBLANK(Raw_Data!F3220),AVERAGE(Raw_Data!F$2:F$5002),Raw_Data!F3220)</f>
        <v>26237.19</v>
      </c>
      <c r="G3220" s="14" t="str">
        <f>IF(ISBLANK(Raw_Data!G3220),AVERAGE(Raw_Data!G$2:G$5002),Raw_Data!G3220)</f>
        <v>18441.07</v>
      </c>
      <c r="H3220" s="15" t="str">
        <f t="shared" si="1"/>
        <v>140919.00</v>
      </c>
      <c r="I3220" s="14" t="str">
        <f t="shared" si="2"/>
        <v>122478.00</v>
      </c>
      <c r="J3220" s="16" t="str">
        <f>TEXT(Raw_Data!J3220,"MMM-YYY")</f>
        <v>Nov-2025</v>
      </c>
      <c r="K3220" s="13" t="str">
        <f>Raw_Data!K3220</f>
        <v>2</v>
      </c>
      <c r="L3220" s="17" t="str">
        <f>Raw_Data!L3220</f>
        <v>Kolkata-East</v>
      </c>
      <c r="M3220" s="13" t="str">
        <f t="shared" si="3"/>
        <v>OK</v>
      </c>
      <c r="N3220" s="18" t="str">
        <f t="shared" si="4"/>
        <v>VALID</v>
      </c>
    </row>
    <row r="3221" ht="15.75" customHeight="1">
      <c r="A3221" s="13" t="str">
        <f>Raw_Data!A3221</f>
        <v>EMP3395</v>
      </c>
      <c r="B3221" s="13" t="str">
        <f>TRIM(CLEAN(Raw_Data!B3221))</f>
        <v>IT</v>
      </c>
      <c r="C3221" s="18" t="s">
        <v>54</v>
      </c>
      <c r="D3221" s="14" t="str">
        <f>IF(ISBLANK(Raw_Data!D3221),AVERAGE(Raw_Data!D$2:D$5002),Raw_Data!D3221)</f>
        <v>85039.38</v>
      </c>
      <c r="E3221" s="15" t="str">
        <f>IF(ISBLANK(Raw_Data!E3221),AVERAGE(Raw_Data!E$2:E$5002),Raw_Data!E3221)</f>
        <v>29657.59</v>
      </c>
      <c r="F3221" s="15" t="str">
        <f>IF(ISBLANK(Raw_Data!F3221),AVERAGE(Raw_Data!F$2:F$5002),Raw_Data!F3221)</f>
        <v>26244.87</v>
      </c>
      <c r="G3221" s="14" t="str">
        <f>IF(ISBLANK(Raw_Data!G3221),AVERAGE(Raw_Data!G$2:G$5002),Raw_Data!G3221)</f>
        <v>18444.46</v>
      </c>
      <c r="H3221" s="15" t="str">
        <f t="shared" si="1"/>
        <v>140942.00</v>
      </c>
      <c r="I3221" s="14" t="str">
        <f t="shared" si="2"/>
        <v>122498.00</v>
      </c>
      <c r="J3221" s="16" t="str">
        <f>TEXT(Raw_Data!J3221,"MMM-YYY")</f>
        <v>Mar-2025</v>
      </c>
      <c r="K3221" s="13" t="str">
        <f>Raw_Data!K3221</f>
        <v>10</v>
      </c>
      <c r="L3221" s="17" t="str">
        <f>Raw_Data!L3221</f>
        <v>Pune-West</v>
      </c>
      <c r="M3221" s="13" t="str">
        <f t="shared" si="3"/>
        <v>OK</v>
      </c>
      <c r="N3221" s="18" t="str">
        <f t="shared" si="4"/>
        <v>VALID</v>
      </c>
    </row>
    <row r="3222" ht="15.75" customHeight="1">
      <c r="A3222" s="13" t="str">
        <f>Raw_Data!A3222</f>
        <v>EMP3396</v>
      </c>
      <c r="B3222" s="13" t="str">
        <f>TRIM(CLEAN(Raw_Data!B3222))</f>
        <v>Operations</v>
      </c>
      <c r="C3222" s="18" t="s">
        <v>14</v>
      </c>
      <c r="D3222" s="14" t="str">
        <f>IF(ISBLANK(Raw_Data!D3222),AVERAGE(Raw_Data!D$2:D$5002),Raw_Data!D3222)</f>
        <v>85050.26</v>
      </c>
      <c r="E3222" s="15" t="str">
        <f>IF(ISBLANK(Raw_Data!E3222),AVERAGE(Raw_Data!E$2:E$5002),Raw_Data!E3222)</f>
        <v>29662.21</v>
      </c>
      <c r="F3222" s="15" t="str">
        <f>IF(ISBLANK(Raw_Data!F3222),AVERAGE(Raw_Data!F$2:F$5002),Raw_Data!F3222)</f>
        <v>26252.55</v>
      </c>
      <c r="G3222" s="14" t="str">
        <f>IF(ISBLANK(Raw_Data!G3222),AVERAGE(Raw_Data!G$2:G$5002),Raw_Data!G3222)</f>
        <v>18447.86</v>
      </c>
      <c r="H3222" s="15" t="str">
        <f t="shared" si="1"/>
        <v>140965.00</v>
      </c>
      <c r="I3222" s="14" t="str">
        <f t="shared" si="2"/>
        <v>122517.00</v>
      </c>
      <c r="J3222" s="16" t="str">
        <f>TEXT(Raw_Data!J3222,"MMM-YYY")</f>
        <v>Aug-2025</v>
      </c>
      <c r="K3222" s="13" t="str">
        <f>Raw_Data!K3222</f>
        <v>24</v>
      </c>
      <c r="L3222" s="17" t="str">
        <f>Raw_Data!L3222</f>
        <v>Hyderabad-South</v>
      </c>
      <c r="M3222" s="13" t="str">
        <f t="shared" si="3"/>
        <v>OK</v>
      </c>
      <c r="N3222" s="18" t="str">
        <f t="shared" si="4"/>
        <v>VALID</v>
      </c>
    </row>
    <row r="3223" ht="15.75" customHeight="1">
      <c r="A3223" s="13" t="str">
        <f>Raw_Data!A3223</f>
        <v>EMP3397</v>
      </c>
      <c r="B3223" s="13" t="str">
        <f>TRIM(CLEAN(Raw_Data!B3223))</f>
        <v>HR</v>
      </c>
      <c r="C3223" s="18" t="s">
        <v>14</v>
      </c>
      <c r="D3223" s="14" t="str">
        <f>IF(ISBLANK(Raw_Data!D3223),AVERAGE(Raw_Data!D$2:D$5002),Raw_Data!D3223)</f>
        <v>85061.14</v>
      </c>
      <c r="E3223" s="15" t="str">
        <f>IF(ISBLANK(Raw_Data!E3223),AVERAGE(Raw_Data!E$2:E$5002),Raw_Data!E3223)</f>
        <v>29666.82</v>
      </c>
      <c r="F3223" s="15" t="str">
        <f>IF(ISBLANK(Raw_Data!F3223),AVERAGE(Raw_Data!F$2:F$5002),Raw_Data!F3223)</f>
        <v>26260.23</v>
      </c>
      <c r="G3223" s="14" t="str">
        <f>IF(ISBLANK(Raw_Data!G3223),AVERAGE(Raw_Data!G$2:G$5002),Raw_Data!G3223)</f>
        <v>18451.26</v>
      </c>
      <c r="H3223" s="15" t="str">
        <f t="shared" si="1"/>
        <v>140988.00</v>
      </c>
      <c r="I3223" s="14" t="str">
        <f t="shared" si="2"/>
        <v>122537.00</v>
      </c>
      <c r="J3223" s="16" t="str">
        <f>TEXT(Raw_Data!J3223,"MMM-YYY")</f>
        <v>Nov-2025</v>
      </c>
      <c r="K3223" s="13" t="str">
        <f>Raw_Data!K3223</f>
        <v>9</v>
      </c>
      <c r="L3223" s="17" t="str">
        <f>Raw_Data!L3223</f>
        <v>Chandigarh-North</v>
      </c>
      <c r="M3223" s="13" t="str">
        <f t="shared" si="3"/>
        <v>OK</v>
      </c>
      <c r="N3223" s="18" t="str">
        <f t="shared" si="4"/>
        <v>VALID</v>
      </c>
    </row>
    <row r="3224" ht="15.75" customHeight="1">
      <c r="A3224" s="13" t="str">
        <f>Raw_Data!A3224</f>
        <v>EMP3398</v>
      </c>
      <c r="B3224" s="13" t="str">
        <f>TRIM(CLEAN(Raw_Data!B3224))</f>
        <v>HR</v>
      </c>
      <c r="C3224" s="18" t="s">
        <v>26</v>
      </c>
      <c r="D3224" s="14" t="str">
        <f>IF(ISBLANK(Raw_Data!D3224),AVERAGE(Raw_Data!D$2:D$5002),Raw_Data!D3224)</f>
        <v>85072.03</v>
      </c>
      <c r="E3224" s="15" t="str">
        <f>IF(ISBLANK(Raw_Data!E3224),AVERAGE(Raw_Data!E$2:E$5002),Raw_Data!E3224)</f>
        <v>29671.44</v>
      </c>
      <c r="F3224" s="15" t="str">
        <f>IF(ISBLANK(Raw_Data!F3224),AVERAGE(Raw_Data!F$2:F$5002),Raw_Data!F3224)</f>
        <v>26267.91</v>
      </c>
      <c r="G3224" s="14" t="str">
        <f>IF(ISBLANK(Raw_Data!G3224),AVERAGE(Raw_Data!G$2:G$5002),Raw_Data!G3224)</f>
        <v>14562.73</v>
      </c>
      <c r="H3224" s="15" t="str">
        <f t="shared" si="1"/>
        <v>141011.00</v>
      </c>
      <c r="I3224" s="14" t="str">
        <f t="shared" si="2"/>
        <v>126448.00</v>
      </c>
      <c r="J3224" s="16" t="str">
        <f>TEXT(Raw_Data!J3224,"MMM-YYY")</f>
        <v>Jul-2025</v>
      </c>
      <c r="K3224" s="13" t="str">
        <f>Raw_Data!K3224</f>
        <v>1</v>
      </c>
      <c r="L3224" s="17" t="str">
        <f>Raw_Data!L3224</f>
        <v>Ahmedabad-West</v>
      </c>
      <c r="M3224" s="13" t="str">
        <f t="shared" si="3"/>
        <v>OK</v>
      </c>
      <c r="N3224" s="18" t="str">
        <f t="shared" si="4"/>
        <v>VALID</v>
      </c>
    </row>
    <row r="3225" ht="15.75" customHeight="1">
      <c r="A3225" s="13" t="str">
        <f>Raw_Data!A3225</f>
        <v>EMP3399</v>
      </c>
      <c r="B3225" s="13" t="str">
        <f>TRIM(CLEAN(Raw_Data!B3225))</f>
        <v>Sales</v>
      </c>
      <c r="C3225" s="18" t="s">
        <v>26</v>
      </c>
      <c r="D3225" s="14" t="str">
        <f>IF(ISBLANK(Raw_Data!D3225),AVERAGE(Raw_Data!D$2:D$5002),Raw_Data!D3225)</f>
        <v>85082.91</v>
      </c>
      <c r="E3225" s="15" t="str">
        <f>IF(ISBLANK(Raw_Data!E3225),AVERAGE(Raw_Data!E$2:E$5002),Raw_Data!E3225)</f>
        <v>29676.05</v>
      </c>
      <c r="F3225" s="15" t="str">
        <f>IF(ISBLANK(Raw_Data!F3225),AVERAGE(Raw_Data!F$2:F$5002),Raw_Data!F3225)</f>
        <v>26275.59</v>
      </c>
      <c r="G3225" s="14" t="str">
        <f>IF(ISBLANK(Raw_Data!G3225),AVERAGE(Raw_Data!G$2:G$5002),Raw_Data!G3225)</f>
        <v>18458.05</v>
      </c>
      <c r="H3225" s="15" t="str">
        <f t="shared" si="1"/>
        <v>141035.00</v>
      </c>
      <c r="I3225" s="14" t="str">
        <f t="shared" si="2"/>
        <v>122577.00</v>
      </c>
      <c r="J3225" s="16" t="str">
        <f>TEXT(Raw_Data!J3225,"MMM-YYY")</f>
        <v>Aug-2025</v>
      </c>
      <c r="K3225" s="13" t="str">
        <f>Raw_Data!K3225</f>
        <v>23</v>
      </c>
      <c r="L3225" s="17" t="str">
        <f>Raw_Data!L3225</f>
        <v>Jaipur-North</v>
      </c>
      <c r="M3225" s="13" t="str">
        <f t="shared" si="3"/>
        <v>OK</v>
      </c>
      <c r="N3225" s="18" t="str">
        <f t="shared" si="4"/>
        <v>VALID</v>
      </c>
    </row>
    <row r="3226" ht="15.75" customHeight="1">
      <c r="A3226" s="13" t="str">
        <f>Raw_Data!A3226</f>
        <v>EMP3400</v>
      </c>
      <c r="B3226" s="13" t="str">
        <f>TRIM(CLEAN(Raw_Data!B3226))</f>
        <v>IT</v>
      </c>
      <c r="C3226" s="18" t="s">
        <v>26</v>
      </c>
      <c r="D3226" s="14" t="str">
        <f>IF(ISBLANK(Raw_Data!D3226),AVERAGE(Raw_Data!D$2:D$5002),Raw_Data!D3226)</f>
        <v>85093.79</v>
      </c>
      <c r="E3226" s="15" t="str">
        <f>IF(ISBLANK(Raw_Data!E3226),AVERAGE(Raw_Data!E$2:E$5002),Raw_Data!E3226)</f>
        <v>29680.67</v>
      </c>
      <c r="F3226" s="15" t="str">
        <f>IF(ISBLANK(Raw_Data!F3226),AVERAGE(Raw_Data!F$2:F$5002),Raw_Data!F3226)</f>
        <v>26283.27</v>
      </c>
      <c r="G3226" s="14" t="str">
        <f>IF(ISBLANK(Raw_Data!G3226),AVERAGE(Raw_Data!G$2:G$5002),Raw_Data!G3226)</f>
        <v>18461.45</v>
      </c>
      <c r="H3226" s="15" t="str">
        <f t="shared" si="1"/>
        <v>141058.00</v>
      </c>
      <c r="I3226" s="14" t="str">
        <f t="shared" si="2"/>
        <v>122597.00</v>
      </c>
      <c r="J3226" s="16" t="str">
        <f>TEXT(Raw_Data!J3226,"MMM-YYY")</f>
        <v>Aug-2025</v>
      </c>
      <c r="K3226" s="13" t="str">
        <f>Raw_Data!K3226</f>
        <v>24</v>
      </c>
      <c r="L3226" s="17" t="str">
        <f>Raw_Data!L3226</f>
        <v>Mumbai-HO</v>
      </c>
      <c r="M3226" s="13" t="str">
        <f t="shared" si="3"/>
        <v>OK</v>
      </c>
      <c r="N3226" s="18" t="str">
        <f t="shared" si="4"/>
        <v>VALID</v>
      </c>
    </row>
    <row r="3227" ht="15.75" customHeight="1">
      <c r="A3227" s="13" t="str">
        <f>Raw_Data!A3227</f>
        <v>EMP3401</v>
      </c>
      <c r="B3227" s="13" t="str">
        <f>TRIM(CLEAN(Raw_Data!B3227))</f>
        <v>Finance</v>
      </c>
      <c r="C3227" s="18" t="s">
        <v>18</v>
      </c>
      <c r="D3227" s="14" t="str">
        <f>IF(ISBLANK(Raw_Data!D3227),AVERAGE(Raw_Data!D$2:D$5002),Raw_Data!D3227)</f>
        <v>85104.68</v>
      </c>
      <c r="E3227" s="15" t="str">
        <f>IF(ISBLANK(Raw_Data!E3227),AVERAGE(Raw_Data!E$2:E$5002),Raw_Data!E3227)</f>
        <v>29685.28</v>
      </c>
      <c r="F3227" s="15" t="str">
        <f>IF(ISBLANK(Raw_Data!F3227),AVERAGE(Raw_Data!F$2:F$5002),Raw_Data!F3227)</f>
        <v>26290.95</v>
      </c>
      <c r="G3227" s="14" t="str">
        <f>IF(ISBLANK(Raw_Data!G3227),AVERAGE(Raw_Data!G$2:G$5002),Raw_Data!G3227)</f>
        <v>18464.85</v>
      </c>
      <c r="H3227" s="15" t="str">
        <f t="shared" si="1"/>
        <v>141081.00</v>
      </c>
      <c r="I3227" s="14" t="str">
        <f t="shared" si="2"/>
        <v>122616.00</v>
      </c>
      <c r="J3227" s="16" t="str">
        <f>TEXT(Raw_Data!J3227,"MMM-YYY")</f>
        <v>Jun-2025</v>
      </c>
      <c r="K3227" s="13" t="str">
        <f>Raw_Data!K3227</f>
        <v>22</v>
      </c>
      <c r="L3227" s="17" t="str">
        <f>Raw_Data!L3227</f>
        <v>Delhi-North</v>
      </c>
      <c r="M3227" s="13" t="str">
        <f t="shared" si="3"/>
        <v>OK</v>
      </c>
      <c r="N3227" s="18" t="str">
        <f t="shared" si="4"/>
        <v>VALID</v>
      </c>
    </row>
    <row r="3228" ht="15.75" customHeight="1">
      <c r="A3228" s="13" t="str">
        <f>Raw_Data!A3228</f>
        <v>EMP3402</v>
      </c>
      <c r="B3228" s="13" t="str">
        <f>TRIM(CLEAN(Raw_Data!B3228))</f>
        <v>Customer Support</v>
      </c>
      <c r="C3228" s="18" t="s">
        <v>54</v>
      </c>
      <c r="D3228" s="14" t="str">
        <f>IF(ISBLANK(Raw_Data!D3228),AVERAGE(Raw_Data!D$2:D$5002),Raw_Data!D3228)</f>
        <v>85115.56</v>
      </c>
      <c r="E3228" s="15" t="str">
        <f>IF(ISBLANK(Raw_Data!E3228),AVERAGE(Raw_Data!E$2:E$5002),Raw_Data!E3228)</f>
        <v>29689.90</v>
      </c>
      <c r="F3228" s="15" t="str">
        <f>IF(ISBLANK(Raw_Data!F3228),AVERAGE(Raw_Data!F$2:F$5002),Raw_Data!F3228)</f>
        <v>26298.63</v>
      </c>
      <c r="G3228" s="14" t="str">
        <f>IF(ISBLANK(Raw_Data!G3228),AVERAGE(Raw_Data!G$2:G$5002),Raw_Data!G3228)</f>
        <v>18468.25</v>
      </c>
      <c r="H3228" s="15" t="str">
        <f t="shared" si="1"/>
        <v>141104.00</v>
      </c>
      <c r="I3228" s="14" t="str">
        <f t="shared" si="2"/>
        <v>122636.00</v>
      </c>
      <c r="J3228" s="16" t="str">
        <f>TEXT(Raw_Data!J3228,"MMM-YYY")</f>
        <v>Jun-2025</v>
      </c>
      <c r="K3228" s="13" t="str">
        <f>Raw_Data!K3228</f>
        <v>23</v>
      </c>
      <c r="L3228" s="17" t="str">
        <f>Raw_Data!L3228</f>
        <v>Bangalore-South</v>
      </c>
      <c r="M3228" s="13" t="str">
        <f t="shared" si="3"/>
        <v>OK</v>
      </c>
      <c r="N3228" s="18" t="str">
        <f t="shared" si="4"/>
        <v>VALID</v>
      </c>
    </row>
    <row r="3229" ht="15.75" customHeight="1">
      <c r="A3229" s="13" t="str">
        <f>Raw_Data!A3229</f>
        <v>EMP3403</v>
      </c>
      <c r="B3229" s="13" t="str">
        <f>TRIM(CLEAN(Raw_Data!B3229))</f>
        <v>Operations</v>
      </c>
      <c r="C3229" s="18" t="s">
        <v>30</v>
      </c>
      <c r="D3229" s="14" t="str">
        <f>IF(ISBLANK(Raw_Data!D3229),AVERAGE(Raw_Data!D$2:D$5002),Raw_Data!D3229)</f>
        <v>85126.44</v>
      </c>
      <c r="E3229" s="15" t="str">
        <f>IF(ISBLANK(Raw_Data!E3229),AVERAGE(Raw_Data!E$2:E$5002),Raw_Data!E3229)</f>
        <v>29694.51</v>
      </c>
      <c r="F3229" s="15" t="str">
        <f>IF(ISBLANK(Raw_Data!F3229),AVERAGE(Raw_Data!F$2:F$5002),Raw_Data!F3229)</f>
        <v>26306.31</v>
      </c>
      <c r="G3229" s="14" t="str">
        <f>IF(ISBLANK(Raw_Data!G3229),AVERAGE(Raw_Data!G$2:G$5002),Raw_Data!G3229)</f>
        <v>18471.64</v>
      </c>
      <c r="H3229" s="15" t="str">
        <f t="shared" si="1"/>
        <v>141127.00</v>
      </c>
      <c r="I3229" s="14" t="str">
        <f t="shared" si="2"/>
        <v>122655.00</v>
      </c>
      <c r="J3229" s="16" t="str">
        <f>TEXT(Raw_Data!J3229,"MMM-YYY")</f>
        <v>Jan-2025</v>
      </c>
      <c r="K3229" s="13" t="str">
        <f>Raw_Data!K3229</f>
        <v>7</v>
      </c>
      <c r="L3229" s="17" t="str">
        <f>Raw_Data!L3229</f>
        <v>Chennai-South</v>
      </c>
      <c r="M3229" s="13" t="str">
        <f t="shared" si="3"/>
        <v>OK</v>
      </c>
      <c r="N3229" s="18" t="str">
        <f t="shared" si="4"/>
        <v>VALID</v>
      </c>
    </row>
    <row r="3230" ht="15.75" customHeight="1">
      <c r="A3230" s="13" t="str">
        <f>Raw_Data!A3230</f>
        <v>EMP3404</v>
      </c>
      <c r="B3230" s="13" t="str">
        <f>TRIM(CLEAN(Raw_Data!B3230))</f>
        <v>Marketing</v>
      </c>
      <c r="C3230" s="18" t="s">
        <v>54</v>
      </c>
      <c r="D3230" s="14" t="str">
        <f>IF(ISBLANK(Raw_Data!D3230),AVERAGE(Raw_Data!D$2:D$5002),Raw_Data!D3230)</f>
        <v>85137.32</v>
      </c>
      <c r="E3230" s="15" t="str">
        <f>IF(ISBLANK(Raw_Data!E3230),AVERAGE(Raw_Data!E$2:E$5002),Raw_Data!E3230)</f>
        <v>29699.13</v>
      </c>
      <c r="F3230" s="15" t="str">
        <f>IF(ISBLANK(Raw_Data!F3230),AVERAGE(Raw_Data!F$2:F$5002),Raw_Data!F3230)</f>
        <v>26313.99</v>
      </c>
      <c r="G3230" s="14" t="str">
        <f>IF(ISBLANK(Raw_Data!G3230),AVERAGE(Raw_Data!G$2:G$5002),Raw_Data!G3230)</f>
        <v>18475.04</v>
      </c>
      <c r="H3230" s="15" t="str">
        <f t="shared" si="1"/>
        <v>141150.00</v>
      </c>
      <c r="I3230" s="14" t="str">
        <f t="shared" si="2"/>
        <v>122675.00</v>
      </c>
      <c r="J3230" s="16" t="str">
        <f>TEXT(Raw_Data!J3230,"MMM-YYY")</f>
        <v>Jan-2025</v>
      </c>
      <c r="K3230" s="13" t="str">
        <f>Raw_Data!K3230</f>
        <v>3</v>
      </c>
      <c r="L3230" s="17" t="str">
        <f>Raw_Data!L3230</f>
        <v>Kolkata-East</v>
      </c>
      <c r="M3230" s="13" t="str">
        <f t="shared" si="3"/>
        <v>OK</v>
      </c>
      <c r="N3230" s="18" t="str">
        <f t="shared" si="4"/>
        <v>VALID</v>
      </c>
    </row>
    <row r="3231" ht="15.75" customHeight="1">
      <c r="A3231" s="13" t="str">
        <f>Raw_Data!A3231</f>
        <v>EMP3405</v>
      </c>
      <c r="B3231" s="13" t="str">
        <f>TRIM(CLEAN(Raw_Data!B3231))</f>
        <v>Sales</v>
      </c>
      <c r="C3231" s="18" t="s">
        <v>26</v>
      </c>
      <c r="D3231" s="14" t="str">
        <f>IF(ISBLANK(Raw_Data!D3231),AVERAGE(Raw_Data!D$2:D$5002),Raw_Data!D3231)</f>
        <v>85148.21</v>
      </c>
      <c r="E3231" s="15" t="str">
        <f>IF(ISBLANK(Raw_Data!E3231),AVERAGE(Raw_Data!E$2:E$5002),Raw_Data!E3231)</f>
        <v>29703.74</v>
      </c>
      <c r="F3231" s="15" t="str">
        <f>IF(ISBLANK(Raw_Data!F3231),AVERAGE(Raw_Data!F$2:F$5002),Raw_Data!F3231)</f>
        <v>26321.67</v>
      </c>
      <c r="G3231" s="14" t="str">
        <f>IF(ISBLANK(Raw_Data!G3231),AVERAGE(Raw_Data!G$2:G$5002),Raw_Data!G3231)</f>
        <v>18478.44</v>
      </c>
      <c r="H3231" s="15" t="str">
        <f t="shared" si="1"/>
        <v>141174.00</v>
      </c>
      <c r="I3231" s="14" t="str">
        <f t="shared" si="2"/>
        <v>122696.00</v>
      </c>
      <c r="J3231" s="16" t="str">
        <f>TEXT(Raw_Data!J3231,"MMM-YYY")</f>
        <v>Mar-2025</v>
      </c>
      <c r="K3231" s="13" t="str">
        <f>Raw_Data!K3231</f>
        <v>12</v>
      </c>
      <c r="L3231" s="17" t="str">
        <f>Raw_Data!L3231</f>
        <v>Pune-West</v>
      </c>
      <c r="M3231" s="13" t="str">
        <f t="shared" si="3"/>
        <v>OK</v>
      </c>
      <c r="N3231" s="18" t="str">
        <f t="shared" si="4"/>
        <v>VALID</v>
      </c>
    </row>
    <row r="3232" ht="15.75" customHeight="1">
      <c r="A3232" s="13" t="str">
        <f>Raw_Data!A3232</f>
        <v>EMP3406</v>
      </c>
      <c r="B3232" s="13" t="str">
        <f>TRIM(CLEAN(Raw_Data!B3232))</f>
        <v>Sales</v>
      </c>
      <c r="C3232" s="18" t="s">
        <v>33</v>
      </c>
      <c r="D3232" s="14" t="str">
        <f>IF(ISBLANK(Raw_Data!D3232),AVERAGE(Raw_Data!D$2:D$5002),Raw_Data!D3232)</f>
        <v>85159.09</v>
      </c>
      <c r="E3232" s="15" t="str">
        <f>IF(ISBLANK(Raw_Data!E3232),AVERAGE(Raw_Data!E$2:E$5002),Raw_Data!E3232)</f>
        <v>29708.35</v>
      </c>
      <c r="F3232" s="15" t="str">
        <f>IF(ISBLANK(Raw_Data!F3232),AVERAGE(Raw_Data!F$2:F$5002),Raw_Data!F3232)</f>
        <v>26329.35</v>
      </c>
      <c r="G3232" s="14" t="str">
        <f>IF(ISBLANK(Raw_Data!G3232),AVERAGE(Raw_Data!G$2:G$5002),Raw_Data!G3232)</f>
        <v>18481.84</v>
      </c>
      <c r="H3232" s="15" t="str">
        <f t="shared" si="1"/>
        <v>141197.00</v>
      </c>
      <c r="I3232" s="14" t="str">
        <f t="shared" si="2"/>
        <v>122715.00</v>
      </c>
      <c r="J3232" s="16" t="str">
        <f>TEXT(Raw_Data!J3232,"MMM-YYY")</f>
        <v>Nov-2025</v>
      </c>
      <c r="K3232" s="13" t="str">
        <f>Raw_Data!K3232</f>
        <v>9</v>
      </c>
      <c r="L3232" s="17" t="str">
        <f>Raw_Data!L3232</f>
        <v>Hyderabad-South</v>
      </c>
      <c r="M3232" s="13" t="str">
        <f t="shared" si="3"/>
        <v>OK</v>
      </c>
      <c r="N3232" s="18" t="str">
        <f t="shared" si="4"/>
        <v>VALID</v>
      </c>
    </row>
    <row r="3233" ht="15.75" customHeight="1">
      <c r="A3233" s="13" t="str">
        <f>Raw_Data!A3233</f>
        <v>EMP3407</v>
      </c>
      <c r="B3233" s="13" t="str">
        <f>TRIM(CLEAN(Raw_Data!B3233))</f>
        <v>Operations</v>
      </c>
      <c r="C3233" s="18" t="s">
        <v>26</v>
      </c>
      <c r="D3233" s="14" t="str">
        <f>IF(ISBLANK(Raw_Data!D3233),AVERAGE(Raw_Data!D$2:D$5002),Raw_Data!D3233)</f>
        <v>85169.97</v>
      </c>
      <c r="E3233" s="15" t="str">
        <f>IF(ISBLANK(Raw_Data!E3233),AVERAGE(Raw_Data!E$2:E$5002),Raw_Data!E3233)</f>
        <v>29712.97</v>
      </c>
      <c r="F3233" s="15" t="str">
        <f>IF(ISBLANK(Raw_Data!F3233),AVERAGE(Raw_Data!F$2:F$5002),Raw_Data!F3233)</f>
        <v>26337.03</v>
      </c>
      <c r="G3233" s="14" t="str">
        <f>IF(ISBLANK(Raw_Data!G3233),AVERAGE(Raw_Data!G$2:G$5002),Raw_Data!G3233)</f>
        <v>18485.23</v>
      </c>
      <c r="H3233" s="15" t="str">
        <f t="shared" si="1"/>
        <v>141220.00</v>
      </c>
      <c r="I3233" s="14" t="str">
        <f t="shared" si="2"/>
        <v>122735.00</v>
      </c>
      <c r="J3233" s="16" t="str">
        <f>TEXT(Raw_Data!J3233,"MMM-YYY")</f>
        <v>May-2025</v>
      </c>
      <c r="K3233" s="13" t="str">
        <f>Raw_Data!K3233</f>
        <v>19</v>
      </c>
      <c r="L3233" s="17" t="str">
        <f>Raw_Data!L3233</f>
        <v>Chandigarh-North</v>
      </c>
      <c r="M3233" s="13" t="str">
        <f t="shared" si="3"/>
        <v>OK</v>
      </c>
      <c r="N3233" s="18" t="str">
        <f t="shared" si="4"/>
        <v>VALID</v>
      </c>
    </row>
    <row r="3234" ht="15.75" customHeight="1">
      <c r="A3234" s="13" t="str">
        <f>Raw_Data!A3234</f>
        <v>EMP3408</v>
      </c>
      <c r="B3234" s="13" t="str">
        <f>TRIM(CLEAN(Raw_Data!B3234))</f>
        <v>HR</v>
      </c>
      <c r="C3234" s="18" t="s">
        <v>18</v>
      </c>
      <c r="D3234" s="14" t="str">
        <f>IF(ISBLANK(Raw_Data!D3234),AVERAGE(Raw_Data!D$2:D$5002),Raw_Data!D3234)</f>
        <v>85180.86</v>
      </c>
      <c r="E3234" s="15" t="str">
        <f>IF(ISBLANK(Raw_Data!E3234),AVERAGE(Raw_Data!E$2:E$5002),Raw_Data!E3234)</f>
        <v>29717.58</v>
      </c>
      <c r="F3234" s="15" t="str">
        <f>IF(ISBLANK(Raw_Data!F3234),AVERAGE(Raw_Data!F$2:F$5002),Raw_Data!F3234)</f>
        <v>26344.71</v>
      </c>
      <c r="G3234" s="14" t="str">
        <f>IF(ISBLANK(Raw_Data!G3234),AVERAGE(Raw_Data!G$2:G$5002),Raw_Data!G3234)</f>
        <v>18488.63</v>
      </c>
      <c r="H3234" s="15" t="str">
        <f t="shared" si="1"/>
        <v>141243.00</v>
      </c>
      <c r="I3234" s="14" t="str">
        <f t="shared" si="2"/>
        <v>122754.00</v>
      </c>
      <c r="J3234" s="16" t="str">
        <f>TEXT(Raw_Data!J3234,"MMM-YYY")</f>
        <v>Oct-2025</v>
      </c>
      <c r="K3234" s="13" t="str">
        <f>Raw_Data!K3234</f>
        <v>18</v>
      </c>
      <c r="L3234" s="17" t="str">
        <f>Raw_Data!L3234</f>
        <v>Ahmedabad-West</v>
      </c>
      <c r="M3234" s="13" t="str">
        <f t="shared" si="3"/>
        <v>OK</v>
      </c>
      <c r="N3234" s="18" t="str">
        <f t="shared" si="4"/>
        <v>VALID</v>
      </c>
    </row>
    <row r="3235" ht="15.75" customHeight="1">
      <c r="A3235" s="13" t="str">
        <f>Raw_Data!A3235</f>
        <v>EMP3409</v>
      </c>
      <c r="B3235" s="13" t="str">
        <f>TRIM(CLEAN(Raw_Data!B3235))</f>
        <v>Sales</v>
      </c>
      <c r="C3235" s="18" t="s">
        <v>30</v>
      </c>
      <c r="D3235" s="14" t="str">
        <f>IF(ISBLANK(Raw_Data!D3235),AVERAGE(Raw_Data!D$2:D$5002),Raw_Data!D3235)</f>
        <v>85191.74</v>
      </c>
      <c r="E3235" s="15" t="str">
        <f>IF(ISBLANK(Raw_Data!E3235),AVERAGE(Raw_Data!E$2:E$5002),Raw_Data!E3235)</f>
        <v>29722.20</v>
      </c>
      <c r="F3235" s="15" t="str">
        <f>IF(ISBLANK(Raw_Data!F3235),AVERAGE(Raw_Data!F$2:F$5002),Raw_Data!F3235)</f>
        <v>26352.39</v>
      </c>
      <c r="G3235" s="14" t="str">
        <f>IF(ISBLANK(Raw_Data!G3235),AVERAGE(Raw_Data!G$2:G$5002),Raw_Data!G3235)</f>
        <v>18492.03</v>
      </c>
      <c r="H3235" s="15" t="str">
        <f t="shared" si="1"/>
        <v>141266.00</v>
      </c>
      <c r="I3235" s="14" t="str">
        <f t="shared" si="2"/>
        <v>122774.00</v>
      </c>
      <c r="J3235" s="16" t="str">
        <f>TEXT(Raw_Data!J3235,"MMM-YYY")</f>
        <v>May-2025</v>
      </c>
      <c r="K3235" s="13" t="str">
        <f>Raw_Data!K3235</f>
        <v>18</v>
      </c>
      <c r="L3235" s="17" t="str">
        <f>Raw_Data!L3235</f>
        <v>Chandigarh-North</v>
      </c>
      <c r="M3235" s="13" t="str">
        <f t="shared" si="3"/>
        <v>OK</v>
      </c>
      <c r="N3235" s="18" t="str">
        <f t="shared" si="4"/>
        <v>VALID</v>
      </c>
    </row>
    <row r="3236" ht="15.75" customHeight="1">
      <c r="A3236" s="13" t="str">
        <f>Raw_Data!A3236</f>
        <v>EMP3410</v>
      </c>
      <c r="B3236" s="13" t="str">
        <f>TRIM(CLEAN(Raw_Data!B3236))</f>
        <v>Operations</v>
      </c>
      <c r="C3236" s="18" t="s">
        <v>14</v>
      </c>
      <c r="D3236" s="14" t="str">
        <f>IF(ISBLANK(Raw_Data!D3236),AVERAGE(Raw_Data!D$2:D$5002),Raw_Data!D3236)</f>
        <v>85202.62</v>
      </c>
      <c r="E3236" s="15" t="str">
        <f>IF(ISBLANK(Raw_Data!E3236),AVERAGE(Raw_Data!E$2:E$5002),Raw_Data!E3236)</f>
        <v>29726.81</v>
      </c>
      <c r="F3236" s="15" t="str">
        <f>IF(ISBLANK(Raw_Data!F3236),AVERAGE(Raw_Data!F$2:F$5002),Raw_Data!F3236)</f>
        <v>26360.07</v>
      </c>
      <c r="G3236" s="14" t="str">
        <f>IF(ISBLANK(Raw_Data!G3236),AVERAGE(Raw_Data!G$2:G$5002),Raw_Data!G3236)</f>
        <v>18495.43</v>
      </c>
      <c r="H3236" s="15" t="str">
        <f t="shared" si="1"/>
        <v>141290.00</v>
      </c>
      <c r="I3236" s="14" t="str">
        <f t="shared" si="2"/>
        <v>122795.00</v>
      </c>
      <c r="J3236" s="16" t="str">
        <f>TEXT(Raw_Data!J3236,"MMM-YYY")</f>
        <v>Feb-2025</v>
      </c>
      <c r="K3236" s="13" t="str">
        <f>Raw_Data!K3236</f>
        <v>21</v>
      </c>
      <c r="L3236" s="17" t="str">
        <f>Raw_Data!L3236</f>
        <v>Kolkata-East</v>
      </c>
      <c r="M3236" s="13" t="str">
        <f t="shared" si="3"/>
        <v>OK</v>
      </c>
      <c r="N3236" s="18" t="str">
        <f t="shared" si="4"/>
        <v>VALID</v>
      </c>
    </row>
    <row r="3237" ht="15.75" customHeight="1">
      <c r="A3237" s="13" t="str">
        <f>Raw_Data!A3237</f>
        <v>EMP3411</v>
      </c>
      <c r="B3237" s="13" t="str">
        <f>TRIM(CLEAN(Raw_Data!B3237))</f>
        <v>HR</v>
      </c>
      <c r="C3237" s="18" t="s">
        <v>37</v>
      </c>
      <c r="D3237" s="14" t="str">
        <f>IF(ISBLANK(Raw_Data!D3237),AVERAGE(Raw_Data!D$2:D$5002),Raw_Data!D3237)</f>
        <v>85213.50</v>
      </c>
      <c r="E3237" s="15" t="str">
        <f>IF(ISBLANK(Raw_Data!E3237),AVERAGE(Raw_Data!E$2:E$5002),Raw_Data!E3237)</f>
        <v>29731.43</v>
      </c>
      <c r="F3237" s="15" t="str">
        <f>IF(ISBLANK(Raw_Data!F3237),AVERAGE(Raw_Data!F$2:F$5002),Raw_Data!F3237)</f>
        <v>26367.75</v>
      </c>
      <c r="G3237" s="14" t="str">
        <f>IF(ISBLANK(Raw_Data!G3237),AVERAGE(Raw_Data!G$2:G$5002),Raw_Data!G3237)</f>
        <v>18498.82</v>
      </c>
      <c r="H3237" s="15" t="str">
        <f t="shared" si="1"/>
        <v>141313.00</v>
      </c>
      <c r="I3237" s="14" t="str">
        <f t="shared" si="2"/>
        <v>122814.00</v>
      </c>
      <c r="J3237" s="16" t="str">
        <f>TEXT(Raw_Data!J3237,"MMM-YYY")</f>
        <v>Dec-2025</v>
      </c>
      <c r="K3237" s="13" t="str">
        <f>Raw_Data!K3237</f>
        <v>22</v>
      </c>
      <c r="L3237" s="17" t="str">
        <f>Raw_Data!L3237</f>
        <v>Delhi-North</v>
      </c>
      <c r="M3237" s="13" t="str">
        <f t="shared" si="3"/>
        <v>OK</v>
      </c>
      <c r="N3237" s="18" t="str">
        <f t="shared" si="4"/>
        <v>VALID</v>
      </c>
    </row>
    <row r="3238" ht="15.75" customHeight="1">
      <c r="A3238" s="13" t="str">
        <f>Raw_Data!A3238</f>
        <v>EMP3412</v>
      </c>
      <c r="B3238" s="13" t="str">
        <f>TRIM(CLEAN(Raw_Data!B3238))</f>
        <v>Finance</v>
      </c>
      <c r="C3238" s="18" t="s">
        <v>14</v>
      </c>
      <c r="D3238" s="14" t="str">
        <f>IF(ISBLANK(Raw_Data!D3238),AVERAGE(Raw_Data!D$2:D$5002),Raw_Data!D3238)</f>
        <v>85224.39</v>
      </c>
      <c r="E3238" s="15" t="str">
        <f>IF(ISBLANK(Raw_Data!E3238),AVERAGE(Raw_Data!E$2:E$5002),Raw_Data!E3238)</f>
        <v>29736.04</v>
      </c>
      <c r="F3238" s="15" t="str">
        <f>IF(ISBLANK(Raw_Data!F3238),AVERAGE(Raw_Data!F$2:F$5002),Raw_Data!F3238)</f>
        <v>26375.43</v>
      </c>
      <c r="G3238" s="14" t="str">
        <f>IF(ISBLANK(Raw_Data!G3238),AVERAGE(Raw_Data!G$2:G$5002),Raw_Data!G3238)</f>
        <v>18502.22</v>
      </c>
      <c r="H3238" s="15" t="str">
        <f t="shared" si="1"/>
        <v>141336.00</v>
      </c>
      <c r="I3238" s="14" t="str">
        <f t="shared" si="2"/>
        <v>122834.00</v>
      </c>
      <c r="J3238" s="16" t="str">
        <f>TEXT(Raw_Data!J3238,"MMM-YYY")</f>
        <v>Apr-2025</v>
      </c>
      <c r="K3238" s="13" t="str">
        <f>Raw_Data!K3238</f>
        <v>11</v>
      </c>
      <c r="L3238" s="17" t="str">
        <f>Raw_Data!L3238</f>
        <v>Bangalore-South</v>
      </c>
      <c r="M3238" s="13" t="str">
        <f t="shared" si="3"/>
        <v>OK</v>
      </c>
      <c r="N3238" s="18" t="str">
        <f t="shared" si="4"/>
        <v>VALID</v>
      </c>
    </row>
    <row r="3239" ht="15.75" customHeight="1">
      <c r="A3239" s="13" t="str">
        <f>Raw_Data!A3239</f>
        <v>EMP3413</v>
      </c>
      <c r="B3239" s="13" t="str">
        <f>TRIM(CLEAN(Raw_Data!B3239))</f>
        <v>Sales</v>
      </c>
      <c r="C3239" s="18" t="s">
        <v>18</v>
      </c>
      <c r="D3239" s="14" t="str">
        <f>IF(ISBLANK(Raw_Data!D3239),AVERAGE(Raw_Data!D$2:D$5002),Raw_Data!D3239)</f>
        <v>85235.27</v>
      </c>
      <c r="E3239" s="15" t="str">
        <f>IF(ISBLANK(Raw_Data!E3239),AVERAGE(Raw_Data!E$2:E$5002),Raw_Data!E3239)</f>
        <v>29740.66</v>
      </c>
      <c r="F3239" s="15" t="str">
        <f>IF(ISBLANK(Raw_Data!F3239),AVERAGE(Raw_Data!F$2:F$5002),Raw_Data!F3239)</f>
        <v>26383.11</v>
      </c>
      <c r="G3239" s="14" t="str">
        <f>IF(ISBLANK(Raw_Data!G3239),AVERAGE(Raw_Data!G$2:G$5002),Raw_Data!G3239)</f>
        <v>18505.62</v>
      </c>
      <c r="H3239" s="15" t="str">
        <f t="shared" si="1"/>
        <v>141359.00</v>
      </c>
      <c r="I3239" s="14" t="str">
        <f t="shared" si="2"/>
        <v>122853.00</v>
      </c>
      <c r="J3239" s="16" t="str">
        <f>TEXT(Raw_Data!J3239,"MMM-YYY")</f>
        <v>Dec-2025</v>
      </c>
      <c r="K3239" s="13" t="str">
        <f>Raw_Data!K3239</f>
        <v>18</v>
      </c>
      <c r="L3239" s="17" t="str">
        <f>Raw_Data!L3239</f>
        <v>Kolkata-East</v>
      </c>
      <c r="M3239" s="13" t="str">
        <f t="shared" si="3"/>
        <v>OK</v>
      </c>
      <c r="N3239" s="18" t="str">
        <f t="shared" si="4"/>
        <v>VALID</v>
      </c>
    </row>
    <row r="3240" ht="15.75" customHeight="1">
      <c r="A3240" s="13" t="str">
        <f>Raw_Data!A3240</f>
        <v>EMP3414</v>
      </c>
      <c r="B3240" s="13" t="str">
        <f>TRIM(CLEAN(Raw_Data!B3240))</f>
        <v>Customer Support</v>
      </c>
      <c r="C3240" s="18" t="s">
        <v>18</v>
      </c>
      <c r="D3240" s="14" t="str">
        <f>IF(ISBLANK(Raw_Data!D3240),AVERAGE(Raw_Data!D$2:D$5002),Raw_Data!D3240)</f>
        <v>85246.15</v>
      </c>
      <c r="E3240" s="15" t="str">
        <f>IF(ISBLANK(Raw_Data!E3240),AVERAGE(Raw_Data!E$2:E$5002),Raw_Data!E3240)</f>
        <v>29745.27</v>
      </c>
      <c r="F3240" s="15" t="str">
        <f>IF(ISBLANK(Raw_Data!F3240),AVERAGE(Raw_Data!F$2:F$5002),Raw_Data!F3240)</f>
        <v>26390.79</v>
      </c>
      <c r="G3240" s="14" t="str">
        <f>IF(ISBLANK(Raw_Data!G3240),AVERAGE(Raw_Data!G$2:G$5002),Raw_Data!G3240)</f>
        <v>18509.02</v>
      </c>
      <c r="H3240" s="15" t="str">
        <f t="shared" si="1"/>
        <v>141382.00</v>
      </c>
      <c r="I3240" s="14" t="str">
        <f t="shared" si="2"/>
        <v>122873.00</v>
      </c>
      <c r="J3240" s="16" t="str">
        <f>TEXT(Raw_Data!J3240,"MMM-YYY")</f>
        <v>Feb-2025</v>
      </c>
      <c r="K3240" s="13" t="str">
        <f>Raw_Data!K3240</f>
        <v>12</v>
      </c>
      <c r="L3240" s="17" t="str">
        <f>Raw_Data!L3240</f>
        <v>Chandigarh-North</v>
      </c>
      <c r="M3240" s="13" t="str">
        <f t="shared" si="3"/>
        <v>OK</v>
      </c>
      <c r="N3240" s="18" t="str">
        <f t="shared" si="4"/>
        <v>VALID</v>
      </c>
    </row>
    <row r="3241" ht="15.75" customHeight="1">
      <c r="A3241" s="13" t="str">
        <f>Raw_Data!A3241</f>
        <v>EMP3416</v>
      </c>
      <c r="B3241" s="13" t="str">
        <f>TRIM(CLEAN(Raw_Data!B3241))</f>
        <v>HR</v>
      </c>
      <c r="C3241" s="18" t="s">
        <v>37</v>
      </c>
      <c r="D3241" s="14" t="str">
        <f>IF(ISBLANK(Raw_Data!D3241),AVERAGE(Raw_Data!D$2:D$5002),Raw_Data!D3241)</f>
        <v>85267.92</v>
      </c>
      <c r="E3241" s="15" t="str">
        <f>IF(ISBLANK(Raw_Data!E3241),AVERAGE(Raw_Data!E$2:E$5002),Raw_Data!E3241)</f>
        <v>29754.50</v>
      </c>
      <c r="F3241" s="15" t="str">
        <f>IF(ISBLANK(Raw_Data!F3241),AVERAGE(Raw_Data!F$2:F$5002),Raw_Data!F3241)</f>
        <v>26406.15</v>
      </c>
      <c r="G3241" s="14" t="str">
        <f>IF(ISBLANK(Raw_Data!G3241),AVERAGE(Raw_Data!G$2:G$5002),Raw_Data!G3241)</f>
        <v>18515.81</v>
      </c>
      <c r="H3241" s="15" t="str">
        <f t="shared" si="1"/>
        <v>141429.00</v>
      </c>
      <c r="I3241" s="14" t="str">
        <f t="shared" si="2"/>
        <v>122913.00</v>
      </c>
      <c r="J3241" s="16" t="str">
        <f>TEXT(Raw_Data!J3241,"MMM-YYY")</f>
        <v>Sep-2025</v>
      </c>
      <c r="K3241" s="13" t="str">
        <f>Raw_Data!K3241</f>
        <v>1</v>
      </c>
      <c r="L3241" s="17" t="str">
        <f>Raw_Data!L3241</f>
        <v>Pune-West</v>
      </c>
      <c r="M3241" s="13" t="str">
        <f t="shared" si="3"/>
        <v>OK</v>
      </c>
      <c r="N3241" s="18" t="str">
        <f t="shared" si="4"/>
        <v>VALID</v>
      </c>
    </row>
    <row r="3242" ht="15.75" customHeight="1">
      <c r="A3242" s="13" t="str">
        <f>Raw_Data!A3242</f>
        <v>EMP3417</v>
      </c>
      <c r="B3242" s="13" t="str">
        <f>TRIM(CLEAN(Raw_Data!B3242))</f>
        <v>Marketing</v>
      </c>
      <c r="C3242" s="18" t="s">
        <v>54</v>
      </c>
      <c r="D3242" s="14" t="str">
        <f>IF(ISBLANK(Raw_Data!D3242),AVERAGE(Raw_Data!D$2:D$5002),Raw_Data!D3242)</f>
        <v>71831.17</v>
      </c>
      <c r="E3242" s="15" t="str">
        <f>IF(ISBLANK(Raw_Data!E3242),AVERAGE(Raw_Data!E$2:E$5002),Raw_Data!E3242)</f>
        <v>29759.12</v>
      </c>
      <c r="F3242" s="15" t="str">
        <f>IF(ISBLANK(Raw_Data!F3242),AVERAGE(Raw_Data!F$2:F$5002),Raw_Data!F3242)</f>
        <v>26413.83</v>
      </c>
      <c r="G3242" s="14" t="str">
        <f>IF(ISBLANK(Raw_Data!G3242),AVERAGE(Raw_Data!G$2:G$5002),Raw_Data!G3242)</f>
        <v>18519.21</v>
      </c>
      <c r="H3242" s="15" t="str">
        <f t="shared" si="1"/>
        <v>128004.00</v>
      </c>
      <c r="I3242" s="14" t="str">
        <f t="shared" si="2"/>
        <v>109485.00</v>
      </c>
      <c r="J3242" s="16" t="str">
        <f>TEXT(Raw_Data!J3242,"MMM-YYY")</f>
        <v>May-2025</v>
      </c>
      <c r="K3242" s="13" t="str">
        <f>Raw_Data!K3242</f>
        <v>9</v>
      </c>
      <c r="L3242" s="17" t="str">
        <f>Raw_Data!L3242</f>
        <v>Mumbai-HO</v>
      </c>
      <c r="M3242" s="13" t="str">
        <f t="shared" si="3"/>
        <v>OK</v>
      </c>
      <c r="N3242" s="18" t="str">
        <f t="shared" si="4"/>
        <v>VALID</v>
      </c>
    </row>
    <row r="3243" ht="15.75" customHeight="1">
      <c r="A3243" s="13" t="str">
        <f>Raw_Data!A3243</f>
        <v>EMP3418</v>
      </c>
      <c r="B3243" s="13" t="str">
        <f>TRIM(CLEAN(Raw_Data!B3243))</f>
        <v>Finance</v>
      </c>
      <c r="C3243" s="18" t="s">
        <v>54</v>
      </c>
      <c r="D3243" s="14" t="str">
        <f>IF(ISBLANK(Raw_Data!D3243),AVERAGE(Raw_Data!D$2:D$5002),Raw_Data!D3243)</f>
        <v>85289.69</v>
      </c>
      <c r="E3243" s="15" t="str">
        <f>IF(ISBLANK(Raw_Data!E3243),AVERAGE(Raw_Data!E$2:E$5002),Raw_Data!E3243)</f>
        <v>29763.73</v>
      </c>
      <c r="F3243" s="15" t="str">
        <f>IF(ISBLANK(Raw_Data!F3243),AVERAGE(Raw_Data!F$2:F$5002),Raw_Data!F3243)</f>
        <v>26421.51</v>
      </c>
      <c r="G3243" s="14" t="str">
        <f>IF(ISBLANK(Raw_Data!G3243),AVERAGE(Raw_Data!G$2:G$5002),Raw_Data!G3243)</f>
        <v>18522.61</v>
      </c>
      <c r="H3243" s="15" t="str">
        <f t="shared" si="1"/>
        <v>141475.00</v>
      </c>
      <c r="I3243" s="14" t="str">
        <f t="shared" si="2"/>
        <v>122952.00</v>
      </c>
      <c r="J3243" s="16" t="str">
        <f>TEXT(Raw_Data!J3243,"MMM-YYY")</f>
        <v>Jan-2025</v>
      </c>
      <c r="K3243" s="13" t="str">
        <f>Raw_Data!K3243</f>
        <v>9</v>
      </c>
      <c r="L3243" s="17" t="str">
        <f>Raw_Data!L3243</f>
        <v>Chennai-South</v>
      </c>
      <c r="M3243" s="13" t="str">
        <f t="shared" si="3"/>
        <v>OK</v>
      </c>
      <c r="N3243" s="18" t="str">
        <f t="shared" si="4"/>
        <v>VALID</v>
      </c>
    </row>
    <row r="3244" ht="15.75" customHeight="1">
      <c r="A3244" s="13" t="str">
        <f>Raw_Data!A3244</f>
        <v>EMP3419</v>
      </c>
      <c r="B3244" s="13" t="str">
        <f>TRIM(CLEAN(Raw_Data!B3244))</f>
        <v>Finance</v>
      </c>
      <c r="C3244" s="18" t="s">
        <v>37</v>
      </c>
      <c r="D3244" s="14" t="str">
        <f>IF(ISBLANK(Raw_Data!D3244),AVERAGE(Raw_Data!D$2:D$5002),Raw_Data!D3244)</f>
        <v>85300.57</v>
      </c>
      <c r="E3244" s="15" t="str">
        <f>IF(ISBLANK(Raw_Data!E3244),AVERAGE(Raw_Data!E$2:E$5002),Raw_Data!E3244)</f>
        <v>29768.35</v>
      </c>
      <c r="F3244" s="15" t="str">
        <f>IF(ISBLANK(Raw_Data!F3244),AVERAGE(Raw_Data!F$2:F$5002),Raw_Data!F3244)</f>
        <v>26429.19</v>
      </c>
      <c r="G3244" s="14" t="str">
        <f>IF(ISBLANK(Raw_Data!G3244),AVERAGE(Raw_Data!G$2:G$5002),Raw_Data!G3244)</f>
        <v>18526.00</v>
      </c>
      <c r="H3244" s="15" t="str">
        <f t="shared" si="1"/>
        <v>141498.00</v>
      </c>
      <c r="I3244" s="14" t="str">
        <f t="shared" si="2"/>
        <v>122972.00</v>
      </c>
      <c r="J3244" s="16" t="str">
        <f>TEXT(Raw_Data!J3244,"MMM-YYY")</f>
        <v>Apr-2025</v>
      </c>
      <c r="K3244" s="13" t="str">
        <f>Raw_Data!K3244</f>
        <v>19</v>
      </c>
      <c r="L3244" s="17" t="str">
        <f>Raw_Data!L3244</f>
        <v>Chandigarh-North</v>
      </c>
      <c r="M3244" s="13" t="str">
        <f t="shared" si="3"/>
        <v>OK</v>
      </c>
      <c r="N3244" s="18" t="str">
        <f t="shared" si="4"/>
        <v>VALID</v>
      </c>
    </row>
    <row r="3245" ht="15.75" customHeight="1">
      <c r="A3245" s="13" t="str">
        <f>Raw_Data!A3245</f>
        <v>EMP3420</v>
      </c>
      <c r="B3245" s="13" t="str">
        <f>TRIM(CLEAN(Raw_Data!B3245))</f>
        <v>Marketing</v>
      </c>
      <c r="C3245" s="18" t="s">
        <v>33</v>
      </c>
      <c r="D3245" s="14" t="str">
        <f>IF(ISBLANK(Raw_Data!D3245),AVERAGE(Raw_Data!D$2:D$5002),Raw_Data!D3245)</f>
        <v>85311.45</v>
      </c>
      <c r="E3245" s="15" t="str">
        <f>IF(ISBLANK(Raw_Data!E3245),AVERAGE(Raw_Data!E$2:E$5002),Raw_Data!E3245)</f>
        <v>29772.96</v>
      </c>
      <c r="F3245" s="15" t="str">
        <f>IF(ISBLANK(Raw_Data!F3245),AVERAGE(Raw_Data!F$2:F$5002),Raw_Data!F3245)</f>
        <v>26436.87</v>
      </c>
      <c r="G3245" s="14" t="str">
        <f>IF(ISBLANK(Raw_Data!G3245),AVERAGE(Raw_Data!G$2:G$5002),Raw_Data!G3245)</f>
        <v>18529.40</v>
      </c>
      <c r="H3245" s="15" t="str">
        <f t="shared" si="1"/>
        <v>141521.00</v>
      </c>
      <c r="I3245" s="14" t="str">
        <f t="shared" si="2"/>
        <v>122992.00</v>
      </c>
      <c r="J3245" s="16" t="str">
        <f>TEXT(Raw_Data!J3245,"MMM-YYY")</f>
        <v>Apr-2025</v>
      </c>
      <c r="K3245" s="13" t="str">
        <f>Raw_Data!K3245</f>
        <v>18</v>
      </c>
      <c r="L3245" s="17" t="str">
        <f>Raw_Data!L3245</f>
        <v>Bangalore-South</v>
      </c>
      <c r="M3245" s="13" t="str">
        <f t="shared" si="3"/>
        <v>OK</v>
      </c>
      <c r="N3245" s="18" t="str">
        <f t="shared" si="4"/>
        <v>VALID</v>
      </c>
    </row>
    <row r="3246" ht="15.75" customHeight="1">
      <c r="A3246" s="13" t="str">
        <f>Raw_Data!A3246</f>
        <v>EMP3421</v>
      </c>
      <c r="B3246" s="13" t="str">
        <f>TRIM(CLEAN(Raw_Data!B3246))</f>
        <v>Sales</v>
      </c>
      <c r="C3246" s="18" t="s">
        <v>26</v>
      </c>
      <c r="D3246" s="14" t="str">
        <f>IF(ISBLANK(Raw_Data!D3246),AVERAGE(Raw_Data!D$2:D$5002),Raw_Data!D3246)</f>
        <v>85322.33</v>
      </c>
      <c r="E3246" s="15" t="str">
        <f>IF(ISBLANK(Raw_Data!E3246),AVERAGE(Raw_Data!E$2:E$5002),Raw_Data!E3246)</f>
        <v>29777.58</v>
      </c>
      <c r="F3246" s="15" t="str">
        <f>IF(ISBLANK(Raw_Data!F3246),AVERAGE(Raw_Data!F$2:F$5002),Raw_Data!F3246)</f>
        <v>26444.55</v>
      </c>
      <c r="G3246" s="14" t="str">
        <f>IF(ISBLANK(Raw_Data!G3246),AVERAGE(Raw_Data!G$2:G$5002),Raw_Data!G3246)</f>
        <v>18532.80</v>
      </c>
      <c r="H3246" s="15" t="str">
        <f t="shared" si="1"/>
        <v>141544.00</v>
      </c>
      <c r="I3246" s="14" t="str">
        <f t="shared" si="2"/>
        <v>123011.00</v>
      </c>
      <c r="J3246" s="16" t="str">
        <f>TEXT(Raw_Data!J3246,"MMM-YYY")</f>
        <v>Apr-2025</v>
      </c>
      <c r="K3246" s="13" t="str">
        <f>Raw_Data!K3246</f>
        <v>18</v>
      </c>
      <c r="L3246" s="17" t="str">
        <f>Raw_Data!L3246</f>
        <v>Ahmedabad-West</v>
      </c>
      <c r="M3246" s="13" t="str">
        <f t="shared" si="3"/>
        <v>OK</v>
      </c>
      <c r="N3246" s="18" t="str">
        <f t="shared" si="4"/>
        <v>VALID</v>
      </c>
    </row>
    <row r="3247" ht="15.75" customHeight="1">
      <c r="A3247" s="13" t="str">
        <f>Raw_Data!A3247</f>
        <v>EMP3422</v>
      </c>
      <c r="B3247" s="13" t="str">
        <f>TRIM(CLEAN(Raw_Data!B3247))</f>
        <v>IT</v>
      </c>
      <c r="C3247" s="18" t="s">
        <v>26</v>
      </c>
      <c r="D3247" s="14" t="str">
        <f>IF(ISBLANK(Raw_Data!D3247),AVERAGE(Raw_Data!D$2:D$5002),Raw_Data!D3247)</f>
        <v>85333.22</v>
      </c>
      <c r="E3247" s="15" t="str">
        <f>IF(ISBLANK(Raw_Data!E3247),AVERAGE(Raw_Data!E$2:E$5002),Raw_Data!E3247)</f>
        <v>29782.19</v>
      </c>
      <c r="F3247" s="15" t="str">
        <f>IF(ISBLANK(Raw_Data!F3247),AVERAGE(Raw_Data!F$2:F$5002),Raw_Data!F3247)</f>
        <v>26452.23</v>
      </c>
      <c r="G3247" s="14" t="str">
        <f>IF(ISBLANK(Raw_Data!G3247),AVERAGE(Raw_Data!G$2:G$5002),Raw_Data!G3247)</f>
        <v>18536.20</v>
      </c>
      <c r="H3247" s="15" t="str">
        <f t="shared" si="1"/>
        <v>141568.00</v>
      </c>
      <c r="I3247" s="14" t="str">
        <f t="shared" si="2"/>
        <v>123032.00</v>
      </c>
      <c r="J3247" s="16" t="str">
        <f>TEXT(Raw_Data!J3247,"MMM-YYY")</f>
        <v>Oct-2025</v>
      </c>
      <c r="K3247" s="13" t="str">
        <f>Raw_Data!K3247</f>
        <v>6</v>
      </c>
      <c r="L3247" s="17" t="str">
        <f>Raw_Data!L3247</f>
        <v>Chandigarh-North</v>
      </c>
      <c r="M3247" s="13" t="str">
        <f t="shared" si="3"/>
        <v>OK</v>
      </c>
      <c r="N3247" s="18" t="str">
        <f t="shared" si="4"/>
        <v>VALID</v>
      </c>
    </row>
    <row r="3248" ht="15.75" customHeight="1">
      <c r="A3248" s="13" t="str">
        <f>Raw_Data!A3248</f>
        <v>EMP3424</v>
      </c>
      <c r="B3248" s="13" t="str">
        <f>TRIM(CLEAN(Raw_Data!B3248))</f>
        <v>HR</v>
      </c>
      <c r="C3248" s="18" t="s">
        <v>30</v>
      </c>
      <c r="D3248" s="14" t="str">
        <f>IF(ISBLANK(Raw_Data!D3248),AVERAGE(Raw_Data!D$2:D$5002),Raw_Data!D3248)</f>
        <v>85354.98</v>
      </c>
      <c r="E3248" s="15" t="str">
        <f>IF(ISBLANK(Raw_Data!E3248),AVERAGE(Raw_Data!E$2:E$5002),Raw_Data!E3248)</f>
        <v>29791.42</v>
      </c>
      <c r="F3248" s="15" t="str">
        <f>IF(ISBLANK(Raw_Data!F3248),AVERAGE(Raw_Data!F$2:F$5002),Raw_Data!F3248)</f>
        <v>26467.59</v>
      </c>
      <c r="G3248" s="14" t="str">
        <f>IF(ISBLANK(Raw_Data!G3248),AVERAGE(Raw_Data!G$2:G$5002),Raw_Data!G3248)</f>
        <v>18542.99</v>
      </c>
      <c r="H3248" s="15" t="str">
        <f t="shared" si="1"/>
        <v>141614.00</v>
      </c>
      <c r="I3248" s="14" t="str">
        <f t="shared" si="2"/>
        <v>123071.00</v>
      </c>
      <c r="J3248" s="16" t="str">
        <f>TEXT(Raw_Data!J3248,"MMM-YYY")</f>
        <v>Aug-2025</v>
      </c>
      <c r="K3248" s="13" t="str">
        <f>Raw_Data!K3248</f>
        <v>2</v>
      </c>
      <c r="L3248" s="17" t="str">
        <f>Raw_Data!L3248</f>
        <v>Ahmedabad-West</v>
      </c>
      <c r="M3248" s="13" t="str">
        <f t="shared" si="3"/>
        <v>OK</v>
      </c>
      <c r="N3248" s="18" t="str">
        <f t="shared" si="4"/>
        <v>VALID</v>
      </c>
    </row>
    <row r="3249" ht="15.75" customHeight="1">
      <c r="A3249" s="13" t="str">
        <f>Raw_Data!A3249</f>
        <v>EMP3425</v>
      </c>
      <c r="B3249" s="13" t="str">
        <f>TRIM(CLEAN(Raw_Data!B3249))</f>
        <v>Operations</v>
      </c>
      <c r="C3249" s="18" t="s">
        <v>54</v>
      </c>
      <c r="D3249" s="14" t="str">
        <f>IF(ISBLANK(Raw_Data!D3249),AVERAGE(Raw_Data!D$2:D$5002),Raw_Data!D3249)</f>
        <v>85365.87</v>
      </c>
      <c r="E3249" s="15" t="str">
        <f>IF(ISBLANK(Raw_Data!E3249),AVERAGE(Raw_Data!E$2:E$5002),Raw_Data!E3249)</f>
        <v>29796.03</v>
      </c>
      <c r="F3249" s="15" t="str">
        <f>IF(ISBLANK(Raw_Data!F3249),AVERAGE(Raw_Data!F$2:F$5002),Raw_Data!F3249)</f>
        <v>26475.27</v>
      </c>
      <c r="G3249" s="14" t="str">
        <f>IF(ISBLANK(Raw_Data!G3249),AVERAGE(Raw_Data!G$2:G$5002),Raw_Data!G3249)</f>
        <v>18546.39</v>
      </c>
      <c r="H3249" s="15" t="str">
        <f t="shared" si="1"/>
        <v>141637.00</v>
      </c>
      <c r="I3249" s="14" t="str">
        <f t="shared" si="2"/>
        <v>123091.00</v>
      </c>
      <c r="J3249" s="16" t="str">
        <f>TEXT(Raw_Data!J3249,"MMM-YYY")</f>
        <v>Aug-2025</v>
      </c>
      <c r="K3249" s="13" t="str">
        <f>Raw_Data!K3249</f>
        <v>22</v>
      </c>
      <c r="L3249" s="17" t="str">
        <f>Raw_Data!L3249</f>
        <v>Hyderabad-South</v>
      </c>
      <c r="M3249" s="13" t="str">
        <f t="shared" si="3"/>
        <v>OK</v>
      </c>
      <c r="N3249" s="18" t="str">
        <f t="shared" si="4"/>
        <v>VALID</v>
      </c>
    </row>
    <row r="3250" ht="15.75" customHeight="1">
      <c r="A3250" s="13" t="str">
        <f>Raw_Data!A3250</f>
        <v>EMP3426</v>
      </c>
      <c r="B3250" s="13" t="str">
        <f>TRIM(CLEAN(Raw_Data!B3250))</f>
        <v>IT</v>
      </c>
      <c r="C3250" s="18" t="s">
        <v>30</v>
      </c>
      <c r="D3250" s="14" t="str">
        <f>IF(ISBLANK(Raw_Data!D3250),AVERAGE(Raw_Data!D$2:D$5002),Raw_Data!D3250)</f>
        <v>85376.75</v>
      </c>
      <c r="E3250" s="15" t="str">
        <f>IF(ISBLANK(Raw_Data!E3250),AVERAGE(Raw_Data!E$2:E$5002),Raw_Data!E3250)</f>
        <v>29800.65</v>
      </c>
      <c r="F3250" s="15" t="str">
        <f>IF(ISBLANK(Raw_Data!F3250),AVERAGE(Raw_Data!F$2:F$5002),Raw_Data!F3250)</f>
        <v>26482.95</v>
      </c>
      <c r="G3250" s="14" t="str">
        <f>IF(ISBLANK(Raw_Data!G3250),AVERAGE(Raw_Data!G$2:G$5002),Raw_Data!G3250)</f>
        <v>18549.79</v>
      </c>
      <c r="H3250" s="15" t="str">
        <f t="shared" si="1"/>
        <v>141660.00</v>
      </c>
      <c r="I3250" s="14" t="str">
        <f t="shared" si="2"/>
        <v>123110.00</v>
      </c>
      <c r="J3250" s="16" t="str">
        <f>TEXT(Raw_Data!J3250,"MMM-YYY")</f>
        <v>Feb-2025</v>
      </c>
      <c r="K3250" s="13" t="str">
        <f>Raw_Data!K3250</f>
        <v>10</v>
      </c>
      <c r="L3250" s="17" t="str">
        <f>Raw_Data!L3250</f>
        <v>Delhi-North</v>
      </c>
      <c r="M3250" s="13" t="str">
        <f t="shared" si="3"/>
        <v>OK</v>
      </c>
      <c r="N3250" s="18" t="str">
        <f t="shared" si="4"/>
        <v>VALID</v>
      </c>
    </row>
    <row r="3251" ht="15.75" customHeight="1">
      <c r="A3251" s="13" t="str">
        <f>Raw_Data!A3251</f>
        <v>EMP3427</v>
      </c>
      <c r="B3251" s="13" t="str">
        <f>TRIM(CLEAN(Raw_Data!B3251))</f>
        <v>IT</v>
      </c>
      <c r="C3251" s="18" t="s">
        <v>37</v>
      </c>
      <c r="D3251" s="14" t="str">
        <f>IF(ISBLANK(Raw_Data!D3251),AVERAGE(Raw_Data!D$2:D$5002),Raw_Data!D3251)</f>
        <v>85387.63</v>
      </c>
      <c r="E3251" s="15" t="str">
        <f>IF(ISBLANK(Raw_Data!E3251),AVERAGE(Raw_Data!E$2:E$5002),Raw_Data!E3251)</f>
        <v>29805.26</v>
      </c>
      <c r="F3251" s="15" t="str">
        <f>IF(ISBLANK(Raw_Data!F3251),AVERAGE(Raw_Data!F$2:F$5002),Raw_Data!F3251)</f>
        <v>26490.63</v>
      </c>
      <c r="G3251" s="14" t="str">
        <f>IF(ISBLANK(Raw_Data!G3251),AVERAGE(Raw_Data!G$2:G$5002),Raw_Data!G3251)</f>
        <v>18553.19</v>
      </c>
      <c r="H3251" s="15" t="str">
        <f t="shared" si="1"/>
        <v>141684.00</v>
      </c>
      <c r="I3251" s="14" t="str">
        <f t="shared" si="2"/>
        <v>123131.00</v>
      </c>
      <c r="J3251" s="16" t="str">
        <f>TEXT(Raw_Data!J3251,"MMM-YYY")</f>
        <v>Sep-2025</v>
      </c>
      <c r="K3251" s="13" t="str">
        <f>Raw_Data!K3251</f>
        <v>24</v>
      </c>
      <c r="L3251" s="17" t="str">
        <f>Raw_Data!L3251</f>
        <v>Bangalore-South</v>
      </c>
      <c r="M3251" s="13" t="str">
        <f t="shared" si="3"/>
        <v>OK</v>
      </c>
      <c r="N3251" s="18" t="str">
        <f t="shared" si="4"/>
        <v>VALID</v>
      </c>
    </row>
    <row r="3252" ht="15.75" customHeight="1">
      <c r="A3252" s="13" t="str">
        <f>Raw_Data!A3252</f>
        <v>EMP3429</v>
      </c>
      <c r="B3252" s="13" t="str">
        <f>TRIM(CLEAN(Raw_Data!B3252))</f>
        <v>IT</v>
      </c>
      <c r="C3252" s="18" t="s">
        <v>33</v>
      </c>
      <c r="D3252" s="14" t="str">
        <f>IF(ISBLANK(Raw_Data!D3252),AVERAGE(Raw_Data!D$2:D$5002),Raw_Data!D3252)</f>
        <v>85409.40</v>
      </c>
      <c r="E3252" s="15" t="str">
        <f>IF(ISBLANK(Raw_Data!E3252),AVERAGE(Raw_Data!E$2:E$5002),Raw_Data!E3252)</f>
        <v>29814.49</v>
      </c>
      <c r="F3252" s="15" t="str">
        <f>IF(ISBLANK(Raw_Data!F3252),AVERAGE(Raw_Data!F$2:F$5002),Raw_Data!F3252)</f>
        <v>26505.99</v>
      </c>
      <c r="G3252" s="14" t="str">
        <f>IF(ISBLANK(Raw_Data!G3252),AVERAGE(Raw_Data!G$2:G$5002),Raw_Data!G3252)</f>
        <v>18559.98</v>
      </c>
      <c r="H3252" s="15" t="str">
        <f t="shared" si="1"/>
        <v>141730.00</v>
      </c>
      <c r="I3252" s="14" t="str">
        <f t="shared" si="2"/>
        <v>123170.00</v>
      </c>
      <c r="J3252" s="16" t="str">
        <f>TEXT(Raw_Data!J3252,"MMM-YYY")</f>
        <v>Jun-2025</v>
      </c>
      <c r="K3252" s="13" t="str">
        <f>Raw_Data!K3252</f>
        <v>7</v>
      </c>
      <c r="L3252" s="17" t="str">
        <f>Raw_Data!L3252</f>
        <v>Bangalore-South</v>
      </c>
      <c r="M3252" s="13" t="str">
        <f t="shared" si="3"/>
        <v>OK</v>
      </c>
      <c r="N3252" s="18" t="str">
        <f t="shared" si="4"/>
        <v>VALID</v>
      </c>
    </row>
    <row r="3253" ht="15.75" customHeight="1">
      <c r="A3253" s="13" t="str">
        <f>Raw_Data!A3253</f>
        <v>EMP3430</v>
      </c>
      <c r="B3253" s="13" t="str">
        <f>TRIM(CLEAN(Raw_Data!B3253))</f>
        <v>HR</v>
      </c>
      <c r="C3253" s="18" t="s">
        <v>30</v>
      </c>
      <c r="D3253" s="14" t="str">
        <f>IF(ISBLANK(Raw_Data!D3253),AVERAGE(Raw_Data!D$2:D$5002),Raw_Data!D3253)</f>
        <v>85420.28</v>
      </c>
      <c r="E3253" s="15" t="str">
        <f>IF(ISBLANK(Raw_Data!E3253),AVERAGE(Raw_Data!E$2:E$5002),Raw_Data!E3253)</f>
        <v>29819.11</v>
      </c>
      <c r="F3253" s="15" t="str">
        <f>IF(ISBLANK(Raw_Data!F3253),AVERAGE(Raw_Data!F$2:F$5002),Raw_Data!F3253)</f>
        <v>26513.67</v>
      </c>
      <c r="G3253" s="14" t="str">
        <f>IF(ISBLANK(Raw_Data!G3253),AVERAGE(Raw_Data!G$2:G$5002),Raw_Data!G3253)</f>
        <v>18563.38</v>
      </c>
      <c r="H3253" s="15" t="str">
        <f t="shared" si="1"/>
        <v>141753.00</v>
      </c>
      <c r="I3253" s="14" t="str">
        <f t="shared" si="2"/>
        <v>123190.00</v>
      </c>
      <c r="J3253" s="16" t="str">
        <f>TEXT(Raw_Data!J3253,"MMM-YYY")</f>
        <v>Nov-2025</v>
      </c>
      <c r="K3253" s="13" t="str">
        <f>Raw_Data!K3253</f>
        <v>9</v>
      </c>
      <c r="L3253" s="17" t="str">
        <f>Raw_Data!L3253</f>
        <v>Bangalore-South</v>
      </c>
      <c r="M3253" s="13" t="str">
        <f t="shared" si="3"/>
        <v>OK</v>
      </c>
      <c r="N3253" s="18" t="str">
        <f t="shared" si="4"/>
        <v>VALID</v>
      </c>
    </row>
    <row r="3254" ht="15.75" customHeight="1">
      <c r="A3254" s="13" t="str">
        <f>Raw_Data!A3254</f>
        <v>EMP3431</v>
      </c>
      <c r="B3254" s="13" t="str">
        <f>TRIM(CLEAN(Raw_Data!B3254))</f>
        <v>Customer Support</v>
      </c>
      <c r="C3254" s="18" t="s">
        <v>33</v>
      </c>
      <c r="D3254" s="14" t="str">
        <f>IF(ISBLANK(Raw_Data!D3254),AVERAGE(Raw_Data!D$2:D$5002),Raw_Data!D3254)</f>
        <v>85431.16</v>
      </c>
      <c r="E3254" s="15" t="str">
        <f>IF(ISBLANK(Raw_Data!E3254),AVERAGE(Raw_Data!E$2:E$5002),Raw_Data!E3254)</f>
        <v>29823.72</v>
      </c>
      <c r="F3254" s="15" t="str">
        <f>IF(ISBLANK(Raw_Data!F3254),AVERAGE(Raw_Data!F$2:F$5002),Raw_Data!F3254)</f>
        <v>26521.35</v>
      </c>
      <c r="G3254" s="14" t="str">
        <f>IF(ISBLANK(Raw_Data!G3254),AVERAGE(Raw_Data!G$2:G$5002),Raw_Data!G3254)</f>
        <v>18566.78</v>
      </c>
      <c r="H3254" s="15" t="str">
        <f t="shared" si="1"/>
        <v>141776.00</v>
      </c>
      <c r="I3254" s="14" t="str">
        <f t="shared" si="2"/>
        <v>123209.00</v>
      </c>
      <c r="J3254" s="16" t="str">
        <f>TEXT(Raw_Data!J3254,"MMM-YYY")</f>
        <v>Feb-2025</v>
      </c>
      <c r="K3254" s="13" t="str">
        <f>Raw_Data!K3254</f>
        <v>3</v>
      </c>
      <c r="L3254" s="17" t="str">
        <f>Raw_Data!L3254</f>
        <v>Ahmedabad-West</v>
      </c>
      <c r="M3254" s="13" t="str">
        <f t="shared" si="3"/>
        <v>OK</v>
      </c>
      <c r="N3254" s="18" t="str">
        <f t="shared" si="4"/>
        <v>VALID</v>
      </c>
    </row>
    <row r="3255" ht="15.75" customHeight="1">
      <c r="A3255" s="13" t="str">
        <f>Raw_Data!A3255</f>
        <v>EMP3433</v>
      </c>
      <c r="B3255" s="13" t="str">
        <f>TRIM(CLEAN(Raw_Data!B3255))</f>
        <v>Finance</v>
      </c>
      <c r="C3255" s="18" t="s">
        <v>33</v>
      </c>
      <c r="D3255" s="14" t="str">
        <f>IF(ISBLANK(Raw_Data!D3255),AVERAGE(Raw_Data!D$2:D$5002),Raw_Data!D3255)</f>
        <v>85452.93</v>
      </c>
      <c r="E3255" s="15" t="str">
        <f>IF(ISBLANK(Raw_Data!E3255),AVERAGE(Raw_Data!E$2:E$5002),Raw_Data!E3255)</f>
        <v>29832.95</v>
      </c>
      <c r="F3255" s="15" t="str">
        <f>IF(ISBLANK(Raw_Data!F3255),AVERAGE(Raw_Data!F$2:F$5002),Raw_Data!F3255)</f>
        <v>26536.71</v>
      </c>
      <c r="G3255" s="14" t="str">
        <f>IF(ISBLANK(Raw_Data!G3255),AVERAGE(Raw_Data!G$2:G$5002),Raw_Data!G3255)</f>
        <v>18573.57</v>
      </c>
      <c r="H3255" s="15" t="str">
        <f t="shared" si="1"/>
        <v>141823.00</v>
      </c>
      <c r="I3255" s="14" t="str">
        <f t="shared" si="2"/>
        <v>123249.00</v>
      </c>
      <c r="J3255" s="16" t="str">
        <f>TEXT(Raw_Data!J3255,"MMM-YYY")</f>
        <v>Aug-2025</v>
      </c>
      <c r="K3255" s="13" t="str">
        <f>Raw_Data!K3255</f>
        <v>21</v>
      </c>
      <c r="L3255" s="17" t="str">
        <f>Raw_Data!L3255</f>
        <v>Kolkata-East</v>
      </c>
      <c r="M3255" s="13" t="str">
        <f t="shared" si="3"/>
        <v>OK</v>
      </c>
      <c r="N3255" s="18" t="str">
        <f t="shared" si="4"/>
        <v>VALID</v>
      </c>
    </row>
    <row r="3256" ht="15.75" customHeight="1">
      <c r="A3256" s="13" t="str">
        <f>Raw_Data!A3256</f>
        <v>EMP3434</v>
      </c>
      <c r="B3256" s="13" t="str">
        <f>TRIM(CLEAN(Raw_Data!B3256))</f>
        <v>Marketing</v>
      </c>
      <c r="C3256" s="18" t="s">
        <v>26</v>
      </c>
      <c r="D3256" s="14" t="str">
        <f>IF(ISBLANK(Raw_Data!D3256),AVERAGE(Raw_Data!D$2:D$5002),Raw_Data!D3256)</f>
        <v>85463.81</v>
      </c>
      <c r="E3256" s="15" t="str">
        <f>IF(ISBLANK(Raw_Data!E3256),AVERAGE(Raw_Data!E$2:E$5002),Raw_Data!E3256)</f>
        <v>29837.57</v>
      </c>
      <c r="F3256" s="15" t="str">
        <f>IF(ISBLANK(Raw_Data!F3256),AVERAGE(Raw_Data!F$2:F$5002),Raw_Data!F3256)</f>
        <v>26544.39</v>
      </c>
      <c r="G3256" s="14" t="str">
        <f>IF(ISBLANK(Raw_Data!G3256),AVERAGE(Raw_Data!G$2:G$5002),Raw_Data!G3256)</f>
        <v>18576.97</v>
      </c>
      <c r="H3256" s="15" t="str">
        <f t="shared" si="1"/>
        <v>141846.00</v>
      </c>
      <c r="I3256" s="14" t="str">
        <f t="shared" si="2"/>
        <v>123269.00</v>
      </c>
      <c r="J3256" s="16" t="str">
        <f>TEXT(Raw_Data!J3256,"MMM-YYY")</f>
        <v>Feb-2025</v>
      </c>
      <c r="K3256" s="13" t="str">
        <f>Raw_Data!K3256</f>
        <v>7</v>
      </c>
      <c r="L3256" s="17" t="str">
        <f>Raw_Data!L3256</f>
        <v>Delhi-North</v>
      </c>
      <c r="M3256" s="13" t="str">
        <f t="shared" si="3"/>
        <v>OK</v>
      </c>
      <c r="N3256" s="18" t="str">
        <f t="shared" si="4"/>
        <v>VALID</v>
      </c>
    </row>
    <row r="3257" ht="15.75" customHeight="1">
      <c r="A3257" s="13" t="str">
        <f>Raw_Data!A3257</f>
        <v>EMP3435</v>
      </c>
      <c r="B3257" s="13" t="str">
        <f>TRIM(CLEAN(Raw_Data!B3257))</f>
        <v>Finance</v>
      </c>
      <c r="C3257" s="18" t="s">
        <v>14</v>
      </c>
      <c r="D3257" s="14" t="str">
        <f>IF(ISBLANK(Raw_Data!D3257),AVERAGE(Raw_Data!D$2:D$5002),Raw_Data!D3257)</f>
        <v>85474.70</v>
      </c>
      <c r="E3257" s="15" t="str">
        <f>IF(ISBLANK(Raw_Data!E3257),AVERAGE(Raw_Data!E$2:E$5002),Raw_Data!E3257)</f>
        <v>29842.18</v>
      </c>
      <c r="F3257" s="15" t="str">
        <f>IF(ISBLANK(Raw_Data!F3257),AVERAGE(Raw_Data!F$2:F$5002),Raw_Data!F3257)</f>
        <v>26552.07</v>
      </c>
      <c r="G3257" s="14" t="str">
        <f>IF(ISBLANK(Raw_Data!G3257),AVERAGE(Raw_Data!G$2:G$5002),Raw_Data!G3257)</f>
        <v>18580.37</v>
      </c>
      <c r="H3257" s="15" t="str">
        <f t="shared" si="1"/>
        <v>141869.00</v>
      </c>
      <c r="I3257" s="14" t="str">
        <f t="shared" si="2"/>
        <v>123289.00</v>
      </c>
      <c r="J3257" s="16" t="str">
        <f>TEXT(Raw_Data!J3257,"MMM-YYY")</f>
        <v>Aug-2025</v>
      </c>
      <c r="K3257" s="13" t="str">
        <f>Raw_Data!K3257</f>
        <v>23</v>
      </c>
      <c r="L3257" s="17" t="str">
        <f>Raw_Data!L3257</f>
        <v>Mumbai-HO</v>
      </c>
      <c r="M3257" s="13" t="str">
        <f t="shared" si="3"/>
        <v>OK</v>
      </c>
      <c r="N3257" s="18" t="str">
        <f t="shared" si="4"/>
        <v>VALID</v>
      </c>
    </row>
    <row r="3258" ht="15.75" customHeight="1">
      <c r="A3258" s="13" t="str">
        <f>Raw_Data!A3258</f>
        <v>EMP3436</v>
      </c>
      <c r="B3258" s="13" t="str">
        <f>TRIM(CLEAN(Raw_Data!B3258))</f>
        <v>Customer Support</v>
      </c>
      <c r="C3258" s="18" t="s">
        <v>54</v>
      </c>
      <c r="D3258" s="14" t="str">
        <f>IF(ISBLANK(Raw_Data!D3258),AVERAGE(Raw_Data!D$2:D$5002),Raw_Data!D3258)</f>
        <v>85485.58</v>
      </c>
      <c r="E3258" s="15" t="str">
        <f>IF(ISBLANK(Raw_Data!E3258),AVERAGE(Raw_Data!E$2:E$5002),Raw_Data!E3258)</f>
        <v>29846.80</v>
      </c>
      <c r="F3258" s="15" t="str">
        <f>IF(ISBLANK(Raw_Data!F3258),AVERAGE(Raw_Data!F$2:F$5002),Raw_Data!F3258)</f>
        <v>26559.75</v>
      </c>
      <c r="G3258" s="14" t="str">
        <f>IF(ISBLANK(Raw_Data!G3258),AVERAGE(Raw_Data!G$2:G$5002),Raw_Data!G3258)</f>
        <v>18583.76</v>
      </c>
      <c r="H3258" s="15" t="str">
        <f t="shared" si="1"/>
        <v>141892.00</v>
      </c>
      <c r="I3258" s="14" t="str">
        <f t="shared" si="2"/>
        <v>123308.00</v>
      </c>
      <c r="J3258" s="16" t="str">
        <f>TEXT(Raw_Data!J3258,"MMM-YYY")</f>
        <v>Feb-2025</v>
      </c>
      <c r="K3258" s="13" t="str">
        <f>Raw_Data!K3258</f>
        <v>11</v>
      </c>
      <c r="L3258" s="17" t="str">
        <f>Raw_Data!L3258</f>
        <v>Mumbai-HO</v>
      </c>
      <c r="M3258" s="13" t="str">
        <f t="shared" si="3"/>
        <v>OK</v>
      </c>
      <c r="N3258" s="18" t="str">
        <f t="shared" si="4"/>
        <v>VALID</v>
      </c>
    </row>
    <row r="3259" ht="15.75" customHeight="1">
      <c r="A3259" s="13" t="str">
        <f>Raw_Data!A3259</f>
        <v>EMP3437</v>
      </c>
      <c r="B3259" s="13" t="str">
        <f>TRIM(CLEAN(Raw_Data!B3259))</f>
        <v>Customer Support</v>
      </c>
      <c r="C3259" s="18" t="s">
        <v>37</v>
      </c>
      <c r="D3259" s="14" t="str">
        <f>IF(ISBLANK(Raw_Data!D3259),AVERAGE(Raw_Data!D$2:D$5002),Raw_Data!D3259)</f>
        <v>85496.46</v>
      </c>
      <c r="E3259" s="15" t="str">
        <f>IF(ISBLANK(Raw_Data!E3259),AVERAGE(Raw_Data!E$2:E$5002),Raw_Data!E3259)</f>
        <v>29851.41</v>
      </c>
      <c r="F3259" s="15" t="str">
        <f>IF(ISBLANK(Raw_Data!F3259),AVERAGE(Raw_Data!F$2:F$5002),Raw_Data!F3259)</f>
        <v>26567.43</v>
      </c>
      <c r="G3259" s="14" t="str">
        <f>IF(ISBLANK(Raw_Data!G3259),AVERAGE(Raw_Data!G$2:G$5002),Raw_Data!G3259)</f>
        <v>18587.16</v>
      </c>
      <c r="H3259" s="15" t="str">
        <f t="shared" si="1"/>
        <v>141915.00</v>
      </c>
      <c r="I3259" s="14" t="str">
        <f t="shared" si="2"/>
        <v>123328.00</v>
      </c>
      <c r="J3259" s="16" t="str">
        <f>TEXT(Raw_Data!J3259,"MMM-YYY")</f>
        <v>Aug-2025</v>
      </c>
      <c r="K3259" s="13" t="str">
        <f>Raw_Data!K3259</f>
        <v>22</v>
      </c>
      <c r="L3259" s="17" t="str">
        <f>Raw_Data!L3259</f>
        <v>Mumbai-HO</v>
      </c>
      <c r="M3259" s="13" t="str">
        <f t="shared" si="3"/>
        <v>OK</v>
      </c>
      <c r="N3259" s="18" t="str">
        <f t="shared" si="4"/>
        <v>VALID</v>
      </c>
    </row>
    <row r="3260" ht="15.75" customHeight="1">
      <c r="A3260" s="13" t="str">
        <f>Raw_Data!A3260</f>
        <v>EMP3438</v>
      </c>
      <c r="B3260" s="13" t="str">
        <f>TRIM(CLEAN(Raw_Data!B3260))</f>
        <v>Operations</v>
      </c>
      <c r="C3260" s="18" t="s">
        <v>54</v>
      </c>
      <c r="D3260" s="14" t="str">
        <f>IF(ISBLANK(Raw_Data!D3260),AVERAGE(Raw_Data!D$2:D$5002),Raw_Data!D3260)</f>
        <v>85507.34</v>
      </c>
      <c r="E3260" s="15" t="str">
        <f>IF(ISBLANK(Raw_Data!E3260),AVERAGE(Raw_Data!E$2:E$5002),Raw_Data!E3260)</f>
        <v>29856.03</v>
      </c>
      <c r="F3260" s="15" t="str">
        <f>IF(ISBLANK(Raw_Data!F3260),AVERAGE(Raw_Data!F$2:F$5002),Raw_Data!F3260)</f>
        <v>26575.11</v>
      </c>
      <c r="G3260" s="14" t="str">
        <f>IF(ISBLANK(Raw_Data!G3260),AVERAGE(Raw_Data!G$2:G$5002),Raw_Data!G3260)</f>
        <v>18590.56</v>
      </c>
      <c r="H3260" s="15" t="str">
        <f t="shared" si="1"/>
        <v>141938.00</v>
      </c>
      <c r="I3260" s="14" t="str">
        <f t="shared" si="2"/>
        <v>123347.00</v>
      </c>
      <c r="J3260" s="16" t="str">
        <f>TEXT(Raw_Data!J3260,"MMM-YYY")</f>
        <v>Apr-2025</v>
      </c>
      <c r="K3260" s="13" t="str">
        <f>Raw_Data!K3260</f>
        <v>2</v>
      </c>
      <c r="L3260" s="17" t="str">
        <f>Raw_Data!L3260</f>
        <v>Ahmedabad-West</v>
      </c>
      <c r="M3260" s="13" t="str">
        <f t="shared" si="3"/>
        <v>OK</v>
      </c>
      <c r="N3260" s="18" t="str">
        <f t="shared" si="4"/>
        <v>VALID</v>
      </c>
    </row>
    <row r="3261" ht="15.75" customHeight="1">
      <c r="A3261" s="13" t="str">
        <f>Raw_Data!A3261</f>
        <v>EMP3439</v>
      </c>
      <c r="B3261" s="13" t="str">
        <f>TRIM(CLEAN(Raw_Data!B3261))</f>
        <v>Sales</v>
      </c>
      <c r="C3261" s="18" t="s">
        <v>54</v>
      </c>
      <c r="D3261" s="14" t="str">
        <f>IF(ISBLANK(Raw_Data!D3261),AVERAGE(Raw_Data!D$2:D$5002),Raw_Data!D3261)</f>
        <v>85518.23</v>
      </c>
      <c r="E3261" s="15" t="str">
        <f>IF(ISBLANK(Raw_Data!E3261),AVERAGE(Raw_Data!E$2:E$5002),Raw_Data!E3261)</f>
        <v>29860.64</v>
      </c>
      <c r="F3261" s="15" t="str">
        <f>IF(ISBLANK(Raw_Data!F3261),AVERAGE(Raw_Data!F$2:F$5002),Raw_Data!F3261)</f>
        <v>26582.79</v>
      </c>
      <c r="G3261" s="14" t="str">
        <f>IF(ISBLANK(Raw_Data!G3261),AVERAGE(Raw_Data!G$2:G$5002),Raw_Data!G3261)</f>
        <v>18593.96</v>
      </c>
      <c r="H3261" s="15" t="str">
        <f t="shared" si="1"/>
        <v>141962.00</v>
      </c>
      <c r="I3261" s="14" t="str">
        <f t="shared" si="2"/>
        <v>123368.00</v>
      </c>
      <c r="J3261" s="16" t="str">
        <f>TEXT(Raw_Data!J3261,"MMM-YYY")</f>
        <v>Feb-2025</v>
      </c>
      <c r="K3261" s="13" t="str">
        <f>Raw_Data!K3261</f>
        <v>4</v>
      </c>
      <c r="L3261" s="17" t="str">
        <f>Raw_Data!L3261</f>
        <v>Pune-West</v>
      </c>
      <c r="M3261" s="13" t="str">
        <f t="shared" si="3"/>
        <v>OK</v>
      </c>
      <c r="N3261" s="18" t="str">
        <f t="shared" si="4"/>
        <v>VALID</v>
      </c>
    </row>
    <row r="3262" ht="15.75" customHeight="1">
      <c r="A3262" s="13" t="str">
        <f>Raw_Data!A3262</f>
        <v>EMP3440</v>
      </c>
      <c r="B3262" s="13" t="str">
        <f>TRIM(CLEAN(Raw_Data!B3262))</f>
        <v>Sales</v>
      </c>
      <c r="C3262" s="18" t="s">
        <v>37</v>
      </c>
      <c r="D3262" s="14" t="str">
        <f>IF(ISBLANK(Raw_Data!D3262),AVERAGE(Raw_Data!D$2:D$5002),Raw_Data!D3262)</f>
        <v>85529.11</v>
      </c>
      <c r="E3262" s="15" t="str">
        <f>IF(ISBLANK(Raw_Data!E3262),AVERAGE(Raw_Data!E$2:E$5002),Raw_Data!E3262)</f>
        <v>29865.26</v>
      </c>
      <c r="F3262" s="15" t="str">
        <f>IF(ISBLANK(Raw_Data!F3262),AVERAGE(Raw_Data!F$2:F$5002),Raw_Data!F3262)</f>
        <v>26590.47</v>
      </c>
      <c r="G3262" s="14" t="str">
        <f>IF(ISBLANK(Raw_Data!G3262),AVERAGE(Raw_Data!G$2:G$5002),Raw_Data!G3262)</f>
        <v>18597.35</v>
      </c>
      <c r="H3262" s="15" t="str">
        <f t="shared" si="1"/>
        <v>141985.00</v>
      </c>
      <c r="I3262" s="14" t="str">
        <f t="shared" si="2"/>
        <v>123388.00</v>
      </c>
      <c r="J3262" s="16" t="str">
        <f>TEXT(Raw_Data!J3262,"MMM-YYY")</f>
        <v>Sep-2025</v>
      </c>
      <c r="K3262" s="13" t="str">
        <f>Raw_Data!K3262</f>
        <v>24</v>
      </c>
      <c r="L3262" s="17" t="str">
        <f>Raw_Data!L3262</f>
        <v>Bangalore-South</v>
      </c>
      <c r="M3262" s="13" t="str">
        <f t="shared" si="3"/>
        <v>OK</v>
      </c>
      <c r="N3262" s="18" t="str">
        <f t="shared" si="4"/>
        <v>VALID</v>
      </c>
    </row>
    <row r="3263" ht="15.75" customHeight="1">
      <c r="A3263" s="13" t="str">
        <f>Raw_Data!A3263</f>
        <v>EMP3441</v>
      </c>
      <c r="B3263" s="13" t="str">
        <f>TRIM(CLEAN(Raw_Data!B3263))</f>
        <v>Operations</v>
      </c>
      <c r="C3263" s="18" t="s">
        <v>30</v>
      </c>
      <c r="D3263" s="14" t="str">
        <f>IF(ISBLANK(Raw_Data!D3263),AVERAGE(Raw_Data!D$2:D$5002),Raw_Data!D3263)</f>
        <v>85539.99</v>
      </c>
      <c r="E3263" s="15" t="str">
        <f>IF(ISBLANK(Raw_Data!E3263),AVERAGE(Raw_Data!E$2:E$5002),Raw_Data!E3263)</f>
        <v>29869.87</v>
      </c>
      <c r="F3263" s="15" t="str">
        <f>IF(ISBLANK(Raw_Data!F3263),AVERAGE(Raw_Data!F$2:F$5002),Raw_Data!F3263)</f>
        <v>26598.15</v>
      </c>
      <c r="G3263" s="14" t="str">
        <f>IF(ISBLANK(Raw_Data!G3263),AVERAGE(Raw_Data!G$2:G$5002),Raw_Data!G3263)</f>
        <v>18600.75</v>
      </c>
      <c r="H3263" s="15" t="str">
        <f t="shared" si="1"/>
        <v>142008.00</v>
      </c>
      <c r="I3263" s="14" t="str">
        <f t="shared" si="2"/>
        <v>123407.00</v>
      </c>
      <c r="J3263" s="16" t="str">
        <f>TEXT(Raw_Data!J3263,"MMM-YYY")</f>
        <v>Oct-2025</v>
      </c>
      <c r="K3263" s="13" t="str">
        <f>Raw_Data!K3263</f>
        <v>6</v>
      </c>
      <c r="L3263" s="17" t="str">
        <f>Raw_Data!L3263</f>
        <v>Mumbai-HO</v>
      </c>
      <c r="M3263" s="13" t="str">
        <f t="shared" si="3"/>
        <v>OK</v>
      </c>
      <c r="N3263" s="18" t="str">
        <f t="shared" si="4"/>
        <v>VALID</v>
      </c>
    </row>
    <row r="3264" ht="15.75" customHeight="1">
      <c r="A3264" s="13" t="str">
        <f>Raw_Data!A3264</f>
        <v>EMP3442</v>
      </c>
      <c r="B3264" s="13" t="str">
        <f>TRIM(CLEAN(Raw_Data!B3264))</f>
        <v>IT</v>
      </c>
      <c r="C3264" s="18" t="s">
        <v>30</v>
      </c>
      <c r="D3264" s="14" t="str">
        <f>IF(ISBLANK(Raw_Data!D3264),AVERAGE(Raw_Data!D$2:D$5002),Raw_Data!D3264)</f>
        <v>85550.88</v>
      </c>
      <c r="E3264" s="15" t="str">
        <f>IF(ISBLANK(Raw_Data!E3264),AVERAGE(Raw_Data!E$2:E$5002),Raw_Data!E3264)</f>
        <v>29874.48</v>
      </c>
      <c r="F3264" s="15" t="str">
        <f>IF(ISBLANK(Raw_Data!F3264),AVERAGE(Raw_Data!F$2:F$5002),Raw_Data!F3264)</f>
        <v>26605.83</v>
      </c>
      <c r="G3264" s="14" t="str">
        <f>IF(ISBLANK(Raw_Data!G3264),AVERAGE(Raw_Data!G$2:G$5002),Raw_Data!G3264)</f>
        <v>18604.15</v>
      </c>
      <c r="H3264" s="15" t="str">
        <f t="shared" si="1"/>
        <v>142031.00</v>
      </c>
      <c r="I3264" s="14" t="str">
        <f t="shared" si="2"/>
        <v>123427.00</v>
      </c>
      <c r="J3264" s="16" t="str">
        <f>TEXT(Raw_Data!J3264,"MMM-YYY")</f>
        <v>Apr-2025</v>
      </c>
      <c r="K3264" s="13" t="str">
        <f>Raw_Data!K3264</f>
        <v>23</v>
      </c>
      <c r="L3264" s="17" t="str">
        <f>Raw_Data!L3264</f>
        <v>Chennai-South</v>
      </c>
      <c r="M3264" s="13" t="str">
        <f t="shared" si="3"/>
        <v>OK</v>
      </c>
      <c r="N3264" s="18" t="str">
        <f t="shared" si="4"/>
        <v>VALID</v>
      </c>
    </row>
    <row r="3265" ht="15.75" customHeight="1">
      <c r="A3265" s="13" t="str">
        <f>Raw_Data!A3265</f>
        <v>EMP3443</v>
      </c>
      <c r="B3265" s="13" t="str">
        <f>TRIM(CLEAN(Raw_Data!B3265))</f>
        <v>Marketing</v>
      </c>
      <c r="C3265" s="18" t="s">
        <v>30</v>
      </c>
      <c r="D3265" s="14" t="str">
        <f>IF(ISBLANK(Raw_Data!D3265),AVERAGE(Raw_Data!D$2:D$5002),Raw_Data!D3265)</f>
        <v>85561.76</v>
      </c>
      <c r="E3265" s="15" t="str">
        <f>IF(ISBLANK(Raw_Data!E3265),AVERAGE(Raw_Data!E$2:E$5002),Raw_Data!E3265)</f>
        <v>29879.10</v>
      </c>
      <c r="F3265" s="15" t="str">
        <f>IF(ISBLANK(Raw_Data!F3265),AVERAGE(Raw_Data!F$2:F$5002),Raw_Data!F3265)</f>
        <v>26613.51</v>
      </c>
      <c r="G3265" s="14" t="str">
        <f>IF(ISBLANK(Raw_Data!G3265),AVERAGE(Raw_Data!G$2:G$5002),Raw_Data!G3265)</f>
        <v>18607.55</v>
      </c>
      <c r="H3265" s="15" t="str">
        <f t="shared" si="1"/>
        <v>142054.00</v>
      </c>
      <c r="I3265" s="14" t="str">
        <f t="shared" si="2"/>
        <v>123446.00</v>
      </c>
      <c r="J3265" s="16" t="str">
        <f>TEXT(Raw_Data!J3265,"MMM-YYY")</f>
        <v>Oct-2025</v>
      </c>
      <c r="K3265" s="13" t="str">
        <f>Raw_Data!K3265</f>
        <v>20</v>
      </c>
      <c r="L3265" s="17" t="str">
        <f>Raw_Data!L3265</f>
        <v>Chandigarh-North</v>
      </c>
      <c r="M3265" s="13" t="str">
        <f t="shared" si="3"/>
        <v>OK</v>
      </c>
      <c r="N3265" s="18" t="str">
        <f t="shared" si="4"/>
        <v>VALID</v>
      </c>
    </row>
    <row r="3266" ht="15.75" customHeight="1">
      <c r="A3266" s="13" t="str">
        <f>Raw_Data!A3266</f>
        <v>EMP3444</v>
      </c>
      <c r="B3266" s="13" t="str">
        <f>TRIM(CLEAN(Raw_Data!B3266))</f>
        <v>HR</v>
      </c>
      <c r="C3266" s="18" t="s">
        <v>30</v>
      </c>
      <c r="D3266" s="14" t="str">
        <f>IF(ISBLANK(Raw_Data!D3266),AVERAGE(Raw_Data!D$2:D$5002),Raw_Data!D3266)</f>
        <v>85572.64</v>
      </c>
      <c r="E3266" s="15" t="str">
        <f>IF(ISBLANK(Raw_Data!E3266),AVERAGE(Raw_Data!E$2:E$5002),Raw_Data!E3266)</f>
        <v>29883.71</v>
      </c>
      <c r="F3266" s="15" t="str">
        <f>IF(ISBLANK(Raw_Data!F3266),AVERAGE(Raw_Data!F$2:F$5002),Raw_Data!F3266)</f>
        <v>26621.19</v>
      </c>
      <c r="G3266" s="14" t="str">
        <f>IF(ISBLANK(Raw_Data!G3266),AVERAGE(Raw_Data!G$2:G$5002),Raw_Data!G3266)</f>
        <v>18610.94</v>
      </c>
      <c r="H3266" s="15" t="str">
        <f t="shared" si="1"/>
        <v>142078.00</v>
      </c>
      <c r="I3266" s="14" t="str">
        <f t="shared" si="2"/>
        <v>123467.00</v>
      </c>
      <c r="J3266" s="16" t="str">
        <f>TEXT(Raw_Data!J3266,"MMM-YYY")</f>
        <v>Aug-2025</v>
      </c>
      <c r="K3266" s="13" t="str">
        <f>Raw_Data!K3266</f>
        <v>9</v>
      </c>
      <c r="L3266" s="17" t="str">
        <f>Raw_Data!L3266</f>
        <v>Ahmedabad-West</v>
      </c>
      <c r="M3266" s="13" t="str">
        <f t="shared" si="3"/>
        <v>OK</v>
      </c>
      <c r="N3266" s="18" t="str">
        <f t="shared" si="4"/>
        <v>VALID</v>
      </c>
    </row>
    <row r="3267" ht="15.75" customHeight="1">
      <c r="A3267" s="13" t="str">
        <f>Raw_Data!A3267</f>
        <v>EMP3445</v>
      </c>
      <c r="B3267" s="13" t="str">
        <f>TRIM(CLEAN(Raw_Data!B3267))</f>
        <v>Operations</v>
      </c>
      <c r="C3267" s="18" t="s">
        <v>30</v>
      </c>
      <c r="D3267" s="14" t="str">
        <f>IF(ISBLANK(Raw_Data!D3267),AVERAGE(Raw_Data!D$2:D$5002),Raw_Data!D3267)</f>
        <v>85583.53</v>
      </c>
      <c r="E3267" s="15" t="str">
        <f>IF(ISBLANK(Raw_Data!E3267),AVERAGE(Raw_Data!E$2:E$5002),Raw_Data!E3267)</f>
        <v>29888.33</v>
      </c>
      <c r="F3267" s="15" t="str">
        <f>IF(ISBLANK(Raw_Data!F3267),AVERAGE(Raw_Data!F$2:F$5002),Raw_Data!F3267)</f>
        <v>26628.87</v>
      </c>
      <c r="G3267" s="14" t="str">
        <f>IF(ISBLANK(Raw_Data!G3267),AVERAGE(Raw_Data!G$2:G$5002),Raw_Data!G3267)</f>
        <v>18614.34</v>
      </c>
      <c r="H3267" s="15" t="str">
        <f t="shared" si="1"/>
        <v>142101.00</v>
      </c>
      <c r="I3267" s="14" t="str">
        <f t="shared" si="2"/>
        <v>123487.00</v>
      </c>
      <c r="J3267" s="16" t="str">
        <f>TEXT(Raw_Data!J3267,"MMM-YYY")</f>
        <v>May-2025</v>
      </c>
      <c r="K3267" s="13" t="str">
        <f>Raw_Data!K3267</f>
        <v>15</v>
      </c>
      <c r="L3267" s="17" t="str">
        <f>Raw_Data!L3267</f>
        <v>Chandigarh-North</v>
      </c>
      <c r="M3267" s="13" t="str">
        <f t="shared" si="3"/>
        <v>OK</v>
      </c>
      <c r="N3267" s="18" t="str">
        <f t="shared" si="4"/>
        <v>VALID</v>
      </c>
    </row>
    <row r="3268" ht="15.75" customHeight="1">
      <c r="A3268" s="13" t="str">
        <f>Raw_Data!A3268</f>
        <v>EMP3446</v>
      </c>
      <c r="B3268" s="13" t="str">
        <f>TRIM(CLEAN(Raw_Data!B3268))</f>
        <v>Finance</v>
      </c>
      <c r="C3268" s="18" t="s">
        <v>30</v>
      </c>
      <c r="D3268" s="14" t="str">
        <f>IF(ISBLANK(Raw_Data!D3268),AVERAGE(Raw_Data!D$2:D$5002),Raw_Data!D3268)</f>
        <v>85594.41</v>
      </c>
      <c r="E3268" s="15" t="str">
        <f>IF(ISBLANK(Raw_Data!E3268),AVERAGE(Raw_Data!E$2:E$5002),Raw_Data!E3268)</f>
        <v>29892.94</v>
      </c>
      <c r="F3268" s="15" t="str">
        <f>IF(ISBLANK(Raw_Data!F3268),AVERAGE(Raw_Data!F$2:F$5002),Raw_Data!F3268)</f>
        <v>26636.55</v>
      </c>
      <c r="G3268" s="14" t="str">
        <f>IF(ISBLANK(Raw_Data!G3268),AVERAGE(Raw_Data!G$2:G$5002),Raw_Data!G3268)</f>
        <v>18617.74</v>
      </c>
      <c r="H3268" s="15" t="str">
        <f t="shared" si="1"/>
        <v>142124.00</v>
      </c>
      <c r="I3268" s="14" t="str">
        <f t="shared" si="2"/>
        <v>123506.00</v>
      </c>
      <c r="J3268" s="16" t="str">
        <f>TEXT(Raw_Data!J3268,"MMM-YYY")</f>
        <v>Oct-2025</v>
      </c>
      <c r="K3268" s="13" t="str">
        <f>Raw_Data!K3268</f>
        <v>18</v>
      </c>
      <c r="L3268" s="17" t="str">
        <f>Raw_Data!L3268</f>
        <v>Pune-West</v>
      </c>
      <c r="M3268" s="13" t="str">
        <f t="shared" si="3"/>
        <v>OK</v>
      </c>
      <c r="N3268" s="18" t="str">
        <f t="shared" si="4"/>
        <v>VALID</v>
      </c>
    </row>
    <row r="3269" ht="15.75" customHeight="1">
      <c r="A3269" s="13" t="str">
        <f>Raw_Data!A3269</f>
        <v>EMP3447</v>
      </c>
      <c r="B3269" s="13" t="str">
        <f>TRIM(CLEAN(Raw_Data!B3269))</f>
        <v>Finance</v>
      </c>
      <c r="C3269" s="18" t="s">
        <v>37</v>
      </c>
      <c r="D3269" s="14" t="str">
        <f>IF(ISBLANK(Raw_Data!D3269),AVERAGE(Raw_Data!D$2:D$5002),Raw_Data!D3269)</f>
        <v>85605.29</v>
      </c>
      <c r="E3269" s="15" t="str">
        <f>IF(ISBLANK(Raw_Data!E3269),AVERAGE(Raw_Data!E$2:E$5002),Raw_Data!E3269)</f>
        <v>29897.56</v>
      </c>
      <c r="F3269" s="15" t="str">
        <f>IF(ISBLANK(Raw_Data!F3269),AVERAGE(Raw_Data!F$2:F$5002),Raw_Data!F3269)</f>
        <v>26644.23</v>
      </c>
      <c r="G3269" s="14" t="str">
        <f>IF(ISBLANK(Raw_Data!G3269),AVERAGE(Raw_Data!G$2:G$5002),Raw_Data!G3269)</f>
        <v>18621.14</v>
      </c>
      <c r="H3269" s="15" t="str">
        <f t="shared" si="1"/>
        <v>142147.00</v>
      </c>
      <c r="I3269" s="14" t="str">
        <f t="shared" si="2"/>
        <v>123526.00</v>
      </c>
      <c r="J3269" s="16" t="str">
        <f>TEXT(Raw_Data!J3269,"MMM-YYY")</f>
        <v>Jan-2025</v>
      </c>
      <c r="K3269" s="13" t="str">
        <f>Raw_Data!K3269</f>
        <v>15</v>
      </c>
      <c r="L3269" s="17" t="str">
        <f>Raw_Data!L3269</f>
        <v>Mumbai-HO</v>
      </c>
      <c r="M3269" s="13" t="str">
        <f t="shared" si="3"/>
        <v>OK</v>
      </c>
      <c r="N3269" s="18" t="str">
        <f t="shared" si="4"/>
        <v>VALID</v>
      </c>
    </row>
    <row r="3270" ht="15.75" customHeight="1">
      <c r="A3270" s="13" t="str">
        <f>Raw_Data!A3270</f>
        <v>EMP3448</v>
      </c>
      <c r="B3270" s="13" t="str">
        <f>TRIM(CLEAN(Raw_Data!B3270))</f>
        <v>HR</v>
      </c>
      <c r="C3270" s="18" t="s">
        <v>54</v>
      </c>
      <c r="D3270" s="14" t="str">
        <f>IF(ISBLANK(Raw_Data!D3270),AVERAGE(Raw_Data!D$2:D$5002),Raw_Data!D3270)</f>
        <v>85616.17</v>
      </c>
      <c r="E3270" s="15" t="str">
        <f>IF(ISBLANK(Raw_Data!E3270),AVERAGE(Raw_Data!E$2:E$5002),Raw_Data!E3270)</f>
        <v>29902.17</v>
      </c>
      <c r="F3270" s="15" t="str">
        <f>IF(ISBLANK(Raw_Data!F3270),AVERAGE(Raw_Data!F$2:F$5002),Raw_Data!F3270)</f>
        <v>26651.91</v>
      </c>
      <c r="G3270" s="14" t="str">
        <f>IF(ISBLANK(Raw_Data!G3270),AVERAGE(Raw_Data!G$2:G$5002),Raw_Data!G3270)</f>
        <v>18624.53</v>
      </c>
      <c r="H3270" s="15" t="str">
        <f t="shared" si="1"/>
        <v>142170.00</v>
      </c>
      <c r="I3270" s="14" t="str">
        <f t="shared" si="2"/>
        <v>123545.00</v>
      </c>
      <c r="J3270" s="16" t="str">
        <f>TEXT(Raw_Data!J3270,"MMM-YYY")</f>
        <v>Oct-2025</v>
      </c>
      <c r="K3270" s="13" t="str">
        <f>Raw_Data!K3270</f>
        <v>15</v>
      </c>
      <c r="L3270" s="17" t="str">
        <f>Raw_Data!L3270</f>
        <v>Chennai-South</v>
      </c>
      <c r="M3270" s="13" t="str">
        <f t="shared" si="3"/>
        <v>OK</v>
      </c>
      <c r="N3270" s="18" t="str">
        <f t="shared" si="4"/>
        <v>VALID</v>
      </c>
    </row>
    <row r="3271" ht="15.75" customHeight="1">
      <c r="A3271" s="13" t="str">
        <f>Raw_Data!A3271</f>
        <v>EMP3449</v>
      </c>
      <c r="B3271" s="13" t="str">
        <f>TRIM(CLEAN(Raw_Data!B3271))</f>
        <v>Sales</v>
      </c>
      <c r="C3271" s="18" t="s">
        <v>14</v>
      </c>
      <c r="D3271" s="14" t="str">
        <f>IF(ISBLANK(Raw_Data!D3271),AVERAGE(Raw_Data!D$2:D$5002),Raw_Data!D3271)</f>
        <v>85627.06</v>
      </c>
      <c r="E3271" s="15" t="str">
        <f>IF(ISBLANK(Raw_Data!E3271),AVERAGE(Raw_Data!E$2:E$5002),Raw_Data!E3271)</f>
        <v>29906.79</v>
      </c>
      <c r="F3271" s="15" t="str">
        <f>IF(ISBLANK(Raw_Data!F3271),AVERAGE(Raw_Data!F$2:F$5002),Raw_Data!F3271)</f>
        <v>26659.59</v>
      </c>
      <c r="G3271" s="14" t="str">
        <f>IF(ISBLANK(Raw_Data!G3271),AVERAGE(Raw_Data!G$2:G$5002),Raw_Data!G3271)</f>
        <v>18627.93</v>
      </c>
      <c r="H3271" s="15" t="str">
        <f t="shared" si="1"/>
        <v>142193.00</v>
      </c>
      <c r="I3271" s="14" t="str">
        <f t="shared" si="2"/>
        <v>123565.00</v>
      </c>
      <c r="J3271" s="16" t="str">
        <f>TEXT(Raw_Data!J3271,"MMM-YYY")</f>
        <v>Jul-2025</v>
      </c>
      <c r="K3271" s="13" t="str">
        <f>Raw_Data!K3271</f>
        <v>7</v>
      </c>
      <c r="L3271" s="17" t="str">
        <f>Raw_Data!L3271</f>
        <v>Bangalore-South</v>
      </c>
      <c r="M3271" s="13" t="str">
        <f t="shared" si="3"/>
        <v>OK</v>
      </c>
      <c r="N3271" s="18" t="str">
        <f t="shared" si="4"/>
        <v>VALID</v>
      </c>
    </row>
    <row r="3272" ht="15.75" customHeight="1">
      <c r="A3272" s="13" t="str">
        <f>Raw_Data!A3272</f>
        <v>EMP3450</v>
      </c>
      <c r="B3272" s="13" t="str">
        <f>TRIM(CLEAN(Raw_Data!B3272))</f>
        <v>Operations</v>
      </c>
      <c r="C3272" s="18" t="s">
        <v>30</v>
      </c>
      <c r="D3272" s="14" t="str">
        <f>IF(ISBLANK(Raw_Data!D3272),AVERAGE(Raw_Data!D$2:D$5002),Raw_Data!D3272)</f>
        <v>85637.94</v>
      </c>
      <c r="E3272" s="15" t="str">
        <f>IF(ISBLANK(Raw_Data!E3272),AVERAGE(Raw_Data!E$2:E$5002),Raw_Data!E3272)</f>
        <v>29911.40</v>
      </c>
      <c r="F3272" s="15" t="str">
        <f>IF(ISBLANK(Raw_Data!F3272),AVERAGE(Raw_Data!F$2:F$5002),Raw_Data!F3272)</f>
        <v>26667.27</v>
      </c>
      <c r="G3272" s="14" t="str">
        <f>IF(ISBLANK(Raw_Data!G3272),AVERAGE(Raw_Data!G$2:G$5002),Raw_Data!G3272)</f>
        <v>18631.33</v>
      </c>
      <c r="H3272" s="15" t="str">
        <f t="shared" si="1"/>
        <v>142217.00</v>
      </c>
      <c r="I3272" s="14" t="str">
        <f t="shared" si="2"/>
        <v>123586.00</v>
      </c>
      <c r="J3272" s="16" t="str">
        <f>TEXT(Raw_Data!J3272,"MMM-YYY")</f>
        <v>Feb-2025</v>
      </c>
      <c r="K3272" s="13" t="str">
        <f>Raw_Data!K3272</f>
        <v>3</v>
      </c>
      <c r="L3272" s="17" t="str">
        <f>Raw_Data!L3272</f>
        <v>Hyderabad-South</v>
      </c>
      <c r="M3272" s="13" t="str">
        <f t="shared" si="3"/>
        <v>OK</v>
      </c>
      <c r="N3272" s="18" t="str">
        <f t="shared" si="4"/>
        <v>VALID</v>
      </c>
    </row>
    <row r="3273" ht="15.75" customHeight="1">
      <c r="A3273" s="13" t="str">
        <f>Raw_Data!A3273</f>
        <v>EMP3451</v>
      </c>
      <c r="B3273" s="13" t="str">
        <f>TRIM(CLEAN(Raw_Data!B3273))</f>
        <v>IT</v>
      </c>
      <c r="C3273" s="18" t="s">
        <v>18</v>
      </c>
      <c r="D3273" s="14" t="str">
        <f>IF(ISBLANK(Raw_Data!D3273),AVERAGE(Raw_Data!D$2:D$5002),Raw_Data!D3273)</f>
        <v>85648.82</v>
      </c>
      <c r="E3273" s="15" t="str">
        <f>IF(ISBLANK(Raw_Data!E3273),AVERAGE(Raw_Data!E$2:E$5002),Raw_Data!E3273)</f>
        <v>29916.02</v>
      </c>
      <c r="F3273" s="15" t="str">
        <f>IF(ISBLANK(Raw_Data!F3273),AVERAGE(Raw_Data!F$2:F$5002),Raw_Data!F3273)</f>
        <v>26674.95</v>
      </c>
      <c r="G3273" s="14" t="str">
        <f>IF(ISBLANK(Raw_Data!G3273),AVERAGE(Raw_Data!G$2:G$5002),Raw_Data!G3273)</f>
        <v>18634.73</v>
      </c>
      <c r="H3273" s="15" t="str">
        <f t="shared" si="1"/>
        <v>142240.00</v>
      </c>
      <c r="I3273" s="14" t="str">
        <f t="shared" si="2"/>
        <v>123605.00</v>
      </c>
      <c r="J3273" s="16" t="str">
        <f>TEXT(Raw_Data!J3273,"MMM-YYY")</f>
        <v>Dec-2025</v>
      </c>
      <c r="K3273" s="13" t="str">
        <f>Raw_Data!K3273</f>
        <v>14</v>
      </c>
      <c r="L3273" s="17" t="str">
        <f>Raw_Data!L3273</f>
        <v>Bangalore-South</v>
      </c>
      <c r="M3273" s="13" t="str">
        <f t="shared" si="3"/>
        <v>OK</v>
      </c>
      <c r="N3273" s="18" t="str">
        <f t="shared" si="4"/>
        <v>VALID</v>
      </c>
    </row>
    <row r="3274" ht="15.75" customHeight="1">
      <c r="A3274" s="13" t="str">
        <f>Raw_Data!A3274</f>
        <v>EMP3452</v>
      </c>
      <c r="B3274" s="13" t="str">
        <f>TRIM(CLEAN(Raw_Data!B3274))</f>
        <v>Marketing</v>
      </c>
      <c r="C3274" s="18" t="s">
        <v>37</v>
      </c>
      <c r="D3274" s="14" t="str">
        <f>IF(ISBLANK(Raw_Data!D3274),AVERAGE(Raw_Data!D$2:D$5002),Raw_Data!D3274)</f>
        <v>85659.71</v>
      </c>
      <c r="E3274" s="15" t="str">
        <f>IF(ISBLANK(Raw_Data!E3274),AVERAGE(Raw_Data!E$2:E$5002),Raw_Data!E3274)</f>
        <v>29920.63</v>
      </c>
      <c r="F3274" s="15" t="str">
        <f>IF(ISBLANK(Raw_Data!F3274),AVERAGE(Raw_Data!F$2:F$5002),Raw_Data!F3274)</f>
        <v>26682.63</v>
      </c>
      <c r="G3274" s="14" t="str">
        <f>IF(ISBLANK(Raw_Data!G3274),AVERAGE(Raw_Data!G$2:G$5002),Raw_Data!G3274)</f>
        <v>14562.73</v>
      </c>
      <c r="H3274" s="15" t="str">
        <f t="shared" si="1"/>
        <v>142263.00</v>
      </c>
      <c r="I3274" s="14" t="str">
        <f t="shared" si="2"/>
        <v>127700.00</v>
      </c>
      <c r="J3274" s="16" t="str">
        <f>TEXT(Raw_Data!J3274,"MMM-YYY")</f>
        <v>Aug-2025</v>
      </c>
      <c r="K3274" s="13" t="str">
        <f>Raw_Data!K3274</f>
        <v>2</v>
      </c>
      <c r="L3274" s="17" t="str">
        <f>Raw_Data!L3274</f>
        <v>Jaipur-North</v>
      </c>
      <c r="M3274" s="13" t="str">
        <f t="shared" si="3"/>
        <v>OK</v>
      </c>
      <c r="N3274" s="18" t="str">
        <f t="shared" si="4"/>
        <v>VALID</v>
      </c>
    </row>
    <row r="3275" ht="15.75" customHeight="1">
      <c r="A3275" s="13" t="str">
        <f>Raw_Data!A3275</f>
        <v>EMP3453</v>
      </c>
      <c r="B3275" s="13" t="str">
        <f>TRIM(CLEAN(Raw_Data!B3275))</f>
        <v>Customer Support</v>
      </c>
      <c r="C3275" s="18" t="s">
        <v>18</v>
      </c>
      <c r="D3275" s="14" t="str">
        <f>IF(ISBLANK(Raw_Data!D3275),AVERAGE(Raw_Data!D$2:D$5002),Raw_Data!D3275)</f>
        <v>85670.59</v>
      </c>
      <c r="E3275" s="15" t="str">
        <f>IF(ISBLANK(Raw_Data!E3275),AVERAGE(Raw_Data!E$2:E$5002),Raw_Data!E3275)</f>
        <v>29925.25</v>
      </c>
      <c r="F3275" s="15" t="str">
        <f>IF(ISBLANK(Raw_Data!F3275),AVERAGE(Raw_Data!F$2:F$5002),Raw_Data!F3275)</f>
        <v>26690.31</v>
      </c>
      <c r="G3275" s="14" t="str">
        <f>IF(ISBLANK(Raw_Data!G3275),AVERAGE(Raw_Data!G$2:G$5002),Raw_Data!G3275)</f>
        <v>18641.52</v>
      </c>
      <c r="H3275" s="15" t="str">
        <f t="shared" si="1"/>
        <v>142286.00</v>
      </c>
      <c r="I3275" s="14" t="str">
        <f t="shared" si="2"/>
        <v>123644.00</v>
      </c>
      <c r="J3275" s="16" t="str">
        <f>TEXT(Raw_Data!J3275,"MMM-YYY")</f>
        <v>Nov-2025</v>
      </c>
      <c r="K3275" s="13" t="str">
        <f>Raw_Data!K3275</f>
        <v>15</v>
      </c>
      <c r="L3275" s="17" t="str">
        <f>Raw_Data!L3275</f>
        <v>Chennai-South</v>
      </c>
      <c r="M3275" s="13" t="str">
        <f t="shared" si="3"/>
        <v>OK</v>
      </c>
      <c r="N3275" s="18" t="str">
        <f t="shared" si="4"/>
        <v>VALID</v>
      </c>
    </row>
    <row r="3276" ht="15.75" customHeight="1">
      <c r="A3276" s="13" t="str">
        <f>Raw_Data!A3276</f>
        <v>EMP3454</v>
      </c>
      <c r="B3276" s="13" t="str">
        <f>TRIM(CLEAN(Raw_Data!B3276))</f>
        <v>Sales</v>
      </c>
      <c r="C3276" s="18" t="s">
        <v>33</v>
      </c>
      <c r="D3276" s="14" t="str">
        <f>IF(ISBLANK(Raw_Data!D3276),AVERAGE(Raw_Data!D$2:D$5002),Raw_Data!D3276)</f>
        <v>85681.47</v>
      </c>
      <c r="E3276" s="15" t="str">
        <f>IF(ISBLANK(Raw_Data!E3276),AVERAGE(Raw_Data!E$2:E$5002),Raw_Data!E3276)</f>
        <v>29929.86</v>
      </c>
      <c r="F3276" s="15" t="str">
        <f>IF(ISBLANK(Raw_Data!F3276),AVERAGE(Raw_Data!F$2:F$5002),Raw_Data!F3276)</f>
        <v>26697.99</v>
      </c>
      <c r="G3276" s="14" t="str">
        <f>IF(ISBLANK(Raw_Data!G3276),AVERAGE(Raw_Data!G$2:G$5002),Raw_Data!G3276)</f>
        <v>18644.92</v>
      </c>
      <c r="H3276" s="15" t="str">
        <f t="shared" si="1"/>
        <v>142309.00</v>
      </c>
      <c r="I3276" s="14" t="str">
        <f t="shared" si="2"/>
        <v>123664.00</v>
      </c>
      <c r="J3276" s="16" t="str">
        <f>TEXT(Raw_Data!J3276,"MMM-YYY")</f>
        <v>Apr-2025</v>
      </c>
      <c r="K3276" s="13" t="str">
        <f>Raw_Data!K3276</f>
        <v>7</v>
      </c>
      <c r="L3276" s="17" t="str">
        <f>Raw_Data!L3276</f>
        <v>Chandigarh-North</v>
      </c>
      <c r="M3276" s="13" t="str">
        <f t="shared" si="3"/>
        <v>OK</v>
      </c>
      <c r="N3276" s="18" t="str">
        <f t="shared" si="4"/>
        <v>VALID</v>
      </c>
    </row>
    <row r="3277" ht="15.75" customHeight="1">
      <c r="A3277" s="13" t="str">
        <f>Raw_Data!A3277</f>
        <v>EMP3455</v>
      </c>
      <c r="B3277" s="13" t="str">
        <f>TRIM(CLEAN(Raw_Data!B3277))</f>
        <v>Marketing</v>
      </c>
      <c r="C3277" s="18" t="s">
        <v>33</v>
      </c>
      <c r="D3277" s="14" t="str">
        <f>IF(ISBLANK(Raw_Data!D3277),AVERAGE(Raw_Data!D$2:D$5002),Raw_Data!D3277)</f>
        <v>85692.36</v>
      </c>
      <c r="E3277" s="15" t="str">
        <f>IF(ISBLANK(Raw_Data!E3277),AVERAGE(Raw_Data!E$2:E$5002),Raw_Data!E3277)</f>
        <v>29934.48</v>
      </c>
      <c r="F3277" s="15" t="str">
        <f>IF(ISBLANK(Raw_Data!F3277),AVERAGE(Raw_Data!F$2:F$5002),Raw_Data!F3277)</f>
        <v>26705.67</v>
      </c>
      <c r="G3277" s="14" t="str">
        <f>IF(ISBLANK(Raw_Data!G3277),AVERAGE(Raw_Data!G$2:G$5002),Raw_Data!G3277)</f>
        <v>18648.32</v>
      </c>
      <c r="H3277" s="15" t="str">
        <f t="shared" si="1"/>
        <v>142332.00</v>
      </c>
      <c r="I3277" s="14" t="str">
        <f t="shared" si="2"/>
        <v>123684.00</v>
      </c>
      <c r="J3277" s="16" t="str">
        <f>TEXT(Raw_Data!J3277,"MMM-YYY")</f>
        <v>Oct-2025</v>
      </c>
      <c r="K3277" s="13" t="str">
        <f>Raw_Data!K3277</f>
        <v>8</v>
      </c>
      <c r="L3277" s="17" t="str">
        <f>Raw_Data!L3277</f>
        <v>Delhi-North</v>
      </c>
      <c r="M3277" s="13" t="str">
        <f t="shared" si="3"/>
        <v>OK</v>
      </c>
      <c r="N3277" s="18" t="str">
        <f t="shared" si="4"/>
        <v>VALID</v>
      </c>
    </row>
    <row r="3278" ht="15.75" customHeight="1">
      <c r="A3278" s="13" t="str">
        <f>Raw_Data!A3278</f>
        <v>EMP3456</v>
      </c>
      <c r="B3278" s="13" t="str">
        <f>TRIM(CLEAN(Raw_Data!B3278))</f>
        <v>IT</v>
      </c>
      <c r="C3278" s="18" t="s">
        <v>14</v>
      </c>
      <c r="D3278" s="14" t="str">
        <f>IF(ISBLANK(Raw_Data!D3278),AVERAGE(Raw_Data!D$2:D$5002),Raw_Data!D3278)</f>
        <v>85703.24</v>
      </c>
      <c r="E3278" s="15" t="str">
        <f>IF(ISBLANK(Raw_Data!E3278),AVERAGE(Raw_Data!E$2:E$5002),Raw_Data!E3278)</f>
        <v>29939.09</v>
      </c>
      <c r="F3278" s="15" t="str">
        <f>IF(ISBLANK(Raw_Data!F3278),AVERAGE(Raw_Data!F$2:F$5002),Raw_Data!F3278)</f>
        <v>26713.35</v>
      </c>
      <c r="G3278" s="14" t="str">
        <f>IF(ISBLANK(Raw_Data!G3278),AVERAGE(Raw_Data!G$2:G$5002),Raw_Data!G3278)</f>
        <v>18651.71</v>
      </c>
      <c r="H3278" s="15" t="str">
        <f t="shared" si="1"/>
        <v>142356.00</v>
      </c>
      <c r="I3278" s="14" t="str">
        <f t="shared" si="2"/>
        <v>123704.00</v>
      </c>
      <c r="J3278" s="16" t="str">
        <f>TEXT(Raw_Data!J3278,"MMM-YYY")</f>
        <v>Nov-2025</v>
      </c>
      <c r="K3278" s="13" t="str">
        <f>Raw_Data!K3278</f>
        <v>18</v>
      </c>
      <c r="L3278" s="17" t="str">
        <f>Raw_Data!L3278</f>
        <v>Chandigarh-North</v>
      </c>
      <c r="M3278" s="13" t="str">
        <f t="shared" si="3"/>
        <v>OK</v>
      </c>
      <c r="N3278" s="18" t="str">
        <f t="shared" si="4"/>
        <v>VALID</v>
      </c>
    </row>
    <row r="3279" ht="15.75" customHeight="1">
      <c r="A3279" s="13" t="str">
        <f>Raw_Data!A3279</f>
        <v>EMP3457</v>
      </c>
      <c r="B3279" s="13" t="str">
        <f>TRIM(CLEAN(Raw_Data!B3279))</f>
        <v>Finance</v>
      </c>
      <c r="C3279" s="18" t="s">
        <v>37</v>
      </c>
      <c r="D3279" s="14" t="str">
        <f>IF(ISBLANK(Raw_Data!D3279),AVERAGE(Raw_Data!D$2:D$5002),Raw_Data!D3279)</f>
        <v>85714.12</v>
      </c>
      <c r="E3279" s="15" t="str">
        <f>IF(ISBLANK(Raw_Data!E3279),AVERAGE(Raw_Data!E$2:E$5002),Raw_Data!E3279)</f>
        <v>29943.71</v>
      </c>
      <c r="F3279" s="15" t="str">
        <f>IF(ISBLANK(Raw_Data!F3279),AVERAGE(Raw_Data!F$2:F$5002),Raw_Data!F3279)</f>
        <v>26721.03</v>
      </c>
      <c r="G3279" s="14" t="str">
        <f>IF(ISBLANK(Raw_Data!G3279),AVERAGE(Raw_Data!G$2:G$5002),Raw_Data!G3279)</f>
        <v>18655.11</v>
      </c>
      <c r="H3279" s="15" t="str">
        <f t="shared" si="1"/>
        <v>142379.00</v>
      </c>
      <c r="I3279" s="14" t="str">
        <f t="shared" si="2"/>
        <v>123724.00</v>
      </c>
      <c r="J3279" s="16" t="str">
        <f>TEXT(Raw_Data!J3279,"MMM-YYY")</f>
        <v>Oct-2025</v>
      </c>
      <c r="K3279" s="13" t="str">
        <f>Raw_Data!K3279</f>
        <v>22</v>
      </c>
      <c r="L3279" s="17" t="str">
        <f>Raw_Data!L3279</f>
        <v>Jaipur-North</v>
      </c>
      <c r="M3279" s="13" t="str">
        <f t="shared" si="3"/>
        <v>OK</v>
      </c>
      <c r="N3279" s="18" t="str">
        <f t="shared" si="4"/>
        <v>VALID</v>
      </c>
    </row>
    <row r="3280" ht="15.75" customHeight="1">
      <c r="A3280" s="13" t="str">
        <f>Raw_Data!A3280</f>
        <v>EMP3458</v>
      </c>
      <c r="B3280" s="13" t="str">
        <f>TRIM(CLEAN(Raw_Data!B3280))</f>
        <v>Operations</v>
      </c>
      <c r="C3280" s="18" t="s">
        <v>14</v>
      </c>
      <c r="D3280" s="14" t="str">
        <f>IF(ISBLANK(Raw_Data!D3280),AVERAGE(Raw_Data!D$2:D$5002),Raw_Data!D3280)</f>
        <v>85725.00</v>
      </c>
      <c r="E3280" s="15" t="str">
        <f>IF(ISBLANK(Raw_Data!E3280),AVERAGE(Raw_Data!E$2:E$5002),Raw_Data!E3280)</f>
        <v>29948.32</v>
      </c>
      <c r="F3280" s="15" t="str">
        <f>IF(ISBLANK(Raw_Data!F3280),AVERAGE(Raw_Data!F$2:F$5002),Raw_Data!F3280)</f>
        <v>26728.71</v>
      </c>
      <c r="G3280" s="14" t="str">
        <f>IF(ISBLANK(Raw_Data!G3280),AVERAGE(Raw_Data!G$2:G$5002),Raw_Data!G3280)</f>
        <v>18658.51</v>
      </c>
      <c r="H3280" s="15" t="str">
        <f t="shared" si="1"/>
        <v>142402.00</v>
      </c>
      <c r="I3280" s="14" t="str">
        <f t="shared" si="2"/>
        <v>123743.00</v>
      </c>
      <c r="J3280" s="16" t="str">
        <f>TEXT(Raw_Data!J3280,"MMM-YYY")</f>
        <v>Aug-2025</v>
      </c>
      <c r="K3280" s="13" t="str">
        <f>Raw_Data!K3280</f>
        <v>13</v>
      </c>
      <c r="L3280" s="17" t="str">
        <f>Raw_Data!L3280</f>
        <v>Jaipur-North</v>
      </c>
      <c r="M3280" s="13" t="str">
        <f t="shared" si="3"/>
        <v>OK</v>
      </c>
      <c r="N3280" s="18" t="str">
        <f t="shared" si="4"/>
        <v>VALID</v>
      </c>
    </row>
    <row r="3281" ht="15.75" customHeight="1">
      <c r="A3281" s="13" t="str">
        <f>Raw_Data!A3281</f>
        <v>EMP3459</v>
      </c>
      <c r="B3281" s="13" t="str">
        <f>TRIM(CLEAN(Raw_Data!B3281))</f>
        <v>IT</v>
      </c>
      <c r="C3281" s="18" t="s">
        <v>26</v>
      </c>
      <c r="D3281" s="14" t="str">
        <f>IF(ISBLANK(Raw_Data!D3281),AVERAGE(Raw_Data!D$2:D$5002),Raw_Data!D3281)</f>
        <v>85735.89</v>
      </c>
      <c r="E3281" s="15" t="str">
        <f>IF(ISBLANK(Raw_Data!E3281),AVERAGE(Raw_Data!E$2:E$5002),Raw_Data!E3281)</f>
        <v>29952.93</v>
      </c>
      <c r="F3281" s="15" t="str">
        <f>IF(ISBLANK(Raw_Data!F3281),AVERAGE(Raw_Data!F$2:F$5002),Raw_Data!F3281)</f>
        <v>26736.39</v>
      </c>
      <c r="G3281" s="14" t="str">
        <f>IF(ISBLANK(Raw_Data!G3281),AVERAGE(Raw_Data!G$2:G$5002),Raw_Data!G3281)</f>
        <v>18661.91</v>
      </c>
      <c r="H3281" s="15" t="str">
        <f t="shared" si="1"/>
        <v>142425.00</v>
      </c>
      <c r="I3281" s="14" t="str">
        <f t="shared" si="2"/>
        <v>123763.00</v>
      </c>
      <c r="J3281" s="16" t="str">
        <f>TEXT(Raw_Data!J3281,"MMM-YYY")</f>
        <v>Jan-2025</v>
      </c>
      <c r="K3281" s="13" t="str">
        <f>Raw_Data!K3281</f>
        <v>19</v>
      </c>
      <c r="L3281" s="17" t="str">
        <f>Raw_Data!L3281</f>
        <v>Jaipur-North</v>
      </c>
      <c r="M3281" s="13" t="str">
        <f t="shared" si="3"/>
        <v>OK</v>
      </c>
      <c r="N3281" s="18" t="str">
        <f t="shared" si="4"/>
        <v>VALID</v>
      </c>
    </row>
    <row r="3282" ht="15.75" customHeight="1">
      <c r="A3282" s="13" t="str">
        <f>Raw_Data!A3282</f>
        <v>EMP3460</v>
      </c>
      <c r="B3282" s="13" t="str">
        <f>TRIM(CLEAN(Raw_Data!B3282))</f>
        <v>Sales</v>
      </c>
      <c r="C3282" s="18" t="s">
        <v>18</v>
      </c>
      <c r="D3282" s="14" t="str">
        <f>IF(ISBLANK(Raw_Data!D3282),AVERAGE(Raw_Data!D$2:D$5002),Raw_Data!D3282)</f>
        <v>85746.77</v>
      </c>
      <c r="E3282" s="15" t="str">
        <f>IF(ISBLANK(Raw_Data!E3282),AVERAGE(Raw_Data!E$2:E$5002),Raw_Data!E3282)</f>
        <v>29957.55</v>
      </c>
      <c r="F3282" s="15" t="str">
        <f>IF(ISBLANK(Raw_Data!F3282),AVERAGE(Raw_Data!F$2:F$5002),Raw_Data!F3282)</f>
        <v>26744.07</v>
      </c>
      <c r="G3282" s="14" t="str">
        <f>IF(ISBLANK(Raw_Data!G3282),AVERAGE(Raw_Data!G$2:G$5002),Raw_Data!G3282)</f>
        <v>18665.30</v>
      </c>
      <c r="H3282" s="15" t="str">
        <f t="shared" si="1"/>
        <v>142448.00</v>
      </c>
      <c r="I3282" s="14" t="str">
        <f t="shared" si="2"/>
        <v>123783.00</v>
      </c>
      <c r="J3282" s="16" t="str">
        <f>TEXT(Raw_Data!J3282,"MMM-YYY")</f>
        <v>May-2025</v>
      </c>
      <c r="K3282" s="13" t="str">
        <f>Raw_Data!K3282</f>
        <v>5</v>
      </c>
      <c r="L3282" s="17" t="str">
        <f>Raw_Data!L3282</f>
        <v>Ahmedabad-West</v>
      </c>
      <c r="M3282" s="13" t="str">
        <f t="shared" si="3"/>
        <v>OK</v>
      </c>
      <c r="N3282" s="18" t="str">
        <f t="shared" si="4"/>
        <v>VALID</v>
      </c>
    </row>
    <row r="3283" ht="15.75" customHeight="1">
      <c r="A3283" s="13" t="str">
        <f>Raw_Data!A3283</f>
        <v>EMP3461</v>
      </c>
      <c r="B3283" s="13" t="str">
        <f>TRIM(CLEAN(Raw_Data!B3283))</f>
        <v>Finance</v>
      </c>
      <c r="C3283" s="18" t="s">
        <v>30</v>
      </c>
      <c r="D3283" s="14" t="str">
        <f>IF(ISBLANK(Raw_Data!D3283),AVERAGE(Raw_Data!D$2:D$5002),Raw_Data!D3283)</f>
        <v>85757.65</v>
      </c>
      <c r="E3283" s="15" t="str">
        <f>IF(ISBLANK(Raw_Data!E3283),AVERAGE(Raw_Data!E$2:E$5002),Raw_Data!E3283)</f>
        <v>29962.16</v>
      </c>
      <c r="F3283" s="15" t="str">
        <f>IF(ISBLANK(Raw_Data!F3283),AVERAGE(Raw_Data!F$2:F$5002),Raw_Data!F3283)</f>
        <v>26751.75</v>
      </c>
      <c r="G3283" s="14" t="str">
        <f>IF(ISBLANK(Raw_Data!G3283),AVERAGE(Raw_Data!G$2:G$5002),Raw_Data!G3283)</f>
        <v>18668.70</v>
      </c>
      <c r="H3283" s="15" t="str">
        <f t="shared" si="1"/>
        <v>142472.00</v>
      </c>
      <c r="I3283" s="14" t="str">
        <f t="shared" si="2"/>
        <v>123803.00</v>
      </c>
      <c r="J3283" s="16" t="str">
        <f>TEXT(Raw_Data!J3283,"MMM-YYY")</f>
        <v>Jul-2025</v>
      </c>
      <c r="K3283" s="13" t="str">
        <f>Raw_Data!K3283</f>
        <v>14</v>
      </c>
      <c r="L3283" s="17" t="str">
        <f>Raw_Data!L3283</f>
        <v>Bangalore-South</v>
      </c>
      <c r="M3283" s="13" t="str">
        <f t="shared" si="3"/>
        <v>OK</v>
      </c>
      <c r="N3283" s="18" t="str">
        <f t="shared" si="4"/>
        <v>VALID</v>
      </c>
    </row>
    <row r="3284" ht="15.75" customHeight="1">
      <c r="A3284" s="13" t="str">
        <f>Raw_Data!A3284</f>
        <v>EMP3462</v>
      </c>
      <c r="B3284" s="13" t="str">
        <f>TRIM(CLEAN(Raw_Data!B3284))</f>
        <v>Customer Support</v>
      </c>
      <c r="C3284" s="18" t="s">
        <v>14</v>
      </c>
      <c r="D3284" s="14" t="str">
        <f>IF(ISBLANK(Raw_Data!D3284),AVERAGE(Raw_Data!D$2:D$5002),Raw_Data!D3284)</f>
        <v>85768.54</v>
      </c>
      <c r="E3284" s="15" t="str">
        <f>IF(ISBLANK(Raw_Data!E3284),AVERAGE(Raw_Data!E$2:E$5002),Raw_Data!E3284)</f>
        <v>29966.78</v>
      </c>
      <c r="F3284" s="15" t="str">
        <f>IF(ISBLANK(Raw_Data!F3284),AVERAGE(Raw_Data!F$2:F$5002),Raw_Data!F3284)</f>
        <v>26759.43</v>
      </c>
      <c r="G3284" s="14" t="str">
        <f>IF(ISBLANK(Raw_Data!G3284),AVERAGE(Raw_Data!G$2:G$5002),Raw_Data!G3284)</f>
        <v>18672.10</v>
      </c>
      <c r="H3284" s="15" t="str">
        <f t="shared" si="1"/>
        <v>142495.00</v>
      </c>
      <c r="I3284" s="14" t="str">
        <f t="shared" si="2"/>
        <v>123823.00</v>
      </c>
      <c r="J3284" s="16" t="str">
        <f>TEXT(Raw_Data!J3284,"MMM-YYY")</f>
        <v>Oct-2025</v>
      </c>
      <c r="K3284" s="13" t="str">
        <f>Raw_Data!K3284</f>
        <v>2</v>
      </c>
      <c r="L3284" s="17" t="str">
        <f>Raw_Data!L3284</f>
        <v>Jaipur-North</v>
      </c>
      <c r="M3284" s="13" t="str">
        <f t="shared" si="3"/>
        <v>OK</v>
      </c>
      <c r="N3284" s="18" t="str">
        <f t="shared" si="4"/>
        <v>VALID</v>
      </c>
    </row>
    <row r="3285" ht="15.75" customHeight="1">
      <c r="A3285" s="13" t="str">
        <f>Raw_Data!A3285</f>
        <v>EMP3464</v>
      </c>
      <c r="B3285" s="13" t="str">
        <f>TRIM(CLEAN(Raw_Data!B3285))</f>
        <v>IT</v>
      </c>
      <c r="C3285" s="18" t="s">
        <v>54</v>
      </c>
      <c r="D3285" s="14" t="str">
        <f>IF(ISBLANK(Raw_Data!D3285),AVERAGE(Raw_Data!D$2:D$5002),Raw_Data!D3285)</f>
        <v>85790.30</v>
      </c>
      <c r="E3285" s="15" t="str">
        <f>IF(ISBLANK(Raw_Data!E3285),AVERAGE(Raw_Data!E$2:E$5002),Raw_Data!E3285)</f>
        <v>29976.01</v>
      </c>
      <c r="F3285" s="15" t="str">
        <f>IF(ISBLANK(Raw_Data!F3285),AVERAGE(Raw_Data!F$2:F$5002),Raw_Data!F3285)</f>
        <v>26774.79</v>
      </c>
      <c r="G3285" s="14" t="str">
        <f>IF(ISBLANK(Raw_Data!G3285),AVERAGE(Raw_Data!G$2:G$5002),Raw_Data!G3285)</f>
        <v>18678.89</v>
      </c>
      <c r="H3285" s="15" t="str">
        <f t="shared" si="1"/>
        <v>142541.00</v>
      </c>
      <c r="I3285" s="14" t="str">
        <f t="shared" si="2"/>
        <v>123862.00</v>
      </c>
      <c r="J3285" s="16" t="str">
        <f>TEXT(Raw_Data!J3285,"MMM-YYY")</f>
        <v>Aug-2025</v>
      </c>
      <c r="K3285" s="13" t="str">
        <f>Raw_Data!K3285</f>
        <v>16</v>
      </c>
      <c r="L3285" s="17" t="str">
        <f>Raw_Data!L3285</f>
        <v>Jaipur-North</v>
      </c>
      <c r="M3285" s="13" t="str">
        <f t="shared" si="3"/>
        <v>OK</v>
      </c>
      <c r="N3285" s="18" t="str">
        <f t="shared" si="4"/>
        <v>VALID</v>
      </c>
    </row>
    <row r="3286" ht="15.75" customHeight="1">
      <c r="A3286" s="13" t="str">
        <f>Raw_Data!A3286</f>
        <v>EMP3465</v>
      </c>
      <c r="B3286" s="13" t="str">
        <f>TRIM(CLEAN(Raw_Data!B3286))</f>
        <v>Finance</v>
      </c>
      <c r="C3286" s="18" t="s">
        <v>30</v>
      </c>
      <c r="D3286" s="14" t="str">
        <f>IF(ISBLANK(Raw_Data!D3286),AVERAGE(Raw_Data!D$2:D$5002),Raw_Data!D3286)</f>
        <v>85801.19</v>
      </c>
      <c r="E3286" s="15" t="str">
        <f>IF(ISBLANK(Raw_Data!E3286),AVERAGE(Raw_Data!E$2:E$5002),Raw_Data!E3286)</f>
        <v>29980.62</v>
      </c>
      <c r="F3286" s="15" t="str">
        <f>IF(ISBLANK(Raw_Data!F3286),AVERAGE(Raw_Data!F$2:F$5002),Raw_Data!F3286)</f>
        <v>26782.47</v>
      </c>
      <c r="G3286" s="14" t="str">
        <f>IF(ISBLANK(Raw_Data!G3286),AVERAGE(Raw_Data!G$2:G$5002),Raw_Data!G3286)</f>
        <v>18682.29</v>
      </c>
      <c r="H3286" s="15" t="str">
        <f t="shared" si="1"/>
        <v>142564.00</v>
      </c>
      <c r="I3286" s="14" t="str">
        <f t="shared" si="2"/>
        <v>123882.00</v>
      </c>
      <c r="J3286" s="16" t="str">
        <f>TEXT(Raw_Data!J3286,"MMM-YYY")</f>
        <v>Nov-2025</v>
      </c>
      <c r="K3286" s="13" t="str">
        <f>Raw_Data!K3286</f>
        <v>2</v>
      </c>
      <c r="L3286" s="17" t="str">
        <f>Raw_Data!L3286</f>
        <v>Bangalore-South</v>
      </c>
      <c r="M3286" s="13" t="str">
        <f t="shared" si="3"/>
        <v>OK</v>
      </c>
      <c r="N3286" s="18" t="str">
        <f t="shared" si="4"/>
        <v>VALID</v>
      </c>
    </row>
    <row r="3287" ht="15.75" customHeight="1">
      <c r="A3287" s="13" t="str">
        <f>Raw_Data!A3287</f>
        <v>EMP3466</v>
      </c>
      <c r="B3287" s="13" t="str">
        <f>TRIM(CLEAN(Raw_Data!B3287))</f>
        <v>Customer Support</v>
      </c>
      <c r="C3287" s="18" t="s">
        <v>26</v>
      </c>
      <c r="D3287" s="14" t="str">
        <f>IF(ISBLANK(Raw_Data!D3287),AVERAGE(Raw_Data!D$2:D$5002),Raw_Data!D3287)</f>
        <v>85812.07</v>
      </c>
      <c r="E3287" s="15" t="str">
        <f>IF(ISBLANK(Raw_Data!E3287),AVERAGE(Raw_Data!E$2:E$5002),Raw_Data!E3287)</f>
        <v>29985.24</v>
      </c>
      <c r="F3287" s="15" t="str">
        <f>IF(ISBLANK(Raw_Data!F3287),AVERAGE(Raw_Data!F$2:F$5002),Raw_Data!F3287)</f>
        <v>26790.15</v>
      </c>
      <c r="G3287" s="14" t="str">
        <f>IF(ISBLANK(Raw_Data!G3287),AVERAGE(Raw_Data!G$2:G$5002),Raw_Data!G3287)</f>
        <v>18685.69</v>
      </c>
      <c r="H3287" s="15" t="str">
        <f t="shared" si="1"/>
        <v>142587.00</v>
      </c>
      <c r="I3287" s="14" t="str">
        <f t="shared" si="2"/>
        <v>123901.00</v>
      </c>
      <c r="J3287" s="16" t="str">
        <f>TEXT(Raw_Data!J3287,"MMM-YYY")</f>
        <v>Mar-2025</v>
      </c>
      <c r="K3287" s="13" t="str">
        <f>Raw_Data!K3287</f>
        <v>22</v>
      </c>
      <c r="L3287" s="17" t="str">
        <f>Raw_Data!L3287</f>
        <v>Kolkata-East</v>
      </c>
      <c r="M3287" s="13" t="str">
        <f t="shared" si="3"/>
        <v>OK</v>
      </c>
      <c r="N3287" s="18" t="str">
        <f t="shared" si="4"/>
        <v>VALID</v>
      </c>
    </row>
    <row r="3288" ht="15.75" customHeight="1">
      <c r="A3288" s="13" t="str">
        <f>Raw_Data!A3288</f>
        <v>EMP3467</v>
      </c>
      <c r="B3288" s="13" t="str">
        <f>TRIM(CLEAN(Raw_Data!B3288))</f>
        <v>Finance</v>
      </c>
      <c r="C3288" s="18" t="s">
        <v>37</v>
      </c>
      <c r="D3288" s="14" t="str">
        <f>IF(ISBLANK(Raw_Data!D3288),AVERAGE(Raw_Data!D$2:D$5002),Raw_Data!D3288)</f>
        <v>85822.95</v>
      </c>
      <c r="E3288" s="15" t="str">
        <f>IF(ISBLANK(Raw_Data!E3288),AVERAGE(Raw_Data!E$2:E$5002),Raw_Data!E3288)</f>
        <v>29989.85</v>
      </c>
      <c r="F3288" s="15" t="str">
        <f>IF(ISBLANK(Raw_Data!F3288),AVERAGE(Raw_Data!F$2:F$5002),Raw_Data!F3288)</f>
        <v>26797.83</v>
      </c>
      <c r="G3288" s="14" t="str">
        <f>IF(ISBLANK(Raw_Data!G3288),AVERAGE(Raw_Data!G$2:G$5002),Raw_Data!G3288)</f>
        <v>18689.09</v>
      </c>
      <c r="H3288" s="15" t="str">
        <f t="shared" si="1"/>
        <v>142611.00</v>
      </c>
      <c r="I3288" s="14" t="str">
        <f t="shared" si="2"/>
        <v>123922.00</v>
      </c>
      <c r="J3288" s="16" t="str">
        <f>TEXT(Raw_Data!J3288,"MMM-YYY")</f>
        <v>Jun-2025</v>
      </c>
      <c r="K3288" s="13" t="str">
        <f>Raw_Data!K3288</f>
        <v>13</v>
      </c>
      <c r="L3288" s="17" t="str">
        <f>Raw_Data!L3288</f>
        <v>Bangalore-South</v>
      </c>
      <c r="M3288" s="13" t="str">
        <f t="shared" si="3"/>
        <v>OK</v>
      </c>
      <c r="N3288" s="18" t="str">
        <f t="shared" si="4"/>
        <v>VALID</v>
      </c>
    </row>
    <row r="3289" ht="15.75" customHeight="1">
      <c r="A3289" s="13" t="str">
        <f>Raw_Data!A3289</f>
        <v>EMP3468</v>
      </c>
      <c r="B3289" s="13" t="str">
        <f>TRIM(CLEAN(Raw_Data!B3289))</f>
        <v>Marketing</v>
      </c>
      <c r="C3289" s="18" t="s">
        <v>54</v>
      </c>
      <c r="D3289" s="14" t="str">
        <f>IF(ISBLANK(Raw_Data!D3289),AVERAGE(Raw_Data!D$2:D$5002),Raw_Data!D3289)</f>
        <v>85833.83</v>
      </c>
      <c r="E3289" s="15" t="str">
        <f>IF(ISBLANK(Raw_Data!E3289),AVERAGE(Raw_Data!E$2:E$5002),Raw_Data!E3289)</f>
        <v>29994.47</v>
      </c>
      <c r="F3289" s="15" t="str">
        <f>IF(ISBLANK(Raw_Data!F3289),AVERAGE(Raw_Data!F$2:F$5002),Raw_Data!F3289)</f>
        <v>26805.51</v>
      </c>
      <c r="G3289" s="14" t="str">
        <f>IF(ISBLANK(Raw_Data!G3289),AVERAGE(Raw_Data!G$2:G$5002),Raw_Data!G3289)</f>
        <v>18692.48</v>
      </c>
      <c r="H3289" s="15" t="str">
        <f t="shared" si="1"/>
        <v>142634.00</v>
      </c>
      <c r="I3289" s="14" t="str">
        <f t="shared" si="2"/>
        <v>123942.00</v>
      </c>
      <c r="J3289" s="16" t="str">
        <f>TEXT(Raw_Data!J3289,"MMM-YYY")</f>
        <v>Sep-2025</v>
      </c>
      <c r="K3289" s="13" t="str">
        <f>Raw_Data!K3289</f>
        <v>18</v>
      </c>
      <c r="L3289" s="17" t="str">
        <f>Raw_Data!L3289</f>
        <v>Chennai-South</v>
      </c>
      <c r="M3289" s="13" t="str">
        <f t="shared" si="3"/>
        <v>OK</v>
      </c>
      <c r="N3289" s="18" t="str">
        <f t="shared" si="4"/>
        <v>VALID</v>
      </c>
    </row>
    <row r="3290" ht="15.75" customHeight="1">
      <c r="A3290" s="13" t="str">
        <f>Raw_Data!A3290</f>
        <v>EMP3469</v>
      </c>
      <c r="B3290" s="13" t="str">
        <f>TRIM(CLEAN(Raw_Data!B3290))</f>
        <v>Marketing</v>
      </c>
      <c r="C3290" s="18" t="s">
        <v>26</v>
      </c>
      <c r="D3290" s="14" t="str">
        <f>IF(ISBLANK(Raw_Data!D3290),AVERAGE(Raw_Data!D$2:D$5002),Raw_Data!D3290)</f>
        <v>85844.72</v>
      </c>
      <c r="E3290" s="15" t="str">
        <f>IF(ISBLANK(Raw_Data!E3290),AVERAGE(Raw_Data!E$2:E$5002),Raw_Data!E3290)</f>
        <v>29999.08</v>
      </c>
      <c r="F3290" s="15" t="str">
        <f>IF(ISBLANK(Raw_Data!F3290),AVERAGE(Raw_Data!F$2:F$5002),Raw_Data!F3290)</f>
        <v>26813.19</v>
      </c>
      <c r="G3290" s="14" t="str">
        <f>IF(ISBLANK(Raw_Data!G3290),AVERAGE(Raw_Data!G$2:G$5002),Raw_Data!G3290)</f>
        <v>18695.88</v>
      </c>
      <c r="H3290" s="15" t="str">
        <f t="shared" si="1"/>
        <v>142657.00</v>
      </c>
      <c r="I3290" s="14" t="str">
        <f t="shared" si="2"/>
        <v>123961.00</v>
      </c>
      <c r="J3290" s="16" t="str">
        <f>TEXT(Raw_Data!J3290,"MMM-YYY")</f>
        <v>Aug-2025</v>
      </c>
      <c r="K3290" s="13" t="str">
        <f>Raw_Data!K3290</f>
        <v>16</v>
      </c>
      <c r="L3290" s="17" t="str">
        <f>Raw_Data!L3290</f>
        <v>Mumbai-HO</v>
      </c>
      <c r="M3290" s="13" t="str">
        <f t="shared" si="3"/>
        <v>OK</v>
      </c>
      <c r="N3290" s="18" t="str">
        <f t="shared" si="4"/>
        <v>VALID</v>
      </c>
    </row>
    <row r="3291" ht="15.75" customHeight="1">
      <c r="A3291" s="13" t="str">
        <f>Raw_Data!A3291</f>
        <v>EMP3470</v>
      </c>
      <c r="B3291" s="13" t="str">
        <f>TRIM(CLEAN(Raw_Data!B3291))</f>
        <v>Sales</v>
      </c>
      <c r="C3291" s="18" t="s">
        <v>26</v>
      </c>
      <c r="D3291" s="14" t="str">
        <f>IF(ISBLANK(Raw_Data!D3291),AVERAGE(Raw_Data!D$2:D$5002),Raw_Data!D3291)</f>
        <v>85855.60</v>
      </c>
      <c r="E3291" s="15" t="str">
        <f>IF(ISBLANK(Raw_Data!E3291),AVERAGE(Raw_Data!E$2:E$5002),Raw_Data!E3291)</f>
        <v>30003.70</v>
      </c>
      <c r="F3291" s="15" t="str">
        <f>IF(ISBLANK(Raw_Data!F3291),AVERAGE(Raw_Data!F$2:F$5002),Raw_Data!F3291)</f>
        <v>26820.87</v>
      </c>
      <c r="G3291" s="14" t="str">
        <f>IF(ISBLANK(Raw_Data!G3291),AVERAGE(Raw_Data!G$2:G$5002),Raw_Data!G3291)</f>
        <v>18699.28</v>
      </c>
      <c r="H3291" s="15" t="str">
        <f t="shared" si="1"/>
        <v>142680.00</v>
      </c>
      <c r="I3291" s="14" t="str">
        <f t="shared" si="2"/>
        <v>123981.00</v>
      </c>
      <c r="J3291" s="16" t="str">
        <f>TEXT(Raw_Data!J3291,"MMM-YYY")</f>
        <v>Sep-2025</v>
      </c>
      <c r="K3291" s="13" t="str">
        <f>Raw_Data!K3291</f>
        <v>8</v>
      </c>
      <c r="L3291" s="17" t="str">
        <f>Raw_Data!L3291</f>
        <v>Chennai-South</v>
      </c>
      <c r="M3291" s="13" t="str">
        <f t="shared" si="3"/>
        <v>OK</v>
      </c>
      <c r="N3291" s="18" t="str">
        <f t="shared" si="4"/>
        <v>VALID</v>
      </c>
    </row>
    <row r="3292" ht="15.75" customHeight="1">
      <c r="A3292" s="13" t="str">
        <f>Raw_Data!A3292</f>
        <v>EMP3471</v>
      </c>
      <c r="B3292" s="13" t="str">
        <f>TRIM(CLEAN(Raw_Data!B3292))</f>
        <v>IT</v>
      </c>
      <c r="C3292" s="18" t="s">
        <v>18</v>
      </c>
      <c r="D3292" s="14" t="str">
        <f>IF(ISBLANK(Raw_Data!D3292),AVERAGE(Raw_Data!D$2:D$5002),Raw_Data!D3292)</f>
        <v>85866.48</v>
      </c>
      <c r="E3292" s="15" t="str">
        <f>IF(ISBLANK(Raw_Data!E3292),AVERAGE(Raw_Data!E$2:E$5002),Raw_Data!E3292)</f>
        <v>30008.31</v>
      </c>
      <c r="F3292" s="15" t="str">
        <f>IF(ISBLANK(Raw_Data!F3292),AVERAGE(Raw_Data!F$2:F$5002),Raw_Data!F3292)</f>
        <v>26828.55</v>
      </c>
      <c r="G3292" s="14" t="str">
        <f>IF(ISBLANK(Raw_Data!G3292),AVERAGE(Raw_Data!G$2:G$5002),Raw_Data!G3292)</f>
        <v>18702.68</v>
      </c>
      <c r="H3292" s="15" t="str">
        <f t="shared" si="1"/>
        <v>142703.00</v>
      </c>
      <c r="I3292" s="14" t="str">
        <f t="shared" si="2"/>
        <v>124000.00</v>
      </c>
      <c r="J3292" s="16" t="str">
        <f>TEXT(Raw_Data!J3292,"MMM-YYY")</f>
        <v>May-2025</v>
      </c>
      <c r="K3292" s="13" t="str">
        <f>Raw_Data!K3292</f>
        <v>13</v>
      </c>
      <c r="L3292" s="17" t="str">
        <f>Raw_Data!L3292</f>
        <v>Delhi-North</v>
      </c>
      <c r="M3292" s="13" t="str">
        <f t="shared" si="3"/>
        <v>OK</v>
      </c>
      <c r="N3292" s="18" t="str">
        <f t="shared" si="4"/>
        <v>VALID</v>
      </c>
    </row>
    <row r="3293" ht="15.75" customHeight="1">
      <c r="A3293" s="13" t="str">
        <f>Raw_Data!A3293</f>
        <v>EMP3472</v>
      </c>
      <c r="B3293" s="13" t="str">
        <f>TRIM(CLEAN(Raw_Data!B3293))</f>
        <v>Operations</v>
      </c>
      <c r="C3293" s="18" t="s">
        <v>37</v>
      </c>
      <c r="D3293" s="14" t="str">
        <f>IF(ISBLANK(Raw_Data!D3293),AVERAGE(Raw_Data!D$2:D$5002),Raw_Data!D3293)</f>
        <v>85877.37</v>
      </c>
      <c r="E3293" s="15" t="str">
        <f>IF(ISBLANK(Raw_Data!E3293),AVERAGE(Raw_Data!E$2:E$5002),Raw_Data!E3293)</f>
        <v>30012.93</v>
      </c>
      <c r="F3293" s="15" t="str">
        <f>IF(ISBLANK(Raw_Data!F3293),AVERAGE(Raw_Data!F$2:F$5002),Raw_Data!F3293)</f>
        <v>26836.23</v>
      </c>
      <c r="G3293" s="14" t="str">
        <f>IF(ISBLANK(Raw_Data!G3293),AVERAGE(Raw_Data!G$2:G$5002),Raw_Data!G3293)</f>
        <v>18706.07</v>
      </c>
      <c r="H3293" s="15" t="str">
        <f t="shared" si="1"/>
        <v>142727.00</v>
      </c>
      <c r="I3293" s="14" t="str">
        <f t="shared" si="2"/>
        <v>124021.00</v>
      </c>
      <c r="J3293" s="16" t="str">
        <f>TEXT(Raw_Data!J3293,"MMM-YYY")</f>
        <v>Nov-2025</v>
      </c>
      <c r="K3293" s="13" t="str">
        <f>Raw_Data!K3293</f>
        <v>18</v>
      </c>
      <c r="L3293" s="17" t="str">
        <f>Raw_Data!L3293</f>
        <v>Jaipur-North</v>
      </c>
      <c r="M3293" s="13" t="str">
        <f t="shared" si="3"/>
        <v>OK</v>
      </c>
      <c r="N3293" s="18" t="str">
        <f t="shared" si="4"/>
        <v>VALID</v>
      </c>
    </row>
    <row r="3294" ht="15.75" customHeight="1">
      <c r="A3294" s="13" t="str">
        <f>Raw_Data!A3294</f>
        <v>EMP3473</v>
      </c>
      <c r="B3294" s="13" t="str">
        <f>TRIM(CLEAN(Raw_Data!B3294))</f>
        <v>HR</v>
      </c>
      <c r="C3294" s="18" t="s">
        <v>37</v>
      </c>
      <c r="D3294" s="14" t="str">
        <f>IF(ISBLANK(Raw_Data!D3294),AVERAGE(Raw_Data!D$2:D$5002),Raw_Data!D3294)</f>
        <v>85888.25</v>
      </c>
      <c r="E3294" s="15" t="str">
        <f>IF(ISBLANK(Raw_Data!E3294),AVERAGE(Raw_Data!E$2:E$5002),Raw_Data!E3294)</f>
        <v>30017.54</v>
      </c>
      <c r="F3294" s="15" t="str">
        <f>IF(ISBLANK(Raw_Data!F3294),AVERAGE(Raw_Data!F$2:F$5002),Raw_Data!F3294)</f>
        <v>26843.91</v>
      </c>
      <c r="G3294" s="14" t="str">
        <f>IF(ISBLANK(Raw_Data!G3294),AVERAGE(Raw_Data!G$2:G$5002),Raw_Data!G3294)</f>
        <v>18709.47</v>
      </c>
      <c r="H3294" s="15" t="str">
        <f t="shared" si="1"/>
        <v>142750.00</v>
      </c>
      <c r="I3294" s="14" t="str">
        <f t="shared" si="2"/>
        <v>124041.00</v>
      </c>
      <c r="J3294" s="16" t="str">
        <f>TEXT(Raw_Data!J3294,"MMM-YYY")</f>
        <v>May-2025</v>
      </c>
      <c r="K3294" s="13" t="str">
        <f>Raw_Data!K3294</f>
        <v>11</v>
      </c>
      <c r="L3294" s="17" t="str">
        <f>Raw_Data!L3294</f>
        <v>Ahmedabad-West</v>
      </c>
      <c r="M3294" s="13" t="str">
        <f t="shared" si="3"/>
        <v>OK</v>
      </c>
      <c r="N3294" s="18" t="str">
        <f t="shared" si="4"/>
        <v>VALID</v>
      </c>
    </row>
    <row r="3295" ht="15.75" customHeight="1">
      <c r="A3295" s="13" t="str">
        <f>Raw_Data!A3295</f>
        <v>EMP3474</v>
      </c>
      <c r="B3295" s="13" t="str">
        <f>TRIM(CLEAN(Raw_Data!B3295))</f>
        <v>IT</v>
      </c>
      <c r="C3295" s="18" t="s">
        <v>14</v>
      </c>
      <c r="D3295" s="14" t="str">
        <f>IF(ISBLANK(Raw_Data!D3295),AVERAGE(Raw_Data!D$2:D$5002),Raw_Data!D3295)</f>
        <v>85899.13</v>
      </c>
      <c r="E3295" s="15" t="str">
        <f>IF(ISBLANK(Raw_Data!E3295),AVERAGE(Raw_Data!E$2:E$5002),Raw_Data!E3295)</f>
        <v>30022.16</v>
      </c>
      <c r="F3295" s="15" t="str">
        <f>IF(ISBLANK(Raw_Data!F3295),AVERAGE(Raw_Data!F$2:F$5002),Raw_Data!F3295)</f>
        <v>26851.59</v>
      </c>
      <c r="G3295" s="14" t="str">
        <f>IF(ISBLANK(Raw_Data!G3295),AVERAGE(Raw_Data!G$2:G$5002),Raw_Data!G3295)</f>
        <v>18712.87</v>
      </c>
      <c r="H3295" s="15" t="str">
        <f t="shared" si="1"/>
        <v>142773.00</v>
      </c>
      <c r="I3295" s="14" t="str">
        <f t="shared" si="2"/>
        <v>124060.00</v>
      </c>
      <c r="J3295" s="16" t="str">
        <f>TEXT(Raw_Data!J3295,"MMM-YYY")</f>
        <v>May-2025</v>
      </c>
      <c r="K3295" s="13" t="str">
        <f>Raw_Data!K3295</f>
        <v>15</v>
      </c>
      <c r="L3295" s="17" t="str">
        <f>Raw_Data!L3295</f>
        <v>Hyderabad-South</v>
      </c>
      <c r="M3295" s="13" t="str">
        <f t="shared" si="3"/>
        <v>OK</v>
      </c>
      <c r="N3295" s="18" t="str">
        <f t="shared" si="4"/>
        <v>VALID</v>
      </c>
    </row>
    <row r="3296" ht="15.75" customHeight="1">
      <c r="A3296" s="13" t="str">
        <f>Raw_Data!A3296</f>
        <v>EMP3475</v>
      </c>
      <c r="B3296" s="13" t="str">
        <f>TRIM(CLEAN(Raw_Data!B3296))</f>
        <v>Finance</v>
      </c>
      <c r="C3296" s="18" t="s">
        <v>18</v>
      </c>
      <c r="D3296" s="14" t="str">
        <f>IF(ISBLANK(Raw_Data!D3296),AVERAGE(Raw_Data!D$2:D$5002),Raw_Data!D3296)</f>
        <v>85910.01</v>
      </c>
      <c r="E3296" s="15" t="str">
        <f>IF(ISBLANK(Raw_Data!E3296),AVERAGE(Raw_Data!E$2:E$5002),Raw_Data!E3296)</f>
        <v>30026.77</v>
      </c>
      <c r="F3296" s="15" t="str">
        <f>IF(ISBLANK(Raw_Data!F3296),AVERAGE(Raw_Data!F$2:F$5002),Raw_Data!F3296)</f>
        <v>26859.27</v>
      </c>
      <c r="G3296" s="14" t="str">
        <f>IF(ISBLANK(Raw_Data!G3296),AVERAGE(Raw_Data!G$2:G$5002),Raw_Data!G3296)</f>
        <v>18716.27</v>
      </c>
      <c r="H3296" s="15" t="str">
        <f t="shared" si="1"/>
        <v>142796.00</v>
      </c>
      <c r="I3296" s="14" t="str">
        <f t="shared" si="2"/>
        <v>124080.00</v>
      </c>
      <c r="J3296" s="16" t="str">
        <f>TEXT(Raw_Data!J3296,"MMM-YYY")</f>
        <v>Sep-2025</v>
      </c>
      <c r="K3296" s="13" t="str">
        <f>Raw_Data!K3296</f>
        <v>17</v>
      </c>
      <c r="L3296" s="17" t="str">
        <f>Raw_Data!L3296</f>
        <v>Bangalore-South</v>
      </c>
      <c r="M3296" s="13" t="str">
        <f t="shared" si="3"/>
        <v>OK</v>
      </c>
      <c r="N3296" s="18" t="str">
        <f t="shared" si="4"/>
        <v>VALID</v>
      </c>
    </row>
    <row r="3297" ht="15.75" customHeight="1">
      <c r="A3297" s="13" t="str">
        <f>Raw_Data!A3297</f>
        <v>EMP3476</v>
      </c>
      <c r="B3297" s="13" t="str">
        <f>TRIM(CLEAN(Raw_Data!B3297))</f>
        <v>Sales</v>
      </c>
      <c r="C3297" s="18" t="s">
        <v>33</v>
      </c>
      <c r="D3297" s="14" t="str">
        <f>IF(ISBLANK(Raw_Data!D3297),AVERAGE(Raw_Data!D$2:D$5002),Raw_Data!D3297)</f>
        <v>85920.90</v>
      </c>
      <c r="E3297" s="15" t="str">
        <f>IF(ISBLANK(Raw_Data!E3297),AVERAGE(Raw_Data!E$2:E$5002),Raw_Data!E3297)</f>
        <v>30031.39</v>
      </c>
      <c r="F3297" s="15" t="str">
        <f>IF(ISBLANK(Raw_Data!F3297),AVERAGE(Raw_Data!F$2:F$5002),Raw_Data!F3297)</f>
        <v>26866.95</v>
      </c>
      <c r="G3297" s="14" t="str">
        <f>IF(ISBLANK(Raw_Data!G3297),AVERAGE(Raw_Data!G$2:G$5002),Raw_Data!G3297)</f>
        <v>18719.67</v>
      </c>
      <c r="H3297" s="15" t="str">
        <f t="shared" si="1"/>
        <v>142819.00</v>
      </c>
      <c r="I3297" s="14" t="str">
        <f t="shared" si="2"/>
        <v>124099.00</v>
      </c>
      <c r="J3297" s="16" t="str">
        <f>TEXT(Raw_Data!J3297,"MMM-YYY")</f>
        <v>Apr-2025</v>
      </c>
      <c r="K3297" s="13" t="str">
        <f>Raw_Data!K3297</f>
        <v>5</v>
      </c>
      <c r="L3297" s="17" t="str">
        <f>Raw_Data!L3297</f>
        <v>Delhi-North</v>
      </c>
      <c r="M3297" s="13" t="str">
        <f t="shared" si="3"/>
        <v>OK</v>
      </c>
      <c r="N3297" s="18" t="str">
        <f t="shared" si="4"/>
        <v>VALID</v>
      </c>
    </row>
    <row r="3298" ht="15.75" customHeight="1">
      <c r="A3298" s="13" t="str">
        <f>Raw_Data!A3298</f>
        <v>EMP3477</v>
      </c>
      <c r="B3298" s="13" t="str">
        <f>TRIM(CLEAN(Raw_Data!B3298))</f>
        <v>Sales</v>
      </c>
      <c r="C3298" s="18" t="s">
        <v>37</v>
      </c>
      <c r="D3298" s="14" t="str">
        <f>IF(ISBLANK(Raw_Data!D3298),AVERAGE(Raw_Data!D$2:D$5002),Raw_Data!D3298)</f>
        <v>85931.78</v>
      </c>
      <c r="E3298" s="15" t="str">
        <f>IF(ISBLANK(Raw_Data!E3298),AVERAGE(Raw_Data!E$2:E$5002),Raw_Data!E3298)</f>
        <v>30036.00</v>
      </c>
      <c r="F3298" s="15" t="str">
        <f>IF(ISBLANK(Raw_Data!F3298),AVERAGE(Raw_Data!F$2:F$5002),Raw_Data!F3298)</f>
        <v>26874.63</v>
      </c>
      <c r="G3298" s="14" t="str">
        <f>IF(ISBLANK(Raw_Data!G3298),AVERAGE(Raw_Data!G$2:G$5002),Raw_Data!G3298)</f>
        <v>18723.06</v>
      </c>
      <c r="H3298" s="15" t="str">
        <f t="shared" si="1"/>
        <v>142842.00</v>
      </c>
      <c r="I3298" s="14" t="str">
        <f t="shared" si="2"/>
        <v>124119.00</v>
      </c>
      <c r="J3298" s="16" t="str">
        <f>TEXT(Raw_Data!J3298,"MMM-YYY")</f>
        <v>Jun-2025</v>
      </c>
      <c r="K3298" s="13" t="str">
        <f>Raw_Data!K3298</f>
        <v>24</v>
      </c>
      <c r="L3298" s="17" t="str">
        <f>Raw_Data!L3298</f>
        <v>Chennai-South</v>
      </c>
      <c r="M3298" s="13" t="str">
        <f t="shared" si="3"/>
        <v>OK</v>
      </c>
      <c r="N3298" s="18" t="str">
        <f t="shared" si="4"/>
        <v>VALID</v>
      </c>
    </row>
    <row r="3299" ht="15.75" customHeight="1">
      <c r="A3299" s="13" t="str">
        <f>Raw_Data!A3299</f>
        <v>EMP3478</v>
      </c>
      <c r="B3299" s="13" t="str">
        <f>TRIM(CLEAN(Raw_Data!B3299))</f>
        <v>HR</v>
      </c>
      <c r="C3299" s="18" t="s">
        <v>14</v>
      </c>
      <c r="D3299" s="14" t="str">
        <f>IF(ISBLANK(Raw_Data!D3299),AVERAGE(Raw_Data!D$2:D$5002),Raw_Data!D3299)</f>
        <v>85942.66</v>
      </c>
      <c r="E3299" s="15" t="str">
        <f>IF(ISBLANK(Raw_Data!E3299),AVERAGE(Raw_Data!E$2:E$5002),Raw_Data!E3299)</f>
        <v>30040.61</v>
      </c>
      <c r="F3299" s="15" t="str">
        <f>IF(ISBLANK(Raw_Data!F3299),AVERAGE(Raw_Data!F$2:F$5002),Raw_Data!F3299)</f>
        <v>26882.31</v>
      </c>
      <c r="G3299" s="14" t="str">
        <f>IF(ISBLANK(Raw_Data!G3299),AVERAGE(Raw_Data!G$2:G$5002),Raw_Data!G3299)</f>
        <v>18726.46</v>
      </c>
      <c r="H3299" s="15" t="str">
        <f t="shared" si="1"/>
        <v>142866.00</v>
      </c>
      <c r="I3299" s="14" t="str">
        <f t="shared" si="2"/>
        <v>124140.00</v>
      </c>
      <c r="J3299" s="16" t="str">
        <f>TEXT(Raw_Data!J3299,"MMM-YYY")</f>
        <v>May-2025</v>
      </c>
      <c r="K3299" s="13" t="str">
        <f>Raw_Data!K3299</f>
        <v>20</v>
      </c>
      <c r="L3299" s="17" t="str">
        <f>Raw_Data!L3299</f>
        <v>Mumbai-HO</v>
      </c>
      <c r="M3299" s="13" t="str">
        <f t="shared" si="3"/>
        <v>OK</v>
      </c>
      <c r="N3299" s="18" t="str">
        <f t="shared" si="4"/>
        <v>VALID</v>
      </c>
    </row>
    <row r="3300" ht="15.75" customHeight="1">
      <c r="A3300" s="13" t="str">
        <f>Raw_Data!A3300</f>
        <v>EMP3479</v>
      </c>
      <c r="B3300" s="13" t="str">
        <f>TRIM(CLEAN(Raw_Data!B3300))</f>
        <v>Customer Support</v>
      </c>
      <c r="C3300" s="18" t="s">
        <v>30</v>
      </c>
      <c r="D3300" s="14" t="str">
        <f>IF(ISBLANK(Raw_Data!D3300),AVERAGE(Raw_Data!D$2:D$5002),Raw_Data!D3300)</f>
        <v>85953.55</v>
      </c>
      <c r="E3300" s="15" t="str">
        <f>IF(ISBLANK(Raw_Data!E3300),AVERAGE(Raw_Data!E$2:E$5002),Raw_Data!E3300)</f>
        <v>30045.23</v>
      </c>
      <c r="F3300" s="15" t="str">
        <f>IF(ISBLANK(Raw_Data!F3300),AVERAGE(Raw_Data!F$2:F$5002),Raw_Data!F3300)</f>
        <v>26889.99</v>
      </c>
      <c r="G3300" s="14" t="str">
        <f>IF(ISBLANK(Raw_Data!G3300),AVERAGE(Raw_Data!G$2:G$5002),Raw_Data!G3300)</f>
        <v>18729.86</v>
      </c>
      <c r="H3300" s="15" t="str">
        <f t="shared" si="1"/>
        <v>142889.00</v>
      </c>
      <c r="I3300" s="14" t="str">
        <f t="shared" si="2"/>
        <v>124159.00</v>
      </c>
      <c r="J3300" s="16" t="str">
        <f>TEXT(Raw_Data!J3300,"MMM-YYY")</f>
        <v>Nov-2025</v>
      </c>
      <c r="K3300" s="13" t="str">
        <f>Raw_Data!K3300</f>
        <v>2</v>
      </c>
      <c r="L3300" s="17" t="str">
        <f>Raw_Data!L3300</f>
        <v>Kolkata-East</v>
      </c>
      <c r="M3300" s="13" t="str">
        <f t="shared" si="3"/>
        <v>OK</v>
      </c>
      <c r="N3300" s="18" t="str">
        <f t="shared" si="4"/>
        <v>VALID</v>
      </c>
    </row>
    <row r="3301" ht="15.75" customHeight="1">
      <c r="A3301" s="13" t="str">
        <f>Raw_Data!A3301</f>
        <v>EMP3480</v>
      </c>
      <c r="B3301" s="13" t="str">
        <f>TRIM(CLEAN(Raw_Data!B3301))</f>
        <v>Finance</v>
      </c>
      <c r="C3301" s="18" t="s">
        <v>33</v>
      </c>
      <c r="D3301" s="14" t="str">
        <f>IF(ISBLANK(Raw_Data!D3301),AVERAGE(Raw_Data!D$2:D$5002),Raw_Data!D3301)</f>
        <v>85964.43</v>
      </c>
      <c r="E3301" s="15" t="str">
        <f>IF(ISBLANK(Raw_Data!E3301),AVERAGE(Raw_Data!E$2:E$5002),Raw_Data!E3301)</f>
        <v>30049.84</v>
      </c>
      <c r="F3301" s="15" t="str">
        <f>IF(ISBLANK(Raw_Data!F3301),AVERAGE(Raw_Data!F$2:F$5002),Raw_Data!F3301)</f>
        <v>26897.67</v>
      </c>
      <c r="G3301" s="14" t="str">
        <f>IF(ISBLANK(Raw_Data!G3301),AVERAGE(Raw_Data!G$2:G$5002),Raw_Data!G3301)</f>
        <v>18733.26</v>
      </c>
      <c r="H3301" s="15" t="str">
        <f t="shared" si="1"/>
        <v>142912.00</v>
      </c>
      <c r="I3301" s="14" t="str">
        <f t="shared" si="2"/>
        <v>124179.00</v>
      </c>
      <c r="J3301" s="16" t="str">
        <f>TEXT(Raw_Data!J3301,"MMM-YYY")</f>
        <v>Sep-2025</v>
      </c>
      <c r="K3301" s="13" t="str">
        <f>Raw_Data!K3301</f>
        <v>23</v>
      </c>
      <c r="L3301" s="17" t="str">
        <f>Raw_Data!L3301</f>
        <v>Chennai-South</v>
      </c>
      <c r="M3301" s="13" t="str">
        <f t="shared" si="3"/>
        <v>OK</v>
      </c>
      <c r="N3301" s="18" t="str">
        <f t="shared" si="4"/>
        <v>VALID</v>
      </c>
    </row>
    <row r="3302" ht="15.75" customHeight="1">
      <c r="A3302" s="13" t="str">
        <f>Raw_Data!A3302</f>
        <v>EMP3481</v>
      </c>
      <c r="B3302" s="13" t="str">
        <f>TRIM(CLEAN(Raw_Data!B3302))</f>
        <v>Finance</v>
      </c>
      <c r="C3302" s="18" t="s">
        <v>26</v>
      </c>
      <c r="D3302" s="14" t="str">
        <f>IF(ISBLANK(Raw_Data!D3302),AVERAGE(Raw_Data!D$2:D$5002),Raw_Data!D3302)</f>
        <v>85975.31</v>
      </c>
      <c r="E3302" s="15" t="str">
        <f>IF(ISBLANK(Raw_Data!E3302),AVERAGE(Raw_Data!E$2:E$5002),Raw_Data!E3302)</f>
        <v>30054.46</v>
      </c>
      <c r="F3302" s="15" t="str">
        <f>IF(ISBLANK(Raw_Data!F3302),AVERAGE(Raw_Data!F$2:F$5002),Raw_Data!F3302)</f>
        <v>26905.35</v>
      </c>
      <c r="G3302" s="14" t="str">
        <f>IF(ISBLANK(Raw_Data!G3302),AVERAGE(Raw_Data!G$2:G$5002),Raw_Data!G3302)</f>
        <v>18736.65</v>
      </c>
      <c r="H3302" s="15" t="str">
        <f t="shared" si="1"/>
        <v>142935.00</v>
      </c>
      <c r="I3302" s="14" t="str">
        <f t="shared" si="2"/>
        <v>124198.00</v>
      </c>
      <c r="J3302" s="16" t="str">
        <f>TEXT(Raw_Data!J3302,"MMM-YYY")</f>
        <v>Sep-2025</v>
      </c>
      <c r="K3302" s="13" t="str">
        <f>Raw_Data!K3302</f>
        <v>16</v>
      </c>
      <c r="L3302" s="17" t="str">
        <f>Raw_Data!L3302</f>
        <v>Bangalore-South</v>
      </c>
      <c r="M3302" s="13" t="str">
        <f t="shared" si="3"/>
        <v>OK</v>
      </c>
      <c r="N3302" s="18" t="str">
        <f t="shared" si="4"/>
        <v>VALID</v>
      </c>
    </row>
    <row r="3303" ht="15.75" customHeight="1">
      <c r="A3303" s="13" t="str">
        <f>Raw_Data!A3303</f>
        <v>EMP3482</v>
      </c>
      <c r="B3303" s="13" t="str">
        <f>TRIM(CLEAN(Raw_Data!B3303))</f>
        <v>Sales</v>
      </c>
      <c r="C3303" s="18" t="s">
        <v>18</v>
      </c>
      <c r="D3303" s="14" t="str">
        <f>IF(ISBLANK(Raw_Data!D3303),AVERAGE(Raw_Data!D$2:D$5002),Raw_Data!D3303)</f>
        <v>71831.17</v>
      </c>
      <c r="E3303" s="15" t="str">
        <f>IF(ISBLANK(Raw_Data!E3303),AVERAGE(Raw_Data!E$2:E$5002),Raw_Data!E3303)</f>
        <v>30059.07</v>
      </c>
      <c r="F3303" s="15" t="str">
        <f>IF(ISBLANK(Raw_Data!F3303),AVERAGE(Raw_Data!F$2:F$5002),Raw_Data!F3303)</f>
        <v>26913.03</v>
      </c>
      <c r="G3303" s="14" t="str">
        <f>IF(ISBLANK(Raw_Data!G3303),AVERAGE(Raw_Data!G$2:G$5002),Raw_Data!G3303)</f>
        <v>18740.05</v>
      </c>
      <c r="H3303" s="15" t="str">
        <f t="shared" si="1"/>
        <v>128803.00</v>
      </c>
      <c r="I3303" s="14" t="str">
        <f t="shared" si="2"/>
        <v>110063.00</v>
      </c>
      <c r="J3303" s="16" t="str">
        <f>TEXT(Raw_Data!J3303,"MMM-YYY")</f>
        <v>May-2025</v>
      </c>
      <c r="K3303" s="13" t="str">
        <f>Raw_Data!K3303</f>
        <v>16</v>
      </c>
      <c r="L3303" s="17" t="str">
        <f>Raw_Data!L3303</f>
        <v>Jaipur-North</v>
      </c>
      <c r="M3303" s="13" t="str">
        <f t="shared" si="3"/>
        <v>OK</v>
      </c>
      <c r="N3303" s="18" t="str">
        <f t="shared" si="4"/>
        <v>VALID</v>
      </c>
    </row>
    <row r="3304" ht="15.75" customHeight="1">
      <c r="A3304" s="13" t="str">
        <f>Raw_Data!A3304</f>
        <v>EMP3483</v>
      </c>
      <c r="B3304" s="13" t="str">
        <f>TRIM(CLEAN(Raw_Data!B3304))</f>
        <v>Operations</v>
      </c>
      <c r="C3304" s="18" t="s">
        <v>33</v>
      </c>
      <c r="D3304" s="14" t="str">
        <f>IF(ISBLANK(Raw_Data!D3304),AVERAGE(Raw_Data!D$2:D$5002),Raw_Data!D3304)</f>
        <v>85997.08</v>
      </c>
      <c r="E3304" s="15" t="str">
        <f>IF(ISBLANK(Raw_Data!E3304),AVERAGE(Raw_Data!E$2:E$5002),Raw_Data!E3304)</f>
        <v>30063.69</v>
      </c>
      <c r="F3304" s="15" t="str">
        <f>IF(ISBLANK(Raw_Data!F3304),AVERAGE(Raw_Data!F$2:F$5002),Raw_Data!F3304)</f>
        <v>26920.71</v>
      </c>
      <c r="G3304" s="14" t="str">
        <f>IF(ISBLANK(Raw_Data!G3304),AVERAGE(Raw_Data!G$2:G$5002),Raw_Data!G3304)</f>
        <v>18743.45</v>
      </c>
      <c r="H3304" s="15" t="str">
        <f t="shared" si="1"/>
        <v>142981.00</v>
      </c>
      <c r="I3304" s="14" t="str">
        <f t="shared" si="2"/>
        <v>124238.00</v>
      </c>
      <c r="J3304" s="16" t="str">
        <f>TEXT(Raw_Data!J3304,"MMM-YYY")</f>
        <v>Nov-2025</v>
      </c>
      <c r="K3304" s="13" t="str">
        <f>Raw_Data!K3304</f>
        <v>7</v>
      </c>
      <c r="L3304" s="17" t="str">
        <f>Raw_Data!L3304</f>
        <v>Pune-West</v>
      </c>
      <c r="M3304" s="13" t="str">
        <f t="shared" si="3"/>
        <v>OK</v>
      </c>
      <c r="N3304" s="18" t="str">
        <f t="shared" si="4"/>
        <v>VALID</v>
      </c>
    </row>
    <row r="3305" ht="15.75" customHeight="1">
      <c r="A3305" s="13" t="str">
        <f>Raw_Data!A3305</f>
        <v>EMP3484</v>
      </c>
      <c r="B3305" s="13" t="str">
        <f>TRIM(CLEAN(Raw_Data!B3305))</f>
        <v>Sales</v>
      </c>
      <c r="C3305" s="18" t="s">
        <v>18</v>
      </c>
      <c r="D3305" s="14" t="str">
        <f>IF(ISBLANK(Raw_Data!D3305),AVERAGE(Raw_Data!D$2:D$5002),Raw_Data!D3305)</f>
        <v>86007.96</v>
      </c>
      <c r="E3305" s="15" t="str">
        <f>IF(ISBLANK(Raw_Data!E3305),AVERAGE(Raw_Data!E$2:E$5002),Raw_Data!E3305)</f>
        <v>30068.30</v>
      </c>
      <c r="F3305" s="15" t="str">
        <f>IF(ISBLANK(Raw_Data!F3305),AVERAGE(Raw_Data!F$2:F$5002),Raw_Data!F3305)</f>
        <v>26928.39</v>
      </c>
      <c r="G3305" s="14" t="str">
        <f>IF(ISBLANK(Raw_Data!G3305),AVERAGE(Raw_Data!G$2:G$5002),Raw_Data!G3305)</f>
        <v>18746.85</v>
      </c>
      <c r="H3305" s="15" t="str">
        <f t="shared" si="1"/>
        <v>143005.00</v>
      </c>
      <c r="I3305" s="14" t="str">
        <f t="shared" si="2"/>
        <v>124258.00</v>
      </c>
      <c r="J3305" s="16" t="str">
        <f>TEXT(Raw_Data!J3305,"MMM-YYY")</f>
        <v>Aug-2025</v>
      </c>
      <c r="K3305" s="13" t="str">
        <f>Raw_Data!K3305</f>
        <v>1</v>
      </c>
      <c r="L3305" s="17" t="str">
        <f>Raw_Data!L3305</f>
        <v>Delhi-North</v>
      </c>
      <c r="M3305" s="13" t="str">
        <f t="shared" si="3"/>
        <v>OK</v>
      </c>
      <c r="N3305" s="18" t="str">
        <f t="shared" si="4"/>
        <v>VALID</v>
      </c>
    </row>
    <row r="3306" ht="15.75" customHeight="1">
      <c r="A3306" s="13" t="str">
        <f>Raw_Data!A3306</f>
        <v>EMP3485</v>
      </c>
      <c r="B3306" s="13" t="str">
        <f>TRIM(CLEAN(Raw_Data!B3306))</f>
        <v>HR</v>
      </c>
      <c r="C3306" s="18" t="s">
        <v>18</v>
      </c>
      <c r="D3306" s="14" t="str">
        <f>IF(ISBLANK(Raw_Data!D3306),AVERAGE(Raw_Data!D$2:D$5002),Raw_Data!D3306)</f>
        <v>86018.84</v>
      </c>
      <c r="E3306" s="15" t="str">
        <f>IF(ISBLANK(Raw_Data!E3306),AVERAGE(Raw_Data!E$2:E$5002),Raw_Data!E3306)</f>
        <v>30072.92</v>
      </c>
      <c r="F3306" s="15" t="str">
        <f>IF(ISBLANK(Raw_Data!F3306),AVERAGE(Raw_Data!F$2:F$5002),Raw_Data!F3306)</f>
        <v>26936.07</v>
      </c>
      <c r="G3306" s="14" t="str">
        <f>IF(ISBLANK(Raw_Data!G3306),AVERAGE(Raw_Data!G$2:G$5002),Raw_Data!G3306)</f>
        <v>18750.24</v>
      </c>
      <c r="H3306" s="15" t="str">
        <f t="shared" si="1"/>
        <v>143028.00</v>
      </c>
      <c r="I3306" s="14" t="str">
        <f t="shared" si="2"/>
        <v>124278.00</v>
      </c>
      <c r="J3306" s="16" t="str">
        <f>TEXT(Raw_Data!J3306,"MMM-YYY")</f>
        <v>Feb-2025</v>
      </c>
      <c r="K3306" s="13" t="str">
        <f>Raw_Data!K3306</f>
        <v>3</v>
      </c>
      <c r="L3306" s="17" t="str">
        <f>Raw_Data!L3306</f>
        <v>Bangalore-South</v>
      </c>
      <c r="M3306" s="13" t="str">
        <f t="shared" si="3"/>
        <v>OK</v>
      </c>
      <c r="N3306" s="18" t="str">
        <f t="shared" si="4"/>
        <v>VALID</v>
      </c>
    </row>
    <row r="3307" ht="15.75" customHeight="1">
      <c r="A3307" s="13" t="str">
        <f>Raw_Data!A3307</f>
        <v>EMP3486</v>
      </c>
      <c r="B3307" s="13" t="str">
        <f>TRIM(CLEAN(Raw_Data!B3307))</f>
        <v>Operations</v>
      </c>
      <c r="C3307" s="18" t="s">
        <v>54</v>
      </c>
      <c r="D3307" s="14" t="str">
        <f>IF(ISBLANK(Raw_Data!D3307),AVERAGE(Raw_Data!D$2:D$5002),Raw_Data!D3307)</f>
        <v>86029.73</v>
      </c>
      <c r="E3307" s="15" t="str">
        <f>IF(ISBLANK(Raw_Data!E3307),AVERAGE(Raw_Data!E$2:E$5002),Raw_Data!E3307)</f>
        <v>30077.53</v>
      </c>
      <c r="F3307" s="15" t="str">
        <f>IF(ISBLANK(Raw_Data!F3307),AVERAGE(Raw_Data!F$2:F$5002),Raw_Data!F3307)</f>
        <v>26943.75</v>
      </c>
      <c r="G3307" s="14" t="str">
        <f>IF(ISBLANK(Raw_Data!G3307),AVERAGE(Raw_Data!G$2:G$5002),Raw_Data!G3307)</f>
        <v>18753.64</v>
      </c>
      <c r="H3307" s="15" t="str">
        <f t="shared" si="1"/>
        <v>143051.00</v>
      </c>
      <c r="I3307" s="14" t="str">
        <f t="shared" si="2"/>
        <v>124297.00</v>
      </c>
      <c r="J3307" s="16" t="str">
        <f>TEXT(Raw_Data!J3307,"MMM-YYY")</f>
        <v>Mar-2025</v>
      </c>
      <c r="K3307" s="13" t="str">
        <f>Raw_Data!K3307</f>
        <v>2</v>
      </c>
      <c r="L3307" s="17" t="str">
        <f>Raw_Data!L3307</f>
        <v>Bangalore-South</v>
      </c>
      <c r="M3307" s="13" t="str">
        <f t="shared" si="3"/>
        <v>OK</v>
      </c>
      <c r="N3307" s="18" t="str">
        <f t="shared" si="4"/>
        <v>VALID</v>
      </c>
    </row>
    <row r="3308" ht="15.75" customHeight="1">
      <c r="A3308" s="13" t="str">
        <f>Raw_Data!A3308</f>
        <v>EMP3487</v>
      </c>
      <c r="B3308" s="13" t="str">
        <f>TRIM(CLEAN(Raw_Data!B3308))</f>
        <v>Operations</v>
      </c>
      <c r="C3308" s="18" t="s">
        <v>33</v>
      </c>
      <c r="D3308" s="14" t="str">
        <f>IF(ISBLANK(Raw_Data!D3308),AVERAGE(Raw_Data!D$2:D$5002),Raw_Data!D3308)</f>
        <v>86040.61</v>
      </c>
      <c r="E3308" s="15" t="str">
        <f>IF(ISBLANK(Raw_Data!E3308),AVERAGE(Raw_Data!E$2:E$5002),Raw_Data!E3308)</f>
        <v>30082.15</v>
      </c>
      <c r="F3308" s="15" t="str">
        <f>IF(ISBLANK(Raw_Data!F3308),AVERAGE(Raw_Data!F$2:F$5002),Raw_Data!F3308)</f>
        <v>26951.43</v>
      </c>
      <c r="G3308" s="14" t="str">
        <f>IF(ISBLANK(Raw_Data!G3308),AVERAGE(Raw_Data!G$2:G$5002),Raw_Data!G3308)</f>
        <v>18757.04</v>
      </c>
      <c r="H3308" s="15" t="str">
        <f t="shared" si="1"/>
        <v>143074.00</v>
      </c>
      <c r="I3308" s="14" t="str">
        <f t="shared" si="2"/>
        <v>124317.00</v>
      </c>
      <c r="J3308" s="16" t="str">
        <f>TEXT(Raw_Data!J3308,"MMM-YYY")</f>
        <v>Aug-2025</v>
      </c>
      <c r="K3308" s="13" t="str">
        <f>Raw_Data!K3308</f>
        <v>18</v>
      </c>
      <c r="L3308" s="17" t="str">
        <f>Raw_Data!L3308</f>
        <v>Jaipur-North</v>
      </c>
      <c r="M3308" s="13" t="str">
        <f t="shared" si="3"/>
        <v>OK</v>
      </c>
      <c r="N3308" s="18" t="str">
        <f t="shared" si="4"/>
        <v>VALID</v>
      </c>
    </row>
    <row r="3309" ht="15.75" customHeight="1">
      <c r="A3309" s="13" t="str">
        <f>Raw_Data!A3309</f>
        <v>EMP3488</v>
      </c>
      <c r="B3309" s="13" t="str">
        <f>TRIM(CLEAN(Raw_Data!B3309))</f>
        <v>Customer Support</v>
      </c>
      <c r="C3309" s="18" t="s">
        <v>33</v>
      </c>
      <c r="D3309" s="14" t="str">
        <f>IF(ISBLANK(Raw_Data!D3309),AVERAGE(Raw_Data!D$2:D$5002),Raw_Data!D3309)</f>
        <v>86051.49</v>
      </c>
      <c r="E3309" s="15" t="str">
        <f>IF(ISBLANK(Raw_Data!E3309),AVERAGE(Raw_Data!E$2:E$5002),Raw_Data!E3309)</f>
        <v>30086.76</v>
      </c>
      <c r="F3309" s="15" t="str">
        <f>IF(ISBLANK(Raw_Data!F3309),AVERAGE(Raw_Data!F$2:F$5002),Raw_Data!F3309)</f>
        <v>26959.11</v>
      </c>
      <c r="G3309" s="14" t="str">
        <f>IF(ISBLANK(Raw_Data!G3309),AVERAGE(Raw_Data!G$2:G$5002),Raw_Data!G3309)</f>
        <v>18760.44</v>
      </c>
      <c r="H3309" s="15" t="str">
        <f t="shared" si="1"/>
        <v>143097.00</v>
      </c>
      <c r="I3309" s="14" t="str">
        <f t="shared" si="2"/>
        <v>124337.00</v>
      </c>
      <c r="J3309" s="16" t="str">
        <f>TEXT(Raw_Data!J3309,"MMM-YYY")</f>
        <v>Jan-2025</v>
      </c>
      <c r="K3309" s="13" t="str">
        <f>Raw_Data!K3309</f>
        <v>12</v>
      </c>
      <c r="L3309" s="17" t="str">
        <f>Raw_Data!L3309</f>
        <v>Pune-West</v>
      </c>
      <c r="M3309" s="13" t="str">
        <f t="shared" si="3"/>
        <v>OK</v>
      </c>
      <c r="N3309" s="18" t="str">
        <f t="shared" si="4"/>
        <v>VALID</v>
      </c>
    </row>
    <row r="3310" ht="15.75" customHeight="1">
      <c r="A3310" s="13" t="str">
        <f>Raw_Data!A3310</f>
        <v>EMP3489</v>
      </c>
      <c r="B3310" s="13" t="str">
        <f>TRIM(CLEAN(Raw_Data!B3310))</f>
        <v>HR</v>
      </c>
      <c r="C3310" s="18" t="s">
        <v>18</v>
      </c>
      <c r="D3310" s="14" t="str">
        <f>IF(ISBLANK(Raw_Data!D3310),AVERAGE(Raw_Data!D$2:D$5002),Raw_Data!D3310)</f>
        <v>86062.38</v>
      </c>
      <c r="E3310" s="15" t="str">
        <f>IF(ISBLANK(Raw_Data!E3310),AVERAGE(Raw_Data!E$2:E$5002),Raw_Data!E3310)</f>
        <v>30091.38</v>
      </c>
      <c r="F3310" s="15" t="str">
        <f>IF(ISBLANK(Raw_Data!F3310),AVERAGE(Raw_Data!F$2:F$5002),Raw_Data!F3310)</f>
        <v>26966.79</v>
      </c>
      <c r="G3310" s="14" t="str">
        <f>IF(ISBLANK(Raw_Data!G3310),AVERAGE(Raw_Data!G$2:G$5002),Raw_Data!G3310)</f>
        <v>18763.83</v>
      </c>
      <c r="H3310" s="15" t="str">
        <f t="shared" si="1"/>
        <v>143121.00</v>
      </c>
      <c r="I3310" s="14" t="str">
        <f t="shared" si="2"/>
        <v>124357.00</v>
      </c>
      <c r="J3310" s="16" t="str">
        <f>TEXT(Raw_Data!J3310,"MMM-YYY")</f>
        <v>Jun-2025</v>
      </c>
      <c r="K3310" s="13" t="str">
        <f>Raw_Data!K3310</f>
        <v>7</v>
      </c>
      <c r="L3310" s="17" t="str">
        <f>Raw_Data!L3310</f>
        <v>Hyderabad-South</v>
      </c>
      <c r="M3310" s="13" t="str">
        <f t="shared" si="3"/>
        <v>OK</v>
      </c>
      <c r="N3310" s="18" t="str">
        <f t="shared" si="4"/>
        <v>VALID</v>
      </c>
    </row>
    <row r="3311" ht="15.75" customHeight="1">
      <c r="A3311" s="13" t="str">
        <f>Raw_Data!A3311</f>
        <v>EMP3490</v>
      </c>
      <c r="B3311" s="13" t="str">
        <f>TRIM(CLEAN(Raw_Data!B3311))</f>
        <v>Customer Support</v>
      </c>
      <c r="C3311" s="18" t="s">
        <v>26</v>
      </c>
      <c r="D3311" s="14" t="str">
        <f>IF(ISBLANK(Raw_Data!D3311),AVERAGE(Raw_Data!D$2:D$5002),Raw_Data!D3311)</f>
        <v>86073.26</v>
      </c>
      <c r="E3311" s="15" t="str">
        <f>IF(ISBLANK(Raw_Data!E3311),AVERAGE(Raw_Data!E$2:E$5002),Raw_Data!E3311)</f>
        <v>30095.99</v>
      </c>
      <c r="F3311" s="15" t="str">
        <f>IF(ISBLANK(Raw_Data!F3311),AVERAGE(Raw_Data!F$2:F$5002),Raw_Data!F3311)</f>
        <v>26974.47</v>
      </c>
      <c r="G3311" s="14" t="str">
        <f>IF(ISBLANK(Raw_Data!G3311),AVERAGE(Raw_Data!G$2:G$5002),Raw_Data!G3311)</f>
        <v>18767.23</v>
      </c>
      <c r="H3311" s="15" t="str">
        <f t="shared" si="1"/>
        <v>143144.00</v>
      </c>
      <c r="I3311" s="14" t="str">
        <f t="shared" si="2"/>
        <v>124377.00</v>
      </c>
      <c r="J3311" s="16" t="str">
        <f>TEXT(Raw_Data!J3311,"MMM-YYY")</f>
        <v>Sep-2025</v>
      </c>
      <c r="K3311" s="13" t="str">
        <f>Raw_Data!K3311</f>
        <v>15</v>
      </c>
      <c r="L3311" s="17" t="str">
        <f>Raw_Data!L3311</f>
        <v>Jaipur-North</v>
      </c>
      <c r="M3311" s="13" t="str">
        <f t="shared" si="3"/>
        <v>OK</v>
      </c>
      <c r="N3311" s="18" t="str">
        <f t="shared" si="4"/>
        <v>VALID</v>
      </c>
    </row>
    <row r="3312" ht="15.75" customHeight="1">
      <c r="A3312" s="13" t="str">
        <f>Raw_Data!A3312</f>
        <v>EMP3491</v>
      </c>
      <c r="B3312" s="13" t="str">
        <f>TRIM(CLEAN(Raw_Data!B3312))</f>
        <v>Operations</v>
      </c>
      <c r="C3312" s="18" t="s">
        <v>18</v>
      </c>
      <c r="D3312" s="14" t="str">
        <f>IF(ISBLANK(Raw_Data!D3312),AVERAGE(Raw_Data!D$2:D$5002),Raw_Data!D3312)</f>
        <v>86084.14</v>
      </c>
      <c r="E3312" s="15" t="str">
        <f>IF(ISBLANK(Raw_Data!E3312),AVERAGE(Raw_Data!E$2:E$5002),Raw_Data!E3312)</f>
        <v>30100.61</v>
      </c>
      <c r="F3312" s="15" t="str">
        <f>IF(ISBLANK(Raw_Data!F3312),AVERAGE(Raw_Data!F$2:F$5002),Raw_Data!F3312)</f>
        <v>26982.15</v>
      </c>
      <c r="G3312" s="14" t="str">
        <f>IF(ISBLANK(Raw_Data!G3312),AVERAGE(Raw_Data!G$2:G$5002),Raw_Data!G3312)</f>
        <v>18770.63</v>
      </c>
      <c r="H3312" s="15" t="str">
        <f t="shared" si="1"/>
        <v>143167.00</v>
      </c>
      <c r="I3312" s="14" t="str">
        <f t="shared" si="2"/>
        <v>124396.00</v>
      </c>
      <c r="J3312" s="16" t="str">
        <f>TEXT(Raw_Data!J3312,"MMM-YYY")</f>
        <v>Aug-2025</v>
      </c>
      <c r="K3312" s="13" t="str">
        <f>Raw_Data!K3312</f>
        <v>12</v>
      </c>
      <c r="L3312" s="17" t="str">
        <f>Raw_Data!L3312</f>
        <v>Chennai-South</v>
      </c>
      <c r="M3312" s="13" t="str">
        <f t="shared" si="3"/>
        <v>OK</v>
      </c>
      <c r="N3312" s="18" t="str">
        <f t="shared" si="4"/>
        <v>VALID</v>
      </c>
    </row>
    <row r="3313" ht="15.75" customHeight="1">
      <c r="A3313" s="13" t="str">
        <f>Raw_Data!A3313</f>
        <v>EMP3492</v>
      </c>
      <c r="B3313" s="13" t="str">
        <f>TRIM(CLEAN(Raw_Data!B3313))</f>
        <v>Marketing</v>
      </c>
      <c r="C3313" s="18" t="s">
        <v>18</v>
      </c>
      <c r="D3313" s="14" t="str">
        <f>IF(ISBLANK(Raw_Data!D3313),AVERAGE(Raw_Data!D$2:D$5002),Raw_Data!D3313)</f>
        <v>86095.03</v>
      </c>
      <c r="E3313" s="15" t="str">
        <f>IF(ISBLANK(Raw_Data!E3313),AVERAGE(Raw_Data!E$2:E$5002),Raw_Data!E3313)</f>
        <v>30105.22</v>
      </c>
      <c r="F3313" s="15" t="str">
        <f>IF(ISBLANK(Raw_Data!F3313),AVERAGE(Raw_Data!F$2:F$5002),Raw_Data!F3313)</f>
        <v>26989.83</v>
      </c>
      <c r="G3313" s="14" t="str">
        <f>IF(ISBLANK(Raw_Data!G3313),AVERAGE(Raw_Data!G$2:G$5002),Raw_Data!G3313)</f>
        <v>18774.03</v>
      </c>
      <c r="H3313" s="15" t="str">
        <f t="shared" si="1"/>
        <v>143190.00</v>
      </c>
      <c r="I3313" s="14" t="str">
        <f t="shared" si="2"/>
        <v>124416.00</v>
      </c>
      <c r="J3313" s="16" t="str">
        <f>TEXT(Raw_Data!J3313,"MMM-YYY")</f>
        <v>Aug-2025</v>
      </c>
      <c r="K3313" s="13" t="str">
        <f>Raw_Data!K3313</f>
        <v>3</v>
      </c>
      <c r="L3313" s="17" t="str">
        <f>Raw_Data!L3313</f>
        <v>Chandigarh-North</v>
      </c>
      <c r="M3313" s="13" t="str">
        <f t="shared" si="3"/>
        <v>OK</v>
      </c>
      <c r="N3313" s="18" t="str">
        <f t="shared" si="4"/>
        <v>VALID</v>
      </c>
    </row>
    <row r="3314" ht="15.75" customHeight="1">
      <c r="A3314" s="13" t="str">
        <f>Raw_Data!A3314</f>
        <v>EMP3493</v>
      </c>
      <c r="B3314" s="13" t="str">
        <f>TRIM(CLEAN(Raw_Data!B3314))</f>
        <v>Customer Support</v>
      </c>
      <c r="C3314" s="18" t="s">
        <v>30</v>
      </c>
      <c r="D3314" s="14" t="str">
        <f>IF(ISBLANK(Raw_Data!D3314),AVERAGE(Raw_Data!D$2:D$5002),Raw_Data!D3314)</f>
        <v>86105.91</v>
      </c>
      <c r="E3314" s="15" t="str">
        <f>IF(ISBLANK(Raw_Data!E3314),AVERAGE(Raw_Data!E$2:E$5002),Raw_Data!E3314)</f>
        <v>30109.84</v>
      </c>
      <c r="F3314" s="15" t="str">
        <f>IF(ISBLANK(Raw_Data!F3314),AVERAGE(Raw_Data!F$2:F$5002),Raw_Data!F3314)</f>
        <v>26997.51</v>
      </c>
      <c r="G3314" s="14" t="str">
        <f>IF(ISBLANK(Raw_Data!G3314),AVERAGE(Raw_Data!G$2:G$5002),Raw_Data!G3314)</f>
        <v>18777.42</v>
      </c>
      <c r="H3314" s="15" t="str">
        <f t="shared" si="1"/>
        <v>143213.00</v>
      </c>
      <c r="I3314" s="14" t="str">
        <f t="shared" si="2"/>
        <v>124436.00</v>
      </c>
      <c r="J3314" s="16" t="str">
        <f>TEXT(Raw_Data!J3314,"MMM-YYY")</f>
        <v>Mar-2025</v>
      </c>
      <c r="K3314" s="13" t="str">
        <f>Raw_Data!K3314</f>
        <v>3</v>
      </c>
      <c r="L3314" s="17" t="str">
        <f>Raw_Data!L3314</f>
        <v>Delhi-North</v>
      </c>
      <c r="M3314" s="13" t="str">
        <f t="shared" si="3"/>
        <v>OK</v>
      </c>
      <c r="N3314" s="18" t="str">
        <f t="shared" si="4"/>
        <v>VALID</v>
      </c>
    </row>
    <row r="3315" ht="15.75" customHeight="1">
      <c r="A3315" s="13" t="str">
        <f>Raw_Data!A3315</f>
        <v>EMP3494</v>
      </c>
      <c r="B3315" s="13" t="str">
        <f>TRIM(CLEAN(Raw_Data!B3315))</f>
        <v>Sales</v>
      </c>
      <c r="C3315" s="18" t="s">
        <v>30</v>
      </c>
      <c r="D3315" s="14" t="str">
        <f>IF(ISBLANK(Raw_Data!D3315),AVERAGE(Raw_Data!D$2:D$5002),Raw_Data!D3315)</f>
        <v>86116.79</v>
      </c>
      <c r="E3315" s="15" t="str">
        <f>IF(ISBLANK(Raw_Data!E3315),AVERAGE(Raw_Data!E$2:E$5002),Raw_Data!E3315)</f>
        <v>30114.45</v>
      </c>
      <c r="F3315" s="15" t="str">
        <f>IF(ISBLANK(Raw_Data!F3315),AVERAGE(Raw_Data!F$2:F$5002),Raw_Data!F3315)</f>
        <v>27005.19</v>
      </c>
      <c r="G3315" s="14" t="str">
        <f>IF(ISBLANK(Raw_Data!G3315),AVERAGE(Raw_Data!G$2:G$5002),Raw_Data!G3315)</f>
        <v>18780.82</v>
      </c>
      <c r="H3315" s="15" t="str">
        <f t="shared" si="1"/>
        <v>143236.00</v>
      </c>
      <c r="I3315" s="14" t="str">
        <f t="shared" si="2"/>
        <v>124455.00</v>
      </c>
      <c r="J3315" s="16" t="str">
        <f>TEXT(Raw_Data!J3315,"MMM-YYY")</f>
        <v>Mar-2025</v>
      </c>
      <c r="K3315" s="13" t="str">
        <f>Raw_Data!K3315</f>
        <v>15</v>
      </c>
      <c r="L3315" s="17" t="str">
        <f>Raw_Data!L3315</f>
        <v>Kolkata-East</v>
      </c>
      <c r="M3315" s="13" t="str">
        <f t="shared" si="3"/>
        <v>OK</v>
      </c>
      <c r="N3315" s="18" t="str">
        <f t="shared" si="4"/>
        <v>VALID</v>
      </c>
    </row>
    <row r="3316" ht="15.75" customHeight="1">
      <c r="A3316" s="13" t="str">
        <f>Raw_Data!A3316</f>
        <v>EMP3495</v>
      </c>
      <c r="B3316" s="13" t="str">
        <f>TRIM(CLEAN(Raw_Data!B3316))</f>
        <v>HR</v>
      </c>
      <c r="C3316" s="18" t="s">
        <v>26</v>
      </c>
      <c r="D3316" s="14" t="str">
        <f>IF(ISBLANK(Raw_Data!D3316),AVERAGE(Raw_Data!D$2:D$5002),Raw_Data!D3316)</f>
        <v>86127.67</v>
      </c>
      <c r="E3316" s="15" t="str">
        <f>IF(ISBLANK(Raw_Data!E3316),AVERAGE(Raw_Data!E$2:E$5002),Raw_Data!E3316)</f>
        <v>30119.06</v>
      </c>
      <c r="F3316" s="15" t="str">
        <f>IF(ISBLANK(Raw_Data!F3316),AVERAGE(Raw_Data!F$2:F$5002),Raw_Data!F3316)</f>
        <v>27012.87</v>
      </c>
      <c r="G3316" s="14" t="str">
        <f>IF(ISBLANK(Raw_Data!G3316),AVERAGE(Raw_Data!G$2:G$5002),Raw_Data!G3316)</f>
        <v>18784.22</v>
      </c>
      <c r="H3316" s="15" t="str">
        <f t="shared" si="1"/>
        <v>143260.00</v>
      </c>
      <c r="I3316" s="14" t="str">
        <f t="shared" si="2"/>
        <v>124476.00</v>
      </c>
      <c r="J3316" s="16" t="str">
        <f>TEXT(Raw_Data!J3316,"MMM-YYY")</f>
        <v>Feb-2025</v>
      </c>
      <c r="K3316" s="13" t="str">
        <f>Raw_Data!K3316</f>
        <v>10</v>
      </c>
      <c r="L3316" s="17" t="str">
        <f>Raw_Data!L3316</f>
        <v>Pune-West</v>
      </c>
      <c r="M3316" s="13" t="str">
        <f t="shared" si="3"/>
        <v>OK</v>
      </c>
      <c r="N3316" s="18" t="str">
        <f t="shared" si="4"/>
        <v>VALID</v>
      </c>
    </row>
    <row r="3317" ht="15.75" customHeight="1">
      <c r="A3317" s="13" t="str">
        <f>Raw_Data!A3317</f>
        <v>EMP3496</v>
      </c>
      <c r="B3317" s="13" t="str">
        <f>TRIM(CLEAN(Raw_Data!B3317))</f>
        <v>Finance</v>
      </c>
      <c r="C3317" s="18" t="s">
        <v>26</v>
      </c>
      <c r="D3317" s="14" t="str">
        <f>IF(ISBLANK(Raw_Data!D3317),AVERAGE(Raw_Data!D$2:D$5002),Raw_Data!D3317)</f>
        <v>86138.56</v>
      </c>
      <c r="E3317" s="15" t="str">
        <f>IF(ISBLANK(Raw_Data!E3317),AVERAGE(Raw_Data!E$2:E$5002),Raw_Data!E3317)</f>
        <v>30123.68</v>
      </c>
      <c r="F3317" s="15" t="str">
        <f>IF(ISBLANK(Raw_Data!F3317),AVERAGE(Raw_Data!F$2:F$5002),Raw_Data!F3317)</f>
        <v>27020.55</v>
      </c>
      <c r="G3317" s="14" t="str">
        <f>IF(ISBLANK(Raw_Data!G3317),AVERAGE(Raw_Data!G$2:G$5002),Raw_Data!G3317)</f>
        <v>18787.62</v>
      </c>
      <c r="H3317" s="15" t="str">
        <f t="shared" si="1"/>
        <v>143283.00</v>
      </c>
      <c r="I3317" s="14" t="str">
        <f t="shared" si="2"/>
        <v>124495.00</v>
      </c>
      <c r="J3317" s="16" t="str">
        <f>TEXT(Raw_Data!J3317,"MMM-YYY")</f>
        <v>Jul-2025</v>
      </c>
      <c r="K3317" s="13" t="str">
        <f>Raw_Data!K3317</f>
        <v>9</v>
      </c>
      <c r="L3317" s="17" t="str">
        <f>Raw_Data!L3317</f>
        <v>Delhi-North</v>
      </c>
      <c r="M3317" s="13" t="str">
        <f t="shared" si="3"/>
        <v>OK</v>
      </c>
      <c r="N3317" s="18" t="str">
        <f t="shared" si="4"/>
        <v>VALID</v>
      </c>
    </row>
    <row r="3318" ht="15.75" customHeight="1">
      <c r="A3318" s="13" t="str">
        <f>Raw_Data!A3318</f>
        <v>EMP3498</v>
      </c>
      <c r="B3318" s="13" t="str">
        <f>TRIM(CLEAN(Raw_Data!B3318))</f>
        <v>Operations</v>
      </c>
      <c r="C3318" s="18" t="s">
        <v>14</v>
      </c>
      <c r="D3318" s="14" t="str">
        <f>IF(ISBLANK(Raw_Data!D3318),AVERAGE(Raw_Data!D$2:D$5002),Raw_Data!D3318)</f>
        <v>86160.32</v>
      </c>
      <c r="E3318" s="15" t="str">
        <f>IF(ISBLANK(Raw_Data!E3318),AVERAGE(Raw_Data!E$2:E$5002),Raw_Data!E3318)</f>
        <v>30132.91</v>
      </c>
      <c r="F3318" s="15" t="str">
        <f>IF(ISBLANK(Raw_Data!F3318),AVERAGE(Raw_Data!F$2:F$5002),Raw_Data!F3318)</f>
        <v>27035.91</v>
      </c>
      <c r="G3318" s="14" t="str">
        <f>IF(ISBLANK(Raw_Data!G3318),AVERAGE(Raw_Data!G$2:G$5002),Raw_Data!G3318)</f>
        <v>18794.41</v>
      </c>
      <c r="H3318" s="15" t="str">
        <f t="shared" si="1"/>
        <v>143329.00</v>
      </c>
      <c r="I3318" s="14" t="str">
        <f t="shared" si="2"/>
        <v>124535.00</v>
      </c>
      <c r="J3318" s="16" t="str">
        <f>TEXT(Raw_Data!J3318,"MMM-YYY")</f>
        <v>May-2025</v>
      </c>
      <c r="K3318" s="13" t="str">
        <f>Raw_Data!K3318</f>
        <v>25</v>
      </c>
      <c r="L3318" s="17" t="str">
        <f>Raw_Data!L3318</f>
        <v>Pune-West</v>
      </c>
      <c r="M3318" s="13" t="str">
        <f t="shared" si="3"/>
        <v>OK</v>
      </c>
      <c r="N3318" s="18" t="str">
        <f t="shared" si="4"/>
        <v>VALID</v>
      </c>
    </row>
    <row r="3319" ht="15.75" customHeight="1">
      <c r="A3319" s="13" t="str">
        <f>Raw_Data!A3319</f>
        <v>EMP3499</v>
      </c>
      <c r="B3319" s="13" t="str">
        <f>TRIM(CLEAN(Raw_Data!B3319))</f>
        <v>Operations</v>
      </c>
      <c r="C3319" s="18" t="s">
        <v>18</v>
      </c>
      <c r="D3319" s="14" t="str">
        <f>IF(ISBLANK(Raw_Data!D3319),AVERAGE(Raw_Data!D$2:D$5002),Raw_Data!D3319)</f>
        <v>86171.21</v>
      </c>
      <c r="E3319" s="15" t="str">
        <f>IF(ISBLANK(Raw_Data!E3319),AVERAGE(Raw_Data!E$2:E$5002),Raw_Data!E3319)</f>
        <v>30137.52</v>
      </c>
      <c r="F3319" s="15" t="str">
        <f>IF(ISBLANK(Raw_Data!F3319),AVERAGE(Raw_Data!F$2:F$5002),Raw_Data!F3319)</f>
        <v>27043.59</v>
      </c>
      <c r="G3319" s="14" t="str">
        <f>IF(ISBLANK(Raw_Data!G3319),AVERAGE(Raw_Data!G$2:G$5002),Raw_Data!G3319)</f>
        <v>18797.81</v>
      </c>
      <c r="H3319" s="15" t="str">
        <f t="shared" si="1"/>
        <v>143352.00</v>
      </c>
      <c r="I3319" s="14" t="str">
        <f t="shared" si="2"/>
        <v>124554.00</v>
      </c>
      <c r="J3319" s="16" t="str">
        <f>TEXT(Raw_Data!J3319,"MMM-YYY")</f>
        <v>Feb-2025</v>
      </c>
      <c r="K3319" s="13" t="str">
        <f>Raw_Data!K3319</f>
        <v>24</v>
      </c>
      <c r="L3319" s="17" t="str">
        <f>Raw_Data!L3319</f>
        <v>Jaipur-North</v>
      </c>
      <c r="M3319" s="13" t="str">
        <f t="shared" si="3"/>
        <v>OK</v>
      </c>
      <c r="N3319" s="18" t="str">
        <f t="shared" si="4"/>
        <v>VALID</v>
      </c>
    </row>
    <row r="3320" ht="15.75" customHeight="1">
      <c r="A3320" s="13" t="str">
        <f>Raw_Data!A3320</f>
        <v>EMP3501</v>
      </c>
      <c r="B3320" s="13" t="str">
        <f>TRIM(CLEAN(Raw_Data!B3320))</f>
        <v>Marketing</v>
      </c>
      <c r="C3320" s="18" t="s">
        <v>37</v>
      </c>
      <c r="D3320" s="14" t="str">
        <f>IF(ISBLANK(Raw_Data!D3320),AVERAGE(Raw_Data!D$2:D$5002),Raw_Data!D3320)</f>
        <v>86192.97</v>
      </c>
      <c r="E3320" s="15" t="str">
        <f>IF(ISBLANK(Raw_Data!E3320),AVERAGE(Raw_Data!E$2:E$5002),Raw_Data!E3320)</f>
        <v>30146.75</v>
      </c>
      <c r="F3320" s="15" t="str">
        <f>IF(ISBLANK(Raw_Data!F3320),AVERAGE(Raw_Data!F$2:F$5002),Raw_Data!F3320)</f>
        <v>27058.95</v>
      </c>
      <c r="G3320" s="14" t="str">
        <f>IF(ISBLANK(Raw_Data!G3320),AVERAGE(Raw_Data!G$2:G$5002),Raw_Data!G3320)</f>
        <v>18804.60</v>
      </c>
      <c r="H3320" s="15" t="str">
        <f t="shared" si="1"/>
        <v>143399.00</v>
      </c>
      <c r="I3320" s="14" t="str">
        <f t="shared" si="2"/>
        <v>124594.00</v>
      </c>
      <c r="J3320" s="16" t="str">
        <f>TEXT(Raw_Data!J3320,"MMM-YYY")</f>
        <v>Jun-2025</v>
      </c>
      <c r="K3320" s="13" t="str">
        <f>Raw_Data!K3320</f>
        <v>23</v>
      </c>
      <c r="L3320" s="17" t="str">
        <f>Raw_Data!L3320</f>
        <v>Chennai-South</v>
      </c>
      <c r="M3320" s="13" t="str">
        <f t="shared" si="3"/>
        <v>OK</v>
      </c>
      <c r="N3320" s="18" t="str">
        <f t="shared" si="4"/>
        <v>VALID</v>
      </c>
    </row>
    <row r="3321" ht="15.75" customHeight="1">
      <c r="A3321" s="13" t="str">
        <f>Raw_Data!A3321</f>
        <v>EMP3502</v>
      </c>
      <c r="B3321" s="13" t="str">
        <f>TRIM(CLEAN(Raw_Data!B3321))</f>
        <v>Operations</v>
      </c>
      <c r="C3321" s="18" t="s">
        <v>18</v>
      </c>
      <c r="D3321" s="14" t="str">
        <f>IF(ISBLANK(Raw_Data!D3321),AVERAGE(Raw_Data!D$2:D$5002),Raw_Data!D3321)</f>
        <v>86203.85</v>
      </c>
      <c r="E3321" s="15" t="str">
        <f>IF(ISBLANK(Raw_Data!E3321),AVERAGE(Raw_Data!E$2:E$5002),Raw_Data!E3321)</f>
        <v>30151.37</v>
      </c>
      <c r="F3321" s="15" t="str">
        <f>IF(ISBLANK(Raw_Data!F3321),AVERAGE(Raw_Data!F$2:F$5002),Raw_Data!F3321)</f>
        <v>27066.63</v>
      </c>
      <c r="G3321" s="14" t="str">
        <f>IF(ISBLANK(Raw_Data!G3321),AVERAGE(Raw_Data!G$2:G$5002),Raw_Data!G3321)</f>
        <v>18808.00</v>
      </c>
      <c r="H3321" s="15" t="str">
        <f t="shared" si="1"/>
        <v>143422.00</v>
      </c>
      <c r="I3321" s="14" t="str">
        <f t="shared" si="2"/>
        <v>124614.00</v>
      </c>
      <c r="J3321" s="16" t="str">
        <f>TEXT(Raw_Data!J3321,"MMM-YYY")</f>
        <v>Nov-2025</v>
      </c>
      <c r="K3321" s="13" t="str">
        <f>Raw_Data!K3321</f>
        <v>11</v>
      </c>
      <c r="L3321" s="17" t="str">
        <f>Raw_Data!L3321</f>
        <v>Mumbai-HO</v>
      </c>
      <c r="M3321" s="13" t="str">
        <f t="shared" si="3"/>
        <v>OK</v>
      </c>
      <c r="N3321" s="18" t="str">
        <f t="shared" si="4"/>
        <v>VALID</v>
      </c>
    </row>
    <row r="3322" ht="15.75" customHeight="1">
      <c r="A3322" s="13" t="str">
        <f>Raw_Data!A3322</f>
        <v>EMP3503</v>
      </c>
      <c r="B3322" s="13" t="str">
        <f>TRIM(CLEAN(Raw_Data!B3322))</f>
        <v>Customer Support</v>
      </c>
      <c r="C3322" s="18" t="s">
        <v>14</v>
      </c>
      <c r="D3322" s="14" t="str">
        <f>IF(ISBLANK(Raw_Data!D3322),AVERAGE(Raw_Data!D$2:D$5002),Raw_Data!D3322)</f>
        <v>86214.74</v>
      </c>
      <c r="E3322" s="15" t="str">
        <f>IF(ISBLANK(Raw_Data!E3322),AVERAGE(Raw_Data!E$2:E$5002),Raw_Data!E3322)</f>
        <v>30155.98</v>
      </c>
      <c r="F3322" s="15" t="str">
        <f>IF(ISBLANK(Raw_Data!F3322),AVERAGE(Raw_Data!F$2:F$5002),Raw_Data!F3322)</f>
        <v>27074.31</v>
      </c>
      <c r="G3322" s="14" t="str">
        <f>IF(ISBLANK(Raw_Data!G3322),AVERAGE(Raw_Data!G$2:G$5002),Raw_Data!G3322)</f>
        <v>18811.40</v>
      </c>
      <c r="H3322" s="15" t="str">
        <f t="shared" si="1"/>
        <v>143445.00</v>
      </c>
      <c r="I3322" s="14" t="str">
        <f t="shared" si="2"/>
        <v>124634.00</v>
      </c>
      <c r="J3322" s="16" t="str">
        <f>TEXT(Raw_Data!J3322,"MMM-YYY")</f>
        <v>Nov-2025</v>
      </c>
      <c r="K3322" s="13" t="str">
        <f>Raw_Data!K3322</f>
        <v>3</v>
      </c>
      <c r="L3322" s="17" t="str">
        <f>Raw_Data!L3322</f>
        <v>Ahmedabad-West</v>
      </c>
      <c r="M3322" s="13" t="str">
        <f t="shared" si="3"/>
        <v>OK</v>
      </c>
      <c r="N3322" s="18" t="str">
        <f t="shared" si="4"/>
        <v>VALID</v>
      </c>
    </row>
    <row r="3323" ht="15.75" customHeight="1">
      <c r="A3323" s="13" t="str">
        <f>Raw_Data!A3323</f>
        <v>EMP3504</v>
      </c>
      <c r="B3323" s="13" t="str">
        <f>TRIM(CLEAN(Raw_Data!B3323))</f>
        <v>Sales</v>
      </c>
      <c r="C3323" s="18" t="s">
        <v>18</v>
      </c>
      <c r="D3323" s="14" t="str">
        <f>IF(ISBLANK(Raw_Data!D3323),AVERAGE(Raw_Data!D$2:D$5002),Raw_Data!D3323)</f>
        <v>86225.62</v>
      </c>
      <c r="E3323" s="15" t="str">
        <f>IF(ISBLANK(Raw_Data!E3323),AVERAGE(Raw_Data!E$2:E$5002),Raw_Data!E3323)</f>
        <v>30160.60</v>
      </c>
      <c r="F3323" s="15" t="str">
        <f>IF(ISBLANK(Raw_Data!F3323),AVERAGE(Raw_Data!F$2:F$5002),Raw_Data!F3323)</f>
        <v>27081.99</v>
      </c>
      <c r="G3323" s="14" t="str">
        <f>IF(ISBLANK(Raw_Data!G3323),AVERAGE(Raw_Data!G$2:G$5002),Raw_Data!G3323)</f>
        <v>18814.80</v>
      </c>
      <c r="H3323" s="15" t="str">
        <f t="shared" si="1"/>
        <v>143468.00</v>
      </c>
      <c r="I3323" s="14" t="str">
        <f t="shared" si="2"/>
        <v>124653.00</v>
      </c>
      <c r="J3323" s="16" t="str">
        <f>TEXT(Raw_Data!J3323,"MMM-YYY")</f>
        <v>Sep-2025</v>
      </c>
      <c r="K3323" s="13" t="str">
        <f>Raw_Data!K3323</f>
        <v>3</v>
      </c>
      <c r="L3323" s="17" t="str">
        <f>Raw_Data!L3323</f>
        <v>Hyderabad-South</v>
      </c>
      <c r="M3323" s="13" t="str">
        <f t="shared" si="3"/>
        <v>OK</v>
      </c>
      <c r="N3323" s="18" t="str">
        <f t="shared" si="4"/>
        <v>VALID</v>
      </c>
    </row>
    <row r="3324" ht="15.75" customHeight="1">
      <c r="A3324" s="13" t="str">
        <f>Raw_Data!A3324</f>
        <v>EMP3505</v>
      </c>
      <c r="B3324" s="13" t="str">
        <f>TRIM(CLEAN(Raw_Data!B3324))</f>
        <v>Operations</v>
      </c>
      <c r="C3324" s="18" t="s">
        <v>18</v>
      </c>
      <c r="D3324" s="14" t="str">
        <f>IF(ISBLANK(Raw_Data!D3324),AVERAGE(Raw_Data!D$2:D$5002),Raw_Data!D3324)</f>
        <v>86236.50</v>
      </c>
      <c r="E3324" s="15" t="str">
        <f>IF(ISBLANK(Raw_Data!E3324),AVERAGE(Raw_Data!E$2:E$5002),Raw_Data!E3324)</f>
        <v>30165.21</v>
      </c>
      <c r="F3324" s="15" t="str">
        <f>IF(ISBLANK(Raw_Data!F3324),AVERAGE(Raw_Data!F$2:F$5002),Raw_Data!F3324)</f>
        <v>27089.67</v>
      </c>
      <c r="G3324" s="14" t="str">
        <f>IF(ISBLANK(Raw_Data!G3324),AVERAGE(Raw_Data!G$2:G$5002),Raw_Data!G3324)</f>
        <v>18818.19</v>
      </c>
      <c r="H3324" s="15" t="str">
        <f t="shared" si="1"/>
        <v>143491.00</v>
      </c>
      <c r="I3324" s="14" t="str">
        <f t="shared" si="2"/>
        <v>124673.00</v>
      </c>
      <c r="J3324" s="16" t="str">
        <f>TEXT(Raw_Data!J3324,"MMM-YYY")</f>
        <v>Mar-2025</v>
      </c>
      <c r="K3324" s="13" t="str">
        <f>Raw_Data!K3324</f>
        <v>6</v>
      </c>
      <c r="L3324" s="17" t="str">
        <f>Raw_Data!L3324</f>
        <v>Jaipur-North</v>
      </c>
      <c r="M3324" s="13" t="str">
        <f t="shared" si="3"/>
        <v>OK</v>
      </c>
      <c r="N3324" s="18" t="str">
        <f t="shared" si="4"/>
        <v>VALID</v>
      </c>
    </row>
    <row r="3325" ht="15.75" customHeight="1">
      <c r="A3325" s="13" t="str">
        <f>Raw_Data!A3325</f>
        <v>EMP3506</v>
      </c>
      <c r="B3325" s="13" t="str">
        <f>TRIM(CLEAN(Raw_Data!B3325))</f>
        <v>Operations</v>
      </c>
      <c r="C3325" s="18" t="s">
        <v>54</v>
      </c>
      <c r="D3325" s="14" t="str">
        <f>IF(ISBLANK(Raw_Data!D3325),AVERAGE(Raw_Data!D$2:D$5002),Raw_Data!D3325)</f>
        <v>86247.39</v>
      </c>
      <c r="E3325" s="15" t="str">
        <f>IF(ISBLANK(Raw_Data!E3325),AVERAGE(Raw_Data!E$2:E$5002),Raw_Data!E3325)</f>
        <v>30169.83</v>
      </c>
      <c r="F3325" s="15" t="str">
        <f>IF(ISBLANK(Raw_Data!F3325),AVERAGE(Raw_Data!F$2:F$5002),Raw_Data!F3325)</f>
        <v>27097.35</v>
      </c>
      <c r="G3325" s="14" t="str">
        <f>IF(ISBLANK(Raw_Data!G3325),AVERAGE(Raw_Data!G$2:G$5002),Raw_Data!G3325)</f>
        <v>18821.59</v>
      </c>
      <c r="H3325" s="15" t="str">
        <f t="shared" si="1"/>
        <v>143515.00</v>
      </c>
      <c r="I3325" s="14" t="str">
        <f t="shared" si="2"/>
        <v>124693.00</v>
      </c>
      <c r="J3325" s="16" t="str">
        <f>TEXT(Raw_Data!J3325,"MMM-YYY")</f>
        <v>Apr-2025</v>
      </c>
      <c r="K3325" s="13" t="str">
        <f>Raw_Data!K3325</f>
        <v>9</v>
      </c>
      <c r="L3325" s="17" t="str">
        <f>Raw_Data!L3325</f>
        <v>Hyderabad-South</v>
      </c>
      <c r="M3325" s="13" t="str">
        <f t="shared" si="3"/>
        <v>OK</v>
      </c>
      <c r="N3325" s="18" t="str">
        <f t="shared" si="4"/>
        <v>VALID</v>
      </c>
    </row>
    <row r="3326" ht="15.75" customHeight="1">
      <c r="A3326" s="13" t="str">
        <f>Raw_Data!A3326</f>
        <v>EMP3507</v>
      </c>
      <c r="B3326" s="13" t="str">
        <f>TRIM(CLEAN(Raw_Data!B3326))</f>
        <v>HR</v>
      </c>
      <c r="C3326" s="18" t="s">
        <v>54</v>
      </c>
      <c r="D3326" s="14" t="str">
        <f>IF(ISBLANK(Raw_Data!D3326),AVERAGE(Raw_Data!D$2:D$5002),Raw_Data!D3326)</f>
        <v>86258.27</v>
      </c>
      <c r="E3326" s="15" t="str">
        <f>IF(ISBLANK(Raw_Data!E3326),AVERAGE(Raw_Data!E$2:E$5002),Raw_Data!E3326)</f>
        <v>30174.44</v>
      </c>
      <c r="F3326" s="15" t="str">
        <f>IF(ISBLANK(Raw_Data!F3326),AVERAGE(Raw_Data!F$2:F$5002),Raw_Data!F3326)</f>
        <v>27105.03</v>
      </c>
      <c r="G3326" s="14" t="str">
        <f>IF(ISBLANK(Raw_Data!G3326),AVERAGE(Raw_Data!G$2:G$5002),Raw_Data!G3326)</f>
        <v>18824.99</v>
      </c>
      <c r="H3326" s="15" t="str">
        <f t="shared" si="1"/>
        <v>143538.00</v>
      </c>
      <c r="I3326" s="14" t="str">
        <f t="shared" si="2"/>
        <v>124713.00</v>
      </c>
      <c r="J3326" s="16" t="str">
        <f>TEXT(Raw_Data!J3326,"MMM-YYY")</f>
        <v>Feb-2025</v>
      </c>
      <c r="K3326" s="13" t="str">
        <f>Raw_Data!K3326</f>
        <v>21</v>
      </c>
      <c r="L3326" s="17" t="str">
        <f>Raw_Data!L3326</f>
        <v>Mumbai-HO</v>
      </c>
      <c r="M3326" s="13" t="str">
        <f t="shared" si="3"/>
        <v>OK</v>
      </c>
      <c r="N3326" s="18" t="str">
        <f t="shared" si="4"/>
        <v>VALID</v>
      </c>
    </row>
    <row r="3327" ht="15.75" customHeight="1">
      <c r="A3327" s="13" t="str">
        <f>Raw_Data!A3327</f>
        <v>EMP3508</v>
      </c>
      <c r="B3327" s="13" t="str">
        <f>TRIM(CLEAN(Raw_Data!B3327))</f>
        <v>Sales</v>
      </c>
      <c r="C3327" s="18" t="s">
        <v>37</v>
      </c>
      <c r="D3327" s="14" t="str">
        <f>IF(ISBLANK(Raw_Data!D3327),AVERAGE(Raw_Data!D$2:D$5002),Raw_Data!D3327)</f>
        <v>86269.15</v>
      </c>
      <c r="E3327" s="15" t="str">
        <f>IF(ISBLANK(Raw_Data!E3327),AVERAGE(Raw_Data!E$2:E$5002),Raw_Data!E3327)</f>
        <v>30179.06</v>
      </c>
      <c r="F3327" s="15" t="str">
        <f>IF(ISBLANK(Raw_Data!F3327),AVERAGE(Raw_Data!F$2:F$5002),Raw_Data!F3327)</f>
        <v>27112.71</v>
      </c>
      <c r="G3327" s="14" t="str">
        <f>IF(ISBLANK(Raw_Data!G3327),AVERAGE(Raw_Data!G$2:G$5002),Raw_Data!G3327)</f>
        <v>18828.39</v>
      </c>
      <c r="H3327" s="15" t="str">
        <f t="shared" si="1"/>
        <v>143561.00</v>
      </c>
      <c r="I3327" s="14" t="str">
        <f t="shared" si="2"/>
        <v>124733.00</v>
      </c>
      <c r="J3327" s="16" t="str">
        <f>TEXT(Raw_Data!J3327,"MMM-YYY")</f>
        <v>Apr-2025</v>
      </c>
      <c r="K3327" s="13" t="str">
        <f>Raw_Data!K3327</f>
        <v>5</v>
      </c>
      <c r="L3327" s="17" t="str">
        <f>Raw_Data!L3327</f>
        <v>Jaipur-North</v>
      </c>
      <c r="M3327" s="13" t="str">
        <f t="shared" si="3"/>
        <v>OK</v>
      </c>
      <c r="N3327" s="18" t="str">
        <f t="shared" si="4"/>
        <v>VALID</v>
      </c>
    </row>
    <row r="3328" ht="15.75" customHeight="1">
      <c r="A3328" s="13" t="str">
        <f>Raw_Data!A3328</f>
        <v>EMP3509</v>
      </c>
      <c r="B3328" s="13" t="str">
        <f>TRIM(CLEAN(Raw_Data!B3328))</f>
        <v>Marketing</v>
      </c>
      <c r="C3328" s="18" t="s">
        <v>14</v>
      </c>
      <c r="D3328" s="14" t="str">
        <f>IF(ISBLANK(Raw_Data!D3328),AVERAGE(Raw_Data!D$2:D$5002),Raw_Data!D3328)</f>
        <v>86280.04</v>
      </c>
      <c r="E3328" s="15" t="str">
        <f>IF(ISBLANK(Raw_Data!E3328),AVERAGE(Raw_Data!E$2:E$5002),Raw_Data!E3328)</f>
        <v>30183.67</v>
      </c>
      <c r="F3328" s="15" t="str">
        <f>IF(ISBLANK(Raw_Data!F3328),AVERAGE(Raw_Data!F$2:F$5002),Raw_Data!F3328)</f>
        <v>27120.39</v>
      </c>
      <c r="G3328" s="14" t="str">
        <f>IF(ISBLANK(Raw_Data!G3328),AVERAGE(Raw_Data!G$2:G$5002),Raw_Data!G3328)</f>
        <v>18831.78</v>
      </c>
      <c r="H3328" s="15" t="str">
        <f t="shared" si="1"/>
        <v>143584.00</v>
      </c>
      <c r="I3328" s="14" t="str">
        <f t="shared" si="2"/>
        <v>124752.00</v>
      </c>
      <c r="J3328" s="16" t="str">
        <f>TEXT(Raw_Data!J3328,"MMM-YYY")</f>
        <v>Apr-2025</v>
      </c>
      <c r="K3328" s="13" t="str">
        <f>Raw_Data!K3328</f>
        <v>18</v>
      </c>
      <c r="L3328" s="17" t="str">
        <f>Raw_Data!L3328</f>
        <v>Jaipur-North</v>
      </c>
      <c r="M3328" s="13" t="str">
        <f t="shared" si="3"/>
        <v>OK</v>
      </c>
      <c r="N3328" s="18" t="str">
        <f t="shared" si="4"/>
        <v>VALID</v>
      </c>
    </row>
    <row r="3329" ht="15.75" customHeight="1">
      <c r="A3329" s="13" t="str">
        <f>Raw_Data!A3329</f>
        <v>EMP3510</v>
      </c>
      <c r="B3329" s="13" t="str">
        <f>TRIM(CLEAN(Raw_Data!B3329))</f>
        <v>Operations</v>
      </c>
      <c r="C3329" s="18" t="s">
        <v>18</v>
      </c>
      <c r="D3329" s="14" t="str">
        <f>IF(ISBLANK(Raw_Data!D3329),AVERAGE(Raw_Data!D$2:D$5002),Raw_Data!D3329)</f>
        <v>86290.92</v>
      </c>
      <c r="E3329" s="15" t="str">
        <f>IF(ISBLANK(Raw_Data!E3329),AVERAGE(Raw_Data!E$2:E$5002),Raw_Data!E3329)</f>
        <v>30188.29</v>
      </c>
      <c r="F3329" s="15" t="str">
        <f>IF(ISBLANK(Raw_Data!F3329),AVERAGE(Raw_Data!F$2:F$5002),Raw_Data!F3329)</f>
        <v>27128.07</v>
      </c>
      <c r="G3329" s="14" t="str">
        <f>IF(ISBLANK(Raw_Data!G3329),AVERAGE(Raw_Data!G$2:G$5002),Raw_Data!G3329)</f>
        <v>18835.18</v>
      </c>
      <c r="H3329" s="15" t="str">
        <f t="shared" si="1"/>
        <v>143607.00</v>
      </c>
      <c r="I3329" s="14" t="str">
        <f t="shared" si="2"/>
        <v>124772.00</v>
      </c>
      <c r="J3329" s="16" t="str">
        <f>TEXT(Raw_Data!J3329,"MMM-YYY")</f>
        <v>May-2025</v>
      </c>
      <c r="K3329" s="13" t="str">
        <f>Raw_Data!K3329</f>
        <v>3</v>
      </c>
      <c r="L3329" s="17" t="str">
        <f>Raw_Data!L3329</f>
        <v>Kolkata-East</v>
      </c>
      <c r="M3329" s="13" t="str">
        <f t="shared" si="3"/>
        <v>OK</v>
      </c>
      <c r="N3329" s="18" t="str">
        <f t="shared" si="4"/>
        <v>VALID</v>
      </c>
    </row>
    <row r="3330" ht="15.75" customHeight="1">
      <c r="A3330" s="13" t="str">
        <f>Raw_Data!A3330</f>
        <v>EMP3511</v>
      </c>
      <c r="B3330" s="13" t="str">
        <f>TRIM(CLEAN(Raw_Data!B3330))</f>
        <v>IT</v>
      </c>
      <c r="C3330" s="18" t="s">
        <v>26</v>
      </c>
      <c r="D3330" s="14" t="str">
        <f>IF(ISBLANK(Raw_Data!D3330),AVERAGE(Raw_Data!D$2:D$5002),Raw_Data!D3330)</f>
        <v>86301.80</v>
      </c>
      <c r="E3330" s="15" t="str">
        <f>IF(ISBLANK(Raw_Data!E3330),AVERAGE(Raw_Data!E$2:E$5002),Raw_Data!E3330)</f>
        <v>30192.90</v>
      </c>
      <c r="F3330" s="15" t="str">
        <f>IF(ISBLANK(Raw_Data!F3330),AVERAGE(Raw_Data!F$2:F$5002),Raw_Data!F3330)</f>
        <v>27135.75</v>
      </c>
      <c r="G3330" s="14" t="str">
        <f>IF(ISBLANK(Raw_Data!G3330),AVERAGE(Raw_Data!G$2:G$5002),Raw_Data!G3330)</f>
        <v>18838.58</v>
      </c>
      <c r="H3330" s="15" t="str">
        <f t="shared" si="1"/>
        <v>143630.00</v>
      </c>
      <c r="I3330" s="14" t="str">
        <f t="shared" si="2"/>
        <v>124791.00</v>
      </c>
      <c r="J3330" s="16" t="str">
        <f>TEXT(Raw_Data!J3330,"MMM-YYY")</f>
        <v>Sep-2025</v>
      </c>
      <c r="K3330" s="13" t="str">
        <f>Raw_Data!K3330</f>
        <v>22</v>
      </c>
      <c r="L3330" s="17" t="str">
        <f>Raw_Data!L3330</f>
        <v>Bangalore-South</v>
      </c>
      <c r="M3330" s="13" t="str">
        <f t="shared" si="3"/>
        <v>OK</v>
      </c>
      <c r="N3330" s="18" t="str">
        <f t="shared" si="4"/>
        <v>VALID</v>
      </c>
    </row>
    <row r="3331" ht="15.75" customHeight="1">
      <c r="A3331" s="13" t="str">
        <f>Raw_Data!A3331</f>
        <v>EMP3512</v>
      </c>
      <c r="B3331" s="13" t="str">
        <f>TRIM(CLEAN(Raw_Data!B3331))</f>
        <v>Sales</v>
      </c>
      <c r="C3331" s="18" t="s">
        <v>30</v>
      </c>
      <c r="D3331" s="14" t="str">
        <f>IF(ISBLANK(Raw_Data!D3331),AVERAGE(Raw_Data!D$2:D$5002),Raw_Data!D3331)</f>
        <v>86312.68</v>
      </c>
      <c r="E3331" s="15" t="str">
        <f>IF(ISBLANK(Raw_Data!E3331),AVERAGE(Raw_Data!E$2:E$5002),Raw_Data!E3331)</f>
        <v>30197.51</v>
      </c>
      <c r="F3331" s="15" t="str">
        <f>IF(ISBLANK(Raw_Data!F3331),AVERAGE(Raw_Data!F$2:F$5002),Raw_Data!F3331)</f>
        <v>27143.43</v>
      </c>
      <c r="G3331" s="14" t="str">
        <f>IF(ISBLANK(Raw_Data!G3331),AVERAGE(Raw_Data!G$2:G$5002),Raw_Data!G3331)</f>
        <v>18841.98</v>
      </c>
      <c r="H3331" s="15" t="str">
        <f t="shared" si="1"/>
        <v>143654.00</v>
      </c>
      <c r="I3331" s="14" t="str">
        <f t="shared" si="2"/>
        <v>124812.00</v>
      </c>
      <c r="J3331" s="16" t="str">
        <f>TEXT(Raw_Data!J3331,"MMM-YYY")</f>
        <v>May-2025</v>
      </c>
      <c r="K3331" s="13" t="str">
        <f>Raw_Data!K3331</f>
        <v>17</v>
      </c>
      <c r="L3331" s="17" t="str">
        <f>Raw_Data!L3331</f>
        <v>Delhi-North</v>
      </c>
      <c r="M3331" s="13" t="str">
        <f t="shared" si="3"/>
        <v>OK</v>
      </c>
      <c r="N3331" s="18" t="str">
        <f t="shared" si="4"/>
        <v>VALID</v>
      </c>
    </row>
    <row r="3332" ht="15.75" customHeight="1">
      <c r="A3332" s="13" t="str">
        <f>Raw_Data!A3332</f>
        <v>EMP3513</v>
      </c>
      <c r="B3332" s="13" t="str">
        <f>TRIM(CLEAN(Raw_Data!B3332))</f>
        <v>Sales</v>
      </c>
      <c r="C3332" s="18" t="s">
        <v>33</v>
      </c>
      <c r="D3332" s="14" t="str">
        <f>IF(ISBLANK(Raw_Data!D3332),AVERAGE(Raw_Data!D$2:D$5002),Raw_Data!D3332)</f>
        <v>86323.57</v>
      </c>
      <c r="E3332" s="15" t="str">
        <f>IF(ISBLANK(Raw_Data!E3332),AVERAGE(Raw_Data!E$2:E$5002),Raw_Data!E3332)</f>
        <v>30202.13</v>
      </c>
      <c r="F3332" s="15" t="str">
        <f>IF(ISBLANK(Raw_Data!F3332),AVERAGE(Raw_Data!F$2:F$5002),Raw_Data!F3332)</f>
        <v>27151.11</v>
      </c>
      <c r="G3332" s="14" t="str">
        <f>IF(ISBLANK(Raw_Data!G3332),AVERAGE(Raw_Data!G$2:G$5002),Raw_Data!G3332)</f>
        <v>18845.37</v>
      </c>
      <c r="H3332" s="15" t="str">
        <f t="shared" si="1"/>
        <v>143677.00</v>
      </c>
      <c r="I3332" s="14" t="str">
        <f t="shared" si="2"/>
        <v>124832.00</v>
      </c>
      <c r="J3332" s="16" t="str">
        <f>TEXT(Raw_Data!J3332,"MMM-YYY")</f>
        <v>Jun-2025</v>
      </c>
      <c r="K3332" s="13" t="str">
        <f>Raw_Data!K3332</f>
        <v>17</v>
      </c>
      <c r="L3332" s="17" t="str">
        <f>Raw_Data!L3332</f>
        <v>Kolkata-East</v>
      </c>
      <c r="M3332" s="13" t="str">
        <f t="shared" si="3"/>
        <v>OK</v>
      </c>
      <c r="N3332" s="18" t="str">
        <f t="shared" si="4"/>
        <v>VALID</v>
      </c>
    </row>
    <row r="3333" ht="15.75" customHeight="1">
      <c r="A3333" s="13" t="str">
        <f>Raw_Data!A3333</f>
        <v>EMP3514</v>
      </c>
      <c r="B3333" s="13" t="str">
        <f>TRIM(CLEAN(Raw_Data!B3333))</f>
        <v>Sales</v>
      </c>
      <c r="C3333" s="18" t="s">
        <v>30</v>
      </c>
      <c r="D3333" s="14" t="str">
        <f>IF(ISBLANK(Raw_Data!D3333),AVERAGE(Raw_Data!D$2:D$5002),Raw_Data!D3333)</f>
        <v>86334.45</v>
      </c>
      <c r="E3333" s="15" t="str">
        <f>IF(ISBLANK(Raw_Data!E3333),AVERAGE(Raw_Data!E$2:E$5002),Raw_Data!E3333)</f>
        <v>30206.74</v>
      </c>
      <c r="F3333" s="15" t="str">
        <f>IF(ISBLANK(Raw_Data!F3333),AVERAGE(Raw_Data!F$2:F$5002),Raw_Data!F3333)</f>
        <v>27158.79</v>
      </c>
      <c r="G3333" s="14" t="str">
        <f>IF(ISBLANK(Raw_Data!G3333),AVERAGE(Raw_Data!G$2:G$5002),Raw_Data!G3333)</f>
        <v>18848.77</v>
      </c>
      <c r="H3333" s="15" t="str">
        <f t="shared" si="1"/>
        <v>143700.00</v>
      </c>
      <c r="I3333" s="14" t="str">
        <f t="shared" si="2"/>
        <v>124851.00</v>
      </c>
      <c r="J3333" s="16" t="str">
        <f>TEXT(Raw_Data!J3333,"MMM-YYY")</f>
        <v>Sep-2025</v>
      </c>
      <c r="K3333" s="13" t="str">
        <f>Raw_Data!K3333</f>
        <v>22</v>
      </c>
      <c r="L3333" s="17" t="str">
        <f>Raw_Data!L3333</f>
        <v>Delhi-North</v>
      </c>
      <c r="M3333" s="13" t="str">
        <f t="shared" si="3"/>
        <v>OK</v>
      </c>
      <c r="N3333" s="18" t="str">
        <f t="shared" si="4"/>
        <v>VALID</v>
      </c>
    </row>
    <row r="3334" ht="15.75" customHeight="1">
      <c r="A3334" s="13" t="str">
        <f>Raw_Data!A3334</f>
        <v>EMP3515</v>
      </c>
      <c r="B3334" s="13" t="str">
        <f>TRIM(CLEAN(Raw_Data!B3334))</f>
        <v>Sales</v>
      </c>
      <c r="C3334" s="18" t="s">
        <v>26</v>
      </c>
      <c r="D3334" s="14" t="str">
        <f>IF(ISBLANK(Raw_Data!D3334),AVERAGE(Raw_Data!D$2:D$5002),Raw_Data!D3334)</f>
        <v>86345.33</v>
      </c>
      <c r="E3334" s="15" t="str">
        <f>IF(ISBLANK(Raw_Data!E3334),AVERAGE(Raw_Data!E$2:E$5002),Raw_Data!E3334)</f>
        <v>30211.36</v>
      </c>
      <c r="F3334" s="15" t="str">
        <f>IF(ISBLANK(Raw_Data!F3334),AVERAGE(Raw_Data!F$2:F$5002),Raw_Data!F3334)</f>
        <v>27166.47</v>
      </c>
      <c r="G3334" s="14" t="str">
        <f>IF(ISBLANK(Raw_Data!G3334),AVERAGE(Raw_Data!G$2:G$5002),Raw_Data!G3334)</f>
        <v>18852.17</v>
      </c>
      <c r="H3334" s="15" t="str">
        <f t="shared" si="1"/>
        <v>143723.00</v>
      </c>
      <c r="I3334" s="14" t="str">
        <f t="shared" si="2"/>
        <v>124871.00</v>
      </c>
      <c r="J3334" s="16" t="str">
        <f>TEXT(Raw_Data!J3334,"MMM-YYY")</f>
        <v>Aug-2025</v>
      </c>
      <c r="K3334" s="13" t="str">
        <f>Raw_Data!K3334</f>
        <v>12</v>
      </c>
      <c r="L3334" s="17" t="str">
        <f>Raw_Data!L3334</f>
        <v>Kolkata-East</v>
      </c>
      <c r="M3334" s="13" t="str">
        <f t="shared" si="3"/>
        <v>OK</v>
      </c>
      <c r="N3334" s="18" t="str">
        <f t="shared" si="4"/>
        <v>VALID</v>
      </c>
    </row>
    <row r="3335" ht="15.75" customHeight="1">
      <c r="A3335" s="13" t="str">
        <f>Raw_Data!A3335</f>
        <v>EMP3516</v>
      </c>
      <c r="B3335" s="13" t="str">
        <f>TRIM(CLEAN(Raw_Data!B3335))</f>
        <v>HR</v>
      </c>
      <c r="C3335" s="18" t="s">
        <v>18</v>
      </c>
      <c r="D3335" s="14" t="str">
        <f>IF(ISBLANK(Raw_Data!D3335),AVERAGE(Raw_Data!D$2:D$5002),Raw_Data!D3335)</f>
        <v>86356.22</v>
      </c>
      <c r="E3335" s="15" t="str">
        <f>IF(ISBLANK(Raw_Data!E3335),AVERAGE(Raw_Data!E$2:E$5002),Raw_Data!E3335)</f>
        <v>30215.97</v>
      </c>
      <c r="F3335" s="15" t="str">
        <f>IF(ISBLANK(Raw_Data!F3335),AVERAGE(Raw_Data!F$2:F$5002),Raw_Data!F3335)</f>
        <v>27174.15</v>
      </c>
      <c r="G3335" s="14" t="str">
        <f>IF(ISBLANK(Raw_Data!G3335),AVERAGE(Raw_Data!G$2:G$5002),Raw_Data!G3335)</f>
        <v>18855.57</v>
      </c>
      <c r="H3335" s="15" t="str">
        <f t="shared" si="1"/>
        <v>143746.00</v>
      </c>
      <c r="I3335" s="14" t="str">
        <f t="shared" si="2"/>
        <v>124890.00</v>
      </c>
      <c r="J3335" s="16" t="str">
        <f>TEXT(Raw_Data!J3335,"MMM-YYY")</f>
        <v>Feb-2025</v>
      </c>
      <c r="K3335" s="13" t="str">
        <f>Raw_Data!K3335</f>
        <v>15</v>
      </c>
      <c r="L3335" s="17" t="str">
        <f>Raw_Data!L3335</f>
        <v>Chennai-South</v>
      </c>
      <c r="M3335" s="13" t="str">
        <f t="shared" si="3"/>
        <v>OK</v>
      </c>
      <c r="N3335" s="18" t="str">
        <f t="shared" si="4"/>
        <v>VALID</v>
      </c>
    </row>
    <row r="3336" ht="15.75" customHeight="1">
      <c r="A3336" s="13" t="str">
        <f>Raw_Data!A3336</f>
        <v>EMP3517</v>
      </c>
      <c r="B3336" s="13" t="str">
        <f>TRIM(CLEAN(Raw_Data!B3336))</f>
        <v>Customer Support</v>
      </c>
      <c r="C3336" s="18" t="s">
        <v>33</v>
      </c>
      <c r="D3336" s="14" t="str">
        <f>IF(ISBLANK(Raw_Data!D3336),AVERAGE(Raw_Data!D$2:D$5002),Raw_Data!D3336)</f>
        <v>86367.10</v>
      </c>
      <c r="E3336" s="15" t="str">
        <f>IF(ISBLANK(Raw_Data!E3336),AVERAGE(Raw_Data!E$2:E$5002),Raw_Data!E3336)</f>
        <v>30220.59</v>
      </c>
      <c r="F3336" s="15" t="str">
        <f>IF(ISBLANK(Raw_Data!F3336),AVERAGE(Raw_Data!F$2:F$5002),Raw_Data!F3336)</f>
        <v>27181.83</v>
      </c>
      <c r="G3336" s="14" t="str">
        <f>IF(ISBLANK(Raw_Data!G3336),AVERAGE(Raw_Data!G$2:G$5002),Raw_Data!G3336)</f>
        <v>18858.96</v>
      </c>
      <c r="H3336" s="15" t="str">
        <f t="shared" si="1"/>
        <v>143770.00</v>
      </c>
      <c r="I3336" s="14" t="str">
        <f t="shared" si="2"/>
        <v>124911.00</v>
      </c>
      <c r="J3336" s="16" t="str">
        <f>TEXT(Raw_Data!J3336,"MMM-YYY")</f>
        <v>Jan-2025</v>
      </c>
      <c r="K3336" s="13" t="str">
        <f>Raw_Data!K3336</f>
        <v>23</v>
      </c>
      <c r="L3336" s="17" t="str">
        <f>Raw_Data!L3336</f>
        <v>Pune-West</v>
      </c>
      <c r="M3336" s="13" t="str">
        <f t="shared" si="3"/>
        <v>OK</v>
      </c>
      <c r="N3336" s="18" t="str">
        <f t="shared" si="4"/>
        <v>VALID</v>
      </c>
    </row>
    <row r="3337" ht="15.75" customHeight="1">
      <c r="A3337" s="13" t="str">
        <f>Raw_Data!A3337</f>
        <v>EMP3518</v>
      </c>
      <c r="B3337" s="13" t="str">
        <f>TRIM(CLEAN(Raw_Data!B3337))</f>
        <v>IT</v>
      </c>
      <c r="C3337" s="18" t="s">
        <v>18</v>
      </c>
      <c r="D3337" s="14" t="str">
        <f>IF(ISBLANK(Raw_Data!D3337),AVERAGE(Raw_Data!D$2:D$5002),Raw_Data!D3337)</f>
        <v>86377.98</v>
      </c>
      <c r="E3337" s="15" t="str">
        <f>IF(ISBLANK(Raw_Data!E3337),AVERAGE(Raw_Data!E$2:E$5002),Raw_Data!E3337)</f>
        <v>30225.20</v>
      </c>
      <c r="F3337" s="15" t="str">
        <f>IF(ISBLANK(Raw_Data!F3337),AVERAGE(Raw_Data!F$2:F$5002),Raw_Data!F3337)</f>
        <v>27189.51</v>
      </c>
      <c r="G3337" s="14" t="str">
        <f>IF(ISBLANK(Raw_Data!G3337),AVERAGE(Raw_Data!G$2:G$5002),Raw_Data!G3337)</f>
        <v>18862.36</v>
      </c>
      <c r="H3337" s="15" t="str">
        <f t="shared" si="1"/>
        <v>143793.00</v>
      </c>
      <c r="I3337" s="14" t="str">
        <f t="shared" si="2"/>
        <v>124931.00</v>
      </c>
      <c r="J3337" s="16" t="str">
        <f>TEXT(Raw_Data!J3337,"MMM-YYY")</f>
        <v>May-2025</v>
      </c>
      <c r="K3337" s="13" t="str">
        <f>Raw_Data!K3337</f>
        <v>9</v>
      </c>
      <c r="L3337" s="17" t="str">
        <f>Raw_Data!L3337</f>
        <v>Kolkata-East</v>
      </c>
      <c r="M3337" s="13" t="str">
        <f t="shared" si="3"/>
        <v>OK</v>
      </c>
      <c r="N3337" s="18" t="str">
        <f t="shared" si="4"/>
        <v>VALID</v>
      </c>
    </row>
    <row r="3338" ht="15.75" customHeight="1">
      <c r="A3338" s="13" t="str">
        <f>Raw_Data!A3338</f>
        <v>EMP3519</v>
      </c>
      <c r="B3338" s="13" t="str">
        <f>TRIM(CLEAN(Raw_Data!B3338))</f>
        <v>Finance</v>
      </c>
      <c r="C3338" s="18" t="s">
        <v>14</v>
      </c>
      <c r="D3338" s="14" t="str">
        <f>IF(ISBLANK(Raw_Data!D3338),AVERAGE(Raw_Data!D$2:D$5002),Raw_Data!D3338)</f>
        <v>86388.87</v>
      </c>
      <c r="E3338" s="15" t="str">
        <f>IF(ISBLANK(Raw_Data!E3338),AVERAGE(Raw_Data!E$2:E$5002),Raw_Data!E3338)</f>
        <v>30229.82</v>
      </c>
      <c r="F3338" s="15" t="str">
        <f>IF(ISBLANK(Raw_Data!F3338),AVERAGE(Raw_Data!F$2:F$5002),Raw_Data!F3338)</f>
        <v>27197.19</v>
      </c>
      <c r="G3338" s="14" t="str">
        <f>IF(ISBLANK(Raw_Data!G3338),AVERAGE(Raw_Data!G$2:G$5002),Raw_Data!G3338)</f>
        <v>18865.76</v>
      </c>
      <c r="H3338" s="15" t="str">
        <f t="shared" si="1"/>
        <v>143816.00</v>
      </c>
      <c r="I3338" s="14" t="str">
        <f t="shared" si="2"/>
        <v>124950.00</v>
      </c>
      <c r="J3338" s="16" t="str">
        <f>TEXT(Raw_Data!J3338,"MMM-YYY")</f>
        <v>Oct-2025</v>
      </c>
      <c r="K3338" s="13" t="str">
        <f>Raw_Data!K3338</f>
        <v>16</v>
      </c>
      <c r="L3338" s="17" t="str">
        <f>Raw_Data!L3338</f>
        <v>Chennai-South</v>
      </c>
      <c r="M3338" s="13" t="str">
        <f t="shared" si="3"/>
        <v>OK</v>
      </c>
      <c r="N3338" s="18" t="str">
        <f t="shared" si="4"/>
        <v>VALID</v>
      </c>
    </row>
    <row r="3339" ht="15.75" customHeight="1">
      <c r="A3339" s="13" t="str">
        <f>Raw_Data!A3339</f>
        <v>EMP3520</v>
      </c>
      <c r="B3339" s="13" t="str">
        <f>TRIM(CLEAN(Raw_Data!B3339))</f>
        <v>Sales</v>
      </c>
      <c r="C3339" s="18" t="s">
        <v>54</v>
      </c>
      <c r="D3339" s="14" t="str">
        <f>IF(ISBLANK(Raw_Data!D3339),AVERAGE(Raw_Data!D$2:D$5002),Raw_Data!D3339)</f>
        <v>86399.75</v>
      </c>
      <c r="E3339" s="15" t="str">
        <f>IF(ISBLANK(Raw_Data!E3339),AVERAGE(Raw_Data!E$2:E$5002),Raw_Data!E3339)</f>
        <v>30234.43</v>
      </c>
      <c r="F3339" s="15" t="str">
        <f>IF(ISBLANK(Raw_Data!F3339),AVERAGE(Raw_Data!F$2:F$5002),Raw_Data!F3339)</f>
        <v>27204.87</v>
      </c>
      <c r="G3339" s="14" t="str">
        <f>IF(ISBLANK(Raw_Data!G3339),AVERAGE(Raw_Data!G$2:G$5002),Raw_Data!G3339)</f>
        <v>18869.16</v>
      </c>
      <c r="H3339" s="15" t="str">
        <f t="shared" si="1"/>
        <v>143839.00</v>
      </c>
      <c r="I3339" s="14" t="str">
        <f t="shared" si="2"/>
        <v>124970.00</v>
      </c>
      <c r="J3339" s="16" t="str">
        <f>TEXT(Raw_Data!J3339,"MMM-YYY")</f>
        <v>Apr-2025</v>
      </c>
      <c r="K3339" s="13" t="str">
        <f>Raw_Data!K3339</f>
        <v>24</v>
      </c>
      <c r="L3339" s="17" t="str">
        <f>Raw_Data!L3339</f>
        <v>Mumbai-HO</v>
      </c>
      <c r="M3339" s="13" t="str">
        <f t="shared" si="3"/>
        <v>OK</v>
      </c>
      <c r="N3339" s="18" t="str">
        <f t="shared" si="4"/>
        <v>VALID</v>
      </c>
    </row>
    <row r="3340" ht="15.75" customHeight="1">
      <c r="A3340" s="13" t="str">
        <f>Raw_Data!A3340</f>
        <v>EMP3521</v>
      </c>
      <c r="B3340" s="13" t="str">
        <f>TRIM(CLEAN(Raw_Data!B3340))</f>
        <v>Finance</v>
      </c>
      <c r="C3340" s="18" t="s">
        <v>30</v>
      </c>
      <c r="D3340" s="14" t="str">
        <f>IF(ISBLANK(Raw_Data!D3340),AVERAGE(Raw_Data!D$2:D$5002),Raw_Data!D3340)</f>
        <v>86410.63</v>
      </c>
      <c r="E3340" s="15" t="str">
        <f>IF(ISBLANK(Raw_Data!E3340),AVERAGE(Raw_Data!E$2:E$5002),Raw_Data!E3340)</f>
        <v>30239.05</v>
      </c>
      <c r="F3340" s="15" t="str">
        <f>IF(ISBLANK(Raw_Data!F3340),AVERAGE(Raw_Data!F$2:F$5002),Raw_Data!F3340)</f>
        <v>27212.55</v>
      </c>
      <c r="G3340" s="14" t="str">
        <f>IF(ISBLANK(Raw_Data!G3340),AVERAGE(Raw_Data!G$2:G$5002),Raw_Data!G3340)</f>
        <v>18872.55</v>
      </c>
      <c r="H3340" s="15" t="str">
        <f t="shared" si="1"/>
        <v>143862.00</v>
      </c>
      <c r="I3340" s="14" t="str">
        <f t="shared" si="2"/>
        <v>124989.00</v>
      </c>
      <c r="J3340" s="16" t="str">
        <f>TEXT(Raw_Data!J3340,"MMM-YYY")</f>
        <v>Oct-2025</v>
      </c>
      <c r="K3340" s="13" t="str">
        <f>Raw_Data!K3340</f>
        <v>19</v>
      </c>
      <c r="L3340" s="17" t="str">
        <f>Raw_Data!L3340</f>
        <v>Jaipur-North</v>
      </c>
      <c r="M3340" s="13" t="str">
        <f t="shared" si="3"/>
        <v>OK</v>
      </c>
      <c r="N3340" s="18" t="str">
        <f t="shared" si="4"/>
        <v>VALID</v>
      </c>
    </row>
    <row r="3341" ht="15.75" customHeight="1">
      <c r="A3341" s="13" t="str">
        <f>Raw_Data!A3341</f>
        <v>EMP3522</v>
      </c>
      <c r="B3341" s="13" t="str">
        <f>TRIM(CLEAN(Raw_Data!B3341))</f>
        <v>Customer Support</v>
      </c>
      <c r="C3341" s="18" t="s">
        <v>33</v>
      </c>
      <c r="D3341" s="14" t="str">
        <f>IF(ISBLANK(Raw_Data!D3341),AVERAGE(Raw_Data!D$2:D$5002),Raw_Data!D3341)</f>
        <v>86421.51</v>
      </c>
      <c r="E3341" s="15" t="str">
        <f>IF(ISBLANK(Raw_Data!E3341),AVERAGE(Raw_Data!E$2:E$5002),Raw_Data!E3341)</f>
        <v>30243.66</v>
      </c>
      <c r="F3341" s="15" t="str">
        <f>IF(ISBLANK(Raw_Data!F3341),AVERAGE(Raw_Data!F$2:F$5002),Raw_Data!F3341)</f>
        <v>27220.23</v>
      </c>
      <c r="G3341" s="14" t="str">
        <f>IF(ISBLANK(Raw_Data!G3341),AVERAGE(Raw_Data!G$2:G$5002),Raw_Data!G3341)</f>
        <v>18875.95</v>
      </c>
      <c r="H3341" s="15" t="str">
        <f t="shared" si="1"/>
        <v>143885.00</v>
      </c>
      <c r="I3341" s="14" t="str">
        <f t="shared" si="2"/>
        <v>125009.00</v>
      </c>
      <c r="J3341" s="16" t="str">
        <f>TEXT(Raw_Data!J3341,"MMM-YYY")</f>
        <v>Nov-2025</v>
      </c>
      <c r="K3341" s="13" t="str">
        <f>Raw_Data!K3341</f>
        <v>13</v>
      </c>
      <c r="L3341" s="17" t="str">
        <f>Raw_Data!L3341</f>
        <v>Kolkata-East</v>
      </c>
      <c r="M3341" s="13" t="str">
        <f t="shared" si="3"/>
        <v>OK</v>
      </c>
      <c r="N3341" s="18" t="str">
        <f t="shared" si="4"/>
        <v>VALID</v>
      </c>
    </row>
    <row r="3342" ht="15.75" customHeight="1">
      <c r="A3342" s="13" t="str">
        <f>Raw_Data!A3342</f>
        <v>EMP3523</v>
      </c>
      <c r="B3342" s="13" t="str">
        <f>TRIM(CLEAN(Raw_Data!B3342))</f>
        <v>HR</v>
      </c>
      <c r="C3342" s="18" t="s">
        <v>54</v>
      </c>
      <c r="D3342" s="14" t="str">
        <f>IF(ISBLANK(Raw_Data!D3342),AVERAGE(Raw_Data!D$2:D$5002),Raw_Data!D3342)</f>
        <v>86432.40</v>
      </c>
      <c r="E3342" s="15" t="str">
        <f>IF(ISBLANK(Raw_Data!E3342),AVERAGE(Raw_Data!E$2:E$5002),Raw_Data!E3342)</f>
        <v>30248.28</v>
      </c>
      <c r="F3342" s="15" t="str">
        <f>IF(ISBLANK(Raw_Data!F3342),AVERAGE(Raw_Data!F$2:F$5002),Raw_Data!F3342)</f>
        <v>27227.91</v>
      </c>
      <c r="G3342" s="14" t="str">
        <f>IF(ISBLANK(Raw_Data!G3342),AVERAGE(Raw_Data!G$2:G$5002),Raw_Data!G3342)</f>
        <v>18879.35</v>
      </c>
      <c r="H3342" s="15" t="str">
        <f t="shared" si="1"/>
        <v>143909.00</v>
      </c>
      <c r="I3342" s="14" t="str">
        <f t="shared" si="2"/>
        <v>125030.00</v>
      </c>
      <c r="J3342" s="16" t="str">
        <f>TEXT(Raw_Data!J3342,"MMM-YYY")</f>
        <v>Mar-2025</v>
      </c>
      <c r="K3342" s="13" t="str">
        <f>Raw_Data!K3342</f>
        <v>23</v>
      </c>
      <c r="L3342" s="17" t="str">
        <f>Raw_Data!L3342</f>
        <v>Mumbai-HO</v>
      </c>
      <c r="M3342" s="13" t="str">
        <f t="shared" si="3"/>
        <v>OK</v>
      </c>
      <c r="N3342" s="18" t="str">
        <f t="shared" si="4"/>
        <v>VALID</v>
      </c>
    </row>
    <row r="3343" ht="15.75" customHeight="1">
      <c r="A3343" s="13" t="str">
        <f>Raw_Data!A3343</f>
        <v>EMP3524</v>
      </c>
      <c r="B3343" s="13" t="str">
        <f>TRIM(CLEAN(Raw_Data!B3343))</f>
        <v>IT</v>
      </c>
      <c r="C3343" s="18" t="s">
        <v>37</v>
      </c>
      <c r="D3343" s="14" t="str">
        <f>IF(ISBLANK(Raw_Data!D3343),AVERAGE(Raw_Data!D$2:D$5002),Raw_Data!D3343)</f>
        <v>86443.28</v>
      </c>
      <c r="E3343" s="15" t="str">
        <f>IF(ISBLANK(Raw_Data!E3343),AVERAGE(Raw_Data!E$2:E$5002),Raw_Data!E3343)</f>
        <v>30252.89</v>
      </c>
      <c r="F3343" s="15" t="str">
        <f>IF(ISBLANK(Raw_Data!F3343),AVERAGE(Raw_Data!F$2:F$5002),Raw_Data!F3343)</f>
        <v>27235.59</v>
      </c>
      <c r="G3343" s="14" t="str">
        <f>IF(ISBLANK(Raw_Data!G3343),AVERAGE(Raw_Data!G$2:G$5002),Raw_Data!G3343)</f>
        <v>18882.75</v>
      </c>
      <c r="H3343" s="15" t="str">
        <f t="shared" si="1"/>
        <v>143932.00</v>
      </c>
      <c r="I3343" s="14" t="str">
        <f t="shared" si="2"/>
        <v>125049.00</v>
      </c>
      <c r="J3343" s="16" t="str">
        <f>TEXT(Raw_Data!J3343,"MMM-YYY")</f>
        <v>Jun-2025</v>
      </c>
      <c r="K3343" s="13" t="str">
        <f>Raw_Data!K3343</f>
        <v>16</v>
      </c>
      <c r="L3343" s="17" t="str">
        <f>Raw_Data!L3343</f>
        <v>Hyderabad-South</v>
      </c>
      <c r="M3343" s="13" t="str">
        <f t="shared" si="3"/>
        <v>OK</v>
      </c>
      <c r="N3343" s="18" t="str">
        <f t="shared" si="4"/>
        <v>VALID</v>
      </c>
    </row>
    <row r="3344" ht="15.75" customHeight="1">
      <c r="A3344" s="13" t="str">
        <f>Raw_Data!A3344</f>
        <v>EMP3525</v>
      </c>
      <c r="B3344" s="13" t="str">
        <f>TRIM(CLEAN(Raw_Data!B3344))</f>
        <v>Marketing</v>
      </c>
      <c r="C3344" s="18" t="s">
        <v>33</v>
      </c>
      <c r="D3344" s="14" t="str">
        <f>IF(ISBLANK(Raw_Data!D3344),AVERAGE(Raw_Data!D$2:D$5002),Raw_Data!D3344)</f>
        <v>86454.16</v>
      </c>
      <c r="E3344" s="15" t="str">
        <f>IF(ISBLANK(Raw_Data!E3344),AVERAGE(Raw_Data!E$2:E$5002),Raw_Data!E3344)</f>
        <v>30257.51</v>
      </c>
      <c r="F3344" s="15" t="str">
        <f>IF(ISBLANK(Raw_Data!F3344),AVERAGE(Raw_Data!F$2:F$5002),Raw_Data!F3344)</f>
        <v>27243.27</v>
      </c>
      <c r="G3344" s="14" t="str">
        <f>IF(ISBLANK(Raw_Data!G3344),AVERAGE(Raw_Data!G$2:G$5002),Raw_Data!G3344)</f>
        <v>18886.15</v>
      </c>
      <c r="H3344" s="15" t="str">
        <f t="shared" si="1"/>
        <v>143955.00</v>
      </c>
      <c r="I3344" s="14" t="str">
        <f t="shared" si="2"/>
        <v>125069.00</v>
      </c>
      <c r="J3344" s="16" t="str">
        <f>TEXT(Raw_Data!J3344,"MMM-YYY")</f>
        <v>Mar-2025</v>
      </c>
      <c r="K3344" s="13" t="str">
        <f>Raw_Data!K3344</f>
        <v>18</v>
      </c>
      <c r="L3344" s="17" t="str">
        <f>Raw_Data!L3344</f>
        <v>Pune-West</v>
      </c>
      <c r="M3344" s="13" t="str">
        <f t="shared" si="3"/>
        <v>OK</v>
      </c>
      <c r="N3344" s="18" t="str">
        <f t="shared" si="4"/>
        <v>VALID</v>
      </c>
    </row>
    <row r="3345" ht="15.75" customHeight="1">
      <c r="A3345" s="13" t="str">
        <f>Raw_Data!A3345</f>
        <v>EMP3526</v>
      </c>
      <c r="B3345" s="13" t="str">
        <f>TRIM(CLEAN(Raw_Data!B3345))</f>
        <v>Marketing</v>
      </c>
      <c r="C3345" s="18" t="s">
        <v>33</v>
      </c>
      <c r="D3345" s="14" t="str">
        <f>IF(ISBLANK(Raw_Data!D3345),AVERAGE(Raw_Data!D$2:D$5002),Raw_Data!D3345)</f>
        <v>86465.05</v>
      </c>
      <c r="E3345" s="15" t="str">
        <f>IF(ISBLANK(Raw_Data!E3345),AVERAGE(Raw_Data!E$2:E$5002),Raw_Data!E3345)</f>
        <v>30262.12</v>
      </c>
      <c r="F3345" s="15" t="str">
        <f>IF(ISBLANK(Raw_Data!F3345),AVERAGE(Raw_Data!F$2:F$5002),Raw_Data!F3345)</f>
        <v>27250.95</v>
      </c>
      <c r="G3345" s="14" t="str">
        <f>IF(ISBLANK(Raw_Data!G3345),AVERAGE(Raw_Data!G$2:G$5002),Raw_Data!G3345)</f>
        <v>18889.54</v>
      </c>
      <c r="H3345" s="15" t="str">
        <f t="shared" si="1"/>
        <v>143978.00</v>
      </c>
      <c r="I3345" s="14" t="str">
        <f t="shared" si="2"/>
        <v>125088.00</v>
      </c>
      <c r="J3345" s="16" t="str">
        <f>TEXT(Raw_Data!J3345,"MMM-YYY")</f>
        <v>Apr-2025</v>
      </c>
      <c r="K3345" s="13" t="str">
        <f>Raw_Data!K3345</f>
        <v>20</v>
      </c>
      <c r="L3345" s="17" t="str">
        <f>Raw_Data!L3345</f>
        <v>Chennai-South</v>
      </c>
      <c r="M3345" s="13" t="str">
        <f t="shared" si="3"/>
        <v>OK</v>
      </c>
      <c r="N3345" s="18" t="str">
        <f t="shared" si="4"/>
        <v>VALID</v>
      </c>
    </row>
    <row r="3346" ht="15.75" customHeight="1">
      <c r="A3346" s="13" t="str">
        <f>Raw_Data!A3346</f>
        <v>EMP3527</v>
      </c>
      <c r="B3346" s="13" t="str">
        <f>TRIM(CLEAN(Raw_Data!B3346))</f>
        <v>Marketing</v>
      </c>
      <c r="C3346" s="18" t="s">
        <v>14</v>
      </c>
      <c r="D3346" s="14" t="str">
        <f>IF(ISBLANK(Raw_Data!D3346),AVERAGE(Raw_Data!D$2:D$5002),Raw_Data!D3346)</f>
        <v>86475.93</v>
      </c>
      <c r="E3346" s="15" t="str">
        <f>IF(ISBLANK(Raw_Data!E3346),AVERAGE(Raw_Data!E$2:E$5002),Raw_Data!E3346)</f>
        <v>30266.74</v>
      </c>
      <c r="F3346" s="15" t="str">
        <f>IF(ISBLANK(Raw_Data!F3346),AVERAGE(Raw_Data!F$2:F$5002),Raw_Data!F3346)</f>
        <v>27258.63</v>
      </c>
      <c r="G3346" s="14" t="str">
        <f>IF(ISBLANK(Raw_Data!G3346),AVERAGE(Raw_Data!G$2:G$5002),Raw_Data!G3346)</f>
        <v>18892.94</v>
      </c>
      <c r="H3346" s="15" t="str">
        <f t="shared" si="1"/>
        <v>144001.00</v>
      </c>
      <c r="I3346" s="14" t="str">
        <f t="shared" si="2"/>
        <v>125108.00</v>
      </c>
      <c r="J3346" s="16" t="str">
        <f>TEXT(Raw_Data!J3346,"MMM-YYY")</f>
        <v>Jul-2025</v>
      </c>
      <c r="K3346" s="13" t="str">
        <f>Raw_Data!K3346</f>
        <v>5</v>
      </c>
      <c r="L3346" s="17" t="str">
        <f>Raw_Data!L3346</f>
        <v>Mumbai-HO</v>
      </c>
      <c r="M3346" s="13" t="str">
        <f t="shared" si="3"/>
        <v>OK</v>
      </c>
      <c r="N3346" s="18" t="str">
        <f t="shared" si="4"/>
        <v>VALID</v>
      </c>
    </row>
    <row r="3347" ht="15.75" customHeight="1">
      <c r="A3347" s="13" t="str">
        <f>Raw_Data!A3347</f>
        <v>EMP3528</v>
      </c>
      <c r="B3347" s="13" t="str">
        <f>TRIM(CLEAN(Raw_Data!B3347))</f>
        <v>Operations</v>
      </c>
      <c r="C3347" s="18" t="s">
        <v>26</v>
      </c>
      <c r="D3347" s="14" t="str">
        <f>IF(ISBLANK(Raw_Data!D3347),AVERAGE(Raw_Data!D$2:D$5002),Raw_Data!D3347)</f>
        <v>86486.81</v>
      </c>
      <c r="E3347" s="15" t="str">
        <f>IF(ISBLANK(Raw_Data!E3347),AVERAGE(Raw_Data!E$2:E$5002),Raw_Data!E3347)</f>
        <v>30271.35</v>
      </c>
      <c r="F3347" s="15" t="str">
        <f>IF(ISBLANK(Raw_Data!F3347),AVERAGE(Raw_Data!F$2:F$5002),Raw_Data!F3347)</f>
        <v>27266.31</v>
      </c>
      <c r="G3347" s="14" t="str">
        <f>IF(ISBLANK(Raw_Data!G3347),AVERAGE(Raw_Data!G$2:G$5002),Raw_Data!G3347)</f>
        <v>18896.34</v>
      </c>
      <c r="H3347" s="15" t="str">
        <f t="shared" si="1"/>
        <v>144024.00</v>
      </c>
      <c r="I3347" s="14" t="str">
        <f t="shared" si="2"/>
        <v>125128.00</v>
      </c>
      <c r="J3347" s="16" t="str">
        <f>TEXT(Raw_Data!J3347,"MMM-YYY")</f>
        <v>Mar-2025</v>
      </c>
      <c r="K3347" s="13" t="str">
        <f>Raw_Data!K3347</f>
        <v>16</v>
      </c>
      <c r="L3347" s="17" t="str">
        <f>Raw_Data!L3347</f>
        <v>Chandigarh-North</v>
      </c>
      <c r="M3347" s="13" t="str">
        <f t="shared" si="3"/>
        <v>OK</v>
      </c>
      <c r="N3347" s="18" t="str">
        <f t="shared" si="4"/>
        <v>VALID</v>
      </c>
    </row>
    <row r="3348" ht="15.75" customHeight="1">
      <c r="A3348" s="13" t="str">
        <f>Raw_Data!A3348</f>
        <v>EMP3530</v>
      </c>
      <c r="B3348" s="13" t="str">
        <f>TRIM(CLEAN(Raw_Data!B3348))</f>
        <v>Marketing</v>
      </c>
      <c r="C3348" s="18" t="s">
        <v>18</v>
      </c>
      <c r="D3348" s="14" t="str">
        <f>IF(ISBLANK(Raw_Data!D3348),AVERAGE(Raw_Data!D$2:D$5002),Raw_Data!D3348)</f>
        <v>86508.58</v>
      </c>
      <c r="E3348" s="15" t="str">
        <f>IF(ISBLANK(Raw_Data!E3348),AVERAGE(Raw_Data!E$2:E$5002),Raw_Data!E3348)</f>
        <v>30280.58</v>
      </c>
      <c r="F3348" s="15" t="str">
        <f>IF(ISBLANK(Raw_Data!F3348),AVERAGE(Raw_Data!F$2:F$5002),Raw_Data!F3348)</f>
        <v>27281.67</v>
      </c>
      <c r="G3348" s="14" t="str">
        <f>IF(ISBLANK(Raw_Data!G3348),AVERAGE(Raw_Data!G$2:G$5002),Raw_Data!G3348)</f>
        <v>18903.13</v>
      </c>
      <c r="H3348" s="15" t="str">
        <f t="shared" si="1"/>
        <v>144071.00</v>
      </c>
      <c r="I3348" s="14" t="str">
        <f t="shared" si="2"/>
        <v>125168.00</v>
      </c>
      <c r="J3348" s="16" t="str">
        <f>TEXT(Raw_Data!J3348,"MMM-YYY")</f>
        <v>Oct-2025</v>
      </c>
      <c r="K3348" s="13" t="str">
        <f>Raw_Data!K3348</f>
        <v>12</v>
      </c>
      <c r="L3348" s="17" t="str">
        <f>Raw_Data!L3348</f>
        <v>Jaipur-North</v>
      </c>
      <c r="M3348" s="13" t="str">
        <f t="shared" si="3"/>
        <v>OK</v>
      </c>
      <c r="N3348" s="18" t="str">
        <f t="shared" si="4"/>
        <v>VALID</v>
      </c>
    </row>
    <row r="3349" ht="15.75" customHeight="1">
      <c r="A3349" s="13" t="str">
        <f>Raw_Data!A3349</f>
        <v>EMP3531</v>
      </c>
      <c r="B3349" s="13" t="str">
        <f>TRIM(CLEAN(Raw_Data!B3349))</f>
        <v>IT</v>
      </c>
      <c r="C3349" s="18" t="s">
        <v>37</v>
      </c>
      <c r="D3349" s="14" t="str">
        <f>IF(ISBLANK(Raw_Data!D3349),AVERAGE(Raw_Data!D$2:D$5002),Raw_Data!D3349)</f>
        <v>86519.46</v>
      </c>
      <c r="E3349" s="15" t="str">
        <f>IF(ISBLANK(Raw_Data!E3349),AVERAGE(Raw_Data!E$2:E$5002),Raw_Data!E3349)</f>
        <v>30285.19</v>
      </c>
      <c r="F3349" s="15" t="str">
        <f>IF(ISBLANK(Raw_Data!F3349),AVERAGE(Raw_Data!F$2:F$5002),Raw_Data!F3349)</f>
        <v>27289.35</v>
      </c>
      <c r="G3349" s="14" t="str">
        <f>IF(ISBLANK(Raw_Data!G3349),AVERAGE(Raw_Data!G$2:G$5002),Raw_Data!G3349)</f>
        <v>18906.53</v>
      </c>
      <c r="H3349" s="15" t="str">
        <f t="shared" si="1"/>
        <v>144094.00</v>
      </c>
      <c r="I3349" s="14" t="str">
        <f t="shared" si="2"/>
        <v>125187.00</v>
      </c>
      <c r="J3349" s="16" t="str">
        <f>TEXT(Raw_Data!J3349,"MMM-YYY")</f>
        <v>Nov-2025</v>
      </c>
      <c r="K3349" s="13" t="str">
        <f>Raw_Data!K3349</f>
        <v>6</v>
      </c>
      <c r="L3349" s="17" t="str">
        <f>Raw_Data!L3349</f>
        <v>Pune-West</v>
      </c>
      <c r="M3349" s="13" t="str">
        <f t="shared" si="3"/>
        <v>OK</v>
      </c>
      <c r="N3349" s="18" t="str">
        <f t="shared" si="4"/>
        <v>VALID</v>
      </c>
    </row>
    <row r="3350" ht="15.75" customHeight="1">
      <c r="A3350" s="13" t="str">
        <f>Raw_Data!A3350</f>
        <v>EMP3532</v>
      </c>
      <c r="B3350" s="13" t="str">
        <f>TRIM(CLEAN(Raw_Data!B3350))</f>
        <v>Sales</v>
      </c>
      <c r="C3350" s="18" t="s">
        <v>26</v>
      </c>
      <c r="D3350" s="14" t="str">
        <f>IF(ISBLANK(Raw_Data!D3350),AVERAGE(Raw_Data!D$2:D$5002),Raw_Data!D3350)</f>
        <v>71831.17</v>
      </c>
      <c r="E3350" s="15" t="str">
        <f>IF(ISBLANK(Raw_Data!E3350),AVERAGE(Raw_Data!E$2:E$5002),Raw_Data!E3350)</f>
        <v>30289.81</v>
      </c>
      <c r="F3350" s="15" t="str">
        <f>IF(ISBLANK(Raw_Data!F3350),AVERAGE(Raw_Data!F$2:F$5002),Raw_Data!F3350)</f>
        <v>27297.03</v>
      </c>
      <c r="G3350" s="14" t="str">
        <f>IF(ISBLANK(Raw_Data!G3350),AVERAGE(Raw_Data!G$2:G$5002),Raw_Data!G3350)</f>
        <v>18909.93</v>
      </c>
      <c r="H3350" s="15" t="str">
        <f t="shared" si="1"/>
        <v>129418.00</v>
      </c>
      <c r="I3350" s="14" t="str">
        <f t="shared" si="2"/>
        <v>110508.00</v>
      </c>
      <c r="J3350" s="16" t="str">
        <f>TEXT(Raw_Data!J3350,"MMM-YYY")</f>
        <v>Mar-2025</v>
      </c>
      <c r="K3350" s="13" t="str">
        <f>Raw_Data!K3350</f>
        <v>10</v>
      </c>
      <c r="L3350" s="17" t="str">
        <f>Raw_Data!L3350</f>
        <v>Pune-West</v>
      </c>
      <c r="M3350" s="13" t="str">
        <f t="shared" si="3"/>
        <v>OK</v>
      </c>
      <c r="N3350" s="18" t="str">
        <f t="shared" si="4"/>
        <v>VALID</v>
      </c>
    </row>
    <row r="3351" ht="15.75" customHeight="1">
      <c r="A3351" s="13" t="str">
        <f>Raw_Data!A3351</f>
        <v>EMP3533</v>
      </c>
      <c r="B3351" s="13" t="str">
        <f>TRIM(CLEAN(Raw_Data!B3351))</f>
        <v>Marketing</v>
      </c>
      <c r="C3351" s="18" t="s">
        <v>54</v>
      </c>
      <c r="D3351" s="14" t="str">
        <f>IF(ISBLANK(Raw_Data!D3351),AVERAGE(Raw_Data!D$2:D$5002),Raw_Data!D3351)</f>
        <v>86541.23</v>
      </c>
      <c r="E3351" s="15" t="str">
        <f>IF(ISBLANK(Raw_Data!E3351),AVERAGE(Raw_Data!E$2:E$5002),Raw_Data!E3351)</f>
        <v>30294.42</v>
      </c>
      <c r="F3351" s="15" t="str">
        <f>IF(ISBLANK(Raw_Data!F3351),AVERAGE(Raw_Data!F$2:F$5002),Raw_Data!F3351)</f>
        <v>27304.71</v>
      </c>
      <c r="G3351" s="14" t="str">
        <f>IF(ISBLANK(Raw_Data!G3351),AVERAGE(Raw_Data!G$2:G$5002),Raw_Data!G3351)</f>
        <v>18913.33</v>
      </c>
      <c r="H3351" s="15" t="str">
        <f t="shared" si="1"/>
        <v>144140.00</v>
      </c>
      <c r="I3351" s="14" t="str">
        <f t="shared" si="2"/>
        <v>125227.00</v>
      </c>
      <c r="J3351" s="16" t="str">
        <f>TEXT(Raw_Data!J3351,"MMM-YYY")</f>
        <v>Jun-2025</v>
      </c>
      <c r="K3351" s="13" t="str">
        <f>Raw_Data!K3351</f>
        <v>23</v>
      </c>
      <c r="L3351" s="17" t="str">
        <f>Raw_Data!L3351</f>
        <v>Chandigarh-North</v>
      </c>
      <c r="M3351" s="13" t="str">
        <f t="shared" si="3"/>
        <v>OK</v>
      </c>
      <c r="N3351" s="18" t="str">
        <f t="shared" si="4"/>
        <v>VALID</v>
      </c>
    </row>
    <row r="3352" ht="15.75" customHeight="1">
      <c r="A3352" s="13" t="str">
        <f>Raw_Data!A3352</f>
        <v>EMP3534</v>
      </c>
      <c r="B3352" s="13" t="str">
        <f>TRIM(CLEAN(Raw_Data!B3352))</f>
        <v>Operations</v>
      </c>
      <c r="C3352" s="18" t="s">
        <v>18</v>
      </c>
      <c r="D3352" s="14" t="str">
        <f>IF(ISBLANK(Raw_Data!D3352),AVERAGE(Raw_Data!D$2:D$5002),Raw_Data!D3352)</f>
        <v>86552.11</v>
      </c>
      <c r="E3352" s="15" t="str">
        <f>IF(ISBLANK(Raw_Data!E3352),AVERAGE(Raw_Data!E$2:E$5002),Raw_Data!E3352)</f>
        <v>30299.04</v>
      </c>
      <c r="F3352" s="15" t="str">
        <f>IF(ISBLANK(Raw_Data!F3352),AVERAGE(Raw_Data!F$2:F$5002),Raw_Data!F3352)</f>
        <v>27312.39</v>
      </c>
      <c r="G3352" s="14" t="str">
        <f>IF(ISBLANK(Raw_Data!G3352),AVERAGE(Raw_Data!G$2:G$5002),Raw_Data!G3352)</f>
        <v>18916.72</v>
      </c>
      <c r="H3352" s="15" t="str">
        <f t="shared" si="1"/>
        <v>144164.00</v>
      </c>
      <c r="I3352" s="14" t="str">
        <f t="shared" si="2"/>
        <v>125247.00</v>
      </c>
      <c r="J3352" s="16" t="str">
        <f>TEXT(Raw_Data!J3352,"MMM-YYY")</f>
        <v>Sep-2025</v>
      </c>
      <c r="K3352" s="13" t="str">
        <f>Raw_Data!K3352</f>
        <v>23</v>
      </c>
      <c r="L3352" s="17" t="str">
        <f>Raw_Data!L3352</f>
        <v>Chennai-South</v>
      </c>
      <c r="M3352" s="13" t="str">
        <f t="shared" si="3"/>
        <v>OK</v>
      </c>
      <c r="N3352" s="18" t="str">
        <f t="shared" si="4"/>
        <v>VALID</v>
      </c>
    </row>
    <row r="3353" ht="15.75" customHeight="1">
      <c r="A3353" s="13" t="str">
        <f>Raw_Data!A3353</f>
        <v>EMP3535</v>
      </c>
      <c r="B3353" s="13" t="str">
        <f>TRIM(CLEAN(Raw_Data!B3353))</f>
        <v>Sales</v>
      </c>
      <c r="C3353" s="18" t="s">
        <v>14</v>
      </c>
      <c r="D3353" s="14" t="str">
        <f>IF(ISBLANK(Raw_Data!D3353),AVERAGE(Raw_Data!D$2:D$5002),Raw_Data!D3353)</f>
        <v>86562.99</v>
      </c>
      <c r="E3353" s="15" t="str">
        <f>IF(ISBLANK(Raw_Data!E3353),AVERAGE(Raw_Data!E$2:E$5002),Raw_Data!E3353)</f>
        <v>30303.65</v>
      </c>
      <c r="F3353" s="15" t="str">
        <f>IF(ISBLANK(Raw_Data!F3353),AVERAGE(Raw_Data!F$2:F$5002),Raw_Data!F3353)</f>
        <v>27320.07</v>
      </c>
      <c r="G3353" s="14" t="str">
        <f>IF(ISBLANK(Raw_Data!G3353),AVERAGE(Raw_Data!G$2:G$5002),Raw_Data!G3353)</f>
        <v>18920.12</v>
      </c>
      <c r="H3353" s="15" t="str">
        <f t="shared" si="1"/>
        <v>144187.00</v>
      </c>
      <c r="I3353" s="14" t="str">
        <f t="shared" si="2"/>
        <v>125267.00</v>
      </c>
      <c r="J3353" s="16" t="str">
        <f>TEXT(Raw_Data!J3353,"MMM-YYY")</f>
        <v>Aug-2025</v>
      </c>
      <c r="K3353" s="13" t="str">
        <f>Raw_Data!K3353</f>
        <v>10</v>
      </c>
      <c r="L3353" s="17" t="str">
        <f>Raw_Data!L3353</f>
        <v>Chandigarh-North</v>
      </c>
      <c r="M3353" s="13" t="str">
        <f t="shared" si="3"/>
        <v>OK</v>
      </c>
      <c r="N3353" s="18" t="str">
        <f t="shared" si="4"/>
        <v>VALID</v>
      </c>
    </row>
    <row r="3354" ht="15.75" customHeight="1">
      <c r="A3354" s="13" t="str">
        <f>Raw_Data!A3354</f>
        <v>EMP3536</v>
      </c>
      <c r="B3354" s="13" t="str">
        <f>TRIM(CLEAN(Raw_Data!B3354))</f>
        <v>Finance</v>
      </c>
      <c r="C3354" s="18" t="s">
        <v>14</v>
      </c>
      <c r="D3354" s="14" t="str">
        <f>IF(ISBLANK(Raw_Data!D3354),AVERAGE(Raw_Data!D$2:D$5002),Raw_Data!D3354)</f>
        <v>86573.88</v>
      </c>
      <c r="E3354" s="15" t="str">
        <f>IF(ISBLANK(Raw_Data!E3354),AVERAGE(Raw_Data!E$2:E$5002),Raw_Data!E3354)</f>
        <v>30308.27</v>
      </c>
      <c r="F3354" s="15" t="str">
        <f>IF(ISBLANK(Raw_Data!F3354),AVERAGE(Raw_Data!F$2:F$5002),Raw_Data!F3354)</f>
        <v>27327.75</v>
      </c>
      <c r="G3354" s="14" t="str">
        <f>IF(ISBLANK(Raw_Data!G3354),AVERAGE(Raw_Data!G$2:G$5002),Raw_Data!G3354)</f>
        <v>18923.52</v>
      </c>
      <c r="H3354" s="15" t="str">
        <f t="shared" si="1"/>
        <v>144210.00</v>
      </c>
      <c r="I3354" s="14" t="str">
        <f t="shared" si="2"/>
        <v>125286.00</v>
      </c>
      <c r="J3354" s="16" t="str">
        <f>TEXT(Raw_Data!J3354,"MMM-YYY")</f>
        <v>Nov-2025</v>
      </c>
      <c r="K3354" s="13" t="str">
        <f>Raw_Data!K3354</f>
        <v>22</v>
      </c>
      <c r="L3354" s="17" t="str">
        <f>Raw_Data!L3354</f>
        <v>Ahmedabad-West</v>
      </c>
      <c r="M3354" s="13" t="str">
        <f t="shared" si="3"/>
        <v>OK</v>
      </c>
      <c r="N3354" s="18" t="str">
        <f t="shared" si="4"/>
        <v>VALID</v>
      </c>
    </row>
    <row r="3355" ht="15.75" customHeight="1">
      <c r="A3355" s="13" t="str">
        <f>Raw_Data!A3355</f>
        <v>EMP3537</v>
      </c>
      <c r="B3355" s="13" t="str">
        <f>TRIM(CLEAN(Raw_Data!B3355))</f>
        <v>Sales</v>
      </c>
      <c r="C3355" s="18" t="s">
        <v>18</v>
      </c>
      <c r="D3355" s="14" t="str">
        <f>IF(ISBLANK(Raw_Data!D3355),AVERAGE(Raw_Data!D$2:D$5002),Raw_Data!D3355)</f>
        <v>86584.76</v>
      </c>
      <c r="E3355" s="15" t="str">
        <f>IF(ISBLANK(Raw_Data!E3355),AVERAGE(Raw_Data!E$2:E$5002),Raw_Data!E3355)</f>
        <v>30312.88</v>
      </c>
      <c r="F3355" s="15" t="str">
        <f>IF(ISBLANK(Raw_Data!F3355),AVERAGE(Raw_Data!F$2:F$5002),Raw_Data!F3355)</f>
        <v>27335.43</v>
      </c>
      <c r="G3355" s="14" t="str">
        <f>IF(ISBLANK(Raw_Data!G3355),AVERAGE(Raw_Data!G$2:G$5002),Raw_Data!G3355)</f>
        <v>18926.92</v>
      </c>
      <c r="H3355" s="15" t="str">
        <f t="shared" si="1"/>
        <v>144233.00</v>
      </c>
      <c r="I3355" s="14" t="str">
        <f t="shared" si="2"/>
        <v>125306.00</v>
      </c>
      <c r="J3355" s="16" t="str">
        <f>TEXT(Raw_Data!J3355,"MMM-YYY")</f>
        <v>Oct-2025</v>
      </c>
      <c r="K3355" s="13" t="str">
        <f>Raw_Data!K3355</f>
        <v>13</v>
      </c>
      <c r="L3355" s="17" t="str">
        <f>Raw_Data!L3355</f>
        <v>Bangalore-South</v>
      </c>
      <c r="M3355" s="13" t="str">
        <f t="shared" si="3"/>
        <v>OK</v>
      </c>
      <c r="N3355" s="18" t="str">
        <f t="shared" si="4"/>
        <v>VALID</v>
      </c>
    </row>
    <row r="3356" ht="15.75" customHeight="1">
      <c r="A3356" s="13" t="str">
        <f>Raw_Data!A3356</f>
        <v>EMP3538</v>
      </c>
      <c r="B3356" s="13" t="str">
        <f>TRIM(CLEAN(Raw_Data!B3356))</f>
        <v>Operations</v>
      </c>
      <c r="C3356" s="18" t="s">
        <v>54</v>
      </c>
      <c r="D3356" s="14" t="str">
        <f>IF(ISBLANK(Raw_Data!D3356),AVERAGE(Raw_Data!D$2:D$5002),Raw_Data!D3356)</f>
        <v>86595.64</v>
      </c>
      <c r="E3356" s="15" t="str">
        <f>IF(ISBLANK(Raw_Data!E3356),AVERAGE(Raw_Data!E$2:E$5002),Raw_Data!E3356)</f>
        <v>30317.50</v>
      </c>
      <c r="F3356" s="15" t="str">
        <f>IF(ISBLANK(Raw_Data!F3356),AVERAGE(Raw_Data!F$2:F$5002),Raw_Data!F3356)</f>
        <v>27343.11</v>
      </c>
      <c r="G3356" s="14" t="str">
        <f>IF(ISBLANK(Raw_Data!G3356),AVERAGE(Raw_Data!G$2:G$5002),Raw_Data!G3356)</f>
        <v>18930.31</v>
      </c>
      <c r="H3356" s="15" t="str">
        <f t="shared" si="1"/>
        <v>144256.00</v>
      </c>
      <c r="I3356" s="14" t="str">
        <f t="shared" si="2"/>
        <v>125326.00</v>
      </c>
      <c r="J3356" s="16" t="str">
        <f>TEXT(Raw_Data!J3356,"MMM-YYY")</f>
        <v>Jul-2025</v>
      </c>
      <c r="K3356" s="13" t="str">
        <f>Raw_Data!K3356</f>
        <v>21</v>
      </c>
      <c r="L3356" s="17" t="str">
        <f>Raw_Data!L3356</f>
        <v>Pune-West</v>
      </c>
      <c r="M3356" s="13" t="str">
        <f t="shared" si="3"/>
        <v>OK</v>
      </c>
      <c r="N3356" s="18" t="str">
        <f t="shared" si="4"/>
        <v>VALID</v>
      </c>
    </row>
    <row r="3357" ht="15.75" customHeight="1">
      <c r="A3357" s="13" t="str">
        <f>Raw_Data!A3357</f>
        <v>EMP3539</v>
      </c>
      <c r="B3357" s="13" t="str">
        <f>TRIM(CLEAN(Raw_Data!B3357))</f>
        <v>Operations</v>
      </c>
      <c r="C3357" s="18" t="s">
        <v>37</v>
      </c>
      <c r="D3357" s="14" t="str">
        <f>IF(ISBLANK(Raw_Data!D3357),AVERAGE(Raw_Data!D$2:D$5002),Raw_Data!D3357)</f>
        <v>86606.52</v>
      </c>
      <c r="E3357" s="15" t="str">
        <f>IF(ISBLANK(Raw_Data!E3357),AVERAGE(Raw_Data!E$2:E$5002),Raw_Data!E3357)</f>
        <v>30322.11</v>
      </c>
      <c r="F3357" s="15" t="str">
        <f>IF(ISBLANK(Raw_Data!F3357),AVERAGE(Raw_Data!F$2:F$5002),Raw_Data!F3357)</f>
        <v>27350.79</v>
      </c>
      <c r="G3357" s="14" t="str">
        <f>IF(ISBLANK(Raw_Data!G3357),AVERAGE(Raw_Data!G$2:G$5002),Raw_Data!G3357)</f>
        <v>18933.71</v>
      </c>
      <c r="H3357" s="15" t="str">
        <f t="shared" si="1"/>
        <v>144279.00</v>
      </c>
      <c r="I3357" s="14" t="str">
        <f t="shared" si="2"/>
        <v>125345.00</v>
      </c>
      <c r="J3357" s="16" t="str">
        <f>TEXT(Raw_Data!J3357,"MMM-YYY")</f>
        <v>Dec-2025</v>
      </c>
      <c r="K3357" s="13" t="str">
        <f>Raw_Data!K3357</f>
        <v>2</v>
      </c>
      <c r="L3357" s="17" t="str">
        <f>Raw_Data!L3357</f>
        <v>Chandigarh-North</v>
      </c>
      <c r="M3357" s="13" t="str">
        <f t="shared" si="3"/>
        <v>OK</v>
      </c>
      <c r="N3357" s="18" t="str">
        <f t="shared" si="4"/>
        <v>VALID</v>
      </c>
    </row>
    <row r="3358" ht="15.75" customHeight="1">
      <c r="A3358" s="13" t="str">
        <f>Raw_Data!A3358</f>
        <v>EMP3540</v>
      </c>
      <c r="B3358" s="13" t="str">
        <f>TRIM(CLEAN(Raw_Data!B3358))</f>
        <v>Finance</v>
      </c>
      <c r="C3358" s="18" t="s">
        <v>18</v>
      </c>
      <c r="D3358" s="14" t="str">
        <f>IF(ISBLANK(Raw_Data!D3358),AVERAGE(Raw_Data!D$2:D$5002),Raw_Data!D3358)</f>
        <v>86617.41</v>
      </c>
      <c r="E3358" s="15" t="str">
        <f>IF(ISBLANK(Raw_Data!E3358),AVERAGE(Raw_Data!E$2:E$5002),Raw_Data!E3358)</f>
        <v>30326.73</v>
      </c>
      <c r="F3358" s="15" t="str">
        <f>IF(ISBLANK(Raw_Data!F3358),AVERAGE(Raw_Data!F$2:F$5002),Raw_Data!F3358)</f>
        <v>27358.47</v>
      </c>
      <c r="G3358" s="14" t="str">
        <f>IF(ISBLANK(Raw_Data!G3358),AVERAGE(Raw_Data!G$2:G$5002),Raw_Data!G3358)</f>
        <v>18937.11</v>
      </c>
      <c r="H3358" s="15" t="str">
        <f t="shared" si="1"/>
        <v>144303.00</v>
      </c>
      <c r="I3358" s="14" t="str">
        <f t="shared" si="2"/>
        <v>125366.00</v>
      </c>
      <c r="J3358" s="16" t="str">
        <f>TEXT(Raw_Data!J3358,"MMM-YYY")</f>
        <v>May-2025</v>
      </c>
      <c r="K3358" s="13" t="str">
        <f>Raw_Data!K3358</f>
        <v>24</v>
      </c>
      <c r="L3358" s="17" t="str">
        <f>Raw_Data!L3358</f>
        <v>Chennai-South</v>
      </c>
      <c r="M3358" s="13" t="str">
        <f t="shared" si="3"/>
        <v>OK</v>
      </c>
      <c r="N3358" s="18" t="str">
        <f t="shared" si="4"/>
        <v>VALID</v>
      </c>
    </row>
    <row r="3359" ht="15.75" customHeight="1">
      <c r="A3359" s="13" t="str">
        <f>Raw_Data!A3359</f>
        <v>EMP3541</v>
      </c>
      <c r="B3359" s="13" t="str">
        <f>TRIM(CLEAN(Raw_Data!B3359))</f>
        <v>Sales</v>
      </c>
      <c r="C3359" s="18" t="s">
        <v>54</v>
      </c>
      <c r="D3359" s="14" t="str">
        <f>IF(ISBLANK(Raw_Data!D3359),AVERAGE(Raw_Data!D$2:D$5002),Raw_Data!D3359)</f>
        <v>86628.29</v>
      </c>
      <c r="E3359" s="15" t="str">
        <f>IF(ISBLANK(Raw_Data!E3359),AVERAGE(Raw_Data!E$2:E$5002),Raw_Data!E3359)</f>
        <v>30331.34</v>
      </c>
      <c r="F3359" s="15" t="str">
        <f>IF(ISBLANK(Raw_Data!F3359),AVERAGE(Raw_Data!F$2:F$5002),Raw_Data!F3359)</f>
        <v>27366.15</v>
      </c>
      <c r="G3359" s="14" t="str">
        <f>IF(ISBLANK(Raw_Data!G3359),AVERAGE(Raw_Data!G$2:G$5002),Raw_Data!G3359)</f>
        <v>18940.51</v>
      </c>
      <c r="H3359" s="15" t="str">
        <f t="shared" si="1"/>
        <v>144326.00</v>
      </c>
      <c r="I3359" s="14" t="str">
        <f t="shared" si="2"/>
        <v>125385.00</v>
      </c>
      <c r="J3359" s="16" t="str">
        <f>TEXT(Raw_Data!J3359,"MMM-YYY")</f>
        <v>Apr-2025</v>
      </c>
      <c r="K3359" s="13" t="str">
        <f>Raw_Data!K3359</f>
        <v>11</v>
      </c>
      <c r="L3359" s="17" t="str">
        <f>Raw_Data!L3359</f>
        <v>Jaipur-North</v>
      </c>
      <c r="M3359" s="13" t="str">
        <f t="shared" si="3"/>
        <v>OK</v>
      </c>
      <c r="N3359" s="18" t="str">
        <f t="shared" si="4"/>
        <v>VALID</v>
      </c>
    </row>
    <row r="3360" ht="15.75" customHeight="1">
      <c r="A3360" s="13" t="str">
        <f>Raw_Data!A3360</f>
        <v>EMP3542</v>
      </c>
      <c r="B3360" s="13" t="str">
        <f>TRIM(CLEAN(Raw_Data!B3360))</f>
        <v>Customer Support</v>
      </c>
      <c r="C3360" s="18" t="s">
        <v>33</v>
      </c>
      <c r="D3360" s="14" t="str">
        <f>IF(ISBLANK(Raw_Data!D3360),AVERAGE(Raw_Data!D$2:D$5002),Raw_Data!D3360)</f>
        <v>86639.17</v>
      </c>
      <c r="E3360" s="15" t="str">
        <f>IF(ISBLANK(Raw_Data!E3360),AVERAGE(Raw_Data!E$2:E$5002),Raw_Data!E3360)</f>
        <v>30335.96</v>
      </c>
      <c r="F3360" s="15" t="str">
        <f>IF(ISBLANK(Raw_Data!F3360),AVERAGE(Raw_Data!F$2:F$5002),Raw_Data!F3360)</f>
        <v>27373.83</v>
      </c>
      <c r="G3360" s="14" t="str">
        <f>IF(ISBLANK(Raw_Data!G3360),AVERAGE(Raw_Data!G$2:G$5002),Raw_Data!G3360)</f>
        <v>18943.90</v>
      </c>
      <c r="H3360" s="15" t="str">
        <f t="shared" si="1"/>
        <v>144349.00</v>
      </c>
      <c r="I3360" s="14" t="str">
        <f t="shared" si="2"/>
        <v>125405.00</v>
      </c>
      <c r="J3360" s="16" t="str">
        <f>TEXT(Raw_Data!J3360,"MMM-YYY")</f>
        <v>May-2025</v>
      </c>
      <c r="K3360" s="13" t="str">
        <f>Raw_Data!K3360</f>
        <v>1</v>
      </c>
      <c r="L3360" s="17" t="str">
        <f>Raw_Data!L3360</f>
        <v>Kolkata-East</v>
      </c>
      <c r="M3360" s="13" t="str">
        <f t="shared" si="3"/>
        <v>OK</v>
      </c>
      <c r="N3360" s="18" t="str">
        <f t="shared" si="4"/>
        <v>VALID</v>
      </c>
    </row>
    <row r="3361" ht="15.75" customHeight="1">
      <c r="A3361" s="13" t="str">
        <f>Raw_Data!A3361</f>
        <v>EMP3543</v>
      </c>
      <c r="B3361" s="13" t="str">
        <f>TRIM(CLEAN(Raw_Data!B3361))</f>
        <v>Operations</v>
      </c>
      <c r="C3361" s="18" t="s">
        <v>30</v>
      </c>
      <c r="D3361" s="14" t="str">
        <f>IF(ISBLANK(Raw_Data!D3361),AVERAGE(Raw_Data!D$2:D$5002),Raw_Data!D3361)</f>
        <v>86650.06</v>
      </c>
      <c r="E3361" s="15" t="str">
        <f>IF(ISBLANK(Raw_Data!E3361),AVERAGE(Raw_Data!E$2:E$5002),Raw_Data!E3361)</f>
        <v>30340.57</v>
      </c>
      <c r="F3361" s="15" t="str">
        <f>IF(ISBLANK(Raw_Data!F3361),AVERAGE(Raw_Data!F$2:F$5002),Raw_Data!F3361)</f>
        <v>27381.51</v>
      </c>
      <c r="G3361" s="14" t="str">
        <f>IF(ISBLANK(Raw_Data!G3361),AVERAGE(Raw_Data!G$2:G$5002),Raw_Data!G3361)</f>
        <v>18947.30</v>
      </c>
      <c r="H3361" s="15" t="str">
        <f t="shared" si="1"/>
        <v>144372.00</v>
      </c>
      <c r="I3361" s="14" t="str">
        <f t="shared" si="2"/>
        <v>125425.00</v>
      </c>
      <c r="J3361" s="16" t="str">
        <f>TEXT(Raw_Data!J3361,"MMM-YYY")</f>
        <v>Aug-2025</v>
      </c>
      <c r="K3361" s="13" t="str">
        <f>Raw_Data!K3361</f>
        <v>1</v>
      </c>
      <c r="L3361" s="17" t="str">
        <f>Raw_Data!L3361</f>
        <v>Bangalore-South</v>
      </c>
      <c r="M3361" s="13" t="str">
        <f t="shared" si="3"/>
        <v>OK</v>
      </c>
      <c r="N3361" s="18" t="str">
        <f t="shared" si="4"/>
        <v>VALID</v>
      </c>
    </row>
    <row r="3362" ht="15.75" customHeight="1">
      <c r="A3362" s="13" t="str">
        <f>Raw_Data!A3362</f>
        <v>EMP3544</v>
      </c>
      <c r="B3362" s="13" t="str">
        <f>TRIM(CLEAN(Raw_Data!B3362))</f>
        <v>Finance</v>
      </c>
      <c r="C3362" s="18" t="s">
        <v>26</v>
      </c>
      <c r="D3362" s="14" t="str">
        <f>IF(ISBLANK(Raw_Data!D3362),AVERAGE(Raw_Data!D$2:D$5002),Raw_Data!D3362)</f>
        <v>86660.94</v>
      </c>
      <c r="E3362" s="15" t="str">
        <f>IF(ISBLANK(Raw_Data!E3362),AVERAGE(Raw_Data!E$2:E$5002),Raw_Data!E3362)</f>
        <v>30345.19</v>
      </c>
      <c r="F3362" s="15" t="str">
        <f>IF(ISBLANK(Raw_Data!F3362),AVERAGE(Raw_Data!F$2:F$5002),Raw_Data!F3362)</f>
        <v>27389.19</v>
      </c>
      <c r="G3362" s="14" t="str">
        <f>IF(ISBLANK(Raw_Data!G3362),AVERAGE(Raw_Data!G$2:G$5002),Raw_Data!G3362)</f>
        <v>18950.70</v>
      </c>
      <c r="H3362" s="15" t="str">
        <f t="shared" si="1"/>
        <v>144395.00</v>
      </c>
      <c r="I3362" s="14" t="str">
        <f t="shared" si="2"/>
        <v>125444.00</v>
      </c>
      <c r="J3362" s="16" t="str">
        <f>TEXT(Raw_Data!J3362,"MMM-YYY")</f>
        <v>May-2025</v>
      </c>
      <c r="K3362" s="13" t="str">
        <f>Raw_Data!K3362</f>
        <v>11</v>
      </c>
      <c r="L3362" s="17" t="str">
        <f>Raw_Data!L3362</f>
        <v>Pune-West</v>
      </c>
      <c r="M3362" s="13" t="str">
        <f t="shared" si="3"/>
        <v>OK</v>
      </c>
      <c r="N3362" s="18" t="str">
        <f t="shared" si="4"/>
        <v>VALID</v>
      </c>
    </row>
    <row r="3363" ht="15.75" customHeight="1">
      <c r="A3363" s="13" t="str">
        <f>Raw_Data!A3363</f>
        <v>EMP3545</v>
      </c>
      <c r="B3363" s="13" t="str">
        <f>TRIM(CLEAN(Raw_Data!B3363))</f>
        <v>Sales</v>
      </c>
      <c r="C3363" s="18" t="s">
        <v>18</v>
      </c>
      <c r="D3363" s="14" t="str">
        <f>IF(ISBLANK(Raw_Data!D3363),AVERAGE(Raw_Data!D$2:D$5002),Raw_Data!D3363)</f>
        <v>86671.82</v>
      </c>
      <c r="E3363" s="15" t="str">
        <f>IF(ISBLANK(Raw_Data!E3363),AVERAGE(Raw_Data!E$2:E$5002),Raw_Data!E3363)</f>
        <v>30349.80</v>
      </c>
      <c r="F3363" s="15" t="str">
        <f>IF(ISBLANK(Raw_Data!F3363),AVERAGE(Raw_Data!F$2:F$5002),Raw_Data!F3363)</f>
        <v>27396.87</v>
      </c>
      <c r="G3363" s="14" t="str">
        <f>IF(ISBLANK(Raw_Data!G3363),AVERAGE(Raw_Data!G$2:G$5002),Raw_Data!G3363)</f>
        <v>18954.10</v>
      </c>
      <c r="H3363" s="15" t="str">
        <f t="shared" si="1"/>
        <v>144418.00</v>
      </c>
      <c r="I3363" s="14" t="str">
        <f t="shared" si="2"/>
        <v>125464.00</v>
      </c>
      <c r="J3363" s="16" t="str">
        <f>TEXT(Raw_Data!J3363,"MMM-YYY")</f>
        <v>Jun-2025</v>
      </c>
      <c r="K3363" s="13" t="str">
        <f>Raw_Data!K3363</f>
        <v>17</v>
      </c>
      <c r="L3363" s="17" t="str">
        <f>Raw_Data!L3363</f>
        <v>Kolkata-East</v>
      </c>
      <c r="M3363" s="13" t="str">
        <f t="shared" si="3"/>
        <v>OK</v>
      </c>
      <c r="N3363" s="18" t="str">
        <f t="shared" si="4"/>
        <v>VALID</v>
      </c>
    </row>
    <row r="3364" ht="15.75" customHeight="1">
      <c r="A3364" s="13" t="str">
        <f>Raw_Data!A3364</f>
        <v>EMP3546</v>
      </c>
      <c r="B3364" s="13" t="str">
        <f>TRIM(CLEAN(Raw_Data!B3364))</f>
        <v>Operations</v>
      </c>
      <c r="C3364" s="18" t="s">
        <v>37</v>
      </c>
      <c r="D3364" s="14" t="str">
        <f>IF(ISBLANK(Raw_Data!D3364),AVERAGE(Raw_Data!D$2:D$5002),Raw_Data!D3364)</f>
        <v>86682.71</v>
      </c>
      <c r="E3364" s="15" t="str">
        <f>IF(ISBLANK(Raw_Data!E3364),AVERAGE(Raw_Data!E$2:E$5002),Raw_Data!E3364)</f>
        <v>30354.42</v>
      </c>
      <c r="F3364" s="15" t="str">
        <f>IF(ISBLANK(Raw_Data!F3364),AVERAGE(Raw_Data!F$2:F$5002),Raw_Data!F3364)</f>
        <v>27404.55</v>
      </c>
      <c r="G3364" s="14" t="str">
        <f>IF(ISBLANK(Raw_Data!G3364),AVERAGE(Raw_Data!G$2:G$5002),Raw_Data!G3364)</f>
        <v>14562.73</v>
      </c>
      <c r="H3364" s="15" t="str">
        <f t="shared" si="1"/>
        <v>144442.00</v>
      </c>
      <c r="I3364" s="14" t="str">
        <f t="shared" si="2"/>
        <v>129879.00</v>
      </c>
      <c r="J3364" s="16" t="str">
        <f>TEXT(Raw_Data!J3364,"MMM-YYY")</f>
        <v>Mar-2025</v>
      </c>
      <c r="K3364" s="13" t="str">
        <f>Raw_Data!K3364</f>
        <v>4</v>
      </c>
      <c r="L3364" s="17" t="str">
        <f>Raw_Data!L3364</f>
        <v>Hyderabad-South</v>
      </c>
      <c r="M3364" s="13" t="str">
        <f t="shared" si="3"/>
        <v>OK</v>
      </c>
      <c r="N3364" s="18" t="str">
        <f t="shared" si="4"/>
        <v>VALID</v>
      </c>
    </row>
    <row r="3365" ht="15.75" customHeight="1">
      <c r="A3365" s="13" t="str">
        <f>Raw_Data!A3365</f>
        <v>EMP3547</v>
      </c>
      <c r="B3365" s="13" t="str">
        <f>TRIM(CLEAN(Raw_Data!B3365))</f>
        <v>Customer Support</v>
      </c>
      <c r="C3365" s="18" t="s">
        <v>54</v>
      </c>
      <c r="D3365" s="14" t="str">
        <f>IF(ISBLANK(Raw_Data!D3365),AVERAGE(Raw_Data!D$2:D$5002),Raw_Data!D3365)</f>
        <v>86693.59</v>
      </c>
      <c r="E3365" s="15" t="str">
        <f>IF(ISBLANK(Raw_Data!E3365),AVERAGE(Raw_Data!E$2:E$5002),Raw_Data!E3365)</f>
        <v>30359.03</v>
      </c>
      <c r="F3365" s="15" t="str">
        <f>IF(ISBLANK(Raw_Data!F3365),AVERAGE(Raw_Data!F$2:F$5002),Raw_Data!F3365)</f>
        <v>27412.23</v>
      </c>
      <c r="G3365" s="14" t="str">
        <f>IF(ISBLANK(Raw_Data!G3365),AVERAGE(Raw_Data!G$2:G$5002),Raw_Data!G3365)</f>
        <v>18960.89</v>
      </c>
      <c r="H3365" s="15" t="str">
        <f t="shared" si="1"/>
        <v>144465.00</v>
      </c>
      <c r="I3365" s="14" t="str">
        <f t="shared" si="2"/>
        <v>125504.00</v>
      </c>
      <c r="J3365" s="16" t="str">
        <f>TEXT(Raw_Data!J3365,"MMM-YYY")</f>
        <v>May-2025</v>
      </c>
      <c r="K3365" s="13" t="str">
        <f>Raw_Data!K3365</f>
        <v>20</v>
      </c>
      <c r="L3365" s="17" t="str">
        <f>Raw_Data!L3365</f>
        <v>Mumbai-HO</v>
      </c>
      <c r="M3365" s="13" t="str">
        <f t="shared" si="3"/>
        <v>OK</v>
      </c>
      <c r="N3365" s="18" t="str">
        <f t="shared" si="4"/>
        <v>VALID</v>
      </c>
    </row>
    <row r="3366" ht="15.75" customHeight="1">
      <c r="A3366" s="13" t="str">
        <f>Raw_Data!A3366</f>
        <v>EMP3548</v>
      </c>
      <c r="B3366" s="13" t="str">
        <f>TRIM(CLEAN(Raw_Data!B3366))</f>
        <v>Sales</v>
      </c>
      <c r="C3366" s="18" t="s">
        <v>37</v>
      </c>
      <c r="D3366" s="14" t="str">
        <f>IF(ISBLANK(Raw_Data!D3366),AVERAGE(Raw_Data!D$2:D$5002),Raw_Data!D3366)</f>
        <v>86704.47</v>
      </c>
      <c r="E3366" s="15" t="str">
        <f>IF(ISBLANK(Raw_Data!E3366),AVERAGE(Raw_Data!E$2:E$5002),Raw_Data!E3366)</f>
        <v>30363.64</v>
      </c>
      <c r="F3366" s="15" t="str">
        <f>IF(ISBLANK(Raw_Data!F3366),AVERAGE(Raw_Data!F$2:F$5002),Raw_Data!F3366)</f>
        <v>27419.91</v>
      </c>
      <c r="G3366" s="14" t="str">
        <f>IF(ISBLANK(Raw_Data!G3366),AVERAGE(Raw_Data!G$2:G$5002),Raw_Data!G3366)</f>
        <v>18964.29</v>
      </c>
      <c r="H3366" s="15" t="str">
        <f t="shared" si="1"/>
        <v>144488.00</v>
      </c>
      <c r="I3366" s="14" t="str">
        <f t="shared" si="2"/>
        <v>125524.00</v>
      </c>
      <c r="J3366" s="16" t="str">
        <f>TEXT(Raw_Data!J3366,"MMM-YYY")</f>
        <v>Jun-2025</v>
      </c>
      <c r="K3366" s="13" t="str">
        <f>Raw_Data!K3366</f>
        <v>12</v>
      </c>
      <c r="L3366" s="17" t="str">
        <f>Raw_Data!L3366</f>
        <v>Jaipur-North</v>
      </c>
      <c r="M3366" s="13" t="str">
        <f t="shared" si="3"/>
        <v>OK</v>
      </c>
      <c r="N3366" s="18" t="str">
        <f t="shared" si="4"/>
        <v>VALID</v>
      </c>
    </row>
    <row r="3367" ht="15.75" customHeight="1">
      <c r="A3367" s="13" t="str">
        <f>Raw_Data!A3367</f>
        <v>EMP3549</v>
      </c>
      <c r="B3367" s="13" t="str">
        <f>TRIM(CLEAN(Raw_Data!B3367))</f>
        <v>IT</v>
      </c>
      <c r="C3367" s="18" t="s">
        <v>33</v>
      </c>
      <c r="D3367" s="14" t="str">
        <f>IF(ISBLANK(Raw_Data!D3367),AVERAGE(Raw_Data!D$2:D$5002),Raw_Data!D3367)</f>
        <v>86715.35</v>
      </c>
      <c r="E3367" s="15" t="str">
        <f>IF(ISBLANK(Raw_Data!E3367),AVERAGE(Raw_Data!E$2:E$5002),Raw_Data!E3367)</f>
        <v>30368.26</v>
      </c>
      <c r="F3367" s="15" t="str">
        <f>IF(ISBLANK(Raw_Data!F3367),AVERAGE(Raw_Data!F$2:F$5002),Raw_Data!F3367)</f>
        <v>27427.59</v>
      </c>
      <c r="G3367" s="14" t="str">
        <f>IF(ISBLANK(Raw_Data!G3367),AVERAGE(Raw_Data!G$2:G$5002),Raw_Data!G3367)</f>
        <v>18967.69</v>
      </c>
      <c r="H3367" s="15" t="str">
        <f t="shared" si="1"/>
        <v>144511.00</v>
      </c>
      <c r="I3367" s="14" t="str">
        <f t="shared" si="2"/>
        <v>125543.00</v>
      </c>
      <c r="J3367" s="16" t="str">
        <f>TEXT(Raw_Data!J3367,"MMM-YYY")</f>
        <v>Dec-2025</v>
      </c>
      <c r="K3367" s="13" t="str">
        <f>Raw_Data!K3367</f>
        <v>19</v>
      </c>
      <c r="L3367" s="17" t="str">
        <f>Raw_Data!L3367</f>
        <v>Mumbai-HO</v>
      </c>
      <c r="M3367" s="13" t="str">
        <f t="shared" si="3"/>
        <v>OK</v>
      </c>
      <c r="N3367" s="18" t="str">
        <f t="shared" si="4"/>
        <v>VALID</v>
      </c>
    </row>
    <row r="3368" ht="15.75" customHeight="1">
      <c r="A3368" s="13" t="str">
        <f>Raw_Data!A3368</f>
        <v>EMP3550</v>
      </c>
      <c r="B3368" s="13" t="str">
        <f>TRIM(CLEAN(Raw_Data!B3368))</f>
        <v>Finance</v>
      </c>
      <c r="C3368" s="18" t="s">
        <v>14</v>
      </c>
      <c r="D3368" s="14" t="str">
        <f>IF(ISBLANK(Raw_Data!D3368),AVERAGE(Raw_Data!D$2:D$5002),Raw_Data!D3368)</f>
        <v>86726.24</v>
      </c>
      <c r="E3368" s="15" t="str">
        <f>IF(ISBLANK(Raw_Data!E3368),AVERAGE(Raw_Data!E$2:E$5002),Raw_Data!E3368)</f>
        <v>30372.87</v>
      </c>
      <c r="F3368" s="15" t="str">
        <f>IF(ISBLANK(Raw_Data!F3368),AVERAGE(Raw_Data!F$2:F$5002),Raw_Data!F3368)</f>
        <v>27435.27</v>
      </c>
      <c r="G3368" s="14" t="str">
        <f>IF(ISBLANK(Raw_Data!G3368),AVERAGE(Raw_Data!G$2:G$5002),Raw_Data!G3368)</f>
        <v>18971.08</v>
      </c>
      <c r="H3368" s="15" t="str">
        <f t="shared" si="1"/>
        <v>144534.00</v>
      </c>
      <c r="I3368" s="14" t="str">
        <f t="shared" si="2"/>
        <v>125563.00</v>
      </c>
      <c r="J3368" s="16" t="str">
        <f>TEXT(Raw_Data!J3368,"MMM-YYY")</f>
        <v>Jun-2025</v>
      </c>
      <c r="K3368" s="13" t="str">
        <f>Raw_Data!K3368</f>
        <v>20</v>
      </c>
      <c r="L3368" s="17" t="str">
        <f>Raw_Data!L3368</f>
        <v>Chennai-South</v>
      </c>
      <c r="M3368" s="13" t="str">
        <f t="shared" si="3"/>
        <v>OK</v>
      </c>
      <c r="N3368" s="18" t="str">
        <f t="shared" si="4"/>
        <v>VALID</v>
      </c>
    </row>
    <row r="3369" ht="15.75" customHeight="1">
      <c r="A3369" s="13" t="str">
        <f>Raw_Data!A3369</f>
        <v>EMP3551</v>
      </c>
      <c r="B3369" s="13" t="str">
        <f>TRIM(CLEAN(Raw_Data!B3369))</f>
        <v>Sales</v>
      </c>
      <c r="C3369" s="18" t="s">
        <v>14</v>
      </c>
      <c r="D3369" s="14" t="str">
        <f>IF(ISBLANK(Raw_Data!D3369),AVERAGE(Raw_Data!D$2:D$5002),Raw_Data!D3369)</f>
        <v>86737.12</v>
      </c>
      <c r="E3369" s="15" t="str">
        <f>IF(ISBLANK(Raw_Data!E3369),AVERAGE(Raw_Data!E$2:E$5002),Raw_Data!E3369)</f>
        <v>30377.49</v>
      </c>
      <c r="F3369" s="15" t="str">
        <f>IF(ISBLANK(Raw_Data!F3369),AVERAGE(Raw_Data!F$2:F$5002),Raw_Data!F3369)</f>
        <v>27442.95</v>
      </c>
      <c r="G3369" s="14" t="str">
        <f>IF(ISBLANK(Raw_Data!G3369),AVERAGE(Raw_Data!G$2:G$5002),Raw_Data!G3369)</f>
        <v>18974.48</v>
      </c>
      <c r="H3369" s="15" t="str">
        <f t="shared" si="1"/>
        <v>144558.00</v>
      </c>
      <c r="I3369" s="14" t="str">
        <f t="shared" si="2"/>
        <v>125584.00</v>
      </c>
      <c r="J3369" s="16" t="str">
        <f>TEXT(Raw_Data!J3369,"MMM-YYY")</f>
        <v>Dec-2025</v>
      </c>
      <c r="K3369" s="13" t="str">
        <f>Raw_Data!K3369</f>
        <v>1</v>
      </c>
      <c r="L3369" s="17" t="str">
        <f>Raw_Data!L3369</f>
        <v>Chandigarh-North</v>
      </c>
      <c r="M3369" s="13" t="str">
        <f t="shared" si="3"/>
        <v>OK</v>
      </c>
      <c r="N3369" s="18" t="str">
        <f t="shared" si="4"/>
        <v>VALID</v>
      </c>
    </row>
    <row r="3370" ht="15.75" customHeight="1">
      <c r="A3370" s="13" t="str">
        <f>Raw_Data!A3370</f>
        <v>EMP3552</v>
      </c>
      <c r="B3370" s="13" t="str">
        <f>TRIM(CLEAN(Raw_Data!B3370))</f>
        <v>IT</v>
      </c>
      <c r="C3370" s="18" t="s">
        <v>30</v>
      </c>
      <c r="D3370" s="14" t="str">
        <f>IF(ISBLANK(Raw_Data!D3370),AVERAGE(Raw_Data!D$2:D$5002),Raw_Data!D3370)</f>
        <v>86748.00</v>
      </c>
      <c r="E3370" s="15" t="str">
        <f>IF(ISBLANK(Raw_Data!E3370),AVERAGE(Raw_Data!E$2:E$5002),Raw_Data!E3370)</f>
        <v>30382.10</v>
      </c>
      <c r="F3370" s="15" t="str">
        <f>IF(ISBLANK(Raw_Data!F3370),AVERAGE(Raw_Data!F$2:F$5002),Raw_Data!F3370)</f>
        <v>27450.63</v>
      </c>
      <c r="G3370" s="14" t="str">
        <f>IF(ISBLANK(Raw_Data!G3370),AVERAGE(Raw_Data!G$2:G$5002),Raw_Data!G3370)</f>
        <v>18977.88</v>
      </c>
      <c r="H3370" s="15" t="str">
        <f t="shared" si="1"/>
        <v>144581.00</v>
      </c>
      <c r="I3370" s="14" t="str">
        <f t="shared" si="2"/>
        <v>125603.00</v>
      </c>
      <c r="J3370" s="16" t="str">
        <f>TEXT(Raw_Data!J3370,"MMM-YYY")</f>
        <v>Jun-2025</v>
      </c>
      <c r="K3370" s="13" t="str">
        <f>Raw_Data!K3370</f>
        <v>12</v>
      </c>
      <c r="L3370" s="17" t="str">
        <f>Raw_Data!L3370</f>
        <v>Chennai-South</v>
      </c>
      <c r="M3370" s="13" t="str">
        <f t="shared" si="3"/>
        <v>OK</v>
      </c>
      <c r="N3370" s="18" t="str">
        <f t="shared" si="4"/>
        <v>VALID</v>
      </c>
    </row>
    <row r="3371" ht="15.75" customHeight="1">
      <c r="A3371" s="13" t="str">
        <f>Raw_Data!A3371</f>
        <v>EMP3554</v>
      </c>
      <c r="B3371" s="13" t="str">
        <f>TRIM(CLEAN(Raw_Data!B3371))</f>
        <v>Operations</v>
      </c>
      <c r="C3371" s="18" t="s">
        <v>14</v>
      </c>
      <c r="D3371" s="14" t="str">
        <f>IF(ISBLANK(Raw_Data!D3371),AVERAGE(Raw_Data!D$2:D$5002),Raw_Data!D3371)</f>
        <v>86769.77</v>
      </c>
      <c r="E3371" s="15" t="str">
        <f>IF(ISBLANK(Raw_Data!E3371),AVERAGE(Raw_Data!E$2:E$5002),Raw_Data!E3371)</f>
        <v>30391.33</v>
      </c>
      <c r="F3371" s="15" t="str">
        <f>IF(ISBLANK(Raw_Data!F3371),AVERAGE(Raw_Data!F$2:F$5002),Raw_Data!F3371)</f>
        <v>27465.99</v>
      </c>
      <c r="G3371" s="14" t="str">
        <f>IF(ISBLANK(Raw_Data!G3371),AVERAGE(Raw_Data!G$2:G$5002),Raw_Data!G3371)</f>
        <v>18984.67</v>
      </c>
      <c r="H3371" s="15" t="str">
        <f t="shared" si="1"/>
        <v>144627.00</v>
      </c>
      <c r="I3371" s="14" t="str">
        <f t="shared" si="2"/>
        <v>125642.00</v>
      </c>
      <c r="J3371" s="16" t="str">
        <f>TEXT(Raw_Data!J3371,"MMM-YYY")</f>
        <v>May-2025</v>
      </c>
      <c r="K3371" s="13" t="str">
        <f>Raw_Data!K3371</f>
        <v>11</v>
      </c>
      <c r="L3371" s="17" t="str">
        <f>Raw_Data!L3371</f>
        <v>Chandigarh-North</v>
      </c>
      <c r="M3371" s="13" t="str">
        <f t="shared" si="3"/>
        <v>OK</v>
      </c>
      <c r="N3371" s="18" t="str">
        <f t="shared" si="4"/>
        <v>VALID</v>
      </c>
    </row>
    <row r="3372" ht="15.75" customHeight="1">
      <c r="A3372" s="13" t="str">
        <f>Raw_Data!A3372</f>
        <v>EMP3555</v>
      </c>
      <c r="B3372" s="13" t="str">
        <f>TRIM(CLEAN(Raw_Data!B3372))</f>
        <v>IT</v>
      </c>
      <c r="C3372" s="18" t="s">
        <v>30</v>
      </c>
      <c r="D3372" s="14" t="str">
        <f>IF(ISBLANK(Raw_Data!D3372),AVERAGE(Raw_Data!D$2:D$5002),Raw_Data!D3372)</f>
        <v>86780.65</v>
      </c>
      <c r="E3372" s="15" t="str">
        <f>IF(ISBLANK(Raw_Data!E3372),AVERAGE(Raw_Data!E$2:E$5002),Raw_Data!E3372)</f>
        <v>30395.95</v>
      </c>
      <c r="F3372" s="15" t="str">
        <f>IF(ISBLANK(Raw_Data!F3372),AVERAGE(Raw_Data!F$2:F$5002),Raw_Data!F3372)</f>
        <v>27473.67</v>
      </c>
      <c r="G3372" s="14" t="str">
        <f>IF(ISBLANK(Raw_Data!G3372),AVERAGE(Raw_Data!G$2:G$5002),Raw_Data!G3372)</f>
        <v>18988.07</v>
      </c>
      <c r="H3372" s="15" t="str">
        <f t="shared" si="1"/>
        <v>144650.00</v>
      </c>
      <c r="I3372" s="14" t="str">
        <f t="shared" si="2"/>
        <v>125662.00</v>
      </c>
      <c r="J3372" s="16" t="str">
        <f>TEXT(Raw_Data!J3372,"MMM-YYY")</f>
        <v>Jul-2025</v>
      </c>
      <c r="K3372" s="13" t="str">
        <f>Raw_Data!K3372</f>
        <v>17</v>
      </c>
      <c r="L3372" s="17" t="str">
        <f>Raw_Data!L3372</f>
        <v>Chandigarh-North</v>
      </c>
      <c r="M3372" s="13" t="str">
        <f t="shared" si="3"/>
        <v>OK</v>
      </c>
      <c r="N3372" s="18" t="str">
        <f t="shared" si="4"/>
        <v>VALID</v>
      </c>
    </row>
    <row r="3373" ht="15.75" customHeight="1">
      <c r="A3373" s="13" t="str">
        <f>Raw_Data!A3373</f>
        <v>EMP3556</v>
      </c>
      <c r="B3373" s="13" t="str">
        <f>TRIM(CLEAN(Raw_Data!B3373))</f>
        <v>Finance</v>
      </c>
      <c r="C3373" s="18" t="s">
        <v>37</v>
      </c>
      <c r="D3373" s="14" t="str">
        <f>IF(ISBLANK(Raw_Data!D3373),AVERAGE(Raw_Data!D$2:D$5002),Raw_Data!D3373)</f>
        <v>86791.54</v>
      </c>
      <c r="E3373" s="15" t="str">
        <f>IF(ISBLANK(Raw_Data!E3373),AVERAGE(Raw_Data!E$2:E$5002),Raw_Data!E3373)</f>
        <v>30400.56</v>
      </c>
      <c r="F3373" s="15" t="str">
        <f>IF(ISBLANK(Raw_Data!F3373),AVERAGE(Raw_Data!F$2:F$5002),Raw_Data!F3373)</f>
        <v>27481.35</v>
      </c>
      <c r="G3373" s="14" t="str">
        <f>IF(ISBLANK(Raw_Data!G3373),AVERAGE(Raw_Data!G$2:G$5002),Raw_Data!G3373)</f>
        <v>18991.47</v>
      </c>
      <c r="H3373" s="15" t="str">
        <f t="shared" si="1"/>
        <v>144673.00</v>
      </c>
      <c r="I3373" s="14" t="str">
        <f t="shared" si="2"/>
        <v>125682.00</v>
      </c>
      <c r="J3373" s="16" t="str">
        <f>TEXT(Raw_Data!J3373,"MMM-YYY")</f>
        <v>Oct-2025</v>
      </c>
      <c r="K3373" s="13" t="str">
        <f>Raw_Data!K3373</f>
        <v>4</v>
      </c>
      <c r="L3373" s="17" t="str">
        <f>Raw_Data!L3373</f>
        <v>Delhi-North</v>
      </c>
      <c r="M3373" s="13" t="str">
        <f t="shared" si="3"/>
        <v>OK</v>
      </c>
      <c r="N3373" s="18" t="str">
        <f t="shared" si="4"/>
        <v>VALID</v>
      </c>
    </row>
    <row r="3374" ht="15.75" customHeight="1">
      <c r="A3374" s="13" t="str">
        <f>Raw_Data!A3374</f>
        <v>EMP3557</v>
      </c>
      <c r="B3374" s="13" t="str">
        <f>TRIM(CLEAN(Raw_Data!B3374))</f>
        <v>Sales</v>
      </c>
      <c r="C3374" s="18" t="s">
        <v>33</v>
      </c>
      <c r="D3374" s="14" t="str">
        <f>IF(ISBLANK(Raw_Data!D3374),AVERAGE(Raw_Data!D$2:D$5002),Raw_Data!D3374)</f>
        <v>86802.42</v>
      </c>
      <c r="E3374" s="15" t="str">
        <f>IF(ISBLANK(Raw_Data!E3374),AVERAGE(Raw_Data!E$2:E$5002),Raw_Data!E3374)</f>
        <v>30405.18</v>
      </c>
      <c r="F3374" s="15" t="str">
        <f>IF(ISBLANK(Raw_Data!F3374),AVERAGE(Raw_Data!F$2:F$5002),Raw_Data!F3374)</f>
        <v>27489.03</v>
      </c>
      <c r="G3374" s="14" t="str">
        <f>IF(ISBLANK(Raw_Data!G3374),AVERAGE(Raw_Data!G$2:G$5002),Raw_Data!G3374)</f>
        <v>18994.87</v>
      </c>
      <c r="H3374" s="15" t="str">
        <f t="shared" si="1"/>
        <v>144697.00</v>
      </c>
      <c r="I3374" s="14" t="str">
        <f t="shared" si="2"/>
        <v>125702.00</v>
      </c>
      <c r="J3374" s="16" t="str">
        <f>TEXT(Raw_Data!J3374,"MMM-YYY")</f>
        <v>Jul-2025</v>
      </c>
      <c r="K3374" s="13" t="str">
        <f>Raw_Data!K3374</f>
        <v>21</v>
      </c>
      <c r="L3374" s="17" t="str">
        <f>Raw_Data!L3374</f>
        <v>Mumbai-HO</v>
      </c>
      <c r="M3374" s="13" t="str">
        <f t="shared" si="3"/>
        <v>OK</v>
      </c>
      <c r="N3374" s="18" t="str">
        <f t="shared" si="4"/>
        <v>VALID</v>
      </c>
    </row>
    <row r="3375" ht="15.75" customHeight="1">
      <c r="A3375" s="13" t="str">
        <f>Raw_Data!A3375</f>
        <v>EMP3558</v>
      </c>
      <c r="B3375" s="13" t="str">
        <f>TRIM(CLEAN(Raw_Data!B3375))</f>
        <v>IT</v>
      </c>
      <c r="C3375" s="18" t="s">
        <v>54</v>
      </c>
      <c r="D3375" s="14" t="str">
        <f>IF(ISBLANK(Raw_Data!D3375),AVERAGE(Raw_Data!D$2:D$5002),Raw_Data!D3375)</f>
        <v>86813.30</v>
      </c>
      <c r="E3375" s="15" t="str">
        <f>IF(ISBLANK(Raw_Data!E3375),AVERAGE(Raw_Data!E$2:E$5002),Raw_Data!E3375)</f>
        <v>30409.79</v>
      </c>
      <c r="F3375" s="15" t="str">
        <f>IF(ISBLANK(Raw_Data!F3375),AVERAGE(Raw_Data!F$2:F$5002),Raw_Data!F3375)</f>
        <v>27496.71</v>
      </c>
      <c r="G3375" s="14" t="str">
        <f>IF(ISBLANK(Raw_Data!G3375),AVERAGE(Raw_Data!G$2:G$5002),Raw_Data!G3375)</f>
        <v>18998.26</v>
      </c>
      <c r="H3375" s="15" t="str">
        <f t="shared" si="1"/>
        <v>144720.00</v>
      </c>
      <c r="I3375" s="14" t="str">
        <f t="shared" si="2"/>
        <v>125722.00</v>
      </c>
      <c r="J3375" s="16" t="str">
        <f>TEXT(Raw_Data!J3375,"MMM-YYY")</f>
        <v>Jul-2025</v>
      </c>
      <c r="K3375" s="13" t="str">
        <f>Raw_Data!K3375</f>
        <v>11</v>
      </c>
      <c r="L3375" s="17" t="str">
        <f>Raw_Data!L3375</f>
        <v>Kolkata-East</v>
      </c>
      <c r="M3375" s="13" t="str">
        <f t="shared" si="3"/>
        <v>OK</v>
      </c>
      <c r="N3375" s="18" t="str">
        <f t="shared" si="4"/>
        <v>VALID</v>
      </c>
    </row>
    <row r="3376" ht="15.75" customHeight="1">
      <c r="A3376" s="13" t="str">
        <f>Raw_Data!A3376</f>
        <v>EMP3559</v>
      </c>
      <c r="B3376" s="13" t="str">
        <f>TRIM(CLEAN(Raw_Data!B3376))</f>
        <v>Customer Support</v>
      </c>
      <c r="C3376" s="18" t="s">
        <v>14</v>
      </c>
      <c r="D3376" s="14" t="str">
        <f>IF(ISBLANK(Raw_Data!D3376),AVERAGE(Raw_Data!D$2:D$5002),Raw_Data!D3376)</f>
        <v>86824.18</v>
      </c>
      <c r="E3376" s="15" t="str">
        <f>IF(ISBLANK(Raw_Data!E3376),AVERAGE(Raw_Data!E$2:E$5002),Raw_Data!E3376)</f>
        <v>30414.41</v>
      </c>
      <c r="F3376" s="15" t="str">
        <f>IF(ISBLANK(Raw_Data!F3376),AVERAGE(Raw_Data!F$2:F$5002),Raw_Data!F3376)</f>
        <v>27504.39</v>
      </c>
      <c r="G3376" s="14" t="str">
        <f>IF(ISBLANK(Raw_Data!G3376),AVERAGE(Raw_Data!G$2:G$5002),Raw_Data!G3376)</f>
        <v>19001.66</v>
      </c>
      <c r="H3376" s="15" t="str">
        <f t="shared" si="1"/>
        <v>144743.00</v>
      </c>
      <c r="I3376" s="14" t="str">
        <f t="shared" si="2"/>
        <v>125741.00</v>
      </c>
      <c r="J3376" s="16" t="str">
        <f>TEXT(Raw_Data!J3376,"MMM-YYY")</f>
        <v>Jan-2025</v>
      </c>
      <c r="K3376" s="13" t="str">
        <f>Raw_Data!K3376</f>
        <v>7</v>
      </c>
      <c r="L3376" s="17" t="str">
        <f>Raw_Data!L3376</f>
        <v>Bangalore-South</v>
      </c>
      <c r="M3376" s="13" t="str">
        <f t="shared" si="3"/>
        <v>OK</v>
      </c>
      <c r="N3376" s="18" t="str">
        <f t="shared" si="4"/>
        <v>VALID</v>
      </c>
    </row>
    <row r="3377" ht="15.75" customHeight="1">
      <c r="A3377" s="13" t="str">
        <f>Raw_Data!A3377</f>
        <v>EMP3560</v>
      </c>
      <c r="B3377" s="13" t="str">
        <f>TRIM(CLEAN(Raw_Data!B3377))</f>
        <v>Marketing</v>
      </c>
      <c r="C3377" s="18" t="s">
        <v>18</v>
      </c>
      <c r="D3377" s="14" t="str">
        <f>IF(ISBLANK(Raw_Data!D3377),AVERAGE(Raw_Data!D$2:D$5002),Raw_Data!D3377)</f>
        <v>86835.07</v>
      </c>
      <c r="E3377" s="15" t="str">
        <f>IF(ISBLANK(Raw_Data!E3377),AVERAGE(Raw_Data!E$2:E$5002),Raw_Data!E3377)</f>
        <v>30419.02</v>
      </c>
      <c r="F3377" s="15" t="str">
        <f>IF(ISBLANK(Raw_Data!F3377),AVERAGE(Raw_Data!F$2:F$5002),Raw_Data!F3377)</f>
        <v>27512.07</v>
      </c>
      <c r="G3377" s="14" t="str">
        <f>IF(ISBLANK(Raw_Data!G3377),AVERAGE(Raw_Data!G$2:G$5002),Raw_Data!G3377)</f>
        <v>19005.06</v>
      </c>
      <c r="H3377" s="15" t="str">
        <f t="shared" si="1"/>
        <v>144766.00</v>
      </c>
      <c r="I3377" s="14" t="str">
        <f t="shared" si="2"/>
        <v>125761.00</v>
      </c>
      <c r="J3377" s="16" t="str">
        <f>TEXT(Raw_Data!J3377,"MMM-YYY")</f>
        <v>Jul-2025</v>
      </c>
      <c r="K3377" s="13" t="str">
        <f>Raw_Data!K3377</f>
        <v>5</v>
      </c>
      <c r="L3377" s="17" t="str">
        <f>Raw_Data!L3377</f>
        <v>Pune-West</v>
      </c>
      <c r="M3377" s="13" t="str">
        <f t="shared" si="3"/>
        <v>OK</v>
      </c>
      <c r="N3377" s="18" t="str">
        <f t="shared" si="4"/>
        <v>VALID</v>
      </c>
    </row>
    <row r="3378" ht="15.75" customHeight="1">
      <c r="A3378" s="13" t="str">
        <f>Raw_Data!A3378</f>
        <v>EMP3561</v>
      </c>
      <c r="B3378" s="13" t="str">
        <f>TRIM(CLEAN(Raw_Data!B3378))</f>
        <v>Marketing</v>
      </c>
      <c r="C3378" s="18" t="s">
        <v>54</v>
      </c>
      <c r="D3378" s="14" t="str">
        <f>IF(ISBLANK(Raw_Data!D3378),AVERAGE(Raw_Data!D$2:D$5002),Raw_Data!D3378)</f>
        <v>86845.95</v>
      </c>
      <c r="E3378" s="15" t="str">
        <f>IF(ISBLANK(Raw_Data!E3378),AVERAGE(Raw_Data!E$2:E$5002),Raw_Data!E3378)</f>
        <v>30423.64</v>
      </c>
      <c r="F3378" s="15" t="str">
        <f>IF(ISBLANK(Raw_Data!F3378),AVERAGE(Raw_Data!F$2:F$5002),Raw_Data!F3378)</f>
        <v>27519.75</v>
      </c>
      <c r="G3378" s="14" t="str">
        <f>IF(ISBLANK(Raw_Data!G3378),AVERAGE(Raw_Data!G$2:G$5002),Raw_Data!G3378)</f>
        <v>19008.46</v>
      </c>
      <c r="H3378" s="15" t="str">
        <f t="shared" si="1"/>
        <v>144789.00</v>
      </c>
      <c r="I3378" s="14" t="str">
        <f t="shared" si="2"/>
        <v>125781.00</v>
      </c>
      <c r="J3378" s="16" t="str">
        <f>TEXT(Raw_Data!J3378,"MMM-YYY")</f>
        <v>Jan-2025</v>
      </c>
      <c r="K3378" s="13" t="str">
        <f>Raw_Data!K3378</f>
        <v>21</v>
      </c>
      <c r="L3378" s="17" t="str">
        <f>Raw_Data!L3378</f>
        <v>Bangalore-South</v>
      </c>
      <c r="M3378" s="13" t="str">
        <f t="shared" si="3"/>
        <v>OK</v>
      </c>
      <c r="N3378" s="18" t="str">
        <f t="shared" si="4"/>
        <v>VALID</v>
      </c>
    </row>
    <row r="3379" ht="15.75" customHeight="1">
      <c r="A3379" s="13" t="str">
        <f>Raw_Data!A3379</f>
        <v>EMP3562</v>
      </c>
      <c r="B3379" s="13" t="str">
        <f>TRIM(CLEAN(Raw_Data!B3379))</f>
        <v>Marketing</v>
      </c>
      <c r="C3379" s="18" t="s">
        <v>26</v>
      </c>
      <c r="D3379" s="14" t="str">
        <f>IF(ISBLANK(Raw_Data!D3379),AVERAGE(Raw_Data!D$2:D$5002),Raw_Data!D3379)</f>
        <v>86856.83</v>
      </c>
      <c r="E3379" s="15" t="str">
        <f>IF(ISBLANK(Raw_Data!E3379),AVERAGE(Raw_Data!E$2:E$5002),Raw_Data!E3379)</f>
        <v>30428.25</v>
      </c>
      <c r="F3379" s="15" t="str">
        <f>IF(ISBLANK(Raw_Data!F3379),AVERAGE(Raw_Data!F$2:F$5002),Raw_Data!F3379)</f>
        <v>27527.43</v>
      </c>
      <c r="G3379" s="14" t="str">
        <f>IF(ISBLANK(Raw_Data!G3379),AVERAGE(Raw_Data!G$2:G$5002),Raw_Data!G3379)</f>
        <v>19011.85</v>
      </c>
      <c r="H3379" s="15" t="str">
        <f t="shared" si="1"/>
        <v>144813.00</v>
      </c>
      <c r="I3379" s="14" t="str">
        <f t="shared" si="2"/>
        <v>125801.00</v>
      </c>
      <c r="J3379" s="16" t="str">
        <f>TEXT(Raw_Data!J3379,"MMM-YYY")</f>
        <v>Jul-2025</v>
      </c>
      <c r="K3379" s="13" t="str">
        <f>Raw_Data!K3379</f>
        <v>22</v>
      </c>
      <c r="L3379" s="17" t="str">
        <f>Raw_Data!L3379</f>
        <v>Jaipur-North</v>
      </c>
      <c r="M3379" s="13" t="str">
        <f t="shared" si="3"/>
        <v>OK</v>
      </c>
      <c r="N3379" s="18" t="str">
        <f t="shared" si="4"/>
        <v>VALID</v>
      </c>
    </row>
    <row r="3380" ht="15.75" customHeight="1">
      <c r="A3380" s="13" t="str">
        <f>Raw_Data!A3380</f>
        <v>EMP3563</v>
      </c>
      <c r="B3380" s="13" t="str">
        <f>TRIM(CLEAN(Raw_Data!B3380))</f>
        <v>Customer Support</v>
      </c>
      <c r="C3380" s="18" t="s">
        <v>14</v>
      </c>
      <c r="D3380" s="14" t="str">
        <f>IF(ISBLANK(Raw_Data!D3380),AVERAGE(Raw_Data!D$2:D$5002),Raw_Data!D3380)</f>
        <v>86867.72</v>
      </c>
      <c r="E3380" s="15" t="str">
        <f>IF(ISBLANK(Raw_Data!E3380),AVERAGE(Raw_Data!E$2:E$5002),Raw_Data!E3380)</f>
        <v>30432.87</v>
      </c>
      <c r="F3380" s="15" t="str">
        <f>IF(ISBLANK(Raw_Data!F3380),AVERAGE(Raw_Data!F$2:F$5002),Raw_Data!F3380)</f>
        <v>27535.11</v>
      </c>
      <c r="G3380" s="14" t="str">
        <f>IF(ISBLANK(Raw_Data!G3380),AVERAGE(Raw_Data!G$2:G$5002),Raw_Data!G3380)</f>
        <v>19015.25</v>
      </c>
      <c r="H3380" s="15" t="str">
        <f t="shared" si="1"/>
        <v>144836.00</v>
      </c>
      <c r="I3380" s="14" t="str">
        <f t="shared" si="2"/>
        <v>125821.00</v>
      </c>
      <c r="J3380" s="16" t="str">
        <f>TEXT(Raw_Data!J3380,"MMM-YYY")</f>
        <v>Jun-2025</v>
      </c>
      <c r="K3380" s="13" t="str">
        <f>Raw_Data!K3380</f>
        <v>6</v>
      </c>
      <c r="L3380" s="17" t="str">
        <f>Raw_Data!L3380</f>
        <v>Bangalore-South</v>
      </c>
      <c r="M3380" s="13" t="str">
        <f t="shared" si="3"/>
        <v>OK</v>
      </c>
      <c r="N3380" s="18" t="str">
        <f t="shared" si="4"/>
        <v>VALID</v>
      </c>
    </row>
    <row r="3381" ht="15.75" customHeight="1">
      <c r="A3381" s="13" t="str">
        <f>Raw_Data!A3381</f>
        <v>EMP3564</v>
      </c>
      <c r="B3381" s="13" t="str">
        <f>TRIM(CLEAN(Raw_Data!B3381))</f>
        <v>Operations</v>
      </c>
      <c r="C3381" s="18" t="s">
        <v>37</v>
      </c>
      <c r="D3381" s="14" t="str">
        <f>IF(ISBLANK(Raw_Data!D3381),AVERAGE(Raw_Data!D$2:D$5002),Raw_Data!D3381)</f>
        <v>86878.60</v>
      </c>
      <c r="E3381" s="15" t="str">
        <f>IF(ISBLANK(Raw_Data!E3381),AVERAGE(Raw_Data!E$2:E$5002),Raw_Data!E3381)</f>
        <v>30437.48</v>
      </c>
      <c r="F3381" s="15" t="str">
        <f>IF(ISBLANK(Raw_Data!F3381),AVERAGE(Raw_Data!F$2:F$5002),Raw_Data!F3381)</f>
        <v>27542.79</v>
      </c>
      <c r="G3381" s="14" t="str">
        <f>IF(ISBLANK(Raw_Data!G3381),AVERAGE(Raw_Data!G$2:G$5002),Raw_Data!G3381)</f>
        <v>19018.65</v>
      </c>
      <c r="H3381" s="15" t="str">
        <f t="shared" si="1"/>
        <v>144859.00</v>
      </c>
      <c r="I3381" s="14" t="str">
        <f t="shared" si="2"/>
        <v>125840.00</v>
      </c>
      <c r="J3381" s="16" t="str">
        <f>TEXT(Raw_Data!J3381,"MMM-YYY")</f>
        <v>Nov-2025</v>
      </c>
      <c r="K3381" s="13" t="str">
        <f>Raw_Data!K3381</f>
        <v>8</v>
      </c>
      <c r="L3381" s="17" t="str">
        <f>Raw_Data!L3381</f>
        <v>Jaipur-North</v>
      </c>
      <c r="M3381" s="13" t="str">
        <f t="shared" si="3"/>
        <v>OK</v>
      </c>
      <c r="N3381" s="18" t="str">
        <f t="shared" si="4"/>
        <v>VALID</v>
      </c>
    </row>
    <row r="3382" ht="15.75" customHeight="1">
      <c r="A3382" s="13" t="str">
        <f>Raw_Data!A3382</f>
        <v>EMP3565</v>
      </c>
      <c r="B3382" s="13" t="str">
        <f>TRIM(CLEAN(Raw_Data!B3382))</f>
        <v>Sales</v>
      </c>
      <c r="C3382" s="18" t="s">
        <v>37</v>
      </c>
      <c r="D3382" s="14" t="str">
        <f>IF(ISBLANK(Raw_Data!D3382),AVERAGE(Raw_Data!D$2:D$5002),Raw_Data!D3382)</f>
        <v>86889.48</v>
      </c>
      <c r="E3382" s="15" t="str">
        <f>IF(ISBLANK(Raw_Data!E3382),AVERAGE(Raw_Data!E$2:E$5002),Raw_Data!E3382)</f>
        <v>30442.10</v>
      </c>
      <c r="F3382" s="15" t="str">
        <f>IF(ISBLANK(Raw_Data!F3382),AVERAGE(Raw_Data!F$2:F$5002),Raw_Data!F3382)</f>
        <v>27550.47</v>
      </c>
      <c r="G3382" s="14" t="str">
        <f>IF(ISBLANK(Raw_Data!G3382),AVERAGE(Raw_Data!G$2:G$5002),Raw_Data!G3382)</f>
        <v>19022.05</v>
      </c>
      <c r="H3382" s="15" t="str">
        <f t="shared" si="1"/>
        <v>144882.00</v>
      </c>
      <c r="I3382" s="14" t="str">
        <f t="shared" si="2"/>
        <v>125860.00</v>
      </c>
      <c r="J3382" s="16" t="str">
        <f>TEXT(Raw_Data!J3382,"MMM-YYY")</f>
        <v>Mar-2025</v>
      </c>
      <c r="K3382" s="13" t="str">
        <f>Raw_Data!K3382</f>
        <v>25</v>
      </c>
      <c r="L3382" s="17" t="str">
        <f>Raw_Data!L3382</f>
        <v>Chandigarh-North</v>
      </c>
      <c r="M3382" s="13" t="str">
        <f t="shared" si="3"/>
        <v>OK</v>
      </c>
      <c r="N3382" s="18" t="str">
        <f t="shared" si="4"/>
        <v>VALID</v>
      </c>
    </row>
    <row r="3383" ht="15.75" customHeight="1">
      <c r="A3383" s="13" t="str">
        <f>Raw_Data!A3383</f>
        <v>EMP3566</v>
      </c>
      <c r="B3383" s="13" t="str">
        <f>TRIM(CLEAN(Raw_Data!B3383))</f>
        <v>Marketing</v>
      </c>
      <c r="C3383" s="18" t="s">
        <v>26</v>
      </c>
      <c r="D3383" s="14" t="str">
        <f>IF(ISBLANK(Raw_Data!D3383),AVERAGE(Raw_Data!D$2:D$5002),Raw_Data!D3383)</f>
        <v>86900.37</v>
      </c>
      <c r="E3383" s="15" t="str">
        <f>IF(ISBLANK(Raw_Data!E3383),AVERAGE(Raw_Data!E$2:E$5002),Raw_Data!E3383)</f>
        <v>30446.71</v>
      </c>
      <c r="F3383" s="15" t="str">
        <f>IF(ISBLANK(Raw_Data!F3383),AVERAGE(Raw_Data!F$2:F$5002),Raw_Data!F3383)</f>
        <v>27558.15</v>
      </c>
      <c r="G3383" s="14" t="str">
        <f>IF(ISBLANK(Raw_Data!G3383),AVERAGE(Raw_Data!G$2:G$5002),Raw_Data!G3383)</f>
        <v>19025.44</v>
      </c>
      <c r="H3383" s="15" t="str">
        <f t="shared" si="1"/>
        <v>144905.00</v>
      </c>
      <c r="I3383" s="14" t="str">
        <f t="shared" si="2"/>
        <v>125880.00</v>
      </c>
      <c r="J3383" s="16" t="str">
        <f>TEXT(Raw_Data!J3383,"MMM-YYY")</f>
        <v>Aug-2025</v>
      </c>
      <c r="K3383" s="13" t="str">
        <f>Raw_Data!K3383</f>
        <v>4</v>
      </c>
      <c r="L3383" s="17" t="str">
        <f>Raw_Data!L3383</f>
        <v>Bangalore-South</v>
      </c>
      <c r="M3383" s="13" t="str">
        <f t="shared" si="3"/>
        <v>OK</v>
      </c>
      <c r="N3383" s="18" t="str">
        <f t="shared" si="4"/>
        <v>VALID</v>
      </c>
    </row>
    <row r="3384" ht="15.75" customHeight="1">
      <c r="A3384" s="13" t="str">
        <f>Raw_Data!A3384</f>
        <v>EMP3567</v>
      </c>
      <c r="B3384" s="13" t="str">
        <f>TRIM(CLEAN(Raw_Data!B3384))</f>
        <v>HR</v>
      </c>
      <c r="C3384" s="18" t="s">
        <v>14</v>
      </c>
      <c r="D3384" s="14" t="str">
        <f>IF(ISBLANK(Raw_Data!D3384),AVERAGE(Raw_Data!D$2:D$5002),Raw_Data!D3384)</f>
        <v>86911.25</v>
      </c>
      <c r="E3384" s="15" t="str">
        <f>IF(ISBLANK(Raw_Data!E3384),AVERAGE(Raw_Data!E$2:E$5002),Raw_Data!E3384)</f>
        <v>30451.32</v>
      </c>
      <c r="F3384" s="15" t="str">
        <f>IF(ISBLANK(Raw_Data!F3384),AVERAGE(Raw_Data!F$2:F$5002),Raw_Data!F3384)</f>
        <v>27565.83</v>
      </c>
      <c r="G3384" s="14" t="str">
        <f>IF(ISBLANK(Raw_Data!G3384),AVERAGE(Raw_Data!G$2:G$5002),Raw_Data!G3384)</f>
        <v>19028.84</v>
      </c>
      <c r="H3384" s="15" t="str">
        <f t="shared" si="1"/>
        <v>144928.00</v>
      </c>
      <c r="I3384" s="14" t="str">
        <f t="shared" si="2"/>
        <v>125899.00</v>
      </c>
      <c r="J3384" s="16" t="str">
        <f>TEXT(Raw_Data!J3384,"MMM-YYY")</f>
        <v>May-2025</v>
      </c>
      <c r="K3384" s="13" t="str">
        <f>Raw_Data!K3384</f>
        <v>20</v>
      </c>
      <c r="L3384" s="17" t="str">
        <f>Raw_Data!L3384</f>
        <v>Hyderabad-South</v>
      </c>
      <c r="M3384" s="13" t="str">
        <f t="shared" si="3"/>
        <v>OK</v>
      </c>
      <c r="N3384" s="18" t="str">
        <f t="shared" si="4"/>
        <v>VALID</v>
      </c>
    </row>
    <row r="3385" ht="15.75" customHeight="1">
      <c r="A3385" s="13" t="str">
        <f>Raw_Data!A3385</f>
        <v>EMP3568</v>
      </c>
      <c r="B3385" s="13" t="str">
        <f>TRIM(CLEAN(Raw_Data!B3385))</f>
        <v>Finance</v>
      </c>
      <c r="C3385" s="18" t="s">
        <v>26</v>
      </c>
      <c r="D3385" s="14" t="str">
        <f>IF(ISBLANK(Raw_Data!D3385),AVERAGE(Raw_Data!D$2:D$5002),Raw_Data!D3385)</f>
        <v>86922.13</v>
      </c>
      <c r="E3385" s="15" t="str">
        <f>IF(ISBLANK(Raw_Data!E3385),AVERAGE(Raw_Data!E$2:E$5002),Raw_Data!E3385)</f>
        <v>30455.94</v>
      </c>
      <c r="F3385" s="15" t="str">
        <f>IF(ISBLANK(Raw_Data!F3385),AVERAGE(Raw_Data!F$2:F$5002),Raw_Data!F3385)</f>
        <v>27573.51</v>
      </c>
      <c r="G3385" s="14" t="str">
        <f>IF(ISBLANK(Raw_Data!G3385),AVERAGE(Raw_Data!G$2:G$5002),Raw_Data!G3385)</f>
        <v>19032.24</v>
      </c>
      <c r="H3385" s="15" t="str">
        <f t="shared" si="1"/>
        <v>144952.00</v>
      </c>
      <c r="I3385" s="14" t="str">
        <f t="shared" si="2"/>
        <v>125920.00</v>
      </c>
      <c r="J3385" s="16" t="str">
        <f>TEXT(Raw_Data!J3385,"MMM-YYY")</f>
        <v>Jan-2025</v>
      </c>
      <c r="K3385" s="13" t="str">
        <f>Raw_Data!K3385</f>
        <v>4</v>
      </c>
      <c r="L3385" s="17" t="str">
        <f>Raw_Data!L3385</f>
        <v>Bangalore-South</v>
      </c>
      <c r="M3385" s="13" t="str">
        <f t="shared" si="3"/>
        <v>OK</v>
      </c>
      <c r="N3385" s="18" t="str">
        <f t="shared" si="4"/>
        <v>VALID</v>
      </c>
    </row>
    <row r="3386" ht="15.75" customHeight="1">
      <c r="A3386" s="13" t="str">
        <f>Raw_Data!A3386</f>
        <v>EMP3569</v>
      </c>
      <c r="B3386" s="13" t="str">
        <f>TRIM(CLEAN(Raw_Data!B3386))</f>
        <v>HR</v>
      </c>
      <c r="C3386" s="18" t="s">
        <v>37</v>
      </c>
      <c r="D3386" s="14" t="str">
        <f>IF(ISBLANK(Raw_Data!D3386),AVERAGE(Raw_Data!D$2:D$5002),Raw_Data!D3386)</f>
        <v>86933.01</v>
      </c>
      <c r="E3386" s="15" t="str">
        <f>IF(ISBLANK(Raw_Data!E3386),AVERAGE(Raw_Data!E$2:E$5002),Raw_Data!E3386)</f>
        <v>30460.55</v>
      </c>
      <c r="F3386" s="15" t="str">
        <f>IF(ISBLANK(Raw_Data!F3386),AVERAGE(Raw_Data!F$2:F$5002),Raw_Data!F3386)</f>
        <v>27581.19</v>
      </c>
      <c r="G3386" s="14" t="str">
        <f>IF(ISBLANK(Raw_Data!G3386),AVERAGE(Raw_Data!G$2:G$5002),Raw_Data!G3386)</f>
        <v>19035.64</v>
      </c>
      <c r="H3386" s="15" t="str">
        <f t="shared" si="1"/>
        <v>144975.00</v>
      </c>
      <c r="I3386" s="14" t="str">
        <f t="shared" si="2"/>
        <v>125939.00</v>
      </c>
      <c r="J3386" s="16" t="str">
        <f>TEXT(Raw_Data!J3386,"MMM-YYY")</f>
        <v>Dec-2025</v>
      </c>
      <c r="K3386" s="13" t="str">
        <f>Raw_Data!K3386</f>
        <v>11</v>
      </c>
      <c r="L3386" s="17" t="str">
        <f>Raw_Data!L3386</f>
        <v>Hyderabad-South</v>
      </c>
      <c r="M3386" s="13" t="str">
        <f t="shared" si="3"/>
        <v>OK</v>
      </c>
      <c r="N3386" s="18" t="str">
        <f t="shared" si="4"/>
        <v>VALID</v>
      </c>
    </row>
    <row r="3387" ht="15.75" customHeight="1">
      <c r="A3387" s="13" t="str">
        <f>Raw_Data!A3387</f>
        <v>EMP3570</v>
      </c>
      <c r="B3387" s="13" t="str">
        <f>TRIM(CLEAN(Raw_Data!B3387))</f>
        <v>HR</v>
      </c>
      <c r="C3387" s="18" t="s">
        <v>18</v>
      </c>
      <c r="D3387" s="14" t="str">
        <f>IF(ISBLANK(Raw_Data!D3387),AVERAGE(Raw_Data!D$2:D$5002),Raw_Data!D3387)</f>
        <v>86943.90</v>
      </c>
      <c r="E3387" s="15" t="str">
        <f>IF(ISBLANK(Raw_Data!E3387),AVERAGE(Raw_Data!E$2:E$5002),Raw_Data!E3387)</f>
        <v>30465.17</v>
      </c>
      <c r="F3387" s="15" t="str">
        <f>IF(ISBLANK(Raw_Data!F3387),AVERAGE(Raw_Data!F$2:F$5002),Raw_Data!F3387)</f>
        <v>27588.87</v>
      </c>
      <c r="G3387" s="14" t="str">
        <f>IF(ISBLANK(Raw_Data!G3387),AVERAGE(Raw_Data!G$2:G$5002),Raw_Data!G3387)</f>
        <v>19039.03</v>
      </c>
      <c r="H3387" s="15" t="str">
        <f t="shared" si="1"/>
        <v>144998.00</v>
      </c>
      <c r="I3387" s="14" t="str">
        <f t="shared" si="2"/>
        <v>125959.00</v>
      </c>
      <c r="J3387" s="16" t="str">
        <f>TEXT(Raw_Data!J3387,"MMM-YYY")</f>
        <v>Apr-2025</v>
      </c>
      <c r="K3387" s="13" t="str">
        <f>Raw_Data!K3387</f>
        <v>15</v>
      </c>
      <c r="L3387" s="17" t="str">
        <f>Raw_Data!L3387</f>
        <v>Hyderabad-South</v>
      </c>
      <c r="M3387" s="13" t="str">
        <f t="shared" si="3"/>
        <v>OK</v>
      </c>
      <c r="N3387" s="18" t="str">
        <f t="shared" si="4"/>
        <v>VALID</v>
      </c>
    </row>
    <row r="3388" ht="15.75" customHeight="1">
      <c r="A3388" s="13" t="str">
        <f>Raw_Data!A3388</f>
        <v>EMP3572</v>
      </c>
      <c r="B3388" s="13" t="str">
        <f>TRIM(CLEAN(Raw_Data!B3388))</f>
        <v>Marketing</v>
      </c>
      <c r="C3388" s="18" t="s">
        <v>18</v>
      </c>
      <c r="D3388" s="14" t="str">
        <f>IF(ISBLANK(Raw_Data!D3388),AVERAGE(Raw_Data!D$2:D$5002),Raw_Data!D3388)</f>
        <v>86965.66</v>
      </c>
      <c r="E3388" s="15" t="str">
        <f>IF(ISBLANK(Raw_Data!E3388),AVERAGE(Raw_Data!E$2:E$5002),Raw_Data!E3388)</f>
        <v>30474.40</v>
      </c>
      <c r="F3388" s="15" t="str">
        <f>IF(ISBLANK(Raw_Data!F3388),AVERAGE(Raw_Data!F$2:F$5002),Raw_Data!F3388)</f>
        <v>27604.23</v>
      </c>
      <c r="G3388" s="14" t="str">
        <f>IF(ISBLANK(Raw_Data!G3388),AVERAGE(Raw_Data!G$2:G$5002),Raw_Data!G3388)</f>
        <v>19045.83</v>
      </c>
      <c r="H3388" s="15" t="str">
        <f t="shared" si="1"/>
        <v>145044.00</v>
      </c>
      <c r="I3388" s="14" t="str">
        <f t="shared" si="2"/>
        <v>125998.00</v>
      </c>
      <c r="J3388" s="16" t="str">
        <f>TEXT(Raw_Data!J3388,"MMM-YYY")</f>
        <v>Nov-2025</v>
      </c>
      <c r="K3388" s="13" t="str">
        <f>Raw_Data!K3388</f>
        <v>3</v>
      </c>
      <c r="L3388" s="17" t="str">
        <f>Raw_Data!L3388</f>
        <v>Chennai-South</v>
      </c>
      <c r="M3388" s="13" t="str">
        <f t="shared" si="3"/>
        <v>OK</v>
      </c>
      <c r="N3388" s="18" t="str">
        <f t="shared" si="4"/>
        <v>VALID</v>
      </c>
    </row>
    <row r="3389" ht="15.75" customHeight="1">
      <c r="A3389" s="13" t="str">
        <f>Raw_Data!A3389</f>
        <v>EMP3573</v>
      </c>
      <c r="B3389" s="13" t="str">
        <f>TRIM(CLEAN(Raw_Data!B3389))</f>
        <v>Customer Support</v>
      </c>
      <c r="C3389" s="18" t="s">
        <v>37</v>
      </c>
      <c r="D3389" s="14" t="str">
        <f>IF(ISBLANK(Raw_Data!D3389),AVERAGE(Raw_Data!D$2:D$5002),Raw_Data!D3389)</f>
        <v>86976.55</v>
      </c>
      <c r="E3389" s="15" t="str">
        <f>IF(ISBLANK(Raw_Data!E3389),AVERAGE(Raw_Data!E$2:E$5002),Raw_Data!E3389)</f>
        <v>30479.01</v>
      </c>
      <c r="F3389" s="15" t="str">
        <f>IF(ISBLANK(Raw_Data!F3389),AVERAGE(Raw_Data!F$2:F$5002),Raw_Data!F3389)</f>
        <v>27611.91</v>
      </c>
      <c r="G3389" s="14" t="str">
        <f>IF(ISBLANK(Raw_Data!G3389),AVERAGE(Raw_Data!G$2:G$5002),Raw_Data!G3389)</f>
        <v>19049.23</v>
      </c>
      <c r="H3389" s="15" t="str">
        <f t="shared" si="1"/>
        <v>145067.00</v>
      </c>
      <c r="I3389" s="14" t="str">
        <f t="shared" si="2"/>
        <v>126018.00</v>
      </c>
      <c r="J3389" s="16" t="str">
        <f>TEXT(Raw_Data!J3389,"MMM-YYY")</f>
        <v>Dec-2025</v>
      </c>
      <c r="K3389" s="13" t="str">
        <f>Raw_Data!K3389</f>
        <v>17</v>
      </c>
      <c r="L3389" s="17" t="str">
        <f>Raw_Data!L3389</f>
        <v>Kolkata-East</v>
      </c>
      <c r="M3389" s="13" t="str">
        <f t="shared" si="3"/>
        <v>OK</v>
      </c>
      <c r="N3389" s="18" t="str">
        <f t="shared" si="4"/>
        <v>VALID</v>
      </c>
    </row>
    <row r="3390" ht="15.75" customHeight="1">
      <c r="A3390" s="13" t="str">
        <f>Raw_Data!A3390</f>
        <v>EMP3574</v>
      </c>
      <c r="B3390" s="13" t="str">
        <f>TRIM(CLEAN(Raw_Data!B3390))</f>
        <v>Customer Support</v>
      </c>
      <c r="C3390" s="18" t="s">
        <v>26</v>
      </c>
      <c r="D3390" s="14" t="str">
        <f>IF(ISBLANK(Raw_Data!D3390),AVERAGE(Raw_Data!D$2:D$5002),Raw_Data!D3390)</f>
        <v>86987.43</v>
      </c>
      <c r="E3390" s="15" t="str">
        <f>IF(ISBLANK(Raw_Data!E3390),AVERAGE(Raw_Data!E$2:E$5002),Raw_Data!E3390)</f>
        <v>30483.63</v>
      </c>
      <c r="F3390" s="15" t="str">
        <f>IF(ISBLANK(Raw_Data!F3390),AVERAGE(Raw_Data!F$2:F$5002),Raw_Data!F3390)</f>
        <v>27619.59</v>
      </c>
      <c r="G3390" s="14" t="str">
        <f>IF(ISBLANK(Raw_Data!G3390),AVERAGE(Raw_Data!G$2:G$5002),Raw_Data!G3390)</f>
        <v>19052.63</v>
      </c>
      <c r="H3390" s="15" t="str">
        <f t="shared" si="1"/>
        <v>145091.00</v>
      </c>
      <c r="I3390" s="14" t="str">
        <f t="shared" si="2"/>
        <v>126038.00</v>
      </c>
      <c r="J3390" s="16" t="str">
        <f>TEXT(Raw_Data!J3390,"MMM-YYY")</f>
        <v>May-2025</v>
      </c>
      <c r="K3390" s="13" t="str">
        <f>Raw_Data!K3390</f>
        <v>2</v>
      </c>
      <c r="L3390" s="17" t="str">
        <f>Raw_Data!L3390</f>
        <v>Pune-West</v>
      </c>
      <c r="M3390" s="13" t="str">
        <f t="shared" si="3"/>
        <v>OK</v>
      </c>
      <c r="N3390" s="18" t="str">
        <f t="shared" si="4"/>
        <v>VALID</v>
      </c>
    </row>
    <row r="3391" ht="15.75" customHeight="1">
      <c r="A3391" s="13" t="str">
        <f>Raw_Data!A3391</f>
        <v>EMP3575</v>
      </c>
      <c r="B3391" s="13" t="str">
        <f>TRIM(CLEAN(Raw_Data!B3391))</f>
        <v>Customer Support</v>
      </c>
      <c r="C3391" s="18" t="s">
        <v>26</v>
      </c>
      <c r="D3391" s="14" t="str">
        <f>IF(ISBLANK(Raw_Data!D3391),AVERAGE(Raw_Data!D$2:D$5002),Raw_Data!D3391)</f>
        <v>86998.31</v>
      </c>
      <c r="E3391" s="15" t="str">
        <f>IF(ISBLANK(Raw_Data!E3391),AVERAGE(Raw_Data!E$2:E$5002),Raw_Data!E3391)</f>
        <v>30488.24</v>
      </c>
      <c r="F3391" s="15" t="str">
        <f>IF(ISBLANK(Raw_Data!F3391),AVERAGE(Raw_Data!F$2:F$5002),Raw_Data!F3391)</f>
        <v>27627.27</v>
      </c>
      <c r="G3391" s="14" t="str">
        <f>IF(ISBLANK(Raw_Data!G3391),AVERAGE(Raw_Data!G$2:G$5002),Raw_Data!G3391)</f>
        <v>19056.02</v>
      </c>
      <c r="H3391" s="15" t="str">
        <f t="shared" si="1"/>
        <v>145114.00</v>
      </c>
      <c r="I3391" s="14" t="str">
        <f t="shared" si="2"/>
        <v>126058.00</v>
      </c>
      <c r="J3391" s="16" t="str">
        <f>TEXT(Raw_Data!J3391,"MMM-YYY")</f>
        <v>May-2025</v>
      </c>
      <c r="K3391" s="13" t="str">
        <f>Raw_Data!K3391</f>
        <v>7</v>
      </c>
      <c r="L3391" s="17" t="str">
        <f>Raw_Data!L3391</f>
        <v>Delhi-North</v>
      </c>
      <c r="M3391" s="13" t="str">
        <f t="shared" si="3"/>
        <v>OK</v>
      </c>
      <c r="N3391" s="18" t="str">
        <f t="shared" si="4"/>
        <v>VALID</v>
      </c>
    </row>
    <row r="3392" ht="15.75" customHeight="1">
      <c r="A3392" s="13" t="str">
        <f>Raw_Data!A3392</f>
        <v>EMP3576</v>
      </c>
      <c r="B3392" s="13" t="str">
        <f>TRIM(CLEAN(Raw_Data!B3392))</f>
        <v>Finance</v>
      </c>
      <c r="C3392" s="18" t="s">
        <v>14</v>
      </c>
      <c r="D3392" s="14" t="str">
        <f>IF(ISBLANK(Raw_Data!D3392),AVERAGE(Raw_Data!D$2:D$5002),Raw_Data!D3392)</f>
        <v>87009.19</v>
      </c>
      <c r="E3392" s="15" t="str">
        <f>IF(ISBLANK(Raw_Data!E3392),AVERAGE(Raw_Data!E$2:E$5002),Raw_Data!E3392)</f>
        <v>30492.86</v>
      </c>
      <c r="F3392" s="15" t="str">
        <f>IF(ISBLANK(Raw_Data!F3392),AVERAGE(Raw_Data!F$2:F$5002),Raw_Data!F3392)</f>
        <v>27634.95</v>
      </c>
      <c r="G3392" s="14" t="str">
        <f>IF(ISBLANK(Raw_Data!G3392),AVERAGE(Raw_Data!G$2:G$5002),Raw_Data!G3392)</f>
        <v>19059.42</v>
      </c>
      <c r="H3392" s="15" t="str">
        <f t="shared" si="1"/>
        <v>145137.00</v>
      </c>
      <c r="I3392" s="14" t="str">
        <f t="shared" si="2"/>
        <v>126078.00</v>
      </c>
      <c r="J3392" s="16" t="str">
        <f>TEXT(Raw_Data!J3392,"MMM-YYY")</f>
        <v>Jun-2025</v>
      </c>
      <c r="K3392" s="13" t="str">
        <f>Raw_Data!K3392</f>
        <v>8</v>
      </c>
      <c r="L3392" s="17" t="str">
        <f>Raw_Data!L3392</f>
        <v>Bangalore-South</v>
      </c>
      <c r="M3392" s="13" t="str">
        <f t="shared" si="3"/>
        <v>OK</v>
      </c>
      <c r="N3392" s="18" t="str">
        <f t="shared" si="4"/>
        <v>VALID</v>
      </c>
    </row>
    <row r="3393" ht="15.75" customHeight="1">
      <c r="A3393" s="13" t="str">
        <f>Raw_Data!A3393</f>
        <v>EMP3577</v>
      </c>
      <c r="B3393" s="13" t="str">
        <f>TRIM(CLEAN(Raw_Data!B3393))</f>
        <v>IT</v>
      </c>
      <c r="C3393" s="18" t="s">
        <v>30</v>
      </c>
      <c r="D3393" s="14" t="str">
        <f>IF(ISBLANK(Raw_Data!D3393),AVERAGE(Raw_Data!D$2:D$5002),Raw_Data!D3393)</f>
        <v>87020.08</v>
      </c>
      <c r="E3393" s="15" t="str">
        <f>IF(ISBLANK(Raw_Data!E3393),AVERAGE(Raw_Data!E$2:E$5002),Raw_Data!E3393)</f>
        <v>30497.47</v>
      </c>
      <c r="F3393" s="15" t="str">
        <f>IF(ISBLANK(Raw_Data!F3393),AVERAGE(Raw_Data!F$2:F$5002),Raw_Data!F3393)</f>
        <v>27642.63</v>
      </c>
      <c r="G3393" s="14" t="str">
        <f>IF(ISBLANK(Raw_Data!G3393),AVERAGE(Raw_Data!G$2:G$5002),Raw_Data!G3393)</f>
        <v>19062.82</v>
      </c>
      <c r="H3393" s="15" t="str">
        <f t="shared" si="1"/>
        <v>145160.00</v>
      </c>
      <c r="I3393" s="14" t="str">
        <f t="shared" si="2"/>
        <v>126097.00</v>
      </c>
      <c r="J3393" s="16" t="str">
        <f>TEXT(Raw_Data!J3393,"MMM-YYY")</f>
        <v>Jan-2025</v>
      </c>
      <c r="K3393" s="13" t="str">
        <f>Raw_Data!K3393</f>
        <v>20</v>
      </c>
      <c r="L3393" s="17" t="str">
        <f>Raw_Data!L3393</f>
        <v>Chandigarh-North</v>
      </c>
      <c r="M3393" s="13" t="str">
        <f t="shared" si="3"/>
        <v>OK</v>
      </c>
      <c r="N3393" s="18" t="str">
        <f t="shared" si="4"/>
        <v>VALID</v>
      </c>
    </row>
    <row r="3394" ht="15.75" customHeight="1">
      <c r="A3394" s="13" t="str">
        <f>Raw_Data!A3394</f>
        <v>EMP3578</v>
      </c>
      <c r="B3394" s="13" t="str">
        <f>TRIM(CLEAN(Raw_Data!B3394))</f>
        <v>Operations</v>
      </c>
      <c r="C3394" s="18" t="s">
        <v>54</v>
      </c>
      <c r="D3394" s="14" t="str">
        <f>IF(ISBLANK(Raw_Data!D3394),AVERAGE(Raw_Data!D$2:D$5002),Raw_Data!D3394)</f>
        <v>87030.96</v>
      </c>
      <c r="E3394" s="15" t="str">
        <f>IF(ISBLANK(Raw_Data!E3394),AVERAGE(Raw_Data!E$2:E$5002),Raw_Data!E3394)</f>
        <v>30502.09</v>
      </c>
      <c r="F3394" s="15" t="str">
        <f>IF(ISBLANK(Raw_Data!F3394),AVERAGE(Raw_Data!F$2:F$5002),Raw_Data!F3394)</f>
        <v>27650.31</v>
      </c>
      <c r="G3394" s="14" t="str">
        <f>IF(ISBLANK(Raw_Data!G3394),AVERAGE(Raw_Data!G$2:G$5002),Raw_Data!G3394)</f>
        <v>19066.22</v>
      </c>
      <c r="H3394" s="15" t="str">
        <f t="shared" si="1"/>
        <v>145183.00</v>
      </c>
      <c r="I3394" s="14" t="str">
        <f t="shared" si="2"/>
        <v>126117.00</v>
      </c>
      <c r="J3394" s="16" t="str">
        <f>TEXT(Raw_Data!J3394,"MMM-YYY")</f>
        <v>Jun-2025</v>
      </c>
      <c r="K3394" s="13" t="str">
        <f>Raw_Data!K3394</f>
        <v>10</v>
      </c>
      <c r="L3394" s="17" t="str">
        <f>Raw_Data!L3394</f>
        <v>Kolkata-East</v>
      </c>
      <c r="M3394" s="13" t="str">
        <f t="shared" si="3"/>
        <v>OK</v>
      </c>
      <c r="N3394" s="18" t="str">
        <f t="shared" si="4"/>
        <v>VALID</v>
      </c>
    </row>
    <row r="3395" ht="15.75" customHeight="1">
      <c r="A3395" s="13" t="str">
        <f>Raw_Data!A3395</f>
        <v>EMP3579</v>
      </c>
      <c r="B3395" s="13" t="str">
        <f>TRIM(CLEAN(Raw_Data!B3395))</f>
        <v>HR</v>
      </c>
      <c r="C3395" s="18" t="s">
        <v>33</v>
      </c>
      <c r="D3395" s="14" t="str">
        <f>IF(ISBLANK(Raw_Data!D3395),AVERAGE(Raw_Data!D$2:D$5002),Raw_Data!D3395)</f>
        <v>87041.84</v>
      </c>
      <c r="E3395" s="15" t="str">
        <f>IF(ISBLANK(Raw_Data!E3395),AVERAGE(Raw_Data!E$2:E$5002),Raw_Data!E3395)</f>
        <v>30506.70</v>
      </c>
      <c r="F3395" s="15" t="str">
        <f>IF(ISBLANK(Raw_Data!F3395),AVERAGE(Raw_Data!F$2:F$5002),Raw_Data!F3395)</f>
        <v>27657.99</v>
      </c>
      <c r="G3395" s="14" t="str">
        <f>IF(ISBLANK(Raw_Data!G3395),AVERAGE(Raw_Data!G$2:G$5002),Raw_Data!G3395)</f>
        <v>19069.61</v>
      </c>
      <c r="H3395" s="15" t="str">
        <f t="shared" si="1"/>
        <v>145207.00</v>
      </c>
      <c r="I3395" s="14" t="str">
        <f t="shared" si="2"/>
        <v>126137.00</v>
      </c>
      <c r="J3395" s="16" t="str">
        <f>TEXT(Raw_Data!J3395,"MMM-YYY")</f>
        <v>Jul-2025</v>
      </c>
      <c r="K3395" s="13" t="str">
        <f>Raw_Data!K3395</f>
        <v>13</v>
      </c>
      <c r="L3395" s="17" t="str">
        <f>Raw_Data!L3395</f>
        <v>Chandigarh-North</v>
      </c>
      <c r="M3395" s="13" t="str">
        <f t="shared" si="3"/>
        <v>OK</v>
      </c>
      <c r="N3395" s="18" t="str">
        <f t="shared" si="4"/>
        <v>VALID</v>
      </c>
    </row>
    <row r="3396" ht="15.75" customHeight="1">
      <c r="A3396" s="13" t="str">
        <f>Raw_Data!A3396</f>
        <v>EMP3581</v>
      </c>
      <c r="B3396" s="13" t="str">
        <f>TRIM(CLEAN(Raw_Data!B3396))</f>
        <v>Operations</v>
      </c>
      <c r="C3396" s="18" t="s">
        <v>54</v>
      </c>
      <c r="D3396" s="14" t="str">
        <f>IF(ISBLANK(Raw_Data!D3396),AVERAGE(Raw_Data!D$2:D$5002),Raw_Data!D3396)</f>
        <v>87063.61</v>
      </c>
      <c r="E3396" s="15" t="str">
        <f>IF(ISBLANK(Raw_Data!E3396),AVERAGE(Raw_Data!E$2:E$5002),Raw_Data!E3396)</f>
        <v>30515.93</v>
      </c>
      <c r="F3396" s="15" t="str">
        <f>IF(ISBLANK(Raw_Data!F3396),AVERAGE(Raw_Data!F$2:F$5002),Raw_Data!F3396)</f>
        <v>27673.35</v>
      </c>
      <c r="G3396" s="14" t="str">
        <f>IF(ISBLANK(Raw_Data!G3396),AVERAGE(Raw_Data!G$2:G$5002),Raw_Data!G3396)</f>
        <v>19076.41</v>
      </c>
      <c r="H3396" s="15" t="str">
        <f t="shared" si="1"/>
        <v>145253.00</v>
      </c>
      <c r="I3396" s="14" t="str">
        <f t="shared" si="2"/>
        <v>126177.00</v>
      </c>
      <c r="J3396" s="16" t="str">
        <f>TEXT(Raw_Data!J3396,"MMM-YYY")</f>
        <v>Jun-2025</v>
      </c>
      <c r="K3396" s="13" t="str">
        <f>Raw_Data!K3396</f>
        <v>15</v>
      </c>
      <c r="L3396" s="17" t="str">
        <f>Raw_Data!L3396</f>
        <v>Bangalore-South</v>
      </c>
      <c r="M3396" s="13" t="str">
        <f t="shared" si="3"/>
        <v>OK</v>
      </c>
      <c r="N3396" s="18" t="str">
        <f t="shared" si="4"/>
        <v>VALID</v>
      </c>
    </row>
    <row r="3397" ht="15.75" customHeight="1">
      <c r="A3397" s="13" t="str">
        <f>Raw_Data!A3397</f>
        <v>EMP3582</v>
      </c>
      <c r="B3397" s="13" t="str">
        <f>TRIM(CLEAN(Raw_Data!B3397))</f>
        <v>Customer Support</v>
      </c>
      <c r="C3397" s="18" t="s">
        <v>30</v>
      </c>
      <c r="D3397" s="14" t="str">
        <f>IF(ISBLANK(Raw_Data!D3397),AVERAGE(Raw_Data!D$2:D$5002),Raw_Data!D3397)</f>
        <v>87074.49</v>
      </c>
      <c r="E3397" s="15" t="str">
        <f>IF(ISBLANK(Raw_Data!E3397),AVERAGE(Raw_Data!E$2:E$5002),Raw_Data!E3397)</f>
        <v>30520.55</v>
      </c>
      <c r="F3397" s="15" t="str">
        <f>IF(ISBLANK(Raw_Data!F3397),AVERAGE(Raw_Data!F$2:F$5002),Raw_Data!F3397)</f>
        <v>27681.03</v>
      </c>
      <c r="G3397" s="14" t="str">
        <f>IF(ISBLANK(Raw_Data!G3397),AVERAGE(Raw_Data!G$2:G$5002),Raw_Data!G3397)</f>
        <v>19079.81</v>
      </c>
      <c r="H3397" s="15" t="str">
        <f t="shared" si="1"/>
        <v>145276.00</v>
      </c>
      <c r="I3397" s="14" t="str">
        <f t="shared" si="2"/>
        <v>126196.00</v>
      </c>
      <c r="J3397" s="16" t="str">
        <f>TEXT(Raw_Data!J3397,"MMM-YYY")</f>
        <v>Sep-2025</v>
      </c>
      <c r="K3397" s="13" t="str">
        <f>Raw_Data!K3397</f>
        <v>16</v>
      </c>
      <c r="L3397" s="17" t="str">
        <f>Raw_Data!L3397</f>
        <v>Chennai-South</v>
      </c>
      <c r="M3397" s="13" t="str">
        <f t="shared" si="3"/>
        <v>OK</v>
      </c>
      <c r="N3397" s="18" t="str">
        <f t="shared" si="4"/>
        <v>VALID</v>
      </c>
    </row>
    <row r="3398" ht="15.75" customHeight="1">
      <c r="A3398" s="13" t="str">
        <f>Raw_Data!A3398</f>
        <v>EMP3584</v>
      </c>
      <c r="B3398" s="13" t="str">
        <f>TRIM(CLEAN(Raw_Data!B3398))</f>
        <v>Operations</v>
      </c>
      <c r="C3398" s="18" t="s">
        <v>37</v>
      </c>
      <c r="D3398" s="14" t="str">
        <f>IF(ISBLANK(Raw_Data!D3398),AVERAGE(Raw_Data!D$2:D$5002),Raw_Data!D3398)</f>
        <v>87096.26</v>
      </c>
      <c r="E3398" s="15" t="str">
        <f>IF(ISBLANK(Raw_Data!E3398),AVERAGE(Raw_Data!E$2:E$5002),Raw_Data!E3398)</f>
        <v>30529.77</v>
      </c>
      <c r="F3398" s="15" t="str">
        <f>IF(ISBLANK(Raw_Data!F3398),AVERAGE(Raw_Data!F$2:F$5002),Raw_Data!F3398)</f>
        <v>27696.39</v>
      </c>
      <c r="G3398" s="14" t="str">
        <f>IF(ISBLANK(Raw_Data!G3398),AVERAGE(Raw_Data!G$2:G$5002),Raw_Data!G3398)</f>
        <v>19086.60</v>
      </c>
      <c r="H3398" s="15" t="str">
        <f t="shared" si="1"/>
        <v>145322.00</v>
      </c>
      <c r="I3398" s="14" t="str">
        <f t="shared" si="2"/>
        <v>126235.00</v>
      </c>
      <c r="J3398" s="16" t="str">
        <f>TEXT(Raw_Data!J3398,"MMM-YYY")</f>
        <v>Dec-2025</v>
      </c>
      <c r="K3398" s="13" t="str">
        <f>Raw_Data!K3398</f>
        <v>4</v>
      </c>
      <c r="L3398" s="17" t="str">
        <f>Raw_Data!L3398</f>
        <v>Pune-West</v>
      </c>
      <c r="M3398" s="13" t="str">
        <f t="shared" si="3"/>
        <v>OK</v>
      </c>
      <c r="N3398" s="18" t="str">
        <f t="shared" si="4"/>
        <v>VALID</v>
      </c>
    </row>
    <row r="3399" ht="15.75" customHeight="1">
      <c r="A3399" s="13" t="str">
        <f>Raw_Data!A3399</f>
        <v>EMP3585</v>
      </c>
      <c r="B3399" s="13" t="str">
        <f>TRIM(CLEAN(Raw_Data!B3399))</f>
        <v>Operations</v>
      </c>
      <c r="C3399" s="18" t="s">
        <v>37</v>
      </c>
      <c r="D3399" s="14" t="str">
        <f>IF(ISBLANK(Raw_Data!D3399),AVERAGE(Raw_Data!D$2:D$5002),Raw_Data!D3399)</f>
        <v>87107.14</v>
      </c>
      <c r="E3399" s="15" t="str">
        <f>IF(ISBLANK(Raw_Data!E3399),AVERAGE(Raw_Data!E$2:E$5002),Raw_Data!E3399)</f>
        <v>30534.39</v>
      </c>
      <c r="F3399" s="15" t="str">
        <f>IF(ISBLANK(Raw_Data!F3399),AVERAGE(Raw_Data!F$2:F$5002),Raw_Data!F3399)</f>
        <v>27704.07</v>
      </c>
      <c r="G3399" s="14" t="str">
        <f>IF(ISBLANK(Raw_Data!G3399),AVERAGE(Raw_Data!G$2:G$5002),Raw_Data!G3399)</f>
        <v>19090.00</v>
      </c>
      <c r="H3399" s="15" t="str">
        <f t="shared" si="1"/>
        <v>145346.00</v>
      </c>
      <c r="I3399" s="14" t="str">
        <f t="shared" si="2"/>
        <v>126256.00</v>
      </c>
      <c r="J3399" s="16" t="str">
        <f>TEXT(Raw_Data!J3399,"MMM-YYY")</f>
        <v>Apr-2025</v>
      </c>
      <c r="K3399" s="13" t="str">
        <f>Raw_Data!K3399</f>
        <v>11</v>
      </c>
      <c r="L3399" s="17" t="str">
        <f>Raw_Data!L3399</f>
        <v>Mumbai-HO</v>
      </c>
      <c r="M3399" s="13" t="str">
        <f t="shared" si="3"/>
        <v>OK</v>
      </c>
      <c r="N3399" s="18" t="str">
        <f t="shared" si="4"/>
        <v>VALID</v>
      </c>
    </row>
    <row r="3400" ht="15.75" customHeight="1">
      <c r="A3400" s="13" t="str">
        <f>Raw_Data!A3400</f>
        <v>EMP3587</v>
      </c>
      <c r="B3400" s="13" t="str">
        <f>TRIM(CLEAN(Raw_Data!B3400))</f>
        <v>Sales</v>
      </c>
      <c r="C3400" s="18" t="s">
        <v>33</v>
      </c>
      <c r="D3400" s="14" t="str">
        <f>IF(ISBLANK(Raw_Data!D3400),AVERAGE(Raw_Data!D$2:D$5002),Raw_Data!D3400)</f>
        <v>87128.91</v>
      </c>
      <c r="E3400" s="15" t="str">
        <f>IF(ISBLANK(Raw_Data!E3400),AVERAGE(Raw_Data!E$2:E$5002),Raw_Data!E3400)</f>
        <v>30543.62</v>
      </c>
      <c r="F3400" s="15" t="str">
        <f>IF(ISBLANK(Raw_Data!F3400),AVERAGE(Raw_Data!F$2:F$5002),Raw_Data!F3400)</f>
        <v>27719.43</v>
      </c>
      <c r="G3400" s="14" t="str">
        <f>IF(ISBLANK(Raw_Data!G3400),AVERAGE(Raw_Data!G$2:G$5002),Raw_Data!G3400)</f>
        <v>19096.79</v>
      </c>
      <c r="H3400" s="15" t="str">
        <f t="shared" si="1"/>
        <v>145392.00</v>
      </c>
      <c r="I3400" s="14" t="str">
        <f t="shared" si="2"/>
        <v>126295.00</v>
      </c>
      <c r="J3400" s="16" t="str">
        <f>TEXT(Raw_Data!J3400,"MMM-YYY")</f>
        <v>Oct-2025</v>
      </c>
      <c r="K3400" s="13" t="str">
        <f>Raw_Data!K3400</f>
        <v>21</v>
      </c>
      <c r="L3400" s="17" t="str">
        <f>Raw_Data!L3400</f>
        <v>Bangalore-South</v>
      </c>
      <c r="M3400" s="13" t="str">
        <f t="shared" si="3"/>
        <v>OK</v>
      </c>
      <c r="N3400" s="18" t="str">
        <f t="shared" si="4"/>
        <v>VALID</v>
      </c>
    </row>
    <row r="3401" ht="15.75" customHeight="1">
      <c r="A3401" s="13" t="str">
        <f>Raw_Data!A3401</f>
        <v>EMP3588</v>
      </c>
      <c r="B3401" s="13" t="str">
        <f>TRIM(CLEAN(Raw_Data!B3401))</f>
        <v>Finance</v>
      </c>
      <c r="C3401" s="18" t="s">
        <v>14</v>
      </c>
      <c r="D3401" s="14" t="str">
        <f>IF(ISBLANK(Raw_Data!D3401),AVERAGE(Raw_Data!D$2:D$5002),Raw_Data!D3401)</f>
        <v>87139.79</v>
      </c>
      <c r="E3401" s="15" t="str">
        <f>IF(ISBLANK(Raw_Data!E3401),AVERAGE(Raw_Data!E$2:E$5002),Raw_Data!E3401)</f>
        <v>30548.23</v>
      </c>
      <c r="F3401" s="15" t="str">
        <f>IF(ISBLANK(Raw_Data!F3401),AVERAGE(Raw_Data!F$2:F$5002),Raw_Data!F3401)</f>
        <v>27727.11</v>
      </c>
      <c r="G3401" s="14" t="str">
        <f>IF(ISBLANK(Raw_Data!G3401),AVERAGE(Raw_Data!G$2:G$5002),Raw_Data!G3401)</f>
        <v>19100.19</v>
      </c>
      <c r="H3401" s="15" t="str">
        <f t="shared" si="1"/>
        <v>145415.00</v>
      </c>
      <c r="I3401" s="14" t="str">
        <f t="shared" si="2"/>
        <v>126315.00</v>
      </c>
      <c r="J3401" s="16" t="str">
        <f>TEXT(Raw_Data!J3401,"MMM-YYY")</f>
        <v>Sep-2025</v>
      </c>
      <c r="K3401" s="13" t="str">
        <f>Raw_Data!K3401</f>
        <v>23</v>
      </c>
      <c r="L3401" s="17" t="str">
        <f>Raw_Data!L3401</f>
        <v>Jaipur-North</v>
      </c>
      <c r="M3401" s="13" t="str">
        <f t="shared" si="3"/>
        <v>OK</v>
      </c>
      <c r="N3401" s="18" t="str">
        <f t="shared" si="4"/>
        <v>VALID</v>
      </c>
    </row>
    <row r="3402" ht="15.75" customHeight="1">
      <c r="A3402" s="13" t="str">
        <f>Raw_Data!A3402</f>
        <v>EMP3589</v>
      </c>
      <c r="B3402" s="13" t="str">
        <f>TRIM(CLEAN(Raw_Data!B3402))</f>
        <v>Customer Support</v>
      </c>
      <c r="C3402" s="18" t="s">
        <v>33</v>
      </c>
      <c r="D3402" s="14" t="str">
        <f>IF(ISBLANK(Raw_Data!D3402),AVERAGE(Raw_Data!D$2:D$5002),Raw_Data!D3402)</f>
        <v>87150.67</v>
      </c>
      <c r="E3402" s="15" t="str">
        <f>IF(ISBLANK(Raw_Data!E3402),AVERAGE(Raw_Data!E$2:E$5002),Raw_Data!E3402)</f>
        <v>30552.85</v>
      </c>
      <c r="F3402" s="15" t="str">
        <f>IF(ISBLANK(Raw_Data!F3402),AVERAGE(Raw_Data!F$2:F$5002),Raw_Data!F3402)</f>
        <v>27734.79</v>
      </c>
      <c r="G3402" s="14" t="str">
        <f>IF(ISBLANK(Raw_Data!G3402),AVERAGE(Raw_Data!G$2:G$5002),Raw_Data!G3402)</f>
        <v>19103.59</v>
      </c>
      <c r="H3402" s="15" t="str">
        <f t="shared" si="1"/>
        <v>145438.00</v>
      </c>
      <c r="I3402" s="14" t="str">
        <f t="shared" si="2"/>
        <v>126334.00</v>
      </c>
      <c r="J3402" s="16" t="str">
        <f>TEXT(Raw_Data!J3402,"MMM-YYY")</f>
        <v>Aug-2025</v>
      </c>
      <c r="K3402" s="13" t="str">
        <f>Raw_Data!K3402</f>
        <v>2</v>
      </c>
      <c r="L3402" s="17" t="str">
        <f>Raw_Data!L3402</f>
        <v>Hyderabad-South</v>
      </c>
      <c r="M3402" s="13" t="str">
        <f t="shared" si="3"/>
        <v>OK</v>
      </c>
      <c r="N3402" s="18" t="str">
        <f t="shared" si="4"/>
        <v>VALID</v>
      </c>
    </row>
    <row r="3403" ht="15.75" customHeight="1">
      <c r="A3403" s="13" t="str">
        <f>Raw_Data!A3403</f>
        <v>EMP3590</v>
      </c>
      <c r="B3403" s="13" t="str">
        <f>TRIM(CLEAN(Raw_Data!B3403))</f>
        <v>Finance</v>
      </c>
      <c r="C3403" s="18" t="s">
        <v>54</v>
      </c>
      <c r="D3403" s="14" t="str">
        <f>IF(ISBLANK(Raw_Data!D3403),AVERAGE(Raw_Data!D$2:D$5002),Raw_Data!D3403)</f>
        <v>87161.56</v>
      </c>
      <c r="E3403" s="15" t="str">
        <f>IF(ISBLANK(Raw_Data!E3403),AVERAGE(Raw_Data!E$2:E$5002),Raw_Data!E3403)</f>
        <v>30557.46</v>
      </c>
      <c r="F3403" s="15" t="str">
        <f>IF(ISBLANK(Raw_Data!F3403),AVERAGE(Raw_Data!F$2:F$5002),Raw_Data!F3403)</f>
        <v>27742.47</v>
      </c>
      <c r="G3403" s="14" t="str">
        <f>IF(ISBLANK(Raw_Data!G3403),AVERAGE(Raw_Data!G$2:G$5002),Raw_Data!G3403)</f>
        <v>19106.99</v>
      </c>
      <c r="H3403" s="15" t="str">
        <f t="shared" si="1"/>
        <v>145461.00</v>
      </c>
      <c r="I3403" s="14" t="str">
        <f t="shared" si="2"/>
        <v>126354.00</v>
      </c>
      <c r="J3403" s="16" t="str">
        <f>TEXT(Raw_Data!J3403,"MMM-YYY")</f>
        <v>May-2025</v>
      </c>
      <c r="K3403" s="13" t="str">
        <f>Raw_Data!K3403</f>
        <v>14</v>
      </c>
      <c r="L3403" s="17" t="str">
        <f>Raw_Data!L3403</f>
        <v>Mumbai-HO</v>
      </c>
      <c r="M3403" s="13" t="str">
        <f t="shared" si="3"/>
        <v>OK</v>
      </c>
      <c r="N3403" s="18" t="str">
        <f t="shared" si="4"/>
        <v>VALID</v>
      </c>
    </row>
    <row r="3404" ht="15.75" customHeight="1">
      <c r="A3404" s="13" t="str">
        <f>Raw_Data!A3404</f>
        <v>EMP3591</v>
      </c>
      <c r="B3404" s="13" t="str">
        <f>TRIM(CLEAN(Raw_Data!B3404))</f>
        <v>HR</v>
      </c>
      <c r="C3404" s="18" t="s">
        <v>30</v>
      </c>
      <c r="D3404" s="14" t="str">
        <f>IF(ISBLANK(Raw_Data!D3404),AVERAGE(Raw_Data!D$2:D$5002),Raw_Data!D3404)</f>
        <v>87172.44</v>
      </c>
      <c r="E3404" s="15" t="str">
        <f>IF(ISBLANK(Raw_Data!E3404),AVERAGE(Raw_Data!E$2:E$5002),Raw_Data!E3404)</f>
        <v>30562.08</v>
      </c>
      <c r="F3404" s="15" t="str">
        <f>IF(ISBLANK(Raw_Data!F3404),AVERAGE(Raw_Data!F$2:F$5002),Raw_Data!F3404)</f>
        <v>27750.15</v>
      </c>
      <c r="G3404" s="14" t="str">
        <f>IF(ISBLANK(Raw_Data!G3404),AVERAGE(Raw_Data!G$2:G$5002),Raw_Data!G3404)</f>
        <v>19110.38</v>
      </c>
      <c r="H3404" s="15" t="str">
        <f t="shared" si="1"/>
        <v>145485.00</v>
      </c>
      <c r="I3404" s="14" t="str">
        <f t="shared" si="2"/>
        <v>126375.00</v>
      </c>
      <c r="J3404" s="16" t="str">
        <f>TEXT(Raw_Data!J3404,"MMM-YYY")</f>
        <v>Feb-2025</v>
      </c>
      <c r="K3404" s="13" t="str">
        <f>Raw_Data!K3404</f>
        <v>12</v>
      </c>
      <c r="L3404" s="17" t="str">
        <f>Raw_Data!L3404</f>
        <v>Pune-West</v>
      </c>
      <c r="M3404" s="13" t="str">
        <f t="shared" si="3"/>
        <v>OK</v>
      </c>
      <c r="N3404" s="18" t="str">
        <f t="shared" si="4"/>
        <v>VALID</v>
      </c>
    </row>
    <row r="3405" ht="15.75" customHeight="1">
      <c r="A3405" s="13" t="str">
        <f>Raw_Data!A3405</f>
        <v>EMP3592</v>
      </c>
      <c r="B3405" s="13" t="str">
        <f>TRIM(CLEAN(Raw_Data!B3405))</f>
        <v>Sales</v>
      </c>
      <c r="C3405" s="18" t="s">
        <v>33</v>
      </c>
      <c r="D3405" s="14" t="str">
        <f>IF(ISBLANK(Raw_Data!D3405),AVERAGE(Raw_Data!D$2:D$5002),Raw_Data!D3405)</f>
        <v>87183.32</v>
      </c>
      <c r="E3405" s="15" t="str">
        <f>IF(ISBLANK(Raw_Data!E3405),AVERAGE(Raw_Data!E$2:E$5002),Raw_Data!E3405)</f>
        <v>30566.69</v>
      </c>
      <c r="F3405" s="15" t="str">
        <f>IF(ISBLANK(Raw_Data!F3405),AVERAGE(Raw_Data!F$2:F$5002),Raw_Data!F3405)</f>
        <v>27757.83</v>
      </c>
      <c r="G3405" s="14" t="str">
        <f>IF(ISBLANK(Raw_Data!G3405),AVERAGE(Raw_Data!G$2:G$5002),Raw_Data!G3405)</f>
        <v>19113.78</v>
      </c>
      <c r="H3405" s="15" t="str">
        <f t="shared" si="1"/>
        <v>145508.00</v>
      </c>
      <c r="I3405" s="14" t="str">
        <f t="shared" si="2"/>
        <v>126394.00</v>
      </c>
      <c r="J3405" s="16" t="str">
        <f>TEXT(Raw_Data!J3405,"MMM-YYY")</f>
        <v>Feb-2025</v>
      </c>
      <c r="K3405" s="13" t="str">
        <f>Raw_Data!K3405</f>
        <v>11</v>
      </c>
      <c r="L3405" s="17" t="str">
        <f>Raw_Data!L3405</f>
        <v>Jaipur-North</v>
      </c>
      <c r="M3405" s="13" t="str">
        <f t="shared" si="3"/>
        <v>OK</v>
      </c>
      <c r="N3405" s="18" t="str">
        <f t="shared" si="4"/>
        <v>VALID</v>
      </c>
    </row>
    <row r="3406" ht="15.75" customHeight="1">
      <c r="A3406" s="13" t="str">
        <f>Raw_Data!A3406</f>
        <v>EMP3593</v>
      </c>
      <c r="B3406" s="13" t="str">
        <f>TRIM(CLEAN(Raw_Data!B3406))</f>
        <v>Sales</v>
      </c>
      <c r="C3406" s="18" t="s">
        <v>37</v>
      </c>
      <c r="D3406" s="14" t="str">
        <f>IF(ISBLANK(Raw_Data!D3406),AVERAGE(Raw_Data!D$2:D$5002),Raw_Data!D3406)</f>
        <v>71831.17</v>
      </c>
      <c r="E3406" s="15" t="str">
        <f>IF(ISBLANK(Raw_Data!E3406),AVERAGE(Raw_Data!E$2:E$5002),Raw_Data!E3406)</f>
        <v>30571.31</v>
      </c>
      <c r="F3406" s="15" t="str">
        <f>IF(ISBLANK(Raw_Data!F3406),AVERAGE(Raw_Data!F$2:F$5002),Raw_Data!F3406)</f>
        <v>27765.51</v>
      </c>
      <c r="G3406" s="14" t="str">
        <f>IF(ISBLANK(Raw_Data!G3406),AVERAGE(Raw_Data!G$2:G$5002),Raw_Data!G3406)</f>
        <v>19117.18</v>
      </c>
      <c r="H3406" s="15" t="str">
        <f t="shared" si="1"/>
        <v>130168.00</v>
      </c>
      <c r="I3406" s="14" t="str">
        <f t="shared" si="2"/>
        <v>111051.00</v>
      </c>
      <c r="J3406" s="16" t="str">
        <f>TEXT(Raw_Data!J3406,"MMM-YYY")</f>
        <v>Apr-2025</v>
      </c>
      <c r="K3406" s="13" t="str">
        <f>Raw_Data!K3406</f>
        <v>25</v>
      </c>
      <c r="L3406" s="17" t="str">
        <f>Raw_Data!L3406</f>
        <v>Pune-West</v>
      </c>
      <c r="M3406" s="13" t="str">
        <f t="shared" si="3"/>
        <v>OK</v>
      </c>
      <c r="N3406" s="18" t="str">
        <f t="shared" si="4"/>
        <v>VALID</v>
      </c>
    </row>
    <row r="3407" ht="15.75" customHeight="1">
      <c r="A3407" s="13" t="str">
        <f>Raw_Data!A3407</f>
        <v>EMP3594</v>
      </c>
      <c r="B3407" s="13" t="str">
        <f>TRIM(CLEAN(Raw_Data!B3407))</f>
        <v>Sales</v>
      </c>
      <c r="C3407" s="18" t="s">
        <v>14</v>
      </c>
      <c r="D3407" s="14" t="str">
        <f>IF(ISBLANK(Raw_Data!D3407),AVERAGE(Raw_Data!D$2:D$5002),Raw_Data!D3407)</f>
        <v>87205.09</v>
      </c>
      <c r="E3407" s="15" t="str">
        <f>IF(ISBLANK(Raw_Data!E3407),AVERAGE(Raw_Data!E$2:E$5002),Raw_Data!E3407)</f>
        <v>30575.92</v>
      </c>
      <c r="F3407" s="15" t="str">
        <f>IF(ISBLANK(Raw_Data!F3407),AVERAGE(Raw_Data!F$2:F$5002),Raw_Data!F3407)</f>
        <v>27773.19</v>
      </c>
      <c r="G3407" s="14" t="str">
        <f>IF(ISBLANK(Raw_Data!G3407),AVERAGE(Raw_Data!G$2:G$5002),Raw_Data!G3407)</f>
        <v>19120.58</v>
      </c>
      <c r="H3407" s="15" t="str">
        <f t="shared" si="1"/>
        <v>145554.00</v>
      </c>
      <c r="I3407" s="14" t="str">
        <f t="shared" si="2"/>
        <v>126433.00</v>
      </c>
      <c r="J3407" s="16" t="str">
        <f>TEXT(Raw_Data!J3407,"MMM-YYY")</f>
        <v>Mar-2025</v>
      </c>
      <c r="K3407" s="13" t="str">
        <f>Raw_Data!K3407</f>
        <v>20</v>
      </c>
      <c r="L3407" s="17" t="str">
        <f>Raw_Data!L3407</f>
        <v>Mumbai-HO</v>
      </c>
      <c r="M3407" s="13" t="str">
        <f t="shared" si="3"/>
        <v>OK</v>
      </c>
      <c r="N3407" s="18" t="str">
        <f t="shared" si="4"/>
        <v>VALID</v>
      </c>
    </row>
    <row r="3408" ht="15.75" customHeight="1">
      <c r="A3408" s="13" t="str">
        <f>Raw_Data!A3408</f>
        <v>EMP3595</v>
      </c>
      <c r="B3408" s="13" t="str">
        <f>TRIM(CLEAN(Raw_Data!B3408))</f>
        <v>Finance</v>
      </c>
      <c r="C3408" s="18" t="s">
        <v>14</v>
      </c>
      <c r="D3408" s="14" t="str">
        <f>IF(ISBLANK(Raw_Data!D3408),AVERAGE(Raw_Data!D$2:D$5002),Raw_Data!D3408)</f>
        <v>87215.97</v>
      </c>
      <c r="E3408" s="15" t="str">
        <f>IF(ISBLANK(Raw_Data!E3408),AVERAGE(Raw_Data!E$2:E$5002),Raw_Data!E3408)</f>
        <v>30580.54</v>
      </c>
      <c r="F3408" s="15" t="str">
        <f>IF(ISBLANK(Raw_Data!F3408),AVERAGE(Raw_Data!F$2:F$5002),Raw_Data!F3408)</f>
        <v>27780.87</v>
      </c>
      <c r="G3408" s="14" t="str">
        <f>IF(ISBLANK(Raw_Data!G3408),AVERAGE(Raw_Data!G$2:G$5002),Raw_Data!G3408)</f>
        <v>19123.97</v>
      </c>
      <c r="H3408" s="15" t="str">
        <f t="shared" si="1"/>
        <v>145577.00</v>
      </c>
      <c r="I3408" s="14" t="str">
        <f t="shared" si="2"/>
        <v>126453.00</v>
      </c>
      <c r="J3408" s="16" t="str">
        <f>TEXT(Raw_Data!J3408,"MMM-YYY")</f>
        <v>Jun-2025</v>
      </c>
      <c r="K3408" s="13" t="str">
        <f>Raw_Data!K3408</f>
        <v>11</v>
      </c>
      <c r="L3408" s="17" t="str">
        <f>Raw_Data!L3408</f>
        <v>Bangalore-South</v>
      </c>
      <c r="M3408" s="13" t="str">
        <f t="shared" si="3"/>
        <v>OK</v>
      </c>
      <c r="N3408" s="18" t="str">
        <f t="shared" si="4"/>
        <v>VALID</v>
      </c>
    </row>
    <row r="3409" ht="15.75" customHeight="1">
      <c r="A3409" s="13" t="str">
        <f>Raw_Data!A3409</f>
        <v>EMP3596</v>
      </c>
      <c r="B3409" s="13" t="str">
        <f>TRIM(CLEAN(Raw_Data!B3409))</f>
        <v>Finance</v>
      </c>
      <c r="C3409" s="18" t="s">
        <v>14</v>
      </c>
      <c r="D3409" s="14" t="str">
        <f>IF(ISBLANK(Raw_Data!D3409),AVERAGE(Raw_Data!D$2:D$5002),Raw_Data!D3409)</f>
        <v>87226.85</v>
      </c>
      <c r="E3409" s="15" t="str">
        <f>IF(ISBLANK(Raw_Data!E3409),AVERAGE(Raw_Data!E$2:E$5002),Raw_Data!E3409)</f>
        <v>30585.15</v>
      </c>
      <c r="F3409" s="15" t="str">
        <f>IF(ISBLANK(Raw_Data!F3409),AVERAGE(Raw_Data!F$2:F$5002),Raw_Data!F3409)</f>
        <v>27788.55</v>
      </c>
      <c r="G3409" s="14" t="str">
        <f>IF(ISBLANK(Raw_Data!G3409),AVERAGE(Raw_Data!G$2:G$5002),Raw_Data!G3409)</f>
        <v>19127.37</v>
      </c>
      <c r="H3409" s="15" t="str">
        <f t="shared" si="1"/>
        <v>145601.00</v>
      </c>
      <c r="I3409" s="14" t="str">
        <f t="shared" si="2"/>
        <v>126474.00</v>
      </c>
      <c r="J3409" s="16" t="str">
        <f>TEXT(Raw_Data!J3409,"MMM-YYY")</f>
        <v>Dec-2025</v>
      </c>
      <c r="K3409" s="13" t="str">
        <f>Raw_Data!K3409</f>
        <v>2</v>
      </c>
      <c r="L3409" s="17" t="str">
        <f>Raw_Data!L3409</f>
        <v>Delhi-North</v>
      </c>
      <c r="M3409" s="13" t="str">
        <f t="shared" si="3"/>
        <v>OK</v>
      </c>
      <c r="N3409" s="18" t="str">
        <f t="shared" si="4"/>
        <v>VALID</v>
      </c>
    </row>
    <row r="3410" ht="15.75" customHeight="1">
      <c r="A3410" s="13" t="str">
        <f>Raw_Data!A3410</f>
        <v>EMP3597</v>
      </c>
      <c r="B3410" s="13" t="str">
        <f>TRIM(CLEAN(Raw_Data!B3410))</f>
        <v>Marketing</v>
      </c>
      <c r="C3410" s="18" t="s">
        <v>26</v>
      </c>
      <c r="D3410" s="14" t="str">
        <f>IF(ISBLANK(Raw_Data!D3410),AVERAGE(Raw_Data!D$2:D$5002),Raw_Data!D3410)</f>
        <v>87237.74</v>
      </c>
      <c r="E3410" s="15" t="str">
        <f>IF(ISBLANK(Raw_Data!E3410),AVERAGE(Raw_Data!E$2:E$5002),Raw_Data!E3410)</f>
        <v>30589.77</v>
      </c>
      <c r="F3410" s="15" t="str">
        <f>IF(ISBLANK(Raw_Data!F3410),AVERAGE(Raw_Data!F$2:F$5002),Raw_Data!F3410)</f>
        <v>27796.23</v>
      </c>
      <c r="G3410" s="14" t="str">
        <f>IF(ISBLANK(Raw_Data!G3410),AVERAGE(Raw_Data!G$2:G$5002),Raw_Data!G3410)</f>
        <v>19130.77</v>
      </c>
      <c r="H3410" s="15" t="str">
        <f t="shared" si="1"/>
        <v>145624.00</v>
      </c>
      <c r="I3410" s="14" t="str">
        <f t="shared" si="2"/>
        <v>126493.00</v>
      </c>
      <c r="J3410" s="16" t="str">
        <f>TEXT(Raw_Data!J3410,"MMM-YYY")</f>
        <v>Aug-2025</v>
      </c>
      <c r="K3410" s="13" t="str">
        <f>Raw_Data!K3410</f>
        <v>17</v>
      </c>
      <c r="L3410" s="17" t="str">
        <f>Raw_Data!L3410</f>
        <v>Chennai-South</v>
      </c>
      <c r="M3410" s="13" t="str">
        <f t="shared" si="3"/>
        <v>OK</v>
      </c>
      <c r="N3410" s="18" t="str">
        <f t="shared" si="4"/>
        <v>VALID</v>
      </c>
    </row>
    <row r="3411" ht="15.75" customHeight="1">
      <c r="A3411" s="13" t="str">
        <f>Raw_Data!A3411</f>
        <v>EMP3598</v>
      </c>
      <c r="B3411" s="13" t="str">
        <f>TRIM(CLEAN(Raw_Data!B3411))</f>
        <v>Finance</v>
      </c>
      <c r="C3411" s="18" t="s">
        <v>18</v>
      </c>
      <c r="D3411" s="14" t="str">
        <f>IF(ISBLANK(Raw_Data!D3411),AVERAGE(Raw_Data!D$2:D$5002),Raw_Data!D3411)</f>
        <v>87248.62</v>
      </c>
      <c r="E3411" s="15" t="str">
        <f>IF(ISBLANK(Raw_Data!E3411),AVERAGE(Raw_Data!E$2:E$5002),Raw_Data!E3411)</f>
        <v>30594.38</v>
      </c>
      <c r="F3411" s="15" t="str">
        <f>IF(ISBLANK(Raw_Data!F3411),AVERAGE(Raw_Data!F$2:F$5002),Raw_Data!F3411)</f>
        <v>27803.91</v>
      </c>
      <c r="G3411" s="14" t="str">
        <f>IF(ISBLANK(Raw_Data!G3411),AVERAGE(Raw_Data!G$2:G$5002),Raw_Data!G3411)</f>
        <v>19134.17</v>
      </c>
      <c r="H3411" s="15" t="str">
        <f t="shared" si="1"/>
        <v>145647.00</v>
      </c>
      <c r="I3411" s="14" t="str">
        <f t="shared" si="2"/>
        <v>126513.00</v>
      </c>
      <c r="J3411" s="16" t="str">
        <f>TEXT(Raw_Data!J3411,"MMM-YYY")</f>
        <v>Dec-2025</v>
      </c>
      <c r="K3411" s="13" t="str">
        <f>Raw_Data!K3411</f>
        <v>16</v>
      </c>
      <c r="L3411" s="17" t="str">
        <f>Raw_Data!L3411</f>
        <v>Hyderabad-South</v>
      </c>
      <c r="M3411" s="13" t="str">
        <f t="shared" si="3"/>
        <v>OK</v>
      </c>
      <c r="N3411" s="18" t="str">
        <f t="shared" si="4"/>
        <v>VALID</v>
      </c>
    </row>
    <row r="3412" ht="15.75" customHeight="1">
      <c r="A3412" s="13" t="str">
        <f>Raw_Data!A3412</f>
        <v>EMP3599</v>
      </c>
      <c r="B3412" s="13" t="str">
        <f>TRIM(CLEAN(Raw_Data!B3412))</f>
        <v>Finance</v>
      </c>
      <c r="C3412" s="18" t="s">
        <v>14</v>
      </c>
      <c r="D3412" s="14" t="str">
        <f>IF(ISBLANK(Raw_Data!D3412),AVERAGE(Raw_Data!D$2:D$5002),Raw_Data!D3412)</f>
        <v>87259.50</v>
      </c>
      <c r="E3412" s="15" t="str">
        <f>IF(ISBLANK(Raw_Data!E3412),AVERAGE(Raw_Data!E$2:E$5002),Raw_Data!E3412)</f>
        <v>30599.00</v>
      </c>
      <c r="F3412" s="15" t="str">
        <f>IF(ISBLANK(Raw_Data!F3412),AVERAGE(Raw_Data!F$2:F$5002),Raw_Data!F3412)</f>
        <v>27811.59</v>
      </c>
      <c r="G3412" s="14" t="str">
        <f>IF(ISBLANK(Raw_Data!G3412),AVERAGE(Raw_Data!G$2:G$5002),Raw_Data!G3412)</f>
        <v>19137.56</v>
      </c>
      <c r="H3412" s="15" t="str">
        <f t="shared" si="1"/>
        <v>145670.00</v>
      </c>
      <c r="I3412" s="14" t="str">
        <f t="shared" si="2"/>
        <v>126532.00</v>
      </c>
      <c r="J3412" s="16" t="str">
        <f>TEXT(Raw_Data!J3412,"MMM-YYY")</f>
        <v>Oct-2025</v>
      </c>
      <c r="K3412" s="13" t="str">
        <f>Raw_Data!K3412</f>
        <v>9</v>
      </c>
      <c r="L3412" s="17" t="str">
        <f>Raw_Data!L3412</f>
        <v>Chandigarh-North</v>
      </c>
      <c r="M3412" s="13" t="str">
        <f t="shared" si="3"/>
        <v>OK</v>
      </c>
      <c r="N3412" s="18" t="str">
        <f t="shared" si="4"/>
        <v>VALID</v>
      </c>
    </row>
    <row r="3413" ht="15.75" customHeight="1">
      <c r="A3413" s="13" t="str">
        <f>Raw_Data!A3413</f>
        <v>EMP3600</v>
      </c>
      <c r="B3413" s="13" t="str">
        <f>TRIM(CLEAN(Raw_Data!B3413))</f>
        <v>Sales</v>
      </c>
      <c r="C3413" s="18" t="s">
        <v>26</v>
      </c>
      <c r="D3413" s="14" t="str">
        <f>IF(ISBLANK(Raw_Data!D3413),AVERAGE(Raw_Data!D$2:D$5002),Raw_Data!D3413)</f>
        <v>87270.39</v>
      </c>
      <c r="E3413" s="15" t="str">
        <f>IF(ISBLANK(Raw_Data!E3413),AVERAGE(Raw_Data!E$2:E$5002),Raw_Data!E3413)</f>
        <v>30603.61</v>
      </c>
      <c r="F3413" s="15" t="str">
        <f>IF(ISBLANK(Raw_Data!F3413),AVERAGE(Raw_Data!F$2:F$5002),Raw_Data!F3413)</f>
        <v>27819.27</v>
      </c>
      <c r="G3413" s="14" t="str">
        <f>IF(ISBLANK(Raw_Data!G3413),AVERAGE(Raw_Data!G$2:G$5002),Raw_Data!G3413)</f>
        <v>19140.96</v>
      </c>
      <c r="H3413" s="15" t="str">
        <f t="shared" si="1"/>
        <v>145693.00</v>
      </c>
      <c r="I3413" s="14" t="str">
        <f t="shared" si="2"/>
        <v>126552.00</v>
      </c>
      <c r="J3413" s="16" t="str">
        <f>TEXT(Raw_Data!J3413,"MMM-YYY")</f>
        <v>Aug-2025</v>
      </c>
      <c r="K3413" s="13" t="str">
        <f>Raw_Data!K3413</f>
        <v>25</v>
      </c>
      <c r="L3413" s="17" t="str">
        <f>Raw_Data!L3413</f>
        <v>Chennai-South</v>
      </c>
      <c r="M3413" s="13" t="str">
        <f t="shared" si="3"/>
        <v>OK</v>
      </c>
      <c r="N3413" s="18" t="str">
        <f t="shared" si="4"/>
        <v>VALID</v>
      </c>
    </row>
    <row r="3414" ht="15.75" customHeight="1">
      <c r="A3414" s="13" t="str">
        <f>Raw_Data!A3414</f>
        <v>EMP3601</v>
      </c>
      <c r="B3414" s="13" t="str">
        <f>TRIM(CLEAN(Raw_Data!B3414))</f>
        <v>IT</v>
      </c>
      <c r="C3414" s="18" t="s">
        <v>26</v>
      </c>
      <c r="D3414" s="14" t="str">
        <f>IF(ISBLANK(Raw_Data!D3414),AVERAGE(Raw_Data!D$2:D$5002),Raw_Data!D3414)</f>
        <v>87281.27</v>
      </c>
      <c r="E3414" s="15" t="str">
        <f>IF(ISBLANK(Raw_Data!E3414),AVERAGE(Raw_Data!E$2:E$5002),Raw_Data!E3414)</f>
        <v>30608.22</v>
      </c>
      <c r="F3414" s="15" t="str">
        <f>IF(ISBLANK(Raw_Data!F3414),AVERAGE(Raw_Data!F$2:F$5002),Raw_Data!F3414)</f>
        <v>27826.95</v>
      </c>
      <c r="G3414" s="14" t="str">
        <f>IF(ISBLANK(Raw_Data!G3414),AVERAGE(Raw_Data!G$2:G$5002),Raw_Data!G3414)</f>
        <v>19144.36</v>
      </c>
      <c r="H3414" s="15" t="str">
        <f t="shared" si="1"/>
        <v>145716.00</v>
      </c>
      <c r="I3414" s="14" t="str">
        <f t="shared" si="2"/>
        <v>126572.00</v>
      </c>
      <c r="J3414" s="16" t="str">
        <f>TEXT(Raw_Data!J3414,"MMM-YYY")</f>
        <v>Jan-2025</v>
      </c>
      <c r="K3414" s="13" t="str">
        <f>Raw_Data!K3414</f>
        <v>6</v>
      </c>
      <c r="L3414" s="17" t="str">
        <f>Raw_Data!L3414</f>
        <v>Hyderabad-South</v>
      </c>
      <c r="M3414" s="13" t="str">
        <f t="shared" si="3"/>
        <v>OK</v>
      </c>
      <c r="N3414" s="18" t="str">
        <f t="shared" si="4"/>
        <v>VALID</v>
      </c>
    </row>
    <row r="3415" ht="15.75" customHeight="1">
      <c r="A3415" s="13" t="str">
        <f>Raw_Data!A3415</f>
        <v>EMP3602</v>
      </c>
      <c r="B3415" s="13" t="str">
        <f>TRIM(CLEAN(Raw_Data!B3415))</f>
        <v>HR</v>
      </c>
      <c r="C3415" s="18" t="s">
        <v>26</v>
      </c>
      <c r="D3415" s="14" t="str">
        <f>IF(ISBLANK(Raw_Data!D3415),AVERAGE(Raw_Data!D$2:D$5002),Raw_Data!D3415)</f>
        <v>87292.15</v>
      </c>
      <c r="E3415" s="15" t="str">
        <f>IF(ISBLANK(Raw_Data!E3415),AVERAGE(Raw_Data!E$2:E$5002),Raw_Data!E3415)</f>
        <v>30612.84</v>
      </c>
      <c r="F3415" s="15" t="str">
        <f>IF(ISBLANK(Raw_Data!F3415),AVERAGE(Raw_Data!F$2:F$5002),Raw_Data!F3415)</f>
        <v>27834.63</v>
      </c>
      <c r="G3415" s="14" t="str">
        <f>IF(ISBLANK(Raw_Data!G3415),AVERAGE(Raw_Data!G$2:G$5002),Raw_Data!G3415)</f>
        <v>19147.76</v>
      </c>
      <c r="H3415" s="15" t="str">
        <f t="shared" si="1"/>
        <v>145740.00</v>
      </c>
      <c r="I3415" s="14" t="str">
        <f t="shared" si="2"/>
        <v>126592.00</v>
      </c>
      <c r="J3415" s="16" t="str">
        <f>TEXT(Raw_Data!J3415,"MMM-YYY")</f>
        <v>Nov-2025</v>
      </c>
      <c r="K3415" s="13" t="str">
        <f>Raw_Data!K3415</f>
        <v>17</v>
      </c>
      <c r="L3415" s="17" t="str">
        <f>Raw_Data!L3415</f>
        <v>Jaipur-North</v>
      </c>
      <c r="M3415" s="13" t="str">
        <f t="shared" si="3"/>
        <v>OK</v>
      </c>
      <c r="N3415" s="18" t="str">
        <f t="shared" si="4"/>
        <v>VALID</v>
      </c>
    </row>
    <row r="3416" ht="15.75" customHeight="1">
      <c r="A3416" s="13" t="str">
        <f>Raw_Data!A3416</f>
        <v>EMP3603</v>
      </c>
      <c r="B3416" s="13" t="str">
        <f>TRIM(CLEAN(Raw_Data!B3416))</f>
        <v>Operations</v>
      </c>
      <c r="C3416" s="18" t="s">
        <v>30</v>
      </c>
      <c r="D3416" s="14" t="str">
        <f>IF(ISBLANK(Raw_Data!D3416),AVERAGE(Raw_Data!D$2:D$5002),Raw_Data!D3416)</f>
        <v>87303.03</v>
      </c>
      <c r="E3416" s="15" t="str">
        <f>IF(ISBLANK(Raw_Data!E3416),AVERAGE(Raw_Data!E$2:E$5002),Raw_Data!E3416)</f>
        <v>30617.45</v>
      </c>
      <c r="F3416" s="15" t="str">
        <f>IF(ISBLANK(Raw_Data!F3416),AVERAGE(Raw_Data!F$2:F$5002),Raw_Data!F3416)</f>
        <v>27842.31</v>
      </c>
      <c r="G3416" s="14" t="str">
        <f>IF(ISBLANK(Raw_Data!G3416),AVERAGE(Raw_Data!G$2:G$5002),Raw_Data!G3416)</f>
        <v>19151.15</v>
      </c>
      <c r="H3416" s="15" t="str">
        <f t="shared" si="1"/>
        <v>145763.00</v>
      </c>
      <c r="I3416" s="14" t="str">
        <f t="shared" si="2"/>
        <v>126612.00</v>
      </c>
      <c r="J3416" s="16" t="str">
        <f>TEXT(Raw_Data!J3416,"MMM-YYY")</f>
        <v>Jul-2025</v>
      </c>
      <c r="K3416" s="13" t="str">
        <f>Raw_Data!K3416</f>
        <v>25</v>
      </c>
      <c r="L3416" s="17" t="str">
        <f>Raw_Data!L3416</f>
        <v>Jaipur-North</v>
      </c>
      <c r="M3416" s="13" t="str">
        <f t="shared" si="3"/>
        <v>OK</v>
      </c>
      <c r="N3416" s="18" t="str">
        <f t="shared" si="4"/>
        <v>VALID</v>
      </c>
    </row>
    <row r="3417" ht="15.75" customHeight="1">
      <c r="A3417" s="13" t="str">
        <f>Raw_Data!A3417</f>
        <v>EMP3604</v>
      </c>
      <c r="B3417" s="13" t="str">
        <f>TRIM(CLEAN(Raw_Data!B3417))</f>
        <v>Operations</v>
      </c>
      <c r="C3417" s="18" t="s">
        <v>54</v>
      </c>
      <c r="D3417" s="14" t="str">
        <f>IF(ISBLANK(Raw_Data!D3417),AVERAGE(Raw_Data!D$2:D$5002),Raw_Data!D3417)</f>
        <v>87313.92</v>
      </c>
      <c r="E3417" s="15" t="str">
        <f>IF(ISBLANK(Raw_Data!E3417),AVERAGE(Raw_Data!E$2:E$5002),Raw_Data!E3417)</f>
        <v>30622.07</v>
      </c>
      <c r="F3417" s="15" t="str">
        <f>IF(ISBLANK(Raw_Data!F3417),AVERAGE(Raw_Data!F$2:F$5002),Raw_Data!F3417)</f>
        <v>27849.99</v>
      </c>
      <c r="G3417" s="14" t="str">
        <f>IF(ISBLANK(Raw_Data!G3417),AVERAGE(Raw_Data!G$2:G$5002),Raw_Data!G3417)</f>
        <v>19154.55</v>
      </c>
      <c r="H3417" s="15" t="str">
        <f t="shared" si="1"/>
        <v>145786.00</v>
      </c>
      <c r="I3417" s="14" t="str">
        <f t="shared" si="2"/>
        <v>126631.00</v>
      </c>
      <c r="J3417" s="16" t="str">
        <f>TEXT(Raw_Data!J3417,"MMM-YYY")</f>
        <v>Dec-2025</v>
      </c>
      <c r="K3417" s="13" t="str">
        <f>Raw_Data!K3417</f>
        <v>20</v>
      </c>
      <c r="L3417" s="17" t="str">
        <f>Raw_Data!L3417</f>
        <v>Mumbai-HO</v>
      </c>
      <c r="M3417" s="13" t="str">
        <f t="shared" si="3"/>
        <v>OK</v>
      </c>
      <c r="N3417" s="18" t="str">
        <f t="shared" si="4"/>
        <v>VALID</v>
      </c>
    </row>
    <row r="3418" ht="15.75" customHeight="1">
      <c r="A3418" s="13" t="str">
        <f>Raw_Data!A3418</f>
        <v>EMP3605</v>
      </c>
      <c r="B3418" s="13" t="str">
        <f>TRIM(CLEAN(Raw_Data!B3418))</f>
        <v>Operations</v>
      </c>
      <c r="C3418" s="18" t="s">
        <v>33</v>
      </c>
      <c r="D3418" s="14" t="str">
        <f>IF(ISBLANK(Raw_Data!D3418),AVERAGE(Raw_Data!D$2:D$5002),Raw_Data!D3418)</f>
        <v>87324.80</v>
      </c>
      <c r="E3418" s="15" t="str">
        <f>IF(ISBLANK(Raw_Data!E3418),AVERAGE(Raw_Data!E$2:E$5002),Raw_Data!E3418)</f>
        <v>30626.68</v>
      </c>
      <c r="F3418" s="15" t="str">
        <f>IF(ISBLANK(Raw_Data!F3418),AVERAGE(Raw_Data!F$2:F$5002),Raw_Data!F3418)</f>
        <v>27857.67</v>
      </c>
      <c r="G3418" s="14" t="str">
        <f>IF(ISBLANK(Raw_Data!G3418),AVERAGE(Raw_Data!G$2:G$5002),Raw_Data!G3418)</f>
        <v>19157.95</v>
      </c>
      <c r="H3418" s="15" t="str">
        <f t="shared" si="1"/>
        <v>145809.00</v>
      </c>
      <c r="I3418" s="14" t="str">
        <f t="shared" si="2"/>
        <v>126651.00</v>
      </c>
      <c r="J3418" s="16" t="str">
        <f>TEXT(Raw_Data!J3418,"MMM-YYY")</f>
        <v>Dec-2025</v>
      </c>
      <c r="K3418" s="13" t="str">
        <f>Raw_Data!K3418</f>
        <v>1</v>
      </c>
      <c r="L3418" s="17" t="str">
        <f>Raw_Data!L3418</f>
        <v>Chandigarh-North</v>
      </c>
      <c r="M3418" s="13" t="str">
        <f t="shared" si="3"/>
        <v>OK</v>
      </c>
      <c r="N3418" s="18" t="str">
        <f t="shared" si="4"/>
        <v>VALID</v>
      </c>
    </row>
    <row r="3419" ht="15.75" customHeight="1">
      <c r="A3419" s="13" t="str">
        <f>Raw_Data!A3419</f>
        <v>EMP3606</v>
      </c>
      <c r="B3419" s="13" t="s">
        <v>53</v>
      </c>
      <c r="C3419" s="18" t="s">
        <v>14</v>
      </c>
      <c r="D3419" s="14" t="str">
        <f>IF(ISBLANK(Raw_Data!D3419),AVERAGE(Raw_Data!D$2:D$5002),Raw_Data!D3419)</f>
        <v>87335.68</v>
      </c>
      <c r="E3419" s="15" t="str">
        <f>IF(ISBLANK(Raw_Data!E3419),AVERAGE(Raw_Data!E$2:E$5002),Raw_Data!E3419)</f>
        <v>30631.30</v>
      </c>
      <c r="F3419" s="15" t="str">
        <f>IF(ISBLANK(Raw_Data!F3419),AVERAGE(Raw_Data!F$2:F$5002),Raw_Data!F3419)</f>
        <v>27865.35</v>
      </c>
      <c r="G3419" s="14" t="str">
        <f>IF(ISBLANK(Raw_Data!G3419),AVERAGE(Raw_Data!G$2:G$5002),Raw_Data!G3419)</f>
        <v>19161.35</v>
      </c>
      <c r="H3419" s="15" t="str">
        <f t="shared" si="1"/>
        <v>145832.00</v>
      </c>
      <c r="I3419" s="14" t="str">
        <f t="shared" si="2"/>
        <v>126671.00</v>
      </c>
      <c r="J3419" s="16" t="str">
        <f>TEXT(Raw_Data!J3419,"MMM-YYY")</f>
        <v>Aug-2025</v>
      </c>
      <c r="K3419" s="13" t="str">
        <f>Raw_Data!K3419</f>
        <v>17</v>
      </c>
      <c r="L3419" s="17" t="str">
        <f>Raw_Data!L3419</f>
        <v>Ahmedabad-West</v>
      </c>
      <c r="M3419" s="13" t="str">
        <f t="shared" si="3"/>
        <v>OK</v>
      </c>
      <c r="N3419" s="18" t="str">
        <f t="shared" si="4"/>
        <v>VALID</v>
      </c>
    </row>
    <row r="3420" ht="15.75" customHeight="1">
      <c r="A3420" s="13" t="str">
        <f>Raw_Data!A3420</f>
        <v>EMP3607</v>
      </c>
      <c r="B3420" s="13" t="str">
        <f>TRIM(CLEAN(Raw_Data!B3420))</f>
        <v>HR</v>
      </c>
      <c r="C3420" s="18" t="s">
        <v>33</v>
      </c>
      <c r="D3420" s="14" t="str">
        <f>IF(ISBLANK(Raw_Data!D3420),AVERAGE(Raw_Data!D$2:D$5002),Raw_Data!D3420)</f>
        <v>87346.57</v>
      </c>
      <c r="E3420" s="15" t="str">
        <f>IF(ISBLANK(Raw_Data!E3420),AVERAGE(Raw_Data!E$2:E$5002),Raw_Data!E3420)</f>
        <v>30635.91</v>
      </c>
      <c r="F3420" s="15" t="str">
        <f>IF(ISBLANK(Raw_Data!F3420),AVERAGE(Raw_Data!F$2:F$5002),Raw_Data!F3420)</f>
        <v>27873.03</v>
      </c>
      <c r="G3420" s="14" t="str">
        <f>IF(ISBLANK(Raw_Data!G3420),AVERAGE(Raw_Data!G$2:G$5002),Raw_Data!G3420)</f>
        <v>19164.74</v>
      </c>
      <c r="H3420" s="15" t="str">
        <f t="shared" si="1"/>
        <v>145856.00</v>
      </c>
      <c r="I3420" s="14" t="str">
        <f t="shared" si="2"/>
        <v>126691.00</v>
      </c>
      <c r="J3420" s="16" t="str">
        <f>TEXT(Raw_Data!J3420,"MMM-YYY")</f>
        <v>Apr-2025</v>
      </c>
      <c r="K3420" s="13" t="str">
        <f>Raw_Data!K3420</f>
        <v>23</v>
      </c>
      <c r="L3420" s="17" t="str">
        <f>Raw_Data!L3420</f>
        <v>Mumbai-HO</v>
      </c>
      <c r="M3420" s="13" t="str">
        <f t="shared" si="3"/>
        <v>OK</v>
      </c>
      <c r="N3420" s="18" t="str">
        <f t="shared" si="4"/>
        <v>VALID</v>
      </c>
    </row>
    <row r="3421" ht="15.75" customHeight="1">
      <c r="A3421" s="13" t="str">
        <f>Raw_Data!A3421</f>
        <v>EMP3608</v>
      </c>
      <c r="B3421" s="13" t="str">
        <f>TRIM(CLEAN(Raw_Data!B3421))</f>
        <v>Marketing</v>
      </c>
      <c r="C3421" s="18" t="s">
        <v>26</v>
      </c>
      <c r="D3421" s="14" t="str">
        <f>IF(ISBLANK(Raw_Data!D3421),AVERAGE(Raw_Data!D$2:D$5002),Raw_Data!D3421)</f>
        <v>87357.45</v>
      </c>
      <c r="E3421" s="15" t="str">
        <f>IF(ISBLANK(Raw_Data!E3421),AVERAGE(Raw_Data!E$2:E$5002),Raw_Data!E3421)</f>
        <v>30640.53</v>
      </c>
      <c r="F3421" s="15" t="str">
        <f>IF(ISBLANK(Raw_Data!F3421),AVERAGE(Raw_Data!F$2:F$5002),Raw_Data!F3421)</f>
        <v>27880.71</v>
      </c>
      <c r="G3421" s="14" t="str">
        <f>IF(ISBLANK(Raw_Data!G3421),AVERAGE(Raw_Data!G$2:G$5002),Raw_Data!G3421)</f>
        <v>19168.14</v>
      </c>
      <c r="H3421" s="15" t="str">
        <f t="shared" si="1"/>
        <v>145879.00</v>
      </c>
      <c r="I3421" s="14" t="str">
        <f t="shared" si="2"/>
        <v>126711.00</v>
      </c>
      <c r="J3421" s="16" t="str">
        <f>TEXT(Raw_Data!J3421,"MMM-YYY")</f>
        <v>May-2025</v>
      </c>
      <c r="K3421" s="13" t="str">
        <f>Raw_Data!K3421</f>
        <v>20</v>
      </c>
      <c r="L3421" s="17" t="str">
        <f>Raw_Data!L3421</f>
        <v>Chennai-South</v>
      </c>
      <c r="M3421" s="13" t="str">
        <f t="shared" si="3"/>
        <v>OK</v>
      </c>
      <c r="N3421" s="18" t="str">
        <f t="shared" si="4"/>
        <v>VALID</v>
      </c>
    </row>
    <row r="3422" ht="15.75" customHeight="1">
      <c r="A3422" s="13" t="str">
        <f>Raw_Data!A3422</f>
        <v>EMP3609</v>
      </c>
      <c r="B3422" s="13" t="str">
        <f>TRIM(CLEAN(Raw_Data!B3422))</f>
        <v>Operations</v>
      </c>
      <c r="C3422" s="18" t="s">
        <v>33</v>
      </c>
      <c r="D3422" s="14" t="str">
        <f>IF(ISBLANK(Raw_Data!D3422),AVERAGE(Raw_Data!D$2:D$5002),Raw_Data!D3422)</f>
        <v>87368.33</v>
      </c>
      <c r="E3422" s="15" t="str">
        <f>IF(ISBLANK(Raw_Data!E3422),AVERAGE(Raw_Data!E$2:E$5002),Raw_Data!E3422)</f>
        <v>30645.14</v>
      </c>
      <c r="F3422" s="15" t="str">
        <f>IF(ISBLANK(Raw_Data!F3422),AVERAGE(Raw_Data!F$2:F$5002),Raw_Data!F3422)</f>
        <v>27888.39</v>
      </c>
      <c r="G3422" s="14" t="str">
        <f>IF(ISBLANK(Raw_Data!G3422),AVERAGE(Raw_Data!G$2:G$5002),Raw_Data!G3422)</f>
        <v>19171.54</v>
      </c>
      <c r="H3422" s="15" t="str">
        <f t="shared" si="1"/>
        <v>145902.00</v>
      </c>
      <c r="I3422" s="14" t="str">
        <f t="shared" si="2"/>
        <v>126730.00</v>
      </c>
      <c r="J3422" s="16" t="str">
        <f>TEXT(Raw_Data!J3422,"MMM-YYY")</f>
        <v>Oct-2025</v>
      </c>
      <c r="K3422" s="13" t="str">
        <f>Raw_Data!K3422</f>
        <v>18</v>
      </c>
      <c r="L3422" s="17" t="str">
        <f>Raw_Data!L3422</f>
        <v>Pune-West</v>
      </c>
      <c r="M3422" s="13" t="str">
        <f t="shared" si="3"/>
        <v>OK</v>
      </c>
      <c r="N3422" s="18" t="str">
        <f t="shared" si="4"/>
        <v>VALID</v>
      </c>
    </row>
    <row r="3423" ht="15.75" customHeight="1">
      <c r="A3423" s="13" t="str">
        <f>Raw_Data!A3423</f>
        <v>EMP3610</v>
      </c>
      <c r="B3423" s="13" t="str">
        <f>TRIM(CLEAN(Raw_Data!B3423))</f>
        <v>Customer Support</v>
      </c>
      <c r="C3423" s="18" t="s">
        <v>37</v>
      </c>
      <c r="D3423" s="14" t="str">
        <f>IF(ISBLANK(Raw_Data!D3423),AVERAGE(Raw_Data!D$2:D$5002),Raw_Data!D3423)</f>
        <v>87379.22</v>
      </c>
      <c r="E3423" s="15" t="str">
        <f>IF(ISBLANK(Raw_Data!E3423),AVERAGE(Raw_Data!E$2:E$5002),Raw_Data!E3423)</f>
        <v>30649.76</v>
      </c>
      <c r="F3423" s="15" t="str">
        <f>IF(ISBLANK(Raw_Data!F3423),AVERAGE(Raw_Data!F$2:F$5002),Raw_Data!F3423)</f>
        <v>27896.07</v>
      </c>
      <c r="G3423" s="14" t="str">
        <f>IF(ISBLANK(Raw_Data!G3423),AVERAGE(Raw_Data!G$2:G$5002),Raw_Data!G3423)</f>
        <v>19174.94</v>
      </c>
      <c r="H3423" s="15" t="str">
        <f t="shared" si="1"/>
        <v>145925.00</v>
      </c>
      <c r="I3423" s="14" t="str">
        <f t="shared" si="2"/>
        <v>126750.00</v>
      </c>
      <c r="J3423" s="16" t="str">
        <f>TEXT(Raw_Data!J3423,"MMM-YYY")</f>
        <v>Oct-2025</v>
      </c>
      <c r="K3423" s="13" t="str">
        <f>Raw_Data!K3423</f>
        <v>8</v>
      </c>
      <c r="L3423" s="17" t="str">
        <f>Raw_Data!L3423</f>
        <v>Delhi-North</v>
      </c>
      <c r="M3423" s="13" t="str">
        <f t="shared" si="3"/>
        <v>OK</v>
      </c>
      <c r="N3423" s="18" t="str">
        <f t="shared" si="4"/>
        <v>VALID</v>
      </c>
    </row>
    <row r="3424" ht="15.75" customHeight="1">
      <c r="A3424" s="13" t="str">
        <f>Raw_Data!A3424</f>
        <v>EMP3611</v>
      </c>
      <c r="B3424" s="13" t="str">
        <f>TRIM(CLEAN(Raw_Data!B3424))</f>
        <v>Finance</v>
      </c>
      <c r="C3424" s="18" t="s">
        <v>18</v>
      </c>
      <c r="D3424" s="14" t="str">
        <f>IF(ISBLANK(Raw_Data!D3424),AVERAGE(Raw_Data!D$2:D$5002),Raw_Data!D3424)</f>
        <v>87390.10</v>
      </c>
      <c r="E3424" s="15" t="str">
        <f>IF(ISBLANK(Raw_Data!E3424),AVERAGE(Raw_Data!E$2:E$5002),Raw_Data!E3424)</f>
        <v>30654.37</v>
      </c>
      <c r="F3424" s="15" t="str">
        <f>IF(ISBLANK(Raw_Data!F3424),AVERAGE(Raw_Data!F$2:F$5002),Raw_Data!F3424)</f>
        <v>27903.75</v>
      </c>
      <c r="G3424" s="14" t="str">
        <f>IF(ISBLANK(Raw_Data!G3424),AVERAGE(Raw_Data!G$2:G$5002),Raw_Data!G3424)</f>
        <v>19178.33</v>
      </c>
      <c r="H3424" s="15" t="str">
        <f t="shared" si="1"/>
        <v>145948.00</v>
      </c>
      <c r="I3424" s="14" t="str">
        <f t="shared" si="2"/>
        <v>126770.00</v>
      </c>
      <c r="J3424" s="16" t="str">
        <f>TEXT(Raw_Data!J3424,"MMM-YYY")</f>
        <v>Jul-2025</v>
      </c>
      <c r="K3424" s="13" t="str">
        <f>Raw_Data!K3424</f>
        <v>14</v>
      </c>
      <c r="L3424" s="17" t="str">
        <f>Raw_Data!L3424</f>
        <v>Jaipur-North</v>
      </c>
      <c r="M3424" s="13" t="str">
        <f t="shared" si="3"/>
        <v>OK</v>
      </c>
      <c r="N3424" s="18" t="str">
        <f t="shared" si="4"/>
        <v>VALID</v>
      </c>
    </row>
    <row r="3425" ht="15.75" customHeight="1">
      <c r="A3425" s="13" t="str">
        <f>Raw_Data!A3425</f>
        <v>EMP3612</v>
      </c>
      <c r="B3425" s="13" t="str">
        <f>TRIM(CLEAN(Raw_Data!B3425))</f>
        <v>HR</v>
      </c>
      <c r="C3425" s="18" t="s">
        <v>26</v>
      </c>
      <c r="D3425" s="14" t="str">
        <f>IF(ISBLANK(Raw_Data!D3425),AVERAGE(Raw_Data!D$2:D$5002),Raw_Data!D3425)</f>
        <v>87400.98</v>
      </c>
      <c r="E3425" s="15" t="str">
        <f>IF(ISBLANK(Raw_Data!E3425),AVERAGE(Raw_Data!E$2:E$5002),Raw_Data!E3425)</f>
        <v>30658.99</v>
      </c>
      <c r="F3425" s="15" t="str">
        <f>IF(ISBLANK(Raw_Data!F3425),AVERAGE(Raw_Data!F$2:F$5002),Raw_Data!F3425)</f>
        <v>27911.43</v>
      </c>
      <c r="G3425" s="14" t="str">
        <f>IF(ISBLANK(Raw_Data!G3425),AVERAGE(Raw_Data!G$2:G$5002),Raw_Data!G3425)</f>
        <v>19181.73</v>
      </c>
      <c r="H3425" s="15" t="str">
        <f t="shared" si="1"/>
        <v>145971.00</v>
      </c>
      <c r="I3425" s="14" t="str">
        <f t="shared" si="2"/>
        <v>126789.00</v>
      </c>
      <c r="J3425" s="16" t="str">
        <f>TEXT(Raw_Data!J3425,"MMM-YYY")</f>
        <v>Jan-2025</v>
      </c>
      <c r="K3425" s="13" t="str">
        <f>Raw_Data!K3425</f>
        <v>4</v>
      </c>
      <c r="L3425" s="17" t="str">
        <f>Raw_Data!L3425</f>
        <v>Chennai-South</v>
      </c>
      <c r="M3425" s="13" t="str">
        <f t="shared" si="3"/>
        <v>OK</v>
      </c>
      <c r="N3425" s="18" t="str">
        <f t="shared" si="4"/>
        <v>VALID</v>
      </c>
    </row>
    <row r="3426" ht="15.75" customHeight="1">
      <c r="A3426" s="13" t="str">
        <f>Raw_Data!A3426</f>
        <v>EMP3613</v>
      </c>
      <c r="B3426" s="13" t="str">
        <f>TRIM(CLEAN(Raw_Data!B3426))</f>
        <v>HR</v>
      </c>
      <c r="C3426" s="18" t="s">
        <v>26</v>
      </c>
      <c r="D3426" s="14" t="str">
        <f>IF(ISBLANK(Raw_Data!D3426),AVERAGE(Raw_Data!D$2:D$5002),Raw_Data!D3426)</f>
        <v>87411.86</v>
      </c>
      <c r="E3426" s="15" t="str">
        <f>IF(ISBLANK(Raw_Data!E3426),AVERAGE(Raw_Data!E$2:E$5002),Raw_Data!E3426)</f>
        <v>30663.60</v>
      </c>
      <c r="F3426" s="15" t="str">
        <f>IF(ISBLANK(Raw_Data!F3426),AVERAGE(Raw_Data!F$2:F$5002),Raw_Data!F3426)</f>
        <v>27919.11</v>
      </c>
      <c r="G3426" s="14" t="str">
        <f>IF(ISBLANK(Raw_Data!G3426),AVERAGE(Raw_Data!G$2:G$5002),Raw_Data!G3426)</f>
        <v>19185.13</v>
      </c>
      <c r="H3426" s="15" t="str">
        <f t="shared" si="1"/>
        <v>145995.00</v>
      </c>
      <c r="I3426" s="14" t="str">
        <f t="shared" si="2"/>
        <v>126810.00</v>
      </c>
      <c r="J3426" s="16" t="str">
        <f>TEXT(Raw_Data!J3426,"MMM-YYY")</f>
        <v>Dec-2025</v>
      </c>
      <c r="K3426" s="13" t="str">
        <f>Raw_Data!K3426</f>
        <v>21</v>
      </c>
      <c r="L3426" s="17" t="str">
        <f>Raw_Data!L3426</f>
        <v>Chennai-South</v>
      </c>
      <c r="M3426" s="13" t="str">
        <f t="shared" si="3"/>
        <v>OK</v>
      </c>
      <c r="N3426" s="18" t="str">
        <f t="shared" si="4"/>
        <v>VALID</v>
      </c>
    </row>
    <row r="3427" ht="15.75" customHeight="1">
      <c r="A3427" s="13" t="str">
        <f>Raw_Data!A3427</f>
        <v>EMP3614</v>
      </c>
      <c r="B3427" s="13" t="str">
        <f>TRIM(CLEAN(Raw_Data!B3427))</f>
        <v>HR</v>
      </c>
      <c r="C3427" s="18" t="s">
        <v>26</v>
      </c>
      <c r="D3427" s="14" t="str">
        <f>IF(ISBLANK(Raw_Data!D3427),AVERAGE(Raw_Data!D$2:D$5002),Raw_Data!D3427)</f>
        <v>87422.75</v>
      </c>
      <c r="E3427" s="15" t="str">
        <f>IF(ISBLANK(Raw_Data!E3427),AVERAGE(Raw_Data!E$2:E$5002),Raw_Data!E3427)</f>
        <v>30668.22</v>
      </c>
      <c r="F3427" s="15" t="str">
        <f>IF(ISBLANK(Raw_Data!F3427),AVERAGE(Raw_Data!F$2:F$5002),Raw_Data!F3427)</f>
        <v>27926.79</v>
      </c>
      <c r="G3427" s="14" t="str">
        <f>IF(ISBLANK(Raw_Data!G3427),AVERAGE(Raw_Data!G$2:G$5002),Raw_Data!G3427)</f>
        <v>19188.53</v>
      </c>
      <c r="H3427" s="15" t="str">
        <f t="shared" si="1"/>
        <v>146018.00</v>
      </c>
      <c r="I3427" s="14" t="str">
        <f t="shared" si="2"/>
        <v>126829.00</v>
      </c>
      <c r="J3427" s="16" t="str">
        <f>TEXT(Raw_Data!J3427,"MMM-YYY")</f>
        <v>Jan-2025</v>
      </c>
      <c r="K3427" s="13" t="str">
        <f>Raw_Data!K3427</f>
        <v>1</v>
      </c>
      <c r="L3427" s="17" t="str">
        <f>Raw_Data!L3427</f>
        <v>Kolkata-East</v>
      </c>
      <c r="M3427" s="13" t="str">
        <f t="shared" si="3"/>
        <v>OK</v>
      </c>
      <c r="N3427" s="18" t="str">
        <f t="shared" si="4"/>
        <v>VALID</v>
      </c>
    </row>
    <row r="3428" ht="15.75" customHeight="1">
      <c r="A3428" s="13" t="str">
        <f>Raw_Data!A3428</f>
        <v>EMP3615</v>
      </c>
      <c r="B3428" s="13" t="str">
        <f>TRIM(CLEAN(Raw_Data!B3428))</f>
        <v>HR</v>
      </c>
      <c r="C3428" s="18" t="s">
        <v>33</v>
      </c>
      <c r="D3428" s="14" t="str">
        <f>IF(ISBLANK(Raw_Data!D3428),AVERAGE(Raw_Data!D$2:D$5002),Raw_Data!D3428)</f>
        <v>87433.63</v>
      </c>
      <c r="E3428" s="15" t="str">
        <f>IF(ISBLANK(Raw_Data!E3428),AVERAGE(Raw_Data!E$2:E$5002),Raw_Data!E3428)</f>
        <v>30672.83</v>
      </c>
      <c r="F3428" s="15" t="str">
        <f>IF(ISBLANK(Raw_Data!F3428),AVERAGE(Raw_Data!F$2:F$5002),Raw_Data!F3428)</f>
        <v>27934.47</v>
      </c>
      <c r="G3428" s="14" t="str">
        <f>IF(ISBLANK(Raw_Data!G3428),AVERAGE(Raw_Data!G$2:G$5002),Raw_Data!G3428)</f>
        <v>19191.92</v>
      </c>
      <c r="H3428" s="15" t="str">
        <f t="shared" si="1"/>
        <v>146041.00</v>
      </c>
      <c r="I3428" s="14" t="str">
        <f t="shared" si="2"/>
        <v>126849.00</v>
      </c>
      <c r="J3428" s="16" t="str">
        <f>TEXT(Raw_Data!J3428,"MMM-YYY")</f>
        <v>Apr-2025</v>
      </c>
      <c r="K3428" s="13" t="str">
        <f>Raw_Data!K3428</f>
        <v>8</v>
      </c>
      <c r="L3428" s="17" t="str">
        <f>Raw_Data!L3428</f>
        <v>Pune-West</v>
      </c>
      <c r="M3428" s="13" t="str">
        <f t="shared" si="3"/>
        <v>OK</v>
      </c>
      <c r="N3428" s="18" t="str">
        <f t="shared" si="4"/>
        <v>VALID</v>
      </c>
    </row>
    <row r="3429" ht="15.75" customHeight="1">
      <c r="A3429" s="13" t="str">
        <f>Raw_Data!A3429</f>
        <v>EMP3616</v>
      </c>
      <c r="B3429" s="13" t="str">
        <f>TRIM(CLEAN(Raw_Data!B3429))</f>
        <v>Sales</v>
      </c>
      <c r="C3429" s="18" t="s">
        <v>33</v>
      </c>
      <c r="D3429" s="14" t="str">
        <f>IF(ISBLANK(Raw_Data!D3429),AVERAGE(Raw_Data!D$2:D$5002),Raw_Data!D3429)</f>
        <v>87444.51</v>
      </c>
      <c r="E3429" s="15" t="str">
        <f>IF(ISBLANK(Raw_Data!E3429),AVERAGE(Raw_Data!E$2:E$5002),Raw_Data!E3429)</f>
        <v>30677.45</v>
      </c>
      <c r="F3429" s="15" t="str">
        <f>IF(ISBLANK(Raw_Data!F3429),AVERAGE(Raw_Data!F$2:F$5002),Raw_Data!F3429)</f>
        <v>27942.15</v>
      </c>
      <c r="G3429" s="14" t="str">
        <f>IF(ISBLANK(Raw_Data!G3429),AVERAGE(Raw_Data!G$2:G$5002),Raw_Data!G3429)</f>
        <v>19195.32</v>
      </c>
      <c r="H3429" s="15" t="str">
        <f t="shared" si="1"/>
        <v>146064.00</v>
      </c>
      <c r="I3429" s="14" t="str">
        <f t="shared" si="2"/>
        <v>126869.00</v>
      </c>
      <c r="J3429" s="16" t="str">
        <f>TEXT(Raw_Data!J3429,"MMM-YYY")</f>
        <v>May-2025</v>
      </c>
      <c r="K3429" s="13" t="str">
        <f>Raw_Data!K3429</f>
        <v>12</v>
      </c>
      <c r="L3429" s="17" t="str">
        <f>Raw_Data!L3429</f>
        <v>Hyderabad-South</v>
      </c>
      <c r="M3429" s="13" t="str">
        <f t="shared" si="3"/>
        <v>OK</v>
      </c>
      <c r="N3429" s="18" t="str">
        <f t="shared" si="4"/>
        <v>VALID</v>
      </c>
    </row>
    <row r="3430" ht="15.75" customHeight="1">
      <c r="A3430" s="13" t="str">
        <f>Raw_Data!A3430</f>
        <v>EMP3617</v>
      </c>
      <c r="B3430" s="13" t="str">
        <f>TRIM(CLEAN(Raw_Data!B3430))</f>
        <v>HR</v>
      </c>
      <c r="C3430" s="18" t="s">
        <v>54</v>
      </c>
      <c r="D3430" s="14" t="str">
        <f>IF(ISBLANK(Raw_Data!D3430),AVERAGE(Raw_Data!D$2:D$5002),Raw_Data!D3430)</f>
        <v>87455.40</v>
      </c>
      <c r="E3430" s="15" t="str">
        <f>IF(ISBLANK(Raw_Data!E3430),AVERAGE(Raw_Data!E$2:E$5002),Raw_Data!E3430)</f>
        <v>30682.06</v>
      </c>
      <c r="F3430" s="15" t="str">
        <f>IF(ISBLANK(Raw_Data!F3430),AVERAGE(Raw_Data!F$2:F$5002),Raw_Data!F3430)</f>
        <v>27949.83</v>
      </c>
      <c r="G3430" s="14" t="str">
        <f>IF(ISBLANK(Raw_Data!G3430),AVERAGE(Raw_Data!G$2:G$5002),Raw_Data!G3430)</f>
        <v>19198.72</v>
      </c>
      <c r="H3430" s="15" t="str">
        <f t="shared" si="1"/>
        <v>146087.00</v>
      </c>
      <c r="I3430" s="14" t="str">
        <f t="shared" si="2"/>
        <v>126888.00</v>
      </c>
      <c r="J3430" s="16" t="str">
        <f>TEXT(Raw_Data!J3430,"MMM-YYY")</f>
        <v>Jun-2025</v>
      </c>
      <c r="K3430" s="13" t="str">
        <f>Raw_Data!K3430</f>
        <v>17</v>
      </c>
      <c r="L3430" s="17" t="str">
        <f>Raw_Data!L3430</f>
        <v>Chandigarh-North</v>
      </c>
      <c r="M3430" s="13" t="str">
        <f t="shared" si="3"/>
        <v>OK</v>
      </c>
      <c r="N3430" s="18" t="str">
        <f t="shared" si="4"/>
        <v>VALID</v>
      </c>
    </row>
    <row r="3431" ht="15.75" customHeight="1">
      <c r="A3431" s="13" t="str">
        <f>Raw_Data!A3431</f>
        <v>EMP3618</v>
      </c>
      <c r="B3431" s="13" t="str">
        <f>TRIM(CLEAN(Raw_Data!B3431))</f>
        <v>HR</v>
      </c>
      <c r="C3431" s="18" t="s">
        <v>30</v>
      </c>
      <c r="D3431" s="14" t="str">
        <f>IF(ISBLANK(Raw_Data!D3431),AVERAGE(Raw_Data!D$2:D$5002),Raw_Data!D3431)</f>
        <v>87466.28</v>
      </c>
      <c r="E3431" s="15" t="str">
        <f>IF(ISBLANK(Raw_Data!E3431),AVERAGE(Raw_Data!E$2:E$5002),Raw_Data!E3431)</f>
        <v>30686.68</v>
      </c>
      <c r="F3431" s="15" t="str">
        <f>IF(ISBLANK(Raw_Data!F3431),AVERAGE(Raw_Data!F$2:F$5002),Raw_Data!F3431)</f>
        <v>27957.51</v>
      </c>
      <c r="G3431" s="14" t="str">
        <f>IF(ISBLANK(Raw_Data!G3431),AVERAGE(Raw_Data!G$2:G$5002),Raw_Data!G3431)</f>
        <v>19202.12</v>
      </c>
      <c r="H3431" s="15" t="str">
        <f t="shared" si="1"/>
        <v>146110.00</v>
      </c>
      <c r="I3431" s="14" t="str">
        <f t="shared" si="2"/>
        <v>126908.00</v>
      </c>
      <c r="J3431" s="16" t="str">
        <f>TEXT(Raw_Data!J3431,"MMM-YYY")</f>
        <v>Jul-2025</v>
      </c>
      <c r="K3431" s="13" t="str">
        <f>Raw_Data!K3431</f>
        <v>2</v>
      </c>
      <c r="L3431" s="17" t="str">
        <f>Raw_Data!L3431</f>
        <v>Ahmedabad-West</v>
      </c>
      <c r="M3431" s="13" t="str">
        <f t="shared" si="3"/>
        <v>OK</v>
      </c>
      <c r="N3431" s="18" t="str">
        <f t="shared" si="4"/>
        <v>VALID</v>
      </c>
    </row>
    <row r="3432" ht="15.75" customHeight="1">
      <c r="A3432" s="13" t="str">
        <f>Raw_Data!A3432</f>
        <v>EMP3619</v>
      </c>
      <c r="B3432" s="13" t="str">
        <f>TRIM(CLEAN(Raw_Data!B3432))</f>
        <v>Sales</v>
      </c>
      <c r="C3432" s="18" t="s">
        <v>33</v>
      </c>
      <c r="D3432" s="14" t="str">
        <f>IF(ISBLANK(Raw_Data!D3432),AVERAGE(Raw_Data!D$2:D$5002),Raw_Data!D3432)</f>
        <v>87477.16</v>
      </c>
      <c r="E3432" s="15" t="str">
        <f>IF(ISBLANK(Raw_Data!E3432),AVERAGE(Raw_Data!E$2:E$5002),Raw_Data!E3432)</f>
        <v>30691.29</v>
      </c>
      <c r="F3432" s="15" t="str">
        <f>IF(ISBLANK(Raw_Data!F3432),AVERAGE(Raw_Data!F$2:F$5002),Raw_Data!F3432)</f>
        <v>27965.19</v>
      </c>
      <c r="G3432" s="14" t="str">
        <f>IF(ISBLANK(Raw_Data!G3432),AVERAGE(Raw_Data!G$2:G$5002),Raw_Data!G3432)</f>
        <v>19205.51</v>
      </c>
      <c r="H3432" s="15" t="str">
        <f t="shared" si="1"/>
        <v>146134.00</v>
      </c>
      <c r="I3432" s="14" t="str">
        <f t="shared" si="2"/>
        <v>126928.00</v>
      </c>
      <c r="J3432" s="16" t="str">
        <f>TEXT(Raw_Data!J3432,"MMM-YYY")</f>
        <v>Dec-2025</v>
      </c>
      <c r="K3432" s="13" t="str">
        <f>Raw_Data!K3432</f>
        <v>1</v>
      </c>
      <c r="L3432" s="17" t="str">
        <f>Raw_Data!L3432</f>
        <v>Jaipur-North</v>
      </c>
      <c r="M3432" s="13" t="str">
        <f t="shared" si="3"/>
        <v>OK</v>
      </c>
      <c r="N3432" s="18" t="str">
        <f t="shared" si="4"/>
        <v>VALID</v>
      </c>
    </row>
    <row r="3433" ht="15.75" customHeight="1">
      <c r="A3433" s="13" t="str">
        <f>Raw_Data!A3433</f>
        <v>EMP3620</v>
      </c>
      <c r="B3433" s="13" t="str">
        <f>TRIM(CLEAN(Raw_Data!B3433))</f>
        <v>Customer Support</v>
      </c>
      <c r="C3433" s="18" t="s">
        <v>30</v>
      </c>
      <c r="D3433" s="14" t="str">
        <f>IF(ISBLANK(Raw_Data!D3433),AVERAGE(Raw_Data!D$2:D$5002),Raw_Data!D3433)</f>
        <v>87488.05</v>
      </c>
      <c r="E3433" s="15" t="str">
        <f>IF(ISBLANK(Raw_Data!E3433),AVERAGE(Raw_Data!E$2:E$5002),Raw_Data!E3433)</f>
        <v>30695.90</v>
      </c>
      <c r="F3433" s="15" t="str">
        <f>IF(ISBLANK(Raw_Data!F3433),AVERAGE(Raw_Data!F$2:F$5002),Raw_Data!F3433)</f>
        <v>27972.87</v>
      </c>
      <c r="G3433" s="14" t="str">
        <f>IF(ISBLANK(Raw_Data!G3433),AVERAGE(Raw_Data!G$2:G$5002),Raw_Data!G3433)</f>
        <v>19208.91</v>
      </c>
      <c r="H3433" s="15" t="str">
        <f t="shared" si="1"/>
        <v>146157.00</v>
      </c>
      <c r="I3433" s="14" t="str">
        <f t="shared" si="2"/>
        <v>126948.00</v>
      </c>
      <c r="J3433" s="16" t="str">
        <f>TEXT(Raw_Data!J3433,"MMM-YYY")</f>
        <v>May-2025</v>
      </c>
      <c r="K3433" s="13" t="str">
        <f>Raw_Data!K3433</f>
        <v>19</v>
      </c>
      <c r="L3433" s="17" t="str">
        <f>Raw_Data!L3433</f>
        <v>Mumbai-HO</v>
      </c>
      <c r="M3433" s="13" t="str">
        <f t="shared" si="3"/>
        <v>OK</v>
      </c>
      <c r="N3433" s="18" t="str">
        <f t="shared" si="4"/>
        <v>VALID</v>
      </c>
    </row>
    <row r="3434" ht="15.75" customHeight="1">
      <c r="A3434" s="13" t="str">
        <f>Raw_Data!A3434</f>
        <v>EMP3621</v>
      </c>
      <c r="B3434" s="13" t="str">
        <f>TRIM(CLEAN(Raw_Data!B3434))</f>
        <v>IT</v>
      </c>
      <c r="C3434" s="18" t="s">
        <v>14</v>
      </c>
      <c r="D3434" s="14" t="str">
        <f>IF(ISBLANK(Raw_Data!D3434),AVERAGE(Raw_Data!D$2:D$5002),Raw_Data!D3434)</f>
        <v>87498.93</v>
      </c>
      <c r="E3434" s="15" t="str">
        <f>IF(ISBLANK(Raw_Data!E3434),AVERAGE(Raw_Data!E$2:E$5002),Raw_Data!E3434)</f>
        <v>30700.52</v>
      </c>
      <c r="F3434" s="15" t="str">
        <f>IF(ISBLANK(Raw_Data!F3434),AVERAGE(Raw_Data!F$2:F$5002),Raw_Data!F3434)</f>
        <v>27980.55</v>
      </c>
      <c r="G3434" s="14" t="str">
        <f>IF(ISBLANK(Raw_Data!G3434),AVERAGE(Raw_Data!G$2:G$5002),Raw_Data!G3434)</f>
        <v>19212.31</v>
      </c>
      <c r="H3434" s="15" t="str">
        <f t="shared" si="1"/>
        <v>146180.00</v>
      </c>
      <c r="I3434" s="14" t="str">
        <f t="shared" si="2"/>
        <v>126968.00</v>
      </c>
      <c r="J3434" s="16" t="str">
        <f>TEXT(Raw_Data!J3434,"MMM-YYY")</f>
        <v>Dec-2025</v>
      </c>
      <c r="K3434" s="13" t="str">
        <f>Raw_Data!K3434</f>
        <v>8</v>
      </c>
      <c r="L3434" s="17" t="str">
        <f>Raw_Data!L3434</f>
        <v>Delhi-North</v>
      </c>
      <c r="M3434" s="13" t="str">
        <f t="shared" si="3"/>
        <v>OK</v>
      </c>
      <c r="N3434" s="18" t="str">
        <f t="shared" si="4"/>
        <v>VALID</v>
      </c>
    </row>
    <row r="3435" ht="15.75" customHeight="1">
      <c r="A3435" s="13" t="str">
        <f>Raw_Data!A3435</f>
        <v>EMP3623</v>
      </c>
      <c r="B3435" s="13" t="str">
        <f>TRIM(CLEAN(Raw_Data!B3435))</f>
        <v>Marketing</v>
      </c>
      <c r="C3435" s="18" t="s">
        <v>18</v>
      </c>
      <c r="D3435" s="14" t="str">
        <f>IF(ISBLANK(Raw_Data!D3435),AVERAGE(Raw_Data!D$2:D$5002),Raw_Data!D3435)</f>
        <v>87520.69</v>
      </c>
      <c r="E3435" s="15" t="str">
        <f>IF(ISBLANK(Raw_Data!E3435),AVERAGE(Raw_Data!E$2:E$5002),Raw_Data!E3435)</f>
        <v>30709.75</v>
      </c>
      <c r="F3435" s="15" t="str">
        <f>IF(ISBLANK(Raw_Data!F3435),AVERAGE(Raw_Data!F$2:F$5002),Raw_Data!F3435)</f>
        <v>27995.91</v>
      </c>
      <c r="G3435" s="14" t="str">
        <f>IF(ISBLANK(Raw_Data!G3435),AVERAGE(Raw_Data!G$2:G$5002),Raw_Data!G3435)</f>
        <v>19219.11</v>
      </c>
      <c r="H3435" s="15" t="str">
        <f t="shared" si="1"/>
        <v>146226.00</v>
      </c>
      <c r="I3435" s="14" t="str">
        <f t="shared" si="2"/>
        <v>127007.00</v>
      </c>
      <c r="J3435" s="16" t="str">
        <f>TEXT(Raw_Data!J3435,"MMM-YYY")</f>
        <v>Mar-2025</v>
      </c>
      <c r="K3435" s="13" t="str">
        <f>Raw_Data!K3435</f>
        <v>9</v>
      </c>
      <c r="L3435" s="17" t="str">
        <f>Raw_Data!L3435</f>
        <v>Chennai-South</v>
      </c>
      <c r="M3435" s="13" t="str">
        <f t="shared" si="3"/>
        <v>OK</v>
      </c>
      <c r="N3435" s="18" t="str">
        <f t="shared" si="4"/>
        <v>VALID</v>
      </c>
    </row>
    <row r="3436" ht="15.75" customHeight="1">
      <c r="A3436" s="13" t="str">
        <f>Raw_Data!A3436</f>
        <v>EMP3624</v>
      </c>
      <c r="B3436" s="13" t="str">
        <f>TRIM(CLEAN(Raw_Data!B3436))</f>
        <v>Customer Support</v>
      </c>
      <c r="C3436" s="18" t="s">
        <v>14</v>
      </c>
      <c r="D3436" s="14" t="str">
        <f>IF(ISBLANK(Raw_Data!D3436),AVERAGE(Raw_Data!D$2:D$5002),Raw_Data!D3436)</f>
        <v>87531.58</v>
      </c>
      <c r="E3436" s="15" t="str">
        <f>IF(ISBLANK(Raw_Data!E3436),AVERAGE(Raw_Data!E$2:E$5002),Raw_Data!E3436)</f>
        <v>30714.36</v>
      </c>
      <c r="F3436" s="15" t="str">
        <f>IF(ISBLANK(Raw_Data!F3436),AVERAGE(Raw_Data!F$2:F$5002),Raw_Data!F3436)</f>
        <v>28003.59</v>
      </c>
      <c r="G3436" s="14" t="str">
        <f>IF(ISBLANK(Raw_Data!G3436),AVERAGE(Raw_Data!G$2:G$5002),Raw_Data!G3436)</f>
        <v>19222.50</v>
      </c>
      <c r="H3436" s="15" t="str">
        <f t="shared" si="1"/>
        <v>146250.00</v>
      </c>
      <c r="I3436" s="14" t="str">
        <f t="shared" si="2"/>
        <v>127027.00</v>
      </c>
      <c r="J3436" s="16" t="str">
        <f>TEXT(Raw_Data!J3436,"MMM-YYY")</f>
        <v>Nov-2025</v>
      </c>
      <c r="K3436" s="13" t="str">
        <f>Raw_Data!K3436</f>
        <v>11</v>
      </c>
      <c r="L3436" s="17" t="str">
        <f>Raw_Data!L3436</f>
        <v>Kolkata-East</v>
      </c>
      <c r="M3436" s="13" t="str">
        <f t="shared" si="3"/>
        <v>OK</v>
      </c>
      <c r="N3436" s="18" t="str">
        <f t="shared" si="4"/>
        <v>VALID</v>
      </c>
    </row>
    <row r="3437" ht="15.75" customHeight="1">
      <c r="A3437" s="13" t="str">
        <f>Raw_Data!A3437</f>
        <v>EMP3625</v>
      </c>
      <c r="B3437" s="13" t="str">
        <f>TRIM(CLEAN(Raw_Data!B3437))</f>
        <v>HR</v>
      </c>
      <c r="C3437" s="18" t="s">
        <v>33</v>
      </c>
      <c r="D3437" s="14" t="str">
        <f>IF(ISBLANK(Raw_Data!D3437),AVERAGE(Raw_Data!D$2:D$5002),Raw_Data!D3437)</f>
        <v>87542.46</v>
      </c>
      <c r="E3437" s="15" t="str">
        <f>IF(ISBLANK(Raw_Data!E3437),AVERAGE(Raw_Data!E$2:E$5002),Raw_Data!E3437)</f>
        <v>30718.98</v>
      </c>
      <c r="F3437" s="15" t="str">
        <f>IF(ISBLANK(Raw_Data!F3437),AVERAGE(Raw_Data!F$2:F$5002),Raw_Data!F3437)</f>
        <v>28011.27</v>
      </c>
      <c r="G3437" s="14" t="str">
        <f>IF(ISBLANK(Raw_Data!G3437),AVERAGE(Raw_Data!G$2:G$5002),Raw_Data!G3437)</f>
        <v>19225.90</v>
      </c>
      <c r="H3437" s="15" t="str">
        <f t="shared" si="1"/>
        <v>146273.00</v>
      </c>
      <c r="I3437" s="14" t="str">
        <f t="shared" si="2"/>
        <v>127047.00</v>
      </c>
      <c r="J3437" s="16" t="str">
        <f>TEXT(Raw_Data!J3437,"MMM-YYY")</f>
        <v>Aug-2025</v>
      </c>
      <c r="K3437" s="13" t="str">
        <f>Raw_Data!K3437</f>
        <v>20</v>
      </c>
      <c r="L3437" s="17" t="str">
        <f>Raw_Data!L3437</f>
        <v>Pune-West</v>
      </c>
      <c r="M3437" s="13" t="str">
        <f t="shared" si="3"/>
        <v>OK</v>
      </c>
      <c r="N3437" s="18" t="str">
        <f t="shared" si="4"/>
        <v>VALID</v>
      </c>
    </row>
    <row r="3438" ht="15.75" customHeight="1">
      <c r="A3438" s="13" t="str">
        <f>Raw_Data!A3438</f>
        <v>EMP3626</v>
      </c>
      <c r="B3438" s="13" t="str">
        <f>TRIM(CLEAN(Raw_Data!B3438))</f>
        <v>Customer Support</v>
      </c>
      <c r="C3438" s="18" t="s">
        <v>37</v>
      </c>
      <c r="D3438" s="14" t="str">
        <f>IF(ISBLANK(Raw_Data!D3438),AVERAGE(Raw_Data!D$2:D$5002),Raw_Data!D3438)</f>
        <v>20500.00</v>
      </c>
      <c r="E3438" s="15" t="str">
        <f>IF(ISBLANK(Raw_Data!E3438),AVERAGE(Raw_Data!E$2:E$5002),Raw_Data!E3438)</f>
        <v>30723.59</v>
      </c>
      <c r="F3438" s="15" t="str">
        <f>IF(ISBLANK(Raw_Data!F3438),AVERAGE(Raw_Data!F$2:F$5002),Raw_Data!F3438)</f>
        <v>28018.95</v>
      </c>
      <c r="G3438" s="14" t="str">
        <f>IF(ISBLANK(Raw_Data!G3438),AVERAGE(Raw_Data!G$2:G$5002),Raw_Data!G3438)</f>
        <v>19229.30</v>
      </c>
      <c r="H3438" s="15" t="str">
        <f t="shared" si="1"/>
        <v>79243.00</v>
      </c>
      <c r="I3438" s="14" t="str">
        <f t="shared" si="2"/>
        <v>60014.00</v>
      </c>
      <c r="J3438" s="16" t="str">
        <f>TEXT(Raw_Data!J3438,"MMM-YYY")</f>
        <v>Nov-2025</v>
      </c>
      <c r="K3438" s="13" t="str">
        <f>Raw_Data!K3438</f>
        <v>2</v>
      </c>
      <c r="L3438" s="17" t="str">
        <f>Raw_Data!L3438</f>
        <v>Hyderabad-South</v>
      </c>
      <c r="M3438" s="13" t="str">
        <f t="shared" si="3"/>
        <v>OK</v>
      </c>
      <c r="N3438" s="18" t="str">
        <f t="shared" si="4"/>
        <v>VALID</v>
      </c>
    </row>
    <row r="3439" ht="15.75" customHeight="1">
      <c r="A3439" s="13" t="str">
        <f>Raw_Data!A3439</f>
        <v>EMP3627</v>
      </c>
      <c r="B3439" s="13" t="str">
        <f>TRIM(CLEAN(Raw_Data!B3439))</f>
        <v>IT</v>
      </c>
      <c r="C3439" s="18" t="s">
        <v>54</v>
      </c>
      <c r="D3439" s="14" t="str">
        <f>IF(ISBLANK(Raw_Data!D3439),AVERAGE(Raw_Data!D$2:D$5002),Raw_Data!D3439)</f>
        <v>21000.00</v>
      </c>
      <c r="E3439" s="15" t="str">
        <f>IF(ISBLANK(Raw_Data!E3439),AVERAGE(Raw_Data!E$2:E$5002),Raw_Data!E3439)</f>
        <v>30728.21</v>
      </c>
      <c r="F3439" s="15" t="str">
        <f>IF(ISBLANK(Raw_Data!F3439),AVERAGE(Raw_Data!F$2:F$5002),Raw_Data!F3439)</f>
        <v>28026.63</v>
      </c>
      <c r="G3439" s="14" t="str">
        <f>IF(ISBLANK(Raw_Data!G3439),AVERAGE(Raw_Data!G$2:G$5002),Raw_Data!G3439)</f>
        <v>19232.70</v>
      </c>
      <c r="H3439" s="15" t="str">
        <f t="shared" si="1"/>
        <v>79755.00</v>
      </c>
      <c r="I3439" s="14" t="str">
        <f t="shared" si="2"/>
        <v>60522.00</v>
      </c>
      <c r="J3439" s="16" t="str">
        <f>TEXT(Raw_Data!J3439,"MMM-YYY")</f>
        <v>Jun-2025</v>
      </c>
      <c r="K3439" s="13" t="str">
        <f>Raw_Data!K3439</f>
        <v>24</v>
      </c>
      <c r="L3439" s="17" t="str">
        <f>Raw_Data!L3439</f>
        <v>Chandigarh-North</v>
      </c>
      <c r="M3439" s="13" t="str">
        <f t="shared" si="3"/>
        <v>OK</v>
      </c>
      <c r="N3439" s="18" t="str">
        <f t="shared" si="4"/>
        <v>VALID</v>
      </c>
    </row>
    <row r="3440" ht="15.75" customHeight="1">
      <c r="A3440" s="13" t="str">
        <f>Raw_Data!A3440</f>
        <v>EMP3628</v>
      </c>
      <c r="B3440" s="13" t="str">
        <f>TRIM(CLEAN(Raw_Data!B3440))</f>
        <v>HR</v>
      </c>
      <c r="C3440" s="18" t="s">
        <v>33</v>
      </c>
      <c r="D3440" s="14" t="str">
        <f>IF(ISBLANK(Raw_Data!D3440),AVERAGE(Raw_Data!D$2:D$5002),Raw_Data!D3440)</f>
        <v>21500.00</v>
      </c>
      <c r="E3440" s="15" t="str">
        <f>IF(ISBLANK(Raw_Data!E3440),AVERAGE(Raw_Data!E$2:E$5002),Raw_Data!E3440)</f>
        <v>30732.82</v>
      </c>
      <c r="F3440" s="15" t="str">
        <f>IF(ISBLANK(Raw_Data!F3440),AVERAGE(Raw_Data!F$2:F$5002),Raw_Data!F3440)</f>
        <v>28034.31</v>
      </c>
      <c r="G3440" s="14" t="str">
        <f>IF(ISBLANK(Raw_Data!G3440),AVERAGE(Raw_Data!G$2:G$5002),Raw_Data!G3440)</f>
        <v>19236.09</v>
      </c>
      <c r="H3440" s="15" t="str">
        <f t="shared" si="1"/>
        <v>80267.00</v>
      </c>
      <c r="I3440" s="14" t="str">
        <f t="shared" si="2"/>
        <v>61031.00</v>
      </c>
      <c r="J3440" s="16" t="str">
        <f>TEXT(Raw_Data!J3440,"MMM-YYY")</f>
        <v>Dec-2025</v>
      </c>
      <c r="K3440" s="13" t="str">
        <f>Raw_Data!K3440</f>
        <v>7</v>
      </c>
      <c r="L3440" s="17" t="str">
        <f>Raw_Data!L3440</f>
        <v>Ahmedabad-West</v>
      </c>
      <c r="M3440" s="13" t="str">
        <f t="shared" si="3"/>
        <v>OK</v>
      </c>
      <c r="N3440" s="18" t="str">
        <f t="shared" si="4"/>
        <v>VALID</v>
      </c>
    </row>
    <row r="3441" ht="15.75" customHeight="1">
      <c r="A3441" s="13" t="str">
        <f>Raw_Data!A3441</f>
        <v>EMP3630</v>
      </c>
      <c r="B3441" s="13" t="str">
        <f>TRIM(CLEAN(Raw_Data!B3441))</f>
        <v>IT</v>
      </c>
      <c r="C3441" s="18" t="s">
        <v>37</v>
      </c>
      <c r="D3441" s="14" t="str">
        <f>IF(ISBLANK(Raw_Data!D3441),AVERAGE(Raw_Data!D$2:D$5002),Raw_Data!D3441)</f>
        <v>167600.00</v>
      </c>
      <c r="E3441" s="15" t="str">
        <f>IF(ISBLANK(Raw_Data!E3441),AVERAGE(Raw_Data!E$2:E$5002),Raw_Data!E3441)</f>
        <v>30742.05</v>
      </c>
      <c r="F3441" s="15" t="str">
        <f>IF(ISBLANK(Raw_Data!F3441),AVERAGE(Raw_Data!F$2:F$5002),Raw_Data!F3441)</f>
        <v>28049.67</v>
      </c>
      <c r="G3441" s="14" t="str">
        <f>IF(ISBLANK(Raw_Data!G3441),AVERAGE(Raw_Data!G$2:G$5002),Raw_Data!G3441)</f>
        <v>19242.89</v>
      </c>
      <c r="H3441" s="15" t="str">
        <f t="shared" si="1"/>
        <v>226392.00</v>
      </c>
      <c r="I3441" s="14" t="str">
        <f t="shared" si="2"/>
        <v>207149.00</v>
      </c>
      <c r="J3441" s="16" t="str">
        <f>TEXT(Raw_Data!J3441,"MMM-YYY")</f>
        <v>Dec-2025</v>
      </c>
      <c r="K3441" s="13" t="str">
        <f>Raw_Data!K3441</f>
        <v>2</v>
      </c>
      <c r="L3441" s="17" t="str">
        <f>Raw_Data!L3441</f>
        <v>Mumbai-HO</v>
      </c>
      <c r="M3441" s="13" t="str">
        <f t="shared" si="3"/>
        <v>OK</v>
      </c>
      <c r="N3441" s="18" t="str">
        <f t="shared" si="4"/>
        <v>VALID</v>
      </c>
    </row>
    <row r="3442" ht="15.75" customHeight="1">
      <c r="A3442" s="13" t="str">
        <f>Raw_Data!A3442</f>
        <v>EMP3631</v>
      </c>
      <c r="B3442" s="13" t="str">
        <f>TRIM(CLEAN(Raw_Data!B3442))</f>
        <v>Marketing</v>
      </c>
      <c r="C3442" s="18" t="s">
        <v>30</v>
      </c>
      <c r="D3442" s="14" t="str">
        <f>IF(ISBLANK(Raw_Data!D3442),AVERAGE(Raw_Data!D$2:D$5002),Raw_Data!D3442)</f>
        <v>87553.34</v>
      </c>
      <c r="E3442" s="15" t="str">
        <f>IF(ISBLANK(Raw_Data!E3442),AVERAGE(Raw_Data!E$2:E$5002),Raw_Data!E3442)</f>
        <v>30746.67</v>
      </c>
      <c r="F3442" s="15" t="str">
        <f>IF(ISBLANK(Raw_Data!F3442),AVERAGE(Raw_Data!F$2:F$5002),Raw_Data!F3442)</f>
        <v>28057.35</v>
      </c>
      <c r="G3442" s="14" t="str">
        <f>IF(ISBLANK(Raw_Data!G3442),AVERAGE(Raw_Data!G$2:G$5002),Raw_Data!G3442)</f>
        <v>19246.29</v>
      </c>
      <c r="H3442" s="15" t="str">
        <f t="shared" si="1"/>
        <v>146357.00</v>
      </c>
      <c r="I3442" s="14" t="str">
        <f t="shared" si="2"/>
        <v>127111.00</v>
      </c>
      <c r="J3442" s="16" t="str">
        <f>TEXT(Raw_Data!J3442,"MMM-YYY")</f>
        <v>Mar-2025</v>
      </c>
      <c r="K3442" s="13" t="str">
        <f>Raw_Data!K3442</f>
        <v>24</v>
      </c>
      <c r="L3442" s="17" t="str">
        <f>Raw_Data!L3442</f>
        <v>Delhi-North</v>
      </c>
      <c r="M3442" s="13" t="str">
        <f t="shared" si="3"/>
        <v>OK</v>
      </c>
      <c r="N3442" s="18" t="str">
        <f t="shared" si="4"/>
        <v>VALID</v>
      </c>
    </row>
    <row r="3443" ht="15.75" customHeight="1">
      <c r="A3443" s="13" t="str">
        <f>Raw_Data!A3443</f>
        <v>EMP3632</v>
      </c>
      <c r="B3443" s="13" t="str">
        <f>TRIM(CLEAN(Raw_Data!B3443))</f>
        <v>IT</v>
      </c>
      <c r="C3443" s="18" t="s">
        <v>26</v>
      </c>
      <c r="D3443" s="14" t="str">
        <f>IF(ISBLANK(Raw_Data!D3443),AVERAGE(Raw_Data!D$2:D$5002),Raw_Data!D3443)</f>
        <v>87564.23</v>
      </c>
      <c r="E3443" s="15" t="str">
        <f>IF(ISBLANK(Raw_Data!E3443),AVERAGE(Raw_Data!E$2:E$5002),Raw_Data!E3443)</f>
        <v>30751.28</v>
      </c>
      <c r="F3443" s="15" t="str">
        <f>IF(ISBLANK(Raw_Data!F3443),AVERAGE(Raw_Data!F$2:F$5002),Raw_Data!F3443)</f>
        <v>28065.03</v>
      </c>
      <c r="G3443" s="14" t="str">
        <f>IF(ISBLANK(Raw_Data!G3443),AVERAGE(Raw_Data!G$2:G$5002),Raw_Data!G3443)</f>
        <v>19249.68</v>
      </c>
      <c r="H3443" s="15" t="str">
        <f t="shared" si="1"/>
        <v>146381.00</v>
      </c>
      <c r="I3443" s="14" t="str">
        <f t="shared" si="2"/>
        <v>127131.00</v>
      </c>
      <c r="J3443" s="16" t="str">
        <f>TEXT(Raw_Data!J3443,"MMM-YYY")</f>
        <v>Nov-2025</v>
      </c>
      <c r="K3443" s="13" t="str">
        <f>Raw_Data!K3443</f>
        <v>19</v>
      </c>
      <c r="L3443" s="17" t="str">
        <f>Raw_Data!L3443</f>
        <v>Bangalore-South</v>
      </c>
      <c r="M3443" s="13" t="str">
        <f t="shared" si="3"/>
        <v>OK</v>
      </c>
      <c r="N3443" s="18" t="str">
        <f t="shared" si="4"/>
        <v>VALID</v>
      </c>
    </row>
    <row r="3444" ht="15.75" customHeight="1">
      <c r="A3444" s="13" t="str">
        <f>Raw_Data!A3444</f>
        <v>EMP3633</v>
      </c>
      <c r="B3444" s="13" t="str">
        <f>TRIM(CLEAN(Raw_Data!B3444))</f>
        <v>Finance</v>
      </c>
      <c r="C3444" s="18" t="s">
        <v>18</v>
      </c>
      <c r="D3444" s="14" t="str">
        <f>IF(ISBLANK(Raw_Data!D3444),AVERAGE(Raw_Data!D$2:D$5002),Raw_Data!D3444)</f>
        <v>87575.11</v>
      </c>
      <c r="E3444" s="15" t="str">
        <f>IF(ISBLANK(Raw_Data!E3444),AVERAGE(Raw_Data!E$2:E$5002),Raw_Data!E3444)</f>
        <v>30755.90</v>
      </c>
      <c r="F3444" s="15" t="str">
        <f>IF(ISBLANK(Raw_Data!F3444),AVERAGE(Raw_Data!F$2:F$5002),Raw_Data!F3444)</f>
        <v>28072.71</v>
      </c>
      <c r="G3444" s="14" t="str">
        <f>IF(ISBLANK(Raw_Data!G3444),AVERAGE(Raw_Data!G$2:G$5002),Raw_Data!G3444)</f>
        <v>19253.08</v>
      </c>
      <c r="H3444" s="15" t="str">
        <f t="shared" si="1"/>
        <v>146404.00</v>
      </c>
      <c r="I3444" s="14" t="str">
        <f t="shared" si="2"/>
        <v>127151.00</v>
      </c>
      <c r="J3444" s="16" t="str">
        <f>TEXT(Raw_Data!J3444,"MMM-YYY")</f>
        <v>Oct-2025</v>
      </c>
      <c r="K3444" s="13" t="str">
        <f>Raw_Data!K3444</f>
        <v>10</v>
      </c>
      <c r="L3444" s="17" t="str">
        <f>Raw_Data!L3444</f>
        <v>Chennai-South</v>
      </c>
      <c r="M3444" s="13" t="str">
        <f t="shared" si="3"/>
        <v>OK</v>
      </c>
      <c r="N3444" s="18" t="str">
        <f t="shared" si="4"/>
        <v>VALID</v>
      </c>
    </row>
    <row r="3445" ht="15.75" customHeight="1">
      <c r="A3445" s="13" t="str">
        <f>Raw_Data!A3445</f>
        <v>EMP3634</v>
      </c>
      <c r="B3445" s="13" t="str">
        <f>TRIM(CLEAN(Raw_Data!B3445))</f>
        <v>Operations</v>
      </c>
      <c r="C3445" s="18" t="s">
        <v>37</v>
      </c>
      <c r="D3445" s="14" t="str">
        <f>IF(ISBLANK(Raw_Data!D3445),AVERAGE(Raw_Data!D$2:D$5002),Raw_Data!D3445)</f>
        <v>87585.99</v>
      </c>
      <c r="E3445" s="15" t="str">
        <f>IF(ISBLANK(Raw_Data!E3445),AVERAGE(Raw_Data!E$2:E$5002),Raw_Data!E3445)</f>
        <v>30760.51</v>
      </c>
      <c r="F3445" s="15" t="str">
        <f>IF(ISBLANK(Raw_Data!F3445),AVERAGE(Raw_Data!F$2:F$5002),Raw_Data!F3445)</f>
        <v>28080.39</v>
      </c>
      <c r="G3445" s="14" t="str">
        <f>IF(ISBLANK(Raw_Data!G3445),AVERAGE(Raw_Data!G$2:G$5002),Raw_Data!G3445)</f>
        <v>19256.48</v>
      </c>
      <c r="H3445" s="15" t="str">
        <f t="shared" si="1"/>
        <v>146427.00</v>
      </c>
      <c r="I3445" s="14" t="str">
        <f t="shared" si="2"/>
        <v>127171.00</v>
      </c>
      <c r="J3445" s="16" t="str">
        <f>TEXT(Raw_Data!J3445,"MMM-YYY")</f>
        <v>Nov-2025</v>
      </c>
      <c r="K3445" s="13" t="str">
        <f>Raw_Data!K3445</f>
        <v>20</v>
      </c>
      <c r="L3445" s="17" t="str">
        <f>Raw_Data!L3445</f>
        <v>Kolkata-East</v>
      </c>
      <c r="M3445" s="13" t="str">
        <f t="shared" si="3"/>
        <v>OK</v>
      </c>
      <c r="N3445" s="18" t="str">
        <f t="shared" si="4"/>
        <v>VALID</v>
      </c>
    </row>
    <row r="3446" ht="15.75" customHeight="1">
      <c r="A3446" s="13" t="str">
        <f>Raw_Data!A3446</f>
        <v>EMP3635</v>
      </c>
      <c r="B3446" s="13" t="str">
        <f>TRIM(CLEAN(Raw_Data!B3446))</f>
        <v>Operations</v>
      </c>
      <c r="C3446" s="18" t="s">
        <v>26</v>
      </c>
      <c r="D3446" s="14" t="str">
        <f>IF(ISBLANK(Raw_Data!D3446),AVERAGE(Raw_Data!D$2:D$5002),Raw_Data!D3446)</f>
        <v>87596.88</v>
      </c>
      <c r="E3446" s="15" t="str">
        <f>IF(ISBLANK(Raw_Data!E3446),AVERAGE(Raw_Data!E$2:E$5002),Raw_Data!E3446)</f>
        <v>30765.13</v>
      </c>
      <c r="F3446" s="15" t="str">
        <f>IF(ISBLANK(Raw_Data!F3446),AVERAGE(Raw_Data!F$2:F$5002),Raw_Data!F3446)</f>
        <v>28088.07</v>
      </c>
      <c r="G3446" s="14" t="str">
        <f>IF(ISBLANK(Raw_Data!G3446),AVERAGE(Raw_Data!G$2:G$5002),Raw_Data!G3446)</f>
        <v>19259.88</v>
      </c>
      <c r="H3446" s="15" t="str">
        <f t="shared" si="1"/>
        <v>146450.00</v>
      </c>
      <c r="I3446" s="14" t="str">
        <f t="shared" si="2"/>
        <v>127190.00</v>
      </c>
      <c r="J3446" s="16" t="str">
        <f>TEXT(Raw_Data!J3446,"MMM-YYY")</f>
        <v>Nov-2025</v>
      </c>
      <c r="K3446" s="13" t="str">
        <f>Raw_Data!K3446</f>
        <v>14</v>
      </c>
      <c r="L3446" s="17" t="str">
        <f>Raw_Data!L3446</f>
        <v>Pune-West</v>
      </c>
      <c r="M3446" s="13" t="str">
        <f t="shared" si="3"/>
        <v>OK</v>
      </c>
      <c r="N3446" s="18" t="str">
        <f t="shared" si="4"/>
        <v>VALID</v>
      </c>
    </row>
    <row r="3447" ht="15.75" customHeight="1">
      <c r="A3447" s="13" t="str">
        <f>Raw_Data!A3447</f>
        <v>EMP3636</v>
      </c>
      <c r="B3447" s="13" t="str">
        <f>TRIM(CLEAN(Raw_Data!B3447))</f>
        <v>Finance</v>
      </c>
      <c r="C3447" s="18" t="s">
        <v>18</v>
      </c>
      <c r="D3447" s="14" t="str">
        <f>IF(ISBLANK(Raw_Data!D3447),AVERAGE(Raw_Data!D$2:D$5002),Raw_Data!D3447)</f>
        <v>87607.76</v>
      </c>
      <c r="E3447" s="15" t="str">
        <f>IF(ISBLANK(Raw_Data!E3447),AVERAGE(Raw_Data!E$2:E$5002),Raw_Data!E3447)</f>
        <v>30769.74</v>
      </c>
      <c r="F3447" s="15" t="str">
        <f>IF(ISBLANK(Raw_Data!F3447),AVERAGE(Raw_Data!F$2:F$5002),Raw_Data!F3447)</f>
        <v>28095.75</v>
      </c>
      <c r="G3447" s="14" t="str">
        <f>IF(ISBLANK(Raw_Data!G3447),AVERAGE(Raw_Data!G$2:G$5002),Raw_Data!G3447)</f>
        <v>19263.27</v>
      </c>
      <c r="H3447" s="15" t="str">
        <f t="shared" si="1"/>
        <v>146473.00</v>
      </c>
      <c r="I3447" s="14" t="str">
        <f t="shared" si="2"/>
        <v>127210.00</v>
      </c>
      <c r="J3447" s="16" t="str">
        <f>TEXT(Raw_Data!J3447,"MMM-YYY")</f>
        <v>Dec-2025</v>
      </c>
      <c r="K3447" s="13" t="str">
        <f>Raw_Data!K3447</f>
        <v>10</v>
      </c>
      <c r="L3447" s="17" t="str">
        <f>Raw_Data!L3447</f>
        <v>Hyderabad-South</v>
      </c>
      <c r="M3447" s="13" t="str">
        <f t="shared" si="3"/>
        <v>OK</v>
      </c>
      <c r="N3447" s="18" t="str">
        <f t="shared" si="4"/>
        <v>VALID</v>
      </c>
    </row>
    <row r="3448" ht="15.75" customHeight="1">
      <c r="A3448" s="13" t="str">
        <f>Raw_Data!A3448</f>
        <v>EMP3637</v>
      </c>
      <c r="B3448" s="13" t="str">
        <f>TRIM(CLEAN(Raw_Data!B3448))</f>
        <v>Marketing</v>
      </c>
      <c r="C3448" s="18" t="s">
        <v>37</v>
      </c>
      <c r="D3448" s="14" t="str">
        <f>IF(ISBLANK(Raw_Data!D3448),AVERAGE(Raw_Data!D$2:D$5002),Raw_Data!D3448)</f>
        <v>87618.64</v>
      </c>
      <c r="E3448" s="15" t="str">
        <f>IF(ISBLANK(Raw_Data!E3448),AVERAGE(Raw_Data!E$2:E$5002),Raw_Data!E3448)</f>
        <v>30774.35</v>
      </c>
      <c r="F3448" s="15" t="str">
        <f>IF(ISBLANK(Raw_Data!F3448),AVERAGE(Raw_Data!F$2:F$5002),Raw_Data!F3448)</f>
        <v>28103.43</v>
      </c>
      <c r="G3448" s="14" t="str">
        <f>IF(ISBLANK(Raw_Data!G3448),AVERAGE(Raw_Data!G$2:G$5002),Raw_Data!G3448)</f>
        <v>19266.67</v>
      </c>
      <c r="H3448" s="15" t="str">
        <f t="shared" si="1"/>
        <v>146496.00</v>
      </c>
      <c r="I3448" s="14" t="str">
        <f t="shared" si="2"/>
        <v>127229.00</v>
      </c>
      <c r="J3448" s="16" t="str">
        <f>TEXT(Raw_Data!J3448,"MMM-YYY")</f>
        <v>Feb-2025</v>
      </c>
      <c r="K3448" s="13" t="str">
        <f>Raw_Data!K3448</f>
        <v>25</v>
      </c>
      <c r="L3448" s="17" t="str">
        <f>Raw_Data!L3448</f>
        <v>Chandigarh-North</v>
      </c>
      <c r="M3448" s="13" t="str">
        <f t="shared" si="3"/>
        <v>OK</v>
      </c>
      <c r="N3448" s="18" t="str">
        <f t="shared" si="4"/>
        <v>VALID</v>
      </c>
    </row>
    <row r="3449" ht="15.75" customHeight="1">
      <c r="A3449" s="13" t="str">
        <f>Raw_Data!A3449</f>
        <v>EMP3638</v>
      </c>
      <c r="B3449" s="13" t="str">
        <f>TRIM(CLEAN(Raw_Data!B3449))</f>
        <v>Sales</v>
      </c>
      <c r="C3449" s="18" t="s">
        <v>33</v>
      </c>
      <c r="D3449" s="14" t="str">
        <f>IF(ISBLANK(Raw_Data!D3449),AVERAGE(Raw_Data!D$2:D$5002),Raw_Data!D3449)</f>
        <v>87629.52</v>
      </c>
      <c r="E3449" s="15" t="str">
        <f>IF(ISBLANK(Raw_Data!E3449),AVERAGE(Raw_Data!E$2:E$5002),Raw_Data!E3449)</f>
        <v>30778.97</v>
      </c>
      <c r="F3449" s="15" t="str">
        <f>IF(ISBLANK(Raw_Data!F3449),AVERAGE(Raw_Data!F$2:F$5002),Raw_Data!F3449)</f>
        <v>28111.11</v>
      </c>
      <c r="G3449" s="14" t="str">
        <f>IF(ISBLANK(Raw_Data!G3449),AVERAGE(Raw_Data!G$2:G$5002),Raw_Data!G3449)</f>
        <v>19270.07</v>
      </c>
      <c r="H3449" s="15" t="str">
        <f t="shared" si="1"/>
        <v>146520.00</v>
      </c>
      <c r="I3449" s="14" t="str">
        <f t="shared" si="2"/>
        <v>127250.00</v>
      </c>
      <c r="J3449" s="16" t="str">
        <f>TEXT(Raw_Data!J3449,"MMM-YYY")</f>
        <v>Mar-2025</v>
      </c>
      <c r="K3449" s="13" t="str">
        <f>Raw_Data!K3449</f>
        <v>24</v>
      </c>
      <c r="L3449" s="17" t="str">
        <f>Raw_Data!L3449</f>
        <v>Ahmedabad-West</v>
      </c>
      <c r="M3449" s="13" t="str">
        <f t="shared" si="3"/>
        <v>OK</v>
      </c>
      <c r="N3449" s="18" t="str">
        <f t="shared" si="4"/>
        <v>VALID</v>
      </c>
    </row>
    <row r="3450" ht="15.75" customHeight="1">
      <c r="A3450" s="13" t="str">
        <f>Raw_Data!A3450</f>
        <v>EMP3639</v>
      </c>
      <c r="B3450" s="13" t="str">
        <f>TRIM(CLEAN(Raw_Data!B3450))</f>
        <v>IT</v>
      </c>
      <c r="C3450" s="18" t="s">
        <v>14</v>
      </c>
      <c r="D3450" s="14" t="str">
        <f>IF(ISBLANK(Raw_Data!D3450),AVERAGE(Raw_Data!D$2:D$5002),Raw_Data!D3450)</f>
        <v>87640.41</v>
      </c>
      <c r="E3450" s="15" t="str">
        <f>IF(ISBLANK(Raw_Data!E3450),AVERAGE(Raw_Data!E$2:E$5002),Raw_Data!E3450)</f>
        <v>30783.58</v>
      </c>
      <c r="F3450" s="15" t="str">
        <f>IF(ISBLANK(Raw_Data!F3450),AVERAGE(Raw_Data!F$2:F$5002),Raw_Data!F3450)</f>
        <v>28118.79</v>
      </c>
      <c r="G3450" s="14" t="str">
        <f>IF(ISBLANK(Raw_Data!G3450),AVERAGE(Raw_Data!G$2:G$5002),Raw_Data!G3450)</f>
        <v>19273.47</v>
      </c>
      <c r="H3450" s="15" t="str">
        <f t="shared" si="1"/>
        <v>146543.00</v>
      </c>
      <c r="I3450" s="14" t="str">
        <f t="shared" si="2"/>
        <v>127270.00</v>
      </c>
      <c r="J3450" s="16" t="str">
        <f>TEXT(Raw_Data!J3450,"MMM-YYY")</f>
        <v>Jan-2025</v>
      </c>
      <c r="K3450" s="13" t="str">
        <f>Raw_Data!K3450</f>
        <v>2</v>
      </c>
      <c r="L3450" s="17" t="str">
        <f>Raw_Data!L3450</f>
        <v>Jaipur-North</v>
      </c>
      <c r="M3450" s="13" t="str">
        <f t="shared" si="3"/>
        <v>OK</v>
      </c>
      <c r="N3450" s="18" t="str">
        <f t="shared" si="4"/>
        <v>VALID</v>
      </c>
    </row>
    <row r="3451" ht="15.75" customHeight="1">
      <c r="A3451" s="13" t="str">
        <f>Raw_Data!A3451</f>
        <v>EMP3640</v>
      </c>
      <c r="B3451" s="13" t="str">
        <f>TRIM(CLEAN(Raw_Data!B3451))</f>
        <v>Sales</v>
      </c>
      <c r="C3451" s="18" t="s">
        <v>33</v>
      </c>
      <c r="D3451" s="14" t="str">
        <f>IF(ISBLANK(Raw_Data!D3451),AVERAGE(Raw_Data!D$2:D$5002),Raw_Data!D3451)</f>
        <v>87651.29</v>
      </c>
      <c r="E3451" s="15" t="str">
        <f>IF(ISBLANK(Raw_Data!E3451),AVERAGE(Raw_Data!E$2:E$5002),Raw_Data!E3451)</f>
        <v>30788.20</v>
      </c>
      <c r="F3451" s="15" t="str">
        <f>IF(ISBLANK(Raw_Data!F3451),AVERAGE(Raw_Data!F$2:F$5002),Raw_Data!F3451)</f>
        <v>28126.47</v>
      </c>
      <c r="G3451" s="14" t="str">
        <f>IF(ISBLANK(Raw_Data!G3451),AVERAGE(Raw_Data!G$2:G$5002),Raw_Data!G3451)</f>
        <v>19276.86</v>
      </c>
      <c r="H3451" s="15" t="str">
        <f t="shared" si="1"/>
        <v>146566.00</v>
      </c>
      <c r="I3451" s="14" t="str">
        <f t="shared" si="2"/>
        <v>127289.00</v>
      </c>
      <c r="J3451" s="16" t="str">
        <f>TEXT(Raw_Data!J3451,"MMM-YYY")</f>
        <v>May-2025</v>
      </c>
      <c r="K3451" s="13" t="str">
        <f>Raw_Data!K3451</f>
        <v>20</v>
      </c>
      <c r="L3451" s="17" t="str">
        <f>Raw_Data!L3451</f>
        <v>Mumbai-HO</v>
      </c>
      <c r="M3451" s="13" t="str">
        <f t="shared" si="3"/>
        <v>OK</v>
      </c>
      <c r="N3451" s="18" t="str">
        <f t="shared" si="4"/>
        <v>VALID</v>
      </c>
    </row>
    <row r="3452" ht="15.75" customHeight="1">
      <c r="A3452" s="13" t="str">
        <f>Raw_Data!A3452</f>
        <v>EMP3641</v>
      </c>
      <c r="B3452" s="13" t="str">
        <f>TRIM(CLEAN(Raw_Data!B3452))</f>
        <v>Customer Support</v>
      </c>
      <c r="C3452" s="18" t="s">
        <v>33</v>
      </c>
      <c r="D3452" s="14" t="str">
        <f>IF(ISBLANK(Raw_Data!D3452),AVERAGE(Raw_Data!D$2:D$5002),Raw_Data!D3452)</f>
        <v>87662.17</v>
      </c>
      <c r="E3452" s="15" t="str">
        <f>IF(ISBLANK(Raw_Data!E3452),AVERAGE(Raw_Data!E$2:E$5002),Raw_Data!E3452)</f>
        <v>30792.81</v>
      </c>
      <c r="F3452" s="15" t="str">
        <f>IF(ISBLANK(Raw_Data!F3452),AVERAGE(Raw_Data!F$2:F$5002),Raw_Data!F3452)</f>
        <v>28134.15</v>
      </c>
      <c r="G3452" s="14" t="str">
        <f>IF(ISBLANK(Raw_Data!G3452),AVERAGE(Raw_Data!G$2:G$5002),Raw_Data!G3452)</f>
        <v>19280.26</v>
      </c>
      <c r="H3452" s="15" t="str">
        <f t="shared" si="1"/>
        <v>146589.00</v>
      </c>
      <c r="I3452" s="14" t="str">
        <f t="shared" si="2"/>
        <v>127309.00</v>
      </c>
      <c r="J3452" s="16" t="str">
        <f>TEXT(Raw_Data!J3452,"MMM-YYY")</f>
        <v>Dec-2025</v>
      </c>
      <c r="K3452" s="13" t="str">
        <f>Raw_Data!K3452</f>
        <v>20</v>
      </c>
      <c r="L3452" s="17" t="str">
        <f>Raw_Data!L3452</f>
        <v>Delhi-North</v>
      </c>
      <c r="M3452" s="13" t="str">
        <f t="shared" si="3"/>
        <v>OK</v>
      </c>
      <c r="N3452" s="18" t="str">
        <f t="shared" si="4"/>
        <v>VALID</v>
      </c>
    </row>
    <row r="3453" ht="15.75" customHeight="1">
      <c r="A3453" s="13" t="str">
        <f>Raw_Data!A3453</f>
        <v>EMP3642</v>
      </c>
      <c r="B3453" s="13" t="str">
        <f>TRIM(CLEAN(Raw_Data!B3453))</f>
        <v>IT</v>
      </c>
      <c r="C3453" s="18" t="s">
        <v>33</v>
      </c>
      <c r="D3453" s="14" t="str">
        <f>IF(ISBLANK(Raw_Data!D3453),AVERAGE(Raw_Data!D$2:D$5002),Raw_Data!D3453)</f>
        <v>87673.06</v>
      </c>
      <c r="E3453" s="15" t="str">
        <f>IF(ISBLANK(Raw_Data!E3453),AVERAGE(Raw_Data!E$2:E$5002),Raw_Data!E3453)</f>
        <v>30797.43</v>
      </c>
      <c r="F3453" s="15" t="str">
        <f>IF(ISBLANK(Raw_Data!F3453),AVERAGE(Raw_Data!F$2:F$5002),Raw_Data!F3453)</f>
        <v>28141.83</v>
      </c>
      <c r="G3453" s="14" t="str">
        <f>IF(ISBLANK(Raw_Data!G3453),AVERAGE(Raw_Data!G$2:G$5002),Raw_Data!G3453)</f>
        <v>19283.66</v>
      </c>
      <c r="H3453" s="15" t="str">
        <f t="shared" si="1"/>
        <v>146612.00</v>
      </c>
      <c r="I3453" s="14" t="str">
        <f t="shared" si="2"/>
        <v>127328.00</v>
      </c>
      <c r="J3453" s="16" t="str">
        <f>TEXT(Raw_Data!J3453,"MMM-YYY")</f>
        <v>Mar-2025</v>
      </c>
      <c r="K3453" s="13" t="str">
        <f>Raw_Data!K3453</f>
        <v>6</v>
      </c>
      <c r="L3453" s="17" t="str">
        <f>Raw_Data!L3453</f>
        <v>Bangalore-South</v>
      </c>
      <c r="M3453" s="13" t="str">
        <f t="shared" si="3"/>
        <v>OK</v>
      </c>
      <c r="N3453" s="18" t="str">
        <f t="shared" si="4"/>
        <v>VALID</v>
      </c>
    </row>
    <row r="3454" ht="15.75" customHeight="1">
      <c r="A3454" s="13" t="str">
        <f>Raw_Data!A3454</f>
        <v>EMP3643</v>
      </c>
      <c r="B3454" s="13" t="str">
        <f>TRIM(CLEAN(Raw_Data!B3454))</f>
        <v>Operations</v>
      </c>
      <c r="C3454" s="18" t="s">
        <v>14</v>
      </c>
      <c r="D3454" s="14" t="str">
        <f>IF(ISBLANK(Raw_Data!D3454),AVERAGE(Raw_Data!D$2:D$5002),Raw_Data!D3454)</f>
        <v>87683.94</v>
      </c>
      <c r="E3454" s="15" t="str">
        <f>IF(ISBLANK(Raw_Data!E3454),AVERAGE(Raw_Data!E$2:E$5002),Raw_Data!E3454)</f>
        <v>30802.04</v>
      </c>
      <c r="F3454" s="15" t="str">
        <f>IF(ISBLANK(Raw_Data!F3454),AVERAGE(Raw_Data!F$2:F$5002),Raw_Data!F3454)</f>
        <v>28149.51</v>
      </c>
      <c r="G3454" s="14" t="str">
        <f>IF(ISBLANK(Raw_Data!G3454),AVERAGE(Raw_Data!G$2:G$5002),Raw_Data!G3454)</f>
        <v>19287.06</v>
      </c>
      <c r="H3454" s="15" t="str">
        <f t="shared" si="1"/>
        <v>146635.00</v>
      </c>
      <c r="I3454" s="14" t="str">
        <f t="shared" si="2"/>
        <v>127348.00</v>
      </c>
      <c r="J3454" s="16" t="str">
        <f>TEXT(Raw_Data!J3454,"MMM-YYY")</f>
        <v>Oct-2025</v>
      </c>
      <c r="K3454" s="13" t="str">
        <f>Raw_Data!K3454</f>
        <v>18</v>
      </c>
      <c r="L3454" s="17" t="str">
        <f>Raw_Data!L3454</f>
        <v>Chennai-South</v>
      </c>
      <c r="M3454" s="13" t="str">
        <f t="shared" si="3"/>
        <v>OK</v>
      </c>
      <c r="N3454" s="18" t="str">
        <f t="shared" si="4"/>
        <v>VALID</v>
      </c>
    </row>
    <row r="3455" ht="15.75" customHeight="1">
      <c r="A3455" s="13" t="str">
        <f>Raw_Data!A3455</f>
        <v>EMP3645</v>
      </c>
      <c r="B3455" s="13" t="str">
        <f>TRIM(CLEAN(Raw_Data!B3455))</f>
        <v>Marketing</v>
      </c>
      <c r="C3455" s="18" t="s">
        <v>30</v>
      </c>
      <c r="D3455" s="14" t="str">
        <f>IF(ISBLANK(Raw_Data!D3455),AVERAGE(Raw_Data!D$2:D$5002),Raw_Data!D3455)</f>
        <v>87705.70</v>
      </c>
      <c r="E3455" s="15" t="str">
        <f>IF(ISBLANK(Raw_Data!E3455),AVERAGE(Raw_Data!E$2:E$5002),Raw_Data!E3455)</f>
        <v>30811.27</v>
      </c>
      <c r="F3455" s="15" t="str">
        <f>IF(ISBLANK(Raw_Data!F3455),AVERAGE(Raw_Data!F$2:F$5002),Raw_Data!F3455)</f>
        <v>28164.87</v>
      </c>
      <c r="G3455" s="14" t="str">
        <f>IF(ISBLANK(Raw_Data!G3455),AVERAGE(Raw_Data!G$2:G$5002),Raw_Data!G3455)</f>
        <v>19293.85</v>
      </c>
      <c r="H3455" s="15" t="str">
        <f t="shared" si="1"/>
        <v>146682.00</v>
      </c>
      <c r="I3455" s="14" t="str">
        <f t="shared" si="2"/>
        <v>127388.00</v>
      </c>
      <c r="J3455" s="16" t="str">
        <f>TEXT(Raw_Data!J3455,"MMM-YYY")</f>
        <v>Sep-2025</v>
      </c>
      <c r="K3455" s="13" t="str">
        <f>Raw_Data!K3455</f>
        <v>2</v>
      </c>
      <c r="L3455" s="17" t="str">
        <f>Raw_Data!L3455</f>
        <v>Pune-West</v>
      </c>
      <c r="M3455" s="13" t="str">
        <f t="shared" si="3"/>
        <v>OK</v>
      </c>
      <c r="N3455" s="18" t="str">
        <f t="shared" si="4"/>
        <v>VALID</v>
      </c>
    </row>
    <row r="3456" ht="15.75" customHeight="1">
      <c r="A3456" s="13" t="str">
        <f>Raw_Data!A3456</f>
        <v>EMP3646</v>
      </c>
      <c r="B3456" s="13" t="str">
        <f>TRIM(CLEAN(Raw_Data!B3456))</f>
        <v>Sales</v>
      </c>
      <c r="C3456" s="18" t="s">
        <v>14</v>
      </c>
      <c r="D3456" s="14" t="str">
        <f>IF(ISBLANK(Raw_Data!D3456),AVERAGE(Raw_Data!D$2:D$5002),Raw_Data!D3456)</f>
        <v>87716.59</v>
      </c>
      <c r="E3456" s="15" t="str">
        <f>IF(ISBLANK(Raw_Data!E3456),AVERAGE(Raw_Data!E$2:E$5002),Raw_Data!E3456)</f>
        <v>30815.89</v>
      </c>
      <c r="F3456" s="15" t="str">
        <f>IF(ISBLANK(Raw_Data!F3456),AVERAGE(Raw_Data!F$2:F$5002),Raw_Data!F3456)</f>
        <v>28172.55</v>
      </c>
      <c r="G3456" s="14" t="str">
        <f>IF(ISBLANK(Raw_Data!G3456),AVERAGE(Raw_Data!G$2:G$5002),Raw_Data!G3456)</f>
        <v>19297.25</v>
      </c>
      <c r="H3456" s="15" t="str">
        <f t="shared" si="1"/>
        <v>146705.00</v>
      </c>
      <c r="I3456" s="14" t="str">
        <f t="shared" si="2"/>
        <v>127408.00</v>
      </c>
      <c r="J3456" s="16" t="str">
        <f>TEXT(Raw_Data!J3456,"MMM-YYY")</f>
        <v>Sep-2025</v>
      </c>
      <c r="K3456" s="13" t="str">
        <f>Raw_Data!K3456</f>
        <v>11</v>
      </c>
      <c r="L3456" s="17" t="str">
        <f>Raw_Data!L3456</f>
        <v>Hyderabad-South</v>
      </c>
      <c r="M3456" s="13" t="str">
        <f t="shared" si="3"/>
        <v>OK</v>
      </c>
      <c r="N3456" s="18" t="str">
        <f t="shared" si="4"/>
        <v>VALID</v>
      </c>
    </row>
    <row r="3457" ht="15.75" customHeight="1">
      <c r="A3457" s="13" t="str">
        <f>Raw_Data!A3457</f>
        <v>EMP3647</v>
      </c>
      <c r="B3457" s="13" t="str">
        <f>TRIM(CLEAN(Raw_Data!B3457))</f>
        <v>Marketing</v>
      </c>
      <c r="C3457" s="18" t="s">
        <v>37</v>
      </c>
      <c r="D3457" s="14" t="str">
        <f>IF(ISBLANK(Raw_Data!D3457),AVERAGE(Raw_Data!D$2:D$5002),Raw_Data!D3457)</f>
        <v>87727.47</v>
      </c>
      <c r="E3457" s="15" t="str">
        <f>IF(ISBLANK(Raw_Data!E3457),AVERAGE(Raw_Data!E$2:E$5002),Raw_Data!E3457)</f>
        <v>30820.50</v>
      </c>
      <c r="F3457" s="15" t="str">
        <f>IF(ISBLANK(Raw_Data!F3457),AVERAGE(Raw_Data!F$2:F$5002),Raw_Data!F3457)</f>
        <v>28180.23</v>
      </c>
      <c r="G3457" s="14" t="str">
        <f>IF(ISBLANK(Raw_Data!G3457),AVERAGE(Raw_Data!G$2:G$5002),Raw_Data!G3457)</f>
        <v>19300.65</v>
      </c>
      <c r="H3457" s="15" t="str">
        <f t="shared" si="1"/>
        <v>146728.00</v>
      </c>
      <c r="I3457" s="14" t="str">
        <f t="shared" si="2"/>
        <v>127427.00</v>
      </c>
      <c r="J3457" s="16" t="str">
        <f>TEXT(Raw_Data!J3457,"MMM-YYY")</f>
        <v>Apr-2025</v>
      </c>
      <c r="K3457" s="13" t="str">
        <f>Raw_Data!K3457</f>
        <v>16</v>
      </c>
      <c r="L3457" s="17" t="str">
        <f>Raw_Data!L3457</f>
        <v>Chandigarh-North</v>
      </c>
      <c r="M3457" s="13" t="str">
        <f t="shared" si="3"/>
        <v>OK</v>
      </c>
      <c r="N3457" s="18" t="str">
        <f t="shared" si="4"/>
        <v>VALID</v>
      </c>
    </row>
    <row r="3458" ht="15.75" customHeight="1">
      <c r="A3458" s="13" t="str">
        <f>Raw_Data!A3458</f>
        <v>EMP3648</v>
      </c>
      <c r="B3458" s="13" t="str">
        <f>TRIM(CLEAN(Raw_Data!B3458))</f>
        <v>IT</v>
      </c>
      <c r="C3458" s="18" t="s">
        <v>54</v>
      </c>
      <c r="D3458" s="14" t="str">
        <f>IF(ISBLANK(Raw_Data!D3458),AVERAGE(Raw_Data!D$2:D$5002),Raw_Data!D3458)</f>
        <v>87738.35</v>
      </c>
      <c r="E3458" s="15" t="str">
        <f>IF(ISBLANK(Raw_Data!E3458),AVERAGE(Raw_Data!E$2:E$5002),Raw_Data!E3458)</f>
        <v>30825.12</v>
      </c>
      <c r="F3458" s="15" t="str">
        <f>IF(ISBLANK(Raw_Data!F3458),AVERAGE(Raw_Data!F$2:F$5002),Raw_Data!F3458)</f>
        <v>28187.91</v>
      </c>
      <c r="G3458" s="14" t="str">
        <f>IF(ISBLANK(Raw_Data!G3458),AVERAGE(Raw_Data!G$2:G$5002),Raw_Data!G3458)</f>
        <v>19304.04</v>
      </c>
      <c r="H3458" s="15" t="str">
        <f t="shared" si="1"/>
        <v>146751.00</v>
      </c>
      <c r="I3458" s="14" t="str">
        <f t="shared" si="2"/>
        <v>127447.00</v>
      </c>
      <c r="J3458" s="16" t="str">
        <f>TEXT(Raw_Data!J3458,"MMM-YYY")</f>
        <v>Nov-2025</v>
      </c>
      <c r="K3458" s="13" t="str">
        <f>Raw_Data!K3458</f>
        <v>23</v>
      </c>
      <c r="L3458" s="17" t="str">
        <f>Raw_Data!L3458</f>
        <v>Ahmedabad-West</v>
      </c>
      <c r="M3458" s="13" t="str">
        <f t="shared" si="3"/>
        <v>OK</v>
      </c>
      <c r="N3458" s="18" t="str">
        <f t="shared" si="4"/>
        <v>VALID</v>
      </c>
    </row>
    <row r="3459" ht="15.75" customHeight="1">
      <c r="A3459" s="13" t="str">
        <f>Raw_Data!A3459</f>
        <v>EMP3649</v>
      </c>
      <c r="B3459" s="13" t="str">
        <f>TRIM(CLEAN(Raw_Data!B3459))</f>
        <v>Marketing</v>
      </c>
      <c r="C3459" s="18" t="s">
        <v>18</v>
      </c>
      <c r="D3459" s="14" t="str">
        <f>IF(ISBLANK(Raw_Data!D3459),AVERAGE(Raw_Data!D$2:D$5002),Raw_Data!D3459)</f>
        <v>87749.24</v>
      </c>
      <c r="E3459" s="15" t="str">
        <f>IF(ISBLANK(Raw_Data!E3459),AVERAGE(Raw_Data!E$2:E$5002),Raw_Data!E3459)</f>
        <v>30829.73</v>
      </c>
      <c r="F3459" s="15" t="str">
        <f>IF(ISBLANK(Raw_Data!F3459),AVERAGE(Raw_Data!F$2:F$5002),Raw_Data!F3459)</f>
        <v>28195.59</v>
      </c>
      <c r="G3459" s="14" t="str">
        <f>IF(ISBLANK(Raw_Data!G3459),AVERAGE(Raw_Data!G$2:G$5002),Raw_Data!G3459)</f>
        <v>19307.44</v>
      </c>
      <c r="H3459" s="15" t="str">
        <f t="shared" si="1"/>
        <v>146775.00</v>
      </c>
      <c r="I3459" s="14" t="str">
        <f t="shared" si="2"/>
        <v>127468.00</v>
      </c>
      <c r="J3459" s="16" t="str">
        <f>TEXT(Raw_Data!J3459,"MMM-YYY")</f>
        <v>Oct-2025</v>
      </c>
      <c r="K3459" s="13" t="str">
        <f>Raw_Data!K3459</f>
        <v>5</v>
      </c>
      <c r="L3459" s="17" t="str">
        <f>Raw_Data!L3459</f>
        <v>Jaipur-North</v>
      </c>
      <c r="M3459" s="13" t="str">
        <f t="shared" si="3"/>
        <v>OK</v>
      </c>
      <c r="N3459" s="18" t="str">
        <f t="shared" si="4"/>
        <v>VALID</v>
      </c>
    </row>
    <row r="3460" ht="15.75" customHeight="1">
      <c r="A3460" s="13" t="str">
        <f>Raw_Data!A3460</f>
        <v>EMP3650</v>
      </c>
      <c r="B3460" s="13" t="str">
        <f>TRIM(CLEAN(Raw_Data!B3460))</f>
        <v>Finance</v>
      </c>
      <c r="C3460" s="18" t="s">
        <v>37</v>
      </c>
      <c r="D3460" s="14" t="str">
        <f>IF(ISBLANK(Raw_Data!D3460),AVERAGE(Raw_Data!D$2:D$5002),Raw_Data!D3460)</f>
        <v>87760.12</v>
      </c>
      <c r="E3460" s="15" t="str">
        <f>IF(ISBLANK(Raw_Data!E3460),AVERAGE(Raw_Data!E$2:E$5002),Raw_Data!E3460)</f>
        <v>30834.35</v>
      </c>
      <c r="F3460" s="15" t="str">
        <f>IF(ISBLANK(Raw_Data!F3460),AVERAGE(Raw_Data!F$2:F$5002),Raw_Data!F3460)</f>
        <v>28203.27</v>
      </c>
      <c r="G3460" s="14" t="str">
        <f>IF(ISBLANK(Raw_Data!G3460),AVERAGE(Raw_Data!G$2:G$5002),Raw_Data!G3460)</f>
        <v>19310.84</v>
      </c>
      <c r="H3460" s="15" t="str">
        <f t="shared" si="1"/>
        <v>146798.00</v>
      </c>
      <c r="I3460" s="14" t="str">
        <f t="shared" si="2"/>
        <v>127487.00</v>
      </c>
      <c r="J3460" s="16" t="str">
        <f>TEXT(Raw_Data!J3460,"MMM-YYY")</f>
        <v>Feb-2025</v>
      </c>
      <c r="K3460" s="13" t="str">
        <f>Raw_Data!K3460</f>
        <v>17</v>
      </c>
      <c r="L3460" s="17" t="str">
        <f>Raw_Data!L3460</f>
        <v>Mumbai-HO</v>
      </c>
      <c r="M3460" s="13" t="str">
        <f t="shared" si="3"/>
        <v>OK</v>
      </c>
      <c r="N3460" s="18" t="str">
        <f t="shared" si="4"/>
        <v>VALID</v>
      </c>
    </row>
    <row r="3461" ht="15.75" customHeight="1">
      <c r="A3461" s="13" t="str">
        <f>Raw_Data!A3461</f>
        <v>EMP3651</v>
      </c>
      <c r="B3461" s="13" t="str">
        <f>TRIM(CLEAN(Raw_Data!B3461))</f>
        <v>HR</v>
      </c>
      <c r="C3461" s="18" t="s">
        <v>26</v>
      </c>
      <c r="D3461" s="14" t="str">
        <f>IF(ISBLANK(Raw_Data!D3461),AVERAGE(Raw_Data!D$2:D$5002),Raw_Data!D3461)</f>
        <v>87771.00</v>
      </c>
      <c r="E3461" s="15" t="str">
        <f>IF(ISBLANK(Raw_Data!E3461),AVERAGE(Raw_Data!E$2:E$5002),Raw_Data!E3461)</f>
        <v>30838.96</v>
      </c>
      <c r="F3461" s="15" t="str">
        <f>IF(ISBLANK(Raw_Data!F3461),AVERAGE(Raw_Data!F$2:F$5002),Raw_Data!F3461)</f>
        <v>28210.95</v>
      </c>
      <c r="G3461" s="14" t="str">
        <f>IF(ISBLANK(Raw_Data!G3461),AVERAGE(Raw_Data!G$2:G$5002),Raw_Data!G3461)</f>
        <v>19314.24</v>
      </c>
      <c r="H3461" s="15" t="str">
        <f t="shared" si="1"/>
        <v>146821.00</v>
      </c>
      <c r="I3461" s="14" t="str">
        <f t="shared" si="2"/>
        <v>127507.00</v>
      </c>
      <c r="J3461" s="16" t="str">
        <f>TEXT(Raw_Data!J3461,"MMM-YYY")</f>
        <v>Jan-2025</v>
      </c>
      <c r="K3461" s="13" t="str">
        <f>Raw_Data!K3461</f>
        <v>19</v>
      </c>
      <c r="L3461" s="17" t="str">
        <f>Raw_Data!L3461</f>
        <v>Delhi-North</v>
      </c>
      <c r="M3461" s="13" t="str">
        <f t="shared" si="3"/>
        <v>OK</v>
      </c>
      <c r="N3461" s="18" t="str">
        <f t="shared" si="4"/>
        <v>VALID</v>
      </c>
    </row>
    <row r="3462" ht="15.75" customHeight="1">
      <c r="A3462" s="13" t="str">
        <f>Raw_Data!A3462</f>
        <v>EMP3652</v>
      </c>
      <c r="B3462" s="13" t="str">
        <f>TRIM(CLEAN(Raw_Data!B3462))</f>
        <v>Marketing</v>
      </c>
      <c r="C3462" s="18" t="s">
        <v>30</v>
      </c>
      <c r="D3462" s="14" t="str">
        <f>IF(ISBLANK(Raw_Data!D3462),AVERAGE(Raw_Data!D$2:D$5002),Raw_Data!D3462)</f>
        <v>87781.89</v>
      </c>
      <c r="E3462" s="15" t="str">
        <f>IF(ISBLANK(Raw_Data!E3462),AVERAGE(Raw_Data!E$2:E$5002),Raw_Data!E3462)</f>
        <v>30843.58</v>
      </c>
      <c r="F3462" s="15" t="str">
        <f>IF(ISBLANK(Raw_Data!F3462),AVERAGE(Raw_Data!F$2:F$5002),Raw_Data!F3462)</f>
        <v>28218.63</v>
      </c>
      <c r="G3462" s="14" t="str">
        <f>IF(ISBLANK(Raw_Data!G3462),AVERAGE(Raw_Data!G$2:G$5002),Raw_Data!G3462)</f>
        <v>19317.63</v>
      </c>
      <c r="H3462" s="15" t="str">
        <f t="shared" si="1"/>
        <v>146844.00</v>
      </c>
      <c r="I3462" s="14" t="str">
        <f t="shared" si="2"/>
        <v>127526.00</v>
      </c>
      <c r="J3462" s="16" t="str">
        <f>TEXT(Raw_Data!J3462,"MMM-YYY")</f>
        <v>Jun-2025</v>
      </c>
      <c r="K3462" s="13" t="str">
        <f>Raw_Data!K3462</f>
        <v>4</v>
      </c>
      <c r="L3462" s="17" t="str">
        <f>Raw_Data!L3462</f>
        <v>Bangalore-South</v>
      </c>
      <c r="M3462" s="13" t="str">
        <f t="shared" si="3"/>
        <v>OK</v>
      </c>
      <c r="N3462" s="18" t="str">
        <f t="shared" si="4"/>
        <v>VALID</v>
      </c>
    </row>
    <row r="3463" ht="15.75" customHeight="1">
      <c r="A3463" s="13" t="str">
        <f>Raw_Data!A3463</f>
        <v>EMP3653</v>
      </c>
      <c r="B3463" s="13" t="str">
        <f>TRIM(CLEAN(Raw_Data!B3463))</f>
        <v>Marketing</v>
      </c>
      <c r="C3463" s="18" t="s">
        <v>33</v>
      </c>
      <c r="D3463" s="14" t="str">
        <f>IF(ISBLANK(Raw_Data!D3463),AVERAGE(Raw_Data!D$2:D$5002),Raw_Data!D3463)</f>
        <v>87792.77</v>
      </c>
      <c r="E3463" s="15" t="str">
        <f>IF(ISBLANK(Raw_Data!E3463),AVERAGE(Raw_Data!E$2:E$5002),Raw_Data!E3463)</f>
        <v>30848.19</v>
      </c>
      <c r="F3463" s="15" t="str">
        <f>IF(ISBLANK(Raw_Data!F3463),AVERAGE(Raw_Data!F$2:F$5002),Raw_Data!F3463)</f>
        <v>28226.31</v>
      </c>
      <c r="G3463" s="14" t="str">
        <f>IF(ISBLANK(Raw_Data!G3463),AVERAGE(Raw_Data!G$2:G$5002),Raw_Data!G3463)</f>
        <v>19321.03</v>
      </c>
      <c r="H3463" s="15" t="str">
        <f t="shared" si="1"/>
        <v>146867.00</v>
      </c>
      <c r="I3463" s="14" t="str">
        <f t="shared" si="2"/>
        <v>127546.00</v>
      </c>
      <c r="J3463" s="16" t="str">
        <f>TEXT(Raw_Data!J3463,"MMM-YYY")</f>
        <v>Mar-2025</v>
      </c>
      <c r="K3463" s="13" t="str">
        <f>Raw_Data!K3463</f>
        <v>17</v>
      </c>
      <c r="L3463" s="17" t="str">
        <f>Raw_Data!L3463</f>
        <v>Chennai-South</v>
      </c>
      <c r="M3463" s="13" t="str">
        <f t="shared" si="3"/>
        <v>OK</v>
      </c>
      <c r="N3463" s="18" t="str">
        <f t="shared" si="4"/>
        <v>VALID</v>
      </c>
    </row>
    <row r="3464" ht="15.75" customHeight="1">
      <c r="A3464" s="13" t="str">
        <f>Raw_Data!A3464</f>
        <v>EMP3654</v>
      </c>
      <c r="B3464" s="13" t="str">
        <f>TRIM(CLEAN(Raw_Data!B3464))</f>
        <v>Sales</v>
      </c>
      <c r="C3464" s="18" t="s">
        <v>14</v>
      </c>
      <c r="D3464" s="14" t="str">
        <f>IF(ISBLANK(Raw_Data!D3464),AVERAGE(Raw_Data!D$2:D$5002),Raw_Data!D3464)</f>
        <v>87803.65</v>
      </c>
      <c r="E3464" s="15" t="str">
        <f>IF(ISBLANK(Raw_Data!E3464),AVERAGE(Raw_Data!E$2:E$5002),Raw_Data!E3464)</f>
        <v>30852.80</v>
      </c>
      <c r="F3464" s="15" t="str">
        <f>IF(ISBLANK(Raw_Data!F3464),AVERAGE(Raw_Data!F$2:F$5002),Raw_Data!F3464)</f>
        <v>28233.99</v>
      </c>
      <c r="G3464" s="14" t="str">
        <f>IF(ISBLANK(Raw_Data!G3464),AVERAGE(Raw_Data!G$2:G$5002),Raw_Data!G3464)</f>
        <v>19324.43</v>
      </c>
      <c r="H3464" s="15" t="str">
        <f t="shared" si="1"/>
        <v>146890.00</v>
      </c>
      <c r="I3464" s="14" t="str">
        <f t="shared" si="2"/>
        <v>127566.00</v>
      </c>
      <c r="J3464" s="16" t="str">
        <f>TEXT(Raw_Data!J3464,"MMM-YYY")</f>
        <v>Aug-2025</v>
      </c>
      <c r="K3464" s="13" t="str">
        <f>Raw_Data!K3464</f>
        <v>11</v>
      </c>
      <c r="L3464" s="17" t="str">
        <f>Raw_Data!L3464</f>
        <v>Kolkata-East</v>
      </c>
      <c r="M3464" s="13" t="str">
        <f t="shared" si="3"/>
        <v>OK</v>
      </c>
      <c r="N3464" s="18" t="str">
        <f t="shared" si="4"/>
        <v>VALID</v>
      </c>
    </row>
    <row r="3465" ht="15.75" customHeight="1">
      <c r="A3465" s="13" t="str">
        <f>Raw_Data!A3465</f>
        <v>EMP3656</v>
      </c>
      <c r="B3465" s="13" t="str">
        <f>TRIM(CLEAN(Raw_Data!B3465))</f>
        <v>Customer Support</v>
      </c>
      <c r="C3465" s="18" t="s">
        <v>30</v>
      </c>
      <c r="D3465" s="14" t="str">
        <f>IF(ISBLANK(Raw_Data!D3465),AVERAGE(Raw_Data!D$2:D$5002),Raw_Data!D3465)</f>
        <v>87825.42</v>
      </c>
      <c r="E3465" s="15" t="str">
        <f>IF(ISBLANK(Raw_Data!E3465),AVERAGE(Raw_Data!E$2:E$5002),Raw_Data!E3465)</f>
        <v>30862.03</v>
      </c>
      <c r="F3465" s="15" t="str">
        <f>IF(ISBLANK(Raw_Data!F3465),AVERAGE(Raw_Data!F$2:F$5002),Raw_Data!F3465)</f>
        <v>28249.35</v>
      </c>
      <c r="G3465" s="14" t="str">
        <f>IF(ISBLANK(Raw_Data!G3465),AVERAGE(Raw_Data!G$2:G$5002),Raw_Data!G3465)</f>
        <v>19331.22</v>
      </c>
      <c r="H3465" s="15" t="str">
        <f t="shared" si="1"/>
        <v>146937.00</v>
      </c>
      <c r="I3465" s="14" t="str">
        <f t="shared" si="2"/>
        <v>127606.00</v>
      </c>
      <c r="J3465" s="16" t="str">
        <f>TEXT(Raw_Data!J3465,"MMM-YYY")</f>
        <v>Mar-2025</v>
      </c>
      <c r="K3465" s="13" t="str">
        <f>Raw_Data!K3465</f>
        <v>1</v>
      </c>
      <c r="L3465" s="17" t="str">
        <f>Raw_Data!L3465</f>
        <v>Hyderabad-South</v>
      </c>
      <c r="M3465" s="13" t="str">
        <f t="shared" si="3"/>
        <v>OK</v>
      </c>
      <c r="N3465" s="18" t="str">
        <f t="shared" si="4"/>
        <v>VALID</v>
      </c>
    </row>
    <row r="3466" ht="15.75" customHeight="1">
      <c r="A3466" s="13" t="str">
        <f>Raw_Data!A3466</f>
        <v>EMP3657</v>
      </c>
      <c r="B3466" s="13" t="str">
        <f>TRIM(CLEAN(Raw_Data!B3466))</f>
        <v>Marketing</v>
      </c>
      <c r="C3466" s="18" t="s">
        <v>37</v>
      </c>
      <c r="D3466" s="14" t="str">
        <f>IF(ISBLANK(Raw_Data!D3466),AVERAGE(Raw_Data!D$2:D$5002),Raw_Data!D3466)</f>
        <v>87836.30</v>
      </c>
      <c r="E3466" s="15" t="str">
        <f>IF(ISBLANK(Raw_Data!E3466),AVERAGE(Raw_Data!E$2:E$5002),Raw_Data!E3466)</f>
        <v>30866.65</v>
      </c>
      <c r="F3466" s="15" t="str">
        <f>IF(ISBLANK(Raw_Data!F3466),AVERAGE(Raw_Data!F$2:F$5002),Raw_Data!F3466)</f>
        <v>28257.03</v>
      </c>
      <c r="G3466" s="14" t="str">
        <f>IF(ISBLANK(Raw_Data!G3466),AVERAGE(Raw_Data!G$2:G$5002),Raw_Data!G3466)</f>
        <v>19334.62</v>
      </c>
      <c r="H3466" s="15" t="str">
        <f t="shared" si="1"/>
        <v>146960.00</v>
      </c>
      <c r="I3466" s="14" t="str">
        <f t="shared" si="2"/>
        <v>127625.00</v>
      </c>
      <c r="J3466" s="16" t="str">
        <f>TEXT(Raw_Data!J3466,"MMM-YYY")</f>
        <v>Mar-2025</v>
      </c>
      <c r="K3466" s="13" t="str">
        <f>Raw_Data!K3466</f>
        <v>3</v>
      </c>
      <c r="L3466" s="17" t="str">
        <f>Raw_Data!L3466</f>
        <v>Chandigarh-North</v>
      </c>
      <c r="M3466" s="13" t="str">
        <f t="shared" si="3"/>
        <v>OK</v>
      </c>
      <c r="N3466" s="18" t="str">
        <f t="shared" si="4"/>
        <v>VALID</v>
      </c>
    </row>
    <row r="3467" ht="15.75" customHeight="1">
      <c r="A3467" s="13" t="str">
        <f>Raw_Data!A3467</f>
        <v>EMP3658</v>
      </c>
      <c r="B3467" s="13" t="str">
        <f>TRIM(CLEAN(Raw_Data!B3467))</f>
        <v>Customer Support</v>
      </c>
      <c r="C3467" s="18" t="s">
        <v>26</v>
      </c>
      <c r="D3467" s="14" t="str">
        <f>IF(ISBLANK(Raw_Data!D3467),AVERAGE(Raw_Data!D$2:D$5002),Raw_Data!D3467)</f>
        <v>87847.18</v>
      </c>
      <c r="E3467" s="15" t="str">
        <f>IF(ISBLANK(Raw_Data!E3467),AVERAGE(Raw_Data!E$2:E$5002),Raw_Data!E3467)</f>
        <v>30871.26</v>
      </c>
      <c r="F3467" s="15" t="str">
        <f>IF(ISBLANK(Raw_Data!F3467),AVERAGE(Raw_Data!F$2:F$5002),Raw_Data!F3467)</f>
        <v>28264.71</v>
      </c>
      <c r="G3467" s="14" t="str">
        <f>IF(ISBLANK(Raw_Data!G3467),AVERAGE(Raw_Data!G$2:G$5002),Raw_Data!G3467)</f>
        <v>19338.02</v>
      </c>
      <c r="H3467" s="15" t="str">
        <f t="shared" si="1"/>
        <v>146983.00</v>
      </c>
      <c r="I3467" s="14" t="str">
        <f t="shared" si="2"/>
        <v>127645.00</v>
      </c>
      <c r="J3467" s="16" t="str">
        <f>TEXT(Raw_Data!J3467,"MMM-YYY")</f>
        <v>Aug-2025</v>
      </c>
      <c r="K3467" s="13" t="str">
        <f>Raw_Data!K3467</f>
        <v>23</v>
      </c>
      <c r="L3467" s="17" t="str">
        <f>Raw_Data!L3467</f>
        <v>Ahmedabad-West</v>
      </c>
      <c r="M3467" s="13" t="str">
        <f t="shared" si="3"/>
        <v>OK</v>
      </c>
      <c r="N3467" s="18" t="str">
        <f t="shared" si="4"/>
        <v>VALID</v>
      </c>
    </row>
    <row r="3468" ht="15.75" customHeight="1">
      <c r="A3468" s="13" t="str">
        <f>Raw_Data!A3468</f>
        <v>EMP3659</v>
      </c>
      <c r="B3468" s="13" t="str">
        <f>TRIM(CLEAN(Raw_Data!B3468))</f>
        <v>Customer Support</v>
      </c>
      <c r="C3468" s="18" t="s">
        <v>33</v>
      </c>
      <c r="D3468" s="14" t="str">
        <f>IF(ISBLANK(Raw_Data!D3468),AVERAGE(Raw_Data!D$2:D$5002),Raw_Data!D3468)</f>
        <v>87858.07</v>
      </c>
      <c r="E3468" s="15" t="str">
        <f>IF(ISBLANK(Raw_Data!E3468),AVERAGE(Raw_Data!E$2:E$5002),Raw_Data!E3468)</f>
        <v>30875.88</v>
      </c>
      <c r="F3468" s="15" t="str">
        <f>IF(ISBLANK(Raw_Data!F3468),AVERAGE(Raw_Data!F$2:F$5002),Raw_Data!F3468)</f>
        <v>28272.39</v>
      </c>
      <c r="G3468" s="14" t="str">
        <f>IF(ISBLANK(Raw_Data!G3468),AVERAGE(Raw_Data!G$2:G$5002),Raw_Data!G3468)</f>
        <v>19341.42</v>
      </c>
      <c r="H3468" s="15" t="str">
        <f t="shared" si="1"/>
        <v>147006.00</v>
      </c>
      <c r="I3468" s="14" t="str">
        <f t="shared" si="2"/>
        <v>127665.00</v>
      </c>
      <c r="J3468" s="16" t="str">
        <f>TEXT(Raw_Data!J3468,"MMM-YYY")</f>
        <v>Nov-2025</v>
      </c>
      <c r="K3468" s="13" t="str">
        <f>Raw_Data!K3468</f>
        <v>4</v>
      </c>
      <c r="L3468" s="17" t="str">
        <f>Raw_Data!L3468</f>
        <v>Jaipur-North</v>
      </c>
      <c r="M3468" s="13" t="str">
        <f t="shared" si="3"/>
        <v>OK</v>
      </c>
      <c r="N3468" s="18" t="str">
        <f t="shared" si="4"/>
        <v>VALID</v>
      </c>
    </row>
    <row r="3469" ht="15.75" customHeight="1">
      <c r="A3469" s="13" t="str">
        <f>Raw_Data!A3469</f>
        <v>EMP3660</v>
      </c>
      <c r="B3469" s="13" t="str">
        <f>TRIM(CLEAN(Raw_Data!B3469))</f>
        <v>Marketing</v>
      </c>
      <c r="C3469" s="18" t="s">
        <v>54</v>
      </c>
      <c r="D3469" s="14" t="str">
        <f>IF(ISBLANK(Raw_Data!D3469),AVERAGE(Raw_Data!D$2:D$5002),Raw_Data!D3469)</f>
        <v>87868.95</v>
      </c>
      <c r="E3469" s="15" t="str">
        <f>IF(ISBLANK(Raw_Data!E3469),AVERAGE(Raw_Data!E$2:E$5002),Raw_Data!E3469)</f>
        <v>30880.49</v>
      </c>
      <c r="F3469" s="15" t="str">
        <f>IF(ISBLANK(Raw_Data!F3469),AVERAGE(Raw_Data!F$2:F$5002),Raw_Data!F3469)</f>
        <v>28280.07</v>
      </c>
      <c r="G3469" s="14" t="str">
        <f>IF(ISBLANK(Raw_Data!G3469),AVERAGE(Raw_Data!G$2:G$5002),Raw_Data!G3469)</f>
        <v>19344.81</v>
      </c>
      <c r="H3469" s="15" t="str">
        <f t="shared" si="1"/>
        <v>147030.00</v>
      </c>
      <c r="I3469" s="14" t="str">
        <f t="shared" si="2"/>
        <v>127685.00</v>
      </c>
      <c r="J3469" s="16" t="str">
        <f>TEXT(Raw_Data!J3469,"MMM-YYY")</f>
        <v>Oct-2025</v>
      </c>
      <c r="K3469" s="13" t="str">
        <f>Raw_Data!K3469</f>
        <v>16</v>
      </c>
      <c r="L3469" s="17" t="str">
        <f>Raw_Data!L3469</f>
        <v>Mumbai-HO</v>
      </c>
      <c r="M3469" s="13" t="str">
        <f t="shared" si="3"/>
        <v>OK</v>
      </c>
      <c r="N3469" s="18" t="str">
        <f t="shared" si="4"/>
        <v>VALID</v>
      </c>
    </row>
    <row r="3470" ht="15.75" customHeight="1">
      <c r="A3470" s="13" t="str">
        <f>Raw_Data!A3470</f>
        <v>EMP3661</v>
      </c>
      <c r="B3470" s="13" t="str">
        <f>TRIM(CLEAN(Raw_Data!B3470))</f>
        <v>Marketing</v>
      </c>
      <c r="C3470" s="18" t="s">
        <v>30</v>
      </c>
      <c r="D3470" s="14" t="str">
        <f>IF(ISBLANK(Raw_Data!D3470),AVERAGE(Raw_Data!D$2:D$5002),Raw_Data!D3470)</f>
        <v>87879.83</v>
      </c>
      <c r="E3470" s="15" t="str">
        <f>IF(ISBLANK(Raw_Data!E3470),AVERAGE(Raw_Data!E$2:E$5002),Raw_Data!E3470)</f>
        <v>30885.11</v>
      </c>
      <c r="F3470" s="15" t="str">
        <f>IF(ISBLANK(Raw_Data!F3470),AVERAGE(Raw_Data!F$2:F$5002),Raw_Data!F3470)</f>
        <v>28287.75</v>
      </c>
      <c r="G3470" s="14" t="str">
        <f>IF(ISBLANK(Raw_Data!G3470),AVERAGE(Raw_Data!G$2:G$5002),Raw_Data!G3470)</f>
        <v>19348.21</v>
      </c>
      <c r="H3470" s="15" t="str">
        <f t="shared" si="1"/>
        <v>147053.00</v>
      </c>
      <c r="I3470" s="14" t="str">
        <f t="shared" si="2"/>
        <v>127705.00</v>
      </c>
      <c r="J3470" s="16" t="str">
        <f>TEXT(Raw_Data!J3470,"MMM-YYY")</f>
        <v>Aug-2025</v>
      </c>
      <c r="K3470" s="13" t="str">
        <f>Raw_Data!K3470</f>
        <v>8</v>
      </c>
      <c r="L3470" s="17" t="str">
        <f>Raw_Data!L3470</f>
        <v>Delhi-North</v>
      </c>
      <c r="M3470" s="13" t="str">
        <f t="shared" si="3"/>
        <v>OK</v>
      </c>
      <c r="N3470" s="18" t="str">
        <f t="shared" si="4"/>
        <v>VALID</v>
      </c>
    </row>
    <row r="3471" ht="15.75" customHeight="1">
      <c r="A3471" s="13" t="str">
        <f>Raw_Data!A3471</f>
        <v>EMP3662</v>
      </c>
      <c r="B3471" s="13" t="str">
        <f>TRIM(CLEAN(Raw_Data!B3471))</f>
        <v>IT</v>
      </c>
      <c r="C3471" s="18" t="s">
        <v>37</v>
      </c>
      <c r="D3471" s="14" t="str">
        <f>IF(ISBLANK(Raw_Data!D3471),AVERAGE(Raw_Data!D$2:D$5002),Raw_Data!D3471)</f>
        <v>87890.72</v>
      </c>
      <c r="E3471" s="15" t="str">
        <f>IF(ISBLANK(Raw_Data!E3471),AVERAGE(Raw_Data!E$2:E$5002),Raw_Data!E3471)</f>
        <v>30889.72</v>
      </c>
      <c r="F3471" s="15" t="str">
        <f>IF(ISBLANK(Raw_Data!F3471),AVERAGE(Raw_Data!F$2:F$5002),Raw_Data!F3471)</f>
        <v>28295.43</v>
      </c>
      <c r="G3471" s="14" t="str">
        <f>IF(ISBLANK(Raw_Data!G3471),AVERAGE(Raw_Data!G$2:G$5002),Raw_Data!G3471)</f>
        <v>19351.61</v>
      </c>
      <c r="H3471" s="15" t="str">
        <f t="shared" si="1"/>
        <v>147076.00</v>
      </c>
      <c r="I3471" s="14" t="str">
        <f t="shared" si="2"/>
        <v>127724.00</v>
      </c>
      <c r="J3471" s="16" t="str">
        <f>TEXT(Raw_Data!J3471,"MMM-YYY")</f>
        <v>Mar-2025</v>
      </c>
      <c r="K3471" s="13" t="str">
        <f>Raw_Data!K3471</f>
        <v>24</v>
      </c>
      <c r="L3471" s="17" t="str">
        <f>Raw_Data!L3471</f>
        <v>Bangalore-South</v>
      </c>
      <c r="M3471" s="13" t="str">
        <f t="shared" si="3"/>
        <v>OK</v>
      </c>
      <c r="N3471" s="18" t="str">
        <f t="shared" si="4"/>
        <v>VALID</v>
      </c>
    </row>
    <row r="3472" ht="15.75" customHeight="1">
      <c r="A3472" s="13" t="str">
        <f>Raw_Data!A3472</f>
        <v>EMP3663</v>
      </c>
      <c r="B3472" s="13" t="str">
        <f>TRIM(CLEAN(Raw_Data!B3472))</f>
        <v>Sales</v>
      </c>
      <c r="C3472" s="18" t="s">
        <v>37</v>
      </c>
      <c r="D3472" s="14" t="str">
        <f>IF(ISBLANK(Raw_Data!D3472),AVERAGE(Raw_Data!D$2:D$5002),Raw_Data!D3472)</f>
        <v>87901.60</v>
      </c>
      <c r="E3472" s="15" t="str">
        <f>IF(ISBLANK(Raw_Data!E3472),AVERAGE(Raw_Data!E$2:E$5002),Raw_Data!E3472)</f>
        <v>30894.34</v>
      </c>
      <c r="F3472" s="15" t="str">
        <f>IF(ISBLANK(Raw_Data!F3472),AVERAGE(Raw_Data!F$2:F$5002),Raw_Data!F3472)</f>
        <v>28303.11</v>
      </c>
      <c r="G3472" s="14" t="str">
        <f>IF(ISBLANK(Raw_Data!G3472),AVERAGE(Raw_Data!G$2:G$5002),Raw_Data!G3472)</f>
        <v>19355.01</v>
      </c>
      <c r="H3472" s="15" t="str">
        <f t="shared" si="1"/>
        <v>147099.00</v>
      </c>
      <c r="I3472" s="14" t="str">
        <f t="shared" si="2"/>
        <v>127744.00</v>
      </c>
      <c r="J3472" s="16" t="str">
        <f>TEXT(Raw_Data!J3472,"MMM-YYY")</f>
        <v>Oct-2025</v>
      </c>
      <c r="K3472" s="13" t="str">
        <f>Raw_Data!K3472</f>
        <v>20</v>
      </c>
      <c r="L3472" s="17" t="str">
        <f>Raw_Data!L3472</f>
        <v>Chennai-South</v>
      </c>
      <c r="M3472" s="13" t="str">
        <f t="shared" si="3"/>
        <v>OK</v>
      </c>
      <c r="N3472" s="18" t="str">
        <f t="shared" si="4"/>
        <v>VALID</v>
      </c>
    </row>
    <row r="3473" ht="15.75" customHeight="1">
      <c r="A3473" s="13" t="str">
        <f>Raw_Data!A3473</f>
        <v>EMP3664</v>
      </c>
      <c r="B3473" s="13" t="str">
        <f>TRIM(CLEAN(Raw_Data!B3473))</f>
        <v>Sales</v>
      </c>
      <c r="C3473" s="18" t="s">
        <v>30</v>
      </c>
      <c r="D3473" s="14" t="str">
        <f>IF(ISBLANK(Raw_Data!D3473),AVERAGE(Raw_Data!D$2:D$5002),Raw_Data!D3473)</f>
        <v>87912.48</v>
      </c>
      <c r="E3473" s="15" t="str">
        <f>IF(ISBLANK(Raw_Data!E3473),AVERAGE(Raw_Data!E$2:E$5002),Raw_Data!E3473)</f>
        <v>30898.95</v>
      </c>
      <c r="F3473" s="15" t="str">
        <f>IF(ISBLANK(Raw_Data!F3473),AVERAGE(Raw_Data!F$2:F$5002),Raw_Data!F3473)</f>
        <v>28310.79</v>
      </c>
      <c r="G3473" s="14" t="str">
        <f>IF(ISBLANK(Raw_Data!G3473),AVERAGE(Raw_Data!G$2:G$5002),Raw_Data!G3473)</f>
        <v>19358.40</v>
      </c>
      <c r="H3473" s="15" t="str">
        <f t="shared" si="1"/>
        <v>147122.00</v>
      </c>
      <c r="I3473" s="14" t="str">
        <f t="shared" si="2"/>
        <v>127764.00</v>
      </c>
      <c r="J3473" s="16" t="str">
        <f>TEXT(Raw_Data!J3473,"MMM-YYY")</f>
        <v>Oct-2025</v>
      </c>
      <c r="K3473" s="13" t="str">
        <f>Raw_Data!K3473</f>
        <v>24</v>
      </c>
      <c r="L3473" s="17" t="str">
        <f>Raw_Data!L3473</f>
        <v>Kolkata-East</v>
      </c>
      <c r="M3473" s="13" t="str">
        <f t="shared" si="3"/>
        <v>OK</v>
      </c>
      <c r="N3473" s="18" t="str">
        <f t="shared" si="4"/>
        <v>VALID</v>
      </c>
    </row>
    <row r="3474" ht="15.75" customHeight="1">
      <c r="A3474" s="13" t="str">
        <f>Raw_Data!A3474</f>
        <v>EMP3665</v>
      </c>
      <c r="B3474" s="13" t="str">
        <f>TRIM(CLEAN(Raw_Data!B3474))</f>
        <v>Operations</v>
      </c>
      <c r="C3474" s="18" t="s">
        <v>26</v>
      </c>
      <c r="D3474" s="14" t="str">
        <f>IF(ISBLANK(Raw_Data!D3474),AVERAGE(Raw_Data!D$2:D$5002),Raw_Data!D3474)</f>
        <v>87923.36</v>
      </c>
      <c r="E3474" s="15" t="str">
        <f>IF(ISBLANK(Raw_Data!E3474),AVERAGE(Raw_Data!E$2:E$5002),Raw_Data!E3474)</f>
        <v>30903.57</v>
      </c>
      <c r="F3474" s="15" t="str">
        <f>IF(ISBLANK(Raw_Data!F3474),AVERAGE(Raw_Data!F$2:F$5002),Raw_Data!F3474)</f>
        <v>28318.47</v>
      </c>
      <c r="G3474" s="14" t="str">
        <f>IF(ISBLANK(Raw_Data!G3474),AVERAGE(Raw_Data!G$2:G$5002),Raw_Data!G3474)</f>
        <v>19361.80</v>
      </c>
      <c r="H3474" s="15" t="str">
        <f t="shared" si="1"/>
        <v>147145.00</v>
      </c>
      <c r="I3474" s="14" t="str">
        <f t="shared" si="2"/>
        <v>127783.00</v>
      </c>
      <c r="J3474" s="16" t="str">
        <f>TEXT(Raw_Data!J3474,"MMM-YYY")</f>
        <v>Jun-2025</v>
      </c>
      <c r="K3474" s="13" t="str">
        <f>Raw_Data!K3474</f>
        <v>17</v>
      </c>
      <c r="L3474" s="17" t="str">
        <f>Raw_Data!L3474</f>
        <v>Pune-West</v>
      </c>
      <c r="M3474" s="13" t="str">
        <f t="shared" si="3"/>
        <v>OK</v>
      </c>
      <c r="N3474" s="18" t="str">
        <f t="shared" si="4"/>
        <v>VALID</v>
      </c>
    </row>
    <row r="3475" ht="15.75" customHeight="1">
      <c r="A3475" s="13" t="str">
        <f>Raw_Data!A3475</f>
        <v>EMP3666</v>
      </c>
      <c r="B3475" s="13" t="str">
        <f>TRIM(CLEAN(Raw_Data!B3475))</f>
        <v>HR</v>
      </c>
      <c r="C3475" s="18" t="s">
        <v>37</v>
      </c>
      <c r="D3475" s="14" t="str">
        <f>IF(ISBLANK(Raw_Data!D3475),AVERAGE(Raw_Data!D$2:D$5002),Raw_Data!D3475)</f>
        <v>87934.25</v>
      </c>
      <c r="E3475" s="15" t="str">
        <f>IF(ISBLANK(Raw_Data!E3475),AVERAGE(Raw_Data!E$2:E$5002),Raw_Data!E3475)</f>
        <v>30908.18</v>
      </c>
      <c r="F3475" s="15" t="str">
        <f>IF(ISBLANK(Raw_Data!F3475),AVERAGE(Raw_Data!F$2:F$5002),Raw_Data!F3475)</f>
        <v>28326.15</v>
      </c>
      <c r="G3475" s="14" t="str">
        <f>IF(ISBLANK(Raw_Data!G3475),AVERAGE(Raw_Data!G$2:G$5002),Raw_Data!G3475)</f>
        <v>19365.20</v>
      </c>
      <c r="H3475" s="15" t="str">
        <f t="shared" si="1"/>
        <v>147169.00</v>
      </c>
      <c r="I3475" s="14" t="str">
        <f t="shared" si="2"/>
        <v>127804.00</v>
      </c>
      <c r="J3475" s="16" t="str">
        <f>TEXT(Raw_Data!J3475,"MMM-YYY")</f>
        <v>Jun-2025</v>
      </c>
      <c r="K3475" s="13" t="str">
        <f>Raw_Data!K3475</f>
        <v>17</v>
      </c>
      <c r="L3475" s="17" t="str">
        <f>Raw_Data!L3475</f>
        <v>Hyderabad-South</v>
      </c>
      <c r="M3475" s="13" t="str">
        <f t="shared" si="3"/>
        <v>OK</v>
      </c>
      <c r="N3475" s="18" t="str">
        <f t="shared" si="4"/>
        <v>VALID</v>
      </c>
    </row>
    <row r="3476" ht="15.75" customHeight="1">
      <c r="A3476" s="13" t="str">
        <f>Raw_Data!A3476</f>
        <v>EMP3667</v>
      </c>
      <c r="B3476" s="13" t="str">
        <f>TRIM(CLEAN(Raw_Data!B3476))</f>
        <v>Finance</v>
      </c>
      <c r="C3476" s="18" t="s">
        <v>54</v>
      </c>
      <c r="D3476" s="14" t="str">
        <f>IF(ISBLANK(Raw_Data!D3476),AVERAGE(Raw_Data!D$2:D$5002),Raw_Data!D3476)</f>
        <v>87945.13</v>
      </c>
      <c r="E3476" s="15" t="str">
        <f>IF(ISBLANK(Raw_Data!E3476),AVERAGE(Raw_Data!E$2:E$5002),Raw_Data!E3476)</f>
        <v>30912.80</v>
      </c>
      <c r="F3476" s="15" t="str">
        <f>IF(ISBLANK(Raw_Data!F3476),AVERAGE(Raw_Data!F$2:F$5002),Raw_Data!F3476)</f>
        <v>28333.83</v>
      </c>
      <c r="G3476" s="14" t="str">
        <f>IF(ISBLANK(Raw_Data!G3476),AVERAGE(Raw_Data!G$2:G$5002),Raw_Data!G3476)</f>
        <v>19368.60</v>
      </c>
      <c r="H3476" s="15" t="str">
        <f t="shared" si="1"/>
        <v>147192.00</v>
      </c>
      <c r="I3476" s="14" t="str">
        <f t="shared" si="2"/>
        <v>127823.00</v>
      </c>
      <c r="J3476" s="16" t="str">
        <f>TEXT(Raw_Data!J3476,"MMM-YYY")</f>
        <v>Feb-2025</v>
      </c>
      <c r="K3476" s="13" t="str">
        <f>Raw_Data!K3476</f>
        <v>12</v>
      </c>
      <c r="L3476" s="17" t="str">
        <f>Raw_Data!L3476</f>
        <v>Chandigarh-North</v>
      </c>
      <c r="M3476" s="13" t="str">
        <f t="shared" si="3"/>
        <v>OK</v>
      </c>
      <c r="N3476" s="18" t="str">
        <f t="shared" si="4"/>
        <v>VALID</v>
      </c>
    </row>
    <row r="3477" ht="15.75" customHeight="1">
      <c r="A3477" s="13" t="str">
        <f>Raw_Data!A3477</f>
        <v>EMP3668</v>
      </c>
      <c r="B3477" s="13" t="str">
        <f>TRIM(CLEAN(Raw_Data!B3477))</f>
        <v>Operations</v>
      </c>
      <c r="C3477" s="18" t="s">
        <v>18</v>
      </c>
      <c r="D3477" s="14" t="str">
        <f>IF(ISBLANK(Raw_Data!D3477),AVERAGE(Raw_Data!D$2:D$5002),Raw_Data!D3477)</f>
        <v>87956.01</v>
      </c>
      <c r="E3477" s="15" t="str">
        <f>IF(ISBLANK(Raw_Data!E3477),AVERAGE(Raw_Data!E$2:E$5002),Raw_Data!E3477)</f>
        <v>30917.41</v>
      </c>
      <c r="F3477" s="15" t="str">
        <f>IF(ISBLANK(Raw_Data!F3477),AVERAGE(Raw_Data!F$2:F$5002),Raw_Data!F3477)</f>
        <v>28341.51</v>
      </c>
      <c r="G3477" s="14" t="str">
        <f>IF(ISBLANK(Raw_Data!G3477),AVERAGE(Raw_Data!G$2:G$5002),Raw_Data!G3477)</f>
        <v>19371.99</v>
      </c>
      <c r="H3477" s="15" t="str">
        <f t="shared" si="1"/>
        <v>147215.00</v>
      </c>
      <c r="I3477" s="14" t="str">
        <f t="shared" si="2"/>
        <v>127843.00</v>
      </c>
      <c r="J3477" s="16" t="str">
        <f>TEXT(Raw_Data!J3477,"MMM-YYY")</f>
        <v>Feb-2025</v>
      </c>
      <c r="K3477" s="13" t="str">
        <f>Raw_Data!K3477</f>
        <v>16</v>
      </c>
      <c r="L3477" s="17" t="str">
        <f>Raw_Data!L3477</f>
        <v>Ahmedabad-West</v>
      </c>
      <c r="M3477" s="13" t="str">
        <f t="shared" si="3"/>
        <v>OK</v>
      </c>
      <c r="N3477" s="18" t="str">
        <f t="shared" si="4"/>
        <v>VALID</v>
      </c>
    </row>
    <row r="3478" ht="15.75" customHeight="1">
      <c r="A3478" s="13" t="str">
        <f>Raw_Data!A3478</f>
        <v>EMP3669</v>
      </c>
      <c r="B3478" s="13" t="str">
        <f>TRIM(CLEAN(Raw_Data!B3478))</f>
        <v>Finance</v>
      </c>
      <c r="C3478" s="18" t="s">
        <v>37</v>
      </c>
      <c r="D3478" s="14" t="str">
        <f>IF(ISBLANK(Raw_Data!D3478),AVERAGE(Raw_Data!D$2:D$5002),Raw_Data!D3478)</f>
        <v>87966.90</v>
      </c>
      <c r="E3478" s="15" t="str">
        <f>IF(ISBLANK(Raw_Data!E3478),AVERAGE(Raw_Data!E$2:E$5002),Raw_Data!E3478)</f>
        <v>30922.03</v>
      </c>
      <c r="F3478" s="15" t="str">
        <f>IF(ISBLANK(Raw_Data!F3478),AVERAGE(Raw_Data!F$2:F$5002),Raw_Data!F3478)</f>
        <v>28349.19</v>
      </c>
      <c r="G3478" s="14" t="str">
        <f>IF(ISBLANK(Raw_Data!G3478),AVERAGE(Raw_Data!G$2:G$5002),Raw_Data!G3478)</f>
        <v>19375.39</v>
      </c>
      <c r="H3478" s="15" t="str">
        <f t="shared" si="1"/>
        <v>147238.00</v>
      </c>
      <c r="I3478" s="14" t="str">
        <f t="shared" si="2"/>
        <v>127863.00</v>
      </c>
      <c r="J3478" s="16" t="str">
        <f>TEXT(Raw_Data!J3478,"MMM-YYY")</f>
        <v>May-2025</v>
      </c>
      <c r="K3478" s="13" t="str">
        <f>Raw_Data!K3478</f>
        <v>10</v>
      </c>
      <c r="L3478" s="17" t="str">
        <f>Raw_Data!L3478</f>
        <v>Jaipur-North</v>
      </c>
      <c r="M3478" s="13" t="str">
        <f t="shared" si="3"/>
        <v>OK</v>
      </c>
      <c r="N3478" s="18" t="str">
        <f t="shared" si="4"/>
        <v>VALID</v>
      </c>
    </row>
    <row r="3479" ht="15.75" customHeight="1">
      <c r="A3479" s="13" t="str">
        <f>Raw_Data!A3479</f>
        <v>EMP3670</v>
      </c>
      <c r="B3479" s="13" t="str">
        <f>TRIM(CLEAN(Raw_Data!B3479))</f>
        <v>Customer Support</v>
      </c>
      <c r="C3479" s="18" t="s">
        <v>30</v>
      </c>
      <c r="D3479" s="14" t="str">
        <f>IF(ISBLANK(Raw_Data!D3479),AVERAGE(Raw_Data!D$2:D$5002),Raw_Data!D3479)</f>
        <v>87977.78</v>
      </c>
      <c r="E3479" s="15" t="str">
        <f>IF(ISBLANK(Raw_Data!E3479),AVERAGE(Raw_Data!E$2:E$5002),Raw_Data!E3479)</f>
        <v>30926.64</v>
      </c>
      <c r="F3479" s="15" t="str">
        <f>IF(ISBLANK(Raw_Data!F3479),AVERAGE(Raw_Data!F$2:F$5002),Raw_Data!F3479)</f>
        <v>28356.87</v>
      </c>
      <c r="G3479" s="14" t="str">
        <f>IF(ISBLANK(Raw_Data!G3479),AVERAGE(Raw_Data!G$2:G$5002),Raw_Data!G3479)</f>
        <v>19378.79</v>
      </c>
      <c r="H3479" s="15" t="str">
        <f t="shared" si="1"/>
        <v>147261.00</v>
      </c>
      <c r="I3479" s="14" t="str">
        <f t="shared" si="2"/>
        <v>127882.00</v>
      </c>
      <c r="J3479" s="16" t="str">
        <f>TEXT(Raw_Data!J3479,"MMM-YYY")</f>
        <v>May-2025</v>
      </c>
      <c r="K3479" s="13" t="str">
        <f>Raw_Data!K3479</f>
        <v>22</v>
      </c>
      <c r="L3479" s="17" t="str">
        <f>Raw_Data!L3479</f>
        <v>Mumbai-HO</v>
      </c>
      <c r="M3479" s="13" t="str">
        <f t="shared" si="3"/>
        <v>OK</v>
      </c>
      <c r="N3479" s="18" t="str">
        <f t="shared" si="4"/>
        <v>VALID</v>
      </c>
    </row>
    <row r="3480" ht="15.75" customHeight="1">
      <c r="A3480" s="13" t="str">
        <f>Raw_Data!A3480</f>
        <v>EMP3671</v>
      </c>
      <c r="B3480" s="13" t="str">
        <f>TRIM(CLEAN(Raw_Data!B3480))</f>
        <v>HR</v>
      </c>
      <c r="C3480" s="18" t="s">
        <v>18</v>
      </c>
      <c r="D3480" s="14" t="str">
        <f>IF(ISBLANK(Raw_Data!D3480),AVERAGE(Raw_Data!D$2:D$5002),Raw_Data!D3480)</f>
        <v>87988.66</v>
      </c>
      <c r="E3480" s="15" t="str">
        <f>IF(ISBLANK(Raw_Data!E3480),AVERAGE(Raw_Data!E$2:E$5002),Raw_Data!E3480)</f>
        <v>30931.26</v>
      </c>
      <c r="F3480" s="15" t="str">
        <f>IF(ISBLANK(Raw_Data!F3480),AVERAGE(Raw_Data!F$2:F$5002),Raw_Data!F3480)</f>
        <v>28364.55</v>
      </c>
      <c r="G3480" s="14" t="str">
        <f>IF(ISBLANK(Raw_Data!G3480),AVERAGE(Raw_Data!G$2:G$5002),Raw_Data!G3480)</f>
        <v>19382.19</v>
      </c>
      <c r="H3480" s="15" t="str">
        <f t="shared" si="1"/>
        <v>147284.00</v>
      </c>
      <c r="I3480" s="14" t="str">
        <f t="shared" si="2"/>
        <v>127902.00</v>
      </c>
      <c r="J3480" s="16" t="str">
        <f>TEXT(Raw_Data!J3480,"MMM-YYY")</f>
        <v>Feb-2025</v>
      </c>
      <c r="K3480" s="13" t="str">
        <f>Raw_Data!K3480</f>
        <v>4</v>
      </c>
      <c r="L3480" s="17" t="str">
        <f>Raw_Data!L3480</f>
        <v>Delhi-North</v>
      </c>
      <c r="M3480" s="13" t="str">
        <f t="shared" si="3"/>
        <v>OK</v>
      </c>
      <c r="N3480" s="18" t="str">
        <f t="shared" si="4"/>
        <v>VALID</v>
      </c>
    </row>
    <row r="3481" ht="15.75" customHeight="1">
      <c r="A3481" s="13" t="str">
        <f>Raw_Data!A3481</f>
        <v>EMP3672</v>
      </c>
      <c r="B3481" s="13" t="str">
        <f>TRIM(CLEAN(Raw_Data!B3481))</f>
        <v>Finance</v>
      </c>
      <c r="C3481" s="18" t="s">
        <v>26</v>
      </c>
      <c r="D3481" s="14" t="str">
        <f>IF(ISBLANK(Raw_Data!D3481),AVERAGE(Raw_Data!D$2:D$5002),Raw_Data!D3481)</f>
        <v>87999.55</v>
      </c>
      <c r="E3481" s="15" t="str">
        <f>IF(ISBLANK(Raw_Data!E3481),AVERAGE(Raw_Data!E$2:E$5002),Raw_Data!E3481)</f>
        <v>30935.87</v>
      </c>
      <c r="F3481" s="15" t="str">
        <f>IF(ISBLANK(Raw_Data!F3481),AVERAGE(Raw_Data!F$2:F$5002),Raw_Data!F3481)</f>
        <v>28372.23</v>
      </c>
      <c r="G3481" s="14" t="str">
        <f>IF(ISBLANK(Raw_Data!G3481),AVERAGE(Raw_Data!G$2:G$5002),Raw_Data!G3481)</f>
        <v>19385.59</v>
      </c>
      <c r="H3481" s="15" t="str">
        <f t="shared" si="1"/>
        <v>147308.00</v>
      </c>
      <c r="I3481" s="14" t="str">
        <f t="shared" si="2"/>
        <v>127922.00</v>
      </c>
      <c r="J3481" s="16" t="str">
        <f>TEXT(Raw_Data!J3481,"MMM-YYY")</f>
        <v>Jun-2025</v>
      </c>
      <c r="K3481" s="13" t="str">
        <f>Raw_Data!K3481</f>
        <v>1</v>
      </c>
      <c r="L3481" s="17" t="str">
        <f>Raw_Data!L3481</f>
        <v>Bangalore-South</v>
      </c>
      <c r="M3481" s="13" t="str">
        <f t="shared" si="3"/>
        <v>OK</v>
      </c>
      <c r="N3481" s="18" t="str">
        <f t="shared" si="4"/>
        <v>VALID</v>
      </c>
    </row>
    <row r="3482" ht="15.75" customHeight="1">
      <c r="A3482" s="13" t="str">
        <f>Raw_Data!A3482</f>
        <v>EMP3673</v>
      </c>
      <c r="B3482" s="13" t="str">
        <f>TRIM(CLEAN(Raw_Data!B3482))</f>
        <v>Operations</v>
      </c>
      <c r="C3482" s="18" t="s">
        <v>18</v>
      </c>
      <c r="D3482" s="14" t="str">
        <f>IF(ISBLANK(Raw_Data!D3482),AVERAGE(Raw_Data!D$2:D$5002),Raw_Data!D3482)</f>
        <v>88010.43</v>
      </c>
      <c r="E3482" s="15" t="str">
        <f>IF(ISBLANK(Raw_Data!E3482),AVERAGE(Raw_Data!E$2:E$5002),Raw_Data!E3482)</f>
        <v>30940.48</v>
      </c>
      <c r="F3482" s="15" t="str">
        <f>IF(ISBLANK(Raw_Data!F3482),AVERAGE(Raw_Data!F$2:F$5002),Raw_Data!F3482)</f>
        <v>28379.91</v>
      </c>
      <c r="G3482" s="14" t="str">
        <f>IF(ISBLANK(Raw_Data!G3482),AVERAGE(Raw_Data!G$2:G$5002),Raw_Data!G3482)</f>
        <v>19388.98</v>
      </c>
      <c r="H3482" s="15" t="str">
        <f t="shared" si="1"/>
        <v>147331.00</v>
      </c>
      <c r="I3482" s="14" t="str">
        <f t="shared" si="2"/>
        <v>127942.00</v>
      </c>
      <c r="J3482" s="16" t="str">
        <f>TEXT(Raw_Data!J3482,"MMM-YYY")</f>
        <v>Jan-2025</v>
      </c>
      <c r="K3482" s="13" t="str">
        <f>Raw_Data!K3482</f>
        <v>13</v>
      </c>
      <c r="L3482" s="17" t="str">
        <f>Raw_Data!L3482</f>
        <v>Chennai-South</v>
      </c>
      <c r="M3482" s="13" t="str">
        <f t="shared" si="3"/>
        <v>OK</v>
      </c>
      <c r="N3482" s="18" t="str">
        <f t="shared" si="4"/>
        <v>VALID</v>
      </c>
    </row>
    <row r="3483" ht="15.75" customHeight="1">
      <c r="A3483" s="13" t="str">
        <f>Raw_Data!A3483</f>
        <v>EMP3675</v>
      </c>
      <c r="B3483" s="13" t="str">
        <f>TRIM(CLEAN(Raw_Data!B3483))</f>
        <v>Sales</v>
      </c>
      <c r="C3483" s="18" t="s">
        <v>30</v>
      </c>
      <c r="D3483" s="14" t="str">
        <f>IF(ISBLANK(Raw_Data!D3483),AVERAGE(Raw_Data!D$2:D$5002),Raw_Data!D3483)</f>
        <v>71831.17</v>
      </c>
      <c r="E3483" s="15" t="str">
        <f>IF(ISBLANK(Raw_Data!E3483),AVERAGE(Raw_Data!E$2:E$5002),Raw_Data!E3483)</f>
        <v>30949.71</v>
      </c>
      <c r="F3483" s="15" t="str">
        <f>IF(ISBLANK(Raw_Data!F3483),AVERAGE(Raw_Data!F$2:F$5002),Raw_Data!F3483)</f>
        <v>28395.27</v>
      </c>
      <c r="G3483" s="14" t="str">
        <f>IF(ISBLANK(Raw_Data!G3483),AVERAGE(Raw_Data!G$2:G$5002),Raw_Data!G3483)</f>
        <v>19395.78</v>
      </c>
      <c r="H3483" s="15" t="str">
        <f t="shared" si="1"/>
        <v>131176.00</v>
      </c>
      <c r="I3483" s="14" t="str">
        <f t="shared" si="2"/>
        <v>111780.00</v>
      </c>
      <c r="J3483" s="16" t="str">
        <f>TEXT(Raw_Data!J3483,"MMM-YYY")</f>
        <v>Sep-2025</v>
      </c>
      <c r="K3483" s="13" t="str">
        <f>Raw_Data!K3483</f>
        <v>4</v>
      </c>
      <c r="L3483" s="17" t="str">
        <f>Raw_Data!L3483</f>
        <v>Pune-West</v>
      </c>
      <c r="M3483" s="13" t="str">
        <f t="shared" si="3"/>
        <v>OK</v>
      </c>
      <c r="N3483" s="18" t="str">
        <f t="shared" si="4"/>
        <v>VALID</v>
      </c>
    </row>
    <row r="3484" ht="15.75" customHeight="1">
      <c r="A3484" s="13" t="str">
        <f>Raw_Data!A3484</f>
        <v>EMP3676</v>
      </c>
      <c r="B3484" s="13" t="str">
        <f>TRIM(CLEAN(Raw_Data!B3484))</f>
        <v>Finance</v>
      </c>
      <c r="C3484" s="18" t="s">
        <v>37</v>
      </c>
      <c r="D3484" s="14" t="str">
        <f>IF(ISBLANK(Raw_Data!D3484),AVERAGE(Raw_Data!D$2:D$5002),Raw_Data!D3484)</f>
        <v>88043.08</v>
      </c>
      <c r="E3484" s="15" t="str">
        <f>IF(ISBLANK(Raw_Data!E3484),AVERAGE(Raw_Data!E$2:E$5002),Raw_Data!E3484)</f>
        <v>30954.33</v>
      </c>
      <c r="F3484" s="15" t="str">
        <f>IF(ISBLANK(Raw_Data!F3484),AVERAGE(Raw_Data!F$2:F$5002),Raw_Data!F3484)</f>
        <v>28402.95</v>
      </c>
      <c r="G3484" s="14" t="str">
        <f>IF(ISBLANK(Raw_Data!G3484),AVERAGE(Raw_Data!G$2:G$5002),Raw_Data!G3484)</f>
        <v>19399.18</v>
      </c>
      <c r="H3484" s="15" t="str">
        <f t="shared" si="1"/>
        <v>147400.00</v>
      </c>
      <c r="I3484" s="14" t="str">
        <f t="shared" si="2"/>
        <v>128001.00</v>
      </c>
      <c r="J3484" s="16" t="str">
        <f>TEXT(Raw_Data!J3484,"MMM-YYY")</f>
        <v>Sep-2025</v>
      </c>
      <c r="K3484" s="13" t="str">
        <f>Raw_Data!K3484</f>
        <v>21</v>
      </c>
      <c r="L3484" s="17" t="str">
        <f>Raw_Data!L3484</f>
        <v>Hyderabad-South</v>
      </c>
      <c r="M3484" s="13" t="str">
        <f t="shared" si="3"/>
        <v>OK</v>
      </c>
      <c r="N3484" s="18" t="str">
        <f t="shared" si="4"/>
        <v>VALID</v>
      </c>
    </row>
    <row r="3485" ht="15.75" customHeight="1">
      <c r="A3485" s="13" t="str">
        <f>Raw_Data!A3485</f>
        <v>EMP3677</v>
      </c>
      <c r="B3485" s="13" t="str">
        <f>TRIM(CLEAN(Raw_Data!B3485))</f>
        <v>HR</v>
      </c>
      <c r="C3485" s="18" t="s">
        <v>54</v>
      </c>
      <c r="D3485" s="14" t="str">
        <f>IF(ISBLANK(Raw_Data!D3485),AVERAGE(Raw_Data!D$2:D$5002),Raw_Data!D3485)</f>
        <v>88053.96</v>
      </c>
      <c r="E3485" s="15" t="str">
        <f>IF(ISBLANK(Raw_Data!E3485),AVERAGE(Raw_Data!E$2:E$5002),Raw_Data!E3485)</f>
        <v>30958.94</v>
      </c>
      <c r="F3485" s="15" t="str">
        <f>IF(ISBLANK(Raw_Data!F3485),AVERAGE(Raw_Data!F$2:F$5002),Raw_Data!F3485)</f>
        <v>28410.63</v>
      </c>
      <c r="G3485" s="14" t="str">
        <f>IF(ISBLANK(Raw_Data!G3485),AVERAGE(Raw_Data!G$2:G$5002),Raw_Data!G3485)</f>
        <v>19402.57</v>
      </c>
      <c r="H3485" s="15" t="str">
        <f t="shared" si="1"/>
        <v>147424.00</v>
      </c>
      <c r="I3485" s="14" t="str">
        <f t="shared" si="2"/>
        <v>128021.00</v>
      </c>
      <c r="J3485" s="16" t="str">
        <f>TEXT(Raw_Data!J3485,"MMM-YYY")</f>
        <v>Jan-2025</v>
      </c>
      <c r="K3485" s="13" t="str">
        <f>Raw_Data!K3485</f>
        <v>24</v>
      </c>
      <c r="L3485" s="17" t="str">
        <f>Raw_Data!L3485</f>
        <v>Chandigarh-North</v>
      </c>
      <c r="M3485" s="13" t="str">
        <f t="shared" si="3"/>
        <v>OK</v>
      </c>
      <c r="N3485" s="18" t="str">
        <f t="shared" si="4"/>
        <v>VALID</v>
      </c>
    </row>
    <row r="3486" ht="15.75" customHeight="1">
      <c r="A3486" s="13" t="str">
        <f>Raw_Data!A3486</f>
        <v>EMP3678</v>
      </c>
      <c r="B3486" s="13" t="str">
        <f>TRIM(CLEAN(Raw_Data!B3486))</f>
        <v>Sales</v>
      </c>
      <c r="C3486" s="18" t="s">
        <v>54</v>
      </c>
      <c r="D3486" s="14" t="str">
        <f>IF(ISBLANK(Raw_Data!D3486),AVERAGE(Raw_Data!D$2:D$5002),Raw_Data!D3486)</f>
        <v>88064.84</v>
      </c>
      <c r="E3486" s="15" t="str">
        <f>IF(ISBLANK(Raw_Data!E3486),AVERAGE(Raw_Data!E$2:E$5002),Raw_Data!E3486)</f>
        <v>30963.56</v>
      </c>
      <c r="F3486" s="15" t="str">
        <f>IF(ISBLANK(Raw_Data!F3486),AVERAGE(Raw_Data!F$2:F$5002),Raw_Data!F3486)</f>
        <v>28418.31</v>
      </c>
      <c r="G3486" s="14" t="str">
        <f>IF(ISBLANK(Raw_Data!G3486),AVERAGE(Raw_Data!G$2:G$5002),Raw_Data!G3486)</f>
        <v>19405.97</v>
      </c>
      <c r="H3486" s="15" t="str">
        <f t="shared" si="1"/>
        <v>147447.00</v>
      </c>
      <c r="I3486" s="14" t="str">
        <f t="shared" si="2"/>
        <v>128041.00</v>
      </c>
      <c r="J3486" s="16" t="str">
        <f>TEXT(Raw_Data!J3486,"MMM-YYY")</f>
        <v>Jun-2025</v>
      </c>
      <c r="K3486" s="13" t="str">
        <f>Raw_Data!K3486</f>
        <v>5</v>
      </c>
      <c r="L3486" s="17" t="str">
        <f>Raw_Data!L3486</f>
        <v>Ahmedabad-West</v>
      </c>
      <c r="M3486" s="13" t="str">
        <f t="shared" si="3"/>
        <v>OK</v>
      </c>
      <c r="N3486" s="18" t="str">
        <f t="shared" si="4"/>
        <v>VALID</v>
      </c>
    </row>
    <row r="3487" ht="15.75" customHeight="1">
      <c r="A3487" s="13" t="str">
        <f>Raw_Data!A3487</f>
        <v>EMP3679</v>
      </c>
      <c r="B3487" s="13" t="str">
        <f>TRIM(CLEAN(Raw_Data!B3487))</f>
        <v>HR</v>
      </c>
      <c r="C3487" s="18" t="s">
        <v>26</v>
      </c>
      <c r="D3487" s="14" t="str">
        <f>IF(ISBLANK(Raw_Data!D3487),AVERAGE(Raw_Data!D$2:D$5002),Raw_Data!D3487)</f>
        <v>88075.73</v>
      </c>
      <c r="E3487" s="15" t="str">
        <f>IF(ISBLANK(Raw_Data!E3487),AVERAGE(Raw_Data!E$2:E$5002),Raw_Data!E3487)</f>
        <v>30968.17</v>
      </c>
      <c r="F3487" s="15" t="str">
        <f>IF(ISBLANK(Raw_Data!F3487),AVERAGE(Raw_Data!F$2:F$5002),Raw_Data!F3487)</f>
        <v>28425.99</v>
      </c>
      <c r="G3487" s="14" t="str">
        <f>IF(ISBLANK(Raw_Data!G3487),AVERAGE(Raw_Data!G$2:G$5002),Raw_Data!G3487)</f>
        <v>19409.37</v>
      </c>
      <c r="H3487" s="15" t="str">
        <f t="shared" si="1"/>
        <v>147470.00</v>
      </c>
      <c r="I3487" s="14" t="str">
        <f t="shared" si="2"/>
        <v>128061.00</v>
      </c>
      <c r="J3487" s="16" t="str">
        <f>TEXT(Raw_Data!J3487,"MMM-YYY")</f>
        <v>Jul-2025</v>
      </c>
      <c r="K3487" s="13" t="str">
        <f>Raw_Data!K3487</f>
        <v>2</v>
      </c>
      <c r="L3487" s="17" t="str">
        <f>Raw_Data!L3487</f>
        <v>Jaipur-North</v>
      </c>
      <c r="M3487" s="13" t="str">
        <f t="shared" si="3"/>
        <v>OK</v>
      </c>
      <c r="N3487" s="18" t="str">
        <f t="shared" si="4"/>
        <v>VALID</v>
      </c>
    </row>
    <row r="3488" ht="15.75" customHeight="1">
      <c r="A3488" s="13" t="str">
        <f>Raw_Data!A3488</f>
        <v>EMP3680</v>
      </c>
      <c r="B3488" s="13" t="str">
        <f>TRIM(CLEAN(Raw_Data!B3488))</f>
        <v>HR</v>
      </c>
      <c r="C3488" s="18" t="s">
        <v>37</v>
      </c>
      <c r="D3488" s="14" t="str">
        <f>IF(ISBLANK(Raw_Data!D3488),AVERAGE(Raw_Data!D$2:D$5002),Raw_Data!D3488)</f>
        <v>88086.61</v>
      </c>
      <c r="E3488" s="15" t="str">
        <f>IF(ISBLANK(Raw_Data!E3488),AVERAGE(Raw_Data!E$2:E$5002),Raw_Data!E3488)</f>
        <v>30972.79</v>
      </c>
      <c r="F3488" s="15" t="str">
        <f>IF(ISBLANK(Raw_Data!F3488),AVERAGE(Raw_Data!F$2:F$5002),Raw_Data!F3488)</f>
        <v>28433.67</v>
      </c>
      <c r="G3488" s="14" t="str">
        <f>IF(ISBLANK(Raw_Data!G3488),AVERAGE(Raw_Data!G$2:G$5002),Raw_Data!G3488)</f>
        <v>19412.77</v>
      </c>
      <c r="H3488" s="15" t="str">
        <f t="shared" si="1"/>
        <v>147493.00</v>
      </c>
      <c r="I3488" s="14" t="str">
        <f t="shared" si="2"/>
        <v>128080.00</v>
      </c>
      <c r="J3488" s="16" t="str">
        <f>TEXT(Raw_Data!J3488,"MMM-YYY")</f>
        <v>Mar-2025</v>
      </c>
      <c r="K3488" s="13" t="str">
        <f>Raw_Data!K3488</f>
        <v>21</v>
      </c>
      <c r="L3488" s="17" t="str">
        <f>Raw_Data!L3488</f>
        <v>Mumbai-HO</v>
      </c>
      <c r="M3488" s="13" t="str">
        <f t="shared" si="3"/>
        <v>OK</v>
      </c>
      <c r="N3488" s="18" t="str">
        <f t="shared" si="4"/>
        <v>VALID</v>
      </c>
    </row>
    <row r="3489" ht="15.75" customHeight="1">
      <c r="A3489" s="13" t="str">
        <f>Raw_Data!A3489</f>
        <v>EMP3681</v>
      </c>
      <c r="B3489" s="13" t="str">
        <f>TRIM(CLEAN(Raw_Data!B3489))</f>
        <v>IT</v>
      </c>
      <c r="C3489" s="18" t="s">
        <v>54</v>
      </c>
      <c r="D3489" s="14" t="str">
        <f>IF(ISBLANK(Raw_Data!D3489),AVERAGE(Raw_Data!D$2:D$5002),Raw_Data!D3489)</f>
        <v>88097.49</v>
      </c>
      <c r="E3489" s="15" t="str">
        <f>IF(ISBLANK(Raw_Data!E3489),AVERAGE(Raw_Data!E$2:E$5002),Raw_Data!E3489)</f>
        <v>30977.40</v>
      </c>
      <c r="F3489" s="15" t="str">
        <f>IF(ISBLANK(Raw_Data!F3489),AVERAGE(Raw_Data!F$2:F$5002),Raw_Data!F3489)</f>
        <v>28441.35</v>
      </c>
      <c r="G3489" s="14" t="str">
        <f>IF(ISBLANK(Raw_Data!G3489),AVERAGE(Raw_Data!G$2:G$5002),Raw_Data!G3489)</f>
        <v>19416.16</v>
      </c>
      <c r="H3489" s="15" t="str">
        <f t="shared" si="1"/>
        <v>147516.00</v>
      </c>
      <c r="I3489" s="14" t="str">
        <f t="shared" si="2"/>
        <v>128100.00</v>
      </c>
      <c r="J3489" s="16" t="str">
        <f>TEXT(Raw_Data!J3489,"MMM-YYY")</f>
        <v>Jul-2025</v>
      </c>
      <c r="K3489" s="13" t="str">
        <f>Raw_Data!K3489</f>
        <v>12</v>
      </c>
      <c r="L3489" s="17" t="str">
        <f>Raw_Data!L3489</f>
        <v>Delhi-North</v>
      </c>
      <c r="M3489" s="13" t="str">
        <f t="shared" si="3"/>
        <v>OK</v>
      </c>
      <c r="N3489" s="18" t="str">
        <f t="shared" si="4"/>
        <v>VALID</v>
      </c>
    </row>
    <row r="3490" ht="15.75" customHeight="1">
      <c r="A3490" s="13" t="str">
        <f>Raw_Data!A3490</f>
        <v>EMP3682</v>
      </c>
      <c r="B3490" s="13" t="str">
        <f>TRIM(CLEAN(Raw_Data!B3490))</f>
        <v>Finance</v>
      </c>
      <c r="C3490" s="18" t="s">
        <v>54</v>
      </c>
      <c r="D3490" s="14" t="str">
        <f>IF(ISBLANK(Raw_Data!D3490),AVERAGE(Raw_Data!D$2:D$5002),Raw_Data!D3490)</f>
        <v>88108.37</v>
      </c>
      <c r="E3490" s="15" t="str">
        <f>IF(ISBLANK(Raw_Data!E3490),AVERAGE(Raw_Data!E$2:E$5002),Raw_Data!E3490)</f>
        <v>30982.02</v>
      </c>
      <c r="F3490" s="15" t="str">
        <f>IF(ISBLANK(Raw_Data!F3490),AVERAGE(Raw_Data!F$2:F$5002),Raw_Data!F3490)</f>
        <v>28449.03</v>
      </c>
      <c r="G3490" s="14" t="str">
        <f>IF(ISBLANK(Raw_Data!G3490),AVERAGE(Raw_Data!G$2:G$5002),Raw_Data!G3490)</f>
        <v>19419.56</v>
      </c>
      <c r="H3490" s="15" t="str">
        <f t="shared" si="1"/>
        <v>147539.00</v>
      </c>
      <c r="I3490" s="14" t="str">
        <f t="shared" si="2"/>
        <v>128119.00</v>
      </c>
      <c r="J3490" s="16" t="str">
        <f>TEXT(Raw_Data!J3490,"MMM-YYY")</f>
        <v>Dec-2025</v>
      </c>
      <c r="K3490" s="13" t="str">
        <f>Raw_Data!K3490</f>
        <v>12</v>
      </c>
      <c r="L3490" s="17" t="str">
        <f>Raw_Data!L3490</f>
        <v>Bangalore-South</v>
      </c>
      <c r="M3490" s="13" t="str">
        <f t="shared" si="3"/>
        <v>OK</v>
      </c>
      <c r="N3490" s="18" t="str">
        <f t="shared" si="4"/>
        <v>VALID</v>
      </c>
    </row>
    <row r="3491" ht="15.75" customHeight="1">
      <c r="A3491" s="13" t="str">
        <f>Raw_Data!A3491</f>
        <v>EMP3683</v>
      </c>
      <c r="B3491" s="13" t="str">
        <f>TRIM(CLEAN(Raw_Data!B3491))</f>
        <v>Operations</v>
      </c>
      <c r="C3491" s="18" t="s">
        <v>14</v>
      </c>
      <c r="D3491" s="14" t="str">
        <f>IF(ISBLANK(Raw_Data!D3491),AVERAGE(Raw_Data!D$2:D$5002),Raw_Data!D3491)</f>
        <v>88119.26</v>
      </c>
      <c r="E3491" s="15" t="str">
        <f>IF(ISBLANK(Raw_Data!E3491),AVERAGE(Raw_Data!E$2:E$5002),Raw_Data!E3491)</f>
        <v>30986.63</v>
      </c>
      <c r="F3491" s="15" t="str">
        <f>IF(ISBLANK(Raw_Data!F3491),AVERAGE(Raw_Data!F$2:F$5002),Raw_Data!F3491)</f>
        <v>28456.71</v>
      </c>
      <c r="G3491" s="14" t="str">
        <f>IF(ISBLANK(Raw_Data!G3491),AVERAGE(Raw_Data!G$2:G$5002),Raw_Data!G3491)</f>
        <v>19422.96</v>
      </c>
      <c r="H3491" s="15" t="str">
        <f t="shared" si="1"/>
        <v>147563.00</v>
      </c>
      <c r="I3491" s="14" t="str">
        <f t="shared" si="2"/>
        <v>128140.00</v>
      </c>
      <c r="J3491" s="16" t="str">
        <f>TEXT(Raw_Data!J3491,"MMM-YYY")</f>
        <v>Aug-2025</v>
      </c>
      <c r="K3491" s="13" t="str">
        <f>Raw_Data!K3491</f>
        <v>22</v>
      </c>
      <c r="L3491" s="17" t="str">
        <f>Raw_Data!L3491</f>
        <v>Chennai-South</v>
      </c>
      <c r="M3491" s="13" t="str">
        <f t="shared" si="3"/>
        <v>OK</v>
      </c>
      <c r="N3491" s="18" t="str">
        <f t="shared" si="4"/>
        <v>VALID</v>
      </c>
    </row>
    <row r="3492" ht="15.75" customHeight="1">
      <c r="A3492" s="13" t="str">
        <f>Raw_Data!A3492</f>
        <v>EMP3684</v>
      </c>
      <c r="B3492" s="13" t="str">
        <f>TRIM(CLEAN(Raw_Data!B3492))</f>
        <v>Marketing</v>
      </c>
      <c r="C3492" s="18" t="s">
        <v>54</v>
      </c>
      <c r="D3492" s="14" t="str">
        <f>IF(ISBLANK(Raw_Data!D3492),AVERAGE(Raw_Data!D$2:D$5002),Raw_Data!D3492)</f>
        <v>88130.14</v>
      </c>
      <c r="E3492" s="15" t="str">
        <f>IF(ISBLANK(Raw_Data!E3492),AVERAGE(Raw_Data!E$2:E$5002),Raw_Data!E3492)</f>
        <v>30991.25</v>
      </c>
      <c r="F3492" s="15" t="str">
        <f>IF(ISBLANK(Raw_Data!F3492),AVERAGE(Raw_Data!F$2:F$5002),Raw_Data!F3492)</f>
        <v>28464.39</v>
      </c>
      <c r="G3492" s="14" t="str">
        <f>IF(ISBLANK(Raw_Data!G3492),AVERAGE(Raw_Data!G$2:G$5002),Raw_Data!G3492)</f>
        <v>19426.36</v>
      </c>
      <c r="H3492" s="15" t="str">
        <f t="shared" si="1"/>
        <v>147586.00</v>
      </c>
      <c r="I3492" s="14" t="str">
        <f t="shared" si="2"/>
        <v>128160.00</v>
      </c>
      <c r="J3492" s="16" t="str">
        <f>TEXT(Raw_Data!J3492,"MMM-YYY")</f>
        <v>Nov-2025</v>
      </c>
      <c r="K3492" s="13" t="str">
        <f>Raw_Data!K3492</f>
        <v>9</v>
      </c>
      <c r="L3492" s="17" t="str">
        <f>Raw_Data!L3492</f>
        <v>Kolkata-East</v>
      </c>
      <c r="M3492" s="13" t="str">
        <f t="shared" si="3"/>
        <v>OK</v>
      </c>
      <c r="N3492" s="18" t="str">
        <f t="shared" si="4"/>
        <v>VALID</v>
      </c>
    </row>
    <row r="3493" ht="15.75" customHeight="1">
      <c r="A3493" s="13" t="str">
        <f>Raw_Data!A3493</f>
        <v>EMP3685</v>
      </c>
      <c r="B3493" s="13" t="str">
        <f>TRIM(CLEAN(Raw_Data!B3493))</f>
        <v>Customer Support</v>
      </c>
      <c r="C3493" s="18" t="s">
        <v>37</v>
      </c>
      <c r="D3493" s="14" t="str">
        <f>IF(ISBLANK(Raw_Data!D3493),AVERAGE(Raw_Data!D$2:D$5002),Raw_Data!D3493)</f>
        <v>88141.02</v>
      </c>
      <c r="E3493" s="15" t="str">
        <f>IF(ISBLANK(Raw_Data!E3493),AVERAGE(Raw_Data!E$2:E$5002),Raw_Data!E3493)</f>
        <v>30995.86</v>
      </c>
      <c r="F3493" s="15" t="str">
        <f>IF(ISBLANK(Raw_Data!F3493),AVERAGE(Raw_Data!F$2:F$5002),Raw_Data!F3493)</f>
        <v>28472.07</v>
      </c>
      <c r="G3493" s="14" t="str">
        <f>IF(ISBLANK(Raw_Data!G3493),AVERAGE(Raw_Data!G$2:G$5002),Raw_Data!G3493)</f>
        <v>19429.75</v>
      </c>
      <c r="H3493" s="15" t="str">
        <f t="shared" si="1"/>
        <v>147609.00</v>
      </c>
      <c r="I3493" s="14" t="str">
        <f t="shared" si="2"/>
        <v>128179.00</v>
      </c>
      <c r="J3493" s="16" t="str">
        <f>TEXT(Raw_Data!J3493,"MMM-YYY")</f>
        <v>May-2025</v>
      </c>
      <c r="K3493" s="13" t="str">
        <f>Raw_Data!K3493</f>
        <v>4</v>
      </c>
      <c r="L3493" s="17" t="str">
        <f>Raw_Data!L3493</f>
        <v>Pune-West</v>
      </c>
      <c r="M3493" s="13" t="str">
        <f t="shared" si="3"/>
        <v>OK</v>
      </c>
      <c r="N3493" s="18" t="str">
        <f t="shared" si="4"/>
        <v>VALID</v>
      </c>
    </row>
    <row r="3494" ht="15.75" customHeight="1">
      <c r="A3494" s="13" t="str">
        <f>Raw_Data!A3494</f>
        <v>EMP3686</v>
      </c>
      <c r="B3494" s="13" t="str">
        <f>TRIM(CLEAN(Raw_Data!B3494))</f>
        <v>HR</v>
      </c>
      <c r="C3494" s="18" t="s">
        <v>54</v>
      </c>
      <c r="D3494" s="14" t="str">
        <f>IF(ISBLANK(Raw_Data!D3494),AVERAGE(Raw_Data!D$2:D$5002),Raw_Data!D3494)</f>
        <v>88151.91</v>
      </c>
      <c r="E3494" s="15" t="str">
        <f>IF(ISBLANK(Raw_Data!E3494),AVERAGE(Raw_Data!E$2:E$5002),Raw_Data!E3494)</f>
        <v>31000.48</v>
      </c>
      <c r="F3494" s="15" t="str">
        <f>IF(ISBLANK(Raw_Data!F3494),AVERAGE(Raw_Data!F$2:F$5002),Raw_Data!F3494)</f>
        <v>28479.75</v>
      </c>
      <c r="G3494" s="14" t="str">
        <f>IF(ISBLANK(Raw_Data!G3494),AVERAGE(Raw_Data!G$2:G$5002),Raw_Data!G3494)</f>
        <v>19433.15</v>
      </c>
      <c r="H3494" s="15" t="str">
        <f t="shared" si="1"/>
        <v>147632.00</v>
      </c>
      <c r="I3494" s="14" t="str">
        <f t="shared" si="2"/>
        <v>128199.00</v>
      </c>
      <c r="J3494" s="16" t="str">
        <f>TEXT(Raw_Data!J3494,"MMM-YYY")</f>
        <v>Jun-2025</v>
      </c>
      <c r="K3494" s="13" t="str">
        <f>Raw_Data!K3494</f>
        <v>8</v>
      </c>
      <c r="L3494" s="17" t="str">
        <f>Raw_Data!L3494</f>
        <v>Hyderabad-South</v>
      </c>
      <c r="M3494" s="13" t="str">
        <f t="shared" si="3"/>
        <v>OK</v>
      </c>
      <c r="N3494" s="18" t="str">
        <f t="shared" si="4"/>
        <v>VALID</v>
      </c>
    </row>
    <row r="3495" ht="15.75" customHeight="1">
      <c r="A3495" s="13" t="str">
        <f>Raw_Data!A3495</f>
        <v>EMP3687</v>
      </c>
      <c r="B3495" s="13" t="str">
        <f>TRIM(CLEAN(Raw_Data!B3495))</f>
        <v>IT</v>
      </c>
      <c r="C3495" s="18" t="s">
        <v>33</v>
      </c>
      <c r="D3495" s="14" t="str">
        <f>IF(ISBLANK(Raw_Data!D3495),AVERAGE(Raw_Data!D$2:D$5002),Raw_Data!D3495)</f>
        <v>88162.79</v>
      </c>
      <c r="E3495" s="15" t="str">
        <f>IF(ISBLANK(Raw_Data!E3495),AVERAGE(Raw_Data!E$2:E$5002),Raw_Data!E3495)</f>
        <v>31005.09</v>
      </c>
      <c r="F3495" s="15" t="str">
        <f>IF(ISBLANK(Raw_Data!F3495),AVERAGE(Raw_Data!F$2:F$5002),Raw_Data!F3495)</f>
        <v>28487.43</v>
      </c>
      <c r="G3495" s="14" t="str">
        <f>IF(ISBLANK(Raw_Data!G3495),AVERAGE(Raw_Data!G$2:G$5002),Raw_Data!G3495)</f>
        <v>19436.55</v>
      </c>
      <c r="H3495" s="15" t="str">
        <f t="shared" si="1"/>
        <v>147655.00</v>
      </c>
      <c r="I3495" s="14" t="str">
        <f t="shared" si="2"/>
        <v>128218.00</v>
      </c>
      <c r="J3495" s="16" t="str">
        <f>TEXT(Raw_Data!J3495,"MMM-YYY")</f>
        <v>May-2025</v>
      </c>
      <c r="K3495" s="13" t="str">
        <f>Raw_Data!K3495</f>
        <v>24</v>
      </c>
      <c r="L3495" s="17" t="str">
        <f>Raw_Data!L3495</f>
        <v>Chandigarh-North</v>
      </c>
      <c r="M3495" s="13" t="str">
        <f t="shared" si="3"/>
        <v>OK</v>
      </c>
      <c r="N3495" s="18" t="str">
        <f t="shared" si="4"/>
        <v>VALID</v>
      </c>
    </row>
    <row r="3496" ht="15.75" customHeight="1">
      <c r="A3496" s="13" t="str">
        <f>Raw_Data!A3496</f>
        <v>EMP3688</v>
      </c>
      <c r="B3496" s="13" t="str">
        <f>TRIM(CLEAN(Raw_Data!B3496))</f>
        <v>Finance</v>
      </c>
      <c r="C3496" s="18" t="s">
        <v>26</v>
      </c>
      <c r="D3496" s="14" t="str">
        <f>IF(ISBLANK(Raw_Data!D3496),AVERAGE(Raw_Data!D$2:D$5002),Raw_Data!D3496)</f>
        <v>71831.17</v>
      </c>
      <c r="E3496" s="15" t="str">
        <f>IF(ISBLANK(Raw_Data!E3496),AVERAGE(Raw_Data!E$2:E$5002),Raw_Data!E3496)</f>
        <v>31009.71</v>
      </c>
      <c r="F3496" s="15" t="str">
        <f>IF(ISBLANK(Raw_Data!F3496),AVERAGE(Raw_Data!F$2:F$5002),Raw_Data!F3496)</f>
        <v>28495.11</v>
      </c>
      <c r="G3496" s="14" t="str">
        <f>IF(ISBLANK(Raw_Data!G3496),AVERAGE(Raw_Data!G$2:G$5002),Raw_Data!G3496)</f>
        <v>19439.95</v>
      </c>
      <c r="H3496" s="15" t="str">
        <f t="shared" si="1"/>
        <v>131336.00</v>
      </c>
      <c r="I3496" s="14" t="str">
        <f t="shared" si="2"/>
        <v>111896.00</v>
      </c>
      <c r="J3496" s="16" t="str">
        <f>TEXT(Raw_Data!J3496,"MMM-YYY")</f>
        <v>Jul-2025</v>
      </c>
      <c r="K3496" s="13" t="str">
        <f>Raw_Data!K3496</f>
        <v>16</v>
      </c>
      <c r="L3496" s="17" t="str">
        <f>Raw_Data!L3496</f>
        <v>Ahmedabad-West</v>
      </c>
      <c r="M3496" s="13" t="str">
        <f t="shared" si="3"/>
        <v>OK</v>
      </c>
      <c r="N3496" s="18" t="str">
        <f t="shared" si="4"/>
        <v>VALID</v>
      </c>
    </row>
    <row r="3497" ht="15.75" customHeight="1">
      <c r="A3497" s="13" t="str">
        <f>Raw_Data!A3497</f>
        <v>EMP3689</v>
      </c>
      <c r="B3497" s="13" t="str">
        <f>TRIM(CLEAN(Raw_Data!B3497))</f>
        <v>IT</v>
      </c>
      <c r="C3497" s="18" t="s">
        <v>30</v>
      </c>
      <c r="D3497" s="14" t="str">
        <f>IF(ISBLANK(Raw_Data!D3497),AVERAGE(Raw_Data!D$2:D$5002),Raw_Data!D3497)</f>
        <v>88184.56</v>
      </c>
      <c r="E3497" s="15" t="str">
        <f>IF(ISBLANK(Raw_Data!E3497),AVERAGE(Raw_Data!E$2:E$5002),Raw_Data!E3497)</f>
        <v>31014.32</v>
      </c>
      <c r="F3497" s="15" t="str">
        <f>IF(ISBLANK(Raw_Data!F3497),AVERAGE(Raw_Data!F$2:F$5002),Raw_Data!F3497)</f>
        <v>28502.79</v>
      </c>
      <c r="G3497" s="14" t="str">
        <f>IF(ISBLANK(Raw_Data!G3497),AVERAGE(Raw_Data!G$2:G$5002),Raw_Data!G3497)</f>
        <v>19443.34</v>
      </c>
      <c r="H3497" s="15" t="str">
        <f t="shared" si="1"/>
        <v>147702.00</v>
      </c>
      <c r="I3497" s="14" t="str">
        <f t="shared" si="2"/>
        <v>128259.00</v>
      </c>
      <c r="J3497" s="16" t="str">
        <f>TEXT(Raw_Data!J3497,"MMM-YYY")</f>
        <v>Jan-2025</v>
      </c>
      <c r="K3497" s="13" t="str">
        <f>Raw_Data!K3497</f>
        <v>1</v>
      </c>
      <c r="L3497" s="17" t="str">
        <f>Raw_Data!L3497</f>
        <v>Jaipur-North</v>
      </c>
      <c r="M3497" s="13" t="str">
        <f t="shared" si="3"/>
        <v>OK</v>
      </c>
      <c r="N3497" s="18" t="str">
        <f t="shared" si="4"/>
        <v>VALID</v>
      </c>
    </row>
    <row r="3498" ht="15.75" customHeight="1">
      <c r="A3498" s="13" t="str">
        <f>Raw_Data!A3498</f>
        <v>EMP3690</v>
      </c>
      <c r="B3498" s="13" t="str">
        <f>TRIM(CLEAN(Raw_Data!B3498))</f>
        <v>HR</v>
      </c>
      <c r="C3498" s="18" t="s">
        <v>54</v>
      </c>
      <c r="D3498" s="14" t="str">
        <f>IF(ISBLANK(Raw_Data!D3498),AVERAGE(Raw_Data!D$2:D$5002),Raw_Data!D3498)</f>
        <v>88195.44</v>
      </c>
      <c r="E3498" s="15" t="str">
        <f>IF(ISBLANK(Raw_Data!E3498),AVERAGE(Raw_Data!E$2:E$5002),Raw_Data!E3498)</f>
        <v>31018.93</v>
      </c>
      <c r="F3498" s="15" t="str">
        <f>IF(ISBLANK(Raw_Data!F3498),AVERAGE(Raw_Data!F$2:F$5002),Raw_Data!F3498)</f>
        <v>28510.47</v>
      </c>
      <c r="G3498" s="14" t="str">
        <f>IF(ISBLANK(Raw_Data!G3498),AVERAGE(Raw_Data!G$2:G$5002),Raw_Data!G3498)</f>
        <v>19446.74</v>
      </c>
      <c r="H3498" s="15" t="str">
        <f t="shared" si="1"/>
        <v>147725.00</v>
      </c>
      <c r="I3498" s="14" t="str">
        <f t="shared" si="2"/>
        <v>128278.00</v>
      </c>
      <c r="J3498" s="16" t="str">
        <f>TEXT(Raw_Data!J3498,"MMM-YYY")</f>
        <v>Dec-2025</v>
      </c>
      <c r="K3498" s="13" t="str">
        <f>Raw_Data!K3498</f>
        <v>15</v>
      </c>
      <c r="L3498" s="17" t="str">
        <f>Raw_Data!L3498</f>
        <v>Mumbai-HO</v>
      </c>
      <c r="M3498" s="13" t="str">
        <f t="shared" si="3"/>
        <v>OK</v>
      </c>
      <c r="N3498" s="18" t="str">
        <f t="shared" si="4"/>
        <v>VALID</v>
      </c>
    </row>
    <row r="3499" ht="15.75" customHeight="1">
      <c r="A3499" s="13" t="str">
        <f>Raw_Data!A3499</f>
        <v>EMP3691</v>
      </c>
      <c r="B3499" s="13" t="str">
        <f>TRIM(CLEAN(Raw_Data!B3499))</f>
        <v>HR</v>
      </c>
      <c r="C3499" s="18" t="s">
        <v>14</v>
      </c>
      <c r="D3499" s="14" t="str">
        <f>IF(ISBLANK(Raw_Data!D3499),AVERAGE(Raw_Data!D$2:D$5002),Raw_Data!D3499)</f>
        <v>88206.32</v>
      </c>
      <c r="E3499" s="15" t="str">
        <f>IF(ISBLANK(Raw_Data!E3499),AVERAGE(Raw_Data!E$2:E$5002),Raw_Data!E3499)</f>
        <v>31023.55</v>
      </c>
      <c r="F3499" s="15" t="str">
        <f>IF(ISBLANK(Raw_Data!F3499),AVERAGE(Raw_Data!F$2:F$5002),Raw_Data!F3499)</f>
        <v>28518.15</v>
      </c>
      <c r="G3499" s="14" t="str">
        <f>IF(ISBLANK(Raw_Data!G3499),AVERAGE(Raw_Data!G$2:G$5002),Raw_Data!G3499)</f>
        <v>19450.14</v>
      </c>
      <c r="H3499" s="15" t="str">
        <f t="shared" si="1"/>
        <v>147748.00</v>
      </c>
      <c r="I3499" s="14" t="str">
        <f t="shared" si="2"/>
        <v>128298.00</v>
      </c>
      <c r="J3499" s="16" t="str">
        <f>TEXT(Raw_Data!J3499,"MMM-YYY")</f>
        <v>Nov-2025</v>
      </c>
      <c r="K3499" s="13" t="str">
        <f>Raw_Data!K3499</f>
        <v>24</v>
      </c>
      <c r="L3499" s="17" t="str">
        <f>Raw_Data!L3499</f>
        <v>Delhi-North</v>
      </c>
      <c r="M3499" s="13" t="str">
        <f t="shared" si="3"/>
        <v>OK</v>
      </c>
      <c r="N3499" s="18" t="str">
        <f t="shared" si="4"/>
        <v>VALID</v>
      </c>
    </row>
    <row r="3500" ht="15.75" customHeight="1">
      <c r="A3500" s="13" t="str">
        <f>Raw_Data!A3500</f>
        <v>EMP3692</v>
      </c>
      <c r="B3500" s="13" t="str">
        <f>TRIM(CLEAN(Raw_Data!B3500))</f>
        <v>Operations</v>
      </c>
      <c r="C3500" s="18" t="s">
        <v>54</v>
      </c>
      <c r="D3500" s="14" t="str">
        <f>IF(ISBLANK(Raw_Data!D3500),AVERAGE(Raw_Data!D$2:D$5002),Raw_Data!D3500)</f>
        <v>88217.20</v>
      </c>
      <c r="E3500" s="15" t="str">
        <f>IF(ISBLANK(Raw_Data!E3500),AVERAGE(Raw_Data!E$2:E$5002),Raw_Data!E3500)</f>
        <v>31028.16</v>
      </c>
      <c r="F3500" s="15" t="str">
        <f>IF(ISBLANK(Raw_Data!F3500),AVERAGE(Raw_Data!F$2:F$5002),Raw_Data!F3500)</f>
        <v>28525.83</v>
      </c>
      <c r="G3500" s="14" t="str">
        <f>IF(ISBLANK(Raw_Data!G3500),AVERAGE(Raw_Data!G$2:G$5002),Raw_Data!G3500)</f>
        <v>19453.54</v>
      </c>
      <c r="H3500" s="15" t="str">
        <f t="shared" si="1"/>
        <v>147771.00</v>
      </c>
      <c r="I3500" s="14" t="str">
        <f t="shared" si="2"/>
        <v>128317.00</v>
      </c>
      <c r="J3500" s="16" t="str">
        <f>TEXT(Raw_Data!J3500,"MMM-YYY")</f>
        <v>May-2025</v>
      </c>
      <c r="K3500" s="13" t="str">
        <f>Raw_Data!K3500</f>
        <v>15</v>
      </c>
      <c r="L3500" s="17" t="str">
        <f>Raw_Data!L3500</f>
        <v>Bangalore-South</v>
      </c>
      <c r="M3500" s="13" t="str">
        <f t="shared" si="3"/>
        <v>OK</v>
      </c>
      <c r="N3500" s="18" t="str">
        <f t="shared" si="4"/>
        <v>VALID</v>
      </c>
    </row>
    <row r="3501" ht="15.75" customHeight="1">
      <c r="A3501" s="13" t="str">
        <f>Raw_Data!A3501</f>
        <v>EMP3693</v>
      </c>
      <c r="B3501" s="13" t="str">
        <f>TRIM(CLEAN(Raw_Data!B3501))</f>
        <v>Sales</v>
      </c>
      <c r="C3501" s="18" t="s">
        <v>33</v>
      </c>
      <c r="D3501" s="14" t="str">
        <f>IF(ISBLANK(Raw_Data!D3501),AVERAGE(Raw_Data!D$2:D$5002),Raw_Data!D3501)</f>
        <v>71831.17</v>
      </c>
      <c r="E3501" s="15" t="str">
        <f>IF(ISBLANK(Raw_Data!E3501),AVERAGE(Raw_Data!E$2:E$5002),Raw_Data!E3501)</f>
        <v>31032.78</v>
      </c>
      <c r="F3501" s="15" t="str">
        <f>IF(ISBLANK(Raw_Data!F3501),AVERAGE(Raw_Data!F$2:F$5002),Raw_Data!F3501)</f>
        <v>28533.51</v>
      </c>
      <c r="G3501" s="14" t="str">
        <f>IF(ISBLANK(Raw_Data!G3501),AVERAGE(Raw_Data!G$2:G$5002),Raw_Data!G3501)</f>
        <v>19456.93</v>
      </c>
      <c r="H3501" s="15" t="str">
        <f t="shared" si="1"/>
        <v>131397.00</v>
      </c>
      <c r="I3501" s="14" t="str">
        <f t="shared" si="2"/>
        <v>111940.00</v>
      </c>
      <c r="J3501" s="16" t="str">
        <f>TEXT(Raw_Data!J3501,"MMM-YYY")</f>
        <v>Sep-2025</v>
      </c>
      <c r="K3501" s="13" t="str">
        <f>Raw_Data!K3501</f>
        <v>19</v>
      </c>
      <c r="L3501" s="17" t="str">
        <f>Raw_Data!L3501</f>
        <v>Chennai-South</v>
      </c>
      <c r="M3501" s="13" t="str">
        <f t="shared" si="3"/>
        <v>OK</v>
      </c>
      <c r="N3501" s="18" t="str">
        <f t="shared" si="4"/>
        <v>VALID</v>
      </c>
    </row>
    <row r="3502" ht="15.75" customHeight="1">
      <c r="A3502" s="13" t="str">
        <f>Raw_Data!A3502</f>
        <v>EMP3694</v>
      </c>
      <c r="B3502" s="13" t="str">
        <f>TRIM(CLEAN(Raw_Data!B3502))</f>
        <v>Sales</v>
      </c>
      <c r="C3502" s="18" t="s">
        <v>30</v>
      </c>
      <c r="D3502" s="14" t="str">
        <f>IF(ISBLANK(Raw_Data!D3502),AVERAGE(Raw_Data!D$2:D$5002),Raw_Data!D3502)</f>
        <v>88238.97</v>
      </c>
      <c r="E3502" s="15" t="str">
        <f>IF(ISBLANK(Raw_Data!E3502),AVERAGE(Raw_Data!E$2:E$5002),Raw_Data!E3502)</f>
        <v>31037.39</v>
      </c>
      <c r="F3502" s="15" t="str">
        <f>IF(ISBLANK(Raw_Data!F3502),AVERAGE(Raw_Data!F$2:F$5002),Raw_Data!F3502)</f>
        <v>28541.19</v>
      </c>
      <c r="G3502" s="14" t="str">
        <f>IF(ISBLANK(Raw_Data!G3502),AVERAGE(Raw_Data!G$2:G$5002),Raw_Data!G3502)</f>
        <v>19460.33</v>
      </c>
      <c r="H3502" s="15" t="str">
        <f t="shared" si="1"/>
        <v>147818.00</v>
      </c>
      <c r="I3502" s="14" t="str">
        <f t="shared" si="2"/>
        <v>128358.00</v>
      </c>
      <c r="J3502" s="16" t="str">
        <f>TEXT(Raw_Data!J3502,"MMM-YYY")</f>
        <v>Mar-2025</v>
      </c>
      <c r="K3502" s="13" t="str">
        <f>Raw_Data!K3502</f>
        <v>12</v>
      </c>
      <c r="L3502" s="17" t="str">
        <f>Raw_Data!L3502</f>
        <v>Kolkata-East</v>
      </c>
      <c r="M3502" s="13" t="str">
        <f t="shared" si="3"/>
        <v>OK</v>
      </c>
      <c r="N3502" s="18" t="str">
        <f t="shared" si="4"/>
        <v>VALID</v>
      </c>
    </row>
    <row r="3503" ht="15.75" customHeight="1">
      <c r="A3503" s="13" t="str">
        <f>Raw_Data!A3503</f>
        <v>EMP3695</v>
      </c>
      <c r="B3503" s="13" t="str">
        <f>TRIM(CLEAN(Raw_Data!B3503))</f>
        <v>IT</v>
      </c>
      <c r="C3503" s="18" t="s">
        <v>33</v>
      </c>
      <c r="D3503" s="14" t="str">
        <f>IF(ISBLANK(Raw_Data!D3503),AVERAGE(Raw_Data!D$2:D$5002),Raw_Data!D3503)</f>
        <v>88249.85</v>
      </c>
      <c r="E3503" s="15" t="str">
        <f>IF(ISBLANK(Raw_Data!E3503),AVERAGE(Raw_Data!E$2:E$5002),Raw_Data!E3503)</f>
        <v>31042.01</v>
      </c>
      <c r="F3503" s="15" t="str">
        <f>IF(ISBLANK(Raw_Data!F3503),AVERAGE(Raw_Data!F$2:F$5002),Raw_Data!F3503)</f>
        <v>28548.87</v>
      </c>
      <c r="G3503" s="14" t="str">
        <f>IF(ISBLANK(Raw_Data!G3503),AVERAGE(Raw_Data!G$2:G$5002),Raw_Data!G3503)</f>
        <v>19463.73</v>
      </c>
      <c r="H3503" s="15" t="str">
        <f t="shared" si="1"/>
        <v>147841.00</v>
      </c>
      <c r="I3503" s="14" t="str">
        <f t="shared" si="2"/>
        <v>128377.00</v>
      </c>
      <c r="J3503" s="16" t="str">
        <f>TEXT(Raw_Data!J3503,"MMM-YYY")</f>
        <v>May-2025</v>
      </c>
      <c r="K3503" s="13" t="str">
        <f>Raw_Data!K3503</f>
        <v>23</v>
      </c>
      <c r="L3503" s="17" t="str">
        <f>Raw_Data!L3503</f>
        <v>Pune-West</v>
      </c>
      <c r="M3503" s="13" t="str">
        <f t="shared" si="3"/>
        <v>OK</v>
      </c>
      <c r="N3503" s="18" t="str">
        <f t="shared" si="4"/>
        <v>VALID</v>
      </c>
    </row>
    <row r="3504" ht="15.75" customHeight="1">
      <c r="A3504" s="13" t="str">
        <f>Raw_Data!A3504</f>
        <v>EMP3696</v>
      </c>
      <c r="B3504" s="13" t="str">
        <f>TRIM(CLEAN(Raw_Data!B3504))</f>
        <v>Operations</v>
      </c>
      <c r="C3504" s="18" t="s">
        <v>18</v>
      </c>
      <c r="D3504" s="14" t="str">
        <f>IF(ISBLANK(Raw_Data!D3504),AVERAGE(Raw_Data!D$2:D$5002),Raw_Data!D3504)</f>
        <v>88260.74</v>
      </c>
      <c r="E3504" s="15" t="str">
        <f>IF(ISBLANK(Raw_Data!E3504),AVERAGE(Raw_Data!E$2:E$5002),Raw_Data!E3504)</f>
        <v>31046.62</v>
      </c>
      <c r="F3504" s="15" t="str">
        <f>IF(ISBLANK(Raw_Data!F3504),AVERAGE(Raw_Data!F$2:F$5002),Raw_Data!F3504)</f>
        <v>28556.55</v>
      </c>
      <c r="G3504" s="14" t="str">
        <f>IF(ISBLANK(Raw_Data!G3504),AVERAGE(Raw_Data!G$2:G$5002),Raw_Data!G3504)</f>
        <v>19467.13</v>
      </c>
      <c r="H3504" s="15" t="str">
        <f t="shared" si="1"/>
        <v>147864.00</v>
      </c>
      <c r="I3504" s="14" t="str">
        <f t="shared" si="2"/>
        <v>128397.00</v>
      </c>
      <c r="J3504" s="16" t="str">
        <f>TEXT(Raw_Data!J3504,"MMM-YYY")</f>
        <v>Aug-2025</v>
      </c>
      <c r="K3504" s="13" t="str">
        <f>Raw_Data!K3504</f>
        <v>8</v>
      </c>
      <c r="L3504" s="17" t="str">
        <f>Raw_Data!L3504</f>
        <v>Hyderabad-South</v>
      </c>
      <c r="M3504" s="13" t="str">
        <f t="shared" si="3"/>
        <v>OK</v>
      </c>
      <c r="N3504" s="18" t="str">
        <f t="shared" si="4"/>
        <v>VALID</v>
      </c>
    </row>
    <row r="3505" ht="15.75" customHeight="1">
      <c r="A3505" s="13" t="str">
        <f>Raw_Data!A3505</f>
        <v>EMP3697</v>
      </c>
      <c r="B3505" s="13" t="str">
        <f>TRIM(CLEAN(Raw_Data!B3505))</f>
        <v>Finance</v>
      </c>
      <c r="C3505" s="18" t="s">
        <v>26</v>
      </c>
      <c r="D3505" s="14" t="str">
        <f>IF(ISBLANK(Raw_Data!D3505),AVERAGE(Raw_Data!D$2:D$5002),Raw_Data!D3505)</f>
        <v>88271.62</v>
      </c>
      <c r="E3505" s="15" t="str">
        <f>IF(ISBLANK(Raw_Data!E3505),AVERAGE(Raw_Data!E$2:E$5002),Raw_Data!E3505)</f>
        <v>31051.24</v>
      </c>
      <c r="F3505" s="15" t="str">
        <f>IF(ISBLANK(Raw_Data!F3505),AVERAGE(Raw_Data!F$2:F$5002),Raw_Data!F3505)</f>
        <v>28564.23</v>
      </c>
      <c r="G3505" s="14" t="str">
        <f>IF(ISBLANK(Raw_Data!G3505),AVERAGE(Raw_Data!G$2:G$5002),Raw_Data!G3505)</f>
        <v>19470.52</v>
      </c>
      <c r="H3505" s="15" t="str">
        <f t="shared" si="1"/>
        <v>147887.00</v>
      </c>
      <c r="I3505" s="14" t="str">
        <f t="shared" si="2"/>
        <v>128416.00</v>
      </c>
      <c r="J3505" s="16" t="str">
        <f>TEXT(Raw_Data!J3505,"MMM-YYY")</f>
        <v>Dec-2025</v>
      </c>
      <c r="K3505" s="13" t="str">
        <f>Raw_Data!K3505</f>
        <v>22</v>
      </c>
      <c r="L3505" s="17" t="str">
        <f>Raw_Data!L3505</f>
        <v>Chandigarh-North</v>
      </c>
      <c r="M3505" s="13" t="str">
        <f t="shared" si="3"/>
        <v>OK</v>
      </c>
      <c r="N3505" s="18" t="str">
        <f t="shared" si="4"/>
        <v>VALID</v>
      </c>
    </row>
    <row r="3506" ht="15.75" customHeight="1">
      <c r="A3506" s="13" t="str">
        <f>Raw_Data!A3506</f>
        <v>EMP3698</v>
      </c>
      <c r="B3506" s="13" t="str">
        <f>TRIM(CLEAN(Raw_Data!B3506))</f>
        <v>Operations</v>
      </c>
      <c r="C3506" s="18" t="s">
        <v>14</v>
      </c>
      <c r="D3506" s="14" t="str">
        <f>IF(ISBLANK(Raw_Data!D3506),AVERAGE(Raw_Data!D$2:D$5002),Raw_Data!D3506)</f>
        <v>88282.50</v>
      </c>
      <c r="E3506" s="15" t="str">
        <f>IF(ISBLANK(Raw_Data!E3506),AVERAGE(Raw_Data!E$2:E$5002),Raw_Data!E3506)</f>
        <v>31055.85</v>
      </c>
      <c r="F3506" s="15" t="str">
        <f>IF(ISBLANK(Raw_Data!F3506),AVERAGE(Raw_Data!F$2:F$5002),Raw_Data!F3506)</f>
        <v>28571.91</v>
      </c>
      <c r="G3506" s="14" t="str">
        <f>IF(ISBLANK(Raw_Data!G3506),AVERAGE(Raw_Data!G$2:G$5002),Raw_Data!G3506)</f>
        <v>19473.92</v>
      </c>
      <c r="H3506" s="15" t="str">
        <f t="shared" si="1"/>
        <v>147910.00</v>
      </c>
      <c r="I3506" s="14" t="str">
        <f t="shared" si="2"/>
        <v>128436.00</v>
      </c>
      <c r="J3506" s="16" t="str">
        <f>TEXT(Raw_Data!J3506,"MMM-YYY")</f>
        <v>Jun-2025</v>
      </c>
      <c r="K3506" s="13" t="str">
        <f>Raw_Data!K3506</f>
        <v>15</v>
      </c>
      <c r="L3506" s="17" t="str">
        <f>Raw_Data!L3506</f>
        <v>Ahmedabad-West</v>
      </c>
      <c r="M3506" s="13" t="str">
        <f t="shared" si="3"/>
        <v>OK</v>
      </c>
      <c r="N3506" s="18" t="str">
        <f t="shared" si="4"/>
        <v>VALID</v>
      </c>
    </row>
    <row r="3507" ht="15.75" customHeight="1">
      <c r="A3507" s="13" t="str">
        <f>Raw_Data!A3507</f>
        <v>EMP3699</v>
      </c>
      <c r="B3507" s="13" t="str">
        <f>TRIM(CLEAN(Raw_Data!B3507))</f>
        <v>Finance</v>
      </c>
      <c r="C3507" s="18" t="s">
        <v>30</v>
      </c>
      <c r="D3507" s="14" t="str">
        <f>IF(ISBLANK(Raw_Data!D3507),AVERAGE(Raw_Data!D$2:D$5002),Raw_Data!D3507)</f>
        <v>88293.39</v>
      </c>
      <c r="E3507" s="15" t="str">
        <f>IF(ISBLANK(Raw_Data!E3507),AVERAGE(Raw_Data!E$2:E$5002),Raw_Data!E3507)</f>
        <v>31060.47</v>
      </c>
      <c r="F3507" s="15" t="str">
        <f>IF(ISBLANK(Raw_Data!F3507),AVERAGE(Raw_Data!F$2:F$5002),Raw_Data!F3507)</f>
        <v>28579.59</v>
      </c>
      <c r="G3507" s="14" t="str">
        <f>IF(ISBLANK(Raw_Data!G3507),AVERAGE(Raw_Data!G$2:G$5002),Raw_Data!G3507)</f>
        <v>19477.32</v>
      </c>
      <c r="H3507" s="15" t="str">
        <f t="shared" si="1"/>
        <v>147933.00</v>
      </c>
      <c r="I3507" s="14" t="str">
        <f t="shared" si="2"/>
        <v>128456.00</v>
      </c>
      <c r="J3507" s="16" t="str">
        <f>TEXT(Raw_Data!J3507,"MMM-YYY")</f>
        <v>Apr-2025</v>
      </c>
      <c r="K3507" s="13" t="str">
        <f>Raw_Data!K3507</f>
        <v>15</v>
      </c>
      <c r="L3507" s="17" t="str">
        <f>Raw_Data!L3507</f>
        <v>Jaipur-North</v>
      </c>
      <c r="M3507" s="13" t="str">
        <f t="shared" si="3"/>
        <v>OK</v>
      </c>
      <c r="N3507" s="18" t="str">
        <f t="shared" si="4"/>
        <v>VALID</v>
      </c>
    </row>
    <row r="3508" ht="15.75" customHeight="1">
      <c r="A3508" s="13" t="str">
        <f>Raw_Data!A3508</f>
        <v>EMP3700</v>
      </c>
      <c r="B3508" s="13" t="str">
        <f>TRIM(CLEAN(Raw_Data!B3508))</f>
        <v>Marketing</v>
      </c>
      <c r="C3508" s="18" t="s">
        <v>18</v>
      </c>
      <c r="D3508" s="14" t="str">
        <f>IF(ISBLANK(Raw_Data!D3508),AVERAGE(Raw_Data!D$2:D$5002),Raw_Data!D3508)</f>
        <v>88304.27</v>
      </c>
      <c r="E3508" s="15" t="str">
        <f>IF(ISBLANK(Raw_Data!E3508),AVERAGE(Raw_Data!E$2:E$5002),Raw_Data!E3508)</f>
        <v>31065.08</v>
      </c>
      <c r="F3508" s="15" t="str">
        <f>IF(ISBLANK(Raw_Data!F3508),AVERAGE(Raw_Data!F$2:F$5002),Raw_Data!F3508)</f>
        <v>28587.27</v>
      </c>
      <c r="G3508" s="14" t="str">
        <f>IF(ISBLANK(Raw_Data!G3508),AVERAGE(Raw_Data!G$2:G$5002),Raw_Data!G3508)</f>
        <v>19480.72</v>
      </c>
      <c r="H3508" s="15" t="str">
        <f t="shared" si="1"/>
        <v>147957.00</v>
      </c>
      <c r="I3508" s="14" t="str">
        <f t="shared" si="2"/>
        <v>128476.00</v>
      </c>
      <c r="J3508" s="16" t="str">
        <f>TEXT(Raw_Data!J3508,"MMM-YYY")</f>
        <v>Feb-2025</v>
      </c>
      <c r="K3508" s="13" t="str">
        <f>Raw_Data!K3508</f>
        <v>2</v>
      </c>
      <c r="L3508" s="17" t="str">
        <f>Raw_Data!L3508</f>
        <v>Mumbai-HO</v>
      </c>
      <c r="M3508" s="13" t="str">
        <f t="shared" si="3"/>
        <v>OK</v>
      </c>
      <c r="N3508" s="18" t="str">
        <f t="shared" si="4"/>
        <v>VALID</v>
      </c>
    </row>
    <row r="3509" ht="15.75" customHeight="1">
      <c r="A3509" s="13" t="str">
        <f>Raw_Data!A3509</f>
        <v>EMP3701</v>
      </c>
      <c r="B3509" s="13" t="str">
        <f>TRIM(CLEAN(Raw_Data!B3509))</f>
        <v>Finance</v>
      </c>
      <c r="C3509" s="18" t="s">
        <v>30</v>
      </c>
      <c r="D3509" s="14" t="str">
        <f>IF(ISBLANK(Raw_Data!D3509),AVERAGE(Raw_Data!D$2:D$5002),Raw_Data!D3509)</f>
        <v>88315.15</v>
      </c>
      <c r="E3509" s="15" t="str">
        <f>IF(ISBLANK(Raw_Data!E3509),AVERAGE(Raw_Data!E$2:E$5002),Raw_Data!E3509)</f>
        <v>31069.70</v>
      </c>
      <c r="F3509" s="15" t="str">
        <f>IF(ISBLANK(Raw_Data!F3509),AVERAGE(Raw_Data!F$2:F$5002),Raw_Data!F3509)</f>
        <v>28594.95</v>
      </c>
      <c r="G3509" s="14" t="str">
        <f>IF(ISBLANK(Raw_Data!G3509),AVERAGE(Raw_Data!G$2:G$5002),Raw_Data!G3509)</f>
        <v>19484.11</v>
      </c>
      <c r="H3509" s="15" t="str">
        <f t="shared" si="1"/>
        <v>147980.00</v>
      </c>
      <c r="I3509" s="14" t="str">
        <f t="shared" si="2"/>
        <v>128496.00</v>
      </c>
      <c r="J3509" s="16" t="str">
        <f>TEXT(Raw_Data!J3509,"MMM-YYY")</f>
        <v>Jul-2025</v>
      </c>
      <c r="K3509" s="13" t="str">
        <f>Raw_Data!K3509</f>
        <v>20</v>
      </c>
      <c r="L3509" s="17" t="str">
        <f>Raw_Data!L3509</f>
        <v>Delhi-North</v>
      </c>
      <c r="M3509" s="13" t="str">
        <f t="shared" si="3"/>
        <v>OK</v>
      </c>
      <c r="N3509" s="18" t="str">
        <f t="shared" si="4"/>
        <v>VALID</v>
      </c>
    </row>
    <row r="3510" ht="15.75" customHeight="1">
      <c r="A3510" s="13" t="str">
        <f>Raw_Data!A3510</f>
        <v>EMP3702</v>
      </c>
      <c r="B3510" s="13" t="str">
        <f>TRIM(CLEAN(Raw_Data!B3510))</f>
        <v>HR</v>
      </c>
      <c r="C3510" s="18" t="s">
        <v>26</v>
      </c>
      <c r="D3510" s="14" t="str">
        <f>IF(ISBLANK(Raw_Data!D3510),AVERAGE(Raw_Data!D$2:D$5002),Raw_Data!D3510)</f>
        <v>88326.03</v>
      </c>
      <c r="E3510" s="15" t="str">
        <f>IF(ISBLANK(Raw_Data!E3510),AVERAGE(Raw_Data!E$2:E$5002),Raw_Data!E3510)</f>
        <v>31074.31</v>
      </c>
      <c r="F3510" s="15" t="str">
        <f>IF(ISBLANK(Raw_Data!F3510),AVERAGE(Raw_Data!F$2:F$5002),Raw_Data!F3510)</f>
        <v>28602.63</v>
      </c>
      <c r="G3510" s="14" t="str">
        <f>IF(ISBLANK(Raw_Data!G3510),AVERAGE(Raw_Data!G$2:G$5002),Raw_Data!G3510)</f>
        <v>19487.51</v>
      </c>
      <c r="H3510" s="15" t="str">
        <f t="shared" si="1"/>
        <v>148003.00</v>
      </c>
      <c r="I3510" s="14" t="str">
        <f t="shared" si="2"/>
        <v>128515.00</v>
      </c>
      <c r="J3510" s="16" t="str">
        <f>TEXT(Raw_Data!J3510,"MMM-YYY")</f>
        <v>Feb-2025</v>
      </c>
      <c r="K3510" s="13" t="str">
        <f>Raw_Data!K3510</f>
        <v>12</v>
      </c>
      <c r="L3510" s="17" t="str">
        <f>Raw_Data!L3510</f>
        <v>Bangalore-South</v>
      </c>
      <c r="M3510" s="13" t="str">
        <f t="shared" si="3"/>
        <v>OK</v>
      </c>
      <c r="N3510" s="18" t="str">
        <f t="shared" si="4"/>
        <v>VALID</v>
      </c>
    </row>
    <row r="3511" ht="15.75" customHeight="1">
      <c r="A3511" s="13" t="str">
        <f>Raw_Data!A3511</f>
        <v>EMP3703</v>
      </c>
      <c r="B3511" s="13" t="str">
        <f>TRIM(CLEAN(Raw_Data!B3511))</f>
        <v>Finance</v>
      </c>
      <c r="C3511" s="18" t="s">
        <v>30</v>
      </c>
      <c r="D3511" s="14" t="str">
        <f>IF(ISBLANK(Raw_Data!D3511),AVERAGE(Raw_Data!D$2:D$5002),Raw_Data!D3511)</f>
        <v>88336.92</v>
      </c>
      <c r="E3511" s="15" t="str">
        <f>IF(ISBLANK(Raw_Data!E3511),AVERAGE(Raw_Data!E$2:E$5002),Raw_Data!E3511)</f>
        <v>31078.93</v>
      </c>
      <c r="F3511" s="15" t="str">
        <f>IF(ISBLANK(Raw_Data!F3511),AVERAGE(Raw_Data!F$2:F$5002),Raw_Data!F3511)</f>
        <v>28610.31</v>
      </c>
      <c r="G3511" s="14" t="str">
        <f>IF(ISBLANK(Raw_Data!G3511),AVERAGE(Raw_Data!G$2:G$5002),Raw_Data!G3511)</f>
        <v>19490.91</v>
      </c>
      <c r="H3511" s="15" t="str">
        <f t="shared" si="1"/>
        <v>148026.00</v>
      </c>
      <c r="I3511" s="14" t="str">
        <f t="shared" si="2"/>
        <v>128535.00</v>
      </c>
      <c r="J3511" s="16" t="str">
        <f>TEXT(Raw_Data!J3511,"MMM-YYY")</f>
        <v>Aug-2025</v>
      </c>
      <c r="K3511" s="13" t="str">
        <f>Raw_Data!K3511</f>
        <v>13</v>
      </c>
      <c r="L3511" s="17" t="str">
        <f>Raw_Data!L3511</f>
        <v>Chennai-South</v>
      </c>
      <c r="M3511" s="13" t="str">
        <f t="shared" si="3"/>
        <v>OK</v>
      </c>
      <c r="N3511" s="18" t="str">
        <f t="shared" si="4"/>
        <v>VALID</v>
      </c>
    </row>
    <row r="3512" ht="15.75" customHeight="1">
      <c r="A3512" s="13" t="str">
        <f>Raw_Data!A3512</f>
        <v>EMP3704</v>
      </c>
      <c r="B3512" s="13" t="str">
        <f>TRIM(CLEAN(Raw_Data!B3512))</f>
        <v>Marketing</v>
      </c>
      <c r="C3512" s="18" t="s">
        <v>14</v>
      </c>
      <c r="D3512" s="14" t="str">
        <f>IF(ISBLANK(Raw_Data!D3512),AVERAGE(Raw_Data!D$2:D$5002),Raw_Data!D3512)</f>
        <v>88347.80</v>
      </c>
      <c r="E3512" s="15" t="str">
        <f>IF(ISBLANK(Raw_Data!E3512),AVERAGE(Raw_Data!E$2:E$5002),Raw_Data!E3512)</f>
        <v>31083.54</v>
      </c>
      <c r="F3512" s="15" t="str">
        <f>IF(ISBLANK(Raw_Data!F3512),AVERAGE(Raw_Data!F$2:F$5002),Raw_Data!F3512)</f>
        <v>28617.99</v>
      </c>
      <c r="G3512" s="14" t="str">
        <f>IF(ISBLANK(Raw_Data!G3512),AVERAGE(Raw_Data!G$2:G$5002),Raw_Data!G3512)</f>
        <v>19494.31</v>
      </c>
      <c r="H3512" s="15" t="str">
        <f t="shared" si="1"/>
        <v>148049.00</v>
      </c>
      <c r="I3512" s="14" t="str">
        <f t="shared" si="2"/>
        <v>128555.00</v>
      </c>
      <c r="J3512" s="16" t="str">
        <f>TEXT(Raw_Data!J3512,"MMM-YYY")</f>
        <v>Aug-2025</v>
      </c>
      <c r="K3512" s="13" t="str">
        <f>Raw_Data!K3512</f>
        <v>21</v>
      </c>
      <c r="L3512" s="17" t="str">
        <f>Raw_Data!L3512</f>
        <v>Kolkata-East</v>
      </c>
      <c r="M3512" s="13" t="str">
        <f t="shared" si="3"/>
        <v>OK</v>
      </c>
      <c r="N3512" s="18" t="str">
        <f t="shared" si="4"/>
        <v>VALID</v>
      </c>
    </row>
    <row r="3513" ht="15.75" customHeight="1">
      <c r="A3513" s="13" t="str">
        <f>Raw_Data!A3513</f>
        <v>EMP3705</v>
      </c>
      <c r="B3513" s="13" t="str">
        <f>TRIM(CLEAN(Raw_Data!B3513))</f>
        <v>Marketing</v>
      </c>
      <c r="C3513" s="18" t="s">
        <v>54</v>
      </c>
      <c r="D3513" s="14" t="str">
        <f>IF(ISBLANK(Raw_Data!D3513),AVERAGE(Raw_Data!D$2:D$5002),Raw_Data!D3513)</f>
        <v>88358.68</v>
      </c>
      <c r="E3513" s="15" t="str">
        <f>IF(ISBLANK(Raw_Data!E3513),AVERAGE(Raw_Data!E$2:E$5002),Raw_Data!E3513)</f>
        <v>31088.16</v>
      </c>
      <c r="F3513" s="15" t="str">
        <f>IF(ISBLANK(Raw_Data!F3513),AVERAGE(Raw_Data!F$2:F$5002),Raw_Data!F3513)</f>
        <v>28625.67</v>
      </c>
      <c r="G3513" s="14" t="str">
        <f>IF(ISBLANK(Raw_Data!G3513),AVERAGE(Raw_Data!G$2:G$5002),Raw_Data!G3513)</f>
        <v>19497.70</v>
      </c>
      <c r="H3513" s="15" t="str">
        <f t="shared" si="1"/>
        <v>148073.00</v>
      </c>
      <c r="I3513" s="14" t="str">
        <f t="shared" si="2"/>
        <v>128575.00</v>
      </c>
      <c r="J3513" s="16" t="str">
        <f>TEXT(Raw_Data!J3513,"MMM-YYY")</f>
        <v>Aug-2025</v>
      </c>
      <c r="K3513" s="13" t="str">
        <f>Raw_Data!K3513</f>
        <v>21</v>
      </c>
      <c r="L3513" s="17" t="str">
        <f>Raw_Data!L3513</f>
        <v>Pune-West</v>
      </c>
      <c r="M3513" s="13" t="str">
        <f t="shared" si="3"/>
        <v>OK</v>
      </c>
      <c r="N3513" s="18" t="str">
        <f t="shared" si="4"/>
        <v>VALID</v>
      </c>
    </row>
    <row r="3514" ht="15.75" customHeight="1">
      <c r="A3514" s="13" t="str">
        <f>Raw_Data!A3514</f>
        <v>EMP3706</v>
      </c>
      <c r="B3514" s="13" t="str">
        <f>TRIM(CLEAN(Raw_Data!B3514))</f>
        <v>Customer Support</v>
      </c>
      <c r="C3514" s="18" t="s">
        <v>54</v>
      </c>
      <c r="D3514" s="14" t="str">
        <f>IF(ISBLANK(Raw_Data!D3514),AVERAGE(Raw_Data!D$2:D$5002),Raw_Data!D3514)</f>
        <v>88369.57</v>
      </c>
      <c r="E3514" s="15" t="str">
        <f>IF(ISBLANK(Raw_Data!E3514),AVERAGE(Raw_Data!E$2:E$5002),Raw_Data!E3514)</f>
        <v>31092.77</v>
      </c>
      <c r="F3514" s="15" t="str">
        <f>IF(ISBLANK(Raw_Data!F3514),AVERAGE(Raw_Data!F$2:F$5002),Raw_Data!F3514)</f>
        <v>28633.35</v>
      </c>
      <c r="G3514" s="14" t="str">
        <f>IF(ISBLANK(Raw_Data!G3514),AVERAGE(Raw_Data!G$2:G$5002),Raw_Data!G3514)</f>
        <v>19501.10</v>
      </c>
      <c r="H3514" s="15" t="str">
        <f t="shared" si="1"/>
        <v>148096.00</v>
      </c>
      <c r="I3514" s="14" t="str">
        <f t="shared" si="2"/>
        <v>128595.00</v>
      </c>
      <c r="J3514" s="16" t="str">
        <f>TEXT(Raw_Data!J3514,"MMM-YYY")</f>
        <v>Sep-2025</v>
      </c>
      <c r="K3514" s="13" t="str">
        <f>Raw_Data!K3514</f>
        <v>10</v>
      </c>
      <c r="L3514" s="17" t="str">
        <f>Raw_Data!L3514</f>
        <v>Hyderabad-South</v>
      </c>
      <c r="M3514" s="13" t="str">
        <f t="shared" si="3"/>
        <v>OK</v>
      </c>
      <c r="N3514" s="18" t="str">
        <f t="shared" si="4"/>
        <v>VALID</v>
      </c>
    </row>
    <row r="3515" ht="15.75" customHeight="1">
      <c r="A3515" s="13" t="str">
        <f>Raw_Data!A3515</f>
        <v>EMP3707</v>
      </c>
      <c r="B3515" s="13" t="str">
        <f>TRIM(CLEAN(Raw_Data!B3515))</f>
        <v>HR</v>
      </c>
      <c r="C3515" s="18" t="s">
        <v>14</v>
      </c>
      <c r="D3515" s="14" t="str">
        <f>IF(ISBLANK(Raw_Data!D3515),AVERAGE(Raw_Data!D$2:D$5002),Raw_Data!D3515)</f>
        <v>88380.45</v>
      </c>
      <c r="E3515" s="15" t="str">
        <f>IF(ISBLANK(Raw_Data!E3515),AVERAGE(Raw_Data!E$2:E$5002),Raw_Data!E3515)</f>
        <v>31097.39</v>
      </c>
      <c r="F3515" s="15" t="str">
        <f>IF(ISBLANK(Raw_Data!F3515),AVERAGE(Raw_Data!F$2:F$5002),Raw_Data!F3515)</f>
        <v>28641.03</v>
      </c>
      <c r="G3515" s="14" t="str">
        <f>IF(ISBLANK(Raw_Data!G3515),AVERAGE(Raw_Data!G$2:G$5002),Raw_Data!G3515)</f>
        <v>19504.50</v>
      </c>
      <c r="H3515" s="15" t="str">
        <f t="shared" si="1"/>
        <v>148119.00</v>
      </c>
      <c r="I3515" s="14" t="str">
        <f t="shared" si="2"/>
        <v>128615.00</v>
      </c>
      <c r="J3515" s="16" t="str">
        <f>TEXT(Raw_Data!J3515,"MMM-YYY")</f>
        <v>Apr-2025</v>
      </c>
      <c r="K3515" s="13" t="str">
        <f>Raw_Data!K3515</f>
        <v>3</v>
      </c>
      <c r="L3515" s="17" t="str">
        <f>Raw_Data!L3515</f>
        <v>Chandigarh-North</v>
      </c>
      <c r="M3515" s="13" t="str">
        <f t="shared" si="3"/>
        <v>OK</v>
      </c>
      <c r="N3515" s="18" t="str">
        <f t="shared" si="4"/>
        <v>VALID</v>
      </c>
    </row>
    <row r="3516" ht="15.75" customHeight="1">
      <c r="A3516" s="13" t="str">
        <f>Raw_Data!A3516</f>
        <v>EMP3708</v>
      </c>
      <c r="B3516" s="13" t="str">
        <f>TRIM(CLEAN(Raw_Data!B3516))</f>
        <v>Sales</v>
      </c>
      <c r="C3516" s="18" t="s">
        <v>33</v>
      </c>
      <c r="D3516" s="14" t="str">
        <f>IF(ISBLANK(Raw_Data!D3516),AVERAGE(Raw_Data!D$2:D$5002),Raw_Data!D3516)</f>
        <v>88391.33</v>
      </c>
      <c r="E3516" s="15" t="str">
        <f>IF(ISBLANK(Raw_Data!E3516),AVERAGE(Raw_Data!E$2:E$5002),Raw_Data!E3516)</f>
        <v>31102.00</v>
      </c>
      <c r="F3516" s="15" t="str">
        <f>IF(ISBLANK(Raw_Data!F3516),AVERAGE(Raw_Data!F$2:F$5002),Raw_Data!F3516)</f>
        <v>28648.71</v>
      </c>
      <c r="G3516" s="14" t="str">
        <f>IF(ISBLANK(Raw_Data!G3516),AVERAGE(Raw_Data!G$2:G$5002),Raw_Data!G3516)</f>
        <v>19507.90</v>
      </c>
      <c r="H3516" s="15" t="str">
        <f t="shared" si="1"/>
        <v>148142.00</v>
      </c>
      <c r="I3516" s="14" t="str">
        <f t="shared" si="2"/>
        <v>128634.00</v>
      </c>
      <c r="J3516" s="16" t="str">
        <f>TEXT(Raw_Data!J3516,"MMM-YYY")</f>
        <v>Apr-2025</v>
      </c>
      <c r="K3516" s="13" t="str">
        <f>Raw_Data!K3516</f>
        <v>9</v>
      </c>
      <c r="L3516" s="17" t="str">
        <f>Raw_Data!L3516</f>
        <v>Ahmedabad-West</v>
      </c>
      <c r="M3516" s="13" t="str">
        <f t="shared" si="3"/>
        <v>OK</v>
      </c>
      <c r="N3516" s="18" t="str">
        <f t="shared" si="4"/>
        <v>VALID</v>
      </c>
    </row>
    <row r="3517" ht="15.75" customHeight="1">
      <c r="A3517" s="13" t="str">
        <f>Raw_Data!A3517</f>
        <v>EMP3709</v>
      </c>
      <c r="B3517" s="13" t="str">
        <f>TRIM(CLEAN(Raw_Data!B3517))</f>
        <v>Operations</v>
      </c>
      <c r="C3517" s="18" t="s">
        <v>30</v>
      </c>
      <c r="D3517" s="14" t="str">
        <f>IF(ISBLANK(Raw_Data!D3517),AVERAGE(Raw_Data!D$2:D$5002),Raw_Data!D3517)</f>
        <v>88402.21</v>
      </c>
      <c r="E3517" s="15" t="str">
        <f>IF(ISBLANK(Raw_Data!E3517),AVERAGE(Raw_Data!E$2:E$5002),Raw_Data!E3517)</f>
        <v>31106.61</v>
      </c>
      <c r="F3517" s="15" t="str">
        <f>IF(ISBLANK(Raw_Data!F3517),AVERAGE(Raw_Data!F$2:F$5002),Raw_Data!F3517)</f>
        <v>28656.39</v>
      </c>
      <c r="G3517" s="14" t="str">
        <f>IF(ISBLANK(Raw_Data!G3517),AVERAGE(Raw_Data!G$2:G$5002),Raw_Data!G3517)</f>
        <v>19511.29</v>
      </c>
      <c r="H3517" s="15" t="str">
        <f t="shared" si="1"/>
        <v>148165.00</v>
      </c>
      <c r="I3517" s="14" t="str">
        <f t="shared" si="2"/>
        <v>128654.00</v>
      </c>
      <c r="J3517" s="16" t="str">
        <f>TEXT(Raw_Data!J3517,"MMM-YYY")</f>
        <v>Jun-2025</v>
      </c>
      <c r="K3517" s="13" t="str">
        <f>Raw_Data!K3517</f>
        <v>5</v>
      </c>
      <c r="L3517" s="17" t="str">
        <f>Raw_Data!L3517</f>
        <v>Jaipur-North</v>
      </c>
      <c r="M3517" s="13" t="str">
        <f t="shared" si="3"/>
        <v>OK</v>
      </c>
      <c r="N3517" s="18" t="str">
        <f t="shared" si="4"/>
        <v>VALID</v>
      </c>
    </row>
    <row r="3518" ht="15.75" customHeight="1">
      <c r="A3518" s="13" t="str">
        <f>Raw_Data!A3518</f>
        <v>EMP3710</v>
      </c>
      <c r="B3518" s="13" t="str">
        <f>TRIM(CLEAN(Raw_Data!B3518))</f>
        <v>Marketing</v>
      </c>
      <c r="C3518" s="18" t="s">
        <v>18</v>
      </c>
      <c r="D3518" s="14" t="str">
        <f>IF(ISBLANK(Raw_Data!D3518),AVERAGE(Raw_Data!D$2:D$5002),Raw_Data!D3518)</f>
        <v>88413.10</v>
      </c>
      <c r="E3518" s="15" t="str">
        <f>IF(ISBLANK(Raw_Data!E3518),AVERAGE(Raw_Data!E$2:E$5002),Raw_Data!E3518)</f>
        <v>31111.23</v>
      </c>
      <c r="F3518" s="15" t="str">
        <f>IF(ISBLANK(Raw_Data!F3518),AVERAGE(Raw_Data!F$2:F$5002),Raw_Data!F3518)</f>
        <v>28664.07</v>
      </c>
      <c r="G3518" s="14" t="str">
        <f>IF(ISBLANK(Raw_Data!G3518),AVERAGE(Raw_Data!G$2:G$5002),Raw_Data!G3518)</f>
        <v>19514.69</v>
      </c>
      <c r="H3518" s="15" t="str">
        <f t="shared" si="1"/>
        <v>148188.00</v>
      </c>
      <c r="I3518" s="14" t="str">
        <f t="shared" si="2"/>
        <v>128673.00</v>
      </c>
      <c r="J3518" s="16" t="str">
        <f>TEXT(Raw_Data!J3518,"MMM-YYY")</f>
        <v>Dec-2025</v>
      </c>
      <c r="K3518" s="13" t="str">
        <f>Raw_Data!K3518</f>
        <v>11</v>
      </c>
      <c r="L3518" s="17" t="str">
        <f>Raw_Data!L3518</f>
        <v>Mumbai-HO</v>
      </c>
      <c r="M3518" s="13" t="str">
        <f t="shared" si="3"/>
        <v>OK</v>
      </c>
      <c r="N3518" s="18" t="str">
        <f t="shared" si="4"/>
        <v>VALID</v>
      </c>
    </row>
    <row r="3519" ht="15.75" customHeight="1">
      <c r="A3519" s="13" t="str">
        <f>Raw_Data!A3519</f>
        <v>EMP3712</v>
      </c>
      <c r="B3519" s="13" t="str">
        <f>TRIM(CLEAN(Raw_Data!B3519))</f>
        <v>IT</v>
      </c>
      <c r="C3519" s="18" t="s">
        <v>26</v>
      </c>
      <c r="D3519" s="14" t="str">
        <f>IF(ISBLANK(Raw_Data!D3519),AVERAGE(Raw_Data!D$2:D$5002),Raw_Data!D3519)</f>
        <v>88434.86</v>
      </c>
      <c r="E3519" s="15" t="str">
        <f>IF(ISBLANK(Raw_Data!E3519),AVERAGE(Raw_Data!E$2:E$5002),Raw_Data!E3519)</f>
        <v>31120.46</v>
      </c>
      <c r="F3519" s="15" t="str">
        <f>IF(ISBLANK(Raw_Data!F3519),AVERAGE(Raw_Data!F$2:F$5002),Raw_Data!F3519)</f>
        <v>28679.43</v>
      </c>
      <c r="G3519" s="14" t="str">
        <f>IF(ISBLANK(Raw_Data!G3519),AVERAGE(Raw_Data!G$2:G$5002),Raw_Data!G3519)</f>
        <v>19521.49</v>
      </c>
      <c r="H3519" s="15" t="str">
        <f t="shared" si="1"/>
        <v>148235.00</v>
      </c>
      <c r="I3519" s="14" t="str">
        <f t="shared" si="2"/>
        <v>128714.00</v>
      </c>
      <c r="J3519" s="16" t="str">
        <f>TEXT(Raw_Data!J3519,"MMM-YYY")</f>
        <v>Dec-2025</v>
      </c>
      <c r="K3519" s="13" t="str">
        <f>Raw_Data!K3519</f>
        <v>17</v>
      </c>
      <c r="L3519" s="17" t="str">
        <f>Raw_Data!L3519</f>
        <v>Bangalore-South</v>
      </c>
      <c r="M3519" s="13" t="str">
        <f t="shared" si="3"/>
        <v>OK</v>
      </c>
      <c r="N3519" s="18" t="str">
        <f t="shared" si="4"/>
        <v>VALID</v>
      </c>
    </row>
    <row r="3520" ht="15.75" customHeight="1">
      <c r="A3520" s="13" t="str">
        <f>Raw_Data!A3520</f>
        <v>EMP3713</v>
      </c>
      <c r="B3520" s="13" t="str">
        <f>TRIM(CLEAN(Raw_Data!B3520))</f>
        <v>Operations</v>
      </c>
      <c r="C3520" s="18" t="s">
        <v>30</v>
      </c>
      <c r="D3520" s="14" t="str">
        <f>IF(ISBLANK(Raw_Data!D3520),AVERAGE(Raw_Data!D$2:D$5002),Raw_Data!D3520)</f>
        <v>88445.75</v>
      </c>
      <c r="E3520" s="15" t="str">
        <f>IF(ISBLANK(Raw_Data!E3520),AVERAGE(Raw_Data!E$2:E$5002),Raw_Data!E3520)</f>
        <v>31125.07</v>
      </c>
      <c r="F3520" s="15" t="str">
        <f>IF(ISBLANK(Raw_Data!F3520),AVERAGE(Raw_Data!F$2:F$5002),Raw_Data!F3520)</f>
        <v>28687.11</v>
      </c>
      <c r="G3520" s="14" t="str">
        <f>IF(ISBLANK(Raw_Data!G3520),AVERAGE(Raw_Data!G$2:G$5002),Raw_Data!G3520)</f>
        <v>19524.88</v>
      </c>
      <c r="H3520" s="15" t="str">
        <f t="shared" si="1"/>
        <v>148258.00</v>
      </c>
      <c r="I3520" s="14" t="str">
        <f t="shared" si="2"/>
        <v>128733.00</v>
      </c>
      <c r="J3520" s="16" t="str">
        <f>TEXT(Raw_Data!J3520,"MMM-YYY")</f>
        <v>Jun-2025</v>
      </c>
      <c r="K3520" s="13" t="str">
        <f>Raw_Data!K3520</f>
        <v>6</v>
      </c>
      <c r="L3520" s="17" t="str">
        <f>Raw_Data!L3520</f>
        <v>Chennai-South</v>
      </c>
      <c r="M3520" s="13" t="str">
        <f t="shared" si="3"/>
        <v>OK</v>
      </c>
      <c r="N3520" s="18" t="str">
        <f t="shared" si="4"/>
        <v>VALID</v>
      </c>
    </row>
    <row r="3521" ht="15.75" customHeight="1">
      <c r="A3521" s="13" t="str">
        <f>Raw_Data!A3521</f>
        <v>EMP3714</v>
      </c>
      <c r="B3521" s="13" t="str">
        <f>TRIM(CLEAN(Raw_Data!B3521))</f>
        <v>Finance</v>
      </c>
      <c r="C3521" s="18" t="s">
        <v>26</v>
      </c>
      <c r="D3521" s="14" t="str">
        <f>IF(ISBLANK(Raw_Data!D3521),AVERAGE(Raw_Data!D$2:D$5002),Raw_Data!D3521)</f>
        <v>88456.63</v>
      </c>
      <c r="E3521" s="15" t="str">
        <f>IF(ISBLANK(Raw_Data!E3521),AVERAGE(Raw_Data!E$2:E$5002),Raw_Data!E3521)</f>
        <v>31129.69</v>
      </c>
      <c r="F3521" s="15" t="str">
        <f>IF(ISBLANK(Raw_Data!F3521),AVERAGE(Raw_Data!F$2:F$5002),Raw_Data!F3521)</f>
        <v>28694.79</v>
      </c>
      <c r="G3521" s="14" t="str">
        <f>IF(ISBLANK(Raw_Data!G3521),AVERAGE(Raw_Data!G$2:G$5002),Raw_Data!G3521)</f>
        <v>19528.28</v>
      </c>
      <c r="H3521" s="15" t="str">
        <f t="shared" si="1"/>
        <v>148281.00</v>
      </c>
      <c r="I3521" s="14" t="str">
        <f t="shared" si="2"/>
        <v>128753.00</v>
      </c>
      <c r="J3521" s="16" t="str">
        <f>TEXT(Raw_Data!J3521,"MMM-YYY")</f>
        <v>Sep-2025</v>
      </c>
      <c r="K3521" s="13" t="str">
        <f>Raw_Data!K3521</f>
        <v>1</v>
      </c>
      <c r="L3521" s="17" t="str">
        <f>Raw_Data!L3521</f>
        <v>Kolkata-East</v>
      </c>
      <c r="M3521" s="13" t="str">
        <f t="shared" si="3"/>
        <v>OK</v>
      </c>
      <c r="N3521" s="18" t="str">
        <f t="shared" si="4"/>
        <v>VALID</v>
      </c>
    </row>
    <row r="3522" ht="15.75" customHeight="1">
      <c r="A3522" s="13" t="str">
        <f>Raw_Data!A3522</f>
        <v>EMP3715</v>
      </c>
      <c r="B3522" s="13" t="str">
        <f>TRIM(CLEAN(Raw_Data!B3522))</f>
        <v>Finance</v>
      </c>
      <c r="C3522" s="18" t="s">
        <v>30</v>
      </c>
      <c r="D3522" s="14" t="str">
        <f>IF(ISBLANK(Raw_Data!D3522),AVERAGE(Raw_Data!D$2:D$5002),Raw_Data!D3522)</f>
        <v>88467.51</v>
      </c>
      <c r="E3522" s="15" t="str">
        <f>IF(ISBLANK(Raw_Data!E3522),AVERAGE(Raw_Data!E$2:E$5002),Raw_Data!E3522)</f>
        <v>31134.30</v>
      </c>
      <c r="F3522" s="15" t="str">
        <f>IF(ISBLANK(Raw_Data!F3522),AVERAGE(Raw_Data!F$2:F$5002),Raw_Data!F3522)</f>
        <v>28702.47</v>
      </c>
      <c r="G3522" s="14" t="str">
        <f>IF(ISBLANK(Raw_Data!G3522),AVERAGE(Raw_Data!G$2:G$5002),Raw_Data!G3522)</f>
        <v>19531.68</v>
      </c>
      <c r="H3522" s="15" t="str">
        <f t="shared" si="1"/>
        <v>148304.00</v>
      </c>
      <c r="I3522" s="14" t="str">
        <f t="shared" si="2"/>
        <v>128772.00</v>
      </c>
      <c r="J3522" s="16" t="str">
        <f>TEXT(Raw_Data!J3522,"MMM-YYY")</f>
        <v>Apr-2025</v>
      </c>
      <c r="K3522" s="13" t="str">
        <f>Raw_Data!K3522</f>
        <v>13</v>
      </c>
      <c r="L3522" s="17" t="str">
        <f>Raw_Data!L3522</f>
        <v>Pune-West</v>
      </c>
      <c r="M3522" s="13" t="str">
        <f t="shared" si="3"/>
        <v>OK</v>
      </c>
      <c r="N3522" s="18" t="str">
        <f t="shared" si="4"/>
        <v>VALID</v>
      </c>
    </row>
    <row r="3523" ht="15.75" customHeight="1">
      <c r="A3523" s="13" t="str">
        <f>Raw_Data!A3523</f>
        <v>EMP3716</v>
      </c>
      <c r="B3523" s="13" t="str">
        <f>TRIM(CLEAN(Raw_Data!B3523))</f>
        <v>HR</v>
      </c>
      <c r="C3523" s="18" t="s">
        <v>26</v>
      </c>
      <c r="D3523" s="14" t="str">
        <f>IF(ISBLANK(Raw_Data!D3523),AVERAGE(Raw_Data!D$2:D$5002),Raw_Data!D3523)</f>
        <v>88478.40</v>
      </c>
      <c r="E3523" s="15" t="str">
        <f>IF(ISBLANK(Raw_Data!E3523),AVERAGE(Raw_Data!E$2:E$5002),Raw_Data!E3523)</f>
        <v>31138.92</v>
      </c>
      <c r="F3523" s="15" t="str">
        <f>IF(ISBLANK(Raw_Data!F3523),AVERAGE(Raw_Data!F$2:F$5002),Raw_Data!F3523)</f>
        <v>28710.15</v>
      </c>
      <c r="G3523" s="14" t="str">
        <f>IF(ISBLANK(Raw_Data!G3523),AVERAGE(Raw_Data!G$2:G$5002),Raw_Data!G3523)</f>
        <v>19535.08</v>
      </c>
      <c r="H3523" s="15" t="str">
        <f t="shared" si="1"/>
        <v>148327.00</v>
      </c>
      <c r="I3523" s="14" t="str">
        <f t="shared" si="2"/>
        <v>128792.00</v>
      </c>
      <c r="J3523" s="16" t="str">
        <f>TEXT(Raw_Data!J3523,"MMM-YYY")</f>
        <v>Jul-2025</v>
      </c>
      <c r="K3523" s="13" t="str">
        <f>Raw_Data!K3523</f>
        <v>18</v>
      </c>
      <c r="L3523" s="17" t="str">
        <f>Raw_Data!L3523</f>
        <v>Hyderabad-South</v>
      </c>
      <c r="M3523" s="13" t="str">
        <f t="shared" si="3"/>
        <v>OK</v>
      </c>
      <c r="N3523" s="18" t="str">
        <f t="shared" si="4"/>
        <v>VALID</v>
      </c>
    </row>
    <row r="3524" ht="15.75" customHeight="1">
      <c r="A3524" s="13" t="str">
        <f>Raw_Data!A3524</f>
        <v>EMP3717</v>
      </c>
      <c r="B3524" s="13" t="str">
        <f>TRIM(CLEAN(Raw_Data!B3524))</f>
        <v>IT</v>
      </c>
      <c r="C3524" s="18" t="s">
        <v>33</v>
      </c>
      <c r="D3524" s="14" t="str">
        <f>IF(ISBLANK(Raw_Data!D3524),AVERAGE(Raw_Data!D$2:D$5002),Raw_Data!D3524)</f>
        <v>88489.28</v>
      </c>
      <c r="E3524" s="15" t="str">
        <f>IF(ISBLANK(Raw_Data!E3524),AVERAGE(Raw_Data!E$2:E$5002),Raw_Data!E3524)</f>
        <v>31143.53</v>
      </c>
      <c r="F3524" s="15" t="str">
        <f>IF(ISBLANK(Raw_Data!F3524),AVERAGE(Raw_Data!F$2:F$5002),Raw_Data!F3524)</f>
        <v>28717.83</v>
      </c>
      <c r="G3524" s="14" t="str">
        <f>IF(ISBLANK(Raw_Data!G3524),AVERAGE(Raw_Data!G$2:G$5002),Raw_Data!G3524)</f>
        <v>19538.47</v>
      </c>
      <c r="H3524" s="15" t="str">
        <f t="shared" si="1"/>
        <v>148351.00</v>
      </c>
      <c r="I3524" s="14" t="str">
        <f t="shared" si="2"/>
        <v>128813.00</v>
      </c>
      <c r="J3524" s="16" t="str">
        <f>TEXT(Raw_Data!J3524,"MMM-YYY")</f>
        <v>Sep-2025</v>
      </c>
      <c r="K3524" s="13" t="str">
        <f>Raw_Data!K3524</f>
        <v>1</v>
      </c>
      <c r="L3524" s="17" t="str">
        <f>Raw_Data!L3524</f>
        <v>Chandigarh-North</v>
      </c>
      <c r="M3524" s="13" t="str">
        <f t="shared" si="3"/>
        <v>OK</v>
      </c>
      <c r="N3524" s="18" t="str">
        <f t="shared" si="4"/>
        <v>VALID</v>
      </c>
    </row>
    <row r="3525" ht="15.75" customHeight="1">
      <c r="A3525" s="13" t="str">
        <f>Raw_Data!A3525</f>
        <v>EMP3718</v>
      </c>
      <c r="B3525" s="13" t="str">
        <f>TRIM(CLEAN(Raw_Data!B3525))</f>
        <v>Sales</v>
      </c>
      <c r="C3525" s="18" t="s">
        <v>54</v>
      </c>
      <c r="D3525" s="14" t="str">
        <f>IF(ISBLANK(Raw_Data!D3525),AVERAGE(Raw_Data!D$2:D$5002),Raw_Data!D3525)</f>
        <v>88500.16</v>
      </c>
      <c r="E3525" s="15" t="str">
        <f>IF(ISBLANK(Raw_Data!E3525),AVERAGE(Raw_Data!E$2:E$5002),Raw_Data!E3525)</f>
        <v>31148.15</v>
      </c>
      <c r="F3525" s="15" t="str">
        <f>IF(ISBLANK(Raw_Data!F3525),AVERAGE(Raw_Data!F$2:F$5002),Raw_Data!F3525)</f>
        <v>28725.51</v>
      </c>
      <c r="G3525" s="14" t="str">
        <f>IF(ISBLANK(Raw_Data!G3525),AVERAGE(Raw_Data!G$2:G$5002),Raw_Data!G3525)</f>
        <v>19541.87</v>
      </c>
      <c r="H3525" s="15" t="str">
        <f t="shared" si="1"/>
        <v>148374.00</v>
      </c>
      <c r="I3525" s="14" t="str">
        <f t="shared" si="2"/>
        <v>128832.00</v>
      </c>
      <c r="J3525" s="16" t="str">
        <f>TEXT(Raw_Data!J3525,"MMM-YYY")</f>
        <v>Jul-2025</v>
      </c>
      <c r="K3525" s="13" t="str">
        <f>Raw_Data!K3525</f>
        <v>20</v>
      </c>
      <c r="L3525" s="17" t="str">
        <f>Raw_Data!L3525</f>
        <v>Ahmedabad-West</v>
      </c>
      <c r="M3525" s="13" t="str">
        <f t="shared" si="3"/>
        <v>OK</v>
      </c>
      <c r="N3525" s="18" t="str">
        <f t="shared" si="4"/>
        <v>VALID</v>
      </c>
    </row>
    <row r="3526" ht="15.75" customHeight="1">
      <c r="A3526" s="13" t="str">
        <f>Raw_Data!A3526</f>
        <v>EMP3719</v>
      </c>
      <c r="B3526" s="13" t="str">
        <f>TRIM(CLEAN(Raw_Data!B3526))</f>
        <v>IT</v>
      </c>
      <c r="C3526" s="18" t="s">
        <v>18</v>
      </c>
      <c r="D3526" s="14" t="str">
        <f>IF(ISBLANK(Raw_Data!D3526),AVERAGE(Raw_Data!D$2:D$5002),Raw_Data!D3526)</f>
        <v>88511.04</v>
      </c>
      <c r="E3526" s="15" t="str">
        <f>IF(ISBLANK(Raw_Data!E3526),AVERAGE(Raw_Data!E$2:E$5002),Raw_Data!E3526)</f>
        <v>31152.76</v>
      </c>
      <c r="F3526" s="15" t="str">
        <f>IF(ISBLANK(Raw_Data!F3526),AVERAGE(Raw_Data!F$2:F$5002),Raw_Data!F3526)</f>
        <v>28733.19</v>
      </c>
      <c r="G3526" s="14" t="str">
        <f>IF(ISBLANK(Raw_Data!G3526),AVERAGE(Raw_Data!G$2:G$5002),Raw_Data!G3526)</f>
        <v>19545.27</v>
      </c>
      <c r="H3526" s="15" t="str">
        <f t="shared" si="1"/>
        <v>148397.00</v>
      </c>
      <c r="I3526" s="14" t="str">
        <f t="shared" si="2"/>
        <v>128852.00</v>
      </c>
      <c r="J3526" s="16" t="str">
        <f>TEXT(Raw_Data!J3526,"MMM-YYY")</f>
        <v>Apr-2025</v>
      </c>
      <c r="K3526" s="13" t="str">
        <f>Raw_Data!K3526</f>
        <v>9</v>
      </c>
      <c r="L3526" s="17" t="str">
        <f>Raw_Data!L3526</f>
        <v>Jaipur-North</v>
      </c>
      <c r="M3526" s="13" t="str">
        <f t="shared" si="3"/>
        <v>OK</v>
      </c>
      <c r="N3526" s="18" t="str">
        <f t="shared" si="4"/>
        <v>VALID</v>
      </c>
    </row>
    <row r="3527" ht="15.75" customHeight="1">
      <c r="A3527" s="13" t="str">
        <f>Raw_Data!A3527</f>
        <v>EMP3720</v>
      </c>
      <c r="B3527" s="13" t="str">
        <f>TRIM(CLEAN(Raw_Data!B3527))</f>
        <v>Sales</v>
      </c>
      <c r="C3527" s="18" t="s">
        <v>18</v>
      </c>
      <c r="D3527" s="14" t="str">
        <f>IF(ISBLANK(Raw_Data!D3527),AVERAGE(Raw_Data!D$2:D$5002),Raw_Data!D3527)</f>
        <v>88521.93</v>
      </c>
      <c r="E3527" s="15" t="str">
        <f>IF(ISBLANK(Raw_Data!E3527),AVERAGE(Raw_Data!E$2:E$5002),Raw_Data!E3527)</f>
        <v>31157.38</v>
      </c>
      <c r="F3527" s="15" t="str">
        <f>IF(ISBLANK(Raw_Data!F3527),AVERAGE(Raw_Data!F$2:F$5002),Raw_Data!F3527)</f>
        <v>28740.87</v>
      </c>
      <c r="G3527" s="14" t="str">
        <f>IF(ISBLANK(Raw_Data!G3527),AVERAGE(Raw_Data!G$2:G$5002),Raw_Data!G3527)</f>
        <v>19548.67</v>
      </c>
      <c r="H3527" s="15" t="str">
        <f t="shared" si="1"/>
        <v>148420.00</v>
      </c>
      <c r="I3527" s="14" t="str">
        <f t="shared" si="2"/>
        <v>128871.00</v>
      </c>
      <c r="J3527" s="16" t="str">
        <f>TEXT(Raw_Data!J3527,"MMM-YYY")</f>
        <v>Jul-2025</v>
      </c>
      <c r="K3527" s="13" t="str">
        <f>Raw_Data!K3527</f>
        <v>13</v>
      </c>
      <c r="L3527" s="17" t="str">
        <f>Raw_Data!L3527</f>
        <v>Mumbai-HO</v>
      </c>
      <c r="M3527" s="13" t="str">
        <f t="shared" si="3"/>
        <v>OK</v>
      </c>
      <c r="N3527" s="18" t="str">
        <f t="shared" si="4"/>
        <v>VALID</v>
      </c>
    </row>
    <row r="3528" ht="15.75" customHeight="1">
      <c r="A3528" s="13" t="str">
        <f>Raw_Data!A3528</f>
        <v>EMP3721</v>
      </c>
      <c r="B3528" s="13" t="str">
        <f>TRIM(CLEAN(Raw_Data!B3528))</f>
        <v>HR</v>
      </c>
      <c r="C3528" s="18" t="s">
        <v>33</v>
      </c>
      <c r="D3528" s="14" t="str">
        <f>IF(ISBLANK(Raw_Data!D3528),AVERAGE(Raw_Data!D$2:D$5002),Raw_Data!D3528)</f>
        <v>88532.81</v>
      </c>
      <c r="E3528" s="15" t="str">
        <f>IF(ISBLANK(Raw_Data!E3528),AVERAGE(Raw_Data!E$2:E$5002),Raw_Data!E3528)</f>
        <v>31161.99</v>
      </c>
      <c r="F3528" s="15" t="str">
        <f>IF(ISBLANK(Raw_Data!F3528),AVERAGE(Raw_Data!F$2:F$5002),Raw_Data!F3528)</f>
        <v>28748.55</v>
      </c>
      <c r="G3528" s="14" t="str">
        <f>IF(ISBLANK(Raw_Data!G3528),AVERAGE(Raw_Data!G$2:G$5002),Raw_Data!G3528)</f>
        <v>19552.06</v>
      </c>
      <c r="H3528" s="15" t="str">
        <f t="shared" si="1"/>
        <v>148443.00</v>
      </c>
      <c r="I3528" s="14" t="str">
        <f t="shared" si="2"/>
        <v>128891.00</v>
      </c>
      <c r="J3528" s="16" t="str">
        <f>TEXT(Raw_Data!J3528,"MMM-YYY")</f>
        <v>Jun-2025</v>
      </c>
      <c r="K3528" s="13" t="str">
        <f>Raw_Data!K3528</f>
        <v>17</v>
      </c>
      <c r="L3528" s="17" t="str">
        <f>Raw_Data!L3528</f>
        <v>Delhi-North</v>
      </c>
      <c r="M3528" s="13" t="str">
        <f t="shared" si="3"/>
        <v>OK</v>
      </c>
      <c r="N3528" s="18" t="str">
        <f t="shared" si="4"/>
        <v>VALID</v>
      </c>
    </row>
    <row r="3529" ht="15.75" customHeight="1">
      <c r="A3529" s="13" t="str">
        <f>Raw_Data!A3529</f>
        <v>EMP3722</v>
      </c>
      <c r="B3529" s="13" t="str">
        <f>TRIM(CLEAN(Raw_Data!B3529))</f>
        <v>Finance</v>
      </c>
      <c r="C3529" s="18" t="s">
        <v>26</v>
      </c>
      <c r="D3529" s="14" t="str">
        <f>IF(ISBLANK(Raw_Data!D3529),AVERAGE(Raw_Data!D$2:D$5002),Raw_Data!D3529)</f>
        <v>88543.69</v>
      </c>
      <c r="E3529" s="15" t="str">
        <f>IF(ISBLANK(Raw_Data!E3529),AVERAGE(Raw_Data!E$2:E$5002),Raw_Data!E3529)</f>
        <v>31166.61</v>
      </c>
      <c r="F3529" s="15" t="str">
        <f>IF(ISBLANK(Raw_Data!F3529),AVERAGE(Raw_Data!F$2:F$5002),Raw_Data!F3529)</f>
        <v>28756.23</v>
      </c>
      <c r="G3529" s="14" t="str">
        <f>IF(ISBLANK(Raw_Data!G3529),AVERAGE(Raw_Data!G$2:G$5002),Raw_Data!G3529)</f>
        <v>19555.46</v>
      </c>
      <c r="H3529" s="15" t="str">
        <f t="shared" si="1"/>
        <v>148467.00</v>
      </c>
      <c r="I3529" s="14" t="str">
        <f t="shared" si="2"/>
        <v>128912.00</v>
      </c>
      <c r="J3529" s="16" t="str">
        <f>TEXT(Raw_Data!J3529,"MMM-YYY")</f>
        <v>Jan-2025</v>
      </c>
      <c r="K3529" s="13" t="str">
        <f>Raw_Data!K3529</f>
        <v>22</v>
      </c>
      <c r="L3529" s="17" t="str">
        <f>Raw_Data!L3529</f>
        <v>Bangalore-South</v>
      </c>
      <c r="M3529" s="13" t="str">
        <f t="shared" si="3"/>
        <v>OK</v>
      </c>
      <c r="N3529" s="18" t="str">
        <f t="shared" si="4"/>
        <v>VALID</v>
      </c>
    </row>
    <row r="3530" ht="15.75" customHeight="1">
      <c r="A3530" s="13" t="str">
        <f>Raw_Data!A3530</f>
        <v>EMP3723</v>
      </c>
      <c r="B3530" s="13" t="str">
        <f>TRIM(CLEAN(Raw_Data!B3530))</f>
        <v>Marketing</v>
      </c>
      <c r="C3530" s="18" t="s">
        <v>54</v>
      </c>
      <c r="D3530" s="14" t="str">
        <f>IF(ISBLANK(Raw_Data!D3530),AVERAGE(Raw_Data!D$2:D$5002),Raw_Data!D3530)</f>
        <v>88554.58</v>
      </c>
      <c r="E3530" s="15" t="str">
        <f>IF(ISBLANK(Raw_Data!E3530),AVERAGE(Raw_Data!E$2:E$5002),Raw_Data!E3530)</f>
        <v>31171.22</v>
      </c>
      <c r="F3530" s="15" t="str">
        <f>IF(ISBLANK(Raw_Data!F3530),AVERAGE(Raw_Data!F$2:F$5002),Raw_Data!F3530)</f>
        <v>28763.91</v>
      </c>
      <c r="G3530" s="14" t="str">
        <f>IF(ISBLANK(Raw_Data!G3530),AVERAGE(Raw_Data!G$2:G$5002),Raw_Data!G3530)</f>
        <v>19558.86</v>
      </c>
      <c r="H3530" s="15" t="str">
        <f t="shared" si="1"/>
        <v>148490.00</v>
      </c>
      <c r="I3530" s="14" t="str">
        <f t="shared" si="2"/>
        <v>128931.00</v>
      </c>
      <c r="J3530" s="16" t="str">
        <f>TEXT(Raw_Data!J3530,"MMM-YYY")</f>
        <v>Aug-2025</v>
      </c>
      <c r="K3530" s="13" t="str">
        <f>Raw_Data!K3530</f>
        <v>23</v>
      </c>
      <c r="L3530" s="17" t="str">
        <f>Raw_Data!L3530</f>
        <v>Chennai-South</v>
      </c>
      <c r="M3530" s="13" t="str">
        <f t="shared" si="3"/>
        <v>OK</v>
      </c>
      <c r="N3530" s="18" t="str">
        <f t="shared" si="4"/>
        <v>VALID</v>
      </c>
    </row>
    <row r="3531" ht="15.75" customHeight="1">
      <c r="A3531" s="13" t="str">
        <f>Raw_Data!A3531</f>
        <v>EMP3724</v>
      </c>
      <c r="B3531" s="13" t="str">
        <f>TRIM(CLEAN(Raw_Data!B3531))</f>
        <v>IT</v>
      </c>
      <c r="C3531" s="18" t="s">
        <v>18</v>
      </c>
      <c r="D3531" s="14" t="str">
        <f>IF(ISBLANK(Raw_Data!D3531),AVERAGE(Raw_Data!D$2:D$5002),Raw_Data!D3531)</f>
        <v>88565.46</v>
      </c>
      <c r="E3531" s="15" t="str">
        <f>IF(ISBLANK(Raw_Data!E3531),AVERAGE(Raw_Data!E$2:E$5002),Raw_Data!E3531)</f>
        <v>31175.84</v>
      </c>
      <c r="F3531" s="15" t="str">
        <f>IF(ISBLANK(Raw_Data!F3531),AVERAGE(Raw_Data!F$2:F$5002),Raw_Data!F3531)</f>
        <v>28771.59</v>
      </c>
      <c r="G3531" s="14" t="str">
        <f>IF(ISBLANK(Raw_Data!G3531),AVERAGE(Raw_Data!G$2:G$5002),Raw_Data!G3531)</f>
        <v>19562.26</v>
      </c>
      <c r="H3531" s="15" t="str">
        <f t="shared" si="1"/>
        <v>148513.00</v>
      </c>
      <c r="I3531" s="14" t="str">
        <f t="shared" si="2"/>
        <v>128951.00</v>
      </c>
      <c r="J3531" s="16" t="str">
        <f>TEXT(Raw_Data!J3531,"MMM-YYY")</f>
        <v>Jun-2025</v>
      </c>
      <c r="K3531" s="13" t="str">
        <f>Raw_Data!K3531</f>
        <v>13</v>
      </c>
      <c r="L3531" s="17" t="str">
        <f>Raw_Data!L3531</f>
        <v>Kolkata-East</v>
      </c>
      <c r="M3531" s="13" t="str">
        <f t="shared" si="3"/>
        <v>OK</v>
      </c>
      <c r="N3531" s="18" t="str">
        <f t="shared" si="4"/>
        <v>VALID</v>
      </c>
    </row>
    <row r="3532" ht="15.75" customHeight="1">
      <c r="A3532" s="13" t="str">
        <f>Raw_Data!A3532</f>
        <v>EMP3725</v>
      </c>
      <c r="B3532" s="13" t="str">
        <f>TRIM(CLEAN(Raw_Data!B3532))</f>
        <v>Finance</v>
      </c>
      <c r="C3532" s="18" t="s">
        <v>26</v>
      </c>
      <c r="D3532" s="14" t="str">
        <f>IF(ISBLANK(Raw_Data!D3532),AVERAGE(Raw_Data!D$2:D$5002),Raw_Data!D3532)</f>
        <v>88576.34</v>
      </c>
      <c r="E3532" s="15" t="str">
        <f>IF(ISBLANK(Raw_Data!E3532),AVERAGE(Raw_Data!E$2:E$5002),Raw_Data!E3532)</f>
        <v>31180.45</v>
      </c>
      <c r="F3532" s="15" t="str">
        <f>IF(ISBLANK(Raw_Data!F3532),AVERAGE(Raw_Data!F$2:F$5002),Raw_Data!F3532)</f>
        <v>28779.27</v>
      </c>
      <c r="G3532" s="14" t="str">
        <f>IF(ISBLANK(Raw_Data!G3532),AVERAGE(Raw_Data!G$2:G$5002),Raw_Data!G3532)</f>
        <v>19565.66</v>
      </c>
      <c r="H3532" s="15" t="str">
        <f t="shared" si="1"/>
        <v>148536.00</v>
      </c>
      <c r="I3532" s="14" t="str">
        <f t="shared" si="2"/>
        <v>128970.00</v>
      </c>
      <c r="J3532" s="16" t="str">
        <f>TEXT(Raw_Data!J3532,"MMM-YYY")</f>
        <v>Mar-2025</v>
      </c>
      <c r="K3532" s="13" t="str">
        <f>Raw_Data!K3532</f>
        <v>2</v>
      </c>
      <c r="L3532" s="17" t="str">
        <f>Raw_Data!L3532</f>
        <v>Pune-West</v>
      </c>
      <c r="M3532" s="13" t="str">
        <f t="shared" si="3"/>
        <v>OK</v>
      </c>
      <c r="N3532" s="18" t="str">
        <f t="shared" si="4"/>
        <v>VALID</v>
      </c>
    </row>
    <row r="3533" ht="15.75" customHeight="1">
      <c r="A3533" s="13" t="str">
        <f>Raw_Data!A3533</f>
        <v>EMP3726</v>
      </c>
      <c r="B3533" s="13" t="str">
        <f>TRIM(CLEAN(Raw_Data!B3533))</f>
        <v>Finance</v>
      </c>
      <c r="C3533" s="18" t="s">
        <v>26</v>
      </c>
      <c r="D3533" s="14" t="str">
        <f>IF(ISBLANK(Raw_Data!D3533),AVERAGE(Raw_Data!D$2:D$5002),Raw_Data!D3533)</f>
        <v>88587.23</v>
      </c>
      <c r="E3533" s="15" t="str">
        <f>IF(ISBLANK(Raw_Data!E3533),AVERAGE(Raw_Data!E$2:E$5002),Raw_Data!E3533)</f>
        <v>31185.06</v>
      </c>
      <c r="F3533" s="15" t="str">
        <f>IF(ISBLANK(Raw_Data!F3533),AVERAGE(Raw_Data!F$2:F$5002),Raw_Data!F3533)</f>
        <v>28786.95</v>
      </c>
      <c r="G3533" s="14" t="str">
        <f>IF(ISBLANK(Raw_Data!G3533),AVERAGE(Raw_Data!G$2:G$5002),Raw_Data!G3533)</f>
        <v>19569.05</v>
      </c>
      <c r="H3533" s="15" t="str">
        <f t="shared" si="1"/>
        <v>148559.00</v>
      </c>
      <c r="I3533" s="14" t="str">
        <f t="shared" si="2"/>
        <v>128990.00</v>
      </c>
      <c r="J3533" s="16" t="str">
        <f>TEXT(Raw_Data!J3533,"MMM-YYY")</f>
        <v>Jul-2025</v>
      </c>
      <c r="K3533" s="13" t="str">
        <f>Raw_Data!K3533</f>
        <v>9</v>
      </c>
      <c r="L3533" s="17" t="str">
        <f>Raw_Data!L3533</f>
        <v>Hyderabad-South</v>
      </c>
      <c r="M3533" s="13" t="str">
        <f t="shared" si="3"/>
        <v>OK</v>
      </c>
      <c r="N3533" s="18" t="str">
        <f t="shared" si="4"/>
        <v>VALID</v>
      </c>
    </row>
    <row r="3534" ht="15.75" customHeight="1">
      <c r="A3534" s="13" t="str">
        <f>Raw_Data!A3534</f>
        <v>EMP3727</v>
      </c>
      <c r="B3534" s="13" t="str">
        <f>TRIM(CLEAN(Raw_Data!B3534))</f>
        <v>Sales</v>
      </c>
      <c r="C3534" s="18" t="s">
        <v>30</v>
      </c>
      <c r="D3534" s="14" t="str">
        <f>IF(ISBLANK(Raw_Data!D3534),AVERAGE(Raw_Data!D$2:D$5002),Raw_Data!D3534)</f>
        <v>88598.11</v>
      </c>
      <c r="E3534" s="15" t="str">
        <f>IF(ISBLANK(Raw_Data!E3534),AVERAGE(Raw_Data!E$2:E$5002),Raw_Data!E3534)</f>
        <v>31189.68</v>
      </c>
      <c r="F3534" s="15" t="str">
        <f>IF(ISBLANK(Raw_Data!F3534),AVERAGE(Raw_Data!F$2:F$5002),Raw_Data!F3534)</f>
        <v>28794.63</v>
      </c>
      <c r="G3534" s="14" t="str">
        <f>IF(ISBLANK(Raw_Data!G3534),AVERAGE(Raw_Data!G$2:G$5002),Raw_Data!G3534)</f>
        <v>19572.45</v>
      </c>
      <c r="H3534" s="15" t="str">
        <f t="shared" si="1"/>
        <v>148582.00</v>
      </c>
      <c r="I3534" s="14" t="str">
        <f t="shared" si="2"/>
        <v>129010.00</v>
      </c>
      <c r="J3534" s="16" t="str">
        <f>TEXT(Raw_Data!J3534,"MMM-YYY")</f>
        <v>Apr-2025</v>
      </c>
      <c r="K3534" s="13" t="str">
        <f>Raw_Data!K3534</f>
        <v>3</v>
      </c>
      <c r="L3534" s="17" t="str">
        <f>Raw_Data!L3534</f>
        <v>Chandigarh-North</v>
      </c>
      <c r="M3534" s="13" t="str">
        <f t="shared" si="3"/>
        <v>OK</v>
      </c>
      <c r="N3534" s="18" t="str">
        <f t="shared" si="4"/>
        <v>VALID</v>
      </c>
    </row>
    <row r="3535" ht="15.75" customHeight="1">
      <c r="A3535" s="13" t="str">
        <f>Raw_Data!A3535</f>
        <v>EMP3729</v>
      </c>
      <c r="B3535" s="13" t="str">
        <f>TRIM(CLEAN(Raw_Data!B3535))</f>
        <v>IT</v>
      </c>
      <c r="C3535" s="18" t="s">
        <v>18</v>
      </c>
      <c r="D3535" s="14" t="str">
        <f>IF(ISBLANK(Raw_Data!D3535),AVERAGE(Raw_Data!D$2:D$5002),Raw_Data!D3535)</f>
        <v>71831.17</v>
      </c>
      <c r="E3535" s="15" t="str">
        <f>IF(ISBLANK(Raw_Data!E3535),AVERAGE(Raw_Data!E$2:E$5002),Raw_Data!E3535)</f>
        <v>31198.91</v>
      </c>
      <c r="F3535" s="15" t="str">
        <f>IF(ISBLANK(Raw_Data!F3535),AVERAGE(Raw_Data!F$2:F$5002),Raw_Data!F3535)</f>
        <v>28809.99</v>
      </c>
      <c r="G3535" s="14" t="str">
        <f>IF(ISBLANK(Raw_Data!G3535),AVERAGE(Raw_Data!G$2:G$5002),Raw_Data!G3535)</f>
        <v>19579.25</v>
      </c>
      <c r="H3535" s="15" t="str">
        <f t="shared" si="1"/>
        <v>131840.00</v>
      </c>
      <c r="I3535" s="14" t="str">
        <f t="shared" si="2"/>
        <v>112261.00</v>
      </c>
      <c r="J3535" s="16" t="str">
        <f>TEXT(Raw_Data!J3535,"MMM-YYY")</f>
        <v>Jun-2025</v>
      </c>
      <c r="K3535" s="13" t="str">
        <f>Raw_Data!K3535</f>
        <v>13</v>
      </c>
      <c r="L3535" s="17" t="str">
        <f>Raw_Data!L3535</f>
        <v>Jaipur-North</v>
      </c>
      <c r="M3535" s="13" t="str">
        <f t="shared" si="3"/>
        <v>OK</v>
      </c>
      <c r="N3535" s="18" t="str">
        <f t="shared" si="4"/>
        <v>VALID</v>
      </c>
    </row>
    <row r="3536" ht="15.75" customHeight="1">
      <c r="A3536" s="13" t="str">
        <f>Raw_Data!A3536</f>
        <v>EMP3730</v>
      </c>
      <c r="B3536" s="13" t="str">
        <f>TRIM(CLEAN(Raw_Data!B3536))</f>
        <v>Marketing</v>
      </c>
      <c r="C3536" s="18" t="s">
        <v>26</v>
      </c>
      <c r="D3536" s="14" t="str">
        <f>IF(ISBLANK(Raw_Data!D3536),AVERAGE(Raw_Data!D$2:D$5002),Raw_Data!D3536)</f>
        <v>88630.76</v>
      </c>
      <c r="E3536" s="15" t="str">
        <f>IF(ISBLANK(Raw_Data!E3536),AVERAGE(Raw_Data!E$2:E$5002),Raw_Data!E3536)</f>
        <v>31203.52</v>
      </c>
      <c r="F3536" s="15" t="str">
        <f>IF(ISBLANK(Raw_Data!F3536),AVERAGE(Raw_Data!F$2:F$5002),Raw_Data!F3536)</f>
        <v>28817.67</v>
      </c>
      <c r="G3536" s="14" t="str">
        <f>IF(ISBLANK(Raw_Data!G3536),AVERAGE(Raw_Data!G$2:G$5002),Raw_Data!G3536)</f>
        <v>19582.64</v>
      </c>
      <c r="H3536" s="15" t="str">
        <f t="shared" si="1"/>
        <v>148652.00</v>
      </c>
      <c r="I3536" s="14" t="str">
        <f t="shared" si="2"/>
        <v>129069.00</v>
      </c>
      <c r="J3536" s="16" t="str">
        <f>TEXT(Raw_Data!J3536,"MMM-YYY")</f>
        <v>Aug-2025</v>
      </c>
      <c r="K3536" s="13" t="str">
        <f>Raw_Data!K3536</f>
        <v>3</v>
      </c>
      <c r="L3536" s="17" t="str">
        <f>Raw_Data!L3536</f>
        <v>Mumbai-HO</v>
      </c>
      <c r="M3536" s="13" t="str">
        <f t="shared" si="3"/>
        <v>OK</v>
      </c>
      <c r="N3536" s="18" t="str">
        <f t="shared" si="4"/>
        <v>VALID</v>
      </c>
    </row>
    <row r="3537" ht="15.75" customHeight="1">
      <c r="A3537" s="13" t="str">
        <f>Raw_Data!A3537</f>
        <v>EMP3731</v>
      </c>
      <c r="B3537" s="13" t="str">
        <f>TRIM(CLEAN(Raw_Data!B3537))</f>
        <v>HR</v>
      </c>
      <c r="C3537" s="18" t="s">
        <v>33</v>
      </c>
      <c r="D3537" s="14" t="str">
        <f>IF(ISBLANK(Raw_Data!D3537),AVERAGE(Raw_Data!D$2:D$5002),Raw_Data!D3537)</f>
        <v>88641.64</v>
      </c>
      <c r="E3537" s="15" t="str">
        <f>IF(ISBLANK(Raw_Data!E3537),AVERAGE(Raw_Data!E$2:E$5002),Raw_Data!E3537)</f>
        <v>31208.14</v>
      </c>
      <c r="F3537" s="15" t="str">
        <f>IF(ISBLANK(Raw_Data!F3537),AVERAGE(Raw_Data!F$2:F$5002),Raw_Data!F3537)</f>
        <v>28825.35</v>
      </c>
      <c r="G3537" s="14" t="str">
        <f>IF(ISBLANK(Raw_Data!G3537),AVERAGE(Raw_Data!G$2:G$5002),Raw_Data!G3537)</f>
        <v>19586.04</v>
      </c>
      <c r="H3537" s="15" t="str">
        <f t="shared" si="1"/>
        <v>148675.00</v>
      </c>
      <c r="I3537" s="14" t="str">
        <f t="shared" si="2"/>
        <v>129089.00</v>
      </c>
      <c r="J3537" s="16" t="str">
        <f>TEXT(Raw_Data!J3537,"MMM-YYY")</f>
        <v>Dec-2025</v>
      </c>
      <c r="K3537" s="13" t="str">
        <f>Raw_Data!K3537</f>
        <v>25</v>
      </c>
      <c r="L3537" s="17" t="str">
        <f>Raw_Data!L3537</f>
        <v>Delhi-North</v>
      </c>
      <c r="M3537" s="13" t="str">
        <f t="shared" si="3"/>
        <v>OK</v>
      </c>
      <c r="N3537" s="18" t="str">
        <f t="shared" si="4"/>
        <v>VALID</v>
      </c>
    </row>
    <row r="3538" ht="15.75" customHeight="1">
      <c r="A3538" s="13" t="str">
        <f>Raw_Data!A3538</f>
        <v>EMP3733</v>
      </c>
      <c r="B3538" s="13" t="str">
        <f>TRIM(CLEAN(Raw_Data!B3538))</f>
        <v>HR</v>
      </c>
      <c r="C3538" s="18" t="s">
        <v>37</v>
      </c>
      <c r="D3538" s="14" t="str">
        <f>IF(ISBLANK(Raw_Data!D3538),AVERAGE(Raw_Data!D$2:D$5002),Raw_Data!D3538)</f>
        <v>88663.41</v>
      </c>
      <c r="E3538" s="15" t="str">
        <f>IF(ISBLANK(Raw_Data!E3538),AVERAGE(Raw_Data!E$2:E$5002),Raw_Data!E3538)</f>
        <v>31217.37</v>
      </c>
      <c r="F3538" s="15" t="str">
        <f>IF(ISBLANK(Raw_Data!F3538),AVERAGE(Raw_Data!F$2:F$5002),Raw_Data!F3538)</f>
        <v>28840.71</v>
      </c>
      <c r="G3538" s="14" t="str">
        <f>IF(ISBLANK(Raw_Data!G3538),AVERAGE(Raw_Data!G$2:G$5002),Raw_Data!G3538)</f>
        <v>19592.84</v>
      </c>
      <c r="H3538" s="15" t="str">
        <f t="shared" si="1"/>
        <v>148721.00</v>
      </c>
      <c r="I3538" s="14" t="str">
        <f t="shared" si="2"/>
        <v>129128.00</v>
      </c>
      <c r="J3538" s="16" t="str">
        <f>TEXT(Raw_Data!J3538,"MMM-YYY")</f>
        <v>Oct-2025</v>
      </c>
      <c r="K3538" s="13" t="str">
        <f>Raw_Data!K3538</f>
        <v>14</v>
      </c>
      <c r="L3538" s="17" t="str">
        <f>Raw_Data!L3538</f>
        <v>Chennai-South</v>
      </c>
      <c r="M3538" s="13" t="str">
        <f t="shared" si="3"/>
        <v>OK</v>
      </c>
      <c r="N3538" s="18" t="str">
        <f t="shared" si="4"/>
        <v>VALID</v>
      </c>
    </row>
    <row r="3539" ht="15.75" customHeight="1">
      <c r="A3539" s="13" t="str">
        <f>Raw_Data!A3539</f>
        <v>EMP3734</v>
      </c>
      <c r="B3539" s="13" t="str">
        <f>TRIM(CLEAN(Raw_Data!B3539))</f>
        <v>HR</v>
      </c>
      <c r="C3539" s="18" t="s">
        <v>37</v>
      </c>
      <c r="D3539" s="14" t="str">
        <f>IF(ISBLANK(Raw_Data!D3539),AVERAGE(Raw_Data!D$2:D$5002),Raw_Data!D3539)</f>
        <v>88674.29</v>
      </c>
      <c r="E3539" s="15" t="str">
        <f>IF(ISBLANK(Raw_Data!E3539),AVERAGE(Raw_Data!E$2:E$5002),Raw_Data!E3539)</f>
        <v>31221.98</v>
      </c>
      <c r="F3539" s="15" t="str">
        <f>IF(ISBLANK(Raw_Data!F3539),AVERAGE(Raw_Data!F$2:F$5002),Raw_Data!F3539)</f>
        <v>28848.39</v>
      </c>
      <c r="G3539" s="14" t="str">
        <f>IF(ISBLANK(Raw_Data!G3539),AVERAGE(Raw_Data!G$2:G$5002),Raw_Data!G3539)</f>
        <v>19596.23</v>
      </c>
      <c r="H3539" s="15" t="str">
        <f t="shared" si="1"/>
        <v>148745.00</v>
      </c>
      <c r="I3539" s="14" t="str">
        <f t="shared" si="2"/>
        <v>129149.00</v>
      </c>
      <c r="J3539" s="16" t="str">
        <f>TEXT(Raw_Data!J3539,"MMM-YYY")</f>
        <v>Aug-2025</v>
      </c>
      <c r="K3539" s="13" t="str">
        <f>Raw_Data!K3539</f>
        <v>14</v>
      </c>
      <c r="L3539" s="17" t="str">
        <f>Raw_Data!L3539</f>
        <v>Kolkata-East</v>
      </c>
      <c r="M3539" s="13" t="str">
        <f t="shared" si="3"/>
        <v>OK</v>
      </c>
      <c r="N3539" s="18" t="str">
        <f t="shared" si="4"/>
        <v>VALID</v>
      </c>
    </row>
    <row r="3540" ht="15.75" customHeight="1">
      <c r="A3540" s="13" t="str">
        <f>Raw_Data!A3540</f>
        <v>EMP3735</v>
      </c>
      <c r="B3540" s="13" t="str">
        <f>TRIM(CLEAN(Raw_Data!B3540))</f>
        <v>Finance</v>
      </c>
      <c r="C3540" s="18" t="s">
        <v>37</v>
      </c>
      <c r="D3540" s="14" t="str">
        <f>IF(ISBLANK(Raw_Data!D3540),AVERAGE(Raw_Data!D$2:D$5002),Raw_Data!D3540)</f>
        <v>88685.17</v>
      </c>
      <c r="E3540" s="15" t="str">
        <f>IF(ISBLANK(Raw_Data!E3540),AVERAGE(Raw_Data!E$2:E$5002),Raw_Data!E3540)</f>
        <v>31226.60</v>
      </c>
      <c r="F3540" s="15" t="str">
        <f>IF(ISBLANK(Raw_Data!F3540),AVERAGE(Raw_Data!F$2:F$5002),Raw_Data!F3540)</f>
        <v>28856.07</v>
      </c>
      <c r="G3540" s="14" t="str">
        <f>IF(ISBLANK(Raw_Data!G3540),AVERAGE(Raw_Data!G$2:G$5002),Raw_Data!G3540)</f>
        <v>19599.63</v>
      </c>
      <c r="H3540" s="15" t="str">
        <f t="shared" si="1"/>
        <v>148768.00</v>
      </c>
      <c r="I3540" s="14" t="str">
        <f t="shared" si="2"/>
        <v>129168.00</v>
      </c>
      <c r="J3540" s="16" t="str">
        <f>TEXT(Raw_Data!J3540,"MMM-YYY")</f>
        <v>Jan-2025</v>
      </c>
      <c r="K3540" s="13" t="str">
        <f>Raw_Data!K3540</f>
        <v>7</v>
      </c>
      <c r="L3540" s="17" t="str">
        <f>Raw_Data!L3540</f>
        <v>Pune-West</v>
      </c>
      <c r="M3540" s="13" t="str">
        <f t="shared" si="3"/>
        <v>OK</v>
      </c>
      <c r="N3540" s="18" t="str">
        <f t="shared" si="4"/>
        <v>VALID</v>
      </c>
    </row>
    <row r="3541" ht="15.75" customHeight="1">
      <c r="A3541" s="13" t="str">
        <f>Raw_Data!A3541</f>
        <v>EMP3736</v>
      </c>
      <c r="B3541" s="13" t="str">
        <f>TRIM(CLEAN(Raw_Data!B3541))</f>
        <v>Customer Support</v>
      </c>
      <c r="C3541" s="18" t="s">
        <v>33</v>
      </c>
      <c r="D3541" s="14" t="str">
        <f>IF(ISBLANK(Raw_Data!D3541),AVERAGE(Raw_Data!D$2:D$5002),Raw_Data!D3541)</f>
        <v>88696.06</v>
      </c>
      <c r="E3541" s="15" t="str">
        <f>IF(ISBLANK(Raw_Data!E3541),AVERAGE(Raw_Data!E$2:E$5002),Raw_Data!E3541)</f>
        <v>31231.21</v>
      </c>
      <c r="F3541" s="15" t="str">
        <f>IF(ISBLANK(Raw_Data!F3541),AVERAGE(Raw_Data!F$2:F$5002),Raw_Data!F3541)</f>
        <v>28863.75</v>
      </c>
      <c r="G3541" s="14" t="str">
        <f>IF(ISBLANK(Raw_Data!G3541),AVERAGE(Raw_Data!G$2:G$5002),Raw_Data!G3541)</f>
        <v>19603.03</v>
      </c>
      <c r="H3541" s="15" t="str">
        <f t="shared" si="1"/>
        <v>148791.00</v>
      </c>
      <c r="I3541" s="14" t="str">
        <f t="shared" si="2"/>
        <v>129188.00</v>
      </c>
      <c r="J3541" s="16" t="str">
        <f>TEXT(Raw_Data!J3541,"MMM-YYY")</f>
        <v>May-2025</v>
      </c>
      <c r="K3541" s="13" t="str">
        <f>Raw_Data!K3541</f>
        <v>17</v>
      </c>
      <c r="L3541" s="17" t="str">
        <f>Raw_Data!L3541</f>
        <v>Hyderabad-South</v>
      </c>
      <c r="M3541" s="13" t="str">
        <f t="shared" si="3"/>
        <v>OK</v>
      </c>
      <c r="N3541" s="18" t="str">
        <f t="shared" si="4"/>
        <v>VALID</v>
      </c>
    </row>
    <row r="3542" ht="15.75" customHeight="1">
      <c r="A3542" s="13" t="str">
        <f>Raw_Data!A3542</f>
        <v>EMP3737</v>
      </c>
      <c r="B3542" s="13" t="str">
        <f>TRIM(CLEAN(Raw_Data!B3542))</f>
        <v>IT</v>
      </c>
      <c r="C3542" s="18" t="s">
        <v>54</v>
      </c>
      <c r="D3542" s="14" t="str">
        <f>IF(ISBLANK(Raw_Data!D3542),AVERAGE(Raw_Data!D$2:D$5002),Raw_Data!D3542)</f>
        <v>88706.94</v>
      </c>
      <c r="E3542" s="15" t="str">
        <f>IF(ISBLANK(Raw_Data!E3542),AVERAGE(Raw_Data!E$2:E$5002),Raw_Data!E3542)</f>
        <v>31235.83</v>
      </c>
      <c r="F3542" s="15" t="str">
        <f>IF(ISBLANK(Raw_Data!F3542),AVERAGE(Raw_Data!F$2:F$5002),Raw_Data!F3542)</f>
        <v>28871.43</v>
      </c>
      <c r="G3542" s="14" t="str">
        <f>IF(ISBLANK(Raw_Data!G3542),AVERAGE(Raw_Data!G$2:G$5002),Raw_Data!G3542)</f>
        <v>19606.43</v>
      </c>
      <c r="H3542" s="15" t="str">
        <f t="shared" si="1"/>
        <v>148814.00</v>
      </c>
      <c r="I3542" s="14" t="str">
        <f t="shared" si="2"/>
        <v>129208.00</v>
      </c>
      <c r="J3542" s="16" t="str">
        <f>TEXT(Raw_Data!J3542,"MMM-YYY")</f>
        <v>Jan-2025</v>
      </c>
      <c r="K3542" s="13" t="str">
        <f>Raw_Data!K3542</f>
        <v>7</v>
      </c>
      <c r="L3542" s="17" t="str">
        <f>Raw_Data!L3542</f>
        <v>Chandigarh-North</v>
      </c>
      <c r="M3542" s="13" t="str">
        <f t="shared" si="3"/>
        <v>OK</v>
      </c>
      <c r="N3542" s="18" t="str">
        <f t="shared" si="4"/>
        <v>VALID</v>
      </c>
    </row>
    <row r="3543" ht="15.75" customHeight="1">
      <c r="A3543" s="13" t="str">
        <f>Raw_Data!A3543</f>
        <v>EMP3738</v>
      </c>
      <c r="B3543" s="13" t="str">
        <f>TRIM(CLEAN(Raw_Data!B3543))</f>
        <v>Finance</v>
      </c>
      <c r="C3543" s="18" t="s">
        <v>54</v>
      </c>
      <c r="D3543" s="14" t="str">
        <f>IF(ISBLANK(Raw_Data!D3543),AVERAGE(Raw_Data!D$2:D$5002),Raw_Data!D3543)</f>
        <v>88717.82</v>
      </c>
      <c r="E3543" s="15" t="str">
        <f>IF(ISBLANK(Raw_Data!E3543),AVERAGE(Raw_Data!E$2:E$5002),Raw_Data!E3543)</f>
        <v>31240.44</v>
      </c>
      <c r="F3543" s="15" t="str">
        <f>IF(ISBLANK(Raw_Data!F3543),AVERAGE(Raw_Data!F$2:F$5002),Raw_Data!F3543)</f>
        <v>28879.11</v>
      </c>
      <c r="G3543" s="14" t="str">
        <f>IF(ISBLANK(Raw_Data!G3543),AVERAGE(Raw_Data!G$2:G$5002),Raw_Data!G3543)</f>
        <v>14562.73</v>
      </c>
      <c r="H3543" s="15" t="str">
        <f t="shared" si="1"/>
        <v>148837.00</v>
      </c>
      <c r="I3543" s="14" t="str">
        <f t="shared" si="2"/>
        <v>134274.00</v>
      </c>
      <c r="J3543" s="16" t="str">
        <f>TEXT(Raw_Data!J3543,"MMM-YYY")</f>
        <v>Apr-2025</v>
      </c>
      <c r="K3543" s="13" t="str">
        <f>Raw_Data!K3543</f>
        <v>1</v>
      </c>
      <c r="L3543" s="17" t="str">
        <f>Raw_Data!L3543</f>
        <v>Ahmedabad-West</v>
      </c>
      <c r="M3543" s="13" t="str">
        <f t="shared" si="3"/>
        <v>OK</v>
      </c>
      <c r="N3543" s="18" t="str">
        <f t="shared" si="4"/>
        <v>VALID</v>
      </c>
    </row>
    <row r="3544" ht="15.75" customHeight="1">
      <c r="A3544" s="13" t="str">
        <f>Raw_Data!A3544</f>
        <v>EMP3739</v>
      </c>
      <c r="B3544" s="13" t="str">
        <f>TRIM(CLEAN(Raw_Data!B3544))</f>
        <v>Marketing</v>
      </c>
      <c r="C3544" s="18" t="s">
        <v>14</v>
      </c>
      <c r="D3544" s="14" t="str">
        <f>IF(ISBLANK(Raw_Data!D3544),AVERAGE(Raw_Data!D$2:D$5002),Raw_Data!D3544)</f>
        <v>88728.70</v>
      </c>
      <c r="E3544" s="15" t="str">
        <f>IF(ISBLANK(Raw_Data!E3544),AVERAGE(Raw_Data!E$2:E$5002),Raw_Data!E3544)</f>
        <v>31245.06</v>
      </c>
      <c r="F3544" s="15" t="str">
        <f>IF(ISBLANK(Raw_Data!F3544),AVERAGE(Raw_Data!F$2:F$5002),Raw_Data!F3544)</f>
        <v>28886.79</v>
      </c>
      <c r="G3544" s="14" t="str">
        <f>IF(ISBLANK(Raw_Data!G3544),AVERAGE(Raw_Data!G$2:G$5002),Raw_Data!G3544)</f>
        <v>19613.22</v>
      </c>
      <c r="H3544" s="15" t="str">
        <f t="shared" si="1"/>
        <v>148861.00</v>
      </c>
      <c r="I3544" s="14" t="str">
        <f t="shared" si="2"/>
        <v>129248.00</v>
      </c>
      <c r="J3544" s="16" t="str">
        <f>TEXT(Raw_Data!J3544,"MMM-YYY")</f>
        <v>Feb-2025</v>
      </c>
      <c r="K3544" s="13" t="str">
        <f>Raw_Data!K3544</f>
        <v>23</v>
      </c>
      <c r="L3544" s="17" t="str">
        <f>Raw_Data!L3544</f>
        <v>Jaipur-North</v>
      </c>
      <c r="M3544" s="13" t="str">
        <f t="shared" si="3"/>
        <v>OK</v>
      </c>
      <c r="N3544" s="18" t="str">
        <f t="shared" si="4"/>
        <v>VALID</v>
      </c>
    </row>
    <row r="3545" ht="15.75" customHeight="1">
      <c r="A3545" s="13" t="str">
        <f>Raw_Data!A3545</f>
        <v>EMP3740</v>
      </c>
      <c r="B3545" s="13" t="str">
        <f>TRIM(CLEAN(Raw_Data!B3545))</f>
        <v>IT</v>
      </c>
      <c r="C3545" s="18" t="s">
        <v>14</v>
      </c>
      <c r="D3545" s="14" t="str">
        <f>IF(ISBLANK(Raw_Data!D3545),AVERAGE(Raw_Data!D$2:D$5002),Raw_Data!D3545)</f>
        <v>88739.59</v>
      </c>
      <c r="E3545" s="15" t="str">
        <f>IF(ISBLANK(Raw_Data!E3545),AVERAGE(Raw_Data!E$2:E$5002),Raw_Data!E3545)</f>
        <v>31249.67</v>
      </c>
      <c r="F3545" s="15" t="str">
        <f>IF(ISBLANK(Raw_Data!F3545),AVERAGE(Raw_Data!F$2:F$5002),Raw_Data!F3545)</f>
        <v>28894.47</v>
      </c>
      <c r="G3545" s="14" t="str">
        <f>IF(ISBLANK(Raw_Data!G3545),AVERAGE(Raw_Data!G$2:G$5002),Raw_Data!G3545)</f>
        <v>19616.62</v>
      </c>
      <c r="H3545" s="15" t="str">
        <f t="shared" si="1"/>
        <v>148884.00</v>
      </c>
      <c r="I3545" s="14" t="str">
        <f t="shared" si="2"/>
        <v>129267.00</v>
      </c>
      <c r="J3545" s="16" t="str">
        <f>TEXT(Raw_Data!J3545,"MMM-YYY")</f>
        <v>Jun-2025</v>
      </c>
      <c r="K3545" s="13" t="str">
        <f>Raw_Data!K3545</f>
        <v>11</v>
      </c>
      <c r="L3545" s="17" t="str">
        <f>Raw_Data!L3545</f>
        <v>Mumbai-HO</v>
      </c>
      <c r="M3545" s="13" t="str">
        <f t="shared" si="3"/>
        <v>OK</v>
      </c>
      <c r="N3545" s="18" t="str">
        <f t="shared" si="4"/>
        <v>VALID</v>
      </c>
    </row>
    <row r="3546" ht="15.75" customHeight="1">
      <c r="A3546" s="13" t="str">
        <f>Raw_Data!A3546</f>
        <v>EMP3741</v>
      </c>
      <c r="B3546" s="13" t="str">
        <f>TRIM(CLEAN(Raw_Data!B3546))</f>
        <v>Operations</v>
      </c>
      <c r="C3546" s="18" t="s">
        <v>14</v>
      </c>
      <c r="D3546" s="14" t="str">
        <f>IF(ISBLANK(Raw_Data!D3546),AVERAGE(Raw_Data!D$2:D$5002),Raw_Data!D3546)</f>
        <v>88750.47</v>
      </c>
      <c r="E3546" s="15" t="str">
        <f>IF(ISBLANK(Raw_Data!E3546),AVERAGE(Raw_Data!E$2:E$5002),Raw_Data!E3546)</f>
        <v>31254.29</v>
      </c>
      <c r="F3546" s="15" t="str">
        <f>IF(ISBLANK(Raw_Data!F3546),AVERAGE(Raw_Data!F$2:F$5002),Raw_Data!F3546)</f>
        <v>28902.15</v>
      </c>
      <c r="G3546" s="14" t="str">
        <f>IF(ISBLANK(Raw_Data!G3546),AVERAGE(Raw_Data!G$2:G$5002),Raw_Data!G3546)</f>
        <v>19620.02</v>
      </c>
      <c r="H3546" s="15" t="str">
        <f t="shared" si="1"/>
        <v>148907.00</v>
      </c>
      <c r="I3546" s="14" t="str">
        <f t="shared" si="2"/>
        <v>129287.00</v>
      </c>
      <c r="J3546" s="16" t="str">
        <f>TEXT(Raw_Data!J3546,"MMM-YYY")</f>
        <v>Jun-2025</v>
      </c>
      <c r="K3546" s="13" t="str">
        <f>Raw_Data!K3546</f>
        <v>1</v>
      </c>
      <c r="L3546" s="17" t="str">
        <f>Raw_Data!L3546</f>
        <v>Delhi-North</v>
      </c>
      <c r="M3546" s="13" t="str">
        <f t="shared" si="3"/>
        <v>OK</v>
      </c>
      <c r="N3546" s="18" t="str">
        <f t="shared" si="4"/>
        <v>VALID</v>
      </c>
    </row>
    <row r="3547" ht="15.75" customHeight="1">
      <c r="A3547" s="13" t="str">
        <f>Raw_Data!A3547</f>
        <v>EMP3743</v>
      </c>
      <c r="B3547" s="13" t="str">
        <f>TRIM(CLEAN(Raw_Data!B3547))</f>
        <v>IT</v>
      </c>
      <c r="C3547" s="18" t="s">
        <v>54</v>
      </c>
      <c r="D3547" s="14" t="str">
        <f>IF(ISBLANK(Raw_Data!D3547),AVERAGE(Raw_Data!D$2:D$5002),Raw_Data!D3547)</f>
        <v>88772.24</v>
      </c>
      <c r="E3547" s="15" t="str">
        <f>IF(ISBLANK(Raw_Data!E3547),AVERAGE(Raw_Data!E$2:E$5002),Raw_Data!E3547)</f>
        <v>31263.51</v>
      </c>
      <c r="F3547" s="15" t="str">
        <f>IF(ISBLANK(Raw_Data!F3547),AVERAGE(Raw_Data!F$2:F$5002),Raw_Data!F3547)</f>
        <v>28917.51</v>
      </c>
      <c r="G3547" s="14" t="str">
        <f>IF(ISBLANK(Raw_Data!G3547),AVERAGE(Raw_Data!G$2:G$5002),Raw_Data!G3547)</f>
        <v>19626.81</v>
      </c>
      <c r="H3547" s="15" t="str">
        <f t="shared" si="1"/>
        <v>148953.00</v>
      </c>
      <c r="I3547" s="14" t="str">
        <f t="shared" si="2"/>
        <v>129326.00</v>
      </c>
      <c r="J3547" s="16" t="str">
        <f>TEXT(Raw_Data!J3547,"MMM-YYY")</f>
        <v>Mar-2025</v>
      </c>
      <c r="K3547" s="13" t="str">
        <f>Raw_Data!K3547</f>
        <v>9</v>
      </c>
      <c r="L3547" s="17" t="str">
        <f>Raw_Data!L3547</f>
        <v>Chennai-South</v>
      </c>
      <c r="M3547" s="13" t="str">
        <f t="shared" si="3"/>
        <v>OK</v>
      </c>
      <c r="N3547" s="18" t="str">
        <f t="shared" si="4"/>
        <v>VALID</v>
      </c>
    </row>
    <row r="3548" ht="15.75" customHeight="1">
      <c r="A3548" s="13" t="str">
        <f>Raw_Data!A3548</f>
        <v>EMP3744</v>
      </c>
      <c r="B3548" s="13" t="str">
        <f>TRIM(CLEAN(Raw_Data!B3548))</f>
        <v>Marketing</v>
      </c>
      <c r="C3548" s="18" t="s">
        <v>37</v>
      </c>
      <c r="D3548" s="14" t="str">
        <f>IF(ISBLANK(Raw_Data!D3548),AVERAGE(Raw_Data!D$2:D$5002),Raw_Data!D3548)</f>
        <v>88783.12</v>
      </c>
      <c r="E3548" s="15" t="str">
        <f>IF(ISBLANK(Raw_Data!E3548),AVERAGE(Raw_Data!E$2:E$5002),Raw_Data!E3548)</f>
        <v>31268.13</v>
      </c>
      <c r="F3548" s="15" t="str">
        <f>IF(ISBLANK(Raw_Data!F3548),AVERAGE(Raw_Data!F$2:F$5002),Raw_Data!F3548)</f>
        <v>28925.19</v>
      </c>
      <c r="G3548" s="14" t="str">
        <f>IF(ISBLANK(Raw_Data!G3548),AVERAGE(Raw_Data!G$2:G$5002),Raw_Data!G3548)</f>
        <v>19630.21</v>
      </c>
      <c r="H3548" s="15" t="str">
        <f t="shared" si="1"/>
        <v>148976.00</v>
      </c>
      <c r="I3548" s="14" t="str">
        <f t="shared" si="2"/>
        <v>129346.00</v>
      </c>
      <c r="J3548" s="16" t="str">
        <f>TEXT(Raw_Data!J3548,"MMM-YYY")</f>
        <v>Sep-2025</v>
      </c>
      <c r="K3548" s="13" t="str">
        <f>Raw_Data!K3548</f>
        <v>11</v>
      </c>
      <c r="L3548" s="17" t="str">
        <f>Raw_Data!L3548</f>
        <v>Kolkata-East</v>
      </c>
      <c r="M3548" s="13" t="str">
        <f t="shared" si="3"/>
        <v>OK</v>
      </c>
      <c r="N3548" s="18" t="str">
        <f t="shared" si="4"/>
        <v>VALID</v>
      </c>
    </row>
    <row r="3549" ht="15.75" customHeight="1">
      <c r="A3549" s="13" t="str">
        <f>Raw_Data!A3549</f>
        <v>EMP3745</v>
      </c>
      <c r="B3549" s="13" t="str">
        <f>TRIM(CLEAN(Raw_Data!B3549))</f>
        <v>IT</v>
      </c>
      <c r="C3549" s="18" t="s">
        <v>14</v>
      </c>
      <c r="D3549" s="14" t="str">
        <f>IF(ISBLANK(Raw_Data!D3549),AVERAGE(Raw_Data!D$2:D$5002),Raw_Data!D3549)</f>
        <v>88794.00</v>
      </c>
      <c r="E3549" s="15" t="str">
        <f>IF(ISBLANK(Raw_Data!E3549),AVERAGE(Raw_Data!E$2:E$5002),Raw_Data!E3549)</f>
        <v>31272.74</v>
      </c>
      <c r="F3549" s="15" t="str">
        <f>IF(ISBLANK(Raw_Data!F3549),AVERAGE(Raw_Data!F$2:F$5002),Raw_Data!F3549)</f>
        <v>28932.87</v>
      </c>
      <c r="G3549" s="14" t="str">
        <f>IF(ISBLANK(Raw_Data!G3549),AVERAGE(Raw_Data!G$2:G$5002),Raw_Data!G3549)</f>
        <v>19633.61</v>
      </c>
      <c r="H3549" s="15" t="str">
        <f t="shared" si="1"/>
        <v>149000.00</v>
      </c>
      <c r="I3549" s="14" t="str">
        <f t="shared" si="2"/>
        <v>129366.00</v>
      </c>
      <c r="J3549" s="16" t="str">
        <f>TEXT(Raw_Data!J3549,"MMM-YYY")</f>
        <v>Jun-2025</v>
      </c>
      <c r="K3549" s="13" t="str">
        <f>Raw_Data!K3549</f>
        <v>13</v>
      </c>
      <c r="L3549" s="17" t="str">
        <f>Raw_Data!L3549</f>
        <v>Pune-West</v>
      </c>
      <c r="M3549" s="13" t="str">
        <f t="shared" si="3"/>
        <v>OK</v>
      </c>
      <c r="N3549" s="18" t="str">
        <f t="shared" si="4"/>
        <v>VALID</v>
      </c>
    </row>
    <row r="3550" ht="15.75" customHeight="1">
      <c r="A3550" s="13" t="str">
        <f>Raw_Data!A3550</f>
        <v>EMP3746</v>
      </c>
      <c r="B3550" s="13" t="str">
        <f>TRIM(CLEAN(Raw_Data!B3550))</f>
        <v>Finance</v>
      </c>
      <c r="C3550" s="18" t="s">
        <v>33</v>
      </c>
      <c r="D3550" s="14" t="str">
        <f>IF(ISBLANK(Raw_Data!D3550),AVERAGE(Raw_Data!D$2:D$5002),Raw_Data!D3550)</f>
        <v>88804.88</v>
      </c>
      <c r="E3550" s="15" t="str">
        <f>IF(ISBLANK(Raw_Data!E3550),AVERAGE(Raw_Data!E$2:E$5002),Raw_Data!E3550)</f>
        <v>31277.36</v>
      </c>
      <c r="F3550" s="15" t="str">
        <f>IF(ISBLANK(Raw_Data!F3550),AVERAGE(Raw_Data!F$2:F$5002),Raw_Data!F3550)</f>
        <v>28940.55</v>
      </c>
      <c r="G3550" s="14" t="str">
        <f>IF(ISBLANK(Raw_Data!G3550),AVERAGE(Raw_Data!G$2:G$5002),Raw_Data!G3550)</f>
        <v>19637.00</v>
      </c>
      <c r="H3550" s="15" t="str">
        <f t="shared" si="1"/>
        <v>149023.00</v>
      </c>
      <c r="I3550" s="14" t="str">
        <f t="shared" si="2"/>
        <v>129386.00</v>
      </c>
      <c r="J3550" s="16" t="str">
        <f>TEXT(Raw_Data!J3550,"MMM-YYY")</f>
        <v>Jan-2025</v>
      </c>
      <c r="K3550" s="13" t="str">
        <f>Raw_Data!K3550</f>
        <v>25</v>
      </c>
      <c r="L3550" s="17" t="str">
        <f>Raw_Data!L3550</f>
        <v>Hyderabad-South</v>
      </c>
      <c r="M3550" s="13" t="str">
        <f t="shared" si="3"/>
        <v>OK</v>
      </c>
      <c r="N3550" s="18" t="str">
        <f t="shared" si="4"/>
        <v>VALID</v>
      </c>
    </row>
    <row r="3551" ht="15.75" customHeight="1">
      <c r="A3551" s="13" t="str">
        <f>Raw_Data!A3551</f>
        <v>EMP3747</v>
      </c>
      <c r="B3551" s="13" t="str">
        <f>TRIM(CLEAN(Raw_Data!B3551))</f>
        <v>Finance</v>
      </c>
      <c r="C3551" s="18" t="s">
        <v>37</v>
      </c>
      <c r="D3551" s="14" t="str">
        <f>IF(ISBLANK(Raw_Data!D3551),AVERAGE(Raw_Data!D$2:D$5002),Raw_Data!D3551)</f>
        <v>88815.77</v>
      </c>
      <c r="E3551" s="15" t="str">
        <f>IF(ISBLANK(Raw_Data!E3551),AVERAGE(Raw_Data!E$2:E$5002),Raw_Data!E3551)</f>
        <v>31281.97</v>
      </c>
      <c r="F3551" s="15" t="str">
        <f>IF(ISBLANK(Raw_Data!F3551),AVERAGE(Raw_Data!F$2:F$5002),Raw_Data!F3551)</f>
        <v>28948.23</v>
      </c>
      <c r="G3551" s="14" t="str">
        <f>IF(ISBLANK(Raw_Data!G3551),AVERAGE(Raw_Data!G$2:G$5002),Raw_Data!G3551)</f>
        <v>19640.40</v>
      </c>
      <c r="H3551" s="15" t="str">
        <f t="shared" si="1"/>
        <v>149046.00</v>
      </c>
      <c r="I3551" s="14" t="str">
        <f t="shared" si="2"/>
        <v>129406.00</v>
      </c>
      <c r="J3551" s="16" t="str">
        <f>TEXT(Raw_Data!J3551,"MMM-YYY")</f>
        <v>Aug-2025</v>
      </c>
      <c r="K3551" s="13" t="str">
        <f>Raw_Data!K3551</f>
        <v>22</v>
      </c>
      <c r="L3551" s="17" t="str">
        <f>Raw_Data!L3551</f>
        <v>Chandigarh-North</v>
      </c>
      <c r="M3551" s="13" t="str">
        <f t="shared" si="3"/>
        <v>OK</v>
      </c>
      <c r="N3551" s="18" t="str">
        <f t="shared" si="4"/>
        <v>VALID</v>
      </c>
    </row>
    <row r="3552" ht="15.75" customHeight="1">
      <c r="A3552" s="13" t="str">
        <f>Raw_Data!A3552</f>
        <v>EMP3748</v>
      </c>
      <c r="B3552" s="13" t="str">
        <f>TRIM(CLEAN(Raw_Data!B3552))</f>
        <v>Operations</v>
      </c>
      <c r="C3552" s="18" t="s">
        <v>26</v>
      </c>
      <c r="D3552" s="14" t="str">
        <f>IF(ISBLANK(Raw_Data!D3552),AVERAGE(Raw_Data!D$2:D$5002),Raw_Data!D3552)</f>
        <v>88826.65</v>
      </c>
      <c r="E3552" s="15" t="str">
        <f>IF(ISBLANK(Raw_Data!E3552),AVERAGE(Raw_Data!E$2:E$5002),Raw_Data!E3552)</f>
        <v>31286.59</v>
      </c>
      <c r="F3552" s="15" t="str">
        <f>IF(ISBLANK(Raw_Data!F3552),AVERAGE(Raw_Data!F$2:F$5002),Raw_Data!F3552)</f>
        <v>28955.91</v>
      </c>
      <c r="G3552" s="14" t="str">
        <f>IF(ISBLANK(Raw_Data!G3552),AVERAGE(Raw_Data!G$2:G$5002),Raw_Data!G3552)</f>
        <v>19643.80</v>
      </c>
      <c r="H3552" s="15" t="str">
        <f t="shared" si="1"/>
        <v>149069.00</v>
      </c>
      <c r="I3552" s="14" t="str">
        <f t="shared" si="2"/>
        <v>129425.00</v>
      </c>
      <c r="J3552" s="16" t="str">
        <f>TEXT(Raw_Data!J3552,"MMM-YYY")</f>
        <v>Jun-2025</v>
      </c>
      <c r="K3552" s="13" t="str">
        <f>Raw_Data!K3552</f>
        <v>17</v>
      </c>
      <c r="L3552" s="17" t="str">
        <f>Raw_Data!L3552</f>
        <v>Ahmedabad-West</v>
      </c>
      <c r="M3552" s="13" t="str">
        <f t="shared" si="3"/>
        <v>OK</v>
      </c>
      <c r="N3552" s="18" t="str">
        <f t="shared" si="4"/>
        <v>VALID</v>
      </c>
    </row>
    <row r="3553" ht="15.75" customHeight="1">
      <c r="A3553" s="13" t="str">
        <f>Raw_Data!A3553</f>
        <v>EMP3749</v>
      </c>
      <c r="B3553" s="13" t="str">
        <f>TRIM(CLEAN(Raw_Data!B3553))</f>
        <v>Finance</v>
      </c>
      <c r="C3553" s="18" t="s">
        <v>54</v>
      </c>
      <c r="D3553" s="14" t="str">
        <f>IF(ISBLANK(Raw_Data!D3553),AVERAGE(Raw_Data!D$2:D$5002),Raw_Data!D3553)</f>
        <v>88837.53</v>
      </c>
      <c r="E3553" s="15" t="str">
        <f>IF(ISBLANK(Raw_Data!E3553),AVERAGE(Raw_Data!E$2:E$5002),Raw_Data!E3553)</f>
        <v>31291.20</v>
      </c>
      <c r="F3553" s="15" t="str">
        <f>IF(ISBLANK(Raw_Data!F3553),AVERAGE(Raw_Data!F$2:F$5002),Raw_Data!F3553)</f>
        <v>28963.59</v>
      </c>
      <c r="G3553" s="14" t="str">
        <f>IF(ISBLANK(Raw_Data!G3553),AVERAGE(Raw_Data!G$2:G$5002),Raw_Data!G3553)</f>
        <v>19647.20</v>
      </c>
      <c r="H3553" s="15" t="str">
        <f t="shared" si="1"/>
        <v>149092.00</v>
      </c>
      <c r="I3553" s="14" t="str">
        <f t="shared" si="2"/>
        <v>129445.00</v>
      </c>
      <c r="J3553" s="16" t="str">
        <f>TEXT(Raw_Data!J3553,"MMM-YYY")</f>
        <v>Feb-2025</v>
      </c>
      <c r="K3553" s="13" t="str">
        <f>Raw_Data!K3553</f>
        <v>6</v>
      </c>
      <c r="L3553" s="17" t="str">
        <f>Raw_Data!L3553</f>
        <v>Jaipur-North</v>
      </c>
      <c r="M3553" s="13" t="str">
        <f t="shared" si="3"/>
        <v>OK</v>
      </c>
      <c r="N3553" s="18" t="str">
        <f t="shared" si="4"/>
        <v>VALID</v>
      </c>
    </row>
    <row r="3554" ht="15.75" customHeight="1">
      <c r="A3554" s="13" t="str">
        <f>Raw_Data!A3554</f>
        <v>EMP3750</v>
      </c>
      <c r="B3554" s="13" t="str">
        <f>TRIM(CLEAN(Raw_Data!B3554))</f>
        <v>Operations</v>
      </c>
      <c r="C3554" s="18" t="s">
        <v>54</v>
      </c>
      <c r="D3554" s="14" t="str">
        <f>IF(ISBLANK(Raw_Data!D3554),AVERAGE(Raw_Data!D$2:D$5002),Raw_Data!D3554)</f>
        <v>88848.42</v>
      </c>
      <c r="E3554" s="15" t="str">
        <f>IF(ISBLANK(Raw_Data!E3554),AVERAGE(Raw_Data!E$2:E$5002),Raw_Data!E3554)</f>
        <v>31295.82</v>
      </c>
      <c r="F3554" s="15" t="str">
        <f>IF(ISBLANK(Raw_Data!F3554),AVERAGE(Raw_Data!F$2:F$5002),Raw_Data!F3554)</f>
        <v>28971.27</v>
      </c>
      <c r="G3554" s="14" t="str">
        <f>IF(ISBLANK(Raw_Data!G3554),AVERAGE(Raw_Data!G$2:G$5002),Raw_Data!G3554)</f>
        <v>19650.59</v>
      </c>
      <c r="H3554" s="15" t="str">
        <f t="shared" si="1"/>
        <v>149116.00</v>
      </c>
      <c r="I3554" s="14" t="str">
        <f t="shared" si="2"/>
        <v>129465.00</v>
      </c>
      <c r="J3554" s="16" t="str">
        <f>TEXT(Raw_Data!J3554,"MMM-YYY")</f>
        <v>Mar-2025</v>
      </c>
      <c r="K3554" s="13" t="str">
        <f>Raw_Data!K3554</f>
        <v>2</v>
      </c>
      <c r="L3554" s="17" t="str">
        <f>Raw_Data!L3554</f>
        <v>Mumbai-HO</v>
      </c>
      <c r="M3554" s="13" t="str">
        <f t="shared" si="3"/>
        <v>OK</v>
      </c>
      <c r="N3554" s="18" t="str">
        <f t="shared" si="4"/>
        <v>VALID</v>
      </c>
    </row>
    <row r="3555" ht="15.75" customHeight="1">
      <c r="A3555" s="13" t="str">
        <f>Raw_Data!A3555</f>
        <v>EMP3751</v>
      </c>
      <c r="B3555" s="13" t="str">
        <f>TRIM(CLEAN(Raw_Data!B3555))</f>
        <v>HR</v>
      </c>
      <c r="C3555" s="18" t="s">
        <v>14</v>
      </c>
      <c r="D3555" s="14" t="str">
        <f>IF(ISBLANK(Raw_Data!D3555),AVERAGE(Raw_Data!D$2:D$5002),Raw_Data!D3555)</f>
        <v>88859.30</v>
      </c>
      <c r="E3555" s="15" t="str">
        <f>IF(ISBLANK(Raw_Data!E3555),AVERAGE(Raw_Data!E$2:E$5002),Raw_Data!E3555)</f>
        <v>31300.43</v>
      </c>
      <c r="F3555" s="15" t="str">
        <f>IF(ISBLANK(Raw_Data!F3555),AVERAGE(Raw_Data!F$2:F$5002),Raw_Data!F3555)</f>
        <v>28978.95</v>
      </c>
      <c r="G3555" s="14" t="str">
        <f>IF(ISBLANK(Raw_Data!G3555),AVERAGE(Raw_Data!G$2:G$5002),Raw_Data!G3555)</f>
        <v>19653.99</v>
      </c>
      <c r="H3555" s="15" t="str">
        <f t="shared" si="1"/>
        <v>149139.00</v>
      </c>
      <c r="I3555" s="14" t="str">
        <f t="shared" si="2"/>
        <v>129485.00</v>
      </c>
      <c r="J3555" s="16" t="str">
        <f>TEXT(Raw_Data!J3555,"MMM-YYY")</f>
        <v>Sep-2025</v>
      </c>
      <c r="K3555" s="13" t="str">
        <f>Raw_Data!K3555</f>
        <v>15</v>
      </c>
      <c r="L3555" s="17" t="str">
        <f>Raw_Data!L3555</f>
        <v>Delhi-North</v>
      </c>
      <c r="M3555" s="13" t="str">
        <f t="shared" si="3"/>
        <v>OK</v>
      </c>
      <c r="N3555" s="18" t="str">
        <f t="shared" si="4"/>
        <v>VALID</v>
      </c>
    </row>
    <row r="3556" ht="15.75" customHeight="1">
      <c r="A3556" s="13" t="str">
        <f>Raw_Data!A3556</f>
        <v>EMP3752</v>
      </c>
      <c r="B3556" s="13" t="str">
        <f>TRIM(CLEAN(Raw_Data!B3556))</f>
        <v>Finance</v>
      </c>
      <c r="C3556" s="18" t="s">
        <v>33</v>
      </c>
      <c r="D3556" s="14" t="str">
        <f>IF(ISBLANK(Raw_Data!D3556),AVERAGE(Raw_Data!D$2:D$5002),Raw_Data!D3556)</f>
        <v>88870.18</v>
      </c>
      <c r="E3556" s="15" t="str">
        <f>IF(ISBLANK(Raw_Data!E3556),AVERAGE(Raw_Data!E$2:E$5002),Raw_Data!E3556)</f>
        <v>31305.05</v>
      </c>
      <c r="F3556" s="15" t="str">
        <f>IF(ISBLANK(Raw_Data!F3556),AVERAGE(Raw_Data!F$2:F$5002),Raw_Data!F3556)</f>
        <v>28986.63</v>
      </c>
      <c r="G3556" s="14" t="str">
        <f>IF(ISBLANK(Raw_Data!G3556),AVERAGE(Raw_Data!G$2:G$5002),Raw_Data!G3556)</f>
        <v>14562.73</v>
      </c>
      <c r="H3556" s="15" t="str">
        <f t="shared" si="1"/>
        <v>149162.00</v>
      </c>
      <c r="I3556" s="14" t="str">
        <f t="shared" si="2"/>
        <v>134599.00</v>
      </c>
      <c r="J3556" s="16" t="str">
        <f>TEXT(Raw_Data!J3556,"MMM-YYY")</f>
        <v>Sep-2025</v>
      </c>
      <c r="K3556" s="13" t="str">
        <f>Raw_Data!K3556</f>
        <v>5</v>
      </c>
      <c r="L3556" s="17" t="str">
        <f>Raw_Data!L3556</f>
        <v>Bangalore-South</v>
      </c>
      <c r="M3556" s="13" t="str">
        <f t="shared" si="3"/>
        <v>OK</v>
      </c>
      <c r="N3556" s="18" t="str">
        <f t="shared" si="4"/>
        <v>VALID</v>
      </c>
    </row>
    <row r="3557" ht="15.75" customHeight="1">
      <c r="A3557" s="13" t="str">
        <f>Raw_Data!A3557</f>
        <v>EMP3753</v>
      </c>
      <c r="B3557" s="13" t="str">
        <f>TRIM(CLEAN(Raw_Data!B3557))</f>
        <v>Marketing</v>
      </c>
      <c r="C3557" s="18" t="s">
        <v>18</v>
      </c>
      <c r="D3557" s="14" t="str">
        <f>IF(ISBLANK(Raw_Data!D3557),AVERAGE(Raw_Data!D$2:D$5002),Raw_Data!D3557)</f>
        <v>88881.07</v>
      </c>
      <c r="E3557" s="15" t="str">
        <f>IF(ISBLANK(Raw_Data!E3557),AVERAGE(Raw_Data!E$2:E$5002),Raw_Data!E3557)</f>
        <v>31309.66</v>
      </c>
      <c r="F3557" s="15" t="str">
        <f>IF(ISBLANK(Raw_Data!F3557),AVERAGE(Raw_Data!F$2:F$5002),Raw_Data!F3557)</f>
        <v>28994.31</v>
      </c>
      <c r="G3557" s="14" t="str">
        <f>IF(ISBLANK(Raw_Data!G3557),AVERAGE(Raw_Data!G$2:G$5002),Raw_Data!G3557)</f>
        <v>19660.79</v>
      </c>
      <c r="H3557" s="15" t="str">
        <f t="shared" si="1"/>
        <v>149185.00</v>
      </c>
      <c r="I3557" s="14" t="str">
        <f t="shared" si="2"/>
        <v>129524.00</v>
      </c>
      <c r="J3557" s="16" t="str">
        <f>TEXT(Raw_Data!J3557,"MMM-YYY")</f>
        <v>Jul-2025</v>
      </c>
      <c r="K3557" s="13" t="str">
        <f>Raw_Data!K3557</f>
        <v>4</v>
      </c>
      <c r="L3557" s="17" t="str">
        <f>Raw_Data!L3557</f>
        <v>Chennai-South</v>
      </c>
      <c r="M3557" s="13" t="str">
        <f t="shared" si="3"/>
        <v>OK</v>
      </c>
      <c r="N3557" s="18" t="str">
        <f t="shared" si="4"/>
        <v>VALID</v>
      </c>
    </row>
    <row r="3558" ht="15.75" customHeight="1">
      <c r="A3558" s="13" t="str">
        <f>Raw_Data!A3558</f>
        <v>EMP3754</v>
      </c>
      <c r="B3558" s="13" t="str">
        <f>TRIM(CLEAN(Raw_Data!B3558))</f>
        <v>Customer Support</v>
      </c>
      <c r="C3558" s="18" t="s">
        <v>30</v>
      </c>
      <c r="D3558" s="14" t="str">
        <f>IF(ISBLANK(Raw_Data!D3558),AVERAGE(Raw_Data!D$2:D$5002),Raw_Data!D3558)</f>
        <v>88891.95</v>
      </c>
      <c r="E3558" s="15" t="str">
        <f>IF(ISBLANK(Raw_Data!E3558),AVERAGE(Raw_Data!E$2:E$5002),Raw_Data!E3558)</f>
        <v>31314.28</v>
      </c>
      <c r="F3558" s="15" t="str">
        <f>IF(ISBLANK(Raw_Data!F3558),AVERAGE(Raw_Data!F$2:F$5002),Raw_Data!F3558)</f>
        <v>29001.99</v>
      </c>
      <c r="G3558" s="14" t="str">
        <f>IF(ISBLANK(Raw_Data!G3558),AVERAGE(Raw_Data!G$2:G$5002),Raw_Data!G3558)</f>
        <v>19664.18</v>
      </c>
      <c r="H3558" s="15" t="str">
        <f t="shared" si="1"/>
        <v>149208.00</v>
      </c>
      <c r="I3558" s="14" t="str">
        <f t="shared" si="2"/>
        <v>129544.00</v>
      </c>
      <c r="J3558" s="16" t="str">
        <f>TEXT(Raw_Data!J3558,"MMM-YYY")</f>
        <v>Apr-2025</v>
      </c>
      <c r="K3558" s="13" t="str">
        <f>Raw_Data!K3558</f>
        <v>11</v>
      </c>
      <c r="L3558" s="17" t="str">
        <f>Raw_Data!L3558</f>
        <v>Kolkata-East</v>
      </c>
      <c r="M3558" s="13" t="str">
        <f t="shared" si="3"/>
        <v>OK</v>
      </c>
      <c r="N3558" s="18" t="str">
        <f t="shared" si="4"/>
        <v>VALID</v>
      </c>
    </row>
    <row r="3559" ht="15.75" customHeight="1">
      <c r="A3559" s="13" t="str">
        <f>Raw_Data!A3559</f>
        <v>EMP3755</v>
      </c>
      <c r="B3559" s="13" t="str">
        <f>TRIM(CLEAN(Raw_Data!B3559))</f>
        <v>Customer Support</v>
      </c>
      <c r="C3559" s="18" t="s">
        <v>30</v>
      </c>
      <c r="D3559" s="14" t="str">
        <f>IF(ISBLANK(Raw_Data!D3559),AVERAGE(Raw_Data!D$2:D$5002),Raw_Data!D3559)</f>
        <v>88902.83</v>
      </c>
      <c r="E3559" s="15" t="str">
        <f>IF(ISBLANK(Raw_Data!E3559),AVERAGE(Raw_Data!E$2:E$5002),Raw_Data!E3559)</f>
        <v>31318.89</v>
      </c>
      <c r="F3559" s="15" t="str">
        <f>IF(ISBLANK(Raw_Data!F3559),AVERAGE(Raw_Data!F$2:F$5002),Raw_Data!F3559)</f>
        <v>29009.67</v>
      </c>
      <c r="G3559" s="14" t="str">
        <f>IF(ISBLANK(Raw_Data!G3559),AVERAGE(Raw_Data!G$2:G$5002),Raw_Data!G3559)</f>
        <v>19667.58</v>
      </c>
      <c r="H3559" s="15" t="str">
        <f t="shared" si="1"/>
        <v>149231.00</v>
      </c>
      <c r="I3559" s="14" t="str">
        <f t="shared" si="2"/>
        <v>129563.00</v>
      </c>
      <c r="J3559" s="16" t="str">
        <f>TEXT(Raw_Data!J3559,"MMM-YYY")</f>
        <v>Sep-2025</v>
      </c>
      <c r="K3559" s="13" t="str">
        <f>Raw_Data!K3559</f>
        <v>3</v>
      </c>
      <c r="L3559" s="17" t="str">
        <f>Raw_Data!L3559</f>
        <v>Pune-West</v>
      </c>
      <c r="M3559" s="13" t="str">
        <f t="shared" si="3"/>
        <v>OK</v>
      </c>
      <c r="N3559" s="18" t="str">
        <f t="shared" si="4"/>
        <v>VALID</v>
      </c>
    </row>
    <row r="3560" ht="15.75" customHeight="1">
      <c r="A3560" s="13" t="str">
        <f>Raw_Data!A3560</f>
        <v>EMP3756</v>
      </c>
      <c r="B3560" s="13" t="str">
        <f>TRIM(CLEAN(Raw_Data!B3560))</f>
        <v>Marketing</v>
      </c>
      <c r="C3560" s="18" t="s">
        <v>33</v>
      </c>
      <c r="D3560" s="14" t="str">
        <f>IF(ISBLANK(Raw_Data!D3560),AVERAGE(Raw_Data!D$2:D$5002),Raw_Data!D3560)</f>
        <v>88913.71</v>
      </c>
      <c r="E3560" s="15" t="str">
        <f>IF(ISBLANK(Raw_Data!E3560),AVERAGE(Raw_Data!E$2:E$5002),Raw_Data!E3560)</f>
        <v>31323.51</v>
      </c>
      <c r="F3560" s="15" t="str">
        <f>IF(ISBLANK(Raw_Data!F3560),AVERAGE(Raw_Data!F$2:F$5002),Raw_Data!F3560)</f>
        <v>29017.35</v>
      </c>
      <c r="G3560" s="14" t="str">
        <f>IF(ISBLANK(Raw_Data!G3560),AVERAGE(Raw_Data!G$2:G$5002),Raw_Data!G3560)</f>
        <v>19670.98</v>
      </c>
      <c r="H3560" s="15" t="str">
        <f t="shared" si="1"/>
        <v>149255.00</v>
      </c>
      <c r="I3560" s="14" t="str">
        <f t="shared" si="2"/>
        <v>129584.00</v>
      </c>
      <c r="J3560" s="16" t="str">
        <f>TEXT(Raw_Data!J3560,"MMM-YYY")</f>
        <v>May-2025</v>
      </c>
      <c r="K3560" s="13" t="str">
        <f>Raw_Data!K3560</f>
        <v>19</v>
      </c>
      <c r="L3560" s="17" t="str">
        <f>Raw_Data!L3560</f>
        <v>Hyderabad-South</v>
      </c>
      <c r="M3560" s="13" t="str">
        <f t="shared" si="3"/>
        <v>OK</v>
      </c>
      <c r="N3560" s="18" t="str">
        <f t="shared" si="4"/>
        <v>VALID</v>
      </c>
    </row>
    <row r="3561" ht="15.75" customHeight="1">
      <c r="A3561" s="13" t="str">
        <f>Raw_Data!A3561</f>
        <v>EMP3757</v>
      </c>
      <c r="B3561" s="13" t="str">
        <f>TRIM(CLEAN(Raw_Data!B3561))</f>
        <v>IT</v>
      </c>
      <c r="C3561" s="18" t="s">
        <v>14</v>
      </c>
      <c r="D3561" s="14" t="str">
        <f>IF(ISBLANK(Raw_Data!D3561),AVERAGE(Raw_Data!D$2:D$5002),Raw_Data!D3561)</f>
        <v>88924.60</v>
      </c>
      <c r="E3561" s="15" t="str">
        <f>IF(ISBLANK(Raw_Data!E3561),AVERAGE(Raw_Data!E$2:E$5002),Raw_Data!E3561)</f>
        <v>31328.12</v>
      </c>
      <c r="F3561" s="15" t="str">
        <f>IF(ISBLANK(Raw_Data!F3561),AVERAGE(Raw_Data!F$2:F$5002),Raw_Data!F3561)</f>
        <v>29025.03</v>
      </c>
      <c r="G3561" s="14" t="str">
        <f>IF(ISBLANK(Raw_Data!G3561),AVERAGE(Raw_Data!G$2:G$5002),Raw_Data!G3561)</f>
        <v>19674.38</v>
      </c>
      <c r="H3561" s="15" t="str">
        <f t="shared" si="1"/>
        <v>149278.00</v>
      </c>
      <c r="I3561" s="14" t="str">
        <f t="shared" si="2"/>
        <v>129604.00</v>
      </c>
      <c r="J3561" s="16" t="str">
        <f>TEXT(Raw_Data!J3561,"MMM-YYY")</f>
        <v>Feb-2025</v>
      </c>
      <c r="K3561" s="13" t="str">
        <f>Raw_Data!K3561</f>
        <v>23</v>
      </c>
      <c r="L3561" s="17" t="str">
        <f>Raw_Data!L3561</f>
        <v>Chandigarh-North</v>
      </c>
      <c r="M3561" s="13" t="str">
        <f t="shared" si="3"/>
        <v>OK</v>
      </c>
      <c r="N3561" s="18" t="str">
        <f t="shared" si="4"/>
        <v>VALID</v>
      </c>
    </row>
    <row r="3562" ht="15.75" customHeight="1">
      <c r="A3562" s="13" t="str">
        <f>Raw_Data!A3562</f>
        <v>EMP3758</v>
      </c>
      <c r="B3562" s="13" t="str">
        <f>TRIM(CLEAN(Raw_Data!B3562))</f>
        <v>Sales</v>
      </c>
      <c r="C3562" s="18" t="s">
        <v>26</v>
      </c>
      <c r="D3562" s="14" t="str">
        <f>IF(ISBLANK(Raw_Data!D3562),AVERAGE(Raw_Data!D$2:D$5002),Raw_Data!D3562)</f>
        <v>88935.48</v>
      </c>
      <c r="E3562" s="15" t="str">
        <f>IF(ISBLANK(Raw_Data!E3562),AVERAGE(Raw_Data!E$2:E$5002),Raw_Data!E3562)</f>
        <v>31332.74</v>
      </c>
      <c r="F3562" s="15" t="str">
        <f>IF(ISBLANK(Raw_Data!F3562),AVERAGE(Raw_Data!F$2:F$5002),Raw_Data!F3562)</f>
        <v>29032.71</v>
      </c>
      <c r="G3562" s="14" t="str">
        <f>IF(ISBLANK(Raw_Data!G3562),AVERAGE(Raw_Data!G$2:G$5002),Raw_Data!G3562)</f>
        <v>19677.77</v>
      </c>
      <c r="H3562" s="15" t="str">
        <f t="shared" si="1"/>
        <v>149301.00</v>
      </c>
      <c r="I3562" s="14" t="str">
        <f t="shared" si="2"/>
        <v>129623.00</v>
      </c>
      <c r="J3562" s="16" t="str">
        <f>TEXT(Raw_Data!J3562,"MMM-YYY")</f>
        <v>Nov-2025</v>
      </c>
      <c r="K3562" s="13" t="str">
        <f>Raw_Data!K3562</f>
        <v>7</v>
      </c>
      <c r="L3562" s="17" t="str">
        <f>Raw_Data!L3562</f>
        <v>Ahmedabad-West</v>
      </c>
      <c r="M3562" s="13" t="str">
        <f t="shared" si="3"/>
        <v>OK</v>
      </c>
      <c r="N3562" s="18" t="str">
        <f t="shared" si="4"/>
        <v>VALID</v>
      </c>
    </row>
    <row r="3563" ht="15.75" customHeight="1">
      <c r="A3563" s="13" t="str">
        <f>Raw_Data!A3563</f>
        <v>EMP3759</v>
      </c>
      <c r="B3563" s="13" t="str">
        <f>TRIM(CLEAN(Raw_Data!B3563))</f>
        <v>HR</v>
      </c>
      <c r="C3563" s="18" t="s">
        <v>26</v>
      </c>
      <c r="D3563" s="14" t="str">
        <f>IF(ISBLANK(Raw_Data!D3563),AVERAGE(Raw_Data!D$2:D$5002),Raw_Data!D3563)</f>
        <v>88946.36</v>
      </c>
      <c r="E3563" s="15" t="str">
        <f>IF(ISBLANK(Raw_Data!E3563),AVERAGE(Raw_Data!E$2:E$5002),Raw_Data!E3563)</f>
        <v>31337.35</v>
      </c>
      <c r="F3563" s="15" t="str">
        <f>IF(ISBLANK(Raw_Data!F3563),AVERAGE(Raw_Data!F$2:F$5002),Raw_Data!F3563)</f>
        <v>29040.39</v>
      </c>
      <c r="G3563" s="14" t="str">
        <f>IF(ISBLANK(Raw_Data!G3563),AVERAGE(Raw_Data!G$2:G$5002),Raw_Data!G3563)</f>
        <v>19681.17</v>
      </c>
      <c r="H3563" s="15" t="str">
        <f t="shared" si="1"/>
        <v>149324.00</v>
      </c>
      <c r="I3563" s="14" t="str">
        <f t="shared" si="2"/>
        <v>129643.00</v>
      </c>
      <c r="J3563" s="16" t="str">
        <f>TEXT(Raw_Data!J3563,"MMM-YYY")</f>
        <v>May-2025</v>
      </c>
      <c r="K3563" s="13" t="str">
        <f>Raw_Data!K3563</f>
        <v>2</v>
      </c>
      <c r="L3563" s="17" t="str">
        <f>Raw_Data!L3563</f>
        <v>Jaipur-North</v>
      </c>
      <c r="M3563" s="13" t="str">
        <f t="shared" si="3"/>
        <v>OK</v>
      </c>
      <c r="N3563" s="18" t="str">
        <f t="shared" si="4"/>
        <v>VALID</v>
      </c>
    </row>
    <row r="3564" ht="15.75" customHeight="1">
      <c r="A3564" s="13" t="str">
        <f>Raw_Data!A3564</f>
        <v>EMP3760</v>
      </c>
      <c r="B3564" s="13" t="str">
        <f>TRIM(CLEAN(Raw_Data!B3564))</f>
        <v>HR</v>
      </c>
      <c r="C3564" s="18" t="s">
        <v>30</v>
      </c>
      <c r="D3564" s="14" t="str">
        <f>IF(ISBLANK(Raw_Data!D3564),AVERAGE(Raw_Data!D$2:D$5002),Raw_Data!D3564)</f>
        <v>88957.25</v>
      </c>
      <c r="E3564" s="15" t="str">
        <f>IF(ISBLANK(Raw_Data!E3564),AVERAGE(Raw_Data!E$2:E$5002),Raw_Data!E3564)</f>
        <v>31341.97</v>
      </c>
      <c r="F3564" s="15" t="str">
        <f>IF(ISBLANK(Raw_Data!F3564),AVERAGE(Raw_Data!F$2:F$5002),Raw_Data!F3564)</f>
        <v>29048.07</v>
      </c>
      <c r="G3564" s="14" t="str">
        <f>IF(ISBLANK(Raw_Data!G3564),AVERAGE(Raw_Data!G$2:G$5002),Raw_Data!G3564)</f>
        <v>19684.57</v>
      </c>
      <c r="H3564" s="15" t="str">
        <f t="shared" si="1"/>
        <v>149347.00</v>
      </c>
      <c r="I3564" s="14" t="str">
        <f t="shared" si="2"/>
        <v>129662.00</v>
      </c>
      <c r="J3564" s="16" t="str">
        <f>TEXT(Raw_Data!J3564,"MMM-YYY")</f>
        <v>Dec-2025</v>
      </c>
      <c r="K3564" s="13" t="str">
        <f>Raw_Data!K3564</f>
        <v>19</v>
      </c>
      <c r="L3564" s="17" t="str">
        <f>Raw_Data!L3564</f>
        <v>Mumbai-HO</v>
      </c>
      <c r="M3564" s="13" t="str">
        <f t="shared" si="3"/>
        <v>OK</v>
      </c>
      <c r="N3564" s="18" t="str">
        <f t="shared" si="4"/>
        <v>VALID</v>
      </c>
    </row>
    <row r="3565" ht="15.75" customHeight="1">
      <c r="A3565" s="13" t="str">
        <f>Raw_Data!A3565</f>
        <v>EMP3761</v>
      </c>
      <c r="B3565" s="13" t="str">
        <f>TRIM(CLEAN(Raw_Data!B3565))</f>
        <v>Sales</v>
      </c>
      <c r="C3565" s="18" t="s">
        <v>18</v>
      </c>
      <c r="D3565" s="14" t="str">
        <f>IF(ISBLANK(Raw_Data!D3565),AVERAGE(Raw_Data!D$2:D$5002),Raw_Data!D3565)</f>
        <v>88968.13</v>
      </c>
      <c r="E3565" s="15" t="str">
        <f>IF(ISBLANK(Raw_Data!E3565),AVERAGE(Raw_Data!E$2:E$5002),Raw_Data!E3565)</f>
        <v>31346.58</v>
      </c>
      <c r="F3565" s="15" t="str">
        <f>IF(ISBLANK(Raw_Data!F3565),AVERAGE(Raw_Data!F$2:F$5002),Raw_Data!F3565)</f>
        <v>29055.75</v>
      </c>
      <c r="G3565" s="14" t="str">
        <f>IF(ISBLANK(Raw_Data!G3565),AVERAGE(Raw_Data!G$2:G$5002),Raw_Data!G3565)</f>
        <v>19687.97</v>
      </c>
      <c r="H3565" s="15" t="str">
        <f t="shared" si="1"/>
        <v>149370.00</v>
      </c>
      <c r="I3565" s="14" t="str">
        <f t="shared" si="2"/>
        <v>129682.00</v>
      </c>
      <c r="J3565" s="16" t="str">
        <f>TEXT(Raw_Data!J3565,"MMM-YYY")</f>
        <v>May-2025</v>
      </c>
      <c r="K3565" s="13" t="str">
        <f>Raw_Data!K3565</f>
        <v>18</v>
      </c>
      <c r="L3565" s="17" t="str">
        <f>Raw_Data!L3565</f>
        <v>Delhi-North</v>
      </c>
      <c r="M3565" s="13" t="str">
        <f t="shared" si="3"/>
        <v>OK</v>
      </c>
      <c r="N3565" s="18" t="str">
        <f t="shared" si="4"/>
        <v>VALID</v>
      </c>
    </row>
    <row r="3566" ht="15.75" customHeight="1">
      <c r="A3566" s="13" t="str">
        <f>Raw_Data!A3566</f>
        <v>EMP3762</v>
      </c>
      <c r="B3566" s="13" t="str">
        <f>TRIM(CLEAN(Raw_Data!B3566))</f>
        <v>Customer Support</v>
      </c>
      <c r="C3566" s="18" t="s">
        <v>14</v>
      </c>
      <c r="D3566" s="14" t="str">
        <f>IF(ISBLANK(Raw_Data!D3566),AVERAGE(Raw_Data!D$2:D$5002),Raw_Data!D3566)</f>
        <v>88979.01</v>
      </c>
      <c r="E3566" s="15" t="str">
        <f>IF(ISBLANK(Raw_Data!E3566),AVERAGE(Raw_Data!E$2:E$5002),Raw_Data!E3566)</f>
        <v>31351.19</v>
      </c>
      <c r="F3566" s="15" t="str">
        <f>IF(ISBLANK(Raw_Data!F3566),AVERAGE(Raw_Data!F$2:F$5002),Raw_Data!F3566)</f>
        <v>29063.43</v>
      </c>
      <c r="G3566" s="14" t="str">
        <f>IF(ISBLANK(Raw_Data!G3566),AVERAGE(Raw_Data!G$2:G$5002),Raw_Data!G3566)</f>
        <v>19691.36</v>
      </c>
      <c r="H3566" s="15" t="str">
        <f t="shared" si="1"/>
        <v>149394.00</v>
      </c>
      <c r="I3566" s="14" t="str">
        <f t="shared" si="2"/>
        <v>129703.00</v>
      </c>
      <c r="J3566" s="16" t="str">
        <f>TEXT(Raw_Data!J3566,"MMM-YYY")</f>
        <v>Feb-2025</v>
      </c>
      <c r="K3566" s="13" t="str">
        <f>Raw_Data!K3566</f>
        <v>7</v>
      </c>
      <c r="L3566" s="17" t="str">
        <f>Raw_Data!L3566</f>
        <v>Bangalore-South</v>
      </c>
      <c r="M3566" s="13" t="str">
        <f t="shared" si="3"/>
        <v>OK</v>
      </c>
      <c r="N3566" s="18" t="str">
        <f t="shared" si="4"/>
        <v>VALID</v>
      </c>
    </row>
    <row r="3567" ht="15.75" customHeight="1">
      <c r="A3567" s="13" t="str">
        <f>Raw_Data!A3567</f>
        <v>EMP3763</v>
      </c>
      <c r="B3567" s="13" t="str">
        <f>TRIM(CLEAN(Raw_Data!B3567))</f>
        <v>Customer Support</v>
      </c>
      <c r="C3567" s="18" t="s">
        <v>18</v>
      </c>
      <c r="D3567" s="14" t="str">
        <f>IF(ISBLANK(Raw_Data!D3567),AVERAGE(Raw_Data!D$2:D$5002),Raw_Data!D3567)</f>
        <v>88989.90</v>
      </c>
      <c r="E3567" s="15" t="str">
        <f>IF(ISBLANK(Raw_Data!E3567),AVERAGE(Raw_Data!E$2:E$5002),Raw_Data!E3567)</f>
        <v>31355.81</v>
      </c>
      <c r="F3567" s="15" t="str">
        <f>IF(ISBLANK(Raw_Data!F3567),AVERAGE(Raw_Data!F$2:F$5002),Raw_Data!F3567)</f>
        <v>29071.11</v>
      </c>
      <c r="G3567" s="14" t="str">
        <f>IF(ISBLANK(Raw_Data!G3567),AVERAGE(Raw_Data!G$2:G$5002),Raw_Data!G3567)</f>
        <v>19694.76</v>
      </c>
      <c r="H3567" s="15" t="str">
        <f t="shared" si="1"/>
        <v>149417.00</v>
      </c>
      <c r="I3567" s="14" t="str">
        <f t="shared" si="2"/>
        <v>129722.00</v>
      </c>
      <c r="J3567" s="16" t="str">
        <f>TEXT(Raw_Data!J3567,"MMM-YYY")</f>
        <v>Jan-2025</v>
      </c>
      <c r="K3567" s="13" t="str">
        <f>Raw_Data!K3567</f>
        <v>23</v>
      </c>
      <c r="L3567" s="17" t="str">
        <f>Raw_Data!L3567</f>
        <v>Chennai-South</v>
      </c>
      <c r="M3567" s="13" t="str">
        <f t="shared" si="3"/>
        <v>OK</v>
      </c>
      <c r="N3567" s="18" t="str">
        <f t="shared" si="4"/>
        <v>VALID</v>
      </c>
    </row>
    <row r="3568" ht="15.75" customHeight="1">
      <c r="A3568" s="13" t="str">
        <f>Raw_Data!A3568</f>
        <v>EMP3764</v>
      </c>
      <c r="B3568" s="13" t="str">
        <f>TRIM(CLEAN(Raw_Data!B3568))</f>
        <v>Customer Support</v>
      </c>
      <c r="C3568" s="18" t="s">
        <v>33</v>
      </c>
      <c r="D3568" s="14" t="str">
        <f>IF(ISBLANK(Raw_Data!D3568),AVERAGE(Raw_Data!D$2:D$5002),Raw_Data!D3568)</f>
        <v>89000.78</v>
      </c>
      <c r="E3568" s="15" t="str">
        <f>IF(ISBLANK(Raw_Data!E3568),AVERAGE(Raw_Data!E$2:E$5002),Raw_Data!E3568)</f>
        <v>31360.42</v>
      </c>
      <c r="F3568" s="15" t="str">
        <f>IF(ISBLANK(Raw_Data!F3568),AVERAGE(Raw_Data!F$2:F$5002),Raw_Data!F3568)</f>
        <v>29078.79</v>
      </c>
      <c r="G3568" s="14" t="str">
        <f>IF(ISBLANK(Raw_Data!G3568),AVERAGE(Raw_Data!G$2:G$5002),Raw_Data!G3568)</f>
        <v>19698.16</v>
      </c>
      <c r="H3568" s="15" t="str">
        <f t="shared" si="1"/>
        <v>149440.00</v>
      </c>
      <c r="I3568" s="14" t="str">
        <f t="shared" si="2"/>
        <v>129742.00</v>
      </c>
      <c r="J3568" s="16" t="str">
        <f>TEXT(Raw_Data!J3568,"MMM-YYY")</f>
        <v>Jan-2025</v>
      </c>
      <c r="K3568" s="13" t="str">
        <f>Raw_Data!K3568</f>
        <v>21</v>
      </c>
      <c r="L3568" s="17" t="str">
        <f>Raw_Data!L3568</f>
        <v>Kolkata-East</v>
      </c>
      <c r="M3568" s="13" t="str">
        <f t="shared" si="3"/>
        <v>OK</v>
      </c>
      <c r="N3568" s="18" t="str">
        <f t="shared" si="4"/>
        <v>VALID</v>
      </c>
    </row>
    <row r="3569" ht="15.75" customHeight="1">
      <c r="A3569" s="13" t="str">
        <f>Raw_Data!A3569</f>
        <v>EMP3765</v>
      </c>
      <c r="B3569" s="13" t="str">
        <f>TRIM(CLEAN(Raw_Data!B3569))</f>
        <v>Sales</v>
      </c>
      <c r="C3569" s="18" t="s">
        <v>37</v>
      </c>
      <c r="D3569" s="14" t="str">
        <f>IF(ISBLANK(Raw_Data!D3569),AVERAGE(Raw_Data!D$2:D$5002),Raw_Data!D3569)</f>
        <v>89011.66</v>
      </c>
      <c r="E3569" s="15" t="str">
        <f>IF(ISBLANK(Raw_Data!E3569),AVERAGE(Raw_Data!E$2:E$5002),Raw_Data!E3569)</f>
        <v>31365.04</v>
      </c>
      <c r="F3569" s="15" t="str">
        <f>IF(ISBLANK(Raw_Data!F3569),AVERAGE(Raw_Data!F$2:F$5002),Raw_Data!F3569)</f>
        <v>29086.47</v>
      </c>
      <c r="G3569" s="14" t="str">
        <f>IF(ISBLANK(Raw_Data!G3569),AVERAGE(Raw_Data!G$2:G$5002),Raw_Data!G3569)</f>
        <v>19701.56</v>
      </c>
      <c r="H3569" s="15" t="str">
        <f t="shared" si="1"/>
        <v>149463.00</v>
      </c>
      <c r="I3569" s="14" t="str">
        <f t="shared" si="2"/>
        <v>129761.00</v>
      </c>
      <c r="J3569" s="16" t="str">
        <f>TEXT(Raw_Data!J3569,"MMM-YYY")</f>
        <v>Mar-2025</v>
      </c>
      <c r="K3569" s="13" t="str">
        <f>Raw_Data!K3569</f>
        <v>13</v>
      </c>
      <c r="L3569" s="17" t="str">
        <f>Raw_Data!L3569</f>
        <v>Pune-West</v>
      </c>
      <c r="M3569" s="13" t="str">
        <f t="shared" si="3"/>
        <v>OK</v>
      </c>
      <c r="N3569" s="18" t="str">
        <f t="shared" si="4"/>
        <v>VALID</v>
      </c>
    </row>
    <row r="3570" ht="15.75" customHeight="1">
      <c r="A3570" s="13" t="str">
        <f>Raw_Data!A3570</f>
        <v>EMP3766</v>
      </c>
      <c r="B3570" s="13" t="str">
        <f>TRIM(CLEAN(Raw_Data!B3570))</f>
        <v>Operations</v>
      </c>
      <c r="C3570" s="18" t="s">
        <v>14</v>
      </c>
      <c r="D3570" s="14" t="str">
        <f>IF(ISBLANK(Raw_Data!D3570),AVERAGE(Raw_Data!D$2:D$5002),Raw_Data!D3570)</f>
        <v>89022.54</v>
      </c>
      <c r="E3570" s="15" t="str">
        <f>IF(ISBLANK(Raw_Data!E3570),AVERAGE(Raw_Data!E$2:E$5002),Raw_Data!E3570)</f>
        <v>31369.65</v>
      </c>
      <c r="F3570" s="15" t="str">
        <f>IF(ISBLANK(Raw_Data!F3570),AVERAGE(Raw_Data!F$2:F$5002),Raw_Data!F3570)</f>
        <v>29094.15</v>
      </c>
      <c r="G3570" s="14" t="str">
        <f>IF(ISBLANK(Raw_Data!G3570),AVERAGE(Raw_Data!G$2:G$5002),Raw_Data!G3570)</f>
        <v>19704.95</v>
      </c>
      <c r="H3570" s="15" t="str">
        <f t="shared" si="1"/>
        <v>149486.00</v>
      </c>
      <c r="I3570" s="14" t="str">
        <f t="shared" si="2"/>
        <v>129781.00</v>
      </c>
      <c r="J3570" s="16" t="str">
        <f>TEXT(Raw_Data!J3570,"MMM-YYY")</f>
        <v>Oct-2025</v>
      </c>
      <c r="K3570" s="13" t="str">
        <f>Raw_Data!K3570</f>
        <v>14</v>
      </c>
      <c r="L3570" s="17" t="str">
        <f>Raw_Data!L3570</f>
        <v>Hyderabad-South</v>
      </c>
      <c r="M3570" s="13" t="str">
        <f t="shared" si="3"/>
        <v>OK</v>
      </c>
      <c r="N3570" s="18" t="str">
        <f t="shared" si="4"/>
        <v>VALID</v>
      </c>
    </row>
    <row r="3571" ht="15.75" customHeight="1">
      <c r="A3571" s="13" t="str">
        <f>Raw_Data!A3571</f>
        <v>EMP3767</v>
      </c>
      <c r="B3571" s="13" t="str">
        <f>TRIM(CLEAN(Raw_Data!B3571))</f>
        <v>HR</v>
      </c>
      <c r="C3571" s="18" t="s">
        <v>54</v>
      </c>
      <c r="D3571" s="14" t="str">
        <f>IF(ISBLANK(Raw_Data!D3571),AVERAGE(Raw_Data!D$2:D$5002),Raw_Data!D3571)</f>
        <v>89033.43</v>
      </c>
      <c r="E3571" s="15" t="str">
        <f>IF(ISBLANK(Raw_Data!E3571),AVERAGE(Raw_Data!E$2:E$5002),Raw_Data!E3571)</f>
        <v>31374.27</v>
      </c>
      <c r="F3571" s="15" t="str">
        <f>IF(ISBLANK(Raw_Data!F3571),AVERAGE(Raw_Data!F$2:F$5002),Raw_Data!F3571)</f>
        <v>29101.83</v>
      </c>
      <c r="G3571" s="14" t="str">
        <f>IF(ISBLANK(Raw_Data!G3571),AVERAGE(Raw_Data!G$2:G$5002),Raw_Data!G3571)</f>
        <v>19708.35</v>
      </c>
      <c r="H3571" s="15" t="str">
        <f t="shared" si="1"/>
        <v>149510.00</v>
      </c>
      <c r="I3571" s="14" t="str">
        <f t="shared" si="2"/>
        <v>129802.00</v>
      </c>
      <c r="J3571" s="16" t="str">
        <f>TEXT(Raw_Data!J3571,"MMM-YYY")</f>
        <v>Jul-2025</v>
      </c>
      <c r="K3571" s="13" t="str">
        <f>Raw_Data!K3571</f>
        <v>21</v>
      </c>
      <c r="L3571" s="17" t="str">
        <f>Raw_Data!L3571</f>
        <v>Chandigarh-North</v>
      </c>
      <c r="M3571" s="13" t="str">
        <f t="shared" si="3"/>
        <v>OK</v>
      </c>
      <c r="N3571" s="18" t="str">
        <f t="shared" si="4"/>
        <v>VALID</v>
      </c>
    </row>
    <row r="3572" ht="15.75" customHeight="1">
      <c r="A3572" s="13" t="str">
        <f>Raw_Data!A3572</f>
        <v>EMP3768</v>
      </c>
      <c r="B3572" s="13" t="str">
        <f>TRIM(CLEAN(Raw_Data!B3572))</f>
        <v>Customer Support</v>
      </c>
      <c r="C3572" s="18" t="s">
        <v>37</v>
      </c>
      <c r="D3572" s="14" t="str">
        <f>IF(ISBLANK(Raw_Data!D3572),AVERAGE(Raw_Data!D$2:D$5002),Raw_Data!D3572)</f>
        <v>89044.31</v>
      </c>
      <c r="E3572" s="15" t="str">
        <f>IF(ISBLANK(Raw_Data!E3572),AVERAGE(Raw_Data!E$2:E$5002),Raw_Data!E3572)</f>
        <v>31378.88</v>
      </c>
      <c r="F3572" s="15" t="str">
        <f>IF(ISBLANK(Raw_Data!F3572),AVERAGE(Raw_Data!F$2:F$5002),Raw_Data!F3572)</f>
        <v>29109.51</v>
      </c>
      <c r="G3572" s="14" t="str">
        <f>IF(ISBLANK(Raw_Data!G3572),AVERAGE(Raw_Data!G$2:G$5002),Raw_Data!G3572)</f>
        <v>19711.75</v>
      </c>
      <c r="H3572" s="15" t="str">
        <f t="shared" si="1"/>
        <v>149533.00</v>
      </c>
      <c r="I3572" s="14" t="str">
        <f t="shared" si="2"/>
        <v>129821.00</v>
      </c>
      <c r="J3572" s="16" t="str">
        <f>TEXT(Raw_Data!J3572,"MMM-YYY")</f>
        <v>Dec-2025</v>
      </c>
      <c r="K3572" s="13" t="str">
        <f>Raw_Data!K3572</f>
        <v>13</v>
      </c>
      <c r="L3572" s="17" t="str">
        <f>Raw_Data!L3572</f>
        <v>Ahmedabad-West</v>
      </c>
      <c r="M3572" s="13" t="str">
        <f t="shared" si="3"/>
        <v>OK</v>
      </c>
      <c r="N3572" s="18" t="str">
        <f t="shared" si="4"/>
        <v>VALID</v>
      </c>
    </row>
    <row r="3573" ht="15.75" customHeight="1">
      <c r="A3573" s="13" t="str">
        <f>Raw_Data!A3573</f>
        <v>EMP3769</v>
      </c>
      <c r="B3573" s="13" t="str">
        <f>TRIM(CLEAN(Raw_Data!B3573))</f>
        <v>Marketing</v>
      </c>
      <c r="C3573" s="18" t="s">
        <v>54</v>
      </c>
      <c r="D3573" s="14" t="str">
        <f>IF(ISBLANK(Raw_Data!D3573),AVERAGE(Raw_Data!D$2:D$5002),Raw_Data!D3573)</f>
        <v>89055.19</v>
      </c>
      <c r="E3573" s="15" t="str">
        <f>IF(ISBLANK(Raw_Data!E3573),AVERAGE(Raw_Data!E$2:E$5002),Raw_Data!E3573)</f>
        <v>31383.50</v>
      </c>
      <c r="F3573" s="15" t="str">
        <f>IF(ISBLANK(Raw_Data!F3573),AVERAGE(Raw_Data!F$2:F$5002),Raw_Data!F3573)</f>
        <v>29117.19</v>
      </c>
      <c r="G3573" s="14" t="str">
        <f>IF(ISBLANK(Raw_Data!G3573),AVERAGE(Raw_Data!G$2:G$5002),Raw_Data!G3573)</f>
        <v>19715.15</v>
      </c>
      <c r="H3573" s="15" t="str">
        <f t="shared" si="1"/>
        <v>149556.00</v>
      </c>
      <c r="I3573" s="14" t="str">
        <f t="shared" si="2"/>
        <v>129841.00</v>
      </c>
      <c r="J3573" s="16" t="str">
        <f>TEXT(Raw_Data!J3573,"MMM-YYY")</f>
        <v>Jan-2025</v>
      </c>
      <c r="K3573" s="13" t="str">
        <f>Raw_Data!K3573</f>
        <v>20</v>
      </c>
      <c r="L3573" s="17" t="str">
        <f>Raw_Data!L3573</f>
        <v>Jaipur-North</v>
      </c>
      <c r="M3573" s="13" t="str">
        <f t="shared" si="3"/>
        <v>OK</v>
      </c>
      <c r="N3573" s="18" t="str">
        <f t="shared" si="4"/>
        <v>VALID</v>
      </c>
    </row>
    <row r="3574" ht="15.75" customHeight="1">
      <c r="A3574" s="13" t="str">
        <f>Raw_Data!A3574</f>
        <v>EMP3770</v>
      </c>
      <c r="B3574" s="13" t="str">
        <f>TRIM(CLEAN(Raw_Data!B3574))</f>
        <v>Marketing</v>
      </c>
      <c r="C3574" s="18" t="s">
        <v>26</v>
      </c>
      <c r="D3574" s="14" t="str">
        <f>IF(ISBLANK(Raw_Data!D3574),AVERAGE(Raw_Data!D$2:D$5002),Raw_Data!D3574)</f>
        <v>89066.08</v>
      </c>
      <c r="E3574" s="15" t="str">
        <f>IF(ISBLANK(Raw_Data!E3574),AVERAGE(Raw_Data!E$2:E$5002),Raw_Data!E3574)</f>
        <v>31388.11</v>
      </c>
      <c r="F3574" s="15" t="str">
        <f>IF(ISBLANK(Raw_Data!F3574),AVERAGE(Raw_Data!F$2:F$5002),Raw_Data!F3574)</f>
        <v>29124.87</v>
      </c>
      <c r="G3574" s="14" t="str">
        <f>IF(ISBLANK(Raw_Data!G3574),AVERAGE(Raw_Data!G$2:G$5002),Raw_Data!G3574)</f>
        <v>19718.54</v>
      </c>
      <c r="H3574" s="15" t="str">
        <f t="shared" si="1"/>
        <v>149579.00</v>
      </c>
      <c r="I3574" s="14" t="str">
        <f t="shared" si="2"/>
        <v>129860.00</v>
      </c>
      <c r="J3574" s="16" t="str">
        <f>TEXT(Raw_Data!J3574,"MMM-YYY")</f>
        <v>Jul-2025</v>
      </c>
      <c r="K3574" s="13" t="str">
        <f>Raw_Data!K3574</f>
        <v>12</v>
      </c>
      <c r="L3574" s="17" t="str">
        <f>Raw_Data!L3574</f>
        <v>Mumbai-HO</v>
      </c>
      <c r="M3574" s="13" t="str">
        <f t="shared" si="3"/>
        <v>OK</v>
      </c>
      <c r="N3574" s="18" t="str">
        <f t="shared" si="4"/>
        <v>VALID</v>
      </c>
    </row>
    <row r="3575" ht="15.75" customHeight="1">
      <c r="A3575" s="13" t="str">
        <f>Raw_Data!A3575</f>
        <v>EMP3771</v>
      </c>
      <c r="B3575" s="13" t="str">
        <f>TRIM(CLEAN(Raw_Data!B3575))</f>
        <v>IT</v>
      </c>
      <c r="C3575" s="18" t="s">
        <v>37</v>
      </c>
      <c r="D3575" s="14" t="str">
        <f>IF(ISBLANK(Raw_Data!D3575),AVERAGE(Raw_Data!D$2:D$5002),Raw_Data!D3575)</f>
        <v>89076.96</v>
      </c>
      <c r="E3575" s="15" t="str">
        <f>IF(ISBLANK(Raw_Data!E3575),AVERAGE(Raw_Data!E$2:E$5002),Raw_Data!E3575)</f>
        <v>31392.73</v>
      </c>
      <c r="F3575" s="15" t="str">
        <f>IF(ISBLANK(Raw_Data!F3575),AVERAGE(Raw_Data!F$2:F$5002),Raw_Data!F3575)</f>
        <v>29132.55</v>
      </c>
      <c r="G3575" s="14" t="str">
        <f>IF(ISBLANK(Raw_Data!G3575),AVERAGE(Raw_Data!G$2:G$5002),Raw_Data!G3575)</f>
        <v>19721.94</v>
      </c>
      <c r="H3575" s="15" t="str">
        <f t="shared" si="1"/>
        <v>149602.00</v>
      </c>
      <c r="I3575" s="14" t="str">
        <f t="shared" si="2"/>
        <v>129880.00</v>
      </c>
      <c r="J3575" s="16" t="str">
        <f>TEXT(Raw_Data!J3575,"MMM-YYY")</f>
        <v>Aug-2025</v>
      </c>
      <c r="K3575" s="13" t="str">
        <f>Raw_Data!K3575</f>
        <v>3</v>
      </c>
      <c r="L3575" s="17" t="str">
        <f>Raw_Data!L3575</f>
        <v>Delhi-North</v>
      </c>
      <c r="M3575" s="13" t="str">
        <f t="shared" si="3"/>
        <v>OK</v>
      </c>
      <c r="N3575" s="18" t="str">
        <f t="shared" si="4"/>
        <v>VALID</v>
      </c>
    </row>
    <row r="3576" ht="15.75" customHeight="1">
      <c r="A3576" s="13" t="str">
        <f>Raw_Data!A3576</f>
        <v>EMP3772</v>
      </c>
      <c r="B3576" s="13" t="str">
        <f>TRIM(CLEAN(Raw_Data!B3576))</f>
        <v>Marketing</v>
      </c>
      <c r="C3576" s="18" t="s">
        <v>33</v>
      </c>
      <c r="D3576" s="14" t="str">
        <f>IF(ISBLANK(Raw_Data!D3576),AVERAGE(Raw_Data!D$2:D$5002),Raw_Data!D3576)</f>
        <v>89087.84</v>
      </c>
      <c r="E3576" s="15" t="str">
        <f>IF(ISBLANK(Raw_Data!E3576),AVERAGE(Raw_Data!E$2:E$5002),Raw_Data!E3576)</f>
        <v>31397.34</v>
      </c>
      <c r="F3576" s="15" t="str">
        <f>IF(ISBLANK(Raw_Data!F3576),AVERAGE(Raw_Data!F$2:F$5002),Raw_Data!F3576)</f>
        <v>29140.23</v>
      </c>
      <c r="G3576" s="14" t="str">
        <f>IF(ISBLANK(Raw_Data!G3576),AVERAGE(Raw_Data!G$2:G$5002),Raw_Data!G3576)</f>
        <v>19725.34</v>
      </c>
      <c r="H3576" s="15" t="str">
        <f t="shared" si="1"/>
        <v>149625.00</v>
      </c>
      <c r="I3576" s="14" t="str">
        <f t="shared" si="2"/>
        <v>129900.00</v>
      </c>
      <c r="J3576" s="16" t="str">
        <f>TEXT(Raw_Data!J3576,"MMM-YYY")</f>
        <v>Nov-2025</v>
      </c>
      <c r="K3576" s="13" t="str">
        <f>Raw_Data!K3576</f>
        <v>19</v>
      </c>
      <c r="L3576" s="17" t="str">
        <f>Raw_Data!L3576</f>
        <v>Bangalore-South</v>
      </c>
      <c r="M3576" s="13" t="str">
        <f t="shared" si="3"/>
        <v>OK</v>
      </c>
      <c r="N3576" s="18" t="str">
        <f t="shared" si="4"/>
        <v>VALID</v>
      </c>
    </row>
    <row r="3577" ht="15.75" customHeight="1">
      <c r="A3577" s="13" t="str">
        <f>Raw_Data!A3577</f>
        <v>EMP3773</v>
      </c>
      <c r="B3577" s="13" t="str">
        <f>TRIM(CLEAN(Raw_Data!B3577))</f>
        <v>Marketing</v>
      </c>
      <c r="C3577" s="18" t="s">
        <v>54</v>
      </c>
      <c r="D3577" s="14" t="str">
        <f>IF(ISBLANK(Raw_Data!D3577),AVERAGE(Raw_Data!D$2:D$5002),Raw_Data!D3577)</f>
        <v>89098.72</v>
      </c>
      <c r="E3577" s="15" t="str">
        <f>IF(ISBLANK(Raw_Data!E3577),AVERAGE(Raw_Data!E$2:E$5002),Raw_Data!E3577)</f>
        <v>31401.96</v>
      </c>
      <c r="F3577" s="15" t="str">
        <f>IF(ISBLANK(Raw_Data!F3577),AVERAGE(Raw_Data!F$2:F$5002),Raw_Data!F3577)</f>
        <v>29147.91</v>
      </c>
      <c r="G3577" s="14" t="str">
        <f>IF(ISBLANK(Raw_Data!G3577),AVERAGE(Raw_Data!G$2:G$5002),Raw_Data!G3577)</f>
        <v>19728.74</v>
      </c>
      <c r="H3577" s="15" t="str">
        <f t="shared" si="1"/>
        <v>149649.00</v>
      </c>
      <c r="I3577" s="14" t="str">
        <f t="shared" si="2"/>
        <v>129920.00</v>
      </c>
      <c r="J3577" s="16" t="str">
        <f>TEXT(Raw_Data!J3577,"MMM-YYY")</f>
        <v>May-2025</v>
      </c>
      <c r="K3577" s="13" t="str">
        <f>Raw_Data!K3577</f>
        <v>23</v>
      </c>
      <c r="L3577" s="17" t="str">
        <f>Raw_Data!L3577</f>
        <v>Chennai-South</v>
      </c>
      <c r="M3577" s="13" t="str">
        <f t="shared" si="3"/>
        <v>OK</v>
      </c>
      <c r="N3577" s="18" t="str">
        <f t="shared" si="4"/>
        <v>VALID</v>
      </c>
    </row>
    <row r="3578" ht="15.75" customHeight="1">
      <c r="A3578" s="13" t="str">
        <f>Raw_Data!A3578</f>
        <v>EMP3774</v>
      </c>
      <c r="B3578" s="13" t="str">
        <f>TRIM(CLEAN(Raw_Data!B3578))</f>
        <v>Customer Support</v>
      </c>
      <c r="C3578" s="18" t="s">
        <v>33</v>
      </c>
      <c r="D3578" s="14" t="str">
        <f>IF(ISBLANK(Raw_Data!D3578),AVERAGE(Raw_Data!D$2:D$5002),Raw_Data!D3578)</f>
        <v>89109.61</v>
      </c>
      <c r="E3578" s="15" t="str">
        <f>IF(ISBLANK(Raw_Data!E3578),AVERAGE(Raw_Data!E$2:E$5002),Raw_Data!E3578)</f>
        <v>31406.57</v>
      </c>
      <c r="F3578" s="15" t="str">
        <f>IF(ISBLANK(Raw_Data!F3578),AVERAGE(Raw_Data!F$2:F$5002),Raw_Data!F3578)</f>
        <v>29155.59</v>
      </c>
      <c r="G3578" s="14" t="str">
        <f>IF(ISBLANK(Raw_Data!G3578),AVERAGE(Raw_Data!G$2:G$5002),Raw_Data!G3578)</f>
        <v>19732.14</v>
      </c>
      <c r="H3578" s="15" t="str">
        <f t="shared" si="1"/>
        <v>149672.00</v>
      </c>
      <c r="I3578" s="14" t="str">
        <f t="shared" si="2"/>
        <v>129940.00</v>
      </c>
      <c r="J3578" s="16" t="str">
        <f>TEXT(Raw_Data!J3578,"MMM-YYY")</f>
        <v>Apr-2025</v>
      </c>
      <c r="K3578" s="13" t="str">
        <f>Raw_Data!K3578</f>
        <v>12</v>
      </c>
      <c r="L3578" s="17" t="str">
        <f>Raw_Data!L3578</f>
        <v>Kolkata-East</v>
      </c>
      <c r="M3578" s="13" t="str">
        <f t="shared" si="3"/>
        <v>OK</v>
      </c>
      <c r="N3578" s="18" t="str">
        <f t="shared" si="4"/>
        <v>VALID</v>
      </c>
    </row>
    <row r="3579" ht="15.75" customHeight="1">
      <c r="A3579" s="13" t="str">
        <f>Raw_Data!A3579</f>
        <v>EMP3775</v>
      </c>
      <c r="B3579" s="13" t="str">
        <f>TRIM(CLEAN(Raw_Data!B3579))</f>
        <v>Marketing</v>
      </c>
      <c r="C3579" s="18" t="s">
        <v>33</v>
      </c>
      <c r="D3579" s="14" t="str">
        <f>IF(ISBLANK(Raw_Data!D3579),AVERAGE(Raw_Data!D$2:D$5002),Raw_Data!D3579)</f>
        <v>89120.49</v>
      </c>
      <c r="E3579" s="15" t="str">
        <f>IF(ISBLANK(Raw_Data!E3579),AVERAGE(Raw_Data!E$2:E$5002),Raw_Data!E3579)</f>
        <v>31411.19</v>
      </c>
      <c r="F3579" s="15" t="str">
        <f>IF(ISBLANK(Raw_Data!F3579),AVERAGE(Raw_Data!F$2:F$5002),Raw_Data!F3579)</f>
        <v>29163.27</v>
      </c>
      <c r="G3579" s="14" t="str">
        <f>IF(ISBLANK(Raw_Data!G3579),AVERAGE(Raw_Data!G$2:G$5002),Raw_Data!G3579)</f>
        <v>19735.53</v>
      </c>
      <c r="H3579" s="15" t="str">
        <f t="shared" si="1"/>
        <v>149695.00</v>
      </c>
      <c r="I3579" s="14" t="str">
        <f t="shared" si="2"/>
        <v>129959.00</v>
      </c>
      <c r="J3579" s="16" t="str">
        <f>TEXT(Raw_Data!J3579,"MMM-YYY")</f>
        <v>Apr-2025</v>
      </c>
      <c r="K3579" s="13" t="str">
        <f>Raw_Data!K3579</f>
        <v>10</v>
      </c>
      <c r="L3579" s="17" t="str">
        <f>Raw_Data!L3579</f>
        <v>Pune-West</v>
      </c>
      <c r="M3579" s="13" t="str">
        <f t="shared" si="3"/>
        <v>OK</v>
      </c>
      <c r="N3579" s="18" t="str">
        <f t="shared" si="4"/>
        <v>VALID</v>
      </c>
    </row>
    <row r="3580" ht="15.75" customHeight="1">
      <c r="A3580" s="13" t="str">
        <f>Raw_Data!A3580</f>
        <v>EMP3777</v>
      </c>
      <c r="B3580" s="13" t="str">
        <f>TRIM(CLEAN(Raw_Data!B3580))</f>
        <v>Marketing</v>
      </c>
      <c r="C3580" s="18" t="s">
        <v>37</v>
      </c>
      <c r="D3580" s="14" t="str">
        <f>IF(ISBLANK(Raw_Data!D3580),AVERAGE(Raw_Data!D$2:D$5002),Raw_Data!D3580)</f>
        <v>89142.26</v>
      </c>
      <c r="E3580" s="15" t="str">
        <f>IF(ISBLANK(Raw_Data!E3580),AVERAGE(Raw_Data!E$2:E$5002),Raw_Data!E3580)</f>
        <v>31420.42</v>
      </c>
      <c r="F3580" s="15" t="str">
        <f>IF(ISBLANK(Raw_Data!F3580),AVERAGE(Raw_Data!F$2:F$5002),Raw_Data!F3580)</f>
        <v>29178.63</v>
      </c>
      <c r="G3580" s="14" t="str">
        <f>IF(ISBLANK(Raw_Data!G3580),AVERAGE(Raw_Data!G$2:G$5002),Raw_Data!G3580)</f>
        <v>19742.33</v>
      </c>
      <c r="H3580" s="15" t="str">
        <f t="shared" si="1"/>
        <v>149741.00</v>
      </c>
      <c r="I3580" s="14" t="str">
        <f t="shared" si="2"/>
        <v>129999.00</v>
      </c>
      <c r="J3580" s="16" t="str">
        <f>TEXT(Raw_Data!J3580,"MMM-YYY")</f>
        <v>Aug-2025</v>
      </c>
      <c r="K3580" s="13" t="str">
        <f>Raw_Data!K3580</f>
        <v>13</v>
      </c>
      <c r="L3580" s="17" t="str">
        <f>Raw_Data!L3580</f>
        <v>Chandigarh-North</v>
      </c>
      <c r="M3580" s="13" t="str">
        <f t="shared" si="3"/>
        <v>OK</v>
      </c>
      <c r="N3580" s="18" t="str">
        <f t="shared" si="4"/>
        <v>VALID</v>
      </c>
    </row>
    <row r="3581" ht="15.75" customHeight="1">
      <c r="A3581" s="13" t="str">
        <f>Raw_Data!A3581</f>
        <v>EMP3778</v>
      </c>
      <c r="B3581" s="13" t="str">
        <f>TRIM(CLEAN(Raw_Data!B3581))</f>
        <v>Sales</v>
      </c>
      <c r="C3581" s="18" t="s">
        <v>18</v>
      </c>
      <c r="D3581" s="14" t="str">
        <f>IF(ISBLANK(Raw_Data!D3581),AVERAGE(Raw_Data!D$2:D$5002),Raw_Data!D3581)</f>
        <v>89153.14</v>
      </c>
      <c r="E3581" s="15" t="str">
        <f>IF(ISBLANK(Raw_Data!E3581),AVERAGE(Raw_Data!E$2:E$5002),Raw_Data!E3581)</f>
        <v>31425.03</v>
      </c>
      <c r="F3581" s="15" t="str">
        <f>IF(ISBLANK(Raw_Data!F3581),AVERAGE(Raw_Data!F$2:F$5002),Raw_Data!F3581)</f>
        <v>29186.31</v>
      </c>
      <c r="G3581" s="14" t="str">
        <f>IF(ISBLANK(Raw_Data!G3581),AVERAGE(Raw_Data!G$2:G$5002),Raw_Data!G3581)</f>
        <v>19745.73</v>
      </c>
      <c r="H3581" s="15" t="str">
        <f t="shared" si="1"/>
        <v>149764.00</v>
      </c>
      <c r="I3581" s="14" t="str">
        <f t="shared" si="2"/>
        <v>130018.00</v>
      </c>
      <c r="J3581" s="16" t="str">
        <f>TEXT(Raw_Data!J3581,"MMM-YYY")</f>
        <v>Sep-2025</v>
      </c>
      <c r="K3581" s="13" t="str">
        <f>Raw_Data!K3581</f>
        <v>9</v>
      </c>
      <c r="L3581" s="17" t="str">
        <f>Raw_Data!L3581</f>
        <v>Ahmedabad-West</v>
      </c>
      <c r="M3581" s="13" t="str">
        <f t="shared" si="3"/>
        <v>OK</v>
      </c>
      <c r="N3581" s="18" t="str">
        <f t="shared" si="4"/>
        <v>VALID</v>
      </c>
    </row>
    <row r="3582" ht="15.75" customHeight="1">
      <c r="A3582" s="13" t="str">
        <f>Raw_Data!A3582</f>
        <v>EMP3779</v>
      </c>
      <c r="B3582" s="13" t="str">
        <f>TRIM(CLEAN(Raw_Data!B3582))</f>
        <v>Customer Support</v>
      </c>
      <c r="C3582" s="18" t="s">
        <v>18</v>
      </c>
      <c r="D3582" s="14" t="str">
        <f>IF(ISBLANK(Raw_Data!D3582),AVERAGE(Raw_Data!D$2:D$5002),Raw_Data!D3582)</f>
        <v>89164.02</v>
      </c>
      <c r="E3582" s="15" t="str">
        <f>IF(ISBLANK(Raw_Data!E3582),AVERAGE(Raw_Data!E$2:E$5002),Raw_Data!E3582)</f>
        <v>31429.64</v>
      </c>
      <c r="F3582" s="15" t="str">
        <f>IF(ISBLANK(Raw_Data!F3582),AVERAGE(Raw_Data!F$2:F$5002),Raw_Data!F3582)</f>
        <v>29193.99</v>
      </c>
      <c r="G3582" s="14" t="str">
        <f>IF(ISBLANK(Raw_Data!G3582),AVERAGE(Raw_Data!G$2:G$5002),Raw_Data!G3582)</f>
        <v>19749.12</v>
      </c>
      <c r="H3582" s="15" t="str">
        <f t="shared" si="1"/>
        <v>149788.00</v>
      </c>
      <c r="I3582" s="14" t="str">
        <f t="shared" si="2"/>
        <v>130039.00</v>
      </c>
      <c r="J3582" s="16" t="str">
        <f>TEXT(Raw_Data!J3582,"MMM-YYY")</f>
        <v>Jul-2025</v>
      </c>
      <c r="K3582" s="13" t="str">
        <f>Raw_Data!K3582</f>
        <v>20</v>
      </c>
      <c r="L3582" s="17" t="str">
        <f>Raw_Data!L3582</f>
        <v>Jaipur-North</v>
      </c>
      <c r="M3582" s="13" t="str">
        <f t="shared" si="3"/>
        <v>OK</v>
      </c>
      <c r="N3582" s="18" t="str">
        <f t="shared" si="4"/>
        <v>VALID</v>
      </c>
    </row>
    <row r="3583" ht="15.75" customHeight="1">
      <c r="A3583" s="13" t="str">
        <f>Raw_Data!A3583</f>
        <v>EMP3780</v>
      </c>
      <c r="B3583" s="13" t="str">
        <f>TRIM(CLEAN(Raw_Data!B3583))</f>
        <v>Sales</v>
      </c>
      <c r="C3583" s="18" t="s">
        <v>30</v>
      </c>
      <c r="D3583" s="14" t="str">
        <f>IF(ISBLANK(Raw_Data!D3583),AVERAGE(Raw_Data!D$2:D$5002),Raw_Data!D3583)</f>
        <v>89174.91</v>
      </c>
      <c r="E3583" s="15" t="str">
        <f>IF(ISBLANK(Raw_Data!E3583),AVERAGE(Raw_Data!E$2:E$5002),Raw_Data!E3583)</f>
        <v>31434.26</v>
      </c>
      <c r="F3583" s="15" t="str">
        <f>IF(ISBLANK(Raw_Data!F3583),AVERAGE(Raw_Data!F$2:F$5002),Raw_Data!F3583)</f>
        <v>29201.67</v>
      </c>
      <c r="G3583" s="14" t="str">
        <f>IF(ISBLANK(Raw_Data!G3583),AVERAGE(Raw_Data!G$2:G$5002),Raw_Data!G3583)</f>
        <v>19752.52</v>
      </c>
      <c r="H3583" s="15" t="str">
        <f t="shared" si="1"/>
        <v>149811.00</v>
      </c>
      <c r="I3583" s="14" t="str">
        <f t="shared" si="2"/>
        <v>130058.00</v>
      </c>
      <c r="J3583" s="16" t="str">
        <f>TEXT(Raw_Data!J3583,"MMM-YYY")</f>
        <v>May-2025</v>
      </c>
      <c r="K3583" s="13" t="str">
        <f>Raw_Data!K3583</f>
        <v>12</v>
      </c>
      <c r="L3583" s="17" t="str">
        <f>Raw_Data!L3583</f>
        <v>Mumbai-HO</v>
      </c>
      <c r="M3583" s="13" t="str">
        <f t="shared" si="3"/>
        <v>OK</v>
      </c>
      <c r="N3583" s="18" t="str">
        <f t="shared" si="4"/>
        <v>VALID</v>
      </c>
    </row>
    <row r="3584" ht="15.75" customHeight="1">
      <c r="A3584" s="13" t="str">
        <f>Raw_Data!A3584</f>
        <v>EMP3782</v>
      </c>
      <c r="B3584" s="13" t="str">
        <f>TRIM(CLEAN(Raw_Data!B3584))</f>
        <v>Sales</v>
      </c>
      <c r="C3584" s="18" t="s">
        <v>37</v>
      </c>
      <c r="D3584" s="14" t="str">
        <f>IF(ISBLANK(Raw_Data!D3584),AVERAGE(Raw_Data!D$2:D$5002),Raw_Data!D3584)</f>
        <v>89196.67</v>
      </c>
      <c r="E3584" s="15" t="str">
        <f>IF(ISBLANK(Raw_Data!E3584),AVERAGE(Raw_Data!E$2:E$5002),Raw_Data!E3584)</f>
        <v>31443.49</v>
      </c>
      <c r="F3584" s="15" t="str">
        <f>IF(ISBLANK(Raw_Data!F3584),AVERAGE(Raw_Data!F$2:F$5002),Raw_Data!F3584)</f>
        <v>29217.03</v>
      </c>
      <c r="G3584" s="14" t="str">
        <f>IF(ISBLANK(Raw_Data!G3584),AVERAGE(Raw_Data!G$2:G$5002),Raw_Data!G3584)</f>
        <v>19759.32</v>
      </c>
      <c r="H3584" s="15" t="str">
        <f t="shared" si="1"/>
        <v>149857.00</v>
      </c>
      <c r="I3584" s="14" t="str">
        <f t="shared" si="2"/>
        <v>130098.00</v>
      </c>
      <c r="J3584" s="16" t="str">
        <f>TEXT(Raw_Data!J3584,"MMM-YYY")</f>
        <v>Aug-2025</v>
      </c>
      <c r="K3584" s="13" t="str">
        <f>Raw_Data!K3584</f>
        <v>17</v>
      </c>
      <c r="L3584" s="17" t="str">
        <f>Raw_Data!L3584</f>
        <v>Bangalore-South</v>
      </c>
      <c r="M3584" s="13" t="str">
        <f t="shared" si="3"/>
        <v>OK</v>
      </c>
      <c r="N3584" s="18" t="str">
        <f t="shared" si="4"/>
        <v>VALID</v>
      </c>
    </row>
    <row r="3585" ht="15.75" customHeight="1">
      <c r="A3585" s="13" t="str">
        <f>Raw_Data!A3585</f>
        <v>EMP3783</v>
      </c>
      <c r="B3585" s="13" t="str">
        <f>TRIM(CLEAN(Raw_Data!B3585))</f>
        <v>IT</v>
      </c>
      <c r="C3585" s="18" t="s">
        <v>26</v>
      </c>
      <c r="D3585" s="14" t="str">
        <f>IF(ISBLANK(Raw_Data!D3585),AVERAGE(Raw_Data!D$2:D$5002),Raw_Data!D3585)</f>
        <v>89207.55</v>
      </c>
      <c r="E3585" s="15" t="str">
        <f>IF(ISBLANK(Raw_Data!E3585),AVERAGE(Raw_Data!E$2:E$5002),Raw_Data!E3585)</f>
        <v>31448.10</v>
      </c>
      <c r="F3585" s="15" t="str">
        <f>IF(ISBLANK(Raw_Data!F3585),AVERAGE(Raw_Data!F$2:F$5002),Raw_Data!F3585)</f>
        <v>29224.71</v>
      </c>
      <c r="G3585" s="14" t="str">
        <f>IF(ISBLANK(Raw_Data!G3585),AVERAGE(Raw_Data!G$2:G$5002),Raw_Data!G3585)</f>
        <v>19762.71</v>
      </c>
      <c r="H3585" s="15" t="str">
        <f t="shared" si="1"/>
        <v>149880.00</v>
      </c>
      <c r="I3585" s="14" t="str">
        <f t="shared" si="2"/>
        <v>130117.00</v>
      </c>
      <c r="J3585" s="16" t="str">
        <f>TEXT(Raw_Data!J3585,"MMM-YYY")</f>
        <v>Apr-2025</v>
      </c>
      <c r="K3585" s="13" t="str">
        <f>Raw_Data!K3585</f>
        <v>12</v>
      </c>
      <c r="L3585" s="17" t="str">
        <f>Raw_Data!L3585</f>
        <v>Chennai-South</v>
      </c>
      <c r="M3585" s="13" t="str">
        <f t="shared" si="3"/>
        <v>OK</v>
      </c>
      <c r="N3585" s="18" t="str">
        <f t="shared" si="4"/>
        <v>VALID</v>
      </c>
    </row>
    <row r="3586" ht="15.75" customHeight="1">
      <c r="A3586" s="13" t="str">
        <f>Raw_Data!A3586</f>
        <v>EMP3785</v>
      </c>
      <c r="B3586" s="13" t="str">
        <f>TRIM(CLEAN(Raw_Data!B3586))</f>
        <v>Operations</v>
      </c>
      <c r="C3586" s="18" t="s">
        <v>37</v>
      </c>
      <c r="D3586" s="14" t="str">
        <f>IF(ISBLANK(Raw_Data!D3586),AVERAGE(Raw_Data!D$2:D$5002),Raw_Data!D3586)</f>
        <v>89229.32</v>
      </c>
      <c r="E3586" s="15" t="str">
        <f>IF(ISBLANK(Raw_Data!E3586),AVERAGE(Raw_Data!E$2:E$5002),Raw_Data!E3586)</f>
        <v>31457.33</v>
      </c>
      <c r="F3586" s="15" t="str">
        <f>IF(ISBLANK(Raw_Data!F3586),AVERAGE(Raw_Data!F$2:F$5002),Raw_Data!F3586)</f>
        <v>29240.07</v>
      </c>
      <c r="G3586" s="14" t="str">
        <f>IF(ISBLANK(Raw_Data!G3586),AVERAGE(Raw_Data!G$2:G$5002),Raw_Data!G3586)</f>
        <v>19769.51</v>
      </c>
      <c r="H3586" s="15" t="str">
        <f t="shared" si="1"/>
        <v>149927.00</v>
      </c>
      <c r="I3586" s="14" t="str">
        <f t="shared" si="2"/>
        <v>130157.00</v>
      </c>
      <c r="J3586" s="16" t="str">
        <f>TEXT(Raw_Data!J3586,"MMM-YYY")</f>
        <v>Jan-2025</v>
      </c>
      <c r="K3586" s="13" t="str">
        <f>Raw_Data!K3586</f>
        <v>18</v>
      </c>
      <c r="L3586" s="17" t="str">
        <f>Raw_Data!L3586</f>
        <v>Pune-West</v>
      </c>
      <c r="M3586" s="13" t="str">
        <f t="shared" si="3"/>
        <v>OK</v>
      </c>
      <c r="N3586" s="18" t="str">
        <f t="shared" si="4"/>
        <v>VALID</v>
      </c>
    </row>
    <row r="3587" ht="15.75" customHeight="1">
      <c r="A3587" s="13" t="str">
        <f>Raw_Data!A3587</f>
        <v>EMP3787</v>
      </c>
      <c r="B3587" s="13" t="str">
        <f>TRIM(CLEAN(Raw_Data!B3587))</f>
        <v>Customer Support</v>
      </c>
      <c r="C3587" s="18" t="s">
        <v>37</v>
      </c>
      <c r="D3587" s="14" t="str">
        <f>IF(ISBLANK(Raw_Data!D3587),AVERAGE(Raw_Data!D$2:D$5002),Raw_Data!D3587)</f>
        <v>89251.09</v>
      </c>
      <c r="E3587" s="15" t="str">
        <f>IF(ISBLANK(Raw_Data!E3587),AVERAGE(Raw_Data!E$2:E$5002),Raw_Data!E3587)</f>
        <v>31466.56</v>
      </c>
      <c r="F3587" s="15" t="str">
        <f>IF(ISBLANK(Raw_Data!F3587),AVERAGE(Raw_Data!F$2:F$5002),Raw_Data!F3587)</f>
        <v>29255.43</v>
      </c>
      <c r="G3587" s="14" t="str">
        <f>IF(ISBLANK(Raw_Data!G3587),AVERAGE(Raw_Data!G$2:G$5002),Raw_Data!G3587)</f>
        <v>19776.30</v>
      </c>
      <c r="H3587" s="15" t="str">
        <f t="shared" si="1"/>
        <v>149973.00</v>
      </c>
      <c r="I3587" s="14" t="str">
        <f t="shared" si="2"/>
        <v>130197.00</v>
      </c>
      <c r="J3587" s="16" t="str">
        <f>TEXT(Raw_Data!J3587,"MMM-YYY")</f>
        <v>Nov-2025</v>
      </c>
      <c r="K3587" s="13" t="str">
        <f>Raw_Data!K3587</f>
        <v>19</v>
      </c>
      <c r="L3587" s="17" t="str">
        <f>Raw_Data!L3587</f>
        <v>Chandigarh-North</v>
      </c>
      <c r="M3587" s="13" t="str">
        <f t="shared" si="3"/>
        <v>OK</v>
      </c>
      <c r="N3587" s="18" t="str">
        <f t="shared" si="4"/>
        <v>VALID</v>
      </c>
    </row>
    <row r="3588" ht="15.75" customHeight="1">
      <c r="A3588" s="13" t="str">
        <f>Raw_Data!A3588</f>
        <v>EMP3788</v>
      </c>
      <c r="B3588" s="13" t="str">
        <f>TRIM(CLEAN(Raw_Data!B3588))</f>
        <v>Marketing</v>
      </c>
      <c r="C3588" s="18" t="s">
        <v>33</v>
      </c>
      <c r="D3588" s="14" t="str">
        <f>IF(ISBLANK(Raw_Data!D3588),AVERAGE(Raw_Data!D$2:D$5002),Raw_Data!D3588)</f>
        <v>89261.97</v>
      </c>
      <c r="E3588" s="15" t="str">
        <f>IF(ISBLANK(Raw_Data!E3588),AVERAGE(Raw_Data!E$2:E$5002),Raw_Data!E3588)</f>
        <v>31471.18</v>
      </c>
      <c r="F3588" s="15" t="str">
        <f>IF(ISBLANK(Raw_Data!F3588),AVERAGE(Raw_Data!F$2:F$5002),Raw_Data!F3588)</f>
        <v>29263.11</v>
      </c>
      <c r="G3588" s="14" t="str">
        <f>IF(ISBLANK(Raw_Data!G3588),AVERAGE(Raw_Data!G$2:G$5002),Raw_Data!G3588)</f>
        <v>19779.70</v>
      </c>
      <c r="H3588" s="15" t="str">
        <f t="shared" si="1"/>
        <v>149996.00</v>
      </c>
      <c r="I3588" s="14" t="str">
        <f t="shared" si="2"/>
        <v>130216.00</v>
      </c>
      <c r="J3588" s="16" t="str">
        <f>TEXT(Raw_Data!J3588,"MMM-YYY")</f>
        <v>Dec-2025</v>
      </c>
      <c r="K3588" s="13" t="str">
        <f>Raw_Data!K3588</f>
        <v>8</v>
      </c>
      <c r="L3588" s="17" t="str">
        <f>Raw_Data!L3588</f>
        <v>Ahmedabad-West</v>
      </c>
      <c r="M3588" s="13" t="str">
        <f t="shared" si="3"/>
        <v>OK</v>
      </c>
      <c r="N3588" s="18" t="str">
        <f t="shared" si="4"/>
        <v>VALID</v>
      </c>
    </row>
    <row r="3589" ht="15.75" customHeight="1">
      <c r="A3589" s="13" t="str">
        <f>Raw_Data!A3589</f>
        <v>EMP3789</v>
      </c>
      <c r="B3589" s="13" t="str">
        <f>TRIM(CLEAN(Raw_Data!B3589))</f>
        <v>Finance</v>
      </c>
      <c r="C3589" s="18" t="s">
        <v>33</v>
      </c>
      <c r="D3589" s="14" t="str">
        <f>IF(ISBLANK(Raw_Data!D3589),AVERAGE(Raw_Data!D$2:D$5002),Raw_Data!D3589)</f>
        <v>89272.85</v>
      </c>
      <c r="E3589" s="15" t="str">
        <f>IF(ISBLANK(Raw_Data!E3589),AVERAGE(Raw_Data!E$2:E$5002),Raw_Data!E3589)</f>
        <v>31475.79</v>
      </c>
      <c r="F3589" s="15" t="str">
        <f>IF(ISBLANK(Raw_Data!F3589),AVERAGE(Raw_Data!F$2:F$5002),Raw_Data!F3589)</f>
        <v>29270.79</v>
      </c>
      <c r="G3589" s="14" t="str">
        <f>IF(ISBLANK(Raw_Data!G3589),AVERAGE(Raw_Data!G$2:G$5002),Raw_Data!G3589)</f>
        <v>19783.10</v>
      </c>
      <c r="H3589" s="15" t="str">
        <f t="shared" si="1"/>
        <v>150019.00</v>
      </c>
      <c r="I3589" s="14" t="str">
        <f t="shared" si="2"/>
        <v>130236.00</v>
      </c>
      <c r="J3589" s="16" t="str">
        <f>TEXT(Raw_Data!J3589,"MMM-YYY")</f>
        <v>Sep-2025</v>
      </c>
      <c r="K3589" s="13" t="str">
        <f>Raw_Data!K3589</f>
        <v>21</v>
      </c>
      <c r="L3589" s="17" t="str">
        <f>Raw_Data!L3589</f>
        <v>Jaipur-North</v>
      </c>
      <c r="M3589" s="13" t="str">
        <f t="shared" si="3"/>
        <v>OK</v>
      </c>
      <c r="N3589" s="18" t="str">
        <f t="shared" si="4"/>
        <v>VALID</v>
      </c>
    </row>
    <row r="3590" ht="15.75" customHeight="1">
      <c r="A3590" s="13" t="str">
        <f>Raw_Data!A3590</f>
        <v>EMP3790</v>
      </c>
      <c r="B3590" s="13" t="str">
        <f>TRIM(CLEAN(Raw_Data!B3590))</f>
        <v>HR</v>
      </c>
      <c r="C3590" s="18" t="s">
        <v>26</v>
      </c>
      <c r="D3590" s="14" t="str">
        <f>IF(ISBLANK(Raw_Data!D3590),AVERAGE(Raw_Data!D$2:D$5002),Raw_Data!D3590)</f>
        <v>89283.74</v>
      </c>
      <c r="E3590" s="15" t="str">
        <f>IF(ISBLANK(Raw_Data!E3590),AVERAGE(Raw_Data!E$2:E$5002),Raw_Data!E3590)</f>
        <v>31480.41</v>
      </c>
      <c r="F3590" s="15" t="str">
        <f>IF(ISBLANK(Raw_Data!F3590),AVERAGE(Raw_Data!F$2:F$5002),Raw_Data!F3590)</f>
        <v>29278.47</v>
      </c>
      <c r="G3590" s="14" t="str">
        <f>IF(ISBLANK(Raw_Data!G3590),AVERAGE(Raw_Data!G$2:G$5002),Raw_Data!G3590)</f>
        <v>19786.50</v>
      </c>
      <c r="H3590" s="15" t="str">
        <f t="shared" si="1"/>
        <v>150043.00</v>
      </c>
      <c r="I3590" s="14" t="str">
        <f t="shared" si="2"/>
        <v>130257.00</v>
      </c>
      <c r="J3590" s="16" t="str">
        <f>TEXT(Raw_Data!J3590,"MMM-YYY")</f>
        <v>Sep-2025</v>
      </c>
      <c r="K3590" s="13" t="str">
        <f>Raw_Data!K3590</f>
        <v>8</v>
      </c>
      <c r="L3590" s="17" t="str">
        <f>Raw_Data!L3590</f>
        <v>Mumbai-HO</v>
      </c>
      <c r="M3590" s="13" t="str">
        <f t="shared" si="3"/>
        <v>OK</v>
      </c>
      <c r="N3590" s="18" t="str">
        <f t="shared" si="4"/>
        <v>VALID</v>
      </c>
    </row>
    <row r="3591" ht="15.75" customHeight="1">
      <c r="A3591" s="13" t="str">
        <f>Raw_Data!A3591</f>
        <v>EMP3791</v>
      </c>
      <c r="B3591" s="13" t="str">
        <f>TRIM(CLEAN(Raw_Data!B3591))</f>
        <v>Finance</v>
      </c>
      <c r="C3591" s="18" t="s">
        <v>30</v>
      </c>
      <c r="D3591" s="14" t="str">
        <f>IF(ISBLANK(Raw_Data!D3591),AVERAGE(Raw_Data!D$2:D$5002),Raw_Data!D3591)</f>
        <v>89294.62</v>
      </c>
      <c r="E3591" s="15" t="str">
        <f>IF(ISBLANK(Raw_Data!E3591),AVERAGE(Raw_Data!E$2:E$5002),Raw_Data!E3591)</f>
        <v>31485.02</v>
      </c>
      <c r="F3591" s="15" t="str">
        <f>IF(ISBLANK(Raw_Data!F3591),AVERAGE(Raw_Data!F$2:F$5002),Raw_Data!F3591)</f>
        <v>29286.15</v>
      </c>
      <c r="G3591" s="14" t="str">
        <f>IF(ISBLANK(Raw_Data!G3591),AVERAGE(Raw_Data!G$2:G$5002),Raw_Data!G3591)</f>
        <v>19789.89</v>
      </c>
      <c r="H3591" s="15" t="str">
        <f t="shared" si="1"/>
        <v>150066.00</v>
      </c>
      <c r="I3591" s="14" t="str">
        <f t="shared" si="2"/>
        <v>130276.00</v>
      </c>
      <c r="J3591" s="16" t="str">
        <f>TEXT(Raw_Data!J3591,"MMM-YYY")</f>
        <v>Apr-2025</v>
      </c>
      <c r="K3591" s="13" t="str">
        <f>Raw_Data!K3591</f>
        <v>20</v>
      </c>
      <c r="L3591" s="17" t="str">
        <f>Raw_Data!L3591</f>
        <v>Delhi-North</v>
      </c>
      <c r="M3591" s="13" t="str">
        <f t="shared" si="3"/>
        <v>OK</v>
      </c>
      <c r="N3591" s="18" t="str">
        <f t="shared" si="4"/>
        <v>VALID</v>
      </c>
    </row>
    <row r="3592" ht="15.75" customHeight="1">
      <c r="A3592" s="13" t="str">
        <f>Raw_Data!A3592</f>
        <v>EMP3793</v>
      </c>
      <c r="B3592" s="13" t="str">
        <f>TRIM(CLEAN(Raw_Data!B3592))</f>
        <v>Marketing</v>
      </c>
      <c r="C3592" s="18" t="s">
        <v>26</v>
      </c>
      <c r="D3592" s="14" t="str">
        <f>IF(ISBLANK(Raw_Data!D3592),AVERAGE(Raw_Data!D$2:D$5002),Raw_Data!D3592)</f>
        <v>89316.38</v>
      </c>
      <c r="E3592" s="15" t="str">
        <f>IF(ISBLANK(Raw_Data!E3592),AVERAGE(Raw_Data!E$2:E$5002),Raw_Data!E3592)</f>
        <v>31494.25</v>
      </c>
      <c r="F3592" s="15" t="str">
        <f>IF(ISBLANK(Raw_Data!F3592),AVERAGE(Raw_Data!F$2:F$5002),Raw_Data!F3592)</f>
        <v>29301.51</v>
      </c>
      <c r="G3592" s="14" t="str">
        <f>IF(ISBLANK(Raw_Data!G3592),AVERAGE(Raw_Data!G$2:G$5002),Raw_Data!G3592)</f>
        <v>19796.69</v>
      </c>
      <c r="H3592" s="15" t="str">
        <f t="shared" si="1"/>
        <v>150112.00</v>
      </c>
      <c r="I3592" s="14" t="str">
        <f t="shared" si="2"/>
        <v>130315.00</v>
      </c>
      <c r="J3592" s="16" t="str">
        <f>TEXT(Raw_Data!J3592,"MMM-YYY")</f>
        <v>Jan-2025</v>
      </c>
      <c r="K3592" s="13" t="str">
        <f>Raw_Data!K3592</f>
        <v>21</v>
      </c>
      <c r="L3592" s="17" t="str">
        <f>Raw_Data!L3592</f>
        <v>Chennai-South</v>
      </c>
      <c r="M3592" s="13" t="str">
        <f t="shared" si="3"/>
        <v>OK</v>
      </c>
      <c r="N3592" s="18" t="str">
        <f t="shared" si="4"/>
        <v>VALID</v>
      </c>
    </row>
    <row r="3593" ht="15.75" customHeight="1">
      <c r="A3593" s="13" t="str">
        <f>Raw_Data!A3593</f>
        <v>EMP3795</v>
      </c>
      <c r="B3593" s="13" t="str">
        <f>TRIM(CLEAN(Raw_Data!B3593))</f>
        <v>Sales</v>
      </c>
      <c r="C3593" s="18" t="s">
        <v>26</v>
      </c>
      <c r="D3593" s="14" t="str">
        <f>IF(ISBLANK(Raw_Data!D3593),AVERAGE(Raw_Data!D$2:D$5002),Raw_Data!D3593)</f>
        <v>89338.15</v>
      </c>
      <c r="E3593" s="15" t="str">
        <f>IF(ISBLANK(Raw_Data!E3593),AVERAGE(Raw_Data!E$2:E$5002),Raw_Data!E3593)</f>
        <v>31503.48</v>
      </c>
      <c r="F3593" s="15" t="str">
        <f>IF(ISBLANK(Raw_Data!F3593),AVERAGE(Raw_Data!F$2:F$5002),Raw_Data!F3593)</f>
        <v>29316.87</v>
      </c>
      <c r="G3593" s="14" t="str">
        <f>IF(ISBLANK(Raw_Data!G3593),AVERAGE(Raw_Data!G$2:G$5002),Raw_Data!G3593)</f>
        <v>19803.48</v>
      </c>
      <c r="H3593" s="15" t="str">
        <f t="shared" si="1"/>
        <v>150158.00</v>
      </c>
      <c r="I3593" s="14" t="str">
        <f t="shared" si="2"/>
        <v>130355.00</v>
      </c>
      <c r="J3593" s="16" t="str">
        <f>TEXT(Raw_Data!J3593,"MMM-YYY")</f>
        <v>Jul-2025</v>
      </c>
      <c r="K3593" s="13" t="str">
        <f>Raw_Data!K3593</f>
        <v>15</v>
      </c>
      <c r="L3593" s="17" t="str">
        <f>Raw_Data!L3593</f>
        <v>Pune-West</v>
      </c>
      <c r="M3593" s="13" t="str">
        <f t="shared" si="3"/>
        <v>OK</v>
      </c>
      <c r="N3593" s="18" t="str">
        <f t="shared" si="4"/>
        <v>VALID</v>
      </c>
    </row>
    <row r="3594" ht="15.75" customHeight="1">
      <c r="A3594" s="13" t="str">
        <f>Raw_Data!A3594</f>
        <v>EMP3796</v>
      </c>
      <c r="B3594" s="13" t="str">
        <f>TRIM(CLEAN(Raw_Data!B3594))</f>
        <v>Marketing</v>
      </c>
      <c r="C3594" s="18" t="s">
        <v>14</v>
      </c>
      <c r="D3594" s="14" t="str">
        <f>IF(ISBLANK(Raw_Data!D3594),AVERAGE(Raw_Data!D$2:D$5002),Raw_Data!D3594)</f>
        <v>89349.03</v>
      </c>
      <c r="E3594" s="15" t="str">
        <f>IF(ISBLANK(Raw_Data!E3594),AVERAGE(Raw_Data!E$2:E$5002),Raw_Data!E3594)</f>
        <v>31508.09</v>
      </c>
      <c r="F3594" s="15" t="str">
        <f>IF(ISBLANK(Raw_Data!F3594),AVERAGE(Raw_Data!F$2:F$5002),Raw_Data!F3594)</f>
        <v>29324.55</v>
      </c>
      <c r="G3594" s="14" t="str">
        <f>IF(ISBLANK(Raw_Data!G3594),AVERAGE(Raw_Data!G$2:G$5002),Raw_Data!G3594)</f>
        <v>19806.88</v>
      </c>
      <c r="H3594" s="15" t="str">
        <f t="shared" si="1"/>
        <v>150182.00</v>
      </c>
      <c r="I3594" s="14" t="str">
        <f t="shared" si="2"/>
        <v>130375.00</v>
      </c>
      <c r="J3594" s="16" t="str">
        <f>TEXT(Raw_Data!J3594,"MMM-YYY")</f>
        <v>Aug-2025</v>
      </c>
      <c r="K3594" s="13" t="str">
        <f>Raw_Data!K3594</f>
        <v>5</v>
      </c>
      <c r="L3594" s="17" t="str">
        <f>Raw_Data!L3594</f>
        <v>Hyderabad-South</v>
      </c>
      <c r="M3594" s="13" t="str">
        <f t="shared" si="3"/>
        <v>OK</v>
      </c>
      <c r="N3594" s="18" t="str">
        <f t="shared" si="4"/>
        <v>VALID</v>
      </c>
    </row>
    <row r="3595" ht="15.75" customHeight="1">
      <c r="A3595" s="13" t="str">
        <f>Raw_Data!A3595</f>
        <v>EMP3797</v>
      </c>
      <c r="B3595" s="13" t="str">
        <f>TRIM(CLEAN(Raw_Data!B3595))</f>
        <v>IT</v>
      </c>
      <c r="C3595" s="18" t="s">
        <v>14</v>
      </c>
      <c r="D3595" s="14" t="str">
        <f>IF(ISBLANK(Raw_Data!D3595),AVERAGE(Raw_Data!D$2:D$5002),Raw_Data!D3595)</f>
        <v>89359.92</v>
      </c>
      <c r="E3595" s="15" t="str">
        <f>IF(ISBLANK(Raw_Data!E3595),AVERAGE(Raw_Data!E$2:E$5002),Raw_Data!E3595)</f>
        <v>31512.71</v>
      </c>
      <c r="F3595" s="15" t="str">
        <f>IF(ISBLANK(Raw_Data!F3595),AVERAGE(Raw_Data!F$2:F$5002),Raw_Data!F3595)</f>
        <v>29332.23</v>
      </c>
      <c r="G3595" s="14" t="str">
        <f>IF(ISBLANK(Raw_Data!G3595),AVERAGE(Raw_Data!G$2:G$5002),Raw_Data!G3595)</f>
        <v>19810.28</v>
      </c>
      <c r="H3595" s="15" t="str">
        <f t="shared" si="1"/>
        <v>150205.00</v>
      </c>
      <c r="I3595" s="14" t="str">
        <f t="shared" si="2"/>
        <v>130395.00</v>
      </c>
      <c r="J3595" s="16" t="str">
        <f>TEXT(Raw_Data!J3595,"MMM-YYY")</f>
        <v>Aug-2025</v>
      </c>
      <c r="K3595" s="13" t="str">
        <f>Raw_Data!K3595</f>
        <v>20</v>
      </c>
      <c r="L3595" s="17" t="str">
        <f>Raw_Data!L3595</f>
        <v>Chandigarh-North</v>
      </c>
      <c r="M3595" s="13" t="str">
        <f t="shared" si="3"/>
        <v>OK</v>
      </c>
      <c r="N3595" s="18" t="str">
        <f t="shared" si="4"/>
        <v>VALID</v>
      </c>
    </row>
    <row r="3596" ht="15.75" customHeight="1">
      <c r="A3596" s="13" t="str">
        <f>Raw_Data!A3596</f>
        <v>EMP3798</v>
      </c>
      <c r="B3596" s="13" t="str">
        <f>TRIM(CLEAN(Raw_Data!B3596))</f>
        <v>Sales</v>
      </c>
      <c r="C3596" s="18" t="s">
        <v>14</v>
      </c>
      <c r="D3596" s="14" t="str">
        <f>IF(ISBLANK(Raw_Data!D3596),AVERAGE(Raw_Data!D$2:D$5002),Raw_Data!D3596)</f>
        <v>89370.80</v>
      </c>
      <c r="E3596" s="15" t="str">
        <f>IF(ISBLANK(Raw_Data!E3596),AVERAGE(Raw_Data!E$2:E$5002),Raw_Data!E3596)</f>
        <v>31517.32</v>
      </c>
      <c r="F3596" s="15" t="str">
        <f>IF(ISBLANK(Raw_Data!F3596),AVERAGE(Raw_Data!F$2:F$5002),Raw_Data!F3596)</f>
        <v>29339.91</v>
      </c>
      <c r="G3596" s="14" t="str">
        <f>IF(ISBLANK(Raw_Data!G3596),AVERAGE(Raw_Data!G$2:G$5002),Raw_Data!G3596)</f>
        <v>19813.68</v>
      </c>
      <c r="H3596" s="15" t="str">
        <f t="shared" si="1"/>
        <v>150228.00</v>
      </c>
      <c r="I3596" s="14" t="str">
        <f t="shared" si="2"/>
        <v>130414.00</v>
      </c>
      <c r="J3596" s="16" t="str">
        <f>TEXT(Raw_Data!J3596,"MMM-YYY")</f>
        <v>Jan-2025</v>
      </c>
      <c r="K3596" s="13" t="str">
        <f>Raw_Data!K3596</f>
        <v>12</v>
      </c>
      <c r="L3596" s="17" t="str">
        <f>Raw_Data!L3596</f>
        <v>Ahmedabad-West</v>
      </c>
      <c r="M3596" s="13" t="str">
        <f t="shared" si="3"/>
        <v>OK</v>
      </c>
      <c r="N3596" s="18" t="str">
        <f t="shared" si="4"/>
        <v>VALID</v>
      </c>
    </row>
    <row r="3597" ht="15.75" customHeight="1">
      <c r="A3597" s="13" t="str">
        <f>Raw_Data!A3597</f>
        <v>EMP3799</v>
      </c>
      <c r="B3597" s="13" t="str">
        <f>TRIM(CLEAN(Raw_Data!B3597))</f>
        <v>Operations</v>
      </c>
      <c r="C3597" s="18" t="s">
        <v>14</v>
      </c>
      <c r="D3597" s="14" t="str">
        <f>IF(ISBLANK(Raw_Data!D3597),AVERAGE(Raw_Data!D$2:D$5002),Raw_Data!D3597)</f>
        <v>89381.68</v>
      </c>
      <c r="E3597" s="15" t="str">
        <f>IF(ISBLANK(Raw_Data!E3597),AVERAGE(Raw_Data!E$2:E$5002),Raw_Data!E3597)</f>
        <v>31521.94</v>
      </c>
      <c r="F3597" s="15" t="str">
        <f>IF(ISBLANK(Raw_Data!F3597),AVERAGE(Raw_Data!F$2:F$5002),Raw_Data!F3597)</f>
        <v>29347.59</v>
      </c>
      <c r="G3597" s="14" t="str">
        <f>IF(ISBLANK(Raw_Data!G3597),AVERAGE(Raw_Data!G$2:G$5002),Raw_Data!G3597)</f>
        <v>19817.07</v>
      </c>
      <c r="H3597" s="15" t="str">
        <f t="shared" si="1"/>
        <v>150251.00</v>
      </c>
      <c r="I3597" s="14" t="str">
        <f t="shared" si="2"/>
        <v>130434.00</v>
      </c>
      <c r="J3597" s="16" t="str">
        <f>TEXT(Raw_Data!J3597,"MMM-YYY")</f>
        <v>May-2025</v>
      </c>
      <c r="K3597" s="13" t="str">
        <f>Raw_Data!K3597</f>
        <v>25</v>
      </c>
      <c r="L3597" s="17" t="str">
        <f>Raw_Data!L3597</f>
        <v>Jaipur-North</v>
      </c>
      <c r="M3597" s="13" t="str">
        <f t="shared" si="3"/>
        <v>OK</v>
      </c>
      <c r="N3597" s="18" t="str">
        <f t="shared" si="4"/>
        <v>VALID</v>
      </c>
    </row>
    <row r="3598" ht="15.75" customHeight="1">
      <c r="A3598" s="13" t="str">
        <f>Raw_Data!A3598</f>
        <v>EMP3800</v>
      </c>
      <c r="B3598" s="13" t="str">
        <f>TRIM(CLEAN(Raw_Data!B3598))</f>
        <v>Sales</v>
      </c>
      <c r="C3598" s="18" t="s">
        <v>37</v>
      </c>
      <c r="D3598" s="14" t="str">
        <f>IF(ISBLANK(Raw_Data!D3598),AVERAGE(Raw_Data!D$2:D$5002),Raw_Data!D3598)</f>
        <v>89392.57</v>
      </c>
      <c r="E3598" s="15" t="str">
        <f>IF(ISBLANK(Raw_Data!E3598),AVERAGE(Raw_Data!E$2:E$5002),Raw_Data!E3598)</f>
        <v>31526.55</v>
      </c>
      <c r="F3598" s="15" t="str">
        <f>IF(ISBLANK(Raw_Data!F3598),AVERAGE(Raw_Data!F$2:F$5002),Raw_Data!F3598)</f>
        <v>29355.27</v>
      </c>
      <c r="G3598" s="14" t="str">
        <f>IF(ISBLANK(Raw_Data!G3598),AVERAGE(Raw_Data!G$2:G$5002),Raw_Data!G3598)</f>
        <v>19820.47</v>
      </c>
      <c r="H3598" s="15" t="str">
        <f t="shared" si="1"/>
        <v>150274.00</v>
      </c>
      <c r="I3598" s="14" t="str">
        <f t="shared" si="2"/>
        <v>130454.00</v>
      </c>
      <c r="J3598" s="16" t="str">
        <f>TEXT(Raw_Data!J3598,"MMM-YYY")</f>
        <v>Jun-2025</v>
      </c>
      <c r="K3598" s="13" t="str">
        <f>Raw_Data!K3598</f>
        <v>2</v>
      </c>
      <c r="L3598" s="17" t="str">
        <f>Raw_Data!L3598</f>
        <v>Mumbai-HO</v>
      </c>
      <c r="M3598" s="13" t="str">
        <f t="shared" si="3"/>
        <v>OK</v>
      </c>
      <c r="N3598" s="18" t="str">
        <f t="shared" si="4"/>
        <v>VALID</v>
      </c>
    </row>
    <row r="3599" ht="15.75" customHeight="1">
      <c r="A3599" s="13" t="str">
        <f>Raw_Data!A3599</f>
        <v>EMP3801</v>
      </c>
      <c r="B3599" s="13" t="str">
        <f>TRIM(CLEAN(Raw_Data!B3599))</f>
        <v>IT</v>
      </c>
      <c r="C3599" s="18" t="s">
        <v>54</v>
      </c>
      <c r="D3599" s="14" t="str">
        <f>IF(ISBLANK(Raw_Data!D3599),AVERAGE(Raw_Data!D$2:D$5002),Raw_Data!D3599)</f>
        <v>71831.17</v>
      </c>
      <c r="E3599" s="15" t="str">
        <f>IF(ISBLANK(Raw_Data!E3599),AVERAGE(Raw_Data!E$2:E$5002),Raw_Data!E3599)</f>
        <v>31531.17</v>
      </c>
      <c r="F3599" s="15" t="str">
        <f>IF(ISBLANK(Raw_Data!F3599),AVERAGE(Raw_Data!F$2:F$5002),Raw_Data!F3599)</f>
        <v>29362.95</v>
      </c>
      <c r="G3599" s="14" t="str">
        <f>IF(ISBLANK(Raw_Data!G3599),AVERAGE(Raw_Data!G$2:G$5002),Raw_Data!G3599)</f>
        <v>19823.87</v>
      </c>
      <c r="H3599" s="15" t="str">
        <f t="shared" si="1"/>
        <v>132725.00</v>
      </c>
      <c r="I3599" s="14" t="str">
        <f t="shared" si="2"/>
        <v>112901.00</v>
      </c>
      <c r="J3599" s="16" t="str">
        <f>TEXT(Raw_Data!J3599,"MMM-YYY")</f>
        <v>Nov-2025</v>
      </c>
      <c r="K3599" s="13" t="str">
        <f>Raw_Data!K3599</f>
        <v>7</v>
      </c>
      <c r="L3599" s="17" t="str">
        <f>Raw_Data!L3599</f>
        <v>Delhi-North</v>
      </c>
      <c r="M3599" s="13" t="str">
        <f t="shared" si="3"/>
        <v>OK</v>
      </c>
      <c r="N3599" s="18" t="str">
        <f t="shared" si="4"/>
        <v>VALID</v>
      </c>
    </row>
    <row r="3600" ht="15.75" customHeight="1">
      <c r="A3600" s="13" t="str">
        <f>Raw_Data!A3600</f>
        <v>EMP3802</v>
      </c>
      <c r="B3600" s="13" t="str">
        <f>TRIM(CLEAN(Raw_Data!B3600))</f>
        <v>IT</v>
      </c>
      <c r="C3600" s="18" t="s">
        <v>37</v>
      </c>
      <c r="D3600" s="14" t="str">
        <f>IF(ISBLANK(Raw_Data!D3600),AVERAGE(Raw_Data!D$2:D$5002),Raw_Data!D3600)</f>
        <v>89414.33</v>
      </c>
      <c r="E3600" s="15" t="str">
        <f>IF(ISBLANK(Raw_Data!E3600),AVERAGE(Raw_Data!E$2:E$5002),Raw_Data!E3600)</f>
        <v>31535.78</v>
      </c>
      <c r="F3600" s="15" t="str">
        <f>IF(ISBLANK(Raw_Data!F3600),AVERAGE(Raw_Data!F$2:F$5002),Raw_Data!F3600)</f>
        <v>29370.63</v>
      </c>
      <c r="G3600" s="14" t="str">
        <f>IF(ISBLANK(Raw_Data!G3600),AVERAGE(Raw_Data!G$2:G$5002),Raw_Data!G3600)</f>
        <v>19827.27</v>
      </c>
      <c r="H3600" s="15" t="str">
        <f t="shared" si="1"/>
        <v>150321.00</v>
      </c>
      <c r="I3600" s="14" t="str">
        <f t="shared" si="2"/>
        <v>130494.00</v>
      </c>
      <c r="J3600" s="16" t="str">
        <f>TEXT(Raw_Data!J3600,"MMM-YYY")</f>
        <v>Jan-2025</v>
      </c>
      <c r="K3600" s="13" t="str">
        <f>Raw_Data!K3600</f>
        <v>18</v>
      </c>
      <c r="L3600" s="17" t="str">
        <f>Raw_Data!L3600</f>
        <v>Bangalore-South</v>
      </c>
      <c r="M3600" s="13" t="str">
        <f t="shared" si="3"/>
        <v>OK</v>
      </c>
      <c r="N3600" s="18" t="str">
        <f t="shared" si="4"/>
        <v>VALID</v>
      </c>
    </row>
    <row r="3601" ht="15.75" customHeight="1">
      <c r="A3601" s="13" t="str">
        <f>Raw_Data!A3601</f>
        <v>EMP3803</v>
      </c>
      <c r="B3601" s="13" t="str">
        <f>TRIM(CLEAN(Raw_Data!B3601))</f>
        <v>Finance</v>
      </c>
      <c r="C3601" s="18" t="s">
        <v>30</v>
      </c>
      <c r="D3601" s="14" t="str">
        <f>IF(ISBLANK(Raw_Data!D3601),AVERAGE(Raw_Data!D$2:D$5002),Raw_Data!D3601)</f>
        <v>89425.21</v>
      </c>
      <c r="E3601" s="15" t="str">
        <f>IF(ISBLANK(Raw_Data!E3601),AVERAGE(Raw_Data!E$2:E$5002),Raw_Data!E3601)</f>
        <v>31540.40</v>
      </c>
      <c r="F3601" s="15" t="str">
        <f>IF(ISBLANK(Raw_Data!F3601),AVERAGE(Raw_Data!F$2:F$5002),Raw_Data!F3601)</f>
        <v>29378.31</v>
      </c>
      <c r="G3601" s="14" t="str">
        <f>IF(ISBLANK(Raw_Data!G3601),AVERAGE(Raw_Data!G$2:G$5002),Raw_Data!G3601)</f>
        <v>19830.66</v>
      </c>
      <c r="H3601" s="15" t="str">
        <f t="shared" si="1"/>
        <v>150344.00</v>
      </c>
      <c r="I3601" s="14" t="str">
        <f t="shared" si="2"/>
        <v>130513.00</v>
      </c>
      <c r="J3601" s="16" t="str">
        <f>TEXT(Raw_Data!J3601,"MMM-YYY")</f>
        <v>Apr-2025</v>
      </c>
      <c r="K3601" s="13" t="str">
        <f>Raw_Data!K3601</f>
        <v>2</v>
      </c>
      <c r="L3601" s="17" t="str">
        <f>Raw_Data!L3601</f>
        <v>Chennai-South</v>
      </c>
      <c r="M3601" s="13" t="str">
        <f t="shared" si="3"/>
        <v>OK</v>
      </c>
      <c r="N3601" s="18" t="str">
        <f t="shared" si="4"/>
        <v>VALID</v>
      </c>
    </row>
    <row r="3602" ht="15.75" customHeight="1">
      <c r="A3602" s="13" t="str">
        <f>Raw_Data!A3602</f>
        <v>EMP3804</v>
      </c>
      <c r="B3602" s="13" t="str">
        <f>TRIM(CLEAN(Raw_Data!B3602))</f>
        <v>Operations</v>
      </c>
      <c r="C3602" s="18" t="s">
        <v>37</v>
      </c>
      <c r="D3602" s="14" t="str">
        <f>IF(ISBLANK(Raw_Data!D3602),AVERAGE(Raw_Data!D$2:D$5002),Raw_Data!D3602)</f>
        <v>89436.10</v>
      </c>
      <c r="E3602" s="15" t="str">
        <f>IF(ISBLANK(Raw_Data!E3602),AVERAGE(Raw_Data!E$2:E$5002),Raw_Data!E3602)</f>
        <v>31545.01</v>
      </c>
      <c r="F3602" s="15" t="str">
        <f>IF(ISBLANK(Raw_Data!F3602),AVERAGE(Raw_Data!F$2:F$5002),Raw_Data!F3602)</f>
        <v>29385.99</v>
      </c>
      <c r="G3602" s="14" t="str">
        <f>IF(ISBLANK(Raw_Data!G3602),AVERAGE(Raw_Data!G$2:G$5002),Raw_Data!G3602)</f>
        <v>19834.06</v>
      </c>
      <c r="H3602" s="15" t="str">
        <f t="shared" si="1"/>
        <v>150367.00</v>
      </c>
      <c r="I3602" s="14" t="str">
        <f t="shared" si="2"/>
        <v>130533.00</v>
      </c>
      <c r="J3602" s="16" t="str">
        <f>TEXT(Raw_Data!J3602,"MMM-YYY")</f>
        <v>Nov-2025</v>
      </c>
      <c r="K3602" s="13" t="str">
        <f>Raw_Data!K3602</f>
        <v>15</v>
      </c>
      <c r="L3602" s="17" t="str">
        <f>Raw_Data!L3602</f>
        <v>Kolkata-East</v>
      </c>
      <c r="M3602" s="13" t="str">
        <f t="shared" si="3"/>
        <v>OK</v>
      </c>
      <c r="N3602" s="18" t="str">
        <f t="shared" si="4"/>
        <v>VALID</v>
      </c>
    </row>
    <row r="3603" ht="15.75" customHeight="1">
      <c r="A3603" s="13" t="str">
        <f>Raw_Data!A3603</f>
        <v>EMP3805</v>
      </c>
      <c r="B3603" s="13" t="str">
        <f>TRIM(CLEAN(Raw_Data!B3603))</f>
        <v>Marketing</v>
      </c>
      <c r="C3603" s="18" t="s">
        <v>30</v>
      </c>
      <c r="D3603" s="14" t="str">
        <f>IF(ISBLANK(Raw_Data!D3603),AVERAGE(Raw_Data!D$2:D$5002),Raw_Data!D3603)</f>
        <v>89446.98</v>
      </c>
      <c r="E3603" s="15" t="str">
        <f>IF(ISBLANK(Raw_Data!E3603),AVERAGE(Raw_Data!E$2:E$5002),Raw_Data!E3603)</f>
        <v>31549.63</v>
      </c>
      <c r="F3603" s="15" t="str">
        <f>IF(ISBLANK(Raw_Data!F3603),AVERAGE(Raw_Data!F$2:F$5002),Raw_Data!F3603)</f>
        <v>29393.67</v>
      </c>
      <c r="G3603" s="14" t="str">
        <f>IF(ISBLANK(Raw_Data!G3603),AVERAGE(Raw_Data!G$2:G$5002),Raw_Data!G3603)</f>
        <v>19837.46</v>
      </c>
      <c r="H3603" s="15" t="str">
        <f t="shared" si="1"/>
        <v>150390.00</v>
      </c>
      <c r="I3603" s="14" t="str">
        <f t="shared" si="2"/>
        <v>130553.00</v>
      </c>
      <c r="J3603" s="16" t="str">
        <f>TEXT(Raw_Data!J3603,"MMM-YYY")</f>
        <v>Feb-2025</v>
      </c>
      <c r="K3603" s="13" t="str">
        <f>Raw_Data!K3603</f>
        <v>4</v>
      </c>
      <c r="L3603" s="17" t="str">
        <f>Raw_Data!L3603</f>
        <v>Pune-West</v>
      </c>
      <c r="M3603" s="13" t="str">
        <f t="shared" si="3"/>
        <v>OK</v>
      </c>
      <c r="N3603" s="18" t="str">
        <f t="shared" si="4"/>
        <v>VALID</v>
      </c>
    </row>
    <row r="3604" ht="15.75" customHeight="1">
      <c r="A3604" s="13" t="str">
        <f>Raw_Data!A3604</f>
        <v>EMP3806</v>
      </c>
      <c r="B3604" s="13" t="str">
        <f>TRIM(CLEAN(Raw_Data!B3604))</f>
        <v>Operations</v>
      </c>
      <c r="C3604" s="18" t="s">
        <v>54</v>
      </c>
      <c r="D3604" s="14" t="str">
        <f>IF(ISBLANK(Raw_Data!D3604),AVERAGE(Raw_Data!D$2:D$5002),Raw_Data!D3604)</f>
        <v>89457.86</v>
      </c>
      <c r="E3604" s="15" t="str">
        <f>IF(ISBLANK(Raw_Data!E3604),AVERAGE(Raw_Data!E$2:E$5002),Raw_Data!E3604)</f>
        <v>31554.24</v>
      </c>
      <c r="F3604" s="15" t="str">
        <f>IF(ISBLANK(Raw_Data!F3604),AVERAGE(Raw_Data!F$2:F$5002),Raw_Data!F3604)</f>
        <v>29401.35</v>
      </c>
      <c r="G3604" s="14" t="str">
        <f>IF(ISBLANK(Raw_Data!G3604),AVERAGE(Raw_Data!G$2:G$5002),Raw_Data!G3604)</f>
        <v>19840.86</v>
      </c>
      <c r="H3604" s="15" t="str">
        <f t="shared" si="1"/>
        <v>150413.00</v>
      </c>
      <c r="I3604" s="14" t="str">
        <f t="shared" si="2"/>
        <v>130572.00</v>
      </c>
      <c r="J3604" s="16" t="str">
        <f>TEXT(Raw_Data!J3604,"MMM-YYY")</f>
        <v>Jun-2025</v>
      </c>
      <c r="K3604" s="13" t="str">
        <f>Raw_Data!K3604</f>
        <v>11</v>
      </c>
      <c r="L3604" s="17" t="str">
        <f>Raw_Data!L3604</f>
        <v>Hyderabad-South</v>
      </c>
      <c r="M3604" s="13" t="str">
        <f t="shared" si="3"/>
        <v>OK</v>
      </c>
      <c r="N3604" s="18" t="str">
        <f t="shared" si="4"/>
        <v>VALID</v>
      </c>
    </row>
    <row r="3605" ht="15.75" customHeight="1">
      <c r="A3605" s="13" t="str">
        <f>Raw_Data!A3605</f>
        <v>EMP3807</v>
      </c>
      <c r="B3605" s="13" t="str">
        <f>TRIM(CLEAN(Raw_Data!B3605))</f>
        <v>Operations</v>
      </c>
      <c r="C3605" s="18" t="s">
        <v>30</v>
      </c>
      <c r="D3605" s="14" t="str">
        <f>IF(ISBLANK(Raw_Data!D3605),AVERAGE(Raw_Data!D$2:D$5002),Raw_Data!D3605)</f>
        <v>89468.75</v>
      </c>
      <c r="E3605" s="15" t="str">
        <f>IF(ISBLANK(Raw_Data!E3605),AVERAGE(Raw_Data!E$2:E$5002),Raw_Data!E3605)</f>
        <v>31558.86</v>
      </c>
      <c r="F3605" s="15" t="str">
        <f>IF(ISBLANK(Raw_Data!F3605),AVERAGE(Raw_Data!F$2:F$5002),Raw_Data!F3605)</f>
        <v>29409.03</v>
      </c>
      <c r="G3605" s="14" t="str">
        <f>IF(ISBLANK(Raw_Data!G3605),AVERAGE(Raw_Data!G$2:G$5002),Raw_Data!G3605)</f>
        <v>19844.25</v>
      </c>
      <c r="H3605" s="15" t="str">
        <f t="shared" si="1"/>
        <v>150437.00</v>
      </c>
      <c r="I3605" s="14" t="str">
        <f t="shared" si="2"/>
        <v>130593.00</v>
      </c>
      <c r="J3605" s="16" t="str">
        <f>TEXT(Raw_Data!J3605,"MMM-YYY")</f>
        <v>Mar-2025</v>
      </c>
      <c r="K3605" s="13" t="str">
        <f>Raw_Data!K3605</f>
        <v>21</v>
      </c>
      <c r="L3605" s="17" t="str">
        <f>Raw_Data!L3605</f>
        <v>Chandigarh-North</v>
      </c>
      <c r="M3605" s="13" t="str">
        <f t="shared" si="3"/>
        <v>OK</v>
      </c>
      <c r="N3605" s="18" t="str">
        <f t="shared" si="4"/>
        <v>VALID</v>
      </c>
    </row>
    <row r="3606" ht="15.75" customHeight="1">
      <c r="A3606" s="13" t="str">
        <f>Raw_Data!A3606</f>
        <v>EMP3808</v>
      </c>
      <c r="B3606" s="13" t="str">
        <f>TRIM(CLEAN(Raw_Data!B3606))</f>
        <v>Customer Support</v>
      </c>
      <c r="C3606" s="18" t="s">
        <v>18</v>
      </c>
      <c r="D3606" s="14" t="str">
        <f>IF(ISBLANK(Raw_Data!D3606),AVERAGE(Raw_Data!D$2:D$5002),Raw_Data!D3606)</f>
        <v>89479.63</v>
      </c>
      <c r="E3606" s="15" t="str">
        <f>IF(ISBLANK(Raw_Data!E3606),AVERAGE(Raw_Data!E$2:E$5002),Raw_Data!E3606)</f>
        <v>31563.47</v>
      </c>
      <c r="F3606" s="15" t="str">
        <f>IF(ISBLANK(Raw_Data!F3606),AVERAGE(Raw_Data!F$2:F$5002),Raw_Data!F3606)</f>
        <v>29416.71</v>
      </c>
      <c r="G3606" s="14" t="str">
        <f>IF(ISBLANK(Raw_Data!G3606),AVERAGE(Raw_Data!G$2:G$5002),Raw_Data!G3606)</f>
        <v>19847.65</v>
      </c>
      <c r="H3606" s="15" t="str">
        <f t="shared" si="1"/>
        <v>150460.00</v>
      </c>
      <c r="I3606" s="14" t="str">
        <f t="shared" si="2"/>
        <v>130612.00</v>
      </c>
      <c r="J3606" s="16" t="str">
        <f>TEXT(Raw_Data!J3606,"MMM-YYY")</f>
        <v>Sep-2025</v>
      </c>
      <c r="K3606" s="13" t="str">
        <f>Raw_Data!K3606</f>
        <v>3</v>
      </c>
      <c r="L3606" s="17" t="str">
        <f>Raw_Data!L3606</f>
        <v>Ahmedabad-West</v>
      </c>
      <c r="M3606" s="13" t="str">
        <f t="shared" si="3"/>
        <v>OK</v>
      </c>
      <c r="N3606" s="18" t="str">
        <f t="shared" si="4"/>
        <v>VALID</v>
      </c>
    </row>
    <row r="3607" ht="15.75" customHeight="1">
      <c r="A3607" s="13" t="str">
        <f>Raw_Data!A3607</f>
        <v>EMP3809</v>
      </c>
      <c r="B3607" s="13" t="str">
        <f>TRIM(CLEAN(Raw_Data!B3607))</f>
        <v>Sales</v>
      </c>
      <c r="C3607" s="18" t="s">
        <v>37</v>
      </c>
      <c r="D3607" s="14" t="str">
        <f>IF(ISBLANK(Raw_Data!D3607),AVERAGE(Raw_Data!D$2:D$5002),Raw_Data!D3607)</f>
        <v>89490.51</v>
      </c>
      <c r="E3607" s="15" t="str">
        <f>IF(ISBLANK(Raw_Data!E3607),AVERAGE(Raw_Data!E$2:E$5002),Raw_Data!E3607)</f>
        <v>31568.09</v>
      </c>
      <c r="F3607" s="15" t="str">
        <f>IF(ISBLANK(Raw_Data!F3607),AVERAGE(Raw_Data!F$2:F$5002),Raw_Data!F3607)</f>
        <v>29424.39</v>
      </c>
      <c r="G3607" s="14" t="str">
        <f>IF(ISBLANK(Raw_Data!G3607),AVERAGE(Raw_Data!G$2:G$5002),Raw_Data!G3607)</f>
        <v>19851.05</v>
      </c>
      <c r="H3607" s="15" t="str">
        <f t="shared" si="1"/>
        <v>150483.00</v>
      </c>
      <c r="I3607" s="14" t="str">
        <f t="shared" si="2"/>
        <v>130632.00</v>
      </c>
      <c r="J3607" s="16" t="str">
        <f>TEXT(Raw_Data!J3607,"MMM-YYY")</f>
        <v>May-2025</v>
      </c>
      <c r="K3607" s="13" t="str">
        <f>Raw_Data!K3607</f>
        <v>9</v>
      </c>
      <c r="L3607" s="17" t="str">
        <f>Raw_Data!L3607</f>
        <v>Jaipur-North</v>
      </c>
      <c r="M3607" s="13" t="str">
        <f t="shared" si="3"/>
        <v>OK</v>
      </c>
      <c r="N3607" s="18" t="str">
        <f t="shared" si="4"/>
        <v>VALID</v>
      </c>
    </row>
    <row r="3608" ht="15.75" customHeight="1">
      <c r="A3608" s="13" t="str">
        <f>Raw_Data!A3608</f>
        <v>EMP3810</v>
      </c>
      <c r="B3608" s="13" t="str">
        <f>TRIM(CLEAN(Raw_Data!B3608))</f>
        <v>Sales</v>
      </c>
      <c r="C3608" s="18" t="s">
        <v>37</v>
      </c>
      <c r="D3608" s="14" t="str">
        <f>IF(ISBLANK(Raw_Data!D3608),AVERAGE(Raw_Data!D$2:D$5002),Raw_Data!D3608)</f>
        <v>89501.39</v>
      </c>
      <c r="E3608" s="15" t="str">
        <f>IF(ISBLANK(Raw_Data!E3608),AVERAGE(Raw_Data!E$2:E$5002),Raw_Data!E3608)</f>
        <v>31572.70</v>
      </c>
      <c r="F3608" s="15" t="str">
        <f>IF(ISBLANK(Raw_Data!F3608),AVERAGE(Raw_Data!F$2:F$5002),Raw_Data!F3608)</f>
        <v>29432.07</v>
      </c>
      <c r="G3608" s="14" t="str">
        <f>IF(ISBLANK(Raw_Data!G3608),AVERAGE(Raw_Data!G$2:G$5002),Raw_Data!G3608)</f>
        <v>14562.73</v>
      </c>
      <c r="H3608" s="15" t="str">
        <f t="shared" si="1"/>
        <v>150506.00</v>
      </c>
      <c r="I3608" s="14" t="str">
        <f t="shared" si="2"/>
        <v>135943.00</v>
      </c>
      <c r="J3608" s="16" t="str">
        <f>TEXT(Raw_Data!J3608,"MMM-YYY")</f>
        <v>Mar-2025</v>
      </c>
      <c r="K3608" s="13" t="str">
        <f>Raw_Data!K3608</f>
        <v>19</v>
      </c>
      <c r="L3608" s="17" t="str">
        <f>Raw_Data!L3608</f>
        <v>Mumbai-HO</v>
      </c>
      <c r="M3608" s="13" t="str">
        <f t="shared" si="3"/>
        <v>OK</v>
      </c>
      <c r="N3608" s="18" t="str">
        <f t="shared" si="4"/>
        <v>VALID</v>
      </c>
    </row>
    <row r="3609" ht="15.75" customHeight="1">
      <c r="A3609" s="13" t="str">
        <f>Raw_Data!A3609</f>
        <v>EMP3811</v>
      </c>
      <c r="B3609" s="13" t="str">
        <f>TRIM(CLEAN(Raw_Data!B3609))</f>
        <v>Finance</v>
      </c>
      <c r="C3609" s="18" t="s">
        <v>37</v>
      </c>
      <c r="D3609" s="14" t="str">
        <f>IF(ISBLANK(Raw_Data!D3609),AVERAGE(Raw_Data!D$2:D$5002),Raw_Data!D3609)</f>
        <v>89512.28</v>
      </c>
      <c r="E3609" s="15" t="str">
        <f>IF(ISBLANK(Raw_Data!E3609),AVERAGE(Raw_Data!E$2:E$5002),Raw_Data!E3609)</f>
        <v>31577.32</v>
      </c>
      <c r="F3609" s="15" t="str">
        <f>IF(ISBLANK(Raw_Data!F3609),AVERAGE(Raw_Data!F$2:F$5002),Raw_Data!F3609)</f>
        <v>29439.75</v>
      </c>
      <c r="G3609" s="14" t="str">
        <f>IF(ISBLANK(Raw_Data!G3609),AVERAGE(Raw_Data!G$2:G$5002),Raw_Data!G3609)</f>
        <v>19857.84</v>
      </c>
      <c r="H3609" s="15" t="str">
        <f t="shared" si="1"/>
        <v>150529.00</v>
      </c>
      <c r="I3609" s="14" t="str">
        <f t="shared" si="2"/>
        <v>130671.00</v>
      </c>
      <c r="J3609" s="16" t="str">
        <f>TEXT(Raw_Data!J3609,"MMM-YYY")</f>
        <v>Sep-2025</v>
      </c>
      <c r="K3609" s="13" t="str">
        <f>Raw_Data!K3609</f>
        <v>2</v>
      </c>
      <c r="L3609" s="17" t="str">
        <f>Raw_Data!L3609</f>
        <v>Delhi-North</v>
      </c>
      <c r="M3609" s="13" t="str">
        <f t="shared" si="3"/>
        <v>OK</v>
      </c>
      <c r="N3609" s="18" t="str">
        <f t="shared" si="4"/>
        <v>VALID</v>
      </c>
    </row>
    <row r="3610" ht="15.75" customHeight="1">
      <c r="A3610" s="13" t="str">
        <f>Raw_Data!A3610</f>
        <v>EMP3812</v>
      </c>
      <c r="B3610" s="13" t="str">
        <f>TRIM(CLEAN(Raw_Data!B3610))</f>
        <v>IT</v>
      </c>
      <c r="C3610" s="18" t="s">
        <v>26</v>
      </c>
      <c r="D3610" s="14" t="str">
        <f>IF(ISBLANK(Raw_Data!D3610),AVERAGE(Raw_Data!D$2:D$5002),Raw_Data!D3610)</f>
        <v>89523.16</v>
      </c>
      <c r="E3610" s="15" t="str">
        <f>IF(ISBLANK(Raw_Data!E3610),AVERAGE(Raw_Data!E$2:E$5002),Raw_Data!E3610)</f>
        <v>31581.93</v>
      </c>
      <c r="F3610" s="15" t="str">
        <f>IF(ISBLANK(Raw_Data!F3610),AVERAGE(Raw_Data!F$2:F$5002),Raw_Data!F3610)</f>
        <v>29447.43</v>
      </c>
      <c r="G3610" s="14" t="str">
        <f>IF(ISBLANK(Raw_Data!G3610),AVERAGE(Raw_Data!G$2:G$5002),Raw_Data!G3610)</f>
        <v>19861.24</v>
      </c>
      <c r="H3610" s="15" t="str">
        <f t="shared" si="1"/>
        <v>150553.00</v>
      </c>
      <c r="I3610" s="14" t="str">
        <f t="shared" si="2"/>
        <v>130692.00</v>
      </c>
      <c r="J3610" s="16" t="str">
        <f>TEXT(Raw_Data!J3610,"MMM-YYY")</f>
        <v>Aug-2025</v>
      </c>
      <c r="K3610" s="13" t="str">
        <f>Raw_Data!K3610</f>
        <v>12</v>
      </c>
      <c r="L3610" s="17" t="str">
        <f>Raw_Data!L3610</f>
        <v>Bangalore-South</v>
      </c>
      <c r="M3610" s="13" t="str">
        <f t="shared" si="3"/>
        <v>OK</v>
      </c>
      <c r="N3610" s="18" t="str">
        <f t="shared" si="4"/>
        <v>VALID</v>
      </c>
    </row>
    <row r="3611" ht="15.75" customHeight="1">
      <c r="A3611" s="13" t="str">
        <f>Raw_Data!A3611</f>
        <v>EMP3813</v>
      </c>
      <c r="B3611" s="13" t="str">
        <f>TRIM(CLEAN(Raw_Data!B3611))</f>
        <v>Sales</v>
      </c>
      <c r="C3611" s="18" t="s">
        <v>14</v>
      </c>
      <c r="D3611" s="14" t="str">
        <f>IF(ISBLANK(Raw_Data!D3611),AVERAGE(Raw_Data!D$2:D$5002),Raw_Data!D3611)</f>
        <v>89534.04</v>
      </c>
      <c r="E3611" s="15" t="str">
        <f>IF(ISBLANK(Raw_Data!E3611),AVERAGE(Raw_Data!E$2:E$5002),Raw_Data!E3611)</f>
        <v>31586.55</v>
      </c>
      <c r="F3611" s="15" t="str">
        <f>IF(ISBLANK(Raw_Data!F3611),AVERAGE(Raw_Data!F$2:F$5002),Raw_Data!F3611)</f>
        <v>29455.11</v>
      </c>
      <c r="G3611" s="14" t="str">
        <f>IF(ISBLANK(Raw_Data!G3611),AVERAGE(Raw_Data!G$2:G$5002),Raw_Data!G3611)</f>
        <v>19864.64</v>
      </c>
      <c r="H3611" s="15" t="str">
        <f t="shared" si="1"/>
        <v>150576.00</v>
      </c>
      <c r="I3611" s="14" t="str">
        <f t="shared" si="2"/>
        <v>130711.00</v>
      </c>
      <c r="J3611" s="16" t="str">
        <f>TEXT(Raw_Data!J3611,"MMM-YYY")</f>
        <v>Nov-2025</v>
      </c>
      <c r="K3611" s="13" t="str">
        <f>Raw_Data!K3611</f>
        <v>18</v>
      </c>
      <c r="L3611" s="17" t="str">
        <f>Raw_Data!L3611</f>
        <v>Chennai-South</v>
      </c>
      <c r="M3611" s="13" t="str">
        <f t="shared" si="3"/>
        <v>OK</v>
      </c>
      <c r="N3611" s="18" t="str">
        <f t="shared" si="4"/>
        <v>VALID</v>
      </c>
    </row>
    <row r="3612" ht="15.75" customHeight="1">
      <c r="A3612" s="13" t="str">
        <f>Raw_Data!A3612</f>
        <v>EMP3814</v>
      </c>
      <c r="B3612" s="13" t="str">
        <f>TRIM(CLEAN(Raw_Data!B3612))</f>
        <v>Customer Support</v>
      </c>
      <c r="C3612" s="18" t="s">
        <v>33</v>
      </c>
      <c r="D3612" s="14" t="str">
        <f>IF(ISBLANK(Raw_Data!D3612),AVERAGE(Raw_Data!D$2:D$5002),Raw_Data!D3612)</f>
        <v>89544.93</v>
      </c>
      <c r="E3612" s="15" t="str">
        <f>IF(ISBLANK(Raw_Data!E3612),AVERAGE(Raw_Data!E$2:E$5002),Raw_Data!E3612)</f>
        <v>31591.16</v>
      </c>
      <c r="F3612" s="15" t="str">
        <f>IF(ISBLANK(Raw_Data!F3612),AVERAGE(Raw_Data!F$2:F$5002),Raw_Data!F3612)</f>
        <v>29462.79</v>
      </c>
      <c r="G3612" s="14" t="str">
        <f>IF(ISBLANK(Raw_Data!G3612),AVERAGE(Raw_Data!G$2:G$5002),Raw_Data!G3612)</f>
        <v>19868.04</v>
      </c>
      <c r="H3612" s="15" t="str">
        <f t="shared" si="1"/>
        <v>150599.00</v>
      </c>
      <c r="I3612" s="14" t="str">
        <f t="shared" si="2"/>
        <v>130731.00</v>
      </c>
      <c r="J3612" s="16" t="str">
        <f>TEXT(Raw_Data!J3612,"MMM-YYY")</f>
        <v>Sep-2025</v>
      </c>
      <c r="K3612" s="13" t="str">
        <f>Raw_Data!K3612</f>
        <v>20</v>
      </c>
      <c r="L3612" s="17" t="str">
        <f>Raw_Data!L3612</f>
        <v>Kolkata-East</v>
      </c>
      <c r="M3612" s="13" t="str">
        <f t="shared" si="3"/>
        <v>OK</v>
      </c>
      <c r="N3612" s="18" t="str">
        <f t="shared" si="4"/>
        <v>VALID</v>
      </c>
    </row>
    <row r="3613" ht="15.75" customHeight="1">
      <c r="A3613" s="13" t="str">
        <f>Raw_Data!A3613</f>
        <v>EMP3815</v>
      </c>
      <c r="B3613" s="13" t="str">
        <f>TRIM(CLEAN(Raw_Data!B3613))</f>
        <v>IT</v>
      </c>
      <c r="C3613" s="18" t="s">
        <v>26</v>
      </c>
      <c r="D3613" s="14" t="str">
        <f>IF(ISBLANK(Raw_Data!D3613),AVERAGE(Raw_Data!D$2:D$5002),Raw_Data!D3613)</f>
        <v>89555.81</v>
      </c>
      <c r="E3613" s="15" t="str">
        <f>IF(ISBLANK(Raw_Data!E3613),AVERAGE(Raw_Data!E$2:E$5002),Raw_Data!E3613)</f>
        <v>31595.77</v>
      </c>
      <c r="F3613" s="15" t="str">
        <f>IF(ISBLANK(Raw_Data!F3613),AVERAGE(Raw_Data!F$2:F$5002),Raw_Data!F3613)</f>
        <v>29470.47</v>
      </c>
      <c r="G3613" s="14" t="str">
        <f>IF(ISBLANK(Raw_Data!G3613),AVERAGE(Raw_Data!G$2:G$5002),Raw_Data!G3613)</f>
        <v>19871.43</v>
      </c>
      <c r="H3613" s="15" t="str">
        <f t="shared" si="1"/>
        <v>150622.00</v>
      </c>
      <c r="I3613" s="14" t="str">
        <f t="shared" si="2"/>
        <v>130751.00</v>
      </c>
      <c r="J3613" s="16" t="str">
        <f>TEXT(Raw_Data!J3613,"MMM-YYY")</f>
        <v>Dec-2025</v>
      </c>
      <c r="K3613" s="13" t="str">
        <f>Raw_Data!K3613</f>
        <v>2</v>
      </c>
      <c r="L3613" s="17" t="str">
        <f>Raw_Data!L3613</f>
        <v>Pune-West</v>
      </c>
      <c r="M3613" s="13" t="str">
        <f t="shared" si="3"/>
        <v>OK</v>
      </c>
      <c r="N3613" s="18" t="str">
        <f t="shared" si="4"/>
        <v>VALID</v>
      </c>
    </row>
    <row r="3614" ht="15.75" customHeight="1">
      <c r="A3614" s="13" t="str">
        <f>Raw_Data!A3614</f>
        <v>EMP3816</v>
      </c>
      <c r="B3614" s="13" t="str">
        <f>TRIM(CLEAN(Raw_Data!B3614))</f>
        <v>IT</v>
      </c>
      <c r="C3614" s="18" t="s">
        <v>18</v>
      </c>
      <c r="D3614" s="14" t="str">
        <f>IF(ISBLANK(Raw_Data!D3614),AVERAGE(Raw_Data!D$2:D$5002),Raw_Data!D3614)</f>
        <v>89566.69</v>
      </c>
      <c r="E3614" s="15" t="str">
        <f>IF(ISBLANK(Raw_Data!E3614),AVERAGE(Raw_Data!E$2:E$5002),Raw_Data!E3614)</f>
        <v>31600.39</v>
      </c>
      <c r="F3614" s="15" t="str">
        <f>IF(ISBLANK(Raw_Data!F3614),AVERAGE(Raw_Data!F$2:F$5002),Raw_Data!F3614)</f>
        <v>29478.15</v>
      </c>
      <c r="G3614" s="14" t="str">
        <f>IF(ISBLANK(Raw_Data!G3614),AVERAGE(Raw_Data!G$2:G$5002),Raw_Data!G3614)</f>
        <v>19874.83</v>
      </c>
      <c r="H3614" s="15" t="str">
        <f t="shared" si="1"/>
        <v>150645.00</v>
      </c>
      <c r="I3614" s="14" t="str">
        <f t="shared" si="2"/>
        <v>130770.00</v>
      </c>
      <c r="J3614" s="16" t="str">
        <f>TEXT(Raw_Data!J3614,"MMM-YYY")</f>
        <v>May-2025</v>
      </c>
      <c r="K3614" s="13" t="str">
        <f>Raw_Data!K3614</f>
        <v>20</v>
      </c>
      <c r="L3614" s="17" t="str">
        <f>Raw_Data!L3614</f>
        <v>Hyderabad-South</v>
      </c>
      <c r="M3614" s="13" t="str">
        <f t="shared" si="3"/>
        <v>OK</v>
      </c>
      <c r="N3614" s="18" t="str">
        <f t="shared" si="4"/>
        <v>VALID</v>
      </c>
    </row>
    <row r="3615" ht="15.75" customHeight="1">
      <c r="A3615" s="13" t="str">
        <f>Raw_Data!A3615</f>
        <v>EMP3818</v>
      </c>
      <c r="B3615" s="13" t="str">
        <f>TRIM(CLEAN(Raw_Data!B3615))</f>
        <v>IT</v>
      </c>
      <c r="C3615" s="18" t="s">
        <v>30</v>
      </c>
      <c r="D3615" s="14" t="str">
        <f>IF(ISBLANK(Raw_Data!D3615),AVERAGE(Raw_Data!D$2:D$5002),Raw_Data!D3615)</f>
        <v>89588.46</v>
      </c>
      <c r="E3615" s="15" t="str">
        <f>IF(ISBLANK(Raw_Data!E3615),AVERAGE(Raw_Data!E$2:E$5002),Raw_Data!E3615)</f>
        <v>31609.62</v>
      </c>
      <c r="F3615" s="15" t="str">
        <f>IF(ISBLANK(Raw_Data!F3615),AVERAGE(Raw_Data!F$2:F$5002),Raw_Data!F3615)</f>
        <v>29493.51</v>
      </c>
      <c r="G3615" s="14" t="str">
        <f>IF(ISBLANK(Raw_Data!G3615),AVERAGE(Raw_Data!G$2:G$5002),Raw_Data!G3615)</f>
        <v>19881.63</v>
      </c>
      <c r="H3615" s="15" t="str">
        <f t="shared" si="1"/>
        <v>150692.00</v>
      </c>
      <c r="I3615" s="14" t="str">
        <f t="shared" si="2"/>
        <v>130810.00</v>
      </c>
      <c r="J3615" s="16" t="str">
        <f>TEXT(Raw_Data!J3615,"MMM-YYY")</f>
        <v>Oct-2025</v>
      </c>
      <c r="K3615" s="13" t="str">
        <f>Raw_Data!K3615</f>
        <v>18</v>
      </c>
      <c r="L3615" s="17" t="str">
        <f>Raw_Data!L3615</f>
        <v>Ahmedabad-West</v>
      </c>
      <c r="M3615" s="13" t="str">
        <f t="shared" si="3"/>
        <v>OK</v>
      </c>
      <c r="N3615" s="18" t="str">
        <f t="shared" si="4"/>
        <v>VALID</v>
      </c>
    </row>
    <row r="3616" ht="15.75" customHeight="1">
      <c r="A3616" s="13" t="str">
        <f>Raw_Data!A3616</f>
        <v>EMP3819</v>
      </c>
      <c r="B3616" s="13" t="str">
        <f>TRIM(CLEAN(Raw_Data!B3616))</f>
        <v>IT</v>
      </c>
      <c r="C3616" s="18" t="s">
        <v>37</v>
      </c>
      <c r="D3616" s="14" t="str">
        <f>IF(ISBLANK(Raw_Data!D3616),AVERAGE(Raw_Data!D$2:D$5002),Raw_Data!D3616)</f>
        <v>89599.34</v>
      </c>
      <c r="E3616" s="15" t="str">
        <f>IF(ISBLANK(Raw_Data!E3616),AVERAGE(Raw_Data!E$2:E$5002),Raw_Data!E3616)</f>
        <v>31614.23</v>
      </c>
      <c r="F3616" s="15" t="str">
        <f>IF(ISBLANK(Raw_Data!F3616),AVERAGE(Raw_Data!F$2:F$5002),Raw_Data!F3616)</f>
        <v>29501.19</v>
      </c>
      <c r="G3616" s="14" t="str">
        <f>IF(ISBLANK(Raw_Data!G3616),AVERAGE(Raw_Data!G$2:G$5002),Raw_Data!G3616)</f>
        <v>19885.02</v>
      </c>
      <c r="H3616" s="15" t="str">
        <f t="shared" si="1"/>
        <v>150715.00</v>
      </c>
      <c r="I3616" s="14" t="str">
        <f t="shared" si="2"/>
        <v>130830.00</v>
      </c>
      <c r="J3616" s="16" t="str">
        <f>TEXT(Raw_Data!J3616,"MMM-YYY")</f>
        <v>Aug-2025</v>
      </c>
      <c r="K3616" s="13" t="str">
        <f>Raw_Data!K3616</f>
        <v>15</v>
      </c>
      <c r="L3616" s="17" t="str">
        <f>Raw_Data!L3616</f>
        <v>Jaipur-North</v>
      </c>
      <c r="M3616" s="13" t="str">
        <f t="shared" si="3"/>
        <v>OK</v>
      </c>
      <c r="N3616" s="18" t="str">
        <f t="shared" si="4"/>
        <v>VALID</v>
      </c>
    </row>
    <row r="3617" ht="15.75" customHeight="1">
      <c r="A3617" s="13" t="str">
        <f>Raw_Data!A3617</f>
        <v>EMP3820</v>
      </c>
      <c r="B3617" s="13" t="str">
        <f>TRIM(CLEAN(Raw_Data!B3617))</f>
        <v>Marketing</v>
      </c>
      <c r="C3617" s="18" t="s">
        <v>33</v>
      </c>
      <c r="D3617" s="14" t="str">
        <f>IF(ISBLANK(Raw_Data!D3617),AVERAGE(Raw_Data!D$2:D$5002),Raw_Data!D3617)</f>
        <v>89610.22</v>
      </c>
      <c r="E3617" s="15" t="str">
        <f>IF(ISBLANK(Raw_Data!E3617),AVERAGE(Raw_Data!E$2:E$5002),Raw_Data!E3617)</f>
        <v>31618.85</v>
      </c>
      <c r="F3617" s="15" t="str">
        <f>IF(ISBLANK(Raw_Data!F3617),AVERAGE(Raw_Data!F$2:F$5002),Raw_Data!F3617)</f>
        <v>29508.87</v>
      </c>
      <c r="G3617" s="14" t="str">
        <f>IF(ISBLANK(Raw_Data!G3617),AVERAGE(Raw_Data!G$2:G$5002),Raw_Data!G3617)</f>
        <v>19888.42</v>
      </c>
      <c r="H3617" s="15" t="str">
        <f t="shared" si="1"/>
        <v>150738.00</v>
      </c>
      <c r="I3617" s="14" t="str">
        <f t="shared" si="2"/>
        <v>130850.00</v>
      </c>
      <c r="J3617" s="16" t="str">
        <f>TEXT(Raw_Data!J3617,"MMM-YYY")</f>
        <v>Apr-2025</v>
      </c>
      <c r="K3617" s="13" t="str">
        <f>Raw_Data!K3617</f>
        <v>12</v>
      </c>
      <c r="L3617" s="17" t="str">
        <f>Raw_Data!L3617</f>
        <v>Mumbai-HO</v>
      </c>
      <c r="M3617" s="13" t="str">
        <f t="shared" si="3"/>
        <v>OK</v>
      </c>
      <c r="N3617" s="18" t="str">
        <f t="shared" si="4"/>
        <v>VALID</v>
      </c>
    </row>
    <row r="3618" ht="15.75" customHeight="1">
      <c r="A3618" s="13" t="str">
        <f>Raw_Data!A3618</f>
        <v>EMP3821</v>
      </c>
      <c r="B3618" s="13" t="str">
        <f>TRIM(CLEAN(Raw_Data!B3618))</f>
        <v>IT</v>
      </c>
      <c r="C3618" s="18" t="s">
        <v>18</v>
      </c>
      <c r="D3618" s="14" t="str">
        <f>IF(ISBLANK(Raw_Data!D3618),AVERAGE(Raw_Data!D$2:D$5002),Raw_Data!D3618)</f>
        <v>89621.11</v>
      </c>
      <c r="E3618" s="15" t="str">
        <f>IF(ISBLANK(Raw_Data!E3618),AVERAGE(Raw_Data!E$2:E$5002),Raw_Data!E3618)</f>
        <v>31623.46</v>
      </c>
      <c r="F3618" s="15" t="str">
        <f>IF(ISBLANK(Raw_Data!F3618),AVERAGE(Raw_Data!F$2:F$5002),Raw_Data!F3618)</f>
        <v>29516.55</v>
      </c>
      <c r="G3618" s="14" t="str">
        <f>IF(ISBLANK(Raw_Data!G3618),AVERAGE(Raw_Data!G$2:G$5002),Raw_Data!G3618)</f>
        <v>19891.82</v>
      </c>
      <c r="H3618" s="15" t="str">
        <f t="shared" si="1"/>
        <v>150761.00</v>
      </c>
      <c r="I3618" s="14" t="str">
        <f t="shared" si="2"/>
        <v>130869.00</v>
      </c>
      <c r="J3618" s="16" t="str">
        <f>TEXT(Raw_Data!J3618,"MMM-YYY")</f>
        <v>Nov-2025</v>
      </c>
      <c r="K3618" s="13" t="str">
        <f>Raw_Data!K3618</f>
        <v>15</v>
      </c>
      <c r="L3618" s="17" t="str">
        <f>Raw_Data!L3618</f>
        <v>Delhi-North</v>
      </c>
      <c r="M3618" s="13" t="str">
        <f t="shared" si="3"/>
        <v>OK</v>
      </c>
      <c r="N3618" s="18" t="str">
        <f t="shared" si="4"/>
        <v>VALID</v>
      </c>
    </row>
    <row r="3619" ht="15.75" customHeight="1">
      <c r="A3619" s="13" t="str">
        <f>Raw_Data!A3619</f>
        <v>EMP3822</v>
      </c>
      <c r="B3619" s="13" t="str">
        <f>TRIM(CLEAN(Raw_Data!B3619))</f>
        <v>Sales</v>
      </c>
      <c r="C3619" s="18" t="s">
        <v>30</v>
      </c>
      <c r="D3619" s="14" t="str">
        <f>IF(ISBLANK(Raw_Data!D3619),AVERAGE(Raw_Data!D$2:D$5002),Raw_Data!D3619)</f>
        <v>89631.99</v>
      </c>
      <c r="E3619" s="15" t="str">
        <f>IF(ISBLANK(Raw_Data!E3619),AVERAGE(Raw_Data!E$2:E$5002),Raw_Data!E3619)</f>
        <v>31628.08</v>
      </c>
      <c r="F3619" s="15" t="str">
        <f>IF(ISBLANK(Raw_Data!F3619),AVERAGE(Raw_Data!F$2:F$5002),Raw_Data!F3619)</f>
        <v>29524.23</v>
      </c>
      <c r="G3619" s="14" t="str">
        <f>IF(ISBLANK(Raw_Data!G3619),AVERAGE(Raw_Data!G$2:G$5002),Raw_Data!G3619)</f>
        <v>19895.22</v>
      </c>
      <c r="H3619" s="15" t="str">
        <f t="shared" si="1"/>
        <v>150784.00</v>
      </c>
      <c r="I3619" s="14" t="str">
        <f t="shared" si="2"/>
        <v>130889.00</v>
      </c>
      <c r="J3619" s="16" t="str">
        <f>TEXT(Raw_Data!J3619,"MMM-YYY")</f>
        <v>May-2025</v>
      </c>
      <c r="K3619" s="13" t="str">
        <f>Raw_Data!K3619</f>
        <v>21</v>
      </c>
      <c r="L3619" s="17" t="str">
        <f>Raw_Data!L3619</f>
        <v>Bangalore-South</v>
      </c>
      <c r="M3619" s="13" t="str">
        <f t="shared" si="3"/>
        <v>OK</v>
      </c>
      <c r="N3619" s="18" t="str">
        <f t="shared" si="4"/>
        <v>VALID</v>
      </c>
    </row>
    <row r="3620" ht="15.75" customHeight="1">
      <c r="A3620" s="13" t="str">
        <f>Raw_Data!A3620</f>
        <v>EMP3823</v>
      </c>
      <c r="B3620" s="13" t="str">
        <f>TRIM(CLEAN(Raw_Data!B3620))</f>
        <v>Operations</v>
      </c>
      <c r="C3620" s="18" t="s">
        <v>18</v>
      </c>
      <c r="D3620" s="14" t="str">
        <f>IF(ISBLANK(Raw_Data!D3620),AVERAGE(Raw_Data!D$2:D$5002),Raw_Data!D3620)</f>
        <v>89642.87</v>
      </c>
      <c r="E3620" s="15" t="str">
        <f>IF(ISBLANK(Raw_Data!E3620),AVERAGE(Raw_Data!E$2:E$5002),Raw_Data!E3620)</f>
        <v>31632.69</v>
      </c>
      <c r="F3620" s="15" t="str">
        <f>IF(ISBLANK(Raw_Data!F3620),AVERAGE(Raw_Data!F$2:F$5002),Raw_Data!F3620)</f>
        <v>29531.91</v>
      </c>
      <c r="G3620" s="14" t="str">
        <f>IF(ISBLANK(Raw_Data!G3620),AVERAGE(Raw_Data!G$2:G$5002),Raw_Data!G3620)</f>
        <v>19898.62</v>
      </c>
      <c r="H3620" s="15" t="str">
        <f t="shared" si="1"/>
        <v>150807.00</v>
      </c>
      <c r="I3620" s="14" t="str">
        <f t="shared" si="2"/>
        <v>130908.00</v>
      </c>
      <c r="J3620" s="16" t="str">
        <f>TEXT(Raw_Data!J3620,"MMM-YYY")</f>
        <v>Apr-2025</v>
      </c>
      <c r="K3620" s="13" t="str">
        <f>Raw_Data!K3620</f>
        <v>4</v>
      </c>
      <c r="L3620" s="17" t="str">
        <f>Raw_Data!L3620</f>
        <v>Chennai-South</v>
      </c>
      <c r="M3620" s="13" t="str">
        <f t="shared" si="3"/>
        <v>OK</v>
      </c>
      <c r="N3620" s="18" t="str">
        <f t="shared" si="4"/>
        <v>VALID</v>
      </c>
    </row>
    <row r="3621" ht="15.75" customHeight="1">
      <c r="A3621" s="13" t="str">
        <f>Raw_Data!A3621</f>
        <v>EMP3824</v>
      </c>
      <c r="B3621" s="13" t="str">
        <f>TRIM(CLEAN(Raw_Data!B3621))</f>
        <v>Marketing</v>
      </c>
      <c r="C3621" s="18" t="s">
        <v>18</v>
      </c>
      <c r="D3621" s="14" t="str">
        <f>IF(ISBLANK(Raw_Data!D3621),AVERAGE(Raw_Data!D$2:D$5002),Raw_Data!D3621)</f>
        <v>89653.76</v>
      </c>
      <c r="E3621" s="15" t="str">
        <f>IF(ISBLANK(Raw_Data!E3621),AVERAGE(Raw_Data!E$2:E$5002),Raw_Data!E3621)</f>
        <v>31637.31</v>
      </c>
      <c r="F3621" s="15" t="str">
        <f>IF(ISBLANK(Raw_Data!F3621),AVERAGE(Raw_Data!F$2:F$5002),Raw_Data!F3621)</f>
        <v>29539.59</v>
      </c>
      <c r="G3621" s="14" t="str">
        <f>IF(ISBLANK(Raw_Data!G3621),AVERAGE(Raw_Data!G$2:G$5002),Raw_Data!G3621)</f>
        <v>19902.01</v>
      </c>
      <c r="H3621" s="15" t="str">
        <f t="shared" si="1"/>
        <v>150831.00</v>
      </c>
      <c r="I3621" s="14" t="str">
        <f t="shared" si="2"/>
        <v>130929.00</v>
      </c>
      <c r="J3621" s="16" t="str">
        <f>TEXT(Raw_Data!J3621,"MMM-YYY")</f>
        <v>Apr-2025</v>
      </c>
      <c r="K3621" s="13" t="str">
        <f>Raw_Data!K3621</f>
        <v>19</v>
      </c>
      <c r="L3621" s="17" t="str">
        <f>Raw_Data!L3621</f>
        <v>Kolkata-East</v>
      </c>
      <c r="M3621" s="13" t="str">
        <f t="shared" si="3"/>
        <v>OK</v>
      </c>
      <c r="N3621" s="18" t="str">
        <f t="shared" si="4"/>
        <v>VALID</v>
      </c>
    </row>
    <row r="3622" ht="15.75" customHeight="1">
      <c r="A3622" s="13" t="str">
        <f>Raw_Data!A3622</f>
        <v>EMP3825</v>
      </c>
      <c r="B3622" s="13" t="str">
        <f>TRIM(CLEAN(Raw_Data!B3622))</f>
        <v>IT</v>
      </c>
      <c r="C3622" s="18" t="s">
        <v>14</v>
      </c>
      <c r="D3622" s="14" t="str">
        <f>IF(ISBLANK(Raw_Data!D3622),AVERAGE(Raw_Data!D$2:D$5002),Raw_Data!D3622)</f>
        <v>89664.64</v>
      </c>
      <c r="E3622" s="15" t="str">
        <f>IF(ISBLANK(Raw_Data!E3622),AVERAGE(Raw_Data!E$2:E$5002),Raw_Data!E3622)</f>
        <v>31641.92</v>
      </c>
      <c r="F3622" s="15" t="str">
        <f>IF(ISBLANK(Raw_Data!F3622),AVERAGE(Raw_Data!F$2:F$5002),Raw_Data!F3622)</f>
        <v>29547.27</v>
      </c>
      <c r="G3622" s="14" t="str">
        <f>IF(ISBLANK(Raw_Data!G3622),AVERAGE(Raw_Data!G$2:G$5002),Raw_Data!G3622)</f>
        <v>19905.41</v>
      </c>
      <c r="H3622" s="15" t="str">
        <f t="shared" si="1"/>
        <v>150854.00</v>
      </c>
      <c r="I3622" s="14" t="str">
        <f t="shared" si="2"/>
        <v>130949.00</v>
      </c>
      <c r="J3622" s="16" t="str">
        <f>TEXT(Raw_Data!J3622,"MMM-YYY")</f>
        <v>Apr-2025</v>
      </c>
      <c r="K3622" s="13" t="str">
        <f>Raw_Data!K3622</f>
        <v>13</v>
      </c>
      <c r="L3622" s="17" t="str">
        <f>Raw_Data!L3622</f>
        <v>Pune-West</v>
      </c>
      <c r="M3622" s="13" t="str">
        <f t="shared" si="3"/>
        <v>OK</v>
      </c>
      <c r="N3622" s="18" t="str">
        <f t="shared" si="4"/>
        <v>VALID</v>
      </c>
    </row>
    <row r="3623" ht="15.75" customHeight="1">
      <c r="A3623" s="13" t="str">
        <f>Raw_Data!A3623</f>
        <v>EMP3826</v>
      </c>
      <c r="B3623" s="13" t="str">
        <f>TRIM(CLEAN(Raw_Data!B3623))</f>
        <v>Finance</v>
      </c>
      <c r="C3623" s="18" t="s">
        <v>18</v>
      </c>
      <c r="D3623" s="14" t="str">
        <f>IF(ISBLANK(Raw_Data!D3623),AVERAGE(Raw_Data!D$2:D$5002),Raw_Data!D3623)</f>
        <v>89675.52</v>
      </c>
      <c r="E3623" s="15" t="str">
        <f>IF(ISBLANK(Raw_Data!E3623),AVERAGE(Raw_Data!E$2:E$5002),Raw_Data!E3623)</f>
        <v>31646.54</v>
      </c>
      <c r="F3623" s="15" t="str">
        <f>IF(ISBLANK(Raw_Data!F3623),AVERAGE(Raw_Data!F$2:F$5002),Raw_Data!F3623)</f>
        <v>29554.95</v>
      </c>
      <c r="G3623" s="14" t="str">
        <f>IF(ISBLANK(Raw_Data!G3623),AVERAGE(Raw_Data!G$2:G$5002),Raw_Data!G3623)</f>
        <v>19908.81</v>
      </c>
      <c r="H3623" s="15" t="str">
        <f t="shared" si="1"/>
        <v>150877.00</v>
      </c>
      <c r="I3623" s="14" t="str">
        <f t="shared" si="2"/>
        <v>130968.00</v>
      </c>
      <c r="J3623" s="16" t="str">
        <f>TEXT(Raw_Data!J3623,"MMM-YYY")</f>
        <v>Oct-2025</v>
      </c>
      <c r="K3623" s="13" t="str">
        <f>Raw_Data!K3623</f>
        <v>21</v>
      </c>
      <c r="L3623" s="17" t="str">
        <f>Raw_Data!L3623</f>
        <v>Hyderabad-South</v>
      </c>
      <c r="M3623" s="13" t="str">
        <f t="shared" si="3"/>
        <v>OK</v>
      </c>
      <c r="N3623" s="18" t="str">
        <f t="shared" si="4"/>
        <v>VALID</v>
      </c>
    </row>
    <row r="3624" ht="15.75" customHeight="1">
      <c r="A3624" s="13" t="str">
        <f>Raw_Data!A3624</f>
        <v>EMP3827</v>
      </c>
      <c r="B3624" s="13" t="str">
        <f>TRIM(CLEAN(Raw_Data!B3624))</f>
        <v>Sales</v>
      </c>
      <c r="C3624" s="18" t="s">
        <v>54</v>
      </c>
      <c r="D3624" s="14" t="str">
        <f>IF(ISBLANK(Raw_Data!D3624),AVERAGE(Raw_Data!D$2:D$5002),Raw_Data!D3624)</f>
        <v>89686.41</v>
      </c>
      <c r="E3624" s="15" t="str">
        <f>IF(ISBLANK(Raw_Data!E3624),AVERAGE(Raw_Data!E$2:E$5002),Raw_Data!E3624)</f>
        <v>31651.15</v>
      </c>
      <c r="F3624" s="15" t="str">
        <f>IF(ISBLANK(Raw_Data!F3624),AVERAGE(Raw_Data!F$2:F$5002),Raw_Data!F3624)</f>
        <v>29562.63</v>
      </c>
      <c r="G3624" s="14" t="str">
        <f>IF(ISBLANK(Raw_Data!G3624),AVERAGE(Raw_Data!G$2:G$5002),Raw_Data!G3624)</f>
        <v>19912.21</v>
      </c>
      <c r="H3624" s="15" t="str">
        <f t="shared" si="1"/>
        <v>150900.00</v>
      </c>
      <c r="I3624" s="14" t="str">
        <f t="shared" si="2"/>
        <v>130988.00</v>
      </c>
      <c r="J3624" s="16" t="str">
        <f>TEXT(Raw_Data!J3624,"MMM-YYY")</f>
        <v>May-2025</v>
      </c>
      <c r="K3624" s="13" t="str">
        <f>Raw_Data!K3624</f>
        <v>12</v>
      </c>
      <c r="L3624" s="17" t="str">
        <f>Raw_Data!L3624</f>
        <v>Chandigarh-North</v>
      </c>
      <c r="M3624" s="13" t="str">
        <f t="shared" si="3"/>
        <v>OK</v>
      </c>
      <c r="N3624" s="18" t="str">
        <f t="shared" si="4"/>
        <v>VALID</v>
      </c>
    </row>
    <row r="3625" ht="15.75" customHeight="1">
      <c r="A3625" s="13" t="str">
        <f>Raw_Data!A3625</f>
        <v>EMP3828</v>
      </c>
      <c r="B3625" s="13" t="str">
        <f>TRIM(CLEAN(Raw_Data!B3625))</f>
        <v>Finance</v>
      </c>
      <c r="C3625" s="18" t="s">
        <v>37</v>
      </c>
      <c r="D3625" s="14" t="str">
        <f>IF(ISBLANK(Raw_Data!D3625),AVERAGE(Raw_Data!D$2:D$5002),Raw_Data!D3625)</f>
        <v>89697.29</v>
      </c>
      <c r="E3625" s="15" t="str">
        <f>IF(ISBLANK(Raw_Data!E3625),AVERAGE(Raw_Data!E$2:E$5002),Raw_Data!E3625)</f>
        <v>31655.77</v>
      </c>
      <c r="F3625" s="15" t="str">
        <f>IF(ISBLANK(Raw_Data!F3625),AVERAGE(Raw_Data!F$2:F$5002),Raw_Data!F3625)</f>
        <v>29570.31</v>
      </c>
      <c r="G3625" s="14" t="str">
        <f>IF(ISBLANK(Raw_Data!G3625),AVERAGE(Raw_Data!G$2:G$5002),Raw_Data!G3625)</f>
        <v>14562.73</v>
      </c>
      <c r="H3625" s="15" t="str">
        <f t="shared" si="1"/>
        <v>150923.00</v>
      </c>
      <c r="I3625" s="14" t="str">
        <f t="shared" si="2"/>
        <v>136360.00</v>
      </c>
      <c r="J3625" s="16" t="str">
        <f>TEXT(Raw_Data!J3625,"MMM-YYY")</f>
        <v>Jun-2025</v>
      </c>
      <c r="K3625" s="13" t="str">
        <f>Raw_Data!K3625</f>
        <v>8</v>
      </c>
      <c r="L3625" s="17" t="str">
        <f>Raw_Data!L3625</f>
        <v>Ahmedabad-West</v>
      </c>
      <c r="M3625" s="13" t="str">
        <f t="shared" si="3"/>
        <v>OK</v>
      </c>
      <c r="N3625" s="18" t="str">
        <f t="shared" si="4"/>
        <v>VALID</v>
      </c>
    </row>
    <row r="3626" ht="15.75" customHeight="1">
      <c r="A3626" s="13" t="str">
        <f>Raw_Data!A3626</f>
        <v>EMP3829</v>
      </c>
      <c r="B3626" s="13" t="str">
        <f>TRIM(CLEAN(Raw_Data!B3626))</f>
        <v>Operations</v>
      </c>
      <c r="C3626" s="18" t="s">
        <v>26</v>
      </c>
      <c r="D3626" s="14" t="str">
        <f>IF(ISBLANK(Raw_Data!D3626),AVERAGE(Raw_Data!D$2:D$5002),Raw_Data!D3626)</f>
        <v>89708.17</v>
      </c>
      <c r="E3626" s="15" t="str">
        <f>IF(ISBLANK(Raw_Data!E3626),AVERAGE(Raw_Data!E$2:E$5002),Raw_Data!E3626)</f>
        <v>31660.38</v>
      </c>
      <c r="F3626" s="15" t="str">
        <f>IF(ISBLANK(Raw_Data!F3626),AVERAGE(Raw_Data!F$2:F$5002),Raw_Data!F3626)</f>
        <v>29577.99</v>
      </c>
      <c r="G3626" s="14" t="str">
        <f>IF(ISBLANK(Raw_Data!G3626),AVERAGE(Raw_Data!G$2:G$5002),Raw_Data!G3626)</f>
        <v>19919.00</v>
      </c>
      <c r="H3626" s="15" t="str">
        <f t="shared" si="1"/>
        <v>150947.00</v>
      </c>
      <c r="I3626" s="14" t="str">
        <f t="shared" si="2"/>
        <v>131028.00</v>
      </c>
      <c r="J3626" s="16" t="str">
        <f>TEXT(Raw_Data!J3626,"MMM-YYY")</f>
        <v>Jan-2025</v>
      </c>
      <c r="K3626" s="13" t="str">
        <f>Raw_Data!K3626</f>
        <v>19</v>
      </c>
      <c r="L3626" s="17" t="str">
        <f>Raw_Data!L3626</f>
        <v>Jaipur-North</v>
      </c>
      <c r="M3626" s="13" t="str">
        <f t="shared" si="3"/>
        <v>OK</v>
      </c>
      <c r="N3626" s="18" t="str">
        <f t="shared" si="4"/>
        <v>VALID</v>
      </c>
    </row>
    <row r="3627" ht="15.75" customHeight="1">
      <c r="A3627" s="13" t="str">
        <f>Raw_Data!A3627</f>
        <v>EMP3830</v>
      </c>
      <c r="B3627" s="13" t="str">
        <f>TRIM(CLEAN(Raw_Data!B3627))</f>
        <v>HR</v>
      </c>
      <c r="C3627" s="18" t="s">
        <v>14</v>
      </c>
      <c r="D3627" s="14" t="str">
        <f>IF(ISBLANK(Raw_Data!D3627),AVERAGE(Raw_Data!D$2:D$5002),Raw_Data!D3627)</f>
        <v>89719.05</v>
      </c>
      <c r="E3627" s="15" t="str">
        <f>IF(ISBLANK(Raw_Data!E3627),AVERAGE(Raw_Data!E$2:E$5002),Raw_Data!E3627)</f>
        <v>31665.00</v>
      </c>
      <c r="F3627" s="15" t="str">
        <f>IF(ISBLANK(Raw_Data!F3627),AVERAGE(Raw_Data!F$2:F$5002),Raw_Data!F3627)</f>
        <v>29585.67</v>
      </c>
      <c r="G3627" s="14" t="str">
        <f>IF(ISBLANK(Raw_Data!G3627),AVERAGE(Raw_Data!G$2:G$5002),Raw_Data!G3627)</f>
        <v>19922.40</v>
      </c>
      <c r="H3627" s="15" t="str">
        <f t="shared" si="1"/>
        <v>150970.00</v>
      </c>
      <c r="I3627" s="14" t="str">
        <f t="shared" si="2"/>
        <v>131048.00</v>
      </c>
      <c r="J3627" s="16" t="str">
        <f>TEXT(Raw_Data!J3627,"MMM-YYY")</f>
        <v>Aug-2025</v>
      </c>
      <c r="K3627" s="13" t="str">
        <f>Raw_Data!K3627</f>
        <v>10</v>
      </c>
      <c r="L3627" s="17" t="str">
        <f>Raw_Data!L3627</f>
        <v>Mumbai-HO</v>
      </c>
      <c r="M3627" s="13" t="str">
        <f t="shared" si="3"/>
        <v>OK</v>
      </c>
      <c r="N3627" s="18" t="str">
        <f t="shared" si="4"/>
        <v>VALID</v>
      </c>
    </row>
    <row r="3628" ht="15.75" customHeight="1">
      <c r="A3628" s="13" t="str">
        <f>Raw_Data!A3628</f>
        <v>EMP3831</v>
      </c>
      <c r="B3628" s="13" t="str">
        <f>TRIM(CLEAN(Raw_Data!B3628))</f>
        <v>Customer Support</v>
      </c>
      <c r="C3628" s="18" t="s">
        <v>18</v>
      </c>
      <c r="D3628" s="14" t="str">
        <f>IF(ISBLANK(Raw_Data!D3628),AVERAGE(Raw_Data!D$2:D$5002),Raw_Data!D3628)</f>
        <v>89729.94</v>
      </c>
      <c r="E3628" s="15" t="str">
        <f>IF(ISBLANK(Raw_Data!E3628),AVERAGE(Raw_Data!E$2:E$5002),Raw_Data!E3628)</f>
        <v>31669.61</v>
      </c>
      <c r="F3628" s="15" t="str">
        <f>IF(ISBLANK(Raw_Data!F3628),AVERAGE(Raw_Data!F$2:F$5002),Raw_Data!F3628)</f>
        <v>29593.35</v>
      </c>
      <c r="G3628" s="14" t="str">
        <f>IF(ISBLANK(Raw_Data!G3628),AVERAGE(Raw_Data!G$2:G$5002),Raw_Data!G3628)</f>
        <v>19925.80</v>
      </c>
      <c r="H3628" s="15" t="str">
        <f t="shared" si="1"/>
        <v>150993.00</v>
      </c>
      <c r="I3628" s="14" t="str">
        <f t="shared" si="2"/>
        <v>131067.00</v>
      </c>
      <c r="J3628" s="16" t="str">
        <f>TEXT(Raw_Data!J3628,"MMM-YYY")</f>
        <v>Oct-2025</v>
      </c>
      <c r="K3628" s="13" t="str">
        <f>Raw_Data!K3628</f>
        <v>21</v>
      </c>
      <c r="L3628" s="17" t="str">
        <f>Raw_Data!L3628</f>
        <v>Delhi-North</v>
      </c>
      <c r="M3628" s="13" t="str">
        <f t="shared" si="3"/>
        <v>OK</v>
      </c>
      <c r="N3628" s="18" t="str">
        <f t="shared" si="4"/>
        <v>VALID</v>
      </c>
    </row>
    <row r="3629" ht="15.75" customHeight="1">
      <c r="A3629" s="13" t="str">
        <f>Raw_Data!A3629</f>
        <v>EMP3833</v>
      </c>
      <c r="B3629" s="13" t="str">
        <f>TRIM(CLEAN(Raw_Data!B3629))</f>
        <v>Finance</v>
      </c>
      <c r="C3629" s="18" t="s">
        <v>14</v>
      </c>
      <c r="D3629" s="14" t="str">
        <f>IF(ISBLANK(Raw_Data!D3629),AVERAGE(Raw_Data!D$2:D$5002),Raw_Data!D3629)</f>
        <v>89751.70</v>
      </c>
      <c r="E3629" s="15" t="str">
        <f>IF(ISBLANK(Raw_Data!E3629),AVERAGE(Raw_Data!E$2:E$5002),Raw_Data!E3629)</f>
        <v>31678.84</v>
      </c>
      <c r="F3629" s="15" t="str">
        <f>IF(ISBLANK(Raw_Data!F3629),AVERAGE(Raw_Data!F$2:F$5002),Raw_Data!F3629)</f>
        <v>29608.71</v>
      </c>
      <c r="G3629" s="14" t="str">
        <f>IF(ISBLANK(Raw_Data!G3629),AVERAGE(Raw_Data!G$2:G$5002),Raw_Data!G3629)</f>
        <v>19932.59</v>
      </c>
      <c r="H3629" s="15" t="str">
        <f t="shared" si="1"/>
        <v>151039.00</v>
      </c>
      <c r="I3629" s="14" t="str">
        <f t="shared" si="2"/>
        <v>131106.00</v>
      </c>
      <c r="J3629" s="16" t="str">
        <f>TEXT(Raw_Data!J3629,"MMM-YYY")</f>
        <v>Nov-2025</v>
      </c>
      <c r="K3629" s="13" t="str">
        <f>Raw_Data!K3629</f>
        <v>1</v>
      </c>
      <c r="L3629" s="17" t="str">
        <f>Raw_Data!L3629</f>
        <v>Chennai-South</v>
      </c>
      <c r="M3629" s="13" t="str">
        <f t="shared" si="3"/>
        <v>OK</v>
      </c>
      <c r="N3629" s="18" t="str">
        <f t="shared" si="4"/>
        <v>VALID</v>
      </c>
    </row>
    <row r="3630" ht="15.75" customHeight="1">
      <c r="A3630" s="13" t="str">
        <f>Raw_Data!A3630</f>
        <v>EMP3834</v>
      </c>
      <c r="B3630" s="13" t="str">
        <f>TRIM(CLEAN(Raw_Data!B3630))</f>
        <v>Customer Support</v>
      </c>
      <c r="C3630" s="18" t="s">
        <v>18</v>
      </c>
      <c r="D3630" s="14" t="str">
        <f>IF(ISBLANK(Raw_Data!D3630),AVERAGE(Raw_Data!D$2:D$5002),Raw_Data!D3630)</f>
        <v>89762.59</v>
      </c>
      <c r="E3630" s="15" t="str">
        <f>IF(ISBLANK(Raw_Data!E3630),AVERAGE(Raw_Data!E$2:E$5002),Raw_Data!E3630)</f>
        <v>31683.45</v>
      </c>
      <c r="F3630" s="15" t="str">
        <f>IF(ISBLANK(Raw_Data!F3630),AVERAGE(Raw_Data!F$2:F$5002),Raw_Data!F3630)</f>
        <v>29616.39</v>
      </c>
      <c r="G3630" s="14" t="str">
        <f>IF(ISBLANK(Raw_Data!G3630),AVERAGE(Raw_Data!G$2:G$5002),Raw_Data!G3630)</f>
        <v>19935.99</v>
      </c>
      <c r="H3630" s="15" t="str">
        <f t="shared" si="1"/>
        <v>151062.00</v>
      </c>
      <c r="I3630" s="14" t="str">
        <f t="shared" si="2"/>
        <v>131126.00</v>
      </c>
      <c r="J3630" s="16" t="str">
        <f>TEXT(Raw_Data!J3630,"MMM-YYY")</f>
        <v>Jun-2025</v>
      </c>
      <c r="K3630" s="13" t="str">
        <f>Raw_Data!K3630</f>
        <v>11</v>
      </c>
      <c r="L3630" s="17" t="str">
        <f>Raw_Data!L3630</f>
        <v>Kolkata-East</v>
      </c>
      <c r="M3630" s="13" t="str">
        <f t="shared" si="3"/>
        <v>OK</v>
      </c>
      <c r="N3630" s="18" t="str">
        <f t="shared" si="4"/>
        <v>VALID</v>
      </c>
    </row>
    <row r="3631" ht="15.75" customHeight="1">
      <c r="A3631" s="13" t="str">
        <f>Raw_Data!A3631</f>
        <v>EMP3835</v>
      </c>
      <c r="B3631" s="13" t="str">
        <f>TRIM(CLEAN(Raw_Data!B3631))</f>
        <v>HR</v>
      </c>
      <c r="C3631" s="18" t="s">
        <v>37</v>
      </c>
      <c r="D3631" s="14" t="str">
        <f>IF(ISBLANK(Raw_Data!D3631),AVERAGE(Raw_Data!D$2:D$5002),Raw_Data!D3631)</f>
        <v>89773.47</v>
      </c>
      <c r="E3631" s="15" t="str">
        <f>IF(ISBLANK(Raw_Data!E3631),AVERAGE(Raw_Data!E$2:E$5002),Raw_Data!E3631)</f>
        <v>31688.07</v>
      </c>
      <c r="F3631" s="15" t="str">
        <f>IF(ISBLANK(Raw_Data!F3631),AVERAGE(Raw_Data!F$2:F$5002),Raw_Data!F3631)</f>
        <v>29624.07</v>
      </c>
      <c r="G3631" s="14" t="str">
        <f>IF(ISBLANK(Raw_Data!G3631),AVERAGE(Raw_Data!G$2:G$5002),Raw_Data!G3631)</f>
        <v>19939.39</v>
      </c>
      <c r="H3631" s="15" t="str">
        <f t="shared" si="1"/>
        <v>151086.00</v>
      </c>
      <c r="I3631" s="14" t="str">
        <f t="shared" si="2"/>
        <v>131147.00</v>
      </c>
      <c r="J3631" s="16" t="str">
        <f>TEXT(Raw_Data!J3631,"MMM-YYY")</f>
        <v>Sep-2025</v>
      </c>
      <c r="K3631" s="13" t="str">
        <f>Raw_Data!K3631</f>
        <v>18</v>
      </c>
      <c r="L3631" s="17" t="str">
        <f>Raw_Data!L3631</f>
        <v>Pune-West</v>
      </c>
      <c r="M3631" s="13" t="str">
        <f t="shared" si="3"/>
        <v>OK</v>
      </c>
      <c r="N3631" s="18" t="str">
        <f t="shared" si="4"/>
        <v>VALID</v>
      </c>
    </row>
    <row r="3632" ht="15.75" customHeight="1">
      <c r="A3632" s="13" t="str">
        <f>Raw_Data!A3632</f>
        <v>EMP3836</v>
      </c>
      <c r="B3632" s="13" t="str">
        <f>TRIM(CLEAN(Raw_Data!B3632))</f>
        <v>Sales</v>
      </c>
      <c r="C3632" s="18" t="s">
        <v>26</v>
      </c>
      <c r="D3632" s="14" t="str">
        <f>IF(ISBLANK(Raw_Data!D3632),AVERAGE(Raw_Data!D$2:D$5002),Raw_Data!D3632)</f>
        <v>89784.35</v>
      </c>
      <c r="E3632" s="15" t="str">
        <f>IF(ISBLANK(Raw_Data!E3632),AVERAGE(Raw_Data!E$2:E$5002),Raw_Data!E3632)</f>
        <v>31692.68</v>
      </c>
      <c r="F3632" s="15" t="str">
        <f>IF(ISBLANK(Raw_Data!F3632),AVERAGE(Raw_Data!F$2:F$5002),Raw_Data!F3632)</f>
        <v>29631.75</v>
      </c>
      <c r="G3632" s="14" t="str">
        <f>IF(ISBLANK(Raw_Data!G3632),AVERAGE(Raw_Data!G$2:G$5002),Raw_Data!G3632)</f>
        <v>19942.78</v>
      </c>
      <c r="H3632" s="15" t="str">
        <f t="shared" si="1"/>
        <v>151109.00</v>
      </c>
      <c r="I3632" s="14" t="str">
        <f t="shared" si="2"/>
        <v>131166.00</v>
      </c>
      <c r="J3632" s="16" t="str">
        <f>TEXT(Raw_Data!J3632,"MMM-YYY")</f>
        <v>Sep-2025</v>
      </c>
      <c r="K3632" s="13" t="str">
        <f>Raw_Data!K3632</f>
        <v>21</v>
      </c>
      <c r="L3632" s="17" t="str">
        <f>Raw_Data!L3632</f>
        <v>Hyderabad-South</v>
      </c>
      <c r="M3632" s="13" t="str">
        <f t="shared" si="3"/>
        <v>OK</v>
      </c>
      <c r="N3632" s="18" t="str">
        <f t="shared" si="4"/>
        <v>VALID</v>
      </c>
    </row>
    <row r="3633" ht="15.75" customHeight="1">
      <c r="A3633" s="13" t="str">
        <f>Raw_Data!A3633</f>
        <v>EMP3837</v>
      </c>
      <c r="B3633" s="13" t="str">
        <f>TRIM(CLEAN(Raw_Data!B3633))</f>
        <v>HR</v>
      </c>
      <c r="C3633" s="18" t="s">
        <v>30</v>
      </c>
      <c r="D3633" s="14" t="str">
        <f>IF(ISBLANK(Raw_Data!D3633),AVERAGE(Raw_Data!D$2:D$5002),Raw_Data!D3633)</f>
        <v>89795.24</v>
      </c>
      <c r="E3633" s="15" t="str">
        <f>IF(ISBLANK(Raw_Data!E3633),AVERAGE(Raw_Data!E$2:E$5002),Raw_Data!E3633)</f>
        <v>31697.30</v>
      </c>
      <c r="F3633" s="15" t="str">
        <f>IF(ISBLANK(Raw_Data!F3633),AVERAGE(Raw_Data!F$2:F$5002),Raw_Data!F3633)</f>
        <v>29639.43</v>
      </c>
      <c r="G3633" s="14" t="str">
        <f>IF(ISBLANK(Raw_Data!G3633),AVERAGE(Raw_Data!G$2:G$5002),Raw_Data!G3633)</f>
        <v>19946.18</v>
      </c>
      <c r="H3633" s="15" t="str">
        <f t="shared" si="1"/>
        <v>151132.00</v>
      </c>
      <c r="I3633" s="14" t="str">
        <f t="shared" si="2"/>
        <v>131186.00</v>
      </c>
      <c r="J3633" s="16" t="str">
        <f>TEXT(Raw_Data!J3633,"MMM-YYY")</f>
        <v>Nov-2025</v>
      </c>
      <c r="K3633" s="13" t="str">
        <f>Raw_Data!K3633</f>
        <v>6</v>
      </c>
      <c r="L3633" s="17" t="str">
        <f>Raw_Data!L3633</f>
        <v>Chandigarh-North</v>
      </c>
      <c r="M3633" s="13" t="str">
        <f t="shared" si="3"/>
        <v>OK</v>
      </c>
      <c r="N3633" s="18" t="str">
        <f t="shared" si="4"/>
        <v>VALID</v>
      </c>
    </row>
    <row r="3634" ht="15.75" customHeight="1">
      <c r="A3634" s="13" t="str">
        <f>Raw_Data!A3634</f>
        <v>EMP3838</v>
      </c>
      <c r="B3634" s="13" t="str">
        <f>TRIM(CLEAN(Raw_Data!B3634))</f>
        <v>Operations</v>
      </c>
      <c r="C3634" s="18" t="s">
        <v>33</v>
      </c>
      <c r="D3634" s="14" t="str">
        <f>IF(ISBLANK(Raw_Data!D3634),AVERAGE(Raw_Data!D$2:D$5002),Raw_Data!D3634)</f>
        <v>89806.12</v>
      </c>
      <c r="E3634" s="15" t="str">
        <f>IF(ISBLANK(Raw_Data!E3634),AVERAGE(Raw_Data!E$2:E$5002),Raw_Data!E3634)</f>
        <v>31701.91</v>
      </c>
      <c r="F3634" s="15" t="str">
        <f>IF(ISBLANK(Raw_Data!F3634),AVERAGE(Raw_Data!F$2:F$5002),Raw_Data!F3634)</f>
        <v>29647.11</v>
      </c>
      <c r="G3634" s="14" t="str">
        <f>IF(ISBLANK(Raw_Data!G3634),AVERAGE(Raw_Data!G$2:G$5002),Raw_Data!G3634)</f>
        <v>19949.58</v>
      </c>
      <c r="H3634" s="15" t="str">
        <f t="shared" si="1"/>
        <v>151155.00</v>
      </c>
      <c r="I3634" s="14" t="str">
        <f t="shared" si="2"/>
        <v>131205.00</v>
      </c>
      <c r="J3634" s="16" t="str">
        <f>TEXT(Raw_Data!J3634,"MMM-YYY")</f>
        <v>Apr-2025</v>
      </c>
      <c r="K3634" s="13" t="str">
        <f>Raw_Data!K3634</f>
        <v>19</v>
      </c>
      <c r="L3634" s="17" t="str">
        <f>Raw_Data!L3634</f>
        <v>Ahmedabad-West</v>
      </c>
      <c r="M3634" s="13" t="str">
        <f t="shared" si="3"/>
        <v>OK</v>
      </c>
      <c r="N3634" s="18" t="str">
        <f t="shared" si="4"/>
        <v>VALID</v>
      </c>
    </row>
    <row r="3635" ht="15.75" customHeight="1">
      <c r="A3635" s="13" t="str">
        <f>Raw_Data!A3635</f>
        <v>EMP3839</v>
      </c>
      <c r="B3635" s="13" t="str">
        <f>TRIM(CLEAN(Raw_Data!B3635))</f>
        <v>Sales</v>
      </c>
      <c r="C3635" s="18" t="s">
        <v>18</v>
      </c>
      <c r="D3635" s="14" t="str">
        <f>IF(ISBLANK(Raw_Data!D3635),AVERAGE(Raw_Data!D$2:D$5002),Raw_Data!D3635)</f>
        <v>89817.00</v>
      </c>
      <c r="E3635" s="15" t="str">
        <f>IF(ISBLANK(Raw_Data!E3635),AVERAGE(Raw_Data!E$2:E$5002),Raw_Data!E3635)</f>
        <v>31706.53</v>
      </c>
      <c r="F3635" s="15" t="str">
        <f>IF(ISBLANK(Raw_Data!F3635),AVERAGE(Raw_Data!F$2:F$5002),Raw_Data!F3635)</f>
        <v>29654.79</v>
      </c>
      <c r="G3635" s="14" t="str">
        <f>IF(ISBLANK(Raw_Data!G3635),AVERAGE(Raw_Data!G$2:G$5002),Raw_Data!G3635)</f>
        <v>19952.98</v>
      </c>
      <c r="H3635" s="15" t="str">
        <f t="shared" si="1"/>
        <v>151178.00</v>
      </c>
      <c r="I3635" s="14" t="str">
        <f t="shared" si="2"/>
        <v>131225.00</v>
      </c>
      <c r="J3635" s="16" t="str">
        <f>TEXT(Raw_Data!J3635,"MMM-YYY")</f>
        <v>Jun-2025</v>
      </c>
      <c r="K3635" s="13" t="str">
        <f>Raw_Data!K3635</f>
        <v>3</v>
      </c>
      <c r="L3635" s="17" t="str">
        <f>Raw_Data!L3635</f>
        <v>Jaipur-North</v>
      </c>
      <c r="M3635" s="13" t="str">
        <f t="shared" si="3"/>
        <v>OK</v>
      </c>
      <c r="N3635" s="18" t="str">
        <f t="shared" si="4"/>
        <v>VALID</v>
      </c>
    </row>
    <row r="3636" ht="15.75" customHeight="1">
      <c r="A3636" s="13" t="str">
        <f>Raw_Data!A3636</f>
        <v>EMP3840</v>
      </c>
      <c r="B3636" s="13" t="str">
        <f>TRIM(CLEAN(Raw_Data!B3636))</f>
        <v>Operations</v>
      </c>
      <c r="C3636" s="18" t="s">
        <v>54</v>
      </c>
      <c r="D3636" s="14" t="str">
        <f>IF(ISBLANK(Raw_Data!D3636),AVERAGE(Raw_Data!D$2:D$5002),Raw_Data!D3636)</f>
        <v>89827.88</v>
      </c>
      <c r="E3636" s="15" t="str">
        <f>IF(ISBLANK(Raw_Data!E3636),AVERAGE(Raw_Data!E$2:E$5002),Raw_Data!E3636)</f>
        <v>31711.14</v>
      </c>
      <c r="F3636" s="15" t="str">
        <f>IF(ISBLANK(Raw_Data!F3636),AVERAGE(Raw_Data!F$2:F$5002),Raw_Data!F3636)</f>
        <v>29662.47</v>
      </c>
      <c r="G3636" s="14" t="str">
        <f>IF(ISBLANK(Raw_Data!G3636),AVERAGE(Raw_Data!G$2:G$5002),Raw_Data!G3636)</f>
        <v>19956.37</v>
      </c>
      <c r="H3636" s="15" t="str">
        <f t="shared" si="1"/>
        <v>151201.00</v>
      </c>
      <c r="I3636" s="14" t="str">
        <f t="shared" si="2"/>
        <v>131245.00</v>
      </c>
      <c r="J3636" s="16" t="str">
        <f>TEXT(Raw_Data!J3636,"MMM-YYY")</f>
        <v>Aug-2025</v>
      </c>
      <c r="K3636" s="13" t="str">
        <f>Raw_Data!K3636</f>
        <v>19</v>
      </c>
      <c r="L3636" s="17" t="str">
        <f>Raw_Data!L3636</f>
        <v>Mumbai-HO</v>
      </c>
      <c r="M3636" s="13" t="str">
        <f t="shared" si="3"/>
        <v>OK</v>
      </c>
      <c r="N3636" s="18" t="str">
        <f t="shared" si="4"/>
        <v>VALID</v>
      </c>
    </row>
    <row r="3637" ht="15.75" customHeight="1">
      <c r="A3637" s="13" t="str">
        <f>Raw_Data!A3637</f>
        <v>EMP3841</v>
      </c>
      <c r="B3637" s="13" t="s">
        <v>25</v>
      </c>
      <c r="C3637" s="18" t="s">
        <v>18</v>
      </c>
      <c r="D3637" s="14" t="str">
        <f>IF(ISBLANK(Raw_Data!D3637),AVERAGE(Raw_Data!D$2:D$5002),Raw_Data!D3637)</f>
        <v>89838.77</v>
      </c>
      <c r="E3637" s="15" t="str">
        <f>IF(ISBLANK(Raw_Data!E3637),AVERAGE(Raw_Data!E$2:E$5002),Raw_Data!E3637)</f>
        <v>31715.76</v>
      </c>
      <c r="F3637" s="15" t="str">
        <f>IF(ISBLANK(Raw_Data!F3637),AVERAGE(Raw_Data!F$2:F$5002),Raw_Data!F3637)</f>
        <v>29670.15</v>
      </c>
      <c r="G3637" s="14" t="str">
        <f>IF(ISBLANK(Raw_Data!G3637),AVERAGE(Raw_Data!G$2:G$5002),Raw_Data!G3637)</f>
        <v>19959.77</v>
      </c>
      <c r="H3637" s="15" t="str">
        <f t="shared" si="1"/>
        <v>151225.00</v>
      </c>
      <c r="I3637" s="14" t="str">
        <f t="shared" si="2"/>
        <v>131265.00</v>
      </c>
      <c r="J3637" s="16" t="str">
        <f>TEXT(Raw_Data!J3637,"MMM-YYY")</f>
        <v>Dec-2025</v>
      </c>
      <c r="K3637" s="13" t="str">
        <f>Raw_Data!K3637</f>
        <v>11</v>
      </c>
      <c r="L3637" s="17" t="str">
        <f>Raw_Data!L3637</f>
        <v>Delhi-North</v>
      </c>
      <c r="M3637" s="13" t="str">
        <f t="shared" si="3"/>
        <v>OK</v>
      </c>
      <c r="N3637" s="18" t="str">
        <f t="shared" si="4"/>
        <v>VALID</v>
      </c>
    </row>
    <row r="3638" ht="15.75" customHeight="1">
      <c r="A3638" s="13" t="str">
        <f>Raw_Data!A3638</f>
        <v>EMP3842</v>
      </c>
      <c r="B3638" s="13" t="str">
        <f>TRIM(CLEAN(Raw_Data!B3638))</f>
        <v>Marketing</v>
      </c>
      <c r="C3638" s="18" t="s">
        <v>14</v>
      </c>
      <c r="D3638" s="14" t="str">
        <f>IF(ISBLANK(Raw_Data!D3638),AVERAGE(Raw_Data!D$2:D$5002),Raw_Data!D3638)</f>
        <v>89849.65</v>
      </c>
      <c r="E3638" s="15" t="str">
        <f>IF(ISBLANK(Raw_Data!E3638),AVERAGE(Raw_Data!E$2:E$5002),Raw_Data!E3638)</f>
        <v>31720.37</v>
      </c>
      <c r="F3638" s="15" t="str">
        <f>IF(ISBLANK(Raw_Data!F3638),AVERAGE(Raw_Data!F$2:F$5002),Raw_Data!F3638)</f>
        <v>29677.83</v>
      </c>
      <c r="G3638" s="14" t="str">
        <f>IF(ISBLANK(Raw_Data!G3638),AVERAGE(Raw_Data!G$2:G$5002),Raw_Data!G3638)</f>
        <v>19963.17</v>
      </c>
      <c r="H3638" s="15" t="str">
        <f t="shared" si="1"/>
        <v>151248.00</v>
      </c>
      <c r="I3638" s="14" t="str">
        <f t="shared" si="2"/>
        <v>131285.00</v>
      </c>
      <c r="J3638" s="16" t="str">
        <f>TEXT(Raw_Data!J3638,"MMM-YYY")</f>
        <v>Sep-2025</v>
      </c>
      <c r="K3638" s="13" t="str">
        <f>Raw_Data!K3638</f>
        <v>9</v>
      </c>
      <c r="L3638" s="17" t="str">
        <f>Raw_Data!L3638</f>
        <v>Bangalore-South</v>
      </c>
      <c r="M3638" s="13" t="str">
        <f t="shared" si="3"/>
        <v>OK</v>
      </c>
      <c r="N3638" s="18" t="str">
        <f t="shared" si="4"/>
        <v>VALID</v>
      </c>
    </row>
    <row r="3639" ht="15.75" customHeight="1">
      <c r="A3639" s="13" t="str">
        <f>Raw_Data!A3639</f>
        <v>EMP3843</v>
      </c>
      <c r="B3639" s="13" t="str">
        <f>TRIM(CLEAN(Raw_Data!B3639))</f>
        <v>Marketing</v>
      </c>
      <c r="C3639" s="18" t="s">
        <v>30</v>
      </c>
      <c r="D3639" s="14" t="str">
        <f>IF(ISBLANK(Raw_Data!D3639),AVERAGE(Raw_Data!D$2:D$5002),Raw_Data!D3639)</f>
        <v>89860.53</v>
      </c>
      <c r="E3639" s="15" t="str">
        <f>IF(ISBLANK(Raw_Data!E3639),AVERAGE(Raw_Data!E$2:E$5002),Raw_Data!E3639)</f>
        <v>31724.99</v>
      </c>
      <c r="F3639" s="15" t="str">
        <f>IF(ISBLANK(Raw_Data!F3639),AVERAGE(Raw_Data!F$2:F$5002),Raw_Data!F3639)</f>
        <v>29685.51</v>
      </c>
      <c r="G3639" s="14" t="str">
        <f>IF(ISBLANK(Raw_Data!G3639),AVERAGE(Raw_Data!G$2:G$5002),Raw_Data!G3639)</f>
        <v>19966.57</v>
      </c>
      <c r="H3639" s="15" t="str">
        <f t="shared" si="1"/>
        <v>151271.00</v>
      </c>
      <c r="I3639" s="14" t="str">
        <f t="shared" si="2"/>
        <v>131304.00</v>
      </c>
      <c r="J3639" s="16" t="str">
        <f>TEXT(Raw_Data!J3639,"MMM-YYY")</f>
        <v>Jul-2025</v>
      </c>
      <c r="K3639" s="13" t="str">
        <f>Raw_Data!K3639</f>
        <v>12</v>
      </c>
      <c r="L3639" s="17" t="str">
        <f>Raw_Data!L3639</f>
        <v>Chennai-South</v>
      </c>
      <c r="M3639" s="13" t="str">
        <f t="shared" si="3"/>
        <v>OK</v>
      </c>
      <c r="N3639" s="18" t="str">
        <f t="shared" si="4"/>
        <v>VALID</v>
      </c>
    </row>
    <row r="3640" ht="15.75" customHeight="1">
      <c r="A3640" s="13" t="str">
        <f>Raw_Data!A3640</f>
        <v>EMP3844</v>
      </c>
      <c r="B3640" s="13" t="str">
        <f>TRIM(CLEAN(Raw_Data!B3640))</f>
        <v>HR</v>
      </c>
      <c r="C3640" s="18" t="s">
        <v>18</v>
      </c>
      <c r="D3640" s="14" t="str">
        <f>IF(ISBLANK(Raw_Data!D3640),AVERAGE(Raw_Data!D$2:D$5002),Raw_Data!D3640)</f>
        <v>89871.42</v>
      </c>
      <c r="E3640" s="15" t="str">
        <f>IF(ISBLANK(Raw_Data!E3640),AVERAGE(Raw_Data!E$2:E$5002),Raw_Data!E3640)</f>
        <v>31729.60</v>
      </c>
      <c r="F3640" s="15" t="str">
        <f>IF(ISBLANK(Raw_Data!F3640),AVERAGE(Raw_Data!F$2:F$5002),Raw_Data!F3640)</f>
        <v>29693.19</v>
      </c>
      <c r="G3640" s="14" t="str">
        <f>IF(ISBLANK(Raw_Data!G3640),AVERAGE(Raw_Data!G$2:G$5002),Raw_Data!G3640)</f>
        <v>19969.96</v>
      </c>
      <c r="H3640" s="15" t="str">
        <f t="shared" si="1"/>
        <v>151294.00</v>
      </c>
      <c r="I3640" s="14" t="str">
        <f t="shared" si="2"/>
        <v>131324.00</v>
      </c>
      <c r="J3640" s="16" t="str">
        <f>TEXT(Raw_Data!J3640,"MMM-YYY")</f>
        <v>Feb-2025</v>
      </c>
      <c r="K3640" s="13" t="str">
        <f>Raw_Data!K3640</f>
        <v>13</v>
      </c>
      <c r="L3640" s="17" t="str">
        <f>Raw_Data!L3640</f>
        <v>Kolkata-East</v>
      </c>
      <c r="M3640" s="13" t="str">
        <f t="shared" si="3"/>
        <v>OK</v>
      </c>
      <c r="N3640" s="18" t="str">
        <f t="shared" si="4"/>
        <v>VALID</v>
      </c>
    </row>
    <row r="3641" ht="15.75" customHeight="1">
      <c r="A3641" s="13" t="str">
        <f>Raw_Data!A3641</f>
        <v>EMP3846</v>
      </c>
      <c r="B3641" s="13" t="str">
        <f>TRIM(CLEAN(Raw_Data!B3641))</f>
        <v>IT</v>
      </c>
      <c r="C3641" s="18" t="s">
        <v>14</v>
      </c>
      <c r="D3641" s="14" t="str">
        <f>IF(ISBLANK(Raw_Data!D3641),AVERAGE(Raw_Data!D$2:D$5002),Raw_Data!D3641)</f>
        <v>89893.18</v>
      </c>
      <c r="E3641" s="15" t="str">
        <f>IF(ISBLANK(Raw_Data!E3641),AVERAGE(Raw_Data!E$2:E$5002),Raw_Data!E3641)</f>
        <v>31738.83</v>
      </c>
      <c r="F3641" s="15" t="str">
        <f>IF(ISBLANK(Raw_Data!F3641),AVERAGE(Raw_Data!F$2:F$5002),Raw_Data!F3641)</f>
        <v>29708.55</v>
      </c>
      <c r="G3641" s="14" t="str">
        <f>IF(ISBLANK(Raw_Data!G3641),AVERAGE(Raw_Data!G$2:G$5002),Raw_Data!G3641)</f>
        <v>19976.76</v>
      </c>
      <c r="H3641" s="15" t="str">
        <f t="shared" si="1"/>
        <v>151341.00</v>
      </c>
      <c r="I3641" s="14" t="str">
        <f t="shared" si="2"/>
        <v>131364.00</v>
      </c>
      <c r="J3641" s="16" t="str">
        <f>TEXT(Raw_Data!J3641,"MMM-YYY")</f>
        <v>Apr-2025</v>
      </c>
      <c r="K3641" s="13" t="str">
        <f>Raw_Data!K3641</f>
        <v>15</v>
      </c>
      <c r="L3641" s="17" t="str">
        <f>Raw_Data!L3641</f>
        <v>Hyderabad-South</v>
      </c>
      <c r="M3641" s="13" t="str">
        <f t="shared" si="3"/>
        <v>OK</v>
      </c>
      <c r="N3641" s="18" t="str">
        <f t="shared" si="4"/>
        <v>VALID</v>
      </c>
    </row>
    <row r="3642" ht="15.75" customHeight="1">
      <c r="A3642" s="13" t="str">
        <f>Raw_Data!A3642</f>
        <v>EMP3847</v>
      </c>
      <c r="B3642" s="13" t="str">
        <f>TRIM(CLEAN(Raw_Data!B3642))</f>
        <v>Customer Support</v>
      </c>
      <c r="C3642" s="18" t="s">
        <v>30</v>
      </c>
      <c r="D3642" s="14" t="str">
        <f>IF(ISBLANK(Raw_Data!D3642),AVERAGE(Raw_Data!D$2:D$5002),Raw_Data!D3642)</f>
        <v>89904.06</v>
      </c>
      <c r="E3642" s="15" t="str">
        <f>IF(ISBLANK(Raw_Data!E3642),AVERAGE(Raw_Data!E$2:E$5002),Raw_Data!E3642)</f>
        <v>31743.45</v>
      </c>
      <c r="F3642" s="15" t="str">
        <f>IF(ISBLANK(Raw_Data!F3642),AVERAGE(Raw_Data!F$2:F$5002),Raw_Data!F3642)</f>
        <v>29716.23</v>
      </c>
      <c r="G3642" s="14" t="str">
        <f>IF(ISBLANK(Raw_Data!G3642),AVERAGE(Raw_Data!G$2:G$5002),Raw_Data!G3642)</f>
        <v>19980.16</v>
      </c>
      <c r="H3642" s="15" t="str">
        <f t="shared" si="1"/>
        <v>151364.00</v>
      </c>
      <c r="I3642" s="14" t="str">
        <f t="shared" si="2"/>
        <v>131384.00</v>
      </c>
      <c r="J3642" s="16" t="str">
        <f>TEXT(Raw_Data!J3642,"MMM-YYY")</f>
        <v>Oct-2025</v>
      </c>
      <c r="K3642" s="13" t="str">
        <f>Raw_Data!K3642</f>
        <v>17</v>
      </c>
      <c r="L3642" s="17" t="str">
        <f>Raw_Data!L3642</f>
        <v>Chandigarh-North</v>
      </c>
      <c r="M3642" s="13" t="str">
        <f t="shared" si="3"/>
        <v>OK</v>
      </c>
      <c r="N3642" s="18" t="str">
        <f t="shared" si="4"/>
        <v>VALID</v>
      </c>
    </row>
    <row r="3643" ht="15.75" customHeight="1">
      <c r="A3643" s="13" t="str">
        <f>Raw_Data!A3643</f>
        <v>EMP3848</v>
      </c>
      <c r="B3643" s="13" t="str">
        <f>TRIM(CLEAN(Raw_Data!B3643))</f>
        <v>Operations</v>
      </c>
      <c r="C3643" s="18" t="s">
        <v>33</v>
      </c>
      <c r="D3643" s="14" t="str">
        <f>IF(ISBLANK(Raw_Data!D3643),AVERAGE(Raw_Data!D$2:D$5002),Raw_Data!D3643)</f>
        <v>89914.95</v>
      </c>
      <c r="E3643" s="15" t="str">
        <f>IF(ISBLANK(Raw_Data!E3643),AVERAGE(Raw_Data!E$2:E$5002),Raw_Data!E3643)</f>
        <v>31748.06</v>
      </c>
      <c r="F3643" s="15" t="str">
        <f>IF(ISBLANK(Raw_Data!F3643),AVERAGE(Raw_Data!F$2:F$5002),Raw_Data!F3643)</f>
        <v>29723.91</v>
      </c>
      <c r="G3643" s="14" t="str">
        <f>IF(ISBLANK(Raw_Data!G3643),AVERAGE(Raw_Data!G$2:G$5002),Raw_Data!G3643)</f>
        <v>19983.55</v>
      </c>
      <c r="H3643" s="15" t="str">
        <f t="shared" si="1"/>
        <v>151387.00</v>
      </c>
      <c r="I3643" s="14" t="str">
        <f t="shared" si="2"/>
        <v>131403.00</v>
      </c>
      <c r="J3643" s="16" t="str">
        <f>TEXT(Raw_Data!J3643,"MMM-YYY")</f>
        <v>Dec-2025</v>
      </c>
      <c r="K3643" s="13" t="str">
        <f>Raw_Data!K3643</f>
        <v>12</v>
      </c>
      <c r="L3643" s="17" t="str">
        <f>Raw_Data!L3643</f>
        <v>Ahmedabad-West</v>
      </c>
      <c r="M3643" s="13" t="str">
        <f t="shared" si="3"/>
        <v>OK</v>
      </c>
      <c r="N3643" s="18" t="str">
        <f t="shared" si="4"/>
        <v>VALID</v>
      </c>
    </row>
    <row r="3644" ht="15.75" customHeight="1">
      <c r="A3644" s="13" t="str">
        <f>Raw_Data!A3644</f>
        <v>EMP3849</v>
      </c>
      <c r="B3644" s="13" t="str">
        <f>TRIM(CLEAN(Raw_Data!B3644))</f>
        <v>IT</v>
      </c>
      <c r="C3644" s="18" t="s">
        <v>18</v>
      </c>
      <c r="D3644" s="14" t="str">
        <f>IF(ISBLANK(Raw_Data!D3644),AVERAGE(Raw_Data!D$2:D$5002),Raw_Data!D3644)</f>
        <v>89925.83</v>
      </c>
      <c r="E3644" s="15" t="str">
        <f>IF(ISBLANK(Raw_Data!E3644),AVERAGE(Raw_Data!E$2:E$5002),Raw_Data!E3644)</f>
        <v>31752.68</v>
      </c>
      <c r="F3644" s="15" t="str">
        <f>IF(ISBLANK(Raw_Data!F3644),AVERAGE(Raw_Data!F$2:F$5002),Raw_Data!F3644)</f>
        <v>29731.59</v>
      </c>
      <c r="G3644" s="14" t="str">
        <f>IF(ISBLANK(Raw_Data!G3644),AVERAGE(Raw_Data!G$2:G$5002),Raw_Data!G3644)</f>
        <v>19986.95</v>
      </c>
      <c r="H3644" s="15" t="str">
        <f t="shared" si="1"/>
        <v>151410.00</v>
      </c>
      <c r="I3644" s="14" t="str">
        <f t="shared" si="2"/>
        <v>131423.00</v>
      </c>
      <c r="J3644" s="16" t="str">
        <f>TEXT(Raw_Data!J3644,"MMM-YYY")</f>
        <v>Jun-2025</v>
      </c>
      <c r="K3644" s="13" t="str">
        <f>Raw_Data!K3644</f>
        <v>23</v>
      </c>
      <c r="L3644" s="17" t="str">
        <f>Raw_Data!L3644</f>
        <v>Jaipur-North</v>
      </c>
      <c r="M3644" s="13" t="str">
        <f t="shared" si="3"/>
        <v>OK</v>
      </c>
      <c r="N3644" s="18" t="str">
        <f t="shared" si="4"/>
        <v>VALID</v>
      </c>
    </row>
    <row r="3645" ht="15.75" customHeight="1">
      <c r="A3645" s="13" t="str">
        <f>Raw_Data!A3645</f>
        <v>EMP3850</v>
      </c>
      <c r="B3645" s="13" t="str">
        <f>TRIM(CLEAN(Raw_Data!B3645))</f>
        <v>Customer Support</v>
      </c>
      <c r="C3645" s="18" t="s">
        <v>37</v>
      </c>
      <c r="D3645" s="14" t="str">
        <f>IF(ISBLANK(Raw_Data!D3645),AVERAGE(Raw_Data!D$2:D$5002),Raw_Data!D3645)</f>
        <v>89936.71</v>
      </c>
      <c r="E3645" s="15" t="str">
        <f>IF(ISBLANK(Raw_Data!E3645),AVERAGE(Raw_Data!E$2:E$5002),Raw_Data!E3645)</f>
        <v>31757.29</v>
      </c>
      <c r="F3645" s="15" t="str">
        <f>IF(ISBLANK(Raw_Data!F3645),AVERAGE(Raw_Data!F$2:F$5002),Raw_Data!F3645)</f>
        <v>29739.27</v>
      </c>
      <c r="G3645" s="14" t="str">
        <f>IF(ISBLANK(Raw_Data!G3645),AVERAGE(Raw_Data!G$2:G$5002),Raw_Data!G3645)</f>
        <v>19990.35</v>
      </c>
      <c r="H3645" s="15" t="str">
        <f t="shared" si="1"/>
        <v>151433.00</v>
      </c>
      <c r="I3645" s="14" t="str">
        <f t="shared" si="2"/>
        <v>131443.00</v>
      </c>
      <c r="J3645" s="16" t="str">
        <f>TEXT(Raw_Data!J3645,"MMM-YYY")</f>
        <v>Feb-2025</v>
      </c>
      <c r="K3645" s="13" t="str">
        <f>Raw_Data!K3645</f>
        <v>11</v>
      </c>
      <c r="L3645" s="17" t="str">
        <f>Raw_Data!L3645</f>
        <v>Mumbai-HO</v>
      </c>
      <c r="M3645" s="13" t="str">
        <f t="shared" si="3"/>
        <v>OK</v>
      </c>
      <c r="N3645" s="18" t="str">
        <f t="shared" si="4"/>
        <v>VALID</v>
      </c>
    </row>
    <row r="3646" ht="15.75" customHeight="1">
      <c r="A3646" s="13" t="str">
        <f>Raw_Data!A3646</f>
        <v>EMP3851</v>
      </c>
      <c r="B3646" s="13" t="str">
        <f>TRIM(CLEAN(Raw_Data!B3646))</f>
        <v>Sales</v>
      </c>
      <c r="C3646" s="18" t="s">
        <v>54</v>
      </c>
      <c r="D3646" s="14" t="str">
        <f>IF(ISBLANK(Raw_Data!D3646),AVERAGE(Raw_Data!D$2:D$5002),Raw_Data!D3646)</f>
        <v>89947.60</v>
      </c>
      <c r="E3646" s="15" t="str">
        <f>IF(ISBLANK(Raw_Data!E3646),AVERAGE(Raw_Data!E$2:E$5002),Raw_Data!E3646)</f>
        <v>31761.90</v>
      </c>
      <c r="F3646" s="15" t="str">
        <f>IF(ISBLANK(Raw_Data!F3646),AVERAGE(Raw_Data!F$2:F$5002),Raw_Data!F3646)</f>
        <v>29746.95</v>
      </c>
      <c r="G3646" s="14" t="str">
        <f>IF(ISBLANK(Raw_Data!G3646),AVERAGE(Raw_Data!G$2:G$5002),Raw_Data!G3646)</f>
        <v>19993.75</v>
      </c>
      <c r="H3646" s="15" t="str">
        <f t="shared" si="1"/>
        <v>151456.00</v>
      </c>
      <c r="I3646" s="14" t="str">
        <f t="shared" si="2"/>
        <v>131462.00</v>
      </c>
      <c r="J3646" s="16" t="str">
        <f>TEXT(Raw_Data!J3646,"MMM-YYY")</f>
        <v>Apr-2025</v>
      </c>
      <c r="K3646" s="13" t="str">
        <f>Raw_Data!K3646</f>
        <v>20</v>
      </c>
      <c r="L3646" s="17" t="str">
        <f>Raw_Data!L3646</f>
        <v>Delhi-North</v>
      </c>
      <c r="M3646" s="13" t="str">
        <f t="shared" si="3"/>
        <v>OK</v>
      </c>
      <c r="N3646" s="18" t="str">
        <f t="shared" si="4"/>
        <v>VALID</v>
      </c>
    </row>
    <row r="3647" ht="15.75" customHeight="1">
      <c r="A3647" s="13" t="str">
        <f>Raw_Data!A3647</f>
        <v>EMP3852</v>
      </c>
      <c r="B3647" s="13" t="str">
        <f>TRIM(CLEAN(Raw_Data!B3647))</f>
        <v>IT</v>
      </c>
      <c r="C3647" s="18" t="s">
        <v>18</v>
      </c>
      <c r="D3647" s="14" t="str">
        <f>IF(ISBLANK(Raw_Data!D3647),AVERAGE(Raw_Data!D$2:D$5002),Raw_Data!D3647)</f>
        <v>89958.48</v>
      </c>
      <c r="E3647" s="15" t="str">
        <f>IF(ISBLANK(Raw_Data!E3647),AVERAGE(Raw_Data!E$2:E$5002),Raw_Data!E3647)</f>
        <v>31766.52</v>
      </c>
      <c r="F3647" s="15" t="str">
        <f>IF(ISBLANK(Raw_Data!F3647),AVERAGE(Raw_Data!F$2:F$5002),Raw_Data!F3647)</f>
        <v>29754.63</v>
      </c>
      <c r="G3647" s="14" t="str">
        <f>IF(ISBLANK(Raw_Data!G3647),AVERAGE(Raw_Data!G$2:G$5002),Raw_Data!G3647)</f>
        <v>19997.14</v>
      </c>
      <c r="H3647" s="15" t="str">
        <f t="shared" si="1"/>
        <v>151480.00</v>
      </c>
      <c r="I3647" s="14" t="str">
        <f t="shared" si="2"/>
        <v>131483.00</v>
      </c>
      <c r="J3647" s="16" t="str">
        <f>TEXT(Raw_Data!J3647,"MMM-YYY")</f>
        <v>Jun-2025</v>
      </c>
      <c r="K3647" s="13" t="str">
        <f>Raw_Data!K3647</f>
        <v>2</v>
      </c>
      <c r="L3647" s="17" t="str">
        <f>Raw_Data!L3647</f>
        <v>Bangalore-South</v>
      </c>
      <c r="M3647" s="13" t="str">
        <f t="shared" si="3"/>
        <v>OK</v>
      </c>
      <c r="N3647" s="18" t="str">
        <f t="shared" si="4"/>
        <v>VALID</v>
      </c>
    </row>
    <row r="3648" ht="15.75" customHeight="1">
      <c r="A3648" s="13" t="str">
        <f>Raw_Data!A3648</f>
        <v>EMP3853</v>
      </c>
      <c r="B3648" s="13" t="str">
        <f>TRIM(CLEAN(Raw_Data!B3648))</f>
        <v>IT</v>
      </c>
      <c r="C3648" s="18" t="s">
        <v>14</v>
      </c>
      <c r="D3648" s="14" t="str">
        <f>IF(ISBLANK(Raw_Data!D3648),AVERAGE(Raw_Data!D$2:D$5002),Raw_Data!D3648)</f>
        <v>89969.36</v>
      </c>
      <c r="E3648" s="15" t="str">
        <f>IF(ISBLANK(Raw_Data!E3648),AVERAGE(Raw_Data!E$2:E$5002),Raw_Data!E3648)</f>
        <v>31771.13</v>
      </c>
      <c r="F3648" s="15" t="str">
        <f>IF(ISBLANK(Raw_Data!F3648),AVERAGE(Raw_Data!F$2:F$5002),Raw_Data!F3648)</f>
        <v>29762.31</v>
      </c>
      <c r="G3648" s="14" t="str">
        <f>IF(ISBLANK(Raw_Data!G3648),AVERAGE(Raw_Data!G$2:G$5002),Raw_Data!G3648)</f>
        <v>20000.54</v>
      </c>
      <c r="H3648" s="15" t="str">
        <f t="shared" si="1"/>
        <v>151503.00</v>
      </c>
      <c r="I3648" s="14" t="str">
        <f t="shared" si="2"/>
        <v>131502.00</v>
      </c>
      <c r="J3648" s="16" t="str">
        <f>TEXT(Raw_Data!J3648,"MMM-YYY")</f>
        <v>Oct-2025</v>
      </c>
      <c r="K3648" s="13" t="str">
        <f>Raw_Data!K3648</f>
        <v>25</v>
      </c>
      <c r="L3648" s="17" t="str">
        <f>Raw_Data!L3648</f>
        <v>Chennai-South</v>
      </c>
      <c r="M3648" s="13" t="str">
        <f t="shared" si="3"/>
        <v>OK</v>
      </c>
      <c r="N3648" s="18" t="str">
        <f t="shared" si="4"/>
        <v>VALID</v>
      </c>
    </row>
    <row r="3649" ht="15.75" customHeight="1">
      <c r="A3649" s="13" t="str">
        <f>Raw_Data!A3649</f>
        <v>EMP3854</v>
      </c>
      <c r="B3649" s="13" t="str">
        <f>TRIM(CLEAN(Raw_Data!B3649))</f>
        <v>Finance</v>
      </c>
      <c r="C3649" s="18" t="s">
        <v>33</v>
      </c>
      <c r="D3649" s="14" t="str">
        <f>IF(ISBLANK(Raw_Data!D3649),AVERAGE(Raw_Data!D$2:D$5002),Raw_Data!D3649)</f>
        <v>89980.25</v>
      </c>
      <c r="E3649" s="15" t="str">
        <f>IF(ISBLANK(Raw_Data!E3649),AVERAGE(Raw_Data!E$2:E$5002),Raw_Data!E3649)</f>
        <v>31775.75</v>
      </c>
      <c r="F3649" s="15" t="str">
        <f>IF(ISBLANK(Raw_Data!F3649),AVERAGE(Raw_Data!F$2:F$5002),Raw_Data!F3649)</f>
        <v>29769.99</v>
      </c>
      <c r="G3649" s="14" t="str">
        <f>IF(ISBLANK(Raw_Data!G3649),AVERAGE(Raw_Data!G$2:G$5002),Raw_Data!G3649)</f>
        <v>20003.94</v>
      </c>
      <c r="H3649" s="15" t="str">
        <f t="shared" si="1"/>
        <v>151526.00</v>
      </c>
      <c r="I3649" s="14" t="str">
        <f t="shared" si="2"/>
        <v>131522.00</v>
      </c>
      <c r="J3649" s="16" t="str">
        <f>TEXT(Raw_Data!J3649,"MMM-YYY")</f>
        <v>Oct-2025</v>
      </c>
      <c r="K3649" s="13" t="str">
        <f>Raw_Data!K3649</f>
        <v>10</v>
      </c>
      <c r="L3649" s="17" t="str">
        <f>Raw_Data!L3649</f>
        <v>Kolkata-East</v>
      </c>
      <c r="M3649" s="13" t="str">
        <f t="shared" si="3"/>
        <v>OK</v>
      </c>
      <c r="N3649" s="18" t="str">
        <f t="shared" si="4"/>
        <v>VALID</v>
      </c>
    </row>
    <row r="3650" ht="15.75" customHeight="1">
      <c r="A3650" s="13" t="str">
        <f>Raw_Data!A3650</f>
        <v>EMP3855</v>
      </c>
      <c r="B3650" s="13" t="str">
        <f>TRIM(CLEAN(Raw_Data!B3650))</f>
        <v>Marketing</v>
      </c>
      <c r="C3650" s="18" t="s">
        <v>14</v>
      </c>
      <c r="D3650" s="14" t="str">
        <f>IF(ISBLANK(Raw_Data!D3650),AVERAGE(Raw_Data!D$2:D$5002),Raw_Data!D3650)</f>
        <v>89991.13</v>
      </c>
      <c r="E3650" s="15" t="str">
        <f>IF(ISBLANK(Raw_Data!E3650),AVERAGE(Raw_Data!E$2:E$5002),Raw_Data!E3650)</f>
        <v>31780.36</v>
      </c>
      <c r="F3650" s="15" t="str">
        <f>IF(ISBLANK(Raw_Data!F3650),AVERAGE(Raw_Data!F$2:F$5002),Raw_Data!F3650)</f>
        <v>29777.67</v>
      </c>
      <c r="G3650" s="14" t="str">
        <f>IF(ISBLANK(Raw_Data!G3650),AVERAGE(Raw_Data!G$2:G$5002),Raw_Data!G3650)</f>
        <v>20007.34</v>
      </c>
      <c r="H3650" s="15" t="str">
        <f t="shared" si="1"/>
        <v>151549.00</v>
      </c>
      <c r="I3650" s="14" t="str">
        <f t="shared" si="2"/>
        <v>131542.00</v>
      </c>
      <c r="J3650" s="16" t="str">
        <f>TEXT(Raw_Data!J3650,"MMM-YYY")</f>
        <v>Jul-2025</v>
      </c>
      <c r="K3650" s="13" t="str">
        <f>Raw_Data!K3650</f>
        <v>20</v>
      </c>
      <c r="L3650" s="17" t="str">
        <f>Raw_Data!L3650</f>
        <v>Pune-West</v>
      </c>
      <c r="M3650" s="13" t="str">
        <f t="shared" si="3"/>
        <v>OK</v>
      </c>
      <c r="N3650" s="18" t="str">
        <f t="shared" si="4"/>
        <v>VALID</v>
      </c>
    </row>
    <row r="3651" ht="15.75" customHeight="1">
      <c r="A3651" s="13" t="str">
        <f>Raw_Data!A3651</f>
        <v>EMP3856</v>
      </c>
      <c r="B3651" s="13" t="str">
        <f>TRIM(CLEAN(Raw_Data!B3651))</f>
        <v>Customer Support</v>
      </c>
      <c r="C3651" s="18" t="s">
        <v>30</v>
      </c>
      <c r="D3651" s="14" t="str">
        <f>IF(ISBLANK(Raw_Data!D3651),AVERAGE(Raw_Data!D$2:D$5002),Raw_Data!D3651)</f>
        <v>90002.01</v>
      </c>
      <c r="E3651" s="15" t="str">
        <f>IF(ISBLANK(Raw_Data!E3651),AVERAGE(Raw_Data!E$2:E$5002),Raw_Data!E3651)</f>
        <v>31784.98</v>
      </c>
      <c r="F3651" s="15" t="str">
        <f>IF(ISBLANK(Raw_Data!F3651),AVERAGE(Raw_Data!F$2:F$5002),Raw_Data!F3651)</f>
        <v>29785.35</v>
      </c>
      <c r="G3651" s="14" t="str">
        <f>IF(ISBLANK(Raw_Data!G3651),AVERAGE(Raw_Data!G$2:G$5002),Raw_Data!G3651)</f>
        <v>20010.73</v>
      </c>
      <c r="H3651" s="15" t="str">
        <f t="shared" si="1"/>
        <v>151572.00</v>
      </c>
      <c r="I3651" s="14" t="str">
        <f t="shared" si="2"/>
        <v>131561.00</v>
      </c>
      <c r="J3651" s="16" t="str">
        <f>TEXT(Raw_Data!J3651,"MMM-YYY")</f>
        <v>May-2025</v>
      </c>
      <c r="K3651" s="13" t="str">
        <f>Raw_Data!K3651</f>
        <v>12</v>
      </c>
      <c r="L3651" s="17" t="str">
        <f>Raw_Data!L3651</f>
        <v>Hyderabad-South</v>
      </c>
      <c r="M3651" s="13" t="str">
        <f t="shared" si="3"/>
        <v>OK</v>
      </c>
      <c r="N3651" s="18" t="str">
        <f t="shared" si="4"/>
        <v>VALID</v>
      </c>
    </row>
    <row r="3652" ht="15.75" customHeight="1">
      <c r="A3652" s="13" t="str">
        <f>Raw_Data!A3652</f>
        <v>EMP3857</v>
      </c>
      <c r="B3652" s="13" t="str">
        <f>TRIM(CLEAN(Raw_Data!B3652))</f>
        <v>HR</v>
      </c>
      <c r="C3652" s="18" t="s">
        <v>33</v>
      </c>
      <c r="D3652" s="14" t="str">
        <f>IF(ISBLANK(Raw_Data!D3652),AVERAGE(Raw_Data!D$2:D$5002),Raw_Data!D3652)</f>
        <v>90012.89</v>
      </c>
      <c r="E3652" s="15" t="str">
        <f>IF(ISBLANK(Raw_Data!E3652),AVERAGE(Raw_Data!E$2:E$5002),Raw_Data!E3652)</f>
        <v>31789.59</v>
      </c>
      <c r="F3652" s="15" t="str">
        <f>IF(ISBLANK(Raw_Data!F3652),AVERAGE(Raw_Data!F$2:F$5002),Raw_Data!F3652)</f>
        <v>29793.03</v>
      </c>
      <c r="G3652" s="14" t="str">
        <f>IF(ISBLANK(Raw_Data!G3652),AVERAGE(Raw_Data!G$2:G$5002),Raw_Data!G3652)</f>
        <v>20014.13</v>
      </c>
      <c r="H3652" s="15" t="str">
        <f t="shared" si="1"/>
        <v>151596.00</v>
      </c>
      <c r="I3652" s="14" t="str">
        <f t="shared" si="2"/>
        <v>131582.00</v>
      </c>
      <c r="J3652" s="16" t="str">
        <f>TEXT(Raw_Data!J3652,"MMM-YYY")</f>
        <v>May-2025</v>
      </c>
      <c r="K3652" s="13" t="str">
        <f>Raw_Data!K3652</f>
        <v>23</v>
      </c>
      <c r="L3652" s="17" t="str">
        <f>Raw_Data!L3652</f>
        <v>Chandigarh-North</v>
      </c>
      <c r="M3652" s="13" t="str">
        <f t="shared" si="3"/>
        <v>OK</v>
      </c>
      <c r="N3652" s="18" t="str">
        <f t="shared" si="4"/>
        <v>VALID</v>
      </c>
    </row>
    <row r="3653" ht="15.75" customHeight="1">
      <c r="A3653" s="13" t="str">
        <f>Raw_Data!A3653</f>
        <v>EMP3859</v>
      </c>
      <c r="B3653" s="13" t="str">
        <f>TRIM(CLEAN(Raw_Data!B3653))</f>
        <v>HR</v>
      </c>
      <c r="C3653" s="18" t="s">
        <v>26</v>
      </c>
      <c r="D3653" s="14" t="str">
        <f>IF(ISBLANK(Raw_Data!D3653),AVERAGE(Raw_Data!D$2:D$5002),Raw_Data!D3653)</f>
        <v>90034.66</v>
      </c>
      <c r="E3653" s="15" t="str">
        <f>IF(ISBLANK(Raw_Data!E3653),AVERAGE(Raw_Data!E$2:E$5002),Raw_Data!E3653)</f>
        <v>31798.82</v>
      </c>
      <c r="F3653" s="15" t="str">
        <f>IF(ISBLANK(Raw_Data!F3653),AVERAGE(Raw_Data!F$2:F$5002),Raw_Data!F3653)</f>
        <v>29808.39</v>
      </c>
      <c r="G3653" s="14" t="str">
        <f>IF(ISBLANK(Raw_Data!G3653),AVERAGE(Raw_Data!G$2:G$5002),Raw_Data!G3653)</f>
        <v>20020.93</v>
      </c>
      <c r="H3653" s="15" t="str">
        <f t="shared" si="1"/>
        <v>151642.00</v>
      </c>
      <c r="I3653" s="14" t="str">
        <f t="shared" si="2"/>
        <v>131621.00</v>
      </c>
      <c r="J3653" s="16" t="str">
        <f>TEXT(Raw_Data!J3653,"MMM-YYY")</f>
        <v>Apr-2025</v>
      </c>
      <c r="K3653" s="13" t="str">
        <f>Raw_Data!K3653</f>
        <v>11</v>
      </c>
      <c r="L3653" s="17" t="str">
        <f>Raw_Data!L3653</f>
        <v>Jaipur-North</v>
      </c>
      <c r="M3653" s="13" t="str">
        <f t="shared" si="3"/>
        <v>OK</v>
      </c>
      <c r="N3653" s="18" t="str">
        <f t="shared" si="4"/>
        <v>VALID</v>
      </c>
    </row>
    <row r="3654" ht="15.75" customHeight="1">
      <c r="A3654" s="13" t="str">
        <f>Raw_Data!A3654</f>
        <v>EMP3860</v>
      </c>
      <c r="B3654" s="13" t="str">
        <f>TRIM(CLEAN(Raw_Data!B3654))</f>
        <v>HR</v>
      </c>
      <c r="C3654" s="18" t="s">
        <v>26</v>
      </c>
      <c r="D3654" s="14" t="str">
        <f>IF(ISBLANK(Raw_Data!D3654),AVERAGE(Raw_Data!D$2:D$5002),Raw_Data!D3654)</f>
        <v>90045.54</v>
      </c>
      <c r="E3654" s="15" t="str">
        <f>IF(ISBLANK(Raw_Data!E3654),AVERAGE(Raw_Data!E$2:E$5002),Raw_Data!E3654)</f>
        <v>31803.44</v>
      </c>
      <c r="F3654" s="15" t="str">
        <f>IF(ISBLANK(Raw_Data!F3654),AVERAGE(Raw_Data!F$2:F$5002),Raw_Data!F3654)</f>
        <v>29816.07</v>
      </c>
      <c r="G3654" s="14" t="str">
        <f>IF(ISBLANK(Raw_Data!G3654),AVERAGE(Raw_Data!G$2:G$5002),Raw_Data!G3654)</f>
        <v>20024.32</v>
      </c>
      <c r="H3654" s="15" t="str">
        <f t="shared" si="1"/>
        <v>151665.00</v>
      </c>
      <c r="I3654" s="14" t="str">
        <f t="shared" si="2"/>
        <v>131641.00</v>
      </c>
      <c r="J3654" s="16" t="str">
        <f>TEXT(Raw_Data!J3654,"MMM-YYY")</f>
        <v>Dec-2025</v>
      </c>
      <c r="K3654" s="13" t="str">
        <f>Raw_Data!K3654</f>
        <v>24</v>
      </c>
      <c r="L3654" s="17" t="str">
        <f>Raw_Data!L3654</f>
        <v>Mumbai-HO</v>
      </c>
      <c r="M3654" s="13" t="str">
        <f t="shared" si="3"/>
        <v>OK</v>
      </c>
      <c r="N3654" s="18" t="str">
        <f t="shared" si="4"/>
        <v>VALID</v>
      </c>
    </row>
    <row r="3655" ht="15.75" customHeight="1">
      <c r="A3655" s="13" t="str">
        <f>Raw_Data!A3655</f>
        <v>EMP3861</v>
      </c>
      <c r="B3655" s="13" t="str">
        <f>TRIM(CLEAN(Raw_Data!B3655))</f>
        <v>Finance</v>
      </c>
      <c r="C3655" s="18" t="s">
        <v>26</v>
      </c>
      <c r="D3655" s="14" t="str">
        <f>IF(ISBLANK(Raw_Data!D3655),AVERAGE(Raw_Data!D$2:D$5002),Raw_Data!D3655)</f>
        <v>90056.43</v>
      </c>
      <c r="E3655" s="15" t="str">
        <f>IF(ISBLANK(Raw_Data!E3655),AVERAGE(Raw_Data!E$2:E$5002),Raw_Data!E3655)</f>
        <v>31808.05</v>
      </c>
      <c r="F3655" s="15" t="str">
        <f>IF(ISBLANK(Raw_Data!F3655),AVERAGE(Raw_Data!F$2:F$5002),Raw_Data!F3655)</f>
        <v>29823.75</v>
      </c>
      <c r="G3655" s="14" t="str">
        <f>IF(ISBLANK(Raw_Data!G3655),AVERAGE(Raw_Data!G$2:G$5002),Raw_Data!G3655)</f>
        <v>20027.72</v>
      </c>
      <c r="H3655" s="15" t="str">
        <f t="shared" si="1"/>
        <v>151688.00</v>
      </c>
      <c r="I3655" s="14" t="str">
        <f t="shared" si="2"/>
        <v>131660.00</v>
      </c>
      <c r="J3655" s="16" t="str">
        <f>TEXT(Raw_Data!J3655,"MMM-YYY")</f>
        <v>Oct-2025</v>
      </c>
      <c r="K3655" s="13" t="str">
        <f>Raw_Data!K3655</f>
        <v>11</v>
      </c>
      <c r="L3655" s="17" t="str">
        <f>Raw_Data!L3655</f>
        <v>Delhi-North</v>
      </c>
      <c r="M3655" s="13" t="str">
        <f t="shared" si="3"/>
        <v>OK</v>
      </c>
      <c r="N3655" s="18" t="str">
        <f t="shared" si="4"/>
        <v>VALID</v>
      </c>
    </row>
    <row r="3656" ht="15.75" customHeight="1">
      <c r="A3656" s="13" t="str">
        <f>Raw_Data!A3656</f>
        <v>EMP3862</v>
      </c>
      <c r="B3656" s="13" t="str">
        <f>TRIM(CLEAN(Raw_Data!B3656))</f>
        <v>Marketing</v>
      </c>
      <c r="C3656" s="18" t="s">
        <v>14</v>
      </c>
      <c r="D3656" s="14" t="str">
        <f>IF(ISBLANK(Raw_Data!D3656),AVERAGE(Raw_Data!D$2:D$5002),Raw_Data!D3656)</f>
        <v>90067.31</v>
      </c>
      <c r="E3656" s="15" t="str">
        <f>IF(ISBLANK(Raw_Data!E3656),AVERAGE(Raw_Data!E$2:E$5002),Raw_Data!E3656)</f>
        <v>31812.67</v>
      </c>
      <c r="F3656" s="15" t="str">
        <f>IF(ISBLANK(Raw_Data!F3656),AVERAGE(Raw_Data!F$2:F$5002),Raw_Data!F3656)</f>
        <v>29831.43</v>
      </c>
      <c r="G3656" s="14" t="str">
        <f>IF(ISBLANK(Raw_Data!G3656),AVERAGE(Raw_Data!G$2:G$5002),Raw_Data!G3656)</f>
        <v>20031.12</v>
      </c>
      <c r="H3656" s="15" t="str">
        <f t="shared" si="1"/>
        <v>151711.00</v>
      </c>
      <c r="I3656" s="14" t="str">
        <f t="shared" si="2"/>
        <v>131680.00</v>
      </c>
      <c r="J3656" s="16" t="str">
        <f>TEXT(Raw_Data!J3656,"MMM-YYY")</f>
        <v>Jul-2025</v>
      </c>
      <c r="K3656" s="13" t="str">
        <f>Raw_Data!K3656</f>
        <v>3</v>
      </c>
      <c r="L3656" s="17" t="str">
        <f>Raw_Data!L3656</f>
        <v>Bangalore-South</v>
      </c>
      <c r="M3656" s="13" t="str">
        <f t="shared" si="3"/>
        <v>OK</v>
      </c>
      <c r="N3656" s="18" t="str">
        <f t="shared" si="4"/>
        <v>VALID</v>
      </c>
    </row>
    <row r="3657" ht="15.75" customHeight="1">
      <c r="A3657" s="13" t="str">
        <f>Raw_Data!A3657</f>
        <v>EMP3863</v>
      </c>
      <c r="B3657" s="13" t="str">
        <f>TRIM(CLEAN(Raw_Data!B3657))</f>
        <v>Operations</v>
      </c>
      <c r="C3657" s="18" t="s">
        <v>33</v>
      </c>
      <c r="D3657" s="14" t="str">
        <f>IF(ISBLANK(Raw_Data!D3657),AVERAGE(Raw_Data!D$2:D$5002),Raw_Data!D3657)</f>
        <v>90078.19</v>
      </c>
      <c r="E3657" s="15" t="str">
        <f>IF(ISBLANK(Raw_Data!E3657),AVERAGE(Raw_Data!E$2:E$5002),Raw_Data!E3657)</f>
        <v>31817.28</v>
      </c>
      <c r="F3657" s="15" t="str">
        <f>IF(ISBLANK(Raw_Data!F3657),AVERAGE(Raw_Data!F$2:F$5002),Raw_Data!F3657)</f>
        <v>29839.11</v>
      </c>
      <c r="G3657" s="14" t="str">
        <f>IF(ISBLANK(Raw_Data!G3657),AVERAGE(Raw_Data!G$2:G$5002),Raw_Data!G3657)</f>
        <v>20034.52</v>
      </c>
      <c r="H3657" s="15" t="str">
        <f t="shared" si="1"/>
        <v>151735.00</v>
      </c>
      <c r="I3657" s="14" t="str">
        <f t="shared" si="2"/>
        <v>131700.00</v>
      </c>
      <c r="J3657" s="16" t="str">
        <f>TEXT(Raw_Data!J3657,"MMM-YYY")</f>
        <v>Dec-2025</v>
      </c>
      <c r="K3657" s="13" t="str">
        <f>Raw_Data!K3657</f>
        <v>17</v>
      </c>
      <c r="L3657" s="17" t="str">
        <f>Raw_Data!L3657</f>
        <v>Chennai-South</v>
      </c>
      <c r="M3657" s="13" t="str">
        <f t="shared" si="3"/>
        <v>OK</v>
      </c>
      <c r="N3657" s="18" t="str">
        <f t="shared" si="4"/>
        <v>VALID</v>
      </c>
    </row>
    <row r="3658" ht="15.75" customHeight="1">
      <c r="A3658" s="13" t="str">
        <f>Raw_Data!A3658</f>
        <v>EMP3865</v>
      </c>
      <c r="B3658" s="13" t="str">
        <f>TRIM(CLEAN(Raw_Data!B3658))</f>
        <v>Marketing</v>
      </c>
      <c r="C3658" s="18" t="s">
        <v>14</v>
      </c>
      <c r="D3658" s="14" t="str">
        <f>IF(ISBLANK(Raw_Data!D3658),AVERAGE(Raw_Data!D$2:D$5002),Raw_Data!D3658)</f>
        <v>90099.96</v>
      </c>
      <c r="E3658" s="15" t="str">
        <f>IF(ISBLANK(Raw_Data!E3658),AVERAGE(Raw_Data!E$2:E$5002),Raw_Data!E3658)</f>
        <v>31826.51</v>
      </c>
      <c r="F3658" s="15" t="str">
        <f>IF(ISBLANK(Raw_Data!F3658),AVERAGE(Raw_Data!F$2:F$5002),Raw_Data!F3658)</f>
        <v>29854.47</v>
      </c>
      <c r="G3658" s="14" t="str">
        <f>IF(ISBLANK(Raw_Data!G3658),AVERAGE(Raw_Data!G$2:G$5002),Raw_Data!G3658)</f>
        <v>20041.31</v>
      </c>
      <c r="H3658" s="15" t="str">
        <f t="shared" si="1"/>
        <v>151781.00</v>
      </c>
      <c r="I3658" s="14" t="str">
        <f t="shared" si="2"/>
        <v>131740.00</v>
      </c>
      <c r="J3658" s="16" t="str">
        <f>TEXT(Raw_Data!J3658,"MMM-YYY")</f>
        <v>Jun-2025</v>
      </c>
      <c r="K3658" s="13" t="str">
        <f>Raw_Data!K3658</f>
        <v>17</v>
      </c>
      <c r="L3658" s="17" t="str">
        <f>Raw_Data!L3658</f>
        <v>Pune-West</v>
      </c>
      <c r="M3658" s="13" t="str">
        <f t="shared" si="3"/>
        <v>OK</v>
      </c>
      <c r="N3658" s="18" t="str">
        <f t="shared" si="4"/>
        <v>VALID</v>
      </c>
    </row>
    <row r="3659" ht="15.75" customHeight="1">
      <c r="A3659" s="13" t="str">
        <f>Raw_Data!A3659</f>
        <v>EMP3866</v>
      </c>
      <c r="B3659" s="13" t="str">
        <f>TRIM(CLEAN(Raw_Data!B3659))</f>
        <v>HR</v>
      </c>
      <c r="C3659" s="18" t="s">
        <v>26</v>
      </c>
      <c r="D3659" s="14" t="str">
        <f>IF(ISBLANK(Raw_Data!D3659),AVERAGE(Raw_Data!D$2:D$5002),Raw_Data!D3659)</f>
        <v>90110.84</v>
      </c>
      <c r="E3659" s="15" t="str">
        <f>IF(ISBLANK(Raw_Data!E3659),AVERAGE(Raw_Data!E$2:E$5002),Raw_Data!E3659)</f>
        <v>31831.13</v>
      </c>
      <c r="F3659" s="15" t="str">
        <f>IF(ISBLANK(Raw_Data!F3659),AVERAGE(Raw_Data!F$2:F$5002),Raw_Data!F3659)</f>
        <v>29862.15</v>
      </c>
      <c r="G3659" s="14" t="str">
        <f>IF(ISBLANK(Raw_Data!G3659),AVERAGE(Raw_Data!G$2:G$5002),Raw_Data!G3659)</f>
        <v>20044.71</v>
      </c>
      <c r="H3659" s="15" t="str">
        <f t="shared" si="1"/>
        <v>151804.00</v>
      </c>
      <c r="I3659" s="14" t="str">
        <f t="shared" si="2"/>
        <v>131759.00</v>
      </c>
      <c r="J3659" s="16" t="str">
        <f>TEXT(Raw_Data!J3659,"MMM-YYY")</f>
        <v>Apr-2025</v>
      </c>
      <c r="K3659" s="13" t="str">
        <f>Raw_Data!K3659</f>
        <v>4</v>
      </c>
      <c r="L3659" s="17" t="str">
        <f>Raw_Data!L3659</f>
        <v>Hyderabad-South</v>
      </c>
      <c r="M3659" s="13" t="str">
        <f t="shared" si="3"/>
        <v>OK</v>
      </c>
      <c r="N3659" s="18" t="str">
        <f t="shared" si="4"/>
        <v>VALID</v>
      </c>
    </row>
    <row r="3660" ht="15.75" customHeight="1">
      <c r="A3660" s="13" t="str">
        <f>Raw_Data!A3660</f>
        <v>EMP3867</v>
      </c>
      <c r="B3660" s="13" t="str">
        <f>TRIM(CLEAN(Raw_Data!B3660))</f>
        <v>IT</v>
      </c>
      <c r="C3660" s="18" t="s">
        <v>54</v>
      </c>
      <c r="D3660" s="14" t="str">
        <f>IF(ISBLANK(Raw_Data!D3660),AVERAGE(Raw_Data!D$2:D$5002),Raw_Data!D3660)</f>
        <v>71831.17</v>
      </c>
      <c r="E3660" s="15" t="str">
        <f>IF(ISBLANK(Raw_Data!E3660),AVERAGE(Raw_Data!E$2:E$5002),Raw_Data!E3660)</f>
        <v>31835.74</v>
      </c>
      <c r="F3660" s="15" t="str">
        <f>IF(ISBLANK(Raw_Data!F3660),AVERAGE(Raw_Data!F$2:F$5002),Raw_Data!F3660)</f>
        <v>29869.83</v>
      </c>
      <c r="G3660" s="14" t="str">
        <f>IF(ISBLANK(Raw_Data!G3660),AVERAGE(Raw_Data!G$2:G$5002),Raw_Data!G3660)</f>
        <v>20048.11</v>
      </c>
      <c r="H3660" s="15" t="str">
        <f t="shared" si="1"/>
        <v>133537.00</v>
      </c>
      <c r="I3660" s="14" t="str">
        <f t="shared" si="2"/>
        <v>113489.00</v>
      </c>
      <c r="J3660" s="16" t="str">
        <f>TEXT(Raw_Data!J3660,"MMM-YYY")</f>
        <v>Mar-2025</v>
      </c>
      <c r="K3660" s="13" t="str">
        <f>Raw_Data!K3660</f>
        <v>7</v>
      </c>
      <c r="L3660" s="17" t="str">
        <f>Raw_Data!L3660</f>
        <v>Chandigarh-North</v>
      </c>
      <c r="M3660" s="13" t="str">
        <f t="shared" si="3"/>
        <v>OK</v>
      </c>
      <c r="N3660" s="18" t="str">
        <f t="shared" si="4"/>
        <v>VALID</v>
      </c>
    </row>
    <row r="3661" ht="15.75" customHeight="1">
      <c r="A3661" s="13" t="str">
        <f>Raw_Data!A3661</f>
        <v>EMP3868</v>
      </c>
      <c r="B3661" s="13" t="str">
        <f>TRIM(CLEAN(Raw_Data!B3661))</f>
        <v>Operations</v>
      </c>
      <c r="C3661" s="18" t="s">
        <v>14</v>
      </c>
      <c r="D3661" s="14" t="str">
        <f>IF(ISBLANK(Raw_Data!D3661),AVERAGE(Raw_Data!D$2:D$5002),Raw_Data!D3661)</f>
        <v>90132.61</v>
      </c>
      <c r="E3661" s="15" t="str">
        <f>IF(ISBLANK(Raw_Data!E3661),AVERAGE(Raw_Data!E$2:E$5002),Raw_Data!E3661)</f>
        <v>31840.35</v>
      </c>
      <c r="F3661" s="15" t="str">
        <f>IF(ISBLANK(Raw_Data!F3661),AVERAGE(Raw_Data!F$2:F$5002),Raw_Data!F3661)</f>
        <v>29877.51</v>
      </c>
      <c r="G3661" s="14" t="str">
        <f>IF(ISBLANK(Raw_Data!G3661),AVERAGE(Raw_Data!G$2:G$5002),Raw_Data!G3661)</f>
        <v>20051.50</v>
      </c>
      <c r="H3661" s="15" t="str">
        <f t="shared" si="1"/>
        <v>151850.00</v>
      </c>
      <c r="I3661" s="14" t="str">
        <f t="shared" si="2"/>
        <v>131798.00</v>
      </c>
      <c r="J3661" s="16" t="str">
        <f>TEXT(Raw_Data!J3661,"MMM-YYY")</f>
        <v>Nov-2025</v>
      </c>
      <c r="K3661" s="13" t="str">
        <f>Raw_Data!K3661</f>
        <v>3</v>
      </c>
      <c r="L3661" s="17" t="str">
        <f>Raw_Data!L3661</f>
        <v>Ahmedabad-West</v>
      </c>
      <c r="M3661" s="13" t="str">
        <f t="shared" si="3"/>
        <v>OK</v>
      </c>
      <c r="N3661" s="18" t="str">
        <f t="shared" si="4"/>
        <v>VALID</v>
      </c>
    </row>
    <row r="3662" ht="15.75" customHeight="1">
      <c r="A3662" s="13" t="str">
        <f>Raw_Data!A3662</f>
        <v>EMP3869</v>
      </c>
      <c r="B3662" s="13" t="str">
        <f>TRIM(CLEAN(Raw_Data!B3662))</f>
        <v>Customer Support</v>
      </c>
      <c r="C3662" s="18" t="s">
        <v>54</v>
      </c>
      <c r="D3662" s="14" t="str">
        <f>IF(ISBLANK(Raw_Data!D3662),AVERAGE(Raw_Data!D$2:D$5002),Raw_Data!D3662)</f>
        <v>90143.49</v>
      </c>
      <c r="E3662" s="15" t="str">
        <f>IF(ISBLANK(Raw_Data!E3662),AVERAGE(Raw_Data!E$2:E$5002),Raw_Data!E3662)</f>
        <v>31844.97</v>
      </c>
      <c r="F3662" s="15" t="str">
        <f>IF(ISBLANK(Raw_Data!F3662),AVERAGE(Raw_Data!F$2:F$5002),Raw_Data!F3662)</f>
        <v>29885.19</v>
      </c>
      <c r="G3662" s="14" t="str">
        <f>IF(ISBLANK(Raw_Data!G3662),AVERAGE(Raw_Data!G$2:G$5002),Raw_Data!G3662)</f>
        <v>20054.90</v>
      </c>
      <c r="H3662" s="15" t="str">
        <f t="shared" si="1"/>
        <v>151874.00</v>
      </c>
      <c r="I3662" s="14" t="str">
        <f t="shared" si="2"/>
        <v>131819.00</v>
      </c>
      <c r="J3662" s="16" t="str">
        <f>TEXT(Raw_Data!J3662,"MMM-YYY")</f>
        <v>Oct-2025</v>
      </c>
      <c r="K3662" s="13" t="str">
        <f>Raw_Data!K3662</f>
        <v>3</v>
      </c>
      <c r="L3662" s="17" t="str">
        <f>Raw_Data!L3662</f>
        <v>Jaipur-North</v>
      </c>
      <c r="M3662" s="13" t="str">
        <f t="shared" si="3"/>
        <v>OK</v>
      </c>
      <c r="N3662" s="18" t="str">
        <f t="shared" si="4"/>
        <v>VALID</v>
      </c>
    </row>
    <row r="3663" ht="15.75" customHeight="1">
      <c r="A3663" s="13" t="str">
        <f>Raw_Data!A3663</f>
        <v>EMP3870</v>
      </c>
      <c r="B3663" s="13" t="str">
        <f>TRIM(CLEAN(Raw_Data!B3663))</f>
        <v>Customer Support</v>
      </c>
      <c r="C3663" s="18" t="s">
        <v>14</v>
      </c>
      <c r="D3663" s="14" t="str">
        <f>IF(ISBLANK(Raw_Data!D3663),AVERAGE(Raw_Data!D$2:D$5002),Raw_Data!D3663)</f>
        <v>90154.37</v>
      </c>
      <c r="E3663" s="15" t="str">
        <f>IF(ISBLANK(Raw_Data!E3663),AVERAGE(Raw_Data!E$2:E$5002),Raw_Data!E3663)</f>
        <v>31849.58</v>
      </c>
      <c r="F3663" s="15" t="str">
        <f>IF(ISBLANK(Raw_Data!F3663),AVERAGE(Raw_Data!F$2:F$5002),Raw_Data!F3663)</f>
        <v>29892.87</v>
      </c>
      <c r="G3663" s="14" t="str">
        <f>IF(ISBLANK(Raw_Data!G3663),AVERAGE(Raw_Data!G$2:G$5002),Raw_Data!G3663)</f>
        <v>20058.30</v>
      </c>
      <c r="H3663" s="15" t="str">
        <f t="shared" si="1"/>
        <v>151897.00</v>
      </c>
      <c r="I3663" s="14" t="str">
        <f t="shared" si="2"/>
        <v>131839.00</v>
      </c>
      <c r="J3663" s="16" t="str">
        <f>TEXT(Raw_Data!J3663,"MMM-YYY")</f>
        <v>Nov-2025</v>
      </c>
      <c r="K3663" s="13" t="str">
        <f>Raw_Data!K3663</f>
        <v>4</v>
      </c>
      <c r="L3663" s="17" t="str">
        <f>Raw_Data!L3663</f>
        <v>Mumbai-HO</v>
      </c>
      <c r="M3663" s="13" t="str">
        <f t="shared" si="3"/>
        <v>OK</v>
      </c>
      <c r="N3663" s="18" t="str">
        <f t="shared" si="4"/>
        <v>VALID</v>
      </c>
    </row>
    <row r="3664" ht="15.75" customHeight="1">
      <c r="A3664" s="13" t="str">
        <f>Raw_Data!A3664</f>
        <v>EMP3871</v>
      </c>
      <c r="B3664" s="13" t="str">
        <f>TRIM(CLEAN(Raw_Data!B3664))</f>
        <v>Finance</v>
      </c>
      <c r="C3664" s="18" t="s">
        <v>33</v>
      </c>
      <c r="D3664" s="14" t="str">
        <f>IF(ISBLANK(Raw_Data!D3664),AVERAGE(Raw_Data!D$2:D$5002),Raw_Data!D3664)</f>
        <v>90165.26</v>
      </c>
      <c r="E3664" s="15" t="str">
        <f>IF(ISBLANK(Raw_Data!E3664),AVERAGE(Raw_Data!E$2:E$5002),Raw_Data!E3664)</f>
        <v>31854.20</v>
      </c>
      <c r="F3664" s="15" t="str">
        <f>IF(ISBLANK(Raw_Data!F3664),AVERAGE(Raw_Data!F$2:F$5002),Raw_Data!F3664)</f>
        <v>29900.55</v>
      </c>
      <c r="G3664" s="14" t="str">
        <f>IF(ISBLANK(Raw_Data!G3664),AVERAGE(Raw_Data!G$2:G$5002),Raw_Data!G3664)</f>
        <v>20061.70</v>
      </c>
      <c r="H3664" s="15" t="str">
        <f t="shared" si="1"/>
        <v>151920.00</v>
      </c>
      <c r="I3664" s="14" t="str">
        <f t="shared" si="2"/>
        <v>131858.00</v>
      </c>
      <c r="J3664" s="16" t="str">
        <f>TEXT(Raw_Data!J3664,"MMM-YYY")</f>
        <v>Feb-2025</v>
      </c>
      <c r="K3664" s="13" t="str">
        <f>Raw_Data!K3664</f>
        <v>5</v>
      </c>
      <c r="L3664" s="17" t="str">
        <f>Raw_Data!L3664</f>
        <v>Delhi-North</v>
      </c>
      <c r="M3664" s="13" t="str">
        <f t="shared" si="3"/>
        <v>OK</v>
      </c>
      <c r="N3664" s="18" t="str">
        <f t="shared" si="4"/>
        <v>VALID</v>
      </c>
    </row>
    <row r="3665" ht="15.75" customHeight="1">
      <c r="A3665" s="13" t="str">
        <f>Raw_Data!A3665</f>
        <v>EMP3872</v>
      </c>
      <c r="B3665" s="13" t="str">
        <f>TRIM(CLEAN(Raw_Data!B3665))</f>
        <v>HR</v>
      </c>
      <c r="C3665" s="18" t="s">
        <v>26</v>
      </c>
      <c r="D3665" s="14" t="str">
        <f>IF(ISBLANK(Raw_Data!D3665),AVERAGE(Raw_Data!D$2:D$5002),Raw_Data!D3665)</f>
        <v>90176.14</v>
      </c>
      <c r="E3665" s="15" t="str">
        <f>IF(ISBLANK(Raw_Data!E3665),AVERAGE(Raw_Data!E$2:E$5002),Raw_Data!E3665)</f>
        <v>31858.81</v>
      </c>
      <c r="F3665" s="15" t="str">
        <f>IF(ISBLANK(Raw_Data!F3665),AVERAGE(Raw_Data!F$2:F$5002),Raw_Data!F3665)</f>
        <v>29908.23</v>
      </c>
      <c r="G3665" s="14" t="str">
        <f>IF(ISBLANK(Raw_Data!G3665),AVERAGE(Raw_Data!G$2:G$5002),Raw_Data!G3665)</f>
        <v>20065.10</v>
      </c>
      <c r="H3665" s="15" t="str">
        <f t="shared" si="1"/>
        <v>151943.00</v>
      </c>
      <c r="I3665" s="14" t="str">
        <f t="shared" si="2"/>
        <v>131878.00</v>
      </c>
      <c r="J3665" s="16" t="str">
        <f>TEXT(Raw_Data!J3665,"MMM-YYY")</f>
        <v>Jun-2025</v>
      </c>
      <c r="K3665" s="13" t="str">
        <f>Raw_Data!K3665</f>
        <v>7</v>
      </c>
      <c r="L3665" s="17" t="str">
        <f>Raw_Data!L3665</f>
        <v>Bangalore-South</v>
      </c>
      <c r="M3665" s="13" t="str">
        <f t="shared" si="3"/>
        <v>OK</v>
      </c>
      <c r="N3665" s="18" t="str">
        <f t="shared" si="4"/>
        <v>VALID</v>
      </c>
    </row>
    <row r="3666" ht="15.75" customHeight="1">
      <c r="A3666" s="13" t="str">
        <f>Raw_Data!A3666</f>
        <v>EMP3873</v>
      </c>
      <c r="B3666" s="13" t="str">
        <f>TRIM(CLEAN(Raw_Data!B3666))</f>
        <v>Customer Support</v>
      </c>
      <c r="C3666" s="18" t="s">
        <v>14</v>
      </c>
      <c r="D3666" s="14" t="str">
        <f>IF(ISBLANK(Raw_Data!D3666),AVERAGE(Raw_Data!D$2:D$5002),Raw_Data!D3666)</f>
        <v>90187.02</v>
      </c>
      <c r="E3666" s="15" t="str">
        <f>IF(ISBLANK(Raw_Data!E3666),AVERAGE(Raw_Data!E$2:E$5002),Raw_Data!E3666)</f>
        <v>31863.43</v>
      </c>
      <c r="F3666" s="15" t="str">
        <f>IF(ISBLANK(Raw_Data!F3666),AVERAGE(Raw_Data!F$2:F$5002),Raw_Data!F3666)</f>
        <v>29915.91</v>
      </c>
      <c r="G3666" s="14" t="str">
        <f>IF(ISBLANK(Raw_Data!G3666),AVERAGE(Raw_Data!G$2:G$5002),Raw_Data!G3666)</f>
        <v>20068.49</v>
      </c>
      <c r="H3666" s="15" t="str">
        <f t="shared" si="1"/>
        <v>151966.00</v>
      </c>
      <c r="I3666" s="14" t="str">
        <f t="shared" si="2"/>
        <v>131898.00</v>
      </c>
      <c r="J3666" s="16" t="str">
        <f>TEXT(Raw_Data!J3666,"MMM-YYY")</f>
        <v>May-2025</v>
      </c>
      <c r="K3666" s="13" t="str">
        <f>Raw_Data!K3666</f>
        <v>13</v>
      </c>
      <c r="L3666" s="17" t="str">
        <f>Raw_Data!L3666</f>
        <v>Chennai-South</v>
      </c>
      <c r="M3666" s="13" t="str">
        <f t="shared" si="3"/>
        <v>OK</v>
      </c>
      <c r="N3666" s="18" t="str">
        <f t="shared" si="4"/>
        <v>VALID</v>
      </c>
    </row>
    <row r="3667" ht="15.75" customHeight="1">
      <c r="A3667" s="13" t="str">
        <f>Raw_Data!A3667</f>
        <v>EMP3874</v>
      </c>
      <c r="B3667" s="13" t="str">
        <f>TRIM(CLEAN(Raw_Data!B3667))</f>
        <v>Operations</v>
      </c>
      <c r="C3667" s="18" t="s">
        <v>18</v>
      </c>
      <c r="D3667" s="14" t="str">
        <f>IF(ISBLANK(Raw_Data!D3667),AVERAGE(Raw_Data!D$2:D$5002),Raw_Data!D3667)</f>
        <v>90197.90</v>
      </c>
      <c r="E3667" s="15" t="str">
        <f>IF(ISBLANK(Raw_Data!E3667),AVERAGE(Raw_Data!E$2:E$5002),Raw_Data!E3667)</f>
        <v>31868.04</v>
      </c>
      <c r="F3667" s="15" t="str">
        <f>IF(ISBLANK(Raw_Data!F3667),AVERAGE(Raw_Data!F$2:F$5002),Raw_Data!F3667)</f>
        <v>29923.59</v>
      </c>
      <c r="G3667" s="14" t="str">
        <f>IF(ISBLANK(Raw_Data!G3667),AVERAGE(Raw_Data!G$2:G$5002),Raw_Data!G3667)</f>
        <v>20071.89</v>
      </c>
      <c r="H3667" s="15" t="str">
        <f t="shared" si="1"/>
        <v>151990.00</v>
      </c>
      <c r="I3667" s="14" t="str">
        <f t="shared" si="2"/>
        <v>131918.00</v>
      </c>
      <c r="J3667" s="16" t="str">
        <f>TEXT(Raw_Data!J3667,"MMM-YYY")</f>
        <v>Sep-2025</v>
      </c>
      <c r="K3667" s="13" t="str">
        <f>Raw_Data!K3667</f>
        <v>13</v>
      </c>
      <c r="L3667" s="17" t="str">
        <f>Raw_Data!L3667</f>
        <v>Kolkata-East</v>
      </c>
      <c r="M3667" s="13" t="str">
        <f t="shared" si="3"/>
        <v>OK</v>
      </c>
      <c r="N3667" s="18" t="str">
        <f t="shared" si="4"/>
        <v>VALID</v>
      </c>
    </row>
    <row r="3668" ht="15.75" customHeight="1">
      <c r="A3668" s="13" t="str">
        <f>Raw_Data!A3668</f>
        <v>EMP3875</v>
      </c>
      <c r="B3668" s="13" t="str">
        <f>TRIM(CLEAN(Raw_Data!B3668))</f>
        <v>Marketing</v>
      </c>
      <c r="C3668" s="18" t="s">
        <v>26</v>
      </c>
      <c r="D3668" s="14" t="str">
        <f>IF(ISBLANK(Raw_Data!D3668),AVERAGE(Raw_Data!D$2:D$5002),Raw_Data!D3668)</f>
        <v>90208.79</v>
      </c>
      <c r="E3668" s="15" t="str">
        <f>IF(ISBLANK(Raw_Data!E3668),AVERAGE(Raw_Data!E$2:E$5002),Raw_Data!E3668)</f>
        <v>31872.66</v>
      </c>
      <c r="F3668" s="15" t="str">
        <f>IF(ISBLANK(Raw_Data!F3668),AVERAGE(Raw_Data!F$2:F$5002),Raw_Data!F3668)</f>
        <v>29931.27</v>
      </c>
      <c r="G3668" s="14" t="str">
        <f>IF(ISBLANK(Raw_Data!G3668),AVERAGE(Raw_Data!G$2:G$5002),Raw_Data!G3668)</f>
        <v>20075.29</v>
      </c>
      <c r="H3668" s="15" t="str">
        <f t="shared" si="1"/>
        <v>152013.00</v>
      </c>
      <c r="I3668" s="14" t="str">
        <f t="shared" si="2"/>
        <v>131938.00</v>
      </c>
      <c r="J3668" s="16" t="str">
        <f>TEXT(Raw_Data!J3668,"MMM-YYY")</f>
        <v>Jan-2025</v>
      </c>
      <c r="K3668" s="13" t="str">
        <f>Raw_Data!K3668</f>
        <v>12</v>
      </c>
      <c r="L3668" s="17" t="str">
        <f>Raw_Data!L3668</f>
        <v>Pune-West</v>
      </c>
      <c r="M3668" s="13" t="str">
        <f t="shared" si="3"/>
        <v>OK</v>
      </c>
      <c r="N3668" s="18" t="str">
        <f t="shared" si="4"/>
        <v>VALID</v>
      </c>
    </row>
    <row r="3669" ht="15.75" customHeight="1">
      <c r="A3669" s="13" t="str">
        <f>Raw_Data!A3669</f>
        <v>EMP3876</v>
      </c>
      <c r="B3669" s="13" t="str">
        <f>TRIM(CLEAN(Raw_Data!B3669))</f>
        <v>Operations</v>
      </c>
      <c r="C3669" s="18" t="s">
        <v>54</v>
      </c>
      <c r="D3669" s="14" t="str">
        <f>IF(ISBLANK(Raw_Data!D3669),AVERAGE(Raw_Data!D$2:D$5002),Raw_Data!D3669)</f>
        <v>90219.67</v>
      </c>
      <c r="E3669" s="15" t="str">
        <f>IF(ISBLANK(Raw_Data!E3669),AVERAGE(Raw_Data!E$2:E$5002),Raw_Data!E3669)</f>
        <v>31877.27</v>
      </c>
      <c r="F3669" s="15" t="str">
        <f>IF(ISBLANK(Raw_Data!F3669),AVERAGE(Raw_Data!F$2:F$5002),Raw_Data!F3669)</f>
        <v>29938.95</v>
      </c>
      <c r="G3669" s="14" t="str">
        <f>IF(ISBLANK(Raw_Data!G3669),AVERAGE(Raw_Data!G$2:G$5002),Raw_Data!G3669)</f>
        <v>20078.69</v>
      </c>
      <c r="H3669" s="15" t="str">
        <f t="shared" si="1"/>
        <v>152036.00</v>
      </c>
      <c r="I3669" s="14" t="str">
        <f t="shared" si="2"/>
        <v>131957.00</v>
      </c>
      <c r="J3669" s="16" t="str">
        <f>TEXT(Raw_Data!J3669,"MMM-YYY")</f>
        <v>Sep-2025</v>
      </c>
      <c r="K3669" s="13" t="str">
        <f>Raw_Data!K3669</f>
        <v>19</v>
      </c>
      <c r="L3669" s="17" t="str">
        <f>Raw_Data!L3669</f>
        <v>Hyderabad-South</v>
      </c>
      <c r="M3669" s="13" t="str">
        <f t="shared" si="3"/>
        <v>OK</v>
      </c>
      <c r="N3669" s="18" t="str">
        <f t="shared" si="4"/>
        <v>VALID</v>
      </c>
    </row>
    <row r="3670" ht="15.75" customHeight="1">
      <c r="A3670" s="13" t="str">
        <f>Raw_Data!A3670</f>
        <v>EMP3877</v>
      </c>
      <c r="B3670" s="13" t="str">
        <f>TRIM(CLEAN(Raw_Data!B3670))</f>
        <v>HR</v>
      </c>
      <c r="C3670" s="18" t="s">
        <v>14</v>
      </c>
      <c r="D3670" s="14" t="str">
        <f>IF(ISBLANK(Raw_Data!D3670),AVERAGE(Raw_Data!D$2:D$5002),Raw_Data!D3670)</f>
        <v>90230.55</v>
      </c>
      <c r="E3670" s="15" t="str">
        <f>IF(ISBLANK(Raw_Data!E3670),AVERAGE(Raw_Data!E$2:E$5002),Raw_Data!E3670)</f>
        <v>31881.89</v>
      </c>
      <c r="F3670" s="15" t="str">
        <f>IF(ISBLANK(Raw_Data!F3670),AVERAGE(Raw_Data!F$2:F$5002),Raw_Data!F3670)</f>
        <v>29946.63</v>
      </c>
      <c r="G3670" s="14" t="str">
        <f>IF(ISBLANK(Raw_Data!G3670),AVERAGE(Raw_Data!G$2:G$5002),Raw_Data!G3670)</f>
        <v>20082.08</v>
      </c>
      <c r="H3670" s="15" t="str">
        <f t="shared" si="1"/>
        <v>152059.00</v>
      </c>
      <c r="I3670" s="14" t="str">
        <f t="shared" si="2"/>
        <v>131977.00</v>
      </c>
      <c r="J3670" s="16" t="str">
        <f>TEXT(Raw_Data!J3670,"MMM-YYY")</f>
        <v>Dec-2025</v>
      </c>
      <c r="K3670" s="13" t="str">
        <f>Raw_Data!K3670</f>
        <v>17</v>
      </c>
      <c r="L3670" s="17" t="str">
        <f>Raw_Data!L3670</f>
        <v>Chandigarh-North</v>
      </c>
      <c r="M3670" s="13" t="str">
        <f t="shared" si="3"/>
        <v>OK</v>
      </c>
      <c r="N3670" s="18" t="str">
        <f t="shared" si="4"/>
        <v>VALID</v>
      </c>
    </row>
    <row r="3671" ht="15.75" customHeight="1">
      <c r="A3671" s="13" t="str">
        <f>Raw_Data!A3671</f>
        <v>EMP3878</v>
      </c>
      <c r="B3671" s="13" t="str">
        <f>TRIM(CLEAN(Raw_Data!B3671))</f>
        <v>Marketing</v>
      </c>
      <c r="C3671" s="18" t="s">
        <v>54</v>
      </c>
      <c r="D3671" s="14" t="str">
        <f>IF(ISBLANK(Raw_Data!D3671),AVERAGE(Raw_Data!D$2:D$5002),Raw_Data!D3671)</f>
        <v>90241.44</v>
      </c>
      <c r="E3671" s="15" t="str">
        <f>IF(ISBLANK(Raw_Data!E3671),AVERAGE(Raw_Data!E$2:E$5002),Raw_Data!E3671)</f>
        <v>31886.50</v>
      </c>
      <c r="F3671" s="15" t="str">
        <f>IF(ISBLANK(Raw_Data!F3671),AVERAGE(Raw_Data!F$2:F$5002),Raw_Data!F3671)</f>
        <v>29954.31</v>
      </c>
      <c r="G3671" s="14" t="str">
        <f>IF(ISBLANK(Raw_Data!G3671),AVERAGE(Raw_Data!G$2:G$5002),Raw_Data!G3671)</f>
        <v>20085.48</v>
      </c>
      <c r="H3671" s="15" t="str">
        <f t="shared" si="1"/>
        <v>152082.00</v>
      </c>
      <c r="I3671" s="14" t="str">
        <f t="shared" si="2"/>
        <v>131997.00</v>
      </c>
      <c r="J3671" s="16" t="str">
        <f>TEXT(Raw_Data!J3671,"MMM-YYY")</f>
        <v>Aug-2025</v>
      </c>
      <c r="K3671" s="13" t="str">
        <f>Raw_Data!K3671</f>
        <v>25</v>
      </c>
      <c r="L3671" s="17" t="str">
        <f>Raw_Data!L3671</f>
        <v>Ahmedabad-West</v>
      </c>
      <c r="M3671" s="13" t="str">
        <f t="shared" si="3"/>
        <v>OK</v>
      </c>
      <c r="N3671" s="18" t="str">
        <f t="shared" si="4"/>
        <v>VALID</v>
      </c>
    </row>
    <row r="3672" ht="15.75" customHeight="1">
      <c r="A3672" s="13" t="str">
        <f>Raw_Data!A3672</f>
        <v>EMP3880</v>
      </c>
      <c r="B3672" s="13" t="str">
        <f>TRIM(CLEAN(Raw_Data!B3672))</f>
        <v>Finance</v>
      </c>
      <c r="C3672" s="18" t="s">
        <v>30</v>
      </c>
      <c r="D3672" s="14" t="str">
        <f>IF(ISBLANK(Raw_Data!D3672),AVERAGE(Raw_Data!D$2:D$5002),Raw_Data!D3672)</f>
        <v>90263.20</v>
      </c>
      <c r="E3672" s="15" t="str">
        <f>IF(ISBLANK(Raw_Data!E3672),AVERAGE(Raw_Data!E$2:E$5002),Raw_Data!E3672)</f>
        <v>31895.73</v>
      </c>
      <c r="F3672" s="15" t="str">
        <f>IF(ISBLANK(Raw_Data!F3672),AVERAGE(Raw_Data!F$2:F$5002),Raw_Data!F3672)</f>
        <v>29969.67</v>
      </c>
      <c r="G3672" s="14" t="str">
        <f>IF(ISBLANK(Raw_Data!G3672),AVERAGE(Raw_Data!G$2:G$5002),Raw_Data!G3672)</f>
        <v>20092.28</v>
      </c>
      <c r="H3672" s="15" t="str">
        <f t="shared" si="1"/>
        <v>152129.00</v>
      </c>
      <c r="I3672" s="14" t="str">
        <f t="shared" si="2"/>
        <v>132037.00</v>
      </c>
      <c r="J3672" s="16" t="str">
        <f>TEXT(Raw_Data!J3672,"MMM-YYY")</f>
        <v>Nov-2025</v>
      </c>
      <c r="K3672" s="13" t="str">
        <f>Raw_Data!K3672</f>
        <v>2</v>
      </c>
      <c r="L3672" s="17" t="str">
        <f>Raw_Data!L3672</f>
        <v>Mumbai-HO</v>
      </c>
      <c r="M3672" s="13" t="str">
        <f t="shared" si="3"/>
        <v>OK</v>
      </c>
      <c r="N3672" s="18" t="str">
        <f t="shared" si="4"/>
        <v>VALID</v>
      </c>
    </row>
    <row r="3673" ht="15.75" customHeight="1">
      <c r="A3673" s="13" t="str">
        <f>Raw_Data!A3673</f>
        <v>EMP3881</v>
      </c>
      <c r="B3673" s="13" t="str">
        <f>TRIM(CLEAN(Raw_Data!B3673))</f>
        <v>HR</v>
      </c>
      <c r="C3673" s="18" t="s">
        <v>26</v>
      </c>
      <c r="D3673" s="14" t="str">
        <f>IF(ISBLANK(Raw_Data!D3673),AVERAGE(Raw_Data!D$2:D$5002),Raw_Data!D3673)</f>
        <v>90274.09</v>
      </c>
      <c r="E3673" s="15" t="str">
        <f>IF(ISBLANK(Raw_Data!E3673),AVERAGE(Raw_Data!E$2:E$5002),Raw_Data!E3673)</f>
        <v>31900.35</v>
      </c>
      <c r="F3673" s="15" t="str">
        <f>IF(ISBLANK(Raw_Data!F3673),AVERAGE(Raw_Data!F$2:F$5002),Raw_Data!F3673)</f>
        <v>29977.35</v>
      </c>
      <c r="G3673" s="14" t="str">
        <f>IF(ISBLANK(Raw_Data!G3673),AVERAGE(Raw_Data!G$2:G$5002),Raw_Data!G3673)</f>
        <v>20095.67</v>
      </c>
      <c r="H3673" s="15" t="str">
        <f t="shared" si="1"/>
        <v>152152.00</v>
      </c>
      <c r="I3673" s="14" t="str">
        <f t="shared" si="2"/>
        <v>132056.00</v>
      </c>
      <c r="J3673" s="16" t="str">
        <f>TEXT(Raw_Data!J3673,"MMM-YYY")</f>
        <v>May-2025</v>
      </c>
      <c r="K3673" s="13" t="str">
        <f>Raw_Data!K3673</f>
        <v>9</v>
      </c>
      <c r="L3673" s="17" t="str">
        <f>Raw_Data!L3673</f>
        <v>Delhi-North</v>
      </c>
      <c r="M3673" s="13" t="str">
        <f t="shared" si="3"/>
        <v>OK</v>
      </c>
      <c r="N3673" s="18" t="str">
        <f t="shared" si="4"/>
        <v>VALID</v>
      </c>
    </row>
    <row r="3674" ht="15.75" customHeight="1">
      <c r="A3674" s="13" t="str">
        <f>Raw_Data!A3674</f>
        <v>EMP3882</v>
      </c>
      <c r="B3674" s="13" t="str">
        <f>TRIM(CLEAN(Raw_Data!B3674))</f>
        <v>Operations</v>
      </c>
      <c r="C3674" s="18" t="s">
        <v>30</v>
      </c>
      <c r="D3674" s="14" t="str">
        <f>IF(ISBLANK(Raw_Data!D3674),AVERAGE(Raw_Data!D$2:D$5002),Raw_Data!D3674)</f>
        <v>90284.97</v>
      </c>
      <c r="E3674" s="15" t="str">
        <f>IF(ISBLANK(Raw_Data!E3674),AVERAGE(Raw_Data!E$2:E$5002),Raw_Data!E3674)</f>
        <v>31904.96</v>
      </c>
      <c r="F3674" s="15" t="str">
        <f>IF(ISBLANK(Raw_Data!F3674),AVERAGE(Raw_Data!F$2:F$5002),Raw_Data!F3674)</f>
        <v>29985.03</v>
      </c>
      <c r="G3674" s="14" t="str">
        <f>IF(ISBLANK(Raw_Data!G3674),AVERAGE(Raw_Data!G$2:G$5002),Raw_Data!G3674)</f>
        <v>20099.07</v>
      </c>
      <c r="H3674" s="15" t="str">
        <f t="shared" si="1"/>
        <v>152175.00</v>
      </c>
      <c r="I3674" s="14" t="str">
        <f t="shared" si="2"/>
        <v>132076.00</v>
      </c>
      <c r="J3674" s="16" t="str">
        <f>TEXT(Raw_Data!J3674,"MMM-YYY")</f>
        <v>Jun-2025</v>
      </c>
      <c r="K3674" s="13" t="str">
        <f>Raw_Data!K3674</f>
        <v>10</v>
      </c>
      <c r="L3674" s="17" t="str">
        <f>Raw_Data!L3674</f>
        <v>Bangalore-South</v>
      </c>
      <c r="M3674" s="13" t="str">
        <f t="shared" si="3"/>
        <v>OK</v>
      </c>
      <c r="N3674" s="18" t="str">
        <f t="shared" si="4"/>
        <v>VALID</v>
      </c>
    </row>
    <row r="3675" ht="15.75" customHeight="1">
      <c r="A3675" s="13" t="str">
        <f>Raw_Data!A3675</f>
        <v>EMP3883</v>
      </c>
      <c r="B3675" s="13" t="str">
        <f>TRIM(CLEAN(Raw_Data!B3675))</f>
        <v>Marketing</v>
      </c>
      <c r="C3675" s="18" t="s">
        <v>54</v>
      </c>
      <c r="D3675" s="14" t="str">
        <f>IF(ISBLANK(Raw_Data!D3675),AVERAGE(Raw_Data!D$2:D$5002),Raw_Data!D3675)</f>
        <v>90295.85</v>
      </c>
      <c r="E3675" s="15" t="str">
        <f>IF(ISBLANK(Raw_Data!E3675),AVERAGE(Raw_Data!E$2:E$5002),Raw_Data!E3675)</f>
        <v>31909.58</v>
      </c>
      <c r="F3675" s="15" t="str">
        <f>IF(ISBLANK(Raw_Data!F3675),AVERAGE(Raw_Data!F$2:F$5002),Raw_Data!F3675)</f>
        <v>29992.71</v>
      </c>
      <c r="G3675" s="14" t="str">
        <f>IF(ISBLANK(Raw_Data!G3675),AVERAGE(Raw_Data!G$2:G$5002),Raw_Data!G3675)</f>
        <v>20102.47</v>
      </c>
      <c r="H3675" s="15" t="str">
        <f t="shared" si="1"/>
        <v>152198.00</v>
      </c>
      <c r="I3675" s="14" t="str">
        <f t="shared" si="2"/>
        <v>132096.00</v>
      </c>
      <c r="J3675" s="16" t="str">
        <f>TEXT(Raw_Data!J3675,"MMM-YYY")</f>
        <v>Nov-2025</v>
      </c>
      <c r="K3675" s="13" t="str">
        <f>Raw_Data!K3675</f>
        <v>3</v>
      </c>
      <c r="L3675" s="17" t="str">
        <f>Raw_Data!L3675</f>
        <v>Chennai-South</v>
      </c>
      <c r="M3675" s="13" t="str">
        <f t="shared" si="3"/>
        <v>OK</v>
      </c>
      <c r="N3675" s="18" t="str">
        <f t="shared" si="4"/>
        <v>VALID</v>
      </c>
    </row>
    <row r="3676" ht="15.75" customHeight="1">
      <c r="A3676" s="13" t="str">
        <f>Raw_Data!A3676</f>
        <v>EMP3884</v>
      </c>
      <c r="B3676" s="13" t="str">
        <f>TRIM(CLEAN(Raw_Data!B3676))</f>
        <v>IT</v>
      </c>
      <c r="C3676" s="18" t="s">
        <v>33</v>
      </c>
      <c r="D3676" s="14" t="str">
        <f>IF(ISBLANK(Raw_Data!D3676),AVERAGE(Raw_Data!D$2:D$5002),Raw_Data!D3676)</f>
        <v>90306.73</v>
      </c>
      <c r="E3676" s="15" t="str">
        <f>IF(ISBLANK(Raw_Data!E3676),AVERAGE(Raw_Data!E$2:E$5002),Raw_Data!E3676)</f>
        <v>31914.19</v>
      </c>
      <c r="F3676" s="15" t="str">
        <f>IF(ISBLANK(Raw_Data!F3676),AVERAGE(Raw_Data!F$2:F$5002),Raw_Data!F3676)</f>
        <v>30000.39</v>
      </c>
      <c r="G3676" s="14" t="str">
        <f>IF(ISBLANK(Raw_Data!G3676),AVERAGE(Raw_Data!G$2:G$5002),Raw_Data!G3676)</f>
        <v>20105.87</v>
      </c>
      <c r="H3676" s="15" t="str">
        <f t="shared" si="1"/>
        <v>152221.00</v>
      </c>
      <c r="I3676" s="14" t="str">
        <f t="shared" si="2"/>
        <v>132115.00</v>
      </c>
      <c r="J3676" s="16" t="str">
        <f>TEXT(Raw_Data!J3676,"MMM-YYY")</f>
        <v>May-2025</v>
      </c>
      <c r="K3676" s="13" t="str">
        <f>Raw_Data!K3676</f>
        <v>11</v>
      </c>
      <c r="L3676" s="17" t="str">
        <f>Raw_Data!L3676</f>
        <v>Kolkata-East</v>
      </c>
      <c r="M3676" s="13" t="str">
        <f t="shared" si="3"/>
        <v>OK</v>
      </c>
      <c r="N3676" s="18" t="str">
        <f t="shared" si="4"/>
        <v>VALID</v>
      </c>
    </row>
    <row r="3677" ht="15.75" customHeight="1">
      <c r="A3677" s="13" t="str">
        <f>Raw_Data!A3677</f>
        <v>EMP3885</v>
      </c>
      <c r="B3677" s="13" t="str">
        <f>TRIM(CLEAN(Raw_Data!B3677))</f>
        <v>Sales</v>
      </c>
      <c r="C3677" s="18" t="s">
        <v>26</v>
      </c>
      <c r="D3677" s="14" t="str">
        <f>IF(ISBLANK(Raw_Data!D3677),AVERAGE(Raw_Data!D$2:D$5002),Raw_Data!D3677)</f>
        <v>90317.62</v>
      </c>
      <c r="E3677" s="15" t="str">
        <f>IF(ISBLANK(Raw_Data!E3677),AVERAGE(Raw_Data!E$2:E$5002),Raw_Data!E3677)</f>
        <v>31918.80</v>
      </c>
      <c r="F3677" s="15" t="str">
        <f>IF(ISBLANK(Raw_Data!F3677),AVERAGE(Raw_Data!F$2:F$5002),Raw_Data!F3677)</f>
        <v>30008.07</v>
      </c>
      <c r="G3677" s="14" t="str">
        <f>IF(ISBLANK(Raw_Data!G3677),AVERAGE(Raw_Data!G$2:G$5002),Raw_Data!G3677)</f>
        <v>20109.26</v>
      </c>
      <c r="H3677" s="15" t="str">
        <f t="shared" si="1"/>
        <v>152244.00</v>
      </c>
      <c r="I3677" s="14" t="str">
        <f t="shared" si="2"/>
        <v>132135.00</v>
      </c>
      <c r="J3677" s="16" t="str">
        <f>TEXT(Raw_Data!J3677,"MMM-YYY")</f>
        <v>Dec-2025</v>
      </c>
      <c r="K3677" s="13" t="str">
        <f>Raw_Data!K3677</f>
        <v>18</v>
      </c>
      <c r="L3677" s="17" t="str">
        <f>Raw_Data!L3677</f>
        <v>Pune-West</v>
      </c>
      <c r="M3677" s="13" t="str">
        <f t="shared" si="3"/>
        <v>OK</v>
      </c>
      <c r="N3677" s="18" t="str">
        <f t="shared" si="4"/>
        <v>VALID</v>
      </c>
    </row>
    <row r="3678" ht="15.75" customHeight="1">
      <c r="A3678" s="13" t="str">
        <f>Raw_Data!A3678</f>
        <v>EMP3886</v>
      </c>
      <c r="B3678" s="13" t="str">
        <f>TRIM(CLEAN(Raw_Data!B3678))</f>
        <v>HR</v>
      </c>
      <c r="C3678" s="18" t="s">
        <v>14</v>
      </c>
      <c r="D3678" s="14" t="str">
        <f>IF(ISBLANK(Raw_Data!D3678),AVERAGE(Raw_Data!D$2:D$5002),Raw_Data!D3678)</f>
        <v>90328.50</v>
      </c>
      <c r="E3678" s="15" t="str">
        <f>IF(ISBLANK(Raw_Data!E3678),AVERAGE(Raw_Data!E$2:E$5002),Raw_Data!E3678)</f>
        <v>31923.42</v>
      </c>
      <c r="F3678" s="15" t="str">
        <f>IF(ISBLANK(Raw_Data!F3678),AVERAGE(Raw_Data!F$2:F$5002),Raw_Data!F3678)</f>
        <v>30015.75</v>
      </c>
      <c r="G3678" s="14" t="str">
        <f>IF(ISBLANK(Raw_Data!G3678),AVERAGE(Raw_Data!G$2:G$5002),Raw_Data!G3678)</f>
        <v>20112.66</v>
      </c>
      <c r="H3678" s="15" t="str">
        <f t="shared" si="1"/>
        <v>152268.00</v>
      </c>
      <c r="I3678" s="14" t="str">
        <f t="shared" si="2"/>
        <v>132155.00</v>
      </c>
      <c r="J3678" s="16" t="str">
        <f>TEXT(Raw_Data!J3678,"MMM-YYY")</f>
        <v>Nov-2025</v>
      </c>
      <c r="K3678" s="13" t="str">
        <f>Raw_Data!K3678</f>
        <v>3</v>
      </c>
      <c r="L3678" s="17" t="str">
        <f>Raw_Data!L3678</f>
        <v>Hyderabad-South</v>
      </c>
      <c r="M3678" s="13" t="str">
        <f t="shared" si="3"/>
        <v>OK</v>
      </c>
      <c r="N3678" s="18" t="str">
        <f t="shared" si="4"/>
        <v>VALID</v>
      </c>
    </row>
    <row r="3679" ht="15.75" customHeight="1">
      <c r="A3679" s="13" t="str">
        <f>Raw_Data!A3679</f>
        <v>EMP3887</v>
      </c>
      <c r="B3679" s="13" t="str">
        <f>TRIM(CLEAN(Raw_Data!B3679))</f>
        <v>Sales</v>
      </c>
      <c r="C3679" s="18" t="s">
        <v>33</v>
      </c>
      <c r="D3679" s="14" t="str">
        <f>IF(ISBLANK(Raw_Data!D3679),AVERAGE(Raw_Data!D$2:D$5002),Raw_Data!D3679)</f>
        <v>90339.38</v>
      </c>
      <c r="E3679" s="15" t="str">
        <f>IF(ISBLANK(Raw_Data!E3679),AVERAGE(Raw_Data!E$2:E$5002),Raw_Data!E3679)</f>
        <v>31928.03</v>
      </c>
      <c r="F3679" s="15" t="str">
        <f>IF(ISBLANK(Raw_Data!F3679),AVERAGE(Raw_Data!F$2:F$5002),Raw_Data!F3679)</f>
        <v>30023.43</v>
      </c>
      <c r="G3679" s="14" t="str">
        <f>IF(ISBLANK(Raw_Data!G3679),AVERAGE(Raw_Data!G$2:G$5002),Raw_Data!G3679)</f>
        <v>20116.06</v>
      </c>
      <c r="H3679" s="15" t="str">
        <f t="shared" si="1"/>
        <v>152291.00</v>
      </c>
      <c r="I3679" s="14" t="str">
        <f t="shared" si="2"/>
        <v>132175.00</v>
      </c>
      <c r="J3679" s="16" t="str">
        <f>TEXT(Raw_Data!J3679,"MMM-YYY")</f>
        <v>Apr-2025</v>
      </c>
      <c r="K3679" s="13" t="str">
        <f>Raw_Data!K3679</f>
        <v>8</v>
      </c>
      <c r="L3679" s="17" t="str">
        <f>Raw_Data!L3679</f>
        <v>Chandigarh-North</v>
      </c>
      <c r="M3679" s="13" t="str">
        <f t="shared" si="3"/>
        <v>OK</v>
      </c>
      <c r="N3679" s="18" t="str">
        <f t="shared" si="4"/>
        <v>VALID</v>
      </c>
    </row>
    <row r="3680" ht="15.75" customHeight="1">
      <c r="A3680" s="13" t="str">
        <f>Raw_Data!A3680</f>
        <v>EMP3888</v>
      </c>
      <c r="B3680" s="13" t="str">
        <f>TRIM(CLEAN(Raw_Data!B3680))</f>
        <v>Operations</v>
      </c>
      <c r="C3680" s="18" t="s">
        <v>54</v>
      </c>
      <c r="D3680" s="14" t="str">
        <f>IF(ISBLANK(Raw_Data!D3680),AVERAGE(Raw_Data!D$2:D$5002),Raw_Data!D3680)</f>
        <v>90350.27</v>
      </c>
      <c r="E3680" s="15" t="str">
        <f>IF(ISBLANK(Raw_Data!E3680),AVERAGE(Raw_Data!E$2:E$5002),Raw_Data!E3680)</f>
        <v>31932.65</v>
      </c>
      <c r="F3680" s="15" t="str">
        <f>IF(ISBLANK(Raw_Data!F3680),AVERAGE(Raw_Data!F$2:F$5002),Raw_Data!F3680)</f>
        <v>30031.11</v>
      </c>
      <c r="G3680" s="14" t="str">
        <f>IF(ISBLANK(Raw_Data!G3680),AVERAGE(Raw_Data!G$2:G$5002),Raw_Data!G3680)</f>
        <v>20119.46</v>
      </c>
      <c r="H3680" s="15" t="str">
        <f t="shared" si="1"/>
        <v>152314.00</v>
      </c>
      <c r="I3680" s="14" t="str">
        <f t="shared" si="2"/>
        <v>132195.00</v>
      </c>
      <c r="J3680" s="16" t="str">
        <f>TEXT(Raw_Data!J3680,"MMM-YYY")</f>
        <v>Feb-2025</v>
      </c>
      <c r="K3680" s="13" t="str">
        <f>Raw_Data!K3680</f>
        <v>12</v>
      </c>
      <c r="L3680" s="17" t="str">
        <f>Raw_Data!L3680</f>
        <v>Ahmedabad-West</v>
      </c>
      <c r="M3680" s="13" t="str">
        <f t="shared" si="3"/>
        <v>OK</v>
      </c>
      <c r="N3680" s="18" t="str">
        <f t="shared" si="4"/>
        <v>VALID</v>
      </c>
    </row>
    <row r="3681" ht="15.75" customHeight="1">
      <c r="A3681" s="13" t="str">
        <f>Raw_Data!A3681</f>
        <v>EMP3889</v>
      </c>
      <c r="B3681" s="13" t="str">
        <f>TRIM(CLEAN(Raw_Data!B3681))</f>
        <v>Customer Support</v>
      </c>
      <c r="C3681" s="18" t="s">
        <v>26</v>
      </c>
      <c r="D3681" s="14" t="str">
        <f>IF(ISBLANK(Raw_Data!D3681),AVERAGE(Raw_Data!D$2:D$5002),Raw_Data!D3681)</f>
        <v>90361.15</v>
      </c>
      <c r="E3681" s="15" t="str">
        <f>IF(ISBLANK(Raw_Data!E3681),AVERAGE(Raw_Data!E$2:E$5002),Raw_Data!E3681)</f>
        <v>31937.26</v>
      </c>
      <c r="F3681" s="15" t="str">
        <f>IF(ISBLANK(Raw_Data!F3681),AVERAGE(Raw_Data!F$2:F$5002),Raw_Data!F3681)</f>
        <v>30038.79</v>
      </c>
      <c r="G3681" s="14" t="str">
        <f>IF(ISBLANK(Raw_Data!G3681),AVERAGE(Raw_Data!G$2:G$5002),Raw_Data!G3681)</f>
        <v>20122.85</v>
      </c>
      <c r="H3681" s="15" t="str">
        <f t="shared" si="1"/>
        <v>152337.00</v>
      </c>
      <c r="I3681" s="14" t="str">
        <f t="shared" si="2"/>
        <v>132214.00</v>
      </c>
      <c r="J3681" s="16" t="str">
        <f>TEXT(Raw_Data!J3681,"MMM-YYY")</f>
        <v>Dec-2025</v>
      </c>
      <c r="K3681" s="13" t="str">
        <f>Raw_Data!K3681</f>
        <v>11</v>
      </c>
      <c r="L3681" s="17" t="str">
        <f>Raw_Data!L3681</f>
        <v>Jaipur-North</v>
      </c>
      <c r="M3681" s="13" t="str">
        <f t="shared" si="3"/>
        <v>OK</v>
      </c>
      <c r="N3681" s="18" t="str">
        <f t="shared" si="4"/>
        <v>VALID</v>
      </c>
    </row>
    <row r="3682" ht="15.75" customHeight="1">
      <c r="A3682" s="13" t="str">
        <f>Raw_Data!A3682</f>
        <v>EMP3890</v>
      </c>
      <c r="B3682" s="13" t="str">
        <f>TRIM(CLEAN(Raw_Data!B3682))</f>
        <v>Marketing</v>
      </c>
      <c r="C3682" s="18" t="s">
        <v>30</v>
      </c>
      <c r="D3682" s="14" t="str">
        <f>IF(ISBLANK(Raw_Data!D3682),AVERAGE(Raw_Data!D$2:D$5002),Raw_Data!D3682)</f>
        <v>90372.03</v>
      </c>
      <c r="E3682" s="15" t="str">
        <f>IF(ISBLANK(Raw_Data!E3682),AVERAGE(Raw_Data!E$2:E$5002),Raw_Data!E3682)</f>
        <v>31941.88</v>
      </c>
      <c r="F3682" s="15" t="str">
        <f>IF(ISBLANK(Raw_Data!F3682),AVERAGE(Raw_Data!F$2:F$5002),Raw_Data!F3682)</f>
        <v>30046.47</v>
      </c>
      <c r="G3682" s="14" t="str">
        <f>IF(ISBLANK(Raw_Data!G3682),AVERAGE(Raw_Data!G$2:G$5002),Raw_Data!G3682)</f>
        <v>20126.25</v>
      </c>
      <c r="H3682" s="15" t="str">
        <f t="shared" si="1"/>
        <v>152360.00</v>
      </c>
      <c r="I3682" s="14" t="str">
        <f t="shared" si="2"/>
        <v>132234.00</v>
      </c>
      <c r="J3682" s="16" t="str">
        <f>TEXT(Raw_Data!J3682,"MMM-YYY")</f>
        <v>Oct-2025</v>
      </c>
      <c r="K3682" s="13" t="str">
        <f>Raw_Data!K3682</f>
        <v>20</v>
      </c>
      <c r="L3682" s="17" t="str">
        <f>Raw_Data!L3682</f>
        <v>Mumbai-HO</v>
      </c>
      <c r="M3682" s="13" t="str">
        <f t="shared" si="3"/>
        <v>OK</v>
      </c>
      <c r="N3682" s="18" t="str">
        <f t="shared" si="4"/>
        <v>VALID</v>
      </c>
    </row>
    <row r="3683" ht="15.75" customHeight="1">
      <c r="A3683" s="13" t="str">
        <f>Raw_Data!A3683</f>
        <v>EMP3891</v>
      </c>
      <c r="B3683" s="13" t="str">
        <f>TRIM(CLEAN(Raw_Data!B3683))</f>
        <v>IT</v>
      </c>
      <c r="C3683" s="18" t="s">
        <v>37</v>
      </c>
      <c r="D3683" s="14" t="str">
        <f>IF(ISBLANK(Raw_Data!D3683),AVERAGE(Raw_Data!D$2:D$5002),Raw_Data!D3683)</f>
        <v>90382.92</v>
      </c>
      <c r="E3683" s="15" t="str">
        <f>IF(ISBLANK(Raw_Data!E3683),AVERAGE(Raw_Data!E$2:E$5002),Raw_Data!E3683)</f>
        <v>31946.49</v>
      </c>
      <c r="F3683" s="15" t="str">
        <f>IF(ISBLANK(Raw_Data!F3683),AVERAGE(Raw_Data!F$2:F$5002),Raw_Data!F3683)</f>
        <v>30054.15</v>
      </c>
      <c r="G3683" s="14" t="str">
        <f>IF(ISBLANK(Raw_Data!G3683),AVERAGE(Raw_Data!G$2:G$5002),Raw_Data!G3683)</f>
        <v>20129.65</v>
      </c>
      <c r="H3683" s="15" t="str">
        <f t="shared" si="1"/>
        <v>152384.00</v>
      </c>
      <c r="I3683" s="14" t="str">
        <f t="shared" si="2"/>
        <v>132254.00</v>
      </c>
      <c r="J3683" s="16" t="str">
        <f>TEXT(Raw_Data!J3683,"MMM-YYY")</f>
        <v>Mar-2025</v>
      </c>
      <c r="K3683" s="13" t="str">
        <f>Raw_Data!K3683</f>
        <v>20</v>
      </c>
      <c r="L3683" s="17" t="str">
        <f>Raw_Data!L3683</f>
        <v>Delhi-North</v>
      </c>
      <c r="M3683" s="13" t="str">
        <f t="shared" si="3"/>
        <v>OK</v>
      </c>
      <c r="N3683" s="18" t="str">
        <f t="shared" si="4"/>
        <v>VALID</v>
      </c>
    </row>
    <row r="3684" ht="15.75" customHeight="1">
      <c r="A3684" s="13" t="str">
        <f>Raw_Data!A3684</f>
        <v>EMP3893</v>
      </c>
      <c r="B3684" s="13" t="str">
        <f>TRIM(CLEAN(Raw_Data!B3684))</f>
        <v>Operations</v>
      </c>
      <c r="C3684" s="18" t="s">
        <v>14</v>
      </c>
      <c r="D3684" s="14" t="str">
        <f>IF(ISBLANK(Raw_Data!D3684),AVERAGE(Raw_Data!D$2:D$5002),Raw_Data!D3684)</f>
        <v>90404.68</v>
      </c>
      <c r="E3684" s="15" t="str">
        <f>IF(ISBLANK(Raw_Data!E3684),AVERAGE(Raw_Data!E$2:E$5002),Raw_Data!E3684)</f>
        <v>31955.72</v>
      </c>
      <c r="F3684" s="15" t="str">
        <f>IF(ISBLANK(Raw_Data!F3684),AVERAGE(Raw_Data!F$2:F$5002),Raw_Data!F3684)</f>
        <v>30069.51</v>
      </c>
      <c r="G3684" s="14" t="str">
        <f>IF(ISBLANK(Raw_Data!G3684),AVERAGE(Raw_Data!G$2:G$5002),Raw_Data!G3684)</f>
        <v>20136.44</v>
      </c>
      <c r="H3684" s="15" t="str">
        <f t="shared" si="1"/>
        <v>152430.00</v>
      </c>
      <c r="I3684" s="14" t="str">
        <f t="shared" si="2"/>
        <v>132294.00</v>
      </c>
      <c r="J3684" s="16" t="str">
        <f>TEXT(Raw_Data!J3684,"MMM-YYY")</f>
        <v>Apr-2025</v>
      </c>
      <c r="K3684" s="13" t="str">
        <f>Raw_Data!K3684</f>
        <v>25</v>
      </c>
      <c r="L3684" s="17" t="str">
        <f>Raw_Data!L3684</f>
        <v>Chennai-South</v>
      </c>
      <c r="M3684" s="13" t="str">
        <f t="shared" si="3"/>
        <v>OK</v>
      </c>
      <c r="N3684" s="18" t="str">
        <f t="shared" si="4"/>
        <v>VALID</v>
      </c>
    </row>
    <row r="3685" ht="15.75" customHeight="1">
      <c r="A3685" s="13" t="str">
        <f>Raw_Data!A3685</f>
        <v>EMP3894</v>
      </c>
      <c r="B3685" s="13" t="str">
        <f>TRIM(CLEAN(Raw_Data!B3685))</f>
        <v>Marketing</v>
      </c>
      <c r="C3685" s="18" t="s">
        <v>18</v>
      </c>
      <c r="D3685" s="14" t="str">
        <f>IF(ISBLANK(Raw_Data!D3685),AVERAGE(Raw_Data!D$2:D$5002),Raw_Data!D3685)</f>
        <v>90415.56</v>
      </c>
      <c r="E3685" s="15" t="str">
        <f>IF(ISBLANK(Raw_Data!E3685),AVERAGE(Raw_Data!E$2:E$5002),Raw_Data!E3685)</f>
        <v>31960.34</v>
      </c>
      <c r="F3685" s="15" t="str">
        <f>IF(ISBLANK(Raw_Data!F3685),AVERAGE(Raw_Data!F$2:F$5002),Raw_Data!F3685)</f>
        <v>30077.19</v>
      </c>
      <c r="G3685" s="14" t="str">
        <f>IF(ISBLANK(Raw_Data!G3685),AVERAGE(Raw_Data!G$2:G$5002),Raw_Data!G3685)</f>
        <v>20139.84</v>
      </c>
      <c r="H3685" s="15" t="str">
        <f t="shared" si="1"/>
        <v>152453.00</v>
      </c>
      <c r="I3685" s="14" t="str">
        <f t="shared" si="2"/>
        <v>132313.00</v>
      </c>
      <c r="J3685" s="16" t="str">
        <f>TEXT(Raw_Data!J3685,"MMM-YYY")</f>
        <v>Nov-2025</v>
      </c>
      <c r="K3685" s="13" t="str">
        <f>Raw_Data!K3685</f>
        <v>17</v>
      </c>
      <c r="L3685" s="17" t="str">
        <f>Raw_Data!L3685</f>
        <v>Kolkata-East</v>
      </c>
      <c r="M3685" s="13" t="str">
        <f t="shared" si="3"/>
        <v>OK</v>
      </c>
      <c r="N3685" s="18" t="str">
        <f t="shared" si="4"/>
        <v>VALID</v>
      </c>
    </row>
    <row r="3686" ht="15.75" customHeight="1">
      <c r="A3686" s="13" t="str">
        <f>Raw_Data!A3686</f>
        <v>EMP3895</v>
      </c>
      <c r="B3686" s="13" t="str">
        <f>TRIM(CLEAN(Raw_Data!B3686))</f>
        <v>Sales</v>
      </c>
      <c r="C3686" s="18" t="s">
        <v>30</v>
      </c>
      <c r="D3686" s="14" t="str">
        <f>IF(ISBLANK(Raw_Data!D3686),AVERAGE(Raw_Data!D$2:D$5002),Raw_Data!D3686)</f>
        <v>90426.45</v>
      </c>
      <c r="E3686" s="15" t="str">
        <f>IF(ISBLANK(Raw_Data!E3686),AVERAGE(Raw_Data!E$2:E$5002),Raw_Data!E3686)</f>
        <v>31964.95</v>
      </c>
      <c r="F3686" s="15" t="str">
        <f>IF(ISBLANK(Raw_Data!F3686),AVERAGE(Raw_Data!F$2:F$5002),Raw_Data!F3686)</f>
        <v>30084.87</v>
      </c>
      <c r="G3686" s="14" t="str">
        <f>IF(ISBLANK(Raw_Data!G3686),AVERAGE(Raw_Data!G$2:G$5002),Raw_Data!G3686)</f>
        <v>20143.24</v>
      </c>
      <c r="H3686" s="15" t="str">
        <f t="shared" si="1"/>
        <v>152476.00</v>
      </c>
      <c r="I3686" s="14" t="str">
        <f t="shared" si="2"/>
        <v>132333.00</v>
      </c>
      <c r="J3686" s="16" t="str">
        <f>TEXT(Raw_Data!J3686,"MMM-YYY")</f>
        <v>Sep-2025</v>
      </c>
      <c r="K3686" s="13" t="str">
        <f>Raw_Data!K3686</f>
        <v>2</v>
      </c>
      <c r="L3686" s="17" t="str">
        <f>Raw_Data!L3686</f>
        <v>Pune-West</v>
      </c>
      <c r="M3686" s="13" t="str">
        <f t="shared" si="3"/>
        <v>OK</v>
      </c>
      <c r="N3686" s="18" t="str">
        <f t="shared" si="4"/>
        <v>VALID</v>
      </c>
    </row>
    <row r="3687" ht="15.75" customHeight="1">
      <c r="A3687" s="13" t="str">
        <f>Raw_Data!A3687</f>
        <v>EMP3896</v>
      </c>
      <c r="B3687" s="13" t="str">
        <f>TRIM(CLEAN(Raw_Data!B3687))</f>
        <v>Operations</v>
      </c>
      <c r="C3687" s="18" t="s">
        <v>37</v>
      </c>
      <c r="D3687" s="14" t="str">
        <f>IF(ISBLANK(Raw_Data!D3687),AVERAGE(Raw_Data!D$2:D$5002),Raw_Data!D3687)</f>
        <v>90437.33</v>
      </c>
      <c r="E3687" s="15" t="str">
        <f>IF(ISBLANK(Raw_Data!E3687),AVERAGE(Raw_Data!E$2:E$5002),Raw_Data!E3687)</f>
        <v>31969.57</v>
      </c>
      <c r="F3687" s="15" t="str">
        <f>IF(ISBLANK(Raw_Data!F3687),AVERAGE(Raw_Data!F$2:F$5002),Raw_Data!F3687)</f>
        <v>30092.55</v>
      </c>
      <c r="G3687" s="14" t="str">
        <f>IF(ISBLANK(Raw_Data!G3687),AVERAGE(Raw_Data!G$2:G$5002),Raw_Data!G3687)</f>
        <v>20146.64</v>
      </c>
      <c r="H3687" s="15" t="str">
        <f t="shared" si="1"/>
        <v>152499.00</v>
      </c>
      <c r="I3687" s="14" t="str">
        <f t="shared" si="2"/>
        <v>132352.00</v>
      </c>
      <c r="J3687" s="16" t="str">
        <f>TEXT(Raw_Data!J3687,"MMM-YYY")</f>
        <v>May-2025</v>
      </c>
      <c r="K3687" s="13" t="str">
        <f>Raw_Data!K3687</f>
        <v>19</v>
      </c>
      <c r="L3687" s="17" t="str">
        <f>Raw_Data!L3687</f>
        <v>Hyderabad-South</v>
      </c>
      <c r="M3687" s="13" t="str">
        <f t="shared" si="3"/>
        <v>OK</v>
      </c>
      <c r="N3687" s="18" t="str">
        <f t="shared" si="4"/>
        <v>VALID</v>
      </c>
    </row>
    <row r="3688" ht="15.75" customHeight="1">
      <c r="A3688" s="13" t="str">
        <f>Raw_Data!A3688</f>
        <v>EMP3897</v>
      </c>
      <c r="B3688" s="13" t="str">
        <f>TRIM(CLEAN(Raw_Data!B3688))</f>
        <v>IT</v>
      </c>
      <c r="C3688" s="18" t="s">
        <v>54</v>
      </c>
      <c r="D3688" s="14" t="str">
        <f>IF(ISBLANK(Raw_Data!D3688),AVERAGE(Raw_Data!D$2:D$5002),Raw_Data!D3688)</f>
        <v>90448.21</v>
      </c>
      <c r="E3688" s="15" t="str">
        <f>IF(ISBLANK(Raw_Data!E3688),AVERAGE(Raw_Data!E$2:E$5002),Raw_Data!E3688)</f>
        <v>31974.18</v>
      </c>
      <c r="F3688" s="15" t="str">
        <f>IF(ISBLANK(Raw_Data!F3688),AVERAGE(Raw_Data!F$2:F$5002),Raw_Data!F3688)</f>
        <v>30100.23</v>
      </c>
      <c r="G3688" s="14" t="str">
        <f>IF(ISBLANK(Raw_Data!G3688),AVERAGE(Raw_Data!G$2:G$5002),Raw_Data!G3688)</f>
        <v>20150.03</v>
      </c>
      <c r="H3688" s="15" t="str">
        <f t="shared" si="1"/>
        <v>152523.00</v>
      </c>
      <c r="I3688" s="14" t="str">
        <f t="shared" si="2"/>
        <v>132373.00</v>
      </c>
      <c r="J3688" s="16" t="str">
        <f>TEXT(Raw_Data!J3688,"MMM-YYY")</f>
        <v>Dec-2025</v>
      </c>
      <c r="K3688" s="13" t="str">
        <f>Raw_Data!K3688</f>
        <v>6</v>
      </c>
      <c r="L3688" s="17" t="str">
        <f>Raw_Data!L3688</f>
        <v>Chandigarh-North</v>
      </c>
      <c r="M3688" s="13" t="str">
        <f t="shared" si="3"/>
        <v>OK</v>
      </c>
      <c r="N3688" s="18" t="str">
        <f t="shared" si="4"/>
        <v>VALID</v>
      </c>
    </row>
    <row r="3689" ht="15.75" customHeight="1">
      <c r="A3689" s="13" t="str">
        <f>Raw_Data!A3689</f>
        <v>EMP3898</v>
      </c>
      <c r="B3689" s="13" t="str">
        <f>TRIM(CLEAN(Raw_Data!B3689))</f>
        <v>Operations</v>
      </c>
      <c r="C3689" s="18" t="s">
        <v>26</v>
      </c>
      <c r="D3689" s="14" t="str">
        <f>IF(ISBLANK(Raw_Data!D3689),AVERAGE(Raw_Data!D$2:D$5002),Raw_Data!D3689)</f>
        <v>90459.10</v>
      </c>
      <c r="E3689" s="15" t="str">
        <f>IF(ISBLANK(Raw_Data!E3689),AVERAGE(Raw_Data!E$2:E$5002),Raw_Data!E3689)</f>
        <v>31978.80</v>
      </c>
      <c r="F3689" s="15" t="str">
        <f>IF(ISBLANK(Raw_Data!F3689),AVERAGE(Raw_Data!F$2:F$5002),Raw_Data!F3689)</f>
        <v>30107.91</v>
      </c>
      <c r="G3689" s="14" t="str">
        <f>IF(ISBLANK(Raw_Data!G3689),AVERAGE(Raw_Data!G$2:G$5002),Raw_Data!G3689)</f>
        <v>20153.43</v>
      </c>
      <c r="H3689" s="15" t="str">
        <f t="shared" si="1"/>
        <v>152546.00</v>
      </c>
      <c r="I3689" s="14" t="str">
        <f t="shared" si="2"/>
        <v>132393.00</v>
      </c>
      <c r="J3689" s="16" t="str">
        <f>TEXT(Raw_Data!J3689,"MMM-YYY")</f>
        <v>May-2025</v>
      </c>
      <c r="K3689" s="13" t="str">
        <f>Raw_Data!K3689</f>
        <v>24</v>
      </c>
      <c r="L3689" s="17" t="str">
        <f>Raw_Data!L3689</f>
        <v>Ahmedabad-West</v>
      </c>
      <c r="M3689" s="13" t="str">
        <f t="shared" si="3"/>
        <v>OK</v>
      </c>
      <c r="N3689" s="18" t="str">
        <f t="shared" si="4"/>
        <v>VALID</v>
      </c>
    </row>
    <row r="3690" ht="15.75" customHeight="1">
      <c r="A3690" s="13" t="str">
        <f>Raw_Data!A3690</f>
        <v>EMP3899</v>
      </c>
      <c r="B3690" s="13" t="str">
        <f>TRIM(CLEAN(Raw_Data!B3690))</f>
        <v>Marketing</v>
      </c>
      <c r="C3690" s="18" t="s">
        <v>26</v>
      </c>
      <c r="D3690" s="14" t="str">
        <f>IF(ISBLANK(Raw_Data!D3690),AVERAGE(Raw_Data!D$2:D$5002),Raw_Data!D3690)</f>
        <v>90469.98</v>
      </c>
      <c r="E3690" s="15" t="str">
        <f>IF(ISBLANK(Raw_Data!E3690),AVERAGE(Raw_Data!E$2:E$5002),Raw_Data!E3690)</f>
        <v>31983.41</v>
      </c>
      <c r="F3690" s="15" t="str">
        <f>IF(ISBLANK(Raw_Data!F3690),AVERAGE(Raw_Data!F$2:F$5002),Raw_Data!F3690)</f>
        <v>30115.59</v>
      </c>
      <c r="G3690" s="14" t="str">
        <f>IF(ISBLANK(Raw_Data!G3690),AVERAGE(Raw_Data!G$2:G$5002),Raw_Data!G3690)</f>
        <v>14562.73</v>
      </c>
      <c r="H3690" s="15" t="str">
        <f t="shared" si="1"/>
        <v>152569.00</v>
      </c>
      <c r="I3690" s="14" t="str">
        <f t="shared" si="2"/>
        <v>138006.00</v>
      </c>
      <c r="J3690" s="16" t="str">
        <f>TEXT(Raw_Data!J3690,"MMM-YYY")</f>
        <v>Apr-2025</v>
      </c>
      <c r="K3690" s="13" t="str">
        <f>Raw_Data!K3690</f>
        <v>20</v>
      </c>
      <c r="L3690" s="17" t="str">
        <f>Raw_Data!L3690</f>
        <v>Jaipur-North</v>
      </c>
      <c r="M3690" s="13" t="str">
        <f t="shared" si="3"/>
        <v>OK</v>
      </c>
      <c r="N3690" s="18" t="str">
        <f t="shared" si="4"/>
        <v>VALID</v>
      </c>
    </row>
    <row r="3691" ht="15.75" customHeight="1">
      <c r="A3691" s="13" t="str">
        <f>Raw_Data!A3691</f>
        <v>EMP3900</v>
      </c>
      <c r="B3691" s="13" t="str">
        <f>TRIM(CLEAN(Raw_Data!B3691))</f>
        <v>HR</v>
      </c>
      <c r="C3691" s="18" t="s">
        <v>37</v>
      </c>
      <c r="D3691" s="14" t="str">
        <f>IF(ISBLANK(Raw_Data!D3691),AVERAGE(Raw_Data!D$2:D$5002),Raw_Data!D3691)</f>
        <v>90480.86</v>
      </c>
      <c r="E3691" s="15" t="str">
        <f>IF(ISBLANK(Raw_Data!E3691),AVERAGE(Raw_Data!E$2:E$5002),Raw_Data!E3691)</f>
        <v>31988.03</v>
      </c>
      <c r="F3691" s="15" t="str">
        <f>IF(ISBLANK(Raw_Data!F3691),AVERAGE(Raw_Data!F$2:F$5002),Raw_Data!F3691)</f>
        <v>30123.27</v>
      </c>
      <c r="G3691" s="14" t="str">
        <f>IF(ISBLANK(Raw_Data!G3691),AVERAGE(Raw_Data!G$2:G$5002),Raw_Data!G3691)</f>
        <v>20160.23</v>
      </c>
      <c r="H3691" s="15" t="str">
        <f t="shared" si="1"/>
        <v>152592.00</v>
      </c>
      <c r="I3691" s="14" t="str">
        <f t="shared" si="2"/>
        <v>132432.00</v>
      </c>
      <c r="J3691" s="16" t="str">
        <f>TEXT(Raw_Data!J3691,"MMM-YYY")</f>
        <v>Jul-2025</v>
      </c>
      <c r="K3691" s="13" t="str">
        <f>Raw_Data!K3691</f>
        <v>6</v>
      </c>
      <c r="L3691" s="17" t="str">
        <f>Raw_Data!L3691</f>
        <v>Mumbai-HO</v>
      </c>
      <c r="M3691" s="13" t="str">
        <f t="shared" si="3"/>
        <v>OK</v>
      </c>
      <c r="N3691" s="18" t="str">
        <f t="shared" si="4"/>
        <v>VALID</v>
      </c>
    </row>
    <row r="3692" ht="15.75" customHeight="1">
      <c r="A3692" s="13" t="str">
        <f>Raw_Data!A3692</f>
        <v>EMP3901</v>
      </c>
      <c r="B3692" s="13" t="str">
        <f>TRIM(CLEAN(Raw_Data!B3692))</f>
        <v>Customer Support</v>
      </c>
      <c r="C3692" s="18" t="s">
        <v>14</v>
      </c>
      <c r="D3692" s="14" t="str">
        <f>IF(ISBLANK(Raw_Data!D3692),AVERAGE(Raw_Data!D$2:D$5002),Raw_Data!D3692)</f>
        <v>90491.75</v>
      </c>
      <c r="E3692" s="15" t="str">
        <f>IF(ISBLANK(Raw_Data!E3692),AVERAGE(Raw_Data!E$2:E$5002),Raw_Data!E3692)</f>
        <v>31992.64</v>
      </c>
      <c r="F3692" s="15" t="str">
        <f>IF(ISBLANK(Raw_Data!F3692),AVERAGE(Raw_Data!F$2:F$5002),Raw_Data!F3692)</f>
        <v>30130.95</v>
      </c>
      <c r="G3692" s="14" t="str">
        <f>IF(ISBLANK(Raw_Data!G3692),AVERAGE(Raw_Data!G$2:G$5002),Raw_Data!G3692)</f>
        <v>14562.73</v>
      </c>
      <c r="H3692" s="15" t="str">
        <f t="shared" si="1"/>
        <v>152615.00</v>
      </c>
      <c r="I3692" s="14" t="str">
        <f t="shared" si="2"/>
        <v>138052.00</v>
      </c>
      <c r="J3692" s="16" t="str">
        <f>TEXT(Raw_Data!J3692,"MMM-YYY")</f>
        <v>Jan-2025</v>
      </c>
      <c r="K3692" s="13" t="str">
        <f>Raw_Data!K3692</f>
        <v>23</v>
      </c>
      <c r="L3692" s="17" t="str">
        <f>Raw_Data!L3692</f>
        <v>Delhi-North</v>
      </c>
      <c r="M3692" s="13" t="str">
        <f t="shared" si="3"/>
        <v>OK</v>
      </c>
      <c r="N3692" s="18" t="str">
        <f t="shared" si="4"/>
        <v>VALID</v>
      </c>
    </row>
    <row r="3693" ht="15.75" customHeight="1">
      <c r="A3693" s="13" t="str">
        <f>Raw_Data!A3693</f>
        <v>EMP3903</v>
      </c>
      <c r="B3693" s="13" t="str">
        <f>TRIM(CLEAN(Raw_Data!B3693))</f>
        <v>Customer Support</v>
      </c>
      <c r="C3693" s="18" t="s">
        <v>18</v>
      </c>
      <c r="D3693" s="14" t="str">
        <f>IF(ISBLANK(Raw_Data!D3693),AVERAGE(Raw_Data!D$2:D$5002),Raw_Data!D3693)</f>
        <v>90513.51</v>
      </c>
      <c r="E3693" s="15" t="str">
        <f>IF(ISBLANK(Raw_Data!E3693),AVERAGE(Raw_Data!E$2:E$5002),Raw_Data!E3693)</f>
        <v>32001.87</v>
      </c>
      <c r="F3693" s="15" t="str">
        <f>IF(ISBLANK(Raw_Data!F3693),AVERAGE(Raw_Data!F$2:F$5002),Raw_Data!F3693)</f>
        <v>30146.31</v>
      </c>
      <c r="G3693" s="14" t="str">
        <f>IF(ISBLANK(Raw_Data!G3693),AVERAGE(Raw_Data!G$2:G$5002),Raw_Data!G3693)</f>
        <v>20170.42</v>
      </c>
      <c r="H3693" s="15" t="str">
        <f t="shared" si="1"/>
        <v>152662.00</v>
      </c>
      <c r="I3693" s="14" t="str">
        <f t="shared" si="2"/>
        <v>132492.00</v>
      </c>
      <c r="J3693" s="16" t="str">
        <f>TEXT(Raw_Data!J3693,"MMM-YYY")</f>
        <v>Dec-2025</v>
      </c>
      <c r="K3693" s="13" t="str">
        <f>Raw_Data!K3693</f>
        <v>11</v>
      </c>
      <c r="L3693" s="17" t="str">
        <f>Raw_Data!L3693</f>
        <v>Chennai-South</v>
      </c>
      <c r="M3693" s="13" t="str">
        <f t="shared" si="3"/>
        <v>OK</v>
      </c>
      <c r="N3693" s="18" t="str">
        <f t="shared" si="4"/>
        <v>VALID</v>
      </c>
    </row>
    <row r="3694" ht="15.75" customHeight="1">
      <c r="A3694" s="13" t="str">
        <f>Raw_Data!A3694</f>
        <v>EMP3904</v>
      </c>
      <c r="B3694" s="13" t="str">
        <f>TRIM(CLEAN(Raw_Data!B3694))</f>
        <v>Operations</v>
      </c>
      <c r="C3694" s="18" t="s">
        <v>26</v>
      </c>
      <c r="D3694" s="14" t="str">
        <f>IF(ISBLANK(Raw_Data!D3694),AVERAGE(Raw_Data!D$2:D$5002),Raw_Data!D3694)</f>
        <v>90524.39</v>
      </c>
      <c r="E3694" s="15" t="str">
        <f>IF(ISBLANK(Raw_Data!E3694),AVERAGE(Raw_Data!E$2:E$5002),Raw_Data!E3694)</f>
        <v>32006.48</v>
      </c>
      <c r="F3694" s="15" t="str">
        <f>IF(ISBLANK(Raw_Data!F3694),AVERAGE(Raw_Data!F$2:F$5002),Raw_Data!F3694)</f>
        <v>30153.99</v>
      </c>
      <c r="G3694" s="14" t="str">
        <f>IF(ISBLANK(Raw_Data!G3694),AVERAGE(Raw_Data!G$2:G$5002),Raw_Data!G3694)</f>
        <v>20173.82</v>
      </c>
      <c r="H3694" s="15" t="str">
        <f t="shared" si="1"/>
        <v>152685.00</v>
      </c>
      <c r="I3694" s="14" t="str">
        <f t="shared" si="2"/>
        <v>132511.00</v>
      </c>
      <c r="J3694" s="16" t="str">
        <f>TEXT(Raw_Data!J3694,"MMM-YYY")</f>
        <v>Apr-2025</v>
      </c>
      <c r="K3694" s="13" t="str">
        <f>Raw_Data!K3694</f>
        <v>6</v>
      </c>
      <c r="L3694" s="17" t="str">
        <f>Raw_Data!L3694</f>
        <v>Kolkata-East</v>
      </c>
      <c r="M3694" s="13" t="str">
        <f t="shared" si="3"/>
        <v>OK</v>
      </c>
      <c r="N3694" s="18" t="str">
        <f t="shared" si="4"/>
        <v>VALID</v>
      </c>
    </row>
    <row r="3695" ht="15.75" customHeight="1">
      <c r="A3695" s="13" t="str">
        <f>Raw_Data!A3695</f>
        <v>EMP3905</v>
      </c>
      <c r="B3695" s="13" t="str">
        <f>TRIM(CLEAN(Raw_Data!B3695))</f>
        <v>IT</v>
      </c>
      <c r="C3695" s="18" t="s">
        <v>26</v>
      </c>
      <c r="D3695" s="14" t="str">
        <f>IF(ISBLANK(Raw_Data!D3695),AVERAGE(Raw_Data!D$2:D$5002),Raw_Data!D3695)</f>
        <v>90535.28</v>
      </c>
      <c r="E3695" s="15" t="str">
        <f>IF(ISBLANK(Raw_Data!E3695),AVERAGE(Raw_Data!E$2:E$5002),Raw_Data!E3695)</f>
        <v>32011.10</v>
      </c>
      <c r="F3695" s="15" t="str">
        <f>IF(ISBLANK(Raw_Data!F3695),AVERAGE(Raw_Data!F$2:F$5002),Raw_Data!F3695)</f>
        <v>30161.67</v>
      </c>
      <c r="G3695" s="14" t="str">
        <f>IF(ISBLANK(Raw_Data!G3695),AVERAGE(Raw_Data!G$2:G$5002),Raw_Data!G3695)</f>
        <v>20177.21</v>
      </c>
      <c r="H3695" s="15" t="str">
        <f t="shared" si="1"/>
        <v>152708.00</v>
      </c>
      <c r="I3695" s="14" t="str">
        <f t="shared" si="2"/>
        <v>132531.00</v>
      </c>
      <c r="J3695" s="16" t="str">
        <f>TEXT(Raw_Data!J3695,"MMM-YYY")</f>
        <v>Feb-2025</v>
      </c>
      <c r="K3695" s="13" t="str">
        <f>Raw_Data!K3695</f>
        <v>18</v>
      </c>
      <c r="L3695" s="17" t="str">
        <f>Raw_Data!L3695</f>
        <v>Pune-West</v>
      </c>
      <c r="M3695" s="13" t="str">
        <f t="shared" si="3"/>
        <v>OK</v>
      </c>
      <c r="N3695" s="18" t="str">
        <f t="shared" si="4"/>
        <v>VALID</v>
      </c>
    </row>
    <row r="3696" ht="15.75" customHeight="1">
      <c r="A3696" s="13" t="str">
        <f>Raw_Data!A3696</f>
        <v>EMP3906</v>
      </c>
      <c r="B3696" s="13" t="str">
        <f>TRIM(CLEAN(Raw_Data!B3696))</f>
        <v>HR</v>
      </c>
      <c r="C3696" s="18" t="s">
        <v>18</v>
      </c>
      <c r="D3696" s="14" t="str">
        <f>IF(ISBLANK(Raw_Data!D3696),AVERAGE(Raw_Data!D$2:D$5002),Raw_Data!D3696)</f>
        <v>90546.16</v>
      </c>
      <c r="E3696" s="15" t="str">
        <f>IF(ISBLANK(Raw_Data!E3696),AVERAGE(Raw_Data!E$2:E$5002),Raw_Data!E3696)</f>
        <v>32015.71</v>
      </c>
      <c r="F3696" s="15" t="str">
        <f>IF(ISBLANK(Raw_Data!F3696),AVERAGE(Raw_Data!F$2:F$5002),Raw_Data!F3696)</f>
        <v>30169.35</v>
      </c>
      <c r="G3696" s="14" t="str">
        <f>IF(ISBLANK(Raw_Data!G3696),AVERAGE(Raw_Data!G$2:G$5002),Raw_Data!G3696)</f>
        <v>20180.61</v>
      </c>
      <c r="H3696" s="15" t="str">
        <f t="shared" si="1"/>
        <v>152731.00</v>
      </c>
      <c r="I3696" s="14" t="str">
        <f t="shared" si="2"/>
        <v>132550.00</v>
      </c>
      <c r="J3696" s="16" t="str">
        <f>TEXT(Raw_Data!J3696,"MMM-YYY")</f>
        <v>Nov-2025</v>
      </c>
      <c r="K3696" s="13" t="str">
        <f>Raw_Data!K3696</f>
        <v>8</v>
      </c>
      <c r="L3696" s="17" t="str">
        <f>Raw_Data!L3696</f>
        <v>Hyderabad-South</v>
      </c>
      <c r="M3696" s="13" t="str">
        <f t="shared" si="3"/>
        <v>OK</v>
      </c>
      <c r="N3696" s="18" t="str">
        <f t="shared" si="4"/>
        <v>VALID</v>
      </c>
    </row>
    <row r="3697" ht="15.75" customHeight="1">
      <c r="A3697" s="13" t="str">
        <f>Raw_Data!A3697</f>
        <v>EMP3907</v>
      </c>
      <c r="B3697" s="13" t="str">
        <f>TRIM(CLEAN(Raw_Data!B3697))</f>
        <v>Marketing</v>
      </c>
      <c r="C3697" s="18" t="s">
        <v>37</v>
      </c>
      <c r="D3697" s="14" t="str">
        <f>IF(ISBLANK(Raw_Data!D3697),AVERAGE(Raw_Data!D$2:D$5002),Raw_Data!D3697)</f>
        <v>90557.04</v>
      </c>
      <c r="E3697" s="15" t="str">
        <f>IF(ISBLANK(Raw_Data!E3697),AVERAGE(Raw_Data!E$2:E$5002),Raw_Data!E3697)</f>
        <v>32020.33</v>
      </c>
      <c r="F3697" s="15" t="str">
        <f>IF(ISBLANK(Raw_Data!F3697),AVERAGE(Raw_Data!F$2:F$5002),Raw_Data!F3697)</f>
        <v>30177.03</v>
      </c>
      <c r="G3697" s="14" t="str">
        <f>IF(ISBLANK(Raw_Data!G3697),AVERAGE(Raw_Data!G$2:G$5002),Raw_Data!G3697)</f>
        <v>20184.01</v>
      </c>
      <c r="H3697" s="15" t="str">
        <f t="shared" si="1"/>
        <v>152754.00</v>
      </c>
      <c r="I3697" s="14" t="str">
        <f t="shared" si="2"/>
        <v>132570.00</v>
      </c>
      <c r="J3697" s="16" t="str">
        <f>TEXT(Raw_Data!J3697,"MMM-YYY")</f>
        <v>Oct-2025</v>
      </c>
      <c r="K3697" s="13" t="str">
        <f>Raw_Data!K3697</f>
        <v>22</v>
      </c>
      <c r="L3697" s="17" t="str">
        <f>Raw_Data!L3697</f>
        <v>Chandigarh-North</v>
      </c>
      <c r="M3697" s="13" t="str">
        <f t="shared" si="3"/>
        <v>OK</v>
      </c>
      <c r="N3697" s="18" t="str">
        <f t="shared" si="4"/>
        <v>VALID</v>
      </c>
    </row>
    <row r="3698" ht="15.75" customHeight="1">
      <c r="A3698" s="13" t="str">
        <f>Raw_Data!A3698</f>
        <v>EMP3908</v>
      </c>
      <c r="B3698" s="13" t="str">
        <f>TRIM(CLEAN(Raw_Data!B3698))</f>
        <v>Customer Support</v>
      </c>
      <c r="C3698" s="18" t="s">
        <v>33</v>
      </c>
      <c r="D3698" s="14" t="str">
        <f>IF(ISBLANK(Raw_Data!D3698),AVERAGE(Raw_Data!D$2:D$5002),Raw_Data!D3698)</f>
        <v>90567.93</v>
      </c>
      <c r="E3698" s="15" t="str">
        <f>IF(ISBLANK(Raw_Data!E3698),AVERAGE(Raw_Data!E$2:E$5002),Raw_Data!E3698)</f>
        <v>32024.94</v>
      </c>
      <c r="F3698" s="15" t="str">
        <f>IF(ISBLANK(Raw_Data!F3698),AVERAGE(Raw_Data!F$2:F$5002),Raw_Data!F3698)</f>
        <v>30184.71</v>
      </c>
      <c r="G3698" s="14" t="str">
        <f>IF(ISBLANK(Raw_Data!G3698),AVERAGE(Raw_Data!G$2:G$5002),Raw_Data!G3698)</f>
        <v>20187.41</v>
      </c>
      <c r="H3698" s="15" t="str">
        <f t="shared" si="1"/>
        <v>152778.00</v>
      </c>
      <c r="I3698" s="14" t="str">
        <f t="shared" si="2"/>
        <v>132591.00</v>
      </c>
      <c r="J3698" s="16" t="str">
        <f>TEXT(Raw_Data!J3698,"MMM-YYY")</f>
        <v>May-2025</v>
      </c>
      <c r="K3698" s="13" t="str">
        <f>Raw_Data!K3698</f>
        <v>14</v>
      </c>
      <c r="L3698" s="17" t="str">
        <f>Raw_Data!L3698</f>
        <v>Ahmedabad-West</v>
      </c>
      <c r="M3698" s="13" t="str">
        <f t="shared" si="3"/>
        <v>OK</v>
      </c>
      <c r="N3698" s="18" t="str">
        <f t="shared" si="4"/>
        <v>VALID</v>
      </c>
    </row>
    <row r="3699" ht="15.75" customHeight="1">
      <c r="A3699" s="13" t="str">
        <f>Raw_Data!A3699</f>
        <v>EMP3909</v>
      </c>
      <c r="B3699" s="13" t="str">
        <f>TRIM(CLEAN(Raw_Data!B3699))</f>
        <v>Customer Support</v>
      </c>
      <c r="C3699" s="18" t="s">
        <v>14</v>
      </c>
      <c r="D3699" s="14" t="str">
        <f>IF(ISBLANK(Raw_Data!D3699),AVERAGE(Raw_Data!D$2:D$5002),Raw_Data!D3699)</f>
        <v>90578.81</v>
      </c>
      <c r="E3699" s="15" t="str">
        <f>IF(ISBLANK(Raw_Data!E3699),AVERAGE(Raw_Data!E$2:E$5002),Raw_Data!E3699)</f>
        <v>32029.56</v>
      </c>
      <c r="F3699" s="15" t="str">
        <f>IF(ISBLANK(Raw_Data!F3699),AVERAGE(Raw_Data!F$2:F$5002),Raw_Data!F3699)</f>
        <v>30192.39</v>
      </c>
      <c r="G3699" s="14" t="str">
        <f>IF(ISBLANK(Raw_Data!G3699),AVERAGE(Raw_Data!G$2:G$5002),Raw_Data!G3699)</f>
        <v>20190.80</v>
      </c>
      <c r="H3699" s="15" t="str">
        <f t="shared" si="1"/>
        <v>152801.00</v>
      </c>
      <c r="I3699" s="14" t="str">
        <f t="shared" si="2"/>
        <v>132610.00</v>
      </c>
      <c r="J3699" s="16" t="str">
        <f>TEXT(Raw_Data!J3699,"MMM-YYY")</f>
        <v>Nov-2025</v>
      </c>
      <c r="K3699" s="13" t="str">
        <f>Raw_Data!K3699</f>
        <v>24</v>
      </c>
      <c r="L3699" s="17" t="str">
        <f>Raw_Data!L3699</f>
        <v>Jaipur-North</v>
      </c>
      <c r="M3699" s="13" t="str">
        <f t="shared" si="3"/>
        <v>OK</v>
      </c>
      <c r="N3699" s="18" t="str">
        <f t="shared" si="4"/>
        <v>VALID</v>
      </c>
    </row>
    <row r="3700" ht="15.75" customHeight="1">
      <c r="A3700" s="13" t="str">
        <f>Raw_Data!A3700</f>
        <v>EMP3910</v>
      </c>
      <c r="B3700" s="13" t="str">
        <f>TRIM(CLEAN(Raw_Data!B3700))</f>
        <v>Customer Support</v>
      </c>
      <c r="C3700" s="18" t="s">
        <v>30</v>
      </c>
      <c r="D3700" s="14" t="str">
        <f>IF(ISBLANK(Raw_Data!D3700),AVERAGE(Raw_Data!D$2:D$5002),Raw_Data!D3700)</f>
        <v>90589.69</v>
      </c>
      <c r="E3700" s="15" t="str">
        <f>IF(ISBLANK(Raw_Data!E3700),AVERAGE(Raw_Data!E$2:E$5002),Raw_Data!E3700)</f>
        <v>32034.17</v>
      </c>
      <c r="F3700" s="15" t="str">
        <f>IF(ISBLANK(Raw_Data!F3700),AVERAGE(Raw_Data!F$2:F$5002),Raw_Data!F3700)</f>
        <v>30200.07</v>
      </c>
      <c r="G3700" s="14" t="str">
        <f>IF(ISBLANK(Raw_Data!G3700),AVERAGE(Raw_Data!G$2:G$5002),Raw_Data!G3700)</f>
        <v>20194.20</v>
      </c>
      <c r="H3700" s="15" t="str">
        <f t="shared" si="1"/>
        <v>152824.00</v>
      </c>
      <c r="I3700" s="14" t="str">
        <f t="shared" si="2"/>
        <v>132630.00</v>
      </c>
      <c r="J3700" s="16" t="str">
        <f>TEXT(Raw_Data!J3700,"MMM-YYY")</f>
        <v>Sep-2025</v>
      </c>
      <c r="K3700" s="13" t="str">
        <f>Raw_Data!K3700</f>
        <v>17</v>
      </c>
      <c r="L3700" s="17" t="str">
        <f>Raw_Data!L3700</f>
        <v>Mumbai-HO</v>
      </c>
      <c r="M3700" s="13" t="str">
        <f t="shared" si="3"/>
        <v>OK</v>
      </c>
      <c r="N3700" s="18" t="str">
        <f t="shared" si="4"/>
        <v>VALID</v>
      </c>
    </row>
    <row r="3701" ht="15.75" customHeight="1">
      <c r="A3701" s="13" t="str">
        <f>Raw_Data!A3701</f>
        <v>EMP3911</v>
      </c>
      <c r="B3701" s="13" t="str">
        <f>TRIM(CLEAN(Raw_Data!B3701))</f>
        <v>Operations</v>
      </c>
      <c r="C3701" s="18" t="s">
        <v>14</v>
      </c>
      <c r="D3701" s="14" t="str">
        <f>IF(ISBLANK(Raw_Data!D3701),AVERAGE(Raw_Data!D$2:D$5002),Raw_Data!D3701)</f>
        <v>90600.57</v>
      </c>
      <c r="E3701" s="15" t="str">
        <f>IF(ISBLANK(Raw_Data!E3701),AVERAGE(Raw_Data!E$2:E$5002),Raw_Data!E3701)</f>
        <v>32038.79</v>
      </c>
      <c r="F3701" s="15" t="str">
        <f>IF(ISBLANK(Raw_Data!F3701),AVERAGE(Raw_Data!F$2:F$5002),Raw_Data!F3701)</f>
        <v>30207.75</v>
      </c>
      <c r="G3701" s="14" t="str">
        <f>IF(ISBLANK(Raw_Data!G3701),AVERAGE(Raw_Data!G$2:G$5002),Raw_Data!G3701)</f>
        <v>20197.60</v>
      </c>
      <c r="H3701" s="15" t="str">
        <f t="shared" si="1"/>
        <v>152847.00</v>
      </c>
      <c r="I3701" s="14" t="str">
        <f t="shared" si="2"/>
        <v>132649.00</v>
      </c>
      <c r="J3701" s="16" t="str">
        <f>TEXT(Raw_Data!J3701,"MMM-YYY")</f>
        <v>Aug-2025</v>
      </c>
      <c r="K3701" s="13" t="str">
        <f>Raw_Data!K3701</f>
        <v>16</v>
      </c>
      <c r="L3701" s="17" t="str">
        <f>Raw_Data!L3701</f>
        <v>Delhi-North</v>
      </c>
      <c r="M3701" s="13" t="str">
        <f t="shared" si="3"/>
        <v>OK</v>
      </c>
      <c r="N3701" s="18" t="str">
        <f t="shared" si="4"/>
        <v>VALID</v>
      </c>
    </row>
    <row r="3702" ht="15.75" customHeight="1">
      <c r="A3702" s="13" t="str">
        <f>Raw_Data!A3702</f>
        <v>EMP3913</v>
      </c>
      <c r="B3702" s="13" t="str">
        <f>TRIM(CLEAN(Raw_Data!B3702))</f>
        <v>Sales</v>
      </c>
      <c r="C3702" s="18" t="s">
        <v>37</v>
      </c>
      <c r="D3702" s="14" t="str">
        <f>IF(ISBLANK(Raw_Data!D3702),AVERAGE(Raw_Data!D$2:D$5002),Raw_Data!D3702)</f>
        <v>90622.34</v>
      </c>
      <c r="E3702" s="15" t="str">
        <f>IF(ISBLANK(Raw_Data!E3702),AVERAGE(Raw_Data!E$2:E$5002),Raw_Data!E3702)</f>
        <v>32048.02</v>
      </c>
      <c r="F3702" s="15" t="str">
        <f>IF(ISBLANK(Raw_Data!F3702),AVERAGE(Raw_Data!F$2:F$5002),Raw_Data!F3702)</f>
        <v>30223.11</v>
      </c>
      <c r="G3702" s="14" t="str">
        <f>IF(ISBLANK(Raw_Data!G3702),AVERAGE(Raw_Data!G$2:G$5002),Raw_Data!G3702)</f>
        <v>20204.39</v>
      </c>
      <c r="H3702" s="15" t="str">
        <f t="shared" si="1"/>
        <v>152893.00</v>
      </c>
      <c r="I3702" s="14" t="str">
        <f t="shared" si="2"/>
        <v>132689.00</v>
      </c>
      <c r="J3702" s="16" t="str">
        <f>TEXT(Raw_Data!J3702,"MMM-YYY")</f>
        <v>Oct-2025</v>
      </c>
      <c r="K3702" s="13" t="str">
        <f>Raw_Data!K3702</f>
        <v>13</v>
      </c>
      <c r="L3702" s="17" t="str">
        <f>Raw_Data!L3702</f>
        <v>Chennai-South</v>
      </c>
      <c r="M3702" s="13" t="str">
        <f t="shared" si="3"/>
        <v>OK</v>
      </c>
      <c r="N3702" s="18" t="str">
        <f t="shared" si="4"/>
        <v>VALID</v>
      </c>
    </row>
    <row r="3703" ht="15.75" customHeight="1">
      <c r="A3703" s="13" t="str">
        <f>Raw_Data!A3703</f>
        <v>EMP3914</v>
      </c>
      <c r="B3703" s="13" t="str">
        <f>TRIM(CLEAN(Raw_Data!B3703))</f>
        <v>Operations</v>
      </c>
      <c r="C3703" s="18" t="s">
        <v>54</v>
      </c>
      <c r="D3703" s="14" t="str">
        <f>IF(ISBLANK(Raw_Data!D3703),AVERAGE(Raw_Data!D$2:D$5002),Raw_Data!D3703)</f>
        <v>90633.22</v>
      </c>
      <c r="E3703" s="15" t="str">
        <f>IF(ISBLANK(Raw_Data!E3703),AVERAGE(Raw_Data!E$2:E$5002),Raw_Data!E3703)</f>
        <v>32052.63</v>
      </c>
      <c r="F3703" s="15" t="str">
        <f>IF(ISBLANK(Raw_Data!F3703),AVERAGE(Raw_Data!F$2:F$5002),Raw_Data!F3703)</f>
        <v>30230.79</v>
      </c>
      <c r="G3703" s="14" t="str">
        <f>IF(ISBLANK(Raw_Data!G3703),AVERAGE(Raw_Data!G$2:G$5002),Raw_Data!G3703)</f>
        <v>20207.79</v>
      </c>
      <c r="H3703" s="15" t="str">
        <f t="shared" si="1"/>
        <v>152917.00</v>
      </c>
      <c r="I3703" s="14" t="str">
        <f t="shared" si="2"/>
        <v>132709.00</v>
      </c>
      <c r="J3703" s="16" t="str">
        <f>TEXT(Raw_Data!J3703,"MMM-YYY")</f>
        <v>Nov-2025</v>
      </c>
      <c r="K3703" s="13" t="str">
        <f>Raw_Data!K3703</f>
        <v>6</v>
      </c>
      <c r="L3703" s="17" t="str">
        <f>Raw_Data!L3703</f>
        <v>Kolkata-East</v>
      </c>
      <c r="M3703" s="13" t="str">
        <f t="shared" si="3"/>
        <v>OK</v>
      </c>
      <c r="N3703" s="18" t="str">
        <f t="shared" si="4"/>
        <v>VALID</v>
      </c>
    </row>
    <row r="3704" ht="15.75" customHeight="1">
      <c r="A3704" s="13" t="str">
        <f>Raw_Data!A3704</f>
        <v>EMP3915</v>
      </c>
      <c r="B3704" s="13" t="str">
        <f>TRIM(CLEAN(Raw_Data!B3704))</f>
        <v>HR</v>
      </c>
      <c r="C3704" s="18" t="s">
        <v>37</v>
      </c>
      <c r="D3704" s="14" t="str">
        <f>IF(ISBLANK(Raw_Data!D3704),AVERAGE(Raw_Data!D$2:D$5002),Raw_Data!D3704)</f>
        <v>90644.11</v>
      </c>
      <c r="E3704" s="15" t="str">
        <f>IF(ISBLANK(Raw_Data!E3704),AVERAGE(Raw_Data!E$2:E$5002),Raw_Data!E3704)</f>
        <v>32057.25</v>
      </c>
      <c r="F3704" s="15" t="str">
        <f>IF(ISBLANK(Raw_Data!F3704),AVERAGE(Raw_Data!F$2:F$5002),Raw_Data!F3704)</f>
        <v>30238.47</v>
      </c>
      <c r="G3704" s="14" t="str">
        <f>IF(ISBLANK(Raw_Data!G3704),AVERAGE(Raw_Data!G$2:G$5002),Raw_Data!G3704)</f>
        <v>20211.19</v>
      </c>
      <c r="H3704" s="15" t="str">
        <f t="shared" si="1"/>
        <v>152940.00</v>
      </c>
      <c r="I3704" s="14" t="str">
        <f t="shared" si="2"/>
        <v>132729.00</v>
      </c>
      <c r="J3704" s="16" t="str">
        <f>TEXT(Raw_Data!J3704,"MMM-YYY")</f>
        <v>Nov-2025</v>
      </c>
      <c r="K3704" s="13" t="str">
        <f>Raw_Data!K3704</f>
        <v>7</v>
      </c>
      <c r="L3704" s="17" t="str">
        <f>Raw_Data!L3704</f>
        <v>Pune-West</v>
      </c>
      <c r="M3704" s="13" t="str">
        <f t="shared" si="3"/>
        <v>OK</v>
      </c>
      <c r="N3704" s="18" t="str">
        <f t="shared" si="4"/>
        <v>VALID</v>
      </c>
    </row>
    <row r="3705" ht="15.75" customHeight="1">
      <c r="A3705" s="13" t="str">
        <f>Raw_Data!A3705</f>
        <v>EMP3916</v>
      </c>
      <c r="B3705" s="13" t="str">
        <f>TRIM(CLEAN(Raw_Data!B3705))</f>
        <v>Customer Support</v>
      </c>
      <c r="C3705" s="18" t="s">
        <v>37</v>
      </c>
      <c r="D3705" s="14" t="str">
        <f>IF(ISBLANK(Raw_Data!D3705),AVERAGE(Raw_Data!D$2:D$5002),Raw_Data!D3705)</f>
        <v>90654.99</v>
      </c>
      <c r="E3705" s="15" t="str">
        <f>IF(ISBLANK(Raw_Data!E3705),AVERAGE(Raw_Data!E$2:E$5002),Raw_Data!E3705)</f>
        <v>32061.86</v>
      </c>
      <c r="F3705" s="15" t="str">
        <f>IF(ISBLANK(Raw_Data!F3705),AVERAGE(Raw_Data!F$2:F$5002),Raw_Data!F3705)</f>
        <v>30246.15</v>
      </c>
      <c r="G3705" s="14" t="str">
        <f>IF(ISBLANK(Raw_Data!G3705),AVERAGE(Raw_Data!G$2:G$5002),Raw_Data!G3705)</f>
        <v>20214.59</v>
      </c>
      <c r="H3705" s="15" t="str">
        <f t="shared" si="1"/>
        <v>152963.00</v>
      </c>
      <c r="I3705" s="14" t="str">
        <f t="shared" si="2"/>
        <v>132748.00</v>
      </c>
      <c r="J3705" s="16" t="str">
        <f>TEXT(Raw_Data!J3705,"MMM-YYY")</f>
        <v>Jan-2025</v>
      </c>
      <c r="K3705" s="13" t="str">
        <f>Raw_Data!K3705</f>
        <v>3</v>
      </c>
      <c r="L3705" s="17" t="str">
        <f>Raw_Data!L3705</f>
        <v>Hyderabad-South</v>
      </c>
      <c r="M3705" s="13" t="str">
        <f t="shared" si="3"/>
        <v>OK</v>
      </c>
      <c r="N3705" s="18" t="str">
        <f t="shared" si="4"/>
        <v>VALID</v>
      </c>
    </row>
    <row r="3706" ht="15.75" customHeight="1">
      <c r="A3706" s="13" t="str">
        <f>Raw_Data!A3706</f>
        <v>EMP3917</v>
      </c>
      <c r="B3706" s="13" t="str">
        <f>TRIM(CLEAN(Raw_Data!B3706))</f>
        <v>Sales</v>
      </c>
      <c r="C3706" s="18" t="s">
        <v>30</v>
      </c>
      <c r="D3706" s="14" t="str">
        <f>IF(ISBLANK(Raw_Data!D3706),AVERAGE(Raw_Data!D$2:D$5002),Raw_Data!D3706)</f>
        <v>90665.87</v>
      </c>
      <c r="E3706" s="15" t="str">
        <f>IF(ISBLANK(Raw_Data!E3706),AVERAGE(Raw_Data!E$2:E$5002),Raw_Data!E3706)</f>
        <v>32066.48</v>
      </c>
      <c r="F3706" s="15" t="str">
        <f>IF(ISBLANK(Raw_Data!F3706),AVERAGE(Raw_Data!F$2:F$5002),Raw_Data!F3706)</f>
        <v>30253.83</v>
      </c>
      <c r="G3706" s="14" t="str">
        <f>IF(ISBLANK(Raw_Data!G3706),AVERAGE(Raw_Data!G$2:G$5002),Raw_Data!G3706)</f>
        <v>14562.73</v>
      </c>
      <c r="H3706" s="15" t="str">
        <f t="shared" si="1"/>
        <v>152986.00</v>
      </c>
      <c r="I3706" s="14" t="str">
        <f t="shared" si="2"/>
        <v>138423.00</v>
      </c>
      <c r="J3706" s="16" t="str">
        <f>TEXT(Raw_Data!J3706,"MMM-YYY")</f>
        <v>May-2025</v>
      </c>
      <c r="K3706" s="13" t="str">
        <f>Raw_Data!K3706</f>
        <v>25</v>
      </c>
      <c r="L3706" s="17" t="str">
        <f>Raw_Data!L3706</f>
        <v>Chandigarh-North</v>
      </c>
      <c r="M3706" s="13" t="str">
        <f t="shared" si="3"/>
        <v>OK</v>
      </c>
      <c r="N3706" s="18" t="str">
        <f t="shared" si="4"/>
        <v>VALID</v>
      </c>
    </row>
    <row r="3707" ht="15.75" customHeight="1">
      <c r="A3707" s="13" t="str">
        <f>Raw_Data!A3707</f>
        <v>EMP3918</v>
      </c>
      <c r="B3707" s="13" t="str">
        <f>TRIM(CLEAN(Raw_Data!B3707))</f>
        <v>Finance</v>
      </c>
      <c r="C3707" s="18" t="s">
        <v>26</v>
      </c>
      <c r="D3707" s="14" t="str">
        <f>IF(ISBLANK(Raw_Data!D3707),AVERAGE(Raw_Data!D$2:D$5002),Raw_Data!D3707)</f>
        <v>90676.76</v>
      </c>
      <c r="E3707" s="15" t="str">
        <f>IF(ISBLANK(Raw_Data!E3707),AVERAGE(Raw_Data!E$2:E$5002),Raw_Data!E3707)</f>
        <v>32071.09</v>
      </c>
      <c r="F3707" s="15" t="str">
        <f>IF(ISBLANK(Raw_Data!F3707),AVERAGE(Raw_Data!F$2:F$5002),Raw_Data!F3707)</f>
        <v>30261.51</v>
      </c>
      <c r="G3707" s="14" t="str">
        <f>IF(ISBLANK(Raw_Data!G3707),AVERAGE(Raw_Data!G$2:G$5002),Raw_Data!G3707)</f>
        <v>20221.38</v>
      </c>
      <c r="H3707" s="15" t="str">
        <f t="shared" si="1"/>
        <v>153009.00</v>
      </c>
      <c r="I3707" s="14" t="str">
        <f t="shared" si="2"/>
        <v>132788.00</v>
      </c>
      <c r="J3707" s="16" t="str">
        <f>TEXT(Raw_Data!J3707,"MMM-YYY")</f>
        <v>Nov-2025</v>
      </c>
      <c r="K3707" s="13" t="str">
        <f>Raw_Data!K3707</f>
        <v>6</v>
      </c>
      <c r="L3707" s="17" t="str">
        <f>Raw_Data!L3707</f>
        <v>Ahmedabad-West</v>
      </c>
      <c r="M3707" s="13" t="str">
        <f t="shared" si="3"/>
        <v>OK</v>
      </c>
      <c r="N3707" s="18" t="str">
        <f t="shared" si="4"/>
        <v>VALID</v>
      </c>
    </row>
    <row r="3708" ht="15.75" customHeight="1">
      <c r="A3708" s="13" t="str">
        <f>Raw_Data!A3708</f>
        <v>EMP3919</v>
      </c>
      <c r="B3708" s="13" t="str">
        <f>TRIM(CLEAN(Raw_Data!B3708))</f>
        <v>Finance</v>
      </c>
      <c r="C3708" s="18" t="s">
        <v>18</v>
      </c>
      <c r="D3708" s="14" t="str">
        <f>IF(ISBLANK(Raw_Data!D3708),AVERAGE(Raw_Data!D$2:D$5002),Raw_Data!D3708)</f>
        <v>90687.64</v>
      </c>
      <c r="E3708" s="15" t="str">
        <f>IF(ISBLANK(Raw_Data!E3708),AVERAGE(Raw_Data!E$2:E$5002),Raw_Data!E3708)</f>
        <v>32075.71</v>
      </c>
      <c r="F3708" s="15" t="str">
        <f>IF(ISBLANK(Raw_Data!F3708),AVERAGE(Raw_Data!F$2:F$5002),Raw_Data!F3708)</f>
        <v>30269.19</v>
      </c>
      <c r="G3708" s="14" t="str">
        <f>IF(ISBLANK(Raw_Data!G3708),AVERAGE(Raw_Data!G$2:G$5002),Raw_Data!G3708)</f>
        <v>20224.78</v>
      </c>
      <c r="H3708" s="15" t="str">
        <f t="shared" si="1"/>
        <v>153033.00</v>
      </c>
      <c r="I3708" s="14" t="str">
        <f t="shared" si="2"/>
        <v>132808.00</v>
      </c>
      <c r="J3708" s="16" t="str">
        <f>TEXT(Raw_Data!J3708,"MMM-YYY")</f>
        <v>Jun-2025</v>
      </c>
      <c r="K3708" s="13" t="str">
        <f>Raw_Data!K3708</f>
        <v>17</v>
      </c>
      <c r="L3708" s="17" t="str">
        <f>Raw_Data!L3708</f>
        <v>Jaipur-North</v>
      </c>
      <c r="M3708" s="13" t="str">
        <f t="shared" si="3"/>
        <v>OK</v>
      </c>
      <c r="N3708" s="18" t="str">
        <f t="shared" si="4"/>
        <v>VALID</v>
      </c>
    </row>
    <row r="3709" ht="15.75" customHeight="1">
      <c r="A3709" s="13" t="str">
        <f>Raw_Data!A3709</f>
        <v>EMP3920</v>
      </c>
      <c r="B3709" s="13" t="str">
        <f>TRIM(CLEAN(Raw_Data!B3709))</f>
        <v>IT</v>
      </c>
      <c r="C3709" s="18" t="s">
        <v>30</v>
      </c>
      <c r="D3709" s="14" t="str">
        <f>IF(ISBLANK(Raw_Data!D3709),AVERAGE(Raw_Data!D$2:D$5002),Raw_Data!D3709)</f>
        <v>90698.52</v>
      </c>
      <c r="E3709" s="15" t="str">
        <f>IF(ISBLANK(Raw_Data!E3709),AVERAGE(Raw_Data!E$2:E$5002),Raw_Data!E3709)</f>
        <v>32080.32</v>
      </c>
      <c r="F3709" s="15" t="str">
        <f>IF(ISBLANK(Raw_Data!F3709),AVERAGE(Raw_Data!F$2:F$5002),Raw_Data!F3709)</f>
        <v>30276.87</v>
      </c>
      <c r="G3709" s="14" t="str">
        <f>IF(ISBLANK(Raw_Data!G3709),AVERAGE(Raw_Data!G$2:G$5002),Raw_Data!G3709)</f>
        <v>20228.18</v>
      </c>
      <c r="H3709" s="15" t="str">
        <f t="shared" si="1"/>
        <v>153056.00</v>
      </c>
      <c r="I3709" s="14" t="str">
        <f t="shared" si="2"/>
        <v>132828.00</v>
      </c>
      <c r="J3709" s="16" t="str">
        <f>TEXT(Raw_Data!J3709,"MMM-YYY")</f>
        <v>Aug-2025</v>
      </c>
      <c r="K3709" s="13" t="str">
        <f>Raw_Data!K3709</f>
        <v>7</v>
      </c>
      <c r="L3709" s="17" t="str">
        <f>Raw_Data!L3709</f>
        <v>Mumbai-HO</v>
      </c>
      <c r="M3709" s="13" t="str">
        <f t="shared" si="3"/>
        <v>OK</v>
      </c>
      <c r="N3709" s="18" t="str">
        <f t="shared" si="4"/>
        <v>VALID</v>
      </c>
    </row>
    <row r="3710" ht="15.75" customHeight="1">
      <c r="A3710" s="13" t="str">
        <f>Raw_Data!A3710</f>
        <v>EMP3921</v>
      </c>
      <c r="B3710" s="13" t="str">
        <f>TRIM(CLEAN(Raw_Data!B3710))</f>
        <v>Operations</v>
      </c>
      <c r="C3710" s="18" t="s">
        <v>18</v>
      </c>
      <c r="D3710" s="14" t="str">
        <f>IF(ISBLANK(Raw_Data!D3710),AVERAGE(Raw_Data!D$2:D$5002),Raw_Data!D3710)</f>
        <v>90709.40</v>
      </c>
      <c r="E3710" s="15" t="str">
        <f>IF(ISBLANK(Raw_Data!E3710),AVERAGE(Raw_Data!E$2:E$5002),Raw_Data!E3710)</f>
        <v>32084.93</v>
      </c>
      <c r="F3710" s="15" t="str">
        <f>IF(ISBLANK(Raw_Data!F3710),AVERAGE(Raw_Data!F$2:F$5002),Raw_Data!F3710)</f>
        <v>30284.55</v>
      </c>
      <c r="G3710" s="14" t="str">
        <f>IF(ISBLANK(Raw_Data!G3710),AVERAGE(Raw_Data!G$2:G$5002),Raw_Data!G3710)</f>
        <v>20231.58</v>
      </c>
      <c r="H3710" s="15" t="str">
        <f t="shared" si="1"/>
        <v>153079.00</v>
      </c>
      <c r="I3710" s="14" t="str">
        <f t="shared" si="2"/>
        <v>132847.00</v>
      </c>
      <c r="J3710" s="16" t="str">
        <f>TEXT(Raw_Data!J3710,"MMM-YYY")</f>
        <v>Sep-2025</v>
      </c>
      <c r="K3710" s="13" t="str">
        <f>Raw_Data!K3710</f>
        <v>2</v>
      </c>
      <c r="L3710" s="17" t="str">
        <f>Raw_Data!L3710</f>
        <v>Delhi-North</v>
      </c>
      <c r="M3710" s="13" t="str">
        <f t="shared" si="3"/>
        <v>OK</v>
      </c>
      <c r="N3710" s="18" t="str">
        <f t="shared" si="4"/>
        <v>VALID</v>
      </c>
    </row>
    <row r="3711" ht="15.75" customHeight="1">
      <c r="A3711" s="13" t="str">
        <f>Raw_Data!A3711</f>
        <v>EMP3922</v>
      </c>
      <c r="B3711" s="13" t="str">
        <f>TRIM(CLEAN(Raw_Data!B3711))</f>
        <v>Finance</v>
      </c>
      <c r="C3711" s="18" t="s">
        <v>30</v>
      </c>
      <c r="D3711" s="14" t="str">
        <f>IF(ISBLANK(Raw_Data!D3711),AVERAGE(Raw_Data!D$2:D$5002),Raw_Data!D3711)</f>
        <v>90720.29</v>
      </c>
      <c r="E3711" s="15" t="str">
        <f>IF(ISBLANK(Raw_Data!E3711),AVERAGE(Raw_Data!E$2:E$5002),Raw_Data!E3711)</f>
        <v>32089.55</v>
      </c>
      <c r="F3711" s="15" t="str">
        <f>IF(ISBLANK(Raw_Data!F3711),AVERAGE(Raw_Data!F$2:F$5002),Raw_Data!F3711)</f>
        <v>30292.23</v>
      </c>
      <c r="G3711" s="14" t="str">
        <f>IF(ISBLANK(Raw_Data!G3711),AVERAGE(Raw_Data!G$2:G$5002),Raw_Data!G3711)</f>
        <v>20234.97</v>
      </c>
      <c r="H3711" s="15" t="str">
        <f t="shared" si="1"/>
        <v>153102.00</v>
      </c>
      <c r="I3711" s="14" t="str">
        <f t="shared" si="2"/>
        <v>132867.00</v>
      </c>
      <c r="J3711" s="16" t="str">
        <f>TEXT(Raw_Data!J3711,"MMM-YYY")</f>
        <v>Mar-2025</v>
      </c>
      <c r="K3711" s="13" t="str">
        <f>Raw_Data!K3711</f>
        <v>23</v>
      </c>
      <c r="L3711" s="17" t="str">
        <f>Raw_Data!L3711</f>
        <v>Bangalore-South</v>
      </c>
      <c r="M3711" s="13" t="str">
        <f t="shared" si="3"/>
        <v>OK</v>
      </c>
      <c r="N3711" s="18" t="str">
        <f t="shared" si="4"/>
        <v>VALID</v>
      </c>
    </row>
    <row r="3712" ht="15.75" customHeight="1">
      <c r="A3712" s="13" t="str">
        <f>Raw_Data!A3712</f>
        <v>EMP3923</v>
      </c>
      <c r="B3712" s="13" t="str">
        <f>TRIM(CLEAN(Raw_Data!B3712))</f>
        <v>IT</v>
      </c>
      <c r="C3712" s="18" t="s">
        <v>14</v>
      </c>
      <c r="D3712" s="14" t="str">
        <f>IF(ISBLANK(Raw_Data!D3712),AVERAGE(Raw_Data!D$2:D$5002),Raw_Data!D3712)</f>
        <v>90731.17</v>
      </c>
      <c r="E3712" s="15" t="str">
        <f>IF(ISBLANK(Raw_Data!E3712),AVERAGE(Raw_Data!E$2:E$5002),Raw_Data!E3712)</f>
        <v>32094.16</v>
      </c>
      <c r="F3712" s="15" t="str">
        <f>IF(ISBLANK(Raw_Data!F3712),AVERAGE(Raw_Data!F$2:F$5002),Raw_Data!F3712)</f>
        <v>30299.91</v>
      </c>
      <c r="G3712" s="14" t="str">
        <f>IF(ISBLANK(Raw_Data!G3712),AVERAGE(Raw_Data!G$2:G$5002),Raw_Data!G3712)</f>
        <v>20238.37</v>
      </c>
      <c r="H3712" s="15" t="str">
        <f t="shared" si="1"/>
        <v>153125.00</v>
      </c>
      <c r="I3712" s="14" t="str">
        <f t="shared" si="2"/>
        <v>132887.00</v>
      </c>
      <c r="J3712" s="16" t="str">
        <f>TEXT(Raw_Data!J3712,"MMM-YYY")</f>
        <v>May-2025</v>
      </c>
      <c r="K3712" s="13" t="str">
        <f>Raw_Data!K3712</f>
        <v>21</v>
      </c>
      <c r="L3712" s="17" t="str">
        <f>Raw_Data!L3712</f>
        <v>Chennai-South</v>
      </c>
      <c r="M3712" s="13" t="str">
        <f t="shared" si="3"/>
        <v>OK</v>
      </c>
      <c r="N3712" s="18" t="str">
        <f t="shared" si="4"/>
        <v>VALID</v>
      </c>
    </row>
    <row r="3713" ht="15.75" customHeight="1">
      <c r="A3713" s="13" t="str">
        <f>Raw_Data!A3713</f>
        <v>EMP3924</v>
      </c>
      <c r="B3713" s="13" t="str">
        <f>TRIM(CLEAN(Raw_Data!B3713))</f>
        <v>Marketing</v>
      </c>
      <c r="C3713" s="18" t="s">
        <v>54</v>
      </c>
      <c r="D3713" s="14" t="str">
        <f>IF(ISBLANK(Raw_Data!D3713),AVERAGE(Raw_Data!D$2:D$5002),Raw_Data!D3713)</f>
        <v>90742.05</v>
      </c>
      <c r="E3713" s="15" t="str">
        <f>IF(ISBLANK(Raw_Data!E3713),AVERAGE(Raw_Data!E$2:E$5002),Raw_Data!E3713)</f>
        <v>32098.78</v>
      </c>
      <c r="F3713" s="15" t="str">
        <f>IF(ISBLANK(Raw_Data!F3713),AVERAGE(Raw_Data!F$2:F$5002),Raw_Data!F3713)</f>
        <v>30307.59</v>
      </c>
      <c r="G3713" s="14" t="str">
        <f>IF(ISBLANK(Raw_Data!G3713),AVERAGE(Raw_Data!G$2:G$5002),Raw_Data!G3713)</f>
        <v>20241.77</v>
      </c>
      <c r="H3713" s="15" t="str">
        <f t="shared" si="1"/>
        <v>153148.00</v>
      </c>
      <c r="I3713" s="14" t="str">
        <f t="shared" si="2"/>
        <v>132906.00</v>
      </c>
      <c r="J3713" s="16" t="str">
        <f>TEXT(Raw_Data!J3713,"MMM-YYY")</f>
        <v>Aug-2025</v>
      </c>
      <c r="K3713" s="13" t="str">
        <f>Raw_Data!K3713</f>
        <v>16</v>
      </c>
      <c r="L3713" s="17" t="str">
        <f>Raw_Data!L3713</f>
        <v>Kolkata-East</v>
      </c>
      <c r="M3713" s="13" t="str">
        <f t="shared" si="3"/>
        <v>OK</v>
      </c>
      <c r="N3713" s="18" t="str">
        <f t="shared" si="4"/>
        <v>VALID</v>
      </c>
    </row>
    <row r="3714" ht="15.75" customHeight="1">
      <c r="A3714" s="13" t="str">
        <f>Raw_Data!A3714</f>
        <v>EMP3925</v>
      </c>
      <c r="B3714" s="13" t="str">
        <f>TRIM(CLEAN(Raw_Data!B3714))</f>
        <v>IT</v>
      </c>
      <c r="C3714" s="18" t="s">
        <v>26</v>
      </c>
      <c r="D3714" s="14" t="str">
        <f>IF(ISBLANK(Raw_Data!D3714),AVERAGE(Raw_Data!D$2:D$5002),Raw_Data!D3714)</f>
        <v>90752.94</v>
      </c>
      <c r="E3714" s="15" t="str">
        <f>IF(ISBLANK(Raw_Data!E3714),AVERAGE(Raw_Data!E$2:E$5002),Raw_Data!E3714)</f>
        <v>32103.39</v>
      </c>
      <c r="F3714" s="15" t="str">
        <f>IF(ISBLANK(Raw_Data!F3714),AVERAGE(Raw_Data!F$2:F$5002),Raw_Data!F3714)</f>
        <v>30315.27</v>
      </c>
      <c r="G3714" s="14" t="str">
        <f>IF(ISBLANK(Raw_Data!G3714),AVERAGE(Raw_Data!G$2:G$5002),Raw_Data!G3714)</f>
        <v>20245.17</v>
      </c>
      <c r="H3714" s="15" t="str">
        <f t="shared" si="1"/>
        <v>153172.00</v>
      </c>
      <c r="I3714" s="14" t="str">
        <f t="shared" si="2"/>
        <v>132927.00</v>
      </c>
      <c r="J3714" s="16" t="str">
        <f>TEXT(Raw_Data!J3714,"MMM-YYY")</f>
        <v>May-2025</v>
      </c>
      <c r="K3714" s="13" t="str">
        <f>Raw_Data!K3714</f>
        <v>15</v>
      </c>
      <c r="L3714" s="17" t="str">
        <f>Raw_Data!L3714</f>
        <v>Pune-West</v>
      </c>
      <c r="M3714" s="13" t="str">
        <f t="shared" si="3"/>
        <v>OK</v>
      </c>
      <c r="N3714" s="18" t="str">
        <f t="shared" si="4"/>
        <v>VALID</v>
      </c>
    </row>
    <row r="3715" ht="15.75" customHeight="1">
      <c r="A3715" s="13" t="str">
        <f>Raw_Data!A3715</f>
        <v>EMP3926</v>
      </c>
      <c r="B3715" s="13" t="str">
        <f>TRIM(CLEAN(Raw_Data!B3715))</f>
        <v>Operations</v>
      </c>
      <c r="C3715" s="18" t="s">
        <v>26</v>
      </c>
      <c r="D3715" s="14" t="str">
        <f>IF(ISBLANK(Raw_Data!D3715),AVERAGE(Raw_Data!D$2:D$5002),Raw_Data!D3715)</f>
        <v>90763.82</v>
      </c>
      <c r="E3715" s="15" t="str">
        <f>IF(ISBLANK(Raw_Data!E3715),AVERAGE(Raw_Data!E$2:E$5002),Raw_Data!E3715)</f>
        <v>32108.01</v>
      </c>
      <c r="F3715" s="15" t="str">
        <f>IF(ISBLANK(Raw_Data!F3715),AVERAGE(Raw_Data!F$2:F$5002),Raw_Data!F3715)</f>
        <v>30322.95</v>
      </c>
      <c r="G3715" s="14" t="str">
        <f>IF(ISBLANK(Raw_Data!G3715),AVERAGE(Raw_Data!G$2:G$5002),Raw_Data!G3715)</f>
        <v>20248.56</v>
      </c>
      <c r="H3715" s="15" t="str">
        <f t="shared" si="1"/>
        <v>153195.00</v>
      </c>
      <c r="I3715" s="14" t="str">
        <f t="shared" si="2"/>
        <v>132946.00</v>
      </c>
      <c r="J3715" s="16" t="str">
        <f>TEXT(Raw_Data!J3715,"MMM-YYY")</f>
        <v>Jun-2025</v>
      </c>
      <c r="K3715" s="13" t="str">
        <f>Raw_Data!K3715</f>
        <v>21</v>
      </c>
      <c r="L3715" s="17" t="str">
        <f>Raw_Data!L3715</f>
        <v>Hyderabad-South</v>
      </c>
      <c r="M3715" s="13" t="str">
        <f t="shared" si="3"/>
        <v>OK</v>
      </c>
      <c r="N3715" s="18" t="str">
        <f t="shared" si="4"/>
        <v>VALID</v>
      </c>
    </row>
    <row r="3716" ht="15.75" customHeight="1">
      <c r="A3716" s="13" t="str">
        <f>Raw_Data!A3716</f>
        <v>EMP3928</v>
      </c>
      <c r="B3716" s="13" t="str">
        <f>TRIM(CLEAN(Raw_Data!B3716))</f>
        <v>HR</v>
      </c>
      <c r="C3716" s="18" t="s">
        <v>33</v>
      </c>
      <c r="D3716" s="14" t="str">
        <f>IF(ISBLANK(Raw_Data!D3716),AVERAGE(Raw_Data!D$2:D$5002),Raw_Data!D3716)</f>
        <v>90785.59</v>
      </c>
      <c r="E3716" s="15" t="str">
        <f>IF(ISBLANK(Raw_Data!E3716),AVERAGE(Raw_Data!E$2:E$5002),Raw_Data!E3716)</f>
        <v>32117.24</v>
      </c>
      <c r="F3716" s="15" t="str">
        <f>IF(ISBLANK(Raw_Data!F3716),AVERAGE(Raw_Data!F$2:F$5002),Raw_Data!F3716)</f>
        <v>30338.31</v>
      </c>
      <c r="G3716" s="14" t="str">
        <f>IF(ISBLANK(Raw_Data!G3716),AVERAGE(Raw_Data!G$2:G$5002),Raw_Data!G3716)</f>
        <v>20255.36</v>
      </c>
      <c r="H3716" s="15" t="str">
        <f t="shared" si="1"/>
        <v>153241.00</v>
      </c>
      <c r="I3716" s="14" t="str">
        <f t="shared" si="2"/>
        <v>132986.00</v>
      </c>
      <c r="J3716" s="16" t="str">
        <f>TEXT(Raw_Data!J3716,"MMM-YYY")</f>
        <v>Nov-2025</v>
      </c>
      <c r="K3716" s="13" t="str">
        <f>Raw_Data!K3716</f>
        <v>20</v>
      </c>
      <c r="L3716" s="17" t="str">
        <f>Raw_Data!L3716</f>
        <v>Ahmedabad-West</v>
      </c>
      <c r="M3716" s="13" t="str">
        <f t="shared" si="3"/>
        <v>OK</v>
      </c>
      <c r="N3716" s="18" t="str">
        <f t="shared" si="4"/>
        <v>VALID</v>
      </c>
    </row>
    <row r="3717" ht="15.75" customHeight="1">
      <c r="A3717" s="13" t="str">
        <f>Raw_Data!A3717</f>
        <v>EMP3930</v>
      </c>
      <c r="B3717" s="13" t="str">
        <f>TRIM(CLEAN(Raw_Data!B3717))</f>
        <v>Operations</v>
      </c>
      <c r="C3717" s="18" t="s">
        <v>30</v>
      </c>
      <c r="D3717" s="14" t="str">
        <f>IF(ISBLANK(Raw_Data!D3717),AVERAGE(Raw_Data!D$2:D$5002),Raw_Data!D3717)</f>
        <v>90807.35</v>
      </c>
      <c r="E3717" s="15" t="str">
        <f>IF(ISBLANK(Raw_Data!E3717),AVERAGE(Raw_Data!E$2:E$5002),Raw_Data!E3717)</f>
        <v>32126.47</v>
      </c>
      <c r="F3717" s="15" t="str">
        <f>IF(ISBLANK(Raw_Data!F3717),AVERAGE(Raw_Data!F$2:F$5002),Raw_Data!F3717)</f>
        <v>30353.67</v>
      </c>
      <c r="G3717" s="14" t="str">
        <f>IF(ISBLANK(Raw_Data!G3717),AVERAGE(Raw_Data!G$2:G$5002),Raw_Data!G3717)</f>
        <v>20262.15</v>
      </c>
      <c r="H3717" s="15" t="str">
        <f t="shared" si="1"/>
        <v>153287.00</v>
      </c>
      <c r="I3717" s="14" t="str">
        <f t="shared" si="2"/>
        <v>133025.00</v>
      </c>
      <c r="J3717" s="16" t="str">
        <f>TEXT(Raw_Data!J3717,"MMM-YYY")</f>
        <v>Sep-2025</v>
      </c>
      <c r="K3717" s="13" t="str">
        <f>Raw_Data!K3717</f>
        <v>7</v>
      </c>
      <c r="L3717" s="17" t="str">
        <f>Raw_Data!L3717</f>
        <v>Mumbai-HO</v>
      </c>
      <c r="M3717" s="13" t="str">
        <f t="shared" si="3"/>
        <v>OK</v>
      </c>
      <c r="N3717" s="18" t="str">
        <f t="shared" si="4"/>
        <v>VALID</v>
      </c>
    </row>
    <row r="3718" ht="15.75" customHeight="1">
      <c r="A3718" s="13" t="str">
        <f>Raw_Data!A3718</f>
        <v>EMP3931</v>
      </c>
      <c r="B3718" s="13" t="str">
        <f>TRIM(CLEAN(Raw_Data!B3718))</f>
        <v>Sales</v>
      </c>
      <c r="C3718" s="18" t="s">
        <v>33</v>
      </c>
      <c r="D3718" s="14" t="str">
        <f>IF(ISBLANK(Raw_Data!D3718),AVERAGE(Raw_Data!D$2:D$5002),Raw_Data!D3718)</f>
        <v>90818.23</v>
      </c>
      <c r="E3718" s="15" t="str">
        <f>IF(ISBLANK(Raw_Data!E3718),AVERAGE(Raw_Data!E$2:E$5002),Raw_Data!E3718)</f>
        <v>32131.08</v>
      </c>
      <c r="F3718" s="15" t="str">
        <f>IF(ISBLANK(Raw_Data!F3718),AVERAGE(Raw_Data!F$2:F$5002),Raw_Data!F3718)</f>
        <v>30361.35</v>
      </c>
      <c r="G3718" s="14" t="str">
        <f>IF(ISBLANK(Raw_Data!G3718),AVERAGE(Raw_Data!G$2:G$5002),Raw_Data!G3718)</f>
        <v>20265.55</v>
      </c>
      <c r="H3718" s="15" t="str">
        <f t="shared" si="1"/>
        <v>153311.00</v>
      </c>
      <c r="I3718" s="14" t="str">
        <f t="shared" si="2"/>
        <v>133045.00</v>
      </c>
      <c r="J3718" s="16" t="str">
        <f>TEXT(Raw_Data!J3718,"MMM-YYY")</f>
        <v>Jan-2025</v>
      </c>
      <c r="K3718" s="13" t="str">
        <f>Raw_Data!K3718</f>
        <v>13</v>
      </c>
      <c r="L3718" s="17" t="str">
        <f>Raw_Data!L3718</f>
        <v>Delhi-North</v>
      </c>
      <c r="M3718" s="13" t="str">
        <f t="shared" si="3"/>
        <v>OK</v>
      </c>
      <c r="N3718" s="18" t="str">
        <f t="shared" si="4"/>
        <v>VALID</v>
      </c>
    </row>
    <row r="3719" ht="15.75" customHeight="1">
      <c r="A3719" s="13" t="str">
        <f>Raw_Data!A3719</f>
        <v>EMP3932</v>
      </c>
      <c r="B3719" s="13" t="str">
        <f>TRIM(CLEAN(Raw_Data!B3719))</f>
        <v>IT</v>
      </c>
      <c r="C3719" s="18" t="s">
        <v>37</v>
      </c>
      <c r="D3719" s="14" t="str">
        <f>IF(ISBLANK(Raw_Data!D3719),AVERAGE(Raw_Data!D$2:D$5002),Raw_Data!D3719)</f>
        <v>90829.12</v>
      </c>
      <c r="E3719" s="15" t="str">
        <f>IF(ISBLANK(Raw_Data!E3719),AVERAGE(Raw_Data!E$2:E$5002),Raw_Data!E3719)</f>
        <v>32135.70</v>
      </c>
      <c r="F3719" s="15" t="str">
        <f>IF(ISBLANK(Raw_Data!F3719),AVERAGE(Raw_Data!F$2:F$5002),Raw_Data!F3719)</f>
        <v>30369.03</v>
      </c>
      <c r="G3719" s="14" t="str">
        <f>IF(ISBLANK(Raw_Data!G3719),AVERAGE(Raw_Data!G$2:G$5002),Raw_Data!G3719)</f>
        <v>20268.95</v>
      </c>
      <c r="H3719" s="15" t="str">
        <f t="shared" si="1"/>
        <v>153334.00</v>
      </c>
      <c r="I3719" s="14" t="str">
        <f t="shared" si="2"/>
        <v>133065.00</v>
      </c>
      <c r="J3719" s="16" t="str">
        <f>TEXT(Raw_Data!J3719,"MMM-YYY")</f>
        <v>May-2025</v>
      </c>
      <c r="K3719" s="13" t="str">
        <f>Raw_Data!K3719</f>
        <v>17</v>
      </c>
      <c r="L3719" s="17" t="str">
        <f>Raw_Data!L3719</f>
        <v>Bangalore-South</v>
      </c>
      <c r="M3719" s="13" t="str">
        <f t="shared" si="3"/>
        <v>OK</v>
      </c>
      <c r="N3719" s="18" t="str">
        <f t="shared" si="4"/>
        <v>VALID</v>
      </c>
    </row>
    <row r="3720" ht="15.75" customHeight="1">
      <c r="A3720" s="13" t="str">
        <f>Raw_Data!A3720</f>
        <v>EMP3933</v>
      </c>
      <c r="B3720" s="13" t="str">
        <f>TRIM(CLEAN(Raw_Data!B3720))</f>
        <v>Marketing</v>
      </c>
      <c r="C3720" s="18" t="s">
        <v>33</v>
      </c>
      <c r="D3720" s="14" t="str">
        <f>IF(ISBLANK(Raw_Data!D3720),AVERAGE(Raw_Data!D$2:D$5002),Raw_Data!D3720)</f>
        <v>90840.00</v>
      </c>
      <c r="E3720" s="15" t="str">
        <f>IF(ISBLANK(Raw_Data!E3720),AVERAGE(Raw_Data!E$2:E$5002),Raw_Data!E3720)</f>
        <v>32140.31</v>
      </c>
      <c r="F3720" s="15" t="str">
        <f>IF(ISBLANK(Raw_Data!F3720),AVERAGE(Raw_Data!F$2:F$5002),Raw_Data!F3720)</f>
        <v>30376.71</v>
      </c>
      <c r="G3720" s="14" t="str">
        <f>IF(ISBLANK(Raw_Data!G3720),AVERAGE(Raw_Data!G$2:G$5002),Raw_Data!G3720)</f>
        <v>20272.35</v>
      </c>
      <c r="H3720" s="15" t="str">
        <f t="shared" si="1"/>
        <v>153357.00</v>
      </c>
      <c r="I3720" s="14" t="str">
        <f t="shared" si="2"/>
        <v>133085.00</v>
      </c>
      <c r="J3720" s="16" t="str">
        <f>TEXT(Raw_Data!J3720,"MMM-YYY")</f>
        <v>Dec-2025</v>
      </c>
      <c r="K3720" s="13" t="str">
        <f>Raw_Data!K3720</f>
        <v>14</v>
      </c>
      <c r="L3720" s="17" t="str">
        <f>Raw_Data!L3720</f>
        <v>Chennai-South</v>
      </c>
      <c r="M3720" s="13" t="str">
        <f t="shared" si="3"/>
        <v>OK</v>
      </c>
      <c r="N3720" s="18" t="str">
        <f t="shared" si="4"/>
        <v>VALID</v>
      </c>
    </row>
    <row r="3721" ht="15.75" customHeight="1">
      <c r="A3721" s="13" t="str">
        <f>Raw_Data!A3721</f>
        <v>EMP3934</v>
      </c>
      <c r="B3721" s="13" t="str">
        <f>TRIM(CLEAN(Raw_Data!B3721))</f>
        <v>IT</v>
      </c>
      <c r="C3721" s="18" t="s">
        <v>30</v>
      </c>
      <c r="D3721" s="14" t="str">
        <f>IF(ISBLANK(Raw_Data!D3721),AVERAGE(Raw_Data!D$2:D$5002),Raw_Data!D3721)</f>
        <v>90850.88</v>
      </c>
      <c r="E3721" s="15" t="str">
        <f>IF(ISBLANK(Raw_Data!E3721),AVERAGE(Raw_Data!E$2:E$5002),Raw_Data!E3721)</f>
        <v>32144.93</v>
      </c>
      <c r="F3721" s="15" t="str">
        <f>IF(ISBLANK(Raw_Data!F3721),AVERAGE(Raw_Data!F$2:F$5002),Raw_Data!F3721)</f>
        <v>30384.39</v>
      </c>
      <c r="G3721" s="14" t="str">
        <f>IF(ISBLANK(Raw_Data!G3721),AVERAGE(Raw_Data!G$2:G$5002),Raw_Data!G3721)</f>
        <v>20275.74</v>
      </c>
      <c r="H3721" s="15" t="str">
        <f t="shared" si="1"/>
        <v>153380.00</v>
      </c>
      <c r="I3721" s="14" t="str">
        <f t="shared" si="2"/>
        <v>133104.00</v>
      </c>
      <c r="J3721" s="16" t="str">
        <f>TEXT(Raw_Data!J3721,"MMM-YYY")</f>
        <v>Dec-2025</v>
      </c>
      <c r="K3721" s="13" t="str">
        <f>Raw_Data!K3721</f>
        <v>4</v>
      </c>
      <c r="L3721" s="17" t="str">
        <f>Raw_Data!L3721</f>
        <v>Kolkata-East</v>
      </c>
      <c r="M3721" s="13" t="str">
        <f t="shared" si="3"/>
        <v>OK</v>
      </c>
      <c r="N3721" s="18" t="str">
        <f t="shared" si="4"/>
        <v>VALID</v>
      </c>
    </row>
    <row r="3722" ht="15.75" customHeight="1">
      <c r="A3722" s="13" t="str">
        <f>Raw_Data!A3722</f>
        <v>EMP3935</v>
      </c>
      <c r="B3722" s="13" t="str">
        <f>TRIM(CLEAN(Raw_Data!B3722))</f>
        <v>Sales</v>
      </c>
      <c r="C3722" s="18" t="s">
        <v>26</v>
      </c>
      <c r="D3722" s="14" t="str">
        <f>IF(ISBLANK(Raw_Data!D3722),AVERAGE(Raw_Data!D$2:D$5002),Raw_Data!D3722)</f>
        <v>90861.77</v>
      </c>
      <c r="E3722" s="15" t="str">
        <f>IF(ISBLANK(Raw_Data!E3722),AVERAGE(Raw_Data!E$2:E$5002),Raw_Data!E3722)</f>
        <v>32149.54</v>
      </c>
      <c r="F3722" s="15" t="str">
        <f>IF(ISBLANK(Raw_Data!F3722),AVERAGE(Raw_Data!F$2:F$5002),Raw_Data!F3722)</f>
        <v>30392.07</v>
      </c>
      <c r="G3722" s="14" t="str">
        <f>IF(ISBLANK(Raw_Data!G3722),AVERAGE(Raw_Data!G$2:G$5002),Raw_Data!G3722)</f>
        <v>20279.14</v>
      </c>
      <c r="H3722" s="15" t="str">
        <f t="shared" si="1"/>
        <v>153403.00</v>
      </c>
      <c r="I3722" s="14" t="str">
        <f t="shared" si="2"/>
        <v>133124.00</v>
      </c>
      <c r="J3722" s="16" t="str">
        <f>TEXT(Raw_Data!J3722,"MMM-YYY")</f>
        <v>Nov-2025</v>
      </c>
      <c r="K3722" s="13" t="str">
        <f>Raw_Data!K3722</f>
        <v>10</v>
      </c>
      <c r="L3722" s="17" t="str">
        <f>Raw_Data!L3722</f>
        <v>Pune-West</v>
      </c>
      <c r="M3722" s="13" t="str">
        <f t="shared" si="3"/>
        <v>OK</v>
      </c>
      <c r="N3722" s="18" t="str">
        <f t="shared" si="4"/>
        <v>VALID</v>
      </c>
    </row>
    <row r="3723" ht="15.75" customHeight="1">
      <c r="A3723" s="13" t="str">
        <f>Raw_Data!A3723</f>
        <v>EMP3936</v>
      </c>
      <c r="B3723" s="13" t="str">
        <f>TRIM(CLEAN(Raw_Data!B3723))</f>
        <v>Customer Support</v>
      </c>
      <c r="C3723" s="18" t="s">
        <v>37</v>
      </c>
      <c r="D3723" s="14" t="str">
        <f>IF(ISBLANK(Raw_Data!D3723),AVERAGE(Raw_Data!D$2:D$5002),Raw_Data!D3723)</f>
        <v>90872.65</v>
      </c>
      <c r="E3723" s="15" t="str">
        <f>IF(ISBLANK(Raw_Data!E3723),AVERAGE(Raw_Data!E$2:E$5002),Raw_Data!E3723)</f>
        <v>32154.16</v>
      </c>
      <c r="F3723" s="15" t="str">
        <f>IF(ISBLANK(Raw_Data!F3723),AVERAGE(Raw_Data!F$2:F$5002),Raw_Data!F3723)</f>
        <v>30399.75</v>
      </c>
      <c r="G3723" s="14" t="str">
        <f>IF(ISBLANK(Raw_Data!G3723),AVERAGE(Raw_Data!G$2:G$5002),Raw_Data!G3723)</f>
        <v>20282.54</v>
      </c>
      <c r="H3723" s="15" t="str">
        <f t="shared" si="1"/>
        <v>153427.00</v>
      </c>
      <c r="I3723" s="14" t="str">
        <f t="shared" si="2"/>
        <v>133144.00</v>
      </c>
      <c r="J3723" s="16" t="str">
        <f>TEXT(Raw_Data!J3723,"MMM-YYY")</f>
        <v>Mar-2025</v>
      </c>
      <c r="K3723" s="13" t="str">
        <f>Raw_Data!K3723</f>
        <v>11</v>
      </c>
      <c r="L3723" s="17" t="str">
        <f>Raw_Data!L3723</f>
        <v>Hyderabad-South</v>
      </c>
      <c r="M3723" s="13" t="str">
        <f t="shared" si="3"/>
        <v>OK</v>
      </c>
      <c r="N3723" s="18" t="str">
        <f t="shared" si="4"/>
        <v>VALID</v>
      </c>
    </row>
    <row r="3724" ht="15.75" customHeight="1">
      <c r="A3724" s="13" t="str">
        <f>Raw_Data!A3724</f>
        <v>EMP3937</v>
      </c>
      <c r="B3724" s="13" t="str">
        <f>TRIM(CLEAN(Raw_Data!B3724))</f>
        <v>Marketing</v>
      </c>
      <c r="C3724" s="18" t="s">
        <v>14</v>
      </c>
      <c r="D3724" s="14" t="str">
        <f>IF(ISBLANK(Raw_Data!D3724),AVERAGE(Raw_Data!D$2:D$5002),Raw_Data!D3724)</f>
        <v>90883.53</v>
      </c>
      <c r="E3724" s="15" t="str">
        <f>IF(ISBLANK(Raw_Data!E3724),AVERAGE(Raw_Data!E$2:E$5002),Raw_Data!E3724)</f>
        <v>32158.77</v>
      </c>
      <c r="F3724" s="15" t="str">
        <f>IF(ISBLANK(Raw_Data!F3724),AVERAGE(Raw_Data!F$2:F$5002),Raw_Data!F3724)</f>
        <v>30407.43</v>
      </c>
      <c r="G3724" s="14" t="str">
        <f>IF(ISBLANK(Raw_Data!G3724),AVERAGE(Raw_Data!G$2:G$5002),Raw_Data!G3724)</f>
        <v>20285.94</v>
      </c>
      <c r="H3724" s="15" t="str">
        <f t="shared" si="1"/>
        <v>153450.00</v>
      </c>
      <c r="I3724" s="14" t="str">
        <f t="shared" si="2"/>
        <v>133164.00</v>
      </c>
      <c r="J3724" s="16" t="str">
        <f>TEXT(Raw_Data!J3724,"MMM-YYY")</f>
        <v>Sep-2025</v>
      </c>
      <c r="K3724" s="13" t="str">
        <f>Raw_Data!K3724</f>
        <v>2</v>
      </c>
      <c r="L3724" s="17" t="str">
        <f>Raw_Data!L3724</f>
        <v>Chandigarh-North</v>
      </c>
      <c r="M3724" s="13" t="str">
        <f t="shared" si="3"/>
        <v>OK</v>
      </c>
      <c r="N3724" s="18" t="str">
        <f t="shared" si="4"/>
        <v>VALID</v>
      </c>
    </row>
    <row r="3725" ht="15.75" customHeight="1">
      <c r="A3725" s="13" t="str">
        <f>Raw_Data!A3725</f>
        <v>EMP3938</v>
      </c>
      <c r="B3725" s="13" t="str">
        <f>TRIM(CLEAN(Raw_Data!B3725))</f>
        <v>Marketing</v>
      </c>
      <c r="C3725" s="18" t="s">
        <v>14</v>
      </c>
      <c r="D3725" s="14" t="str">
        <f>IF(ISBLANK(Raw_Data!D3725),AVERAGE(Raw_Data!D$2:D$5002),Raw_Data!D3725)</f>
        <v>90894.42</v>
      </c>
      <c r="E3725" s="15" t="str">
        <f>IF(ISBLANK(Raw_Data!E3725),AVERAGE(Raw_Data!E$2:E$5002),Raw_Data!E3725)</f>
        <v>32163.38</v>
      </c>
      <c r="F3725" s="15" t="str">
        <f>IF(ISBLANK(Raw_Data!F3725),AVERAGE(Raw_Data!F$2:F$5002),Raw_Data!F3725)</f>
        <v>30415.11</v>
      </c>
      <c r="G3725" s="14" t="str">
        <f>IF(ISBLANK(Raw_Data!G3725),AVERAGE(Raw_Data!G$2:G$5002),Raw_Data!G3725)</f>
        <v>20289.33</v>
      </c>
      <c r="H3725" s="15" t="str">
        <f t="shared" si="1"/>
        <v>153473.00</v>
      </c>
      <c r="I3725" s="14" t="str">
        <f t="shared" si="2"/>
        <v>133184.00</v>
      </c>
      <c r="J3725" s="16" t="str">
        <f>TEXT(Raw_Data!J3725,"MMM-YYY")</f>
        <v>Aug-2025</v>
      </c>
      <c r="K3725" s="13" t="str">
        <f>Raw_Data!K3725</f>
        <v>18</v>
      </c>
      <c r="L3725" s="17" t="str">
        <f>Raw_Data!L3725</f>
        <v>Ahmedabad-West</v>
      </c>
      <c r="M3725" s="13" t="str">
        <f t="shared" si="3"/>
        <v>OK</v>
      </c>
      <c r="N3725" s="18" t="str">
        <f t="shared" si="4"/>
        <v>VALID</v>
      </c>
    </row>
    <row r="3726" ht="15.75" customHeight="1">
      <c r="A3726" s="13" t="str">
        <f>Raw_Data!A3726</f>
        <v>EMP3939</v>
      </c>
      <c r="B3726" s="13" t="str">
        <f>TRIM(CLEAN(Raw_Data!B3726))</f>
        <v>IT</v>
      </c>
      <c r="C3726" s="18" t="s">
        <v>26</v>
      </c>
      <c r="D3726" s="14" t="str">
        <f>IF(ISBLANK(Raw_Data!D3726),AVERAGE(Raw_Data!D$2:D$5002),Raw_Data!D3726)</f>
        <v>90905.30</v>
      </c>
      <c r="E3726" s="15" t="str">
        <f>IF(ISBLANK(Raw_Data!E3726),AVERAGE(Raw_Data!E$2:E$5002),Raw_Data!E3726)</f>
        <v>32168.00</v>
      </c>
      <c r="F3726" s="15" t="str">
        <f>IF(ISBLANK(Raw_Data!F3726),AVERAGE(Raw_Data!F$2:F$5002),Raw_Data!F3726)</f>
        <v>30422.79</v>
      </c>
      <c r="G3726" s="14" t="str">
        <f>IF(ISBLANK(Raw_Data!G3726),AVERAGE(Raw_Data!G$2:G$5002),Raw_Data!G3726)</f>
        <v>20292.73</v>
      </c>
      <c r="H3726" s="15" t="str">
        <f t="shared" si="1"/>
        <v>153496.00</v>
      </c>
      <c r="I3726" s="14" t="str">
        <f t="shared" si="2"/>
        <v>133203.00</v>
      </c>
      <c r="J3726" s="16" t="str">
        <f>TEXT(Raw_Data!J3726,"MMM-YYY")</f>
        <v>Sep-2025</v>
      </c>
      <c r="K3726" s="13" t="str">
        <f>Raw_Data!K3726</f>
        <v>1</v>
      </c>
      <c r="L3726" s="17" t="str">
        <f>Raw_Data!L3726</f>
        <v>Jaipur-North</v>
      </c>
      <c r="M3726" s="13" t="str">
        <f t="shared" si="3"/>
        <v>OK</v>
      </c>
      <c r="N3726" s="18" t="str">
        <f t="shared" si="4"/>
        <v>VALID</v>
      </c>
    </row>
    <row r="3727" ht="15.75" customHeight="1">
      <c r="A3727" s="13" t="str">
        <f>Raw_Data!A3727</f>
        <v>EMP3940</v>
      </c>
      <c r="B3727" s="13" t="str">
        <f>TRIM(CLEAN(Raw_Data!B3727))</f>
        <v>Sales</v>
      </c>
      <c r="C3727" s="18" t="s">
        <v>26</v>
      </c>
      <c r="D3727" s="14" t="str">
        <f>IF(ISBLANK(Raw_Data!D3727),AVERAGE(Raw_Data!D$2:D$5002),Raw_Data!D3727)</f>
        <v>90916.18</v>
      </c>
      <c r="E3727" s="15" t="str">
        <f>IF(ISBLANK(Raw_Data!E3727),AVERAGE(Raw_Data!E$2:E$5002),Raw_Data!E3727)</f>
        <v>32172.61</v>
      </c>
      <c r="F3727" s="15" t="str">
        <f>IF(ISBLANK(Raw_Data!F3727),AVERAGE(Raw_Data!F$2:F$5002),Raw_Data!F3727)</f>
        <v>30430.47</v>
      </c>
      <c r="G3727" s="14" t="str">
        <f>IF(ISBLANK(Raw_Data!G3727),AVERAGE(Raw_Data!G$2:G$5002),Raw_Data!G3727)</f>
        <v>20296.13</v>
      </c>
      <c r="H3727" s="15" t="str">
        <f t="shared" si="1"/>
        <v>153519.00</v>
      </c>
      <c r="I3727" s="14" t="str">
        <f t="shared" si="2"/>
        <v>133223.00</v>
      </c>
      <c r="J3727" s="16" t="str">
        <f>TEXT(Raw_Data!J3727,"MMM-YYY")</f>
        <v>Dec-2025</v>
      </c>
      <c r="K3727" s="13" t="str">
        <f>Raw_Data!K3727</f>
        <v>16</v>
      </c>
      <c r="L3727" s="17" t="str">
        <f>Raw_Data!L3727</f>
        <v>Mumbai-HO</v>
      </c>
      <c r="M3727" s="13" t="str">
        <f t="shared" si="3"/>
        <v>OK</v>
      </c>
      <c r="N3727" s="18" t="str">
        <f t="shared" si="4"/>
        <v>VALID</v>
      </c>
    </row>
    <row r="3728" ht="15.75" customHeight="1">
      <c r="A3728" s="13" t="str">
        <f>Raw_Data!A3728</f>
        <v>EMP3941</v>
      </c>
      <c r="B3728" s="13" t="str">
        <f>TRIM(CLEAN(Raw_Data!B3728))</f>
        <v>Finance</v>
      </c>
      <c r="C3728" s="18" t="s">
        <v>54</v>
      </c>
      <c r="D3728" s="14" t="str">
        <f>IF(ISBLANK(Raw_Data!D3728),AVERAGE(Raw_Data!D$2:D$5002),Raw_Data!D3728)</f>
        <v>90927.06</v>
      </c>
      <c r="E3728" s="15" t="str">
        <f>IF(ISBLANK(Raw_Data!E3728),AVERAGE(Raw_Data!E$2:E$5002),Raw_Data!E3728)</f>
        <v>32177.23</v>
      </c>
      <c r="F3728" s="15" t="str">
        <f>IF(ISBLANK(Raw_Data!F3728),AVERAGE(Raw_Data!F$2:F$5002),Raw_Data!F3728)</f>
        <v>30438.15</v>
      </c>
      <c r="G3728" s="14" t="str">
        <f>IF(ISBLANK(Raw_Data!G3728),AVERAGE(Raw_Data!G$2:G$5002),Raw_Data!G3728)</f>
        <v>20299.53</v>
      </c>
      <c r="H3728" s="15" t="str">
        <f t="shared" si="1"/>
        <v>153542.00</v>
      </c>
      <c r="I3728" s="14" t="str">
        <f t="shared" si="2"/>
        <v>133242.00</v>
      </c>
      <c r="J3728" s="16" t="str">
        <f>TEXT(Raw_Data!J3728,"MMM-YYY")</f>
        <v>Feb-2025</v>
      </c>
      <c r="K3728" s="13" t="str">
        <f>Raw_Data!K3728</f>
        <v>25</v>
      </c>
      <c r="L3728" s="17" t="str">
        <f>Raw_Data!L3728</f>
        <v>Delhi-North</v>
      </c>
      <c r="M3728" s="13" t="str">
        <f t="shared" si="3"/>
        <v>OK</v>
      </c>
      <c r="N3728" s="18" t="str">
        <f t="shared" si="4"/>
        <v>VALID</v>
      </c>
    </row>
    <row r="3729" ht="15.75" customHeight="1">
      <c r="A3729" s="13" t="str">
        <f>Raw_Data!A3729</f>
        <v>EMP3942</v>
      </c>
      <c r="B3729" s="13" t="str">
        <f>TRIM(CLEAN(Raw_Data!B3729))</f>
        <v>HR</v>
      </c>
      <c r="C3729" s="18" t="s">
        <v>18</v>
      </c>
      <c r="D3729" s="14" t="str">
        <f>IF(ISBLANK(Raw_Data!D3729),AVERAGE(Raw_Data!D$2:D$5002),Raw_Data!D3729)</f>
        <v>90937.95</v>
      </c>
      <c r="E3729" s="15" t="str">
        <f>IF(ISBLANK(Raw_Data!E3729),AVERAGE(Raw_Data!E$2:E$5002),Raw_Data!E3729)</f>
        <v>32181.84</v>
      </c>
      <c r="F3729" s="15" t="str">
        <f>IF(ISBLANK(Raw_Data!F3729),AVERAGE(Raw_Data!F$2:F$5002),Raw_Data!F3729)</f>
        <v>30445.83</v>
      </c>
      <c r="G3729" s="14" t="str">
        <f>IF(ISBLANK(Raw_Data!G3729),AVERAGE(Raw_Data!G$2:G$5002),Raw_Data!G3729)</f>
        <v>20302.92</v>
      </c>
      <c r="H3729" s="15" t="str">
        <f t="shared" si="1"/>
        <v>153566.00</v>
      </c>
      <c r="I3729" s="14" t="str">
        <f t="shared" si="2"/>
        <v>133263.00</v>
      </c>
      <c r="J3729" s="16" t="str">
        <f>TEXT(Raw_Data!J3729,"MMM-YYY")</f>
        <v>Jun-2025</v>
      </c>
      <c r="K3729" s="13" t="str">
        <f>Raw_Data!K3729</f>
        <v>6</v>
      </c>
      <c r="L3729" s="17" t="str">
        <f>Raw_Data!L3729</f>
        <v>Bangalore-South</v>
      </c>
      <c r="M3729" s="13" t="str">
        <f t="shared" si="3"/>
        <v>OK</v>
      </c>
      <c r="N3729" s="18" t="str">
        <f t="shared" si="4"/>
        <v>VALID</v>
      </c>
    </row>
    <row r="3730" ht="15.75" customHeight="1">
      <c r="A3730" s="13" t="str">
        <f>Raw_Data!A3730</f>
        <v>EMP3943</v>
      </c>
      <c r="B3730" s="13" t="str">
        <f>TRIM(CLEAN(Raw_Data!B3730))</f>
        <v>Finance</v>
      </c>
      <c r="C3730" s="18" t="s">
        <v>37</v>
      </c>
      <c r="D3730" s="14" t="str">
        <f>IF(ISBLANK(Raw_Data!D3730),AVERAGE(Raw_Data!D$2:D$5002),Raw_Data!D3730)</f>
        <v>90948.83</v>
      </c>
      <c r="E3730" s="15" t="str">
        <f>IF(ISBLANK(Raw_Data!E3730),AVERAGE(Raw_Data!E$2:E$5002),Raw_Data!E3730)</f>
        <v>32186.46</v>
      </c>
      <c r="F3730" s="15" t="str">
        <f>IF(ISBLANK(Raw_Data!F3730),AVERAGE(Raw_Data!F$2:F$5002),Raw_Data!F3730)</f>
        <v>30453.51</v>
      </c>
      <c r="G3730" s="14" t="str">
        <f>IF(ISBLANK(Raw_Data!G3730),AVERAGE(Raw_Data!G$2:G$5002),Raw_Data!G3730)</f>
        <v>20306.32</v>
      </c>
      <c r="H3730" s="15" t="str">
        <f t="shared" si="1"/>
        <v>153589.00</v>
      </c>
      <c r="I3730" s="14" t="str">
        <f t="shared" si="2"/>
        <v>133283.00</v>
      </c>
      <c r="J3730" s="16" t="str">
        <f>TEXT(Raw_Data!J3730,"MMM-YYY")</f>
        <v>Mar-2025</v>
      </c>
      <c r="K3730" s="13" t="str">
        <f>Raw_Data!K3730</f>
        <v>7</v>
      </c>
      <c r="L3730" s="17" t="str">
        <f>Raw_Data!L3730</f>
        <v>Chennai-South</v>
      </c>
      <c r="M3730" s="13" t="str">
        <f t="shared" si="3"/>
        <v>OK</v>
      </c>
      <c r="N3730" s="18" t="str">
        <f t="shared" si="4"/>
        <v>VALID</v>
      </c>
    </row>
    <row r="3731" ht="15.75" customHeight="1">
      <c r="A3731" s="13" t="str">
        <f>Raw_Data!A3731</f>
        <v>EMP3944</v>
      </c>
      <c r="B3731" s="13" t="str">
        <f>TRIM(CLEAN(Raw_Data!B3731))</f>
        <v>Sales</v>
      </c>
      <c r="C3731" s="18" t="s">
        <v>26</v>
      </c>
      <c r="D3731" s="14" t="str">
        <f>IF(ISBLANK(Raw_Data!D3731),AVERAGE(Raw_Data!D$2:D$5002),Raw_Data!D3731)</f>
        <v>90959.71</v>
      </c>
      <c r="E3731" s="15" t="str">
        <f>IF(ISBLANK(Raw_Data!E3731),AVERAGE(Raw_Data!E$2:E$5002),Raw_Data!E3731)</f>
        <v>32191.07</v>
      </c>
      <c r="F3731" s="15" t="str">
        <f>IF(ISBLANK(Raw_Data!F3731),AVERAGE(Raw_Data!F$2:F$5002),Raw_Data!F3731)</f>
        <v>30461.19</v>
      </c>
      <c r="G3731" s="14" t="str">
        <f>IF(ISBLANK(Raw_Data!G3731),AVERAGE(Raw_Data!G$2:G$5002),Raw_Data!G3731)</f>
        <v>20309.72</v>
      </c>
      <c r="H3731" s="15" t="str">
        <f t="shared" si="1"/>
        <v>153612.00</v>
      </c>
      <c r="I3731" s="14" t="str">
        <f t="shared" si="2"/>
        <v>133302.00</v>
      </c>
      <c r="J3731" s="16" t="str">
        <f>TEXT(Raw_Data!J3731,"MMM-YYY")</f>
        <v>Mar-2025</v>
      </c>
      <c r="K3731" s="13" t="str">
        <f>Raw_Data!K3731</f>
        <v>23</v>
      </c>
      <c r="L3731" s="17" t="str">
        <f>Raw_Data!L3731</f>
        <v>Kolkata-East</v>
      </c>
      <c r="M3731" s="13" t="str">
        <f t="shared" si="3"/>
        <v>OK</v>
      </c>
      <c r="N3731" s="18" t="str">
        <f t="shared" si="4"/>
        <v>VALID</v>
      </c>
    </row>
    <row r="3732" ht="15.75" customHeight="1">
      <c r="A3732" s="13" t="str">
        <f>Raw_Data!A3732</f>
        <v>EMP3945</v>
      </c>
      <c r="B3732" s="13" t="str">
        <f>TRIM(CLEAN(Raw_Data!B3732))</f>
        <v>Finance</v>
      </c>
      <c r="C3732" s="18" t="s">
        <v>30</v>
      </c>
      <c r="D3732" s="14" t="str">
        <f>IF(ISBLANK(Raw_Data!D3732),AVERAGE(Raw_Data!D$2:D$5002),Raw_Data!D3732)</f>
        <v>71831.17</v>
      </c>
      <c r="E3732" s="15" t="str">
        <f>IF(ISBLANK(Raw_Data!E3732),AVERAGE(Raw_Data!E$2:E$5002),Raw_Data!E3732)</f>
        <v>32195.69</v>
      </c>
      <c r="F3732" s="15" t="str">
        <f>IF(ISBLANK(Raw_Data!F3732),AVERAGE(Raw_Data!F$2:F$5002),Raw_Data!F3732)</f>
        <v>30468.87</v>
      </c>
      <c r="G3732" s="14" t="str">
        <f>IF(ISBLANK(Raw_Data!G3732),AVERAGE(Raw_Data!G$2:G$5002),Raw_Data!G3732)</f>
        <v>20313.12</v>
      </c>
      <c r="H3732" s="15" t="str">
        <f t="shared" si="1"/>
        <v>134496.00</v>
      </c>
      <c r="I3732" s="14" t="str">
        <f t="shared" si="2"/>
        <v>114183.00</v>
      </c>
      <c r="J3732" s="16" t="str">
        <f>TEXT(Raw_Data!J3732,"MMM-YYY")</f>
        <v>Sep-2025</v>
      </c>
      <c r="K3732" s="13" t="str">
        <f>Raw_Data!K3732</f>
        <v>12</v>
      </c>
      <c r="L3732" s="17" t="str">
        <f>Raw_Data!L3732</f>
        <v>Pune-West</v>
      </c>
      <c r="M3732" s="13" t="str">
        <f t="shared" si="3"/>
        <v>OK</v>
      </c>
      <c r="N3732" s="18" t="str">
        <f t="shared" si="4"/>
        <v>VALID</v>
      </c>
    </row>
    <row r="3733" ht="15.75" customHeight="1">
      <c r="A3733" s="13" t="str">
        <f>Raw_Data!A3733</f>
        <v>EMP3946</v>
      </c>
      <c r="B3733" s="13" t="str">
        <f>TRIM(CLEAN(Raw_Data!B3733))</f>
        <v>Finance</v>
      </c>
      <c r="C3733" s="18" t="s">
        <v>18</v>
      </c>
      <c r="D3733" s="14" t="str">
        <f>IF(ISBLANK(Raw_Data!D3733),AVERAGE(Raw_Data!D$2:D$5002),Raw_Data!D3733)</f>
        <v>90981.48</v>
      </c>
      <c r="E3733" s="15" t="str">
        <f>IF(ISBLANK(Raw_Data!E3733),AVERAGE(Raw_Data!E$2:E$5002),Raw_Data!E3733)</f>
        <v>32200.30</v>
      </c>
      <c r="F3733" s="15" t="str">
        <f>IF(ISBLANK(Raw_Data!F3733),AVERAGE(Raw_Data!F$2:F$5002),Raw_Data!F3733)</f>
        <v>30476.55</v>
      </c>
      <c r="G3733" s="14" t="str">
        <f>IF(ISBLANK(Raw_Data!G3733),AVERAGE(Raw_Data!G$2:G$5002),Raw_Data!G3733)</f>
        <v>20316.51</v>
      </c>
      <c r="H3733" s="15" t="str">
        <f t="shared" si="1"/>
        <v>153658.00</v>
      </c>
      <c r="I3733" s="14" t="str">
        <f t="shared" si="2"/>
        <v>133341.00</v>
      </c>
      <c r="J3733" s="16" t="str">
        <f>TEXT(Raw_Data!J3733,"MMM-YYY")</f>
        <v>May-2025</v>
      </c>
      <c r="K3733" s="13" t="str">
        <f>Raw_Data!K3733</f>
        <v>19</v>
      </c>
      <c r="L3733" s="17" t="str">
        <f>Raw_Data!L3733</f>
        <v>Hyderabad-South</v>
      </c>
      <c r="M3733" s="13" t="str">
        <f t="shared" si="3"/>
        <v>OK</v>
      </c>
      <c r="N3733" s="18" t="str">
        <f t="shared" si="4"/>
        <v>VALID</v>
      </c>
    </row>
    <row r="3734" ht="15.75" customHeight="1">
      <c r="A3734" s="13" t="str">
        <f>Raw_Data!A3734</f>
        <v>EMP3947</v>
      </c>
      <c r="B3734" s="13" t="str">
        <f>TRIM(CLEAN(Raw_Data!B3734))</f>
        <v>Marketing</v>
      </c>
      <c r="C3734" s="18" t="s">
        <v>33</v>
      </c>
      <c r="D3734" s="14" t="str">
        <f>IF(ISBLANK(Raw_Data!D3734),AVERAGE(Raw_Data!D$2:D$5002),Raw_Data!D3734)</f>
        <v>90992.36</v>
      </c>
      <c r="E3734" s="15" t="str">
        <f>IF(ISBLANK(Raw_Data!E3734),AVERAGE(Raw_Data!E$2:E$5002),Raw_Data!E3734)</f>
        <v>32204.92</v>
      </c>
      <c r="F3734" s="15" t="str">
        <f>IF(ISBLANK(Raw_Data!F3734),AVERAGE(Raw_Data!F$2:F$5002),Raw_Data!F3734)</f>
        <v>30484.23</v>
      </c>
      <c r="G3734" s="14" t="str">
        <f>IF(ISBLANK(Raw_Data!G3734),AVERAGE(Raw_Data!G$2:G$5002),Raw_Data!G3734)</f>
        <v>20319.91</v>
      </c>
      <c r="H3734" s="15" t="str">
        <f t="shared" si="1"/>
        <v>153682.00</v>
      </c>
      <c r="I3734" s="14" t="str">
        <f t="shared" si="2"/>
        <v>133362.00</v>
      </c>
      <c r="J3734" s="16" t="str">
        <f>TEXT(Raw_Data!J3734,"MMM-YYY")</f>
        <v>Mar-2025</v>
      </c>
      <c r="K3734" s="13" t="str">
        <f>Raw_Data!K3734</f>
        <v>9</v>
      </c>
      <c r="L3734" s="17" t="str">
        <f>Raw_Data!L3734</f>
        <v>Chandigarh-North</v>
      </c>
      <c r="M3734" s="13" t="str">
        <f t="shared" si="3"/>
        <v>OK</v>
      </c>
      <c r="N3734" s="18" t="str">
        <f t="shared" si="4"/>
        <v>VALID</v>
      </c>
    </row>
    <row r="3735" ht="15.75" customHeight="1">
      <c r="A3735" s="13" t="str">
        <f>Raw_Data!A3735</f>
        <v>EMP3948</v>
      </c>
      <c r="B3735" s="13" t="str">
        <f>TRIM(CLEAN(Raw_Data!B3735))</f>
        <v>IT</v>
      </c>
      <c r="C3735" s="18" t="s">
        <v>18</v>
      </c>
      <c r="D3735" s="14" t="str">
        <f>IF(ISBLANK(Raw_Data!D3735),AVERAGE(Raw_Data!D$2:D$5002),Raw_Data!D3735)</f>
        <v>91003.24</v>
      </c>
      <c r="E3735" s="15" t="str">
        <f>IF(ISBLANK(Raw_Data!E3735),AVERAGE(Raw_Data!E$2:E$5002),Raw_Data!E3735)</f>
        <v>32209.53</v>
      </c>
      <c r="F3735" s="15" t="str">
        <f>IF(ISBLANK(Raw_Data!F3735),AVERAGE(Raw_Data!F$2:F$5002),Raw_Data!F3735)</f>
        <v>30491.91</v>
      </c>
      <c r="G3735" s="14" t="str">
        <f>IF(ISBLANK(Raw_Data!G3735),AVERAGE(Raw_Data!G$2:G$5002),Raw_Data!G3735)</f>
        <v>20323.31</v>
      </c>
      <c r="H3735" s="15" t="str">
        <f t="shared" si="1"/>
        <v>153705.00</v>
      </c>
      <c r="I3735" s="14" t="str">
        <f t="shared" si="2"/>
        <v>133382.00</v>
      </c>
      <c r="J3735" s="16" t="str">
        <f>TEXT(Raw_Data!J3735,"MMM-YYY")</f>
        <v>Oct-2025</v>
      </c>
      <c r="K3735" s="13" t="str">
        <f>Raw_Data!K3735</f>
        <v>15</v>
      </c>
      <c r="L3735" s="17" t="str">
        <f>Raw_Data!L3735</f>
        <v>Ahmedabad-West</v>
      </c>
      <c r="M3735" s="13" t="str">
        <f t="shared" si="3"/>
        <v>OK</v>
      </c>
      <c r="N3735" s="18" t="str">
        <f t="shared" si="4"/>
        <v>VALID</v>
      </c>
    </row>
    <row r="3736" ht="15.75" customHeight="1">
      <c r="A3736" s="13" t="str">
        <f>Raw_Data!A3736</f>
        <v>EMP3949</v>
      </c>
      <c r="B3736" s="13" t="str">
        <f>TRIM(CLEAN(Raw_Data!B3736))</f>
        <v>IT</v>
      </c>
      <c r="C3736" s="18" t="s">
        <v>30</v>
      </c>
      <c r="D3736" s="14" t="str">
        <f>IF(ISBLANK(Raw_Data!D3736),AVERAGE(Raw_Data!D$2:D$5002),Raw_Data!D3736)</f>
        <v>91014.13</v>
      </c>
      <c r="E3736" s="15" t="str">
        <f>IF(ISBLANK(Raw_Data!E3736),AVERAGE(Raw_Data!E$2:E$5002),Raw_Data!E3736)</f>
        <v>32214.15</v>
      </c>
      <c r="F3736" s="15" t="str">
        <f>IF(ISBLANK(Raw_Data!F3736),AVERAGE(Raw_Data!F$2:F$5002),Raw_Data!F3736)</f>
        <v>30499.59</v>
      </c>
      <c r="G3736" s="14" t="str">
        <f>IF(ISBLANK(Raw_Data!G3736),AVERAGE(Raw_Data!G$2:G$5002),Raw_Data!G3736)</f>
        <v>20326.71</v>
      </c>
      <c r="H3736" s="15" t="str">
        <f t="shared" si="1"/>
        <v>153728.00</v>
      </c>
      <c r="I3736" s="14" t="str">
        <f t="shared" si="2"/>
        <v>133401.00</v>
      </c>
      <c r="J3736" s="16" t="str">
        <f>TEXT(Raw_Data!J3736,"MMM-YYY")</f>
        <v>Feb-2025</v>
      </c>
      <c r="K3736" s="13" t="str">
        <f>Raw_Data!K3736</f>
        <v>10</v>
      </c>
      <c r="L3736" s="17" t="str">
        <f>Raw_Data!L3736</f>
        <v>Jaipur-North</v>
      </c>
      <c r="M3736" s="13" t="str">
        <f t="shared" si="3"/>
        <v>OK</v>
      </c>
      <c r="N3736" s="18" t="str">
        <f t="shared" si="4"/>
        <v>VALID</v>
      </c>
    </row>
    <row r="3737" ht="15.75" customHeight="1">
      <c r="A3737" s="13" t="str">
        <f>Raw_Data!A3737</f>
        <v>EMP3950</v>
      </c>
      <c r="B3737" s="13" t="str">
        <f>TRIM(CLEAN(Raw_Data!B3737))</f>
        <v>Finance</v>
      </c>
      <c r="C3737" s="18" t="s">
        <v>37</v>
      </c>
      <c r="D3737" s="14" t="str">
        <f>IF(ISBLANK(Raw_Data!D3737),AVERAGE(Raw_Data!D$2:D$5002),Raw_Data!D3737)</f>
        <v>91025.01</v>
      </c>
      <c r="E3737" s="15" t="str">
        <f>IF(ISBLANK(Raw_Data!E3737),AVERAGE(Raw_Data!E$2:E$5002),Raw_Data!E3737)</f>
        <v>32218.76</v>
      </c>
      <c r="F3737" s="15" t="str">
        <f>IF(ISBLANK(Raw_Data!F3737),AVERAGE(Raw_Data!F$2:F$5002),Raw_Data!F3737)</f>
        <v>30507.27</v>
      </c>
      <c r="G3737" s="14" t="str">
        <f>IF(ISBLANK(Raw_Data!G3737),AVERAGE(Raw_Data!G$2:G$5002),Raw_Data!G3737)</f>
        <v>20330.10</v>
      </c>
      <c r="H3737" s="15" t="str">
        <f t="shared" si="1"/>
        <v>153751.00</v>
      </c>
      <c r="I3737" s="14" t="str">
        <f t="shared" si="2"/>
        <v>133421.00</v>
      </c>
      <c r="J3737" s="16" t="str">
        <f>TEXT(Raw_Data!J3737,"MMM-YYY")</f>
        <v>Oct-2025</v>
      </c>
      <c r="K3737" s="13" t="str">
        <f>Raw_Data!K3737</f>
        <v>19</v>
      </c>
      <c r="L3737" s="17" t="str">
        <f>Raw_Data!L3737</f>
        <v>Mumbai-HO</v>
      </c>
      <c r="M3737" s="13" t="str">
        <f t="shared" si="3"/>
        <v>OK</v>
      </c>
      <c r="N3737" s="18" t="str">
        <f t="shared" si="4"/>
        <v>VALID</v>
      </c>
    </row>
    <row r="3738" ht="15.75" customHeight="1">
      <c r="A3738" s="13" t="str">
        <f>Raw_Data!A3738</f>
        <v>EMP3951</v>
      </c>
      <c r="B3738" s="13" t="str">
        <f>TRIM(CLEAN(Raw_Data!B3738))</f>
        <v>Operations</v>
      </c>
      <c r="C3738" s="18" t="s">
        <v>33</v>
      </c>
      <c r="D3738" s="14" t="str">
        <f>IF(ISBLANK(Raw_Data!D3738),AVERAGE(Raw_Data!D$2:D$5002),Raw_Data!D3738)</f>
        <v>91035.89</v>
      </c>
      <c r="E3738" s="15" t="str">
        <f>IF(ISBLANK(Raw_Data!E3738),AVERAGE(Raw_Data!E$2:E$5002),Raw_Data!E3738)</f>
        <v>32223.38</v>
      </c>
      <c r="F3738" s="15" t="str">
        <f>IF(ISBLANK(Raw_Data!F3738),AVERAGE(Raw_Data!F$2:F$5002),Raw_Data!F3738)</f>
        <v>30514.95</v>
      </c>
      <c r="G3738" s="14" t="str">
        <f>IF(ISBLANK(Raw_Data!G3738),AVERAGE(Raw_Data!G$2:G$5002),Raw_Data!G3738)</f>
        <v>20333.50</v>
      </c>
      <c r="H3738" s="15" t="str">
        <f t="shared" si="1"/>
        <v>153774.00</v>
      </c>
      <c r="I3738" s="14" t="str">
        <f t="shared" si="2"/>
        <v>133440.00</v>
      </c>
      <c r="J3738" s="16" t="str">
        <f>TEXT(Raw_Data!J3738,"MMM-YYY")</f>
        <v>May-2025</v>
      </c>
      <c r="K3738" s="13" t="str">
        <f>Raw_Data!K3738</f>
        <v>17</v>
      </c>
      <c r="L3738" s="17" t="str">
        <f>Raw_Data!L3738</f>
        <v>Delhi-North</v>
      </c>
      <c r="M3738" s="13" t="str">
        <f t="shared" si="3"/>
        <v>OK</v>
      </c>
      <c r="N3738" s="18" t="str">
        <f t="shared" si="4"/>
        <v>VALID</v>
      </c>
    </row>
    <row r="3739" ht="15.75" customHeight="1">
      <c r="A3739" s="13" t="str">
        <f>Raw_Data!A3739</f>
        <v>EMP3952</v>
      </c>
      <c r="B3739" s="13" t="str">
        <f>TRIM(CLEAN(Raw_Data!B3739))</f>
        <v>IT</v>
      </c>
      <c r="C3739" s="18" t="s">
        <v>33</v>
      </c>
      <c r="D3739" s="14" t="str">
        <f>IF(ISBLANK(Raw_Data!D3739),AVERAGE(Raw_Data!D$2:D$5002),Raw_Data!D3739)</f>
        <v>91046.78</v>
      </c>
      <c r="E3739" s="15" t="str">
        <f>IF(ISBLANK(Raw_Data!E3739),AVERAGE(Raw_Data!E$2:E$5002),Raw_Data!E3739)</f>
        <v>32227.99</v>
      </c>
      <c r="F3739" s="15" t="str">
        <f>IF(ISBLANK(Raw_Data!F3739),AVERAGE(Raw_Data!F$2:F$5002),Raw_Data!F3739)</f>
        <v>30522.63</v>
      </c>
      <c r="G3739" s="14" t="str">
        <f>IF(ISBLANK(Raw_Data!G3739),AVERAGE(Raw_Data!G$2:G$5002),Raw_Data!G3739)</f>
        <v>20336.90</v>
      </c>
      <c r="H3739" s="15" t="str">
        <f t="shared" si="1"/>
        <v>153797.00</v>
      </c>
      <c r="I3739" s="14" t="str">
        <f t="shared" si="2"/>
        <v>133460.00</v>
      </c>
      <c r="J3739" s="16" t="str">
        <f>TEXT(Raw_Data!J3739,"MMM-YYY")</f>
        <v>May-2025</v>
      </c>
      <c r="K3739" s="13" t="str">
        <f>Raw_Data!K3739</f>
        <v>1</v>
      </c>
      <c r="L3739" s="17" t="str">
        <f>Raw_Data!L3739</f>
        <v>Bangalore-South</v>
      </c>
      <c r="M3739" s="13" t="str">
        <f t="shared" si="3"/>
        <v>OK</v>
      </c>
      <c r="N3739" s="18" t="str">
        <f t="shared" si="4"/>
        <v>VALID</v>
      </c>
    </row>
    <row r="3740" ht="15.75" customHeight="1">
      <c r="A3740" s="13" t="str">
        <f>Raw_Data!A3740</f>
        <v>EMP3953</v>
      </c>
      <c r="B3740" s="13" t="str">
        <f>TRIM(CLEAN(Raw_Data!B3740))</f>
        <v>HR</v>
      </c>
      <c r="C3740" s="18" t="s">
        <v>54</v>
      </c>
      <c r="D3740" s="14" t="str">
        <f>IF(ISBLANK(Raw_Data!D3740),AVERAGE(Raw_Data!D$2:D$5002),Raw_Data!D3740)</f>
        <v>91057.66</v>
      </c>
      <c r="E3740" s="15" t="str">
        <f>IF(ISBLANK(Raw_Data!E3740),AVERAGE(Raw_Data!E$2:E$5002),Raw_Data!E3740)</f>
        <v>32232.61</v>
      </c>
      <c r="F3740" s="15" t="str">
        <f>IF(ISBLANK(Raw_Data!F3740),AVERAGE(Raw_Data!F$2:F$5002),Raw_Data!F3740)</f>
        <v>30530.31</v>
      </c>
      <c r="G3740" s="14" t="str">
        <f>IF(ISBLANK(Raw_Data!G3740),AVERAGE(Raw_Data!G$2:G$5002),Raw_Data!G3740)</f>
        <v>14562.73</v>
      </c>
      <c r="H3740" s="15" t="str">
        <f t="shared" si="1"/>
        <v>153821.00</v>
      </c>
      <c r="I3740" s="14" t="str">
        <f t="shared" si="2"/>
        <v>139258.00</v>
      </c>
      <c r="J3740" s="16" t="str">
        <f>TEXT(Raw_Data!J3740,"MMM-YYY")</f>
        <v>Aug-2025</v>
      </c>
      <c r="K3740" s="13" t="str">
        <f>Raw_Data!K3740</f>
        <v>25</v>
      </c>
      <c r="L3740" s="17" t="str">
        <f>Raw_Data!L3740</f>
        <v>Chennai-South</v>
      </c>
      <c r="M3740" s="13" t="str">
        <f t="shared" si="3"/>
        <v>OK</v>
      </c>
      <c r="N3740" s="18" t="str">
        <f t="shared" si="4"/>
        <v>VALID</v>
      </c>
    </row>
    <row r="3741" ht="15.75" customHeight="1">
      <c r="A3741" s="13" t="str">
        <f>Raw_Data!A3741</f>
        <v>EMP3954</v>
      </c>
      <c r="B3741" s="13" t="str">
        <f>TRIM(CLEAN(Raw_Data!B3741))</f>
        <v>Marketing</v>
      </c>
      <c r="C3741" s="18" t="s">
        <v>33</v>
      </c>
      <c r="D3741" s="14" t="str">
        <f>IF(ISBLANK(Raw_Data!D3741),AVERAGE(Raw_Data!D$2:D$5002),Raw_Data!D3741)</f>
        <v>91068.54</v>
      </c>
      <c r="E3741" s="15" t="str">
        <f>IF(ISBLANK(Raw_Data!E3741),AVERAGE(Raw_Data!E$2:E$5002),Raw_Data!E3741)</f>
        <v>32237.22</v>
      </c>
      <c r="F3741" s="15" t="str">
        <f>IF(ISBLANK(Raw_Data!F3741),AVERAGE(Raw_Data!F$2:F$5002),Raw_Data!F3741)</f>
        <v>30537.99</v>
      </c>
      <c r="G3741" s="14" t="str">
        <f>IF(ISBLANK(Raw_Data!G3741),AVERAGE(Raw_Data!G$2:G$5002),Raw_Data!G3741)</f>
        <v>20343.69</v>
      </c>
      <c r="H3741" s="15" t="str">
        <f t="shared" si="1"/>
        <v>153844.00</v>
      </c>
      <c r="I3741" s="14" t="str">
        <f t="shared" si="2"/>
        <v>133500.00</v>
      </c>
      <c r="J3741" s="16" t="str">
        <f>TEXT(Raw_Data!J3741,"MMM-YYY")</f>
        <v>Dec-2025</v>
      </c>
      <c r="K3741" s="13" t="str">
        <f>Raw_Data!K3741</f>
        <v>14</v>
      </c>
      <c r="L3741" s="17" t="str">
        <f>Raw_Data!L3741</f>
        <v>Kolkata-East</v>
      </c>
      <c r="M3741" s="13" t="str">
        <f t="shared" si="3"/>
        <v>OK</v>
      </c>
      <c r="N3741" s="18" t="str">
        <f t="shared" si="4"/>
        <v>VALID</v>
      </c>
    </row>
    <row r="3742" ht="15.75" customHeight="1">
      <c r="A3742" s="13" t="str">
        <f>Raw_Data!A3742</f>
        <v>EMP3955</v>
      </c>
      <c r="B3742" s="13" t="str">
        <f>TRIM(CLEAN(Raw_Data!B3742))</f>
        <v>Sales</v>
      </c>
      <c r="C3742" s="18" t="s">
        <v>33</v>
      </c>
      <c r="D3742" s="14" t="str">
        <f>IF(ISBLANK(Raw_Data!D3742),AVERAGE(Raw_Data!D$2:D$5002),Raw_Data!D3742)</f>
        <v>91079.43</v>
      </c>
      <c r="E3742" s="15" t="str">
        <f>IF(ISBLANK(Raw_Data!E3742),AVERAGE(Raw_Data!E$2:E$5002),Raw_Data!E3742)</f>
        <v>32241.84</v>
      </c>
      <c r="F3742" s="15" t="str">
        <f>IF(ISBLANK(Raw_Data!F3742),AVERAGE(Raw_Data!F$2:F$5002),Raw_Data!F3742)</f>
        <v>30545.67</v>
      </c>
      <c r="G3742" s="14" t="str">
        <f>IF(ISBLANK(Raw_Data!G3742),AVERAGE(Raw_Data!G$2:G$5002),Raw_Data!G3742)</f>
        <v>20347.09</v>
      </c>
      <c r="H3742" s="15" t="str">
        <f t="shared" si="1"/>
        <v>153867.00</v>
      </c>
      <c r="I3742" s="14" t="str">
        <f t="shared" si="2"/>
        <v>133520.00</v>
      </c>
      <c r="J3742" s="16" t="str">
        <f>TEXT(Raw_Data!J3742,"MMM-YYY")</f>
        <v>Sep-2025</v>
      </c>
      <c r="K3742" s="13" t="str">
        <f>Raw_Data!K3742</f>
        <v>10</v>
      </c>
      <c r="L3742" s="17" t="str">
        <f>Raw_Data!L3742</f>
        <v>Pune-West</v>
      </c>
      <c r="M3742" s="13" t="str">
        <f t="shared" si="3"/>
        <v>OK</v>
      </c>
      <c r="N3742" s="18" t="str">
        <f t="shared" si="4"/>
        <v>VALID</v>
      </c>
    </row>
    <row r="3743" ht="15.75" customHeight="1">
      <c r="A3743" s="13" t="str">
        <f>Raw_Data!A3743</f>
        <v>EMP3956</v>
      </c>
      <c r="B3743" s="13" t="str">
        <f>TRIM(CLEAN(Raw_Data!B3743))</f>
        <v>Marketing</v>
      </c>
      <c r="C3743" s="18" t="s">
        <v>33</v>
      </c>
      <c r="D3743" s="14" t="str">
        <f>IF(ISBLANK(Raw_Data!D3743),AVERAGE(Raw_Data!D$2:D$5002),Raw_Data!D3743)</f>
        <v>91090.31</v>
      </c>
      <c r="E3743" s="15" t="str">
        <f>IF(ISBLANK(Raw_Data!E3743),AVERAGE(Raw_Data!E$2:E$5002),Raw_Data!E3743)</f>
        <v>32246.45</v>
      </c>
      <c r="F3743" s="15" t="str">
        <f>IF(ISBLANK(Raw_Data!F3743),AVERAGE(Raw_Data!F$2:F$5002),Raw_Data!F3743)</f>
        <v>30553.35</v>
      </c>
      <c r="G3743" s="14" t="str">
        <f>IF(ISBLANK(Raw_Data!G3743),AVERAGE(Raw_Data!G$2:G$5002),Raw_Data!G3743)</f>
        <v>20350.49</v>
      </c>
      <c r="H3743" s="15" t="str">
        <f t="shared" si="1"/>
        <v>153890.00</v>
      </c>
      <c r="I3743" s="14" t="str">
        <f t="shared" si="2"/>
        <v>133540.00</v>
      </c>
      <c r="J3743" s="16" t="str">
        <f>TEXT(Raw_Data!J3743,"MMM-YYY")</f>
        <v>Mar-2025</v>
      </c>
      <c r="K3743" s="13" t="str">
        <f>Raw_Data!K3743</f>
        <v>14</v>
      </c>
      <c r="L3743" s="17" t="str">
        <f>Raw_Data!L3743</f>
        <v>Hyderabad-South</v>
      </c>
      <c r="M3743" s="13" t="str">
        <f t="shared" si="3"/>
        <v>OK</v>
      </c>
      <c r="N3743" s="18" t="str">
        <f t="shared" si="4"/>
        <v>VALID</v>
      </c>
    </row>
    <row r="3744" ht="15.75" customHeight="1">
      <c r="A3744" s="13" t="str">
        <f>Raw_Data!A3744</f>
        <v>EMP3957</v>
      </c>
      <c r="B3744" s="13" t="str">
        <f>TRIM(CLEAN(Raw_Data!B3744))</f>
        <v>Finance</v>
      </c>
      <c r="C3744" s="18" t="s">
        <v>54</v>
      </c>
      <c r="D3744" s="14" t="str">
        <f>IF(ISBLANK(Raw_Data!D3744),AVERAGE(Raw_Data!D$2:D$5002),Raw_Data!D3744)</f>
        <v>91101.19</v>
      </c>
      <c r="E3744" s="15" t="str">
        <f>IF(ISBLANK(Raw_Data!E3744),AVERAGE(Raw_Data!E$2:E$5002),Raw_Data!E3744)</f>
        <v>32251.06</v>
      </c>
      <c r="F3744" s="15" t="str">
        <f>IF(ISBLANK(Raw_Data!F3744),AVERAGE(Raw_Data!F$2:F$5002),Raw_Data!F3744)</f>
        <v>30561.03</v>
      </c>
      <c r="G3744" s="14" t="str">
        <f>IF(ISBLANK(Raw_Data!G3744),AVERAGE(Raw_Data!G$2:G$5002),Raw_Data!G3744)</f>
        <v>20353.89</v>
      </c>
      <c r="H3744" s="15" t="str">
        <f t="shared" si="1"/>
        <v>153913.00</v>
      </c>
      <c r="I3744" s="14" t="str">
        <f t="shared" si="2"/>
        <v>133559.00</v>
      </c>
      <c r="J3744" s="16" t="str">
        <f>TEXT(Raw_Data!J3744,"MMM-YYY")</f>
        <v>Apr-2025</v>
      </c>
      <c r="K3744" s="13" t="str">
        <f>Raw_Data!K3744</f>
        <v>10</v>
      </c>
      <c r="L3744" s="17" t="str">
        <f>Raw_Data!L3744</f>
        <v>Chandigarh-North</v>
      </c>
      <c r="M3744" s="13" t="str">
        <f t="shared" si="3"/>
        <v>OK</v>
      </c>
      <c r="N3744" s="18" t="str">
        <f t="shared" si="4"/>
        <v>VALID</v>
      </c>
    </row>
    <row r="3745" ht="15.75" customHeight="1">
      <c r="A3745" s="13" t="str">
        <f>Raw_Data!A3745</f>
        <v>EMP3959</v>
      </c>
      <c r="B3745" s="13" t="str">
        <f>TRIM(CLEAN(Raw_Data!B3745))</f>
        <v>HR</v>
      </c>
      <c r="C3745" s="18" t="s">
        <v>30</v>
      </c>
      <c r="D3745" s="14" t="str">
        <f>IF(ISBLANK(Raw_Data!D3745),AVERAGE(Raw_Data!D$2:D$5002),Raw_Data!D3745)</f>
        <v>91122.96</v>
      </c>
      <c r="E3745" s="15" t="str">
        <f>IF(ISBLANK(Raw_Data!E3745),AVERAGE(Raw_Data!E$2:E$5002),Raw_Data!E3745)</f>
        <v>32260.29</v>
      </c>
      <c r="F3745" s="15" t="str">
        <f>IF(ISBLANK(Raw_Data!F3745),AVERAGE(Raw_Data!F$2:F$5002),Raw_Data!F3745)</f>
        <v>30576.39</v>
      </c>
      <c r="G3745" s="14" t="str">
        <f>IF(ISBLANK(Raw_Data!G3745),AVERAGE(Raw_Data!G$2:G$5002),Raw_Data!G3745)</f>
        <v>20360.68</v>
      </c>
      <c r="H3745" s="15" t="str">
        <f t="shared" si="1"/>
        <v>153960.00</v>
      </c>
      <c r="I3745" s="14" t="str">
        <f t="shared" si="2"/>
        <v>133599.00</v>
      </c>
      <c r="J3745" s="16" t="str">
        <f>TEXT(Raw_Data!J3745,"MMM-YYY")</f>
        <v>May-2025</v>
      </c>
      <c r="K3745" s="13" t="str">
        <f>Raw_Data!K3745</f>
        <v>24</v>
      </c>
      <c r="L3745" s="17" t="str">
        <f>Raw_Data!L3745</f>
        <v>Jaipur-North</v>
      </c>
      <c r="M3745" s="13" t="str">
        <f t="shared" si="3"/>
        <v>OK</v>
      </c>
      <c r="N3745" s="18" t="str">
        <f t="shared" si="4"/>
        <v>VALID</v>
      </c>
    </row>
    <row r="3746" ht="15.75" customHeight="1">
      <c r="A3746" s="13" t="str">
        <f>Raw_Data!A3746</f>
        <v>EMP3960</v>
      </c>
      <c r="B3746" s="13" t="str">
        <f>TRIM(CLEAN(Raw_Data!B3746))</f>
        <v>HR</v>
      </c>
      <c r="C3746" s="18" t="s">
        <v>14</v>
      </c>
      <c r="D3746" s="14" t="str">
        <f>IF(ISBLANK(Raw_Data!D3746),AVERAGE(Raw_Data!D$2:D$5002),Raw_Data!D3746)</f>
        <v>91133.84</v>
      </c>
      <c r="E3746" s="15" t="str">
        <f>IF(ISBLANK(Raw_Data!E3746),AVERAGE(Raw_Data!E$2:E$5002),Raw_Data!E3746)</f>
        <v>32264.91</v>
      </c>
      <c r="F3746" s="15" t="str">
        <f>IF(ISBLANK(Raw_Data!F3746),AVERAGE(Raw_Data!F$2:F$5002),Raw_Data!F3746)</f>
        <v>30584.07</v>
      </c>
      <c r="G3746" s="14" t="str">
        <f>IF(ISBLANK(Raw_Data!G3746),AVERAGE(Raw_Data!G$2:G$5002),Raw_Data!G3746)</f>
        <v>20364.08</v>
      </c>
      <c r="H3746" s="15" t="str">
        <f t="shared" si="1"/>
        <v>153983.00</v>
      </c>
      <c r="I3746" s="14" t="str">
        <f t="shared" si="2"/>
        <v>133619.00</v>
      </c>
      <c r="J3746" s="16" t="str">
        <f>TEXT(Raw_Data!J3746,"MMM-YYY")</f>
        <v>Apr-2025</v>
      </c>
      <c r="K3746" s="13" t="str">
        <f>Raw_Data!K3746</f>
        <v>1</v>
      </c>
      <c r="L3746" s="17" t="str">
        <f>Raw_Data!L3746</f>
        <v>Mumbai-HO</v>
      </c>
      <c r="M3746" s="13" t="str">
        <f t="shared" si="3"/>
        <v>OK</v>
      </c>
      <c r="N3746" s="18" t="str">
        <f t="shared" si="4"/>
        <v>VALID</v>
      </c>
    </row>
    <row r="3747" ht="15.75" customHeight="1">
      <c r="A3747" s="13" t="str">
        <f>Raw_Data!A3747</f>
        <v>EMP3961</v>
      </c>
      <c r="B3747" s="13" t="str">
        <f>TRIM(CLEAN(Raw_Data!B3747))</f>
        <v>Customer Support</v>
      </c>
      <c r="C3747" s="18" t="s">
        <v>14</v>
      </c>
      <c r="D3747" s="14" t="str">
        <f>IF(ISBLANK(Raw_Data!D3747),AVERAGE(Raw_Data!D$2:D$5002),Raw_Data!D3747)</f>
        <v>91144.72</v>
      </c>
      <c r="E3747" s="15" t="str">
        <f>IF(ISBLANK(Raw_Data!E3747),AVERAGE(Raw_Data!E$2:E$5002),Raw_Data!E3747)</f>
        <v>32269.52</v>
      </c>
      <c r="F3747" s="15" t="str">
        <f>IF(ISBLANK(Raw_Data!F3747),AVERAGE(Raw_Data!F$2:F$5002),Raw_Data!F3747)</f>
        <v>30591.75</v>
      </c>
      <c r="G3747" s="14" t="str">
        <f>IF(ISBLANK(Raw_Data!G3747),AVERAGE(Raw_Data!G$2:G$5002),Raw_Data!G3747)</f>
        <v>20367.48</v>
      </c>
      <c r="H3747" s="15" t="str">
        <f t="shared" si="1"/>
        <v>154006.00</v>
      </c>
      <c r="I3747" s="14" t="str">
        <f t="shared" si="2"/>
        <v>133639.00</v>
      </c>
      <c r="J3747" s="16" t="str">
        <f>TEXT(Raw_Data!J3747,"MMM-YYY")</f>
        <v>Nov-2025</v>
      </c>
      <c r="K3747" s="13" t="str">
        <f>Raw_Data!K3747</f>
        <v>6</v>
      </c>
      <c r="L3747" s="17" t="str">
        <f>Raw_Data!L3747</f>
        <v>Delhi-North</v>
      </c>
      <c r="M3747" s="13" t="str">
        <f t="shared" si="3"/>
        <v>OK</v>
      </c>
      <c r="N3747" s="18" t="str">
        <f t="shared" si="4"/>
        <v>VALID</v>
      </c>
    </row>
    <row r="3748" ht="15.75" customHeight="1">
      <c r="A3748" s="13" t="str">
        <f>Raw_Data!A3748</f>
        <v>EMP3962</v>
      </c>
      <c r="B3748" s="13" t="str">
        <f>TRIM(CLEAN(Raw_Data!B3748))</f>
        <v>Customer Support</v>
      </c>
      <c r="C3748" s="18" t="s">
        <v>26</v>
      </c>
      <c r="D3748" s="14" t="str">
        <f>IF(ISBLANK(Raw_Data!D3748),AVERAGE(Raw_Data!D$2:D$5002),Raw_Data!D3748)</f>
        <v>91155.61</v>
      </c>
      <c r="E3748" s="15" t="str">
        <f>IF(ISBLANK(Raw_Data!E3748),AVERAGE(Raw_Data!E$2:E$5002),Raw_Data!E3748)</f>
        <v>32274.14</v>
      </c>
      <c r="F3748" s="15" t="str">
        <f>IF(ISBLANK(Raw_Data!F3748),AVERAGE(Raw_Data!F$2:F$5002),Raw_Data!F3748)</f>
        <v>30599.43</v>
      </c>
      <c r="G3748" s="14" t="str">
        <f>IF(ISBLANK(Raw_Data!G3748),AVERAGE(Raw_Data!G$2:G$5002),Raw_Data!G3748)</f>
        <v>20370.87</v>
      </c>
      <c r="H3748" s="15" t="str">
        <f t="shared" si="1"/>
        <v>154029.00</v>
      </c>
      <c r="I3748" s="14" t="str">
        <f t="shared" si="2"/>
        <v>133658.00</v>
      </c>
      <c r="J3748" s="16" t="str">
        <f>TEXT(Raw_Data!J3748,"MMM-YYY")</f>
        <v>Mar-2025</v>
      </c>
      <c r="K3748" s="13" t="str">
        <f>Raw_Data!K3748</f>
        <v>4</v>
      </c>
      <c r="L3748" s="17" t="str">
        <f>Raw_Data!L3748</f>
        <v>Bangalore-South</v>
      </c>
      <c r="M3748" s="13" t="str">
        <f t="shared" si="3"/>
        <v>OK</v>
      </c>
      <c r="N3748" s="18" t="str">
        <f t="shared" si="4"/>
        <v>VALID</v>
      </c>
    </row>
    <row r="3749" ht="15.75" customHeight="1">
      <c r="A3749" s="13" t="str">
        <f>Raw_Data!A3749</f>
        <v>EMP3963</v>
      </c>
      <c r="B3749" s="13" t="str">
        <f>TRIM(CLEAN(Raw_Data!B3749))</f>
        <v>Marketing</v>
      </c>
      <c r="C3749" s="18" t="s">
        <v>30</v>
      </c>
      <c r="D3749" s="14" t="str">
        <f>IF(ISBLANK(Raw_Data!D3749),AVERAGE(Raw_Data!D$2:D$5002),Raw_Data!D3749)</f>
        <v>91166.49</v>
      </c>
      <c r="E3749" s="15" t="str">
        <f>IF(ISBLANK(Raw_Data!E3749),AVERAGE(Raw_Data!E$2:E$5002),Raw_Data!E3749)</f>
        <v>32278.75</v>
      </c>
      <c r="F3749" s="15" t="str">
        <f>IF(ISBLANK(Raw_Data!F3749),AVERAGE(Raw_Data!F$2:F$5002),Raw_Data!F3749)</f>
        <v>30607.11</v>
      </c>
      <c r="G3749" s="14" t="str">
        <f>IF(ISBLANK(Raw_Data!G3749),AVERAGE(Raw_Data!G$2:G$5002),Raw_Data!G3749)</f>
        <v>20374.27</v>
      </c>
      <c r="H3749" s="15" t="str">
        <f t="shared" si="1"/>
        <v>154052.00</v>
      </c>
      <c r="I3749" s="14" t="str">
        <f t="shared" si="2"/>
        <v>133678.00</v>
      </c>
      <c r="J3749" s="16" t="str">
        <f>TEXT(Raw_Data!J3749,"MMM-YYY")</f>
        <v>Jan-2025</v>
      </c>
      <c r="K3749" s="13" t="str">
        <f>Raw_Data!K3749</f>
        <v>12</v>
      </c>
      <c r="L3749" s="17" t="str">
        <f>Raw_Data!L3749</f>
        <v>Chennai-South</v>
      </c>
      <c r="M3749" s="13" t="str">
        <f t="shared" si="3"/>
        <v>OK</v>
      </c>
      <c r="N3749" s="18" t="str">
        <f t="shared" si="4"/>
        <v>VALID</v>
      </c>
    </row>
    <row r="3750" ht="15.75" customHeight="1">
      <c r="A3750" s="13" t="str">
        <f>Raw_Data!A3750</f>
        <v>EMP3964</v>
      </c>
      <c r="B3750" s="13" t="str">
        <f>TRIM(CLEAN(Raw_Data!B3750))</f>
        <v>Finance</v>
      </c>
      <c r="C3750" s="18" t="s">
        <v>37</v>
      </c>
      <c r="D3750" s="14" t="str">
        <f>IF(ISBLANK(Raw_Data!D3750),AVERAGE(Raw_Data!D$2:D$5002),Raw_Data!D3750)</f>
        <v>91177.37</v>
      </c>
      <c r="E3750" s="15" t="str">
        <f>IF(ISBLANK(Raw_Data!E3750),AVERAGE(Raw_Data!E$2:E$5002),Raw_Data!E3750)</f>
        <v>32283.37</v>
      </c>
      <c r="F3750" s="15" t="str">
        <f>IF(ISBLANK(Raw_Data!F3750),AVERAGE(Raw_Data!F$2:F$5002),Raw_Data!F3750)</f>
        <v>30614.79</v>
      </c>
      <c r="G3750" s="14" t="str">
        <f>IF(ISBLANK(Raw_Data!G3750),AVERAGE(Raw_Data!G$2:G$5002),Raw_Data!G3750)</f>
        <v>20377.67</v>
      </c>
      <c r="H3750" s="15" t="str">
        <f t="shared" si="1"/>
        <v>154076.00</v>
      </c>
      <c r="I3750" s="14" t="str">
        <f t="shared" si="2"/>
        <v>133698.00</v>
      </c>
      <c r="J3750" s="16" t="str">
        <f>TEXT(Raw_Data!J3750,"MMM-YYY")</f>
        <v>Sep-2025</v>
      </c>
      <c r="K3750" s="13" t="str">
        <f>Raw_Data!K3750</f>
        <v>16</v>
      </c>
      <c r="L3750" s="17" t="str">
        <f>Raw_Data!L3750</f>
        <v>Kolkata-East</v>
      </c>
      <c r="M3750" s="13" t="str">
        <f t="shared" si="3"/>
        <v>OK</v>
      </c>
      <c r="N3750" s="18" t="str">
        <f t="shared" si="4"/>
        <v>VALID</v>
      </c>
    </row>
    <row r="3751" ht="15.75" customHeight="1">
      <c r="A3751" s="13" t="str">
        <f>Raw_Data!A3751</f>
        <v>EMP3965</v>
      </c>
      <c r="B3751" s="13" t="str">
        <f>TRIM(CLEAN(Raw_Data!B3751))</f>
        <v>Sales</v>
      </c>
      <c r="C3751" s="18" t="s">
        <v>18</v>
      </c>
      <c r="D3751" s="14" t="str">
        <f>IF(ISBLANK(Raw_Data!D3751),AVERAGE(Raw_Data!D$2:D$5002),Raw_Data!D3751)</f>
        <v>91188.26</v>
      </c>
      <c r="E3751" s="15" t="str">
        <f>IF(ISBLANK(Raw_Data!E3751),AVERAGE(Raw_Data!E$2:E$5002),Raw_Data!E3751)</f>
        <v>32287.98</v>
      </c>
      <c r="F3751" s="15" t="str">
        <f>IF(ISBLANK(Raw_Data!F3751),AVERAGE(Raw_Data!F$2:F$5002),Raw_Data!F3751)</f>
        <v>30622.47</v>
      </c>
      <c r="G3751" s="14" t="str">
        <f>IF(ISBLANK(Raw_Data!G3751),AVERAGE(Raw_Data!G$2:G$5002),Raw_Data!G3751)</f>
        <v>20381.07</v>
      </c>
      <c r="H3751" s="15" t="str">
        <f t="shared" si="1"/>
        <v>154099.00</v>
      </c>
      <c r="I3751" s="14" t="str">
        <f t="shared" si="2"/>
        <v>133718.00</v>
      </c>
      <c r="J3751" s="16" t="str">
        <f>TEXT(Raw_Data!J3751,"MMM-YYY")</f>
        <v>Oct-2025</v>
      </c>
      <c r="K3751" s="13" t="str">
        <f>Raw_Data!K3751</f>
        <v>6</v>
      </c>
      <c r="L3751" s="17" t="str">
        <f>Raw_Data!L3751</f>
        <v>Pune-West</v>
      </c>
      <c r="M3751" s="13" t="str">
        <f t="shared" si="3"/>
        <v>OK</v>
      </c>
      <c r="N3751" s="18" t="str">
        <f t="shared" si="4"/>
        <v>VALID</v>
      </c>
    </row>
    <row r="3752" ht="15.75" customHeight="1">
      <c r="A3752" s="13" t="str">
        <f>Raw_Data!A3752</f>
        <v>EMP3966</v>
      </c>
      <c r="B3752" s="13" t="str">
        <f>TRIM(CLEAN(Raw_Data!B3752))</f>
        <v>IT</v>
      </c>
      <c r="C3752" s="18" t="s">
        <v>30</v>
      </c>
      <c r="D3752" s="14" t="str">
        <f>IF(ISBLANK(Raw_Data!D3752),AVERAGE(Raw_Data!D$2:D$5002),Raw_Data!D3752)</f>
        <v>91199.14</v>
      </c>
      <c r="E3752" s="15" t="str">
        <f>IF(ISBLANK(Raw_Data!E3752),AVERAGE(Raw_Data!E$2:E$5002),Raw_Data!E3752)</f>
        <v>32292.60</v>
      </c>
      <c r="F3752" s="15" t="str">
        <f>IF(ISBLANK(Raw_Data!F3752),AVERAGE(Raw_Data!F$2:F$5002),Raw_Data!F3752)</f>
        <v>30630.15</v>
      </c>
      <c r="G3752" s="14" t="str">
        <f>IF(ISBLANK(Raw_Data!G3752),AVERAGE(Raw_Data!G$2:G$5002),Raw_Data!G3752)</f>
        <v>20384.46</v>
      </c>
      <c r="H3752" s="15" t="str">
        <f t="shared" si="1"/>
        <v>154122.00</v>
      </c>
      <c r="I3752" s="14" t="str">
        <f t="shared" si="2"/>
        <v>133738.00</v>
      </c>
      <c r="J3752" s="16" t="str">
        <f>TEXT(Raw_Data!J3752,"MMM-YYY")</f>
        <v>Jun-2025</v>
      </c>
      <c r="K3752" s="13" t="str">
        <f>Raw_Data!K3752</f>
        <v>15</v>
      </c>
      <c r="L3752" s="17" t="str">
        <f>Raw_Data!L3752</f>
        <v>Hyderabad-South</v>
      </c>
      <c r="M3752" s="13" t="str">
        <f t="shared" si="3"/>
        <v>OK</v>
      </c>
      <c r="N3752" s="18" t="str">
        <f t="shared" si="4"/>
        <v>VALID</v>
      </c>
    </row>
    <row r="3753" ht="15.75" customHeight="1">
      <c r="A3753" s="13" t="str">
        <f>Raw_Data!A3753</f>
        <v>EMP3967</v>
      </c>
      <c r="B3753" s="13" t="str">
        <f>TRIM(CLEAN(Raw_Data!B3753))</f>
        <v>Operations</v>
      </c>
      <c r="C3753" s="18" t="s">
        <v>54</v>
      </c>
      <c r="D3753" s="14" t="str">
        <f>IF(ISBLANK(Raw_Data!D3753),AVERAGE(Raw_Data!D$2:D$5002),Raw_Data!D3753)</f>
        <v>91210.02</v>
      </c>
      <c r="E3753" s="15" t="str">
        <f>IF(ISBLANK(Raw_Data!E3753),AVERAGE(Raw_Data!E$2:E$5002),Raw_Data!E3753)</f>
        <v>32297.21</v>
      </c>
      <c r="F3753" s="15" t="str">
        <f>IF(ISBLANK(Raw_Data!F3753),AVERAGE(Raw_Data!F$2:F$5002),Raw_Data!F3753)</f>
        <v>30637.83</v>
      </c>
      <c r="G3753" s="14" t="str">
        <f>IF(ISBLANK(Raw_Data!G3753),AVERAGE(Raw_Data!G$2:G$5002),Raw_Data!G3753)</f>
        <v>20387.86</v>
      </c>
      <c r="H3753" s="15" t="str">
        <f t="shared" si="1"/>
        <v>154145.00</v>
      </c>
      <c r="I3753" s="14" t="str">
        <f t="shared" si="2"/>
        <v>133757.00</v>
      </c>
      <c r="J3753" s="16" t="str">
        <f>TEXT(Raw_Data!J3753,"MMM-YYY")</f>
        <v>Sep-2025</v>
      </c>
      <c r="K3753" s="13" t="str">
        <f>Raw_Data!K3753</f>
        <v>12</v>
      </c>
      <c r="L3753" s="17" t="str">
        <f>Raw_Data!L3753</f>
        <v>Chandigarh-North</v>
      </c>
      <c r="M3753" s="13" t="str">
        <f t="shared" si="3"/>
        <v>OK</v>
      </c>
      <c r="N3753" s="18" t="str">
        <f t="shared" si="4"/>
        <v>VALID</v>
      </c>
    </row>
    <row r="3754" ht="15.75" customHeight="1">
      <c r="A3754" s="13" t="str">
        <f>Raw_Data!A3754</f>
        <v>EMP3968</v>
      </c>
      <c r="B3754" s="13" t="str">
        <f>TRIM(CLEAN(Raw_Data!B3754))</f>
        <v>Marketing</v>
      </c>
      <c r="C3754" s="18" t="s">
        <v>54</v>
      </c>
      <c r="D3754" s="14" t="str">
        <f>IF(ISBLANK(Raw_Data!D3754),AVERAGE(Raw_Data!D$2:D$5002),Raw_Data!D3754)</f>
        <v>91220.90</v>
      </c>
      <c r="E3754" s="15" t="str">
        <f>IF(ISBLANK(Raw_Data!E3754),AVERAGE(Raw_Data!E$2:E$5002),Raw_Data!E3754)</f>
        <v>32301.83</v>
      </c>
      <c r="F3754" s="15" t="str">
        <f>IF(ISBLANK(Raw_Data!F3754),AVERAGE(Raw_Data!F$2:F$5002),Raw_Data!F3754)</f>
        <v>30645.51</v>
      </c>
      <c r="G3754" s="14" t="str">
        <f>IF(ISBLANK(Raw_Data!G3754),AVERAGE(Raw_Data!G$2:G$5002),Raw_Data!G3754)</f>
        <v>20391.26</v>
      </c>
      <c r="H3754" s="15" t="str">
        <f t="shared" si="1"/>
        <v>154168.00</v>
      </c>
      <c r="I3754" s="14" t="str">
        <f t="shared" si="2"/>
        <v>133777.00</v>
      </c>
      <c r="J3754" s="16" t="str">
        <f>TEXT(Raw_Data!J3754,"MMM-YYY")</f>
        <v>Sep-2025</v>
      </c>
      <c r="K3754" s="13" t="str">
        <f>Raw_Data!K3754</f>
        <v>5</v>
      </c>
      <c r="L3754" s="17" t="str">
        <f>Raw_Data!L3754</f>
        <v>Ahmedabad-West</v>
      </c>
      <c r="M3754" s="13" t="str">
        <f t="shared" si="3"/>
        <v>OK</v>
      </c>
      <c r="N3754" s="18" t="str">
        <f t="shared" si="4"/>
        <v>VALID</v>
      </c>
    </row>
    <row r="3755" ht="15.75" customHeight="1">
      <c r="A3755" s="13" t="str">
        <f>Raw_Data!A3755</f>
        <v>EMP3969</v>
      </c>
      <c r="B3755" s="13" t="str">
        <f>TRIM(CLEAN(Raw_Data!B3755))</f>
        <v>HR</v>
      </c>
      <c r="C3755" s="18" t="s">
        <v>33</v>
      </c>
      <c r="D3755" s="14" t="str">
        <f>IF(ISBLANK(Raw_Data!D3755),AVERAGE(Raw_Data!D$2:D$5002),Raw_Data!D3755)</f>
        <v>91231.79</v>
      </c>
      <c r="E3755" s="15" t="str">
        <f>IF(ISBLANK(Raw_Data!E3755),AVERAGE(Raw_Data!E$2:E$5002),Raw_Data!E3755)</f>
        <v>32306.44</v>
      </c>
      <c r="F3755" s="15" t="str">
        <f>IF(ISBLANK(Raw_Data!F3755),AVERAGE(Raw_Data!F$2:F$5002),Raw_Data!F3755)</f>
        <v>30653.19</v>
      </c>
      <c r="G3755" s="14" t="str">
        <f>IF(ISBLANK(Raw_Data!G3755),AVERAGE(Raw_Data!G$2:G$5002),Raw_Data!G3755)</f>
        <v>20394.66</v>
      </c>
      <c r="H3755" s="15" t="str">
        <f t="shared" si="1"/>
        <v>154191.00</v>
      </c>
      <c r="I3755" s="14" t="str">
        <f t="shared" si="2"/>
        <v>133796.00</v>
      </c>
      <c r="J3755" s="16" t="str">
        <f>TEXT(Raw_Data!J3755,"MMM-YYY")</f>
        <v>Oct-2025</v>
      </c>
      <c r="K3755" s="13" t="str">
        <f>Raw_Data!K3755</f>
        <v>2</v>
      </c>
      <c r="L3755" s="17" t="str">
        <f>Raw_Data!L3755</f>
        <v>Jaipur-North</v>
      </c>
      <c r="M3755" s="13" t="str">
        <f t="shared" si="3"/>
        <v>OK</v>
      </c>
      <c r="N3755" s="18" t="str">
        <f t="shared" si="4"/>
        <v>VALID</v>
      </c>
    </row>
    <row r="3756" ht="15.75" customHeight="1">
      <c r="A3756" s="13" t="str">
        <f>Raw_Data!A3756</f>
        <v>EMP3970</v>
      </c>
      <c r="B3756" s="13" t="str">
        <f>TRIM(CLEAN(Raw_Data!B3756))</f>
        <v>Operations</v>
      </c>
      <c r="C3756" s="18" t="s">
        <v>33</v>
      </c>
      <c r="D3756" s="14" t="str">
        <f>IF(ISBLANK(Raw_Data!D3756),AVERAGE(Raw_Data!D$2:D$5002),Raw_Data!D3756)</f>
        <v>71831.17</v>
      </c>
      <c r="E3756" s="15" t="str">
        <f>IF(ISBLANK(Raw_Data!E3756),AVERAGE(Raw_Data!E$2:E$5002),Raw_Data!E3756)</f>
        <v>32311.06</v>
      </c>
      <c r="F3756" s="15" t="str">
        <f>IF(ISBLANK(Raw_Data!F3756),AVERAGE(Raw_Data!F$2:F$5002),Raw_Data!F3756)</f>
        <v>30660.87</v>
      </c>
      <c r="G3756" s="14" t="str">
        <f>IF(ISBLANK(Raw_Data!G3756),AVERAGE(Raw_Data!G$2:G$5002),Raw_Data!G3756)</f>
        <v>20398.06</v>
      </c>
      <c r="H3756" s="15" t="str">
        <f t="shared" si="1"/>
        <v>134803.00</v>
      </c>
      <c r="I3756" s="14" t="str">
        <f t="shared" si="2"/>
        <v>114405.00</v>
      </c>
      <c r="J3756" s="16" t="str">
        <f>TEXT(Raw_Data!J3756,"MMM-YYY")</f>
        <v>Oct-2025</v>
      </c>
      <c r="K3756" s="13" t="str">
        <f>Raw_Data!K3756</f>
        <v>9</v>
      </c>
      <c r="L3756" s="17" t="str">
        <f>Raw_Data!L3756</f>
        <v>Mumbai-HO</v>
      </c>
      <c r="M3756" s="13" t="str">
        <f t="shared" si="3"/>
        <v>OK</v>
      </c>
      <c r="N3756" s="18" t="str">
        <f t="shared" si="4"/>
        <v>VALID</v>
      </c>
    </row>
    <row r="3757" ht="15.75" customHeight="1">
      <c r="A3757" s="13" t="str">
        <f>Raw_Data!A3757</f>
        <v>EMP3971</v>
      </c>
      <c r="B3757" s="13" t="str">
        <f>TRIM(CLEAN(Raw_Data!B3757))</f>
        <v>HR</v>
      </c>
      <c r="C3757" s="18" t="s">
        <v>54</v>
      </c>
      <c r="D3757" s="14" t="str">
        <f>IF(ISBLANK(Raw_Data!D3757),AVERAGE(Raw_Data!D$2:D$5002),Raw_Data!D3757)</f>
        <v>91253.55</v>
      </c>
      <c r="E3757" s="15" t="str">
        <f>IF(ISBLANK(Raw_Data!E3757),AVERAGE(Raw_Data!E$2:E$5002),Raw_Data!E3757)</f>
        <v>32315.67</v>
      </c>
      <c r="F3757" s="15" t="str">
        <f>IF(ISBLANK(Raw_Data!F3757),AVERAGE(Raw_Data!F$2:F$5002),Raw_Data!F3757)</f>
        <v>30668.55</v>
      </c>
      <c r="G3757" s="14" t="str">
        <f>IF(ISBLANK(Raw_Data!G3757),AVERAGE(Raw_Data!G$2:G$5002),Raw_Data!G3757)</f>
        <v>20401.45</v>
      </c>
      <c r="H3757" s="15" t="str">
        <f t="shared" si="1"/>
        <v>154238.00</v>
      </c>
      <c r="I3757" s="14" t="str">
        <f t="shared" si="2"/>
        <v>133837.00</v>
      </c>
      <c r="J3757" s="16" t="str">
        <f>TEXT(Raw_Data!J3757,"MMM-YYY")</f>
        <v>May-2025</v>
      </c>
      <c r="K3757" s="13" t="str">
        <f>Raw_Data!K3757</f>
        <v>24</v>
      </c>
      <c r="L3757" s="17" t="str">
        <f>Raw_Data!L3757</f>
        <v>Delhi-North</v>
      </c>
      <c r="M3757" s="13" t="str">
        <f t="shared" si="3"/>
        <v>OK</v>
      </c>
      <c r="N3757" s="18" t="str">
        <f t="shared" si="4"/>
        <v>VALID</v>
      </c>
    </row>
    <row r="3758" ht="15.75" customHeight="1">
      <c r="A3758" s="13" t="str">
        <f>Raw_Data!A3758</f>
        <v>EMP3972</v>
      </c>
      <c r="B3758" s="13" t="str">
        <f>TRIM(CLEAN(Raw_Data!B3758))</f>
        <v>Marketing</v>
      </c>
      <c r="C3758" s="18" t="s">
        <v>14</v>
      </c>
      <c r="D3758" s="14" t="str">
        <f>IF(ISBLANK(Raw_Data!D3758),AVERAGE(Raw_Data!D$2:D$5002),Raw_Data!D3758)</f>
        <v>91264.44</v>
      </c>
      <c r="E3758" s="15" t="str">
        <f>IF(ISBLANK(Raw_Data!E3758),AVERAGE(Raw_Data!E$2:E$5002),Raw_Data!E3758)</f>
        <v>32320.29</v>
      </c>
      <c r="F3758" s="15" t="str">
        <f>IF(ISBLANK(Raw_Data!F3758),AVERAGE(Raw_Data!F$2:F$5002),Raw_Data!F3758)</f>
        <v>30676.23</v>
      </c>
      <c r="G3758" s="14" t="str">
        <f>IF(ISBLANK(Raw_Data!G3758),AVERAGE(Raw_Data!G$2:G$5002),Raw_Data!G3758)</f>
        <v>20404.85</v>
      </c>
      <c r="H3758" s="15" t="str">
        <f t="shared" si="1"/>
        <v>154261.00</v>
      </c>
      <c r="I3758" s="14" t="str">
        <f t="shared" si="2"/>
        <v>133856.00</v>
      </c>
      <c r="J3758" s="16" t="str">
        <f>TEXT(Raw_Data!J3758,"MMM-YYY")</f>
        <v>Jul-2025</v>
      </c>
      <c r="K3758" s="13" t="str">
        <f>Raw_Data!K3758</f>
        <v>15</v>
      </c>
      <c r="L3758" s="17" t="str">
        <f>Raw_Data!L3758</f>
        <v>Bangalore-South</v>
      </c>
      <c r="M3758" s="13" t="str">
        <f t="shared" si="3"/>
        <v>OK</v>
      </c>
      <c r="N3758" s="18" t="str">
        <f t="shared" si="4"/>
        <v>VALID</v>
      </c>
    </row>
    <row r="3759" ht="15.75" customHeight="1">
      <c r="A3759" s="13" t="str">
        <f>Raw_Data!A3759</f>
        <v>EMP3973</v>
      </c>
      <c r="B3759" s="13" t="str">
        <f>TRIM(CLEAN(Raw_Data!B3759))</f>
        <v>IT</v>
      </c>
      <c r="C3759" s="18" t="s">
        <v>18</v>
      </c>
      <c r="D3759" s="14" t="str">
        <f>IF(ISBLANK(Raw_Data!D3759),AVERAGE(Raw_Data!D$2:D$5002),Raw_Data!D3759)</f>
        <v>91275.32</v>
      </c>
      <c r="E3759" s="15" t="str">
        <f>IF(ISBLANK(Raw_Data!E3759),AVERAGE(Raw_Data!E$2:E$5002),Raw_Data!E3759)</f>
        <v>32324.90</v>
      </c>
      <c r="F3759" s="15" t="str">
        <f>IF(ISBLANK(Raw_Data!F3759),AVERAGE(Raw_Data!F$2:F$5002),Raw_Data!F3759)</f>
        <v>30683.91</v>
      </c>
      <c r="G3759" s="14" t="str">
        <f>IF(ISBLANK(Raw_Data!G3759),AVERAGE(Raw_Data!G$2:G$5002),Raw_Data!G3759)</f>
        <v>20408.25</v>
      </c>
      <c r="H3759" s="15" t="str">
        <f t="shared" si="1"/>
        <v>154284.00</v>
      </c>
      <c r="I3759" s="14" t="str">
        <f t="shared" si="2"/>
        <v>133876.00</v>
      </c>
      <c r="J3759" s="16" t="str">
        <f>TEXT(Raw_Data!J3759,"MMM-YYY")</f>
        <v>Jan-2025</v>
      </c>
      <c r="K3759" s="13" t="str">
        <f>Raw_Data!K3759</f>
        <v>4</v>
      </c>
      <c r="L3759" s="17" t="str">
        <f>Raw_Data!L3759</f>
        <v>Chennai-South</v>
      </c>
      <c r="M3759" s="13" t="str">
        <f t="shared" si="3"/>
        <v>OK</v>
      </c>
      <c r="N3759" s="18" t="str">
        <f t="shared" si="4"/>
        <v>VALID</v>
      </c>
    </row>
    <row r="3760" ht="15.75" customHeight="1">
      <c r="A3760" s="13" t="str">
        <f>Raw_Data!A3760</f>
        <v>EMP3974</v>
      </c>
      <c r="B3760" s="13" t="str">
        <f>TRIM(CLEAN(Raw_Data!B3760))</f>
        <v>IT</v>
      </c>
      <c r="C3760" s="18" t="s">
        <v>33</v>
      </c>
      <c r="D3760" s="14" t="str">
        <f>IF(ISBLANK(Raw_Data!D3760),AVERAGE(Raw_Data!D$2:D$5002),Raw_Data!D3760)</f>
        <v>91286.20</v>
      </c>
      <c r="E3760" s="15" t="str">
        <f>IF(ISBLANK(Raw_Data!E3760),AVERAGE(Raw_Data!E$2:E$5002),Raw_Data!E3760)</f>
        <v>32329.51</v>
      </c>
      <c r="F3760" s="15" t="str">
        <f>IF(ISBLANK(Raw_Data!F3760),AVERAGE(Raw_Data!F$2:F$5002),Raw_Data!F3760)</f>
        <v>30691.59</v>
      </c>
      <c r="G3760" s="14" t="str">
        <f>IF(ISBLANK(Raw_Data!G3760),AVERAGE(Raw_Data!G$2:G$5002),Raw_Data!G3760)</f>
        <v>20411.65</v>
      </c>
      <c r="H3760" s="15" t="str">
        <f t="shared" si="1"/>
        <v>154307.00</v>
      </c>
      <c r="I3760" s="14" t="str">
        <f t="shared" si="2"/>
        <v>133895.00</v>
      </c>
      <c r="J3760" s="16" t="str">
        <f>TEXT(Raw_Data!J3760,"MMM-YYY")</f>
        <v>Oct-2025</v>
      </c>
      <c r="K3760" s="13" t="str">
        <f>Raw_Data!K3760</f>
        <v>17</v>
      </c>
      <c r="L3760" s="17" t="str">
        <f>Raw_Data!L3760</f>
        <v>Kolkata-East</v>
      </c>
      <c r="M3760" s="13" t="str">
        <f t="shared" si="3"/>
        <v>OK</v>
      </c>
      <c r="N3760" s="18" t="str">
        <f t="shared" si="4"/>
        <v>VALID</v>
      </c>
    </row>
    <row r="3761" ht="15.75" customHeight="1">
      <c r="A3761" s="13" t="str">
        <f>Raw_Data!A3761</f>
        <v>EMP3975</v>
      </c>
      <c r="B3761" s="13" t="str">
        <f>TRIM(CLEAN(Raw_Data!B3761))</f>
        <v>Marketing</v>
      </c>
      <c r="C3761" s="18" t="s">
        <v>18</v>
      </c>
      <c r="D3761" s="14" t="str">
        <f>IF(ISBLANK(Raw_Data!D3761),AVERAGE(Raw_Data!D$2:D$5002),Raw_Data!D3761)</f>
        <v>91297.08</v>
      </c>
      <c r="E3761" s="15" t="str">
        <f>IF(ISBLANK(Raw_Data!E3761),AVERAGE(Raw_Data!E$2:E$5002),Raw_Data!E3761)</f>
        <v>32334.13</v>
      </c>
      <c r="F3761" s="15" t="str">
        <f>IF(ISBLANK(Raw_Data!F3761),AVERAGE(Raw_Data!F$2:F$5002),Raw_Data!F3761)</f>
        <v>30699.27</v>
      </c>
      <c r="G3761" s="14" t="str">
        <f>IF(ISBLANK(Raw_Data!G3761),AVERAGE(Raw_Data!G$2:G$5002),Raw_Data!G3761)</f>
        <v>20415.04</v>
      </c>
      <c r="H3761" s="15" t="str">
        <f t="shared" si="1"/>
        <v>154330.00</v>
      </c>
      <c r="I3761" s="14" t="str">
        <f t="shared" si="2"/>
        <v>133915.00</v>
      </c>
      <c r="J3761" s="16" t="str">
        <f>TEXT(Raw_Data!J3761,"MMM-YYY")</f>
        <v>Nov-2025</v>
      </c>
      <c r="K3761" s="13" t="str">
        <f>Raw_Data!K3761</f>
        <v>1</v>
      </c>
      <c r="L3761" s="17" t="str">
        <f>Raw_Data!L3761</f>
        <v>Pune-West</v>
      </c>
      <c r="M3761" s="13" t="str">
        <f t="shared" si="3"/>
        <v>OK</v>
      </c>
      <c r="N3761" s="18" t="str">
        <f t="shared" si="4"/>
        <v>VALID</v>
      </c>
    </row>
    <row r="3762" ht="15.75" customHeight="1">
      <c r="A3762" s="13" t="str">
        <f>Raw_Data!A3762</f>
        <v>EMP3976</v>
      </c>
      <c r="B3762" s="13" t="str">
        <f>TRIM(CLEAN(Raw_Data!B3762))</f>
        <v>Operations</v>
      </c>
      <c r="C3762" s="18" t="s">
        <v>30</v>
      </c>
      <c r="D3762" s="14" t="str">
        <f>IF(ISBLANK(Raw_Data!D3762),AVERAGE(Raw_Data!D$2:D$5002),Raw_Data!D3762)</f>
        <v>91307.97</v>
      </c>
      <c r="E3762" s="15" t="str">
        <f>IF(ISBLANK(Raw_Data!E3762),AVERAGE(Raw_Data!E$2:E$5002),Raw_Data!E3762)</f>
        <v>32338.74</v>
      </c>
      <c r="F3762" s="15" t="str">
        <f>IF(ISBLANK(Raw_Data!F3762),AVERAGE(Raw_Data!F$2:F$5002),Raw_Data!F3762)</f>
        <v>30706.95</v>
      </c>
      <c r="G3762" s="14" t="str">
        <f>IF(ISBLANK(Raw_Data!G3762),AVERAGE(Raw_Data!G$2:G$5002),Raw_Data!G3762)</f>
        <v>20418.44</v>
      </c>
      <c r="H3762" s="15" t="str">
        <f t="shared" si="1"/>
        <v>154354.00</v>
      </c>
      <c r="I3762" s="14" t="str">
        <f t="shared" si="2"/>
        <v>133936.00</v>
      </c>
      <c r="J3762" s="16" t="str">
        <f>TEXT(Raw_Data!J3762,"MMM-YYY")</f>
        <v>Apr-2025</v>
      </c>
      <c r="K3762" s="13" t="str">
        <f>Raw_Data!K3762</f>
        <v>12</v>
      </c>
      <c r="L3762" s="17" t="str">
        <f>Raw_Data!L3762</f>
        <v>Hyderabad-South</v>
      </c>
      <c r="M3762" s="13" t="str">
        <f t="shared" si="3"/>
        <v>OK</v>
      </c>
      <c r="N3762" s="18" t="str">
        <f t="shared" si="4"/>
        <v>VALID</v>
      </c>
    </row>
    <row r="3763" ht="15.75" customHeight="1">
      <c r="A3763" s="13" t="str">
        <f>Raw_Data!A3763</f>
        <v>EMP3977</v>
      </c>
      <c r="B3763" s="13" t="str">
        <f>TRIM(CLEAN(Raw_Data!B3763))</f>
        <v>Operations</v>
      </c>
      <c r="C3763" s="18" t="s">
        <v>18</v>
      </c>
      <c r="D3763" s="14" t="str">
        <f>IF(ISBLANK(Raw_Data!D3763),AVERAGE(Raw_Data!D$2:D$5002),Raw_Data!D3763)</f>
        <v>91318.85</v>
      </c>
      <c r="E3763" s="15" t="str">
        <f>IF(ISBLANK(Raw_Data!E3763),AVERAGE(Raw_Data!E$2:E$5002),Raw_Data!E3763)</f>
        <v>32343.36</v>
      </c>
      <c r="F3763" s="15" t="str">
        <f>IF(ISBLANK(Raw_Data!F3763),AVERAGE(Raw_Data!F$2:F$5002),Raw_Data!F3763)</f>
        <v>30714.63</v>
      </c>
      <c r="G3763" s="14" t="str">
        <f>IF(ISBLANK(Raw_Data!G3763),AVERAGE(Raw_Data!G$2:G$5002),Raw_Data!G3763)</f>
        <v>20421.84</v>
      </c>
      <c r="H3763" s="15" t="str">
        <f t="shared" si="1"/>
        <v>154377.00</v>
      </c>
      <c r="I3763" s="14" t="str">
        <f t="shared" si="2"/>
        <v>133955.00</v>
      </c>
      <c r="J3763" s="16" t="str">
        <f>TEXT(Raw_Data!J3763,"MMM-YYY")</f>
        <v>Jun-2025</v>
      </c>
      <c r="K3763" s="13" t="str">
        <f>Raw_Data!K3763</f>
        <v>24</v>
      </c>
      <c r="L3763" s="17" t="str">
        <f>Raw_Data!L3763</f>
        <v>Chandigarh-North</v>
      </c>
      <c r="M3763" s="13" t="str">
        <f t="shared" si="3"/>
        <v>OK</v>
      </c>
      <c r="N3763" s="18" t="str">
        <f t="shared" si="4"/>
        <v>VALID</v>
      </c>
    </row>
    <row r="3764" ht="15.75" customHeight="1">
      <c r="A3764" s="13" t="str">
        <f>Raw_Data!A3764</f>
        <v>EMP3978</v>
      </c>
      <c r="B3764" s="13" t="str">
        <f>TRIM(CLEAN(Raw_Data!B3764))</f>
        <v>Operations</v>
      </c>
      <c r="C3764" s="18" t="s">
        <v>33</v>
      </c>
      <c r="D3764" s="14" t="str">
        <f>IF(ISBLANK(Raw_Data!D3764),AVERAGE(Raw_Data!D$2:D$5002),Raw_Data!D3764)</f>
        <v>91329.73</v>
      </c>
      <c r="E3764" s="15" t="str">
        <f>IF(ISBLANK(Raw_Data!E3764),AVERAGE(Raw_Data!E$2:E$5002),Raw_Data!E3764)</f>
        <v>32347.97</v>
      </c>
      <c r="F3764" s="15" t="str">
        <f>IF(ISBLANK(Raw_Data!F3764),AVERAGE(Raw_Data!F$2:F$5002),Raw_Data!F3764)</f>
        <v>30722.31</v>
      </c>
      <c r="G3764" s="14" t="str">
        <f>IF(ISBLANK(Raw_Data!G3764),AVERAGE(Raw_Data!G$2:G$5002),Raw_Data!G3764)</f>
        <v>20425.24</v>
      </c>
      <c r="H3764" s="15" t="str">
        <f t="shared" si="1"/>
        <v>154400.00</v>
      </c>
      <c r="I3764" s="14" t="str">
        <f t="shared" si="2"/>
        <v>133975.00</v>
      </c>
      <c r="J3764" s="16" t="str">
        <f>TEXT(Raw_Data!J3764,"MMM-YYY")</f>
        <v>Oct-2025</v>
      </c>
      <c r="K3764" s="13" t="str">
        <f>Raw_Data!K3764</f>
        <v>6</v>
      </c>
      <c r="L3764" s="17" t="str">
        <f>Raw_Data!L3764</f>
        <v>Ahmedabad-West</v>
      </c>
      <c r="M3764" s="13" t="str">
        <f t="shared" si="3"/>
        <v>OK</v>
      </c>
      <c r="N3764" s="18" t="str">
        <f t="shared" si="4"/>
        <v>VALID</v>
      </c>
    </row>
    <row r="3765" ht="15.75" customHeight="1">
      <c r="A3765" s="13" t="str">
        <f>Raw_Data!A3765</f>
        <v>EMP3979</v>
      </c>
      <c r="B3765" s="13" t="str">
        <f>TRIM(CLEAN(Raw_Data!B3765))</f>
        <v>Sales</v>
      </c>
      <c r="C3765" s="18" t="s">
        <v>37</v>
      </c>
      <c r="D3765" s="14" t="str">
        <f>IF(ISBLANK(Raw_Data!D3765),AVERAGE(Raw_Data!D$2:D$5002),Raw_Data!D3765)</f>
        <v>91340.62</v>
      </c>
      <c r="E3765" s="15" t="str">
        <f>IF(ISBLANK(Raw_Data!E3765),AVERAGE(Raw_Data!E$2:E$5002),Raw_Data!E3765)</f>
        <v>32352.59</v>
      </c>
      <c r="F3765" s="15" t="str">
        <f>IF(ISBLANK(Raw_Data!F3765),AVERAGE(Raw_Data!F$2:F$5002),Raw_Data!F3765)</f>
        <v>30729.99</v>
      </c>
      <c r="G3765" s="14" t="str">
        <f>IF(ISBLANK(Raw_Data!G3765),AVERAGE(Raw_Data!G$2:G$5002),Raw_Data!G3765)</f>
        <v>20428.63</v>
      </c>
      <c r="H3765" s="15" t="str">
        <f t="shared" si="1"/>
        <v>154423.00</v>
      </c>
      <c r="I3765" s="14" t="str">
        <f t="shared" si="2"/>
        <v>133994.00</v>
      </c>
      <c r="J3765" s="16" t="str">
        <f>TEXT(Raw_Data!J3765,"MMM-YYY")</f>
        <v>Sep-2025</v>
      </c>
      <c r="K3765" s="13" t="str">
        <f>Raw_Data!K3765</f>
        <v>23</v>
      </c>
      <c r="L3765" s="17" t="str">
        <f>Raw_Data!L3765</f>
        <v>Jaipur-North</v>
      </c>
      <c r="M3765" s="13" t="str">
        <f t="shared" si="3"/>
        <v>OK</v>
      </c>
      <c r="N3765" s="18" t="str">
        <f t="shared" si="4"/>
        <v>VALID</v>
      </c>
    </row>
    <row r="3766" ht="15.75" customHeight="1">
      <c r="A3766" s="13" t="str">
        <f>Raw_Data!A3766</f>
        <v>EMP3980</v>
      </c>
      <c r="B3766" s="13" t="str">
        <f>TRIM(CLEAN(Raw_Data!B3766))</f>
        <v>HR</v>
      </c>
      <c r="C3766" s="18" t="s">
        <v>18</v>
      </c>
      <c r="D3766" s="14" t="str">
        <f>IF(ISBLANK(Raw_Data!D3766),AVERAGE(Raw_Data!D$2:D$5002),Raw_Data!D3766)</f>
        <v>91351.50</v>
      </c>
      <c r="E3766" s="15" t="str">
        <f>IF(ISBLANK(Raw_Data!E3766),AVERAGE(Raw_Data!E$2:E$5002),Raw_Data!E3766)</f>
        <v>32357.20</v>
      </c>
      <c r="F3766" s="15" t="str">
        <f>IF(ISBLANK(Raw_Data!F3766),AVERAGE(Raw_Data!F$2:F$5002),Raw_Data!F3766)</f>
        <v>30737.67</v>
      </c>
      <c r="G3766" s="14" t="str">
        <f>IF(ISBLANK(Raw_Data!G3766),AVERAGE(Raw_Data!G$2:G$5002),Raw_Data!G3766)</f>
        <v>20432.03</v>
      </c>
      <c r="H3766" s="15" t="str">
        <f t="shared" si="1"/>
        <v>154446.00</v>
      </c>
      <c r="I3766" s="14" t="str">
        <f t="shared" si="2"/>
        <v>134014.00</v>
      </c>
      <c r="J3766" s="16" t="str">
        <f>TEXT(Raw_Data!J3766,"MMM-YYY")</f>
        <v>Jun-2025</v>
      </c>
      <c r="K3766" s="13" t="str">
        <f>Raw_Data!K3766</f>
        <v>8</v>
      </c>
      <c r="L3766" s="17" t="str">
        <f>Raw_Data!L3766</f>
        <v>Mumbai-HO</v>
      </c>
      <c r="M3766" s="13" t="str">
        <f t="shared" si="3"/>
        <v>OK</v>
      </c>
      <c r="N3766" s="18" t="str">
        <f t="shared" si="4"/>
        <v>VALID</v>
      </c>
    </row>
    <row r="3767" ht="15.75" customHeight="1">
      <c r="A3767" s="13" t="str">
        <f>Raw_Data!A3767</f>
        <v>EMP3981</v>
      </c>
      <c r="B3767" s="13" t="str">
        <f>TRIM(CLEAN(Raw_Data!B3767))</f>
        <v>Marketing</v>
      </c>
      <c r="C3767" s="18" t="s">
        <v>26</v>
      </c>
      <c r="D3767" s="14" t="str">
        <f>IF(ISBLANK(Raw_Data!D3767),AVERAGE(Raw_Data!D$2:D$5002),Raw_Data!D3767)</f>
        <v>91362.38</v>
      </c>
      <c r="E3767" s="15" t="str">
        <f>IF(ISBLANK(Raw_Data!E3767),AVERAGE(Raw_Data!E$2:E$5002),Raw_Data!E3767)</f>
        <v>32361.82</v>
      </c>
      <c r="F3767" s="15" t="str">
        <f>IF(ISBLANK(Raw_Data!F3767),AVERAGE(Raw_Data!F$2:F$5002),Raw_Data!F3767)</f>
        <v>30745.35</v>
      </c>
      <c r="G3767" s="14" t="str">
        <f>IF(ISBLANK(Raw_Data!G3767),AVERAGE(Raw_Data!G$2:G$5002),Raw_Data!G3767)</f>
        <v>20435.43</v>
      </c>
      <c r="H3767" s="15" t="str">
        <f t="shared" si="1"/>
        <v>154470.00</v>
      </c>
      <c r="I3767" s="14" t="str">
        <f t="shared" si="2"/>
        <v>134035.00</v>
      </c>
      <c r="J3767" s="16" t="str">
        <f>TEXT(Raw_Data!J3767,"MMM-YYY")</f>
        <v>Dec-2025</v>
      </c>
      <c r="K3767" s="13" t="str">
        <f>Raw_Data!K3767</f>
        <v>9</v>
      </c>
      <c r="L3767" s="17" t="str">
        <f>Raw_Data!L3767</f>
        <v>Delhi-North</v>
      </c>
      <c r="M3767" s="13" t="str">
        <f t="shared" si="3"/>
        <v>OK</v>
      </c>
      <c r="N3767" s="18" t="str">
        <f t="shared" si="4"/>
        <v>VALID</v>
      </c>
    </row>
    <row r="3768" ht="15.75" customHeight="1">
      <c r="A3768" s="13" t="str">
        <f>Raw_Data!A3768</f>
        <v>EMP3982</v>
      </c>
      <c r="B3768" s="13" t="str">
        <f>TRIM(CLEAN(Raw_Data!B3768))</f>
        <v>Marketing</v>
      </c>
      <c r="C3768" s="18" t="s">
        <v>54</v>
      </c>
      <c r="D3768" s="14" t="str">
        <f>IF(ISBLANK(Raw_Data!D3768),AVERAGE(Raw_Data!D$2:D$5002),Raw_Data!D3768)</f>
        <v>91373.27</v>
      </c>
      <c r="E3768" s="15" t="str">
        <f>IF(ISBLANK(Raw_Data!E3768),AVERAGE(Raw_Data!E$2:E$5002),Raw_Data!E3768)</f>
        <v>32366.43</v>
      </c>
      <c r="F3768" s="15" t="str">
        <f>IF(ISBLANK(Raw_Data!F3768),AVERAGE(Raw_Data!F$2:F$5002),Raw_Data!F3768)</f>
        <v>30753.03</v>
      </c>
      <c r="G3768" s="14" t="str">
        <f>IF(ISBLANK(Raw_Data!G3768),AVERAGE(Raw_Data!G$2:G$5002),Raw_Data!G3768)</f>
        <v>20438.83</v>
      </c>
      <c r="H3768" s="15" t="str">
        <f t="shared" si="1"/>
        <v>154493.00</v>
      </c>
      <c r="I3768" s="14" t="str">
        <f t="shared" si="2"/>
        <v>134054.00</v>
      </c>
      <c r="J3768" s="16" t="str">
        <f>TEXT(Raw_Data!J3768,"MMM-YYY")</f>
        <v>Apr-2025</v>
      </c>
      <c r="K3768" s="13" t="str">
        <f>Raw_Data!K3768</f>
        <v>16</v>
      </c>
      <c r="L3768" s="17" t="str">
        <f>Raw_Data!L3768</f>
        <v>Bangalore-South</v>
      </c>
      <c r="M3768" s="13" t="str">
        <f t="shared" si="3"/>
        <v>OK</v>
      </c>
      <c r="N3768" s="18" t="str">
        <f t="shared" si="4"/>
        <v>VALID</v>
      </c>
    </row>
    <row r="3769" ht="15.75" customHeight="1">
      <c r="A3769" s="13" t="str">
        <f>Raw_Data!A3769</f>
        <v>EMP3983</v>
      </c>
      <c r="B3769" s="13" t="str">
        <f>TRIM(CLEAN(Raw_Data!B3769))</f>
        <v>Finance</v>
      </c>
      <c r="C3769" s="18" t="s">
        <v>33</v>
      </c>
      <c r="D3769" s="14" t="str">
        <f>IF(ISBLANK(Raw_Data!D3769),AVERAGE(Raw_Data!D$2:D$5002),Raw_Data!D3769)</f>
        <v>71831.17</v>
      </c>
      <c r="E3769" s="15" t="str">
        <f>IF(ISBLANK(Raw_Data!E3769),AVERAGE(Raw_Data!E$2:E$5002),Raw_Data!E3769)</f>
        <v>32371.05</v>
      </c>
      <c r="F3769" s="15" t="str">
        <f>IF(ISBLANK(Raw_Data!F3769),AVERAGE(Raw_Data!F$2:F$5002),Raw_Data!F3769)</f>
        <v>30760.71</v>
      </c>
      <c r="G3769" s="14" t="str">
        <f>IF(ISBLANK(Raw_Data!G3769),AVERAGE(Raw_Data!G$2:G$5002),Raw_Data!G3769)</f>
        <v>20442.22</v>
      </c>
      <c r="H3769" s="15" t="str">
        <f t="shared" si="1"/>
        <v>134963.00</v>
      </c>
      <c r="I3769" s="14" t="str">
        <f t="shared" si="2"/>
        <v>114521.00</v>
      </c>
      <c r="J3769" s="16" t="str">
        <f>TEXT(Raw_Data!J3769,"MMM-YYY")</f>
        <v>May-2025</v>
      </c>
      <c r="K3769" s="13" t="str">
        <f>Raw_Data!K3769</f>
        <v>2</v>
      </c>
      <c r="L3769" s="17" t="str">
        <f>Raw_Data!L3769</f>
        <v>Chennai-South</v>
      </c>
      <c r="M3769" s="13" t="str">
        <f t="shared" si="3"/>
        <v>OK</v>
      </c>
      <c r="N3769" s="18" t="str">
        <f t="shared" si="4"/>
        <v>VALID</v>
      </c>
    </row>
    <row r="3770" ht="15.75" customHeight="1">
      <c r="A3770" s="13" t="str">
        <f>Raw_Data!A3770</f>
        <v>EMP3984</v>
      </c>
      <c r="B3770" s="13" t="str">
        <f>TRIM(CLEAN(Raw_Data!B3770))</f>
        <v>Finance</v>
      </c>
      <c r="C3770" s="18" t="s">
        <v>26</v>
      </c>
      <c r="D3770" s="14" t="str">
        <f>IF(ISBLANK(Raw_Data!D3770),AVERAGE(Raw_Data!D$2:D$5002),Raw_Data!D3770)</f>
        <v>91395.03</v>
      </c>
      <c r="E3770" s="15" t="str">
        <f>IF(ISBLANK(Raw_Data!E3770),AVERAGE(Raw_Data!E$2:E$5002),Raw_Data!E3770)</f>
        <v>32375.66</v>
      </c>
      <c r="F3770" s="15" t="str">
        <f>IF(ISBLANK(Raw_Data!F3770),AVERAGE(Raw_Data!F$2:F$5002),Raw_Data!F3770)</f>
        <v>30768.39</v>
      </c>
      <c r="G3770" s="14" t="str">
        <f>IF(ISBLANK(Raw_Data!G3770),AVERAGE(Raw_Data!G$2:G$5002),Raw_Data!G3770)</f>
        <v>20445.62</v>
      </c>
      <c r="H3770" s="15" t="str">
        <f t="shared" si="1"/>
        <v>154539.00</v>
      </c>
      <c r="I3770" s="14" t="str">
        <f t="shared" si="2"/>
        <v>134093.00</v>
      </c>
      <c r="J3770" s="16" t="str">
        <f>TEXT(Raw_Data!J3770,"MMM-YYY")</f>
        <v>Sep-2025</v>
      </c>
      <c r="K3770" s="13" t="str">
        <f>Raw_Data!K3770</f>
        <v>21</v>
      </c>
      <c r="L3770" s="17" t="str">
        <f>Raw_Data!L3770</f>
        <v>Kolkata-East</v>
      </c>
      <c r="M3770" s="13" t="str">
        <f t="shared" si="3"/>
        <v>OK</v>
      </c>
      <c r="N3770" s="18" t="str">
        <f t="shared" si="4"/>
        <v>VALID</v>
      </c>
    </row>
    <row r="3771" ht="15.75" customHeight="1">
      <c r="A3771" s="13" t="str">
        <f>Raw_Data!A3771</f>
        <v>EMP3985</v>
      </c>
      <c r="B3771" s="13" t="str">
        <f>TRIM(CLEAN(Raw_Data!B3771))</f>
        <v>Sales</v>
      </c>
      <c r="C3771" s="18" t="s">
        <v>14</v>
      </c>
      <c r="D3771" s="14" t="str">
        <f>IF(ISBLANK(Raw_Data!D3771),AVERAGE(Raw_Data!D$2:D$5002),Raw_Data!D3771)</f>
        <v>91405.91</v>
      </c>
      <c r="E3771" s="15" t="str">
        <f>IF(ISBLANK(Raw_Data!E3771),AVERAGE(Raw_Data!E$2:E$5002),Raw_Data!E3771)</f>
        <v>32380.28</v>
      </c>
      <c r="F3771" s="15" t="str">
        <f>IF(ISBLANK(Raw_Data!F3771),AVERAGE(Raw_Data!F$2:F$5002),Raw_Data!F3771)</f>
        <v>30776.07</v>
      </c>
      <c r="G3771" s="14" t="str">
        <f>IF(ISBLANK(Raw_Data!G3771),AVERAGE(Raw_Data!G$2:G$5002),Raw_Data!G3771)</f>
        <v>20449.02</v>
      </c>
      <c r="H3771" s="15" t="str">
        <f t="shared" si="1"/>
        <v>154562.00</v>
      </c>
      <c r="I3771" s="14" t="str">
        <f t="shared" si="2"/>
        <v>134113.00</v>
      </c>
      <c r="J3771" s="16" t="str">
        <f>TEXT(Raw_Data!J3771,"MMM-YYY")</f>
        <v>Jul-2025</v>
      </c>
      <c r="K3771" s="13" t="str">
        <f>Raw_Data!K3771</f>
        <v>7</v>
      </c>
      <c r="L3771" s="17" t="str">
        <f>Raw_Data!L3771</f>
        <v>Pune-West</v>
      </c>
      <c r="M3771" s="13" t="str">
        <f t="shared" si="3"/>
        <v>OK</v>
      </c>
      <c r="N3771" s="18" t="str">
        <f t="shared" si="4"/>
        <v>VALID</v>
      </c>
    </row>
    <row r="3772" ht="15.75" customHeight="1">
      <c r="A3772" s="13" t="str">
        <f>Raw_Data!A3772</f>
        <v>EMP3986</v>
      </c>
      <c r="B3772" s="13" t="str">
        <f>TRIM(CLEAN(Raw_Data!B3772))</f>
        <v>IT</v>
      </c>
      <c r="C3772" s="18" t="s">
        <v>54</v>
      </c>
      <c r="D3772" s="14" t="str">
        <f>IF(ISBLANK(Raw_Data!D3772),AVERAGE(Raw_Data!D$2:D$5002),Raw_Data!D3772)</f>
        <v>91416.80</v>
      </c>
      <c r="E3772" s="15" t="str">
        <f>IF(ISBLANK(Raw_Data!E3772),AVERAGE(Raw_Data!E$2:E$5002),Raw_Data!E3772)</f>
        <v>32384.89</v>
      </c>
      <c r="F3772" s="15" t="str">
        <f>IF(ISBLANK(Raw_Data!F3772),AVERAGE(Raw_Data!F$2:F$5002),Raw_Data!F3772)</f>
        <v>30783.75</v>
      </c>
      <c r="G3772" s="14" t="str">
        <f>IF(ISBLANK(Raw_Data!G3772),AVERAGE(Raw_Data!G$2:G$5002),Raw_Data!G3772)</f>
        <v>20452.42</v>
      </c>
      <c r="H3772" s="15" t="str">
        <f t="shared" si="1"/>
        <v>154585.00</v>
      </c>
      <c r="I3772" s="14" t="str">
        <f t="shared" si="2"/>
        <v>134133.00</v>
      </c>
      <c r="J3772" s="16" t="str">
        <f>TEXT(Raw_Data!J3772,"MMM-YYY")</f>
        <v>Jan-2025</v>
      </c>
      <c r="K3772" s="13" t="str">
        <f>Raw_Data!K3772</f>
        <v>10</v>
      </c>
      <c r="L3772" s="17" t="str">
        <f>Raw_Data!L3772</f>
        <v>Hyderabad-South</v>
      </c>
      <c r="M3772" s="13" t="str">
        <f t="shared" si="3"/>
        <v>OK</v>
      </c>
      <c r="N3772" s="18" t="str">
        <f t="shared" si="4"/>
        <v>VALID</v>
      </c>
    </row>
    <row r="3773" ht="15.75" customHeight="1">
      <c r="A3773" s="13" t="str">
        <f>Raw_Data!A3773</f>
        <v>EMP3987</v>
      </c>
      <c r="B3773" s="13" t="str">
        <f>TRIM(CLEAN(Raw_Data!B3773))</f>
        <v>Sales</v>
      </c>
      <c r="C3773" s="18" t="s">
        <v>33</v>
      </c>
      <c r="D3773" s="14" t="str">
        <f>IF(ISBLANK(Raw_Data!D3773),AVERAGE(Raw_Data!D$2:D$5002),Raw_Data!D3773)</f>
        <v>91427.68</v>
      </c>
      <c r="E3773" s="15" t="str">
        <f>IF(ISBLANK(Raw_Data!E3773),AVERAGE(Raw_Data!E$2:E$5002),Raw_Data!E3773)</f>
        <v>32389.51</v>
      </c>
      <c r="F3773" s="15" t="str">
        <f>IF(ISBLANK(Raw_Data!F3773),AVERAGE(Raw_Data!F$2:F$5002),Raw_Data!F3773)</f>
        <v>30791.43</v>
      </c>
      <c r="G3773" s="14" t="str">
        <f>IF(ISBLANK(Raw_Data!G3773),AVERAGE(Raw_Data!G$2:G$5002),Raw_Data!G3773)</f>
        <v>20455.81</v>
      </c>
      <c r="H3773" s="15" t="str">
        <f t="shared" si="1"/>
        <v>154609.00</v>
      </c>
      <c r="I3773" s="14" t="str">
        <f t="shared" si="2"/>
        <v>134153.00</v>
      </c>
      <c r="J3773" s="16" t="str">
        <f>TEXT(Raw_Data!J3773,"MMM-YYY")</f>
        <v>Dec-2025</v>
      </c>
      <c r="K3773" s="13" t="str">
        <f>Raw_Data!K3773</f>
        <v>18</v>
      </c>
      <c r="L3773" s="17" t="str">
        <f>Raw_Data!L3773</f>
        <v>Chandigarh-North</v>
      </c>
      <c r="M3773" s="13" t="str">
        <f t="shared" si="3"/>
        <v>OK</v>
      </c>
      <c r="N3773" s="18" t="str">
        <f t="shared" si="4"/>
        <v>VALID</v>
      </c>
    </row>
    <row r="3774" ht="15.75" customHeight="1">
      <c r="A3774" s="13" t="str">
        <f>Raw_Data!A3774</f>
        <v>EMP3988</v>
      </c>
      <c r="B3774" s="13" t="str">
        <f>TRIM(CLEAN(Raw_Data!B3774))</f>
        <v>Customer Support</v>
      </c>
      <c r="C3774" s="18" t="s">
        <v>54</v>
      </c>
      <c r="D3774" s="14" t="str">
        <f>IF(ISBLANK(Raw_Data!D3774),AVERAGE(Raw_Data!D$2:D$5002),Raw_Data!D3774)</f>
        <v>91438.56</v>
      </c>
      <c r="E3774" s="15" t="str">
        <f>IF(ISBLANK(Raw_Data!E3774),AVERAGE(Raw_Data!E$2:E$5002),Raw_Data!E3774)</f>
        <v>32394.12</v>
      </c>
      <c r="F3774" s="15" t="str">
        <f>IF(ISBLANK(Raw_Data!F3774),AVERAGE(Raw_Data!F$2:F$5002),Raw_Data!F3774)</f>
        <v>30799.11</v>
      </c>
      <c r="G3774" s="14" t="str">
        <f>IF(ISBLANK(Raw_Data!G3774),AVERAGE(Raw_Data!G$2:G$5002),Raw_Data!G3774)</f>
        <v>20459.21</v>
      </c>
      <c r="H3774" s="15" t="str">
        <f t="shared" si="1"/>
        <v>154632.00</v>
      </c>
      <c r="I3774" s="14" t="str">
        <f t="shared" si="2"/>
        <v>134173.00</v>
      </c>
      <c r="J3774" s="16" t="str">
        <f>TEXT(Raw_Data!J3774,"MMM-YYY")</f>
        <v>Dec-2025</v>
      </c>
      <c r="K3774" s="13" t="str">
        <f>Raw_Data!K3774</f>
        <v>15</v>
      </c>
      <c r="L3774" s="17" t="str">
        <f>Raw_Data!L3774</f>
        <v>Ahmedabad-West</v>
      </c>
      <c r="M3774" s="13" t="str">
        <f t="shared" si="3"/>
        <v>OK</v>
      </c>
      <c r="N3774" s="18" t="str">
        <f t="shared" si="4"/>
        <v>VALID</v>
      </c>
    </row>
    <row r="3775" ht="15.75" customHeight="1">
      <c r="A3775" s="13" t="str">
        <f>Raw_Data!A3775</f>
        <v>EMP3989</v>
      </c>
      <c r="B3775" s="13" t="str">
        <f>TRIM(CLEAN(Raw_Data!B3775))</f>
        <v>Marketing</v>
      </c>
      <c r="C3775" s="18" t="s">
        <v>26</v>
      </c>
      <c r="D3775" s="14" t="str">
        <f>IF(ISBLANK(Raw_Data!D3775),AVERAGE(Raw_Data!D$2:D$5002),Raw_Data!D3775)</f>
        <v>91449.45</v>
      </c>
      <c r="E3775" s="15" t="str">
        <f>IF(ISBLANK(Raw_Data!E3775),AVERAGE(Raw_Data!E$2:E$5002),Raw_Data!E3775)</f>
        <v>32398.74</v>
      </c>
      <c r="F3775" s="15" t="str">
        <f>IF(ISBLANK(Raw_Data!F3775),AVERAGE(Raw_Data!F$2:F$5002),Raw_Data!F3775)</f>
        <v>30806.79</v>
      </c>
      <c r="G3775" s="14" t="str">
        <f>IF(ISBLANK(Raw_Data!G3775),AVERAGE(Raw_Data!G$2:G$5002),Raw_Data!G3775)</f>
        <v>20462.61</v>
      </c>
      <c r="H3775" s="15" t="str">
        <f t="shared" si="1"/>
        <v>154655.00</v>
      </c>
      <c r="I3775" s="14" t="str">
        <f t="shared" si="2"/>
        <v>134192.00</v>
      </c>
      <c r="J3775" s="16" t="str">
        <f>TEXT(Raw_Data!J3775,"MMM-YYY")</f>
        <v>Jan-2025</v>
      </c>
      <c r="K3775" s="13" t="str">
        <f>Raw_Data!K3775</f>
        <v>24</v>
      </c>
      <c r="L3775" s="17" t="str">
        <f>Raw_Data!L3775</f>
        <v>Jaipur-North</v>
      </c>
      <c r="M3775" s="13" t="str">
        <f t="shared" si="3"/>
        <v>OK</v>
      </c>
      <c r="N3775" s="18" t="str">
        <f t="shared" si="4"/>
        <v>VALID</v>
      </c>
    </row>
    <row r="3776" ht="15.75" customHeight="1">
      <c r="A3776" s="13" t="str">
        <f>Raw_Data!A3776</f>
        <v>EMP3990</v>
      </c>
      <c r="B3776" s="13" t="str">
        <f>TRIM(CLEAN(Raw_Data!B3776))</f>
        <v>IT</v>
      </c>
      <c r="C3776" s="18" t="s">
        <v>33</v>
      </c>
      <c r="D3776" s="14" t="str">
        <f>IF(ISBLANK(Raw_Data!D3776),AVERAGE(Raw_Data!D$2:D$5002),Raw_Data!D3776)</f>
        <v>91460.33</v>
      </c>
      <c r="E3776" s="15" t="str">
        <f>IF(ISBLANK(Raw_Data!E3776),AVERAGE(Raw_Data!E$2:E$5002),Raw_Data!E3776)</f>
        <v>32403.35</v>
      </c>
      <c r="F3776" s="15" t="str">
        <f>IF(ISBLANK(Raw_Data!F3776),AVERAGE(Raw_Data!F$2:F$5002),Raw_Data!F3776)</f>
        <v>30814.47</v>
      </c>
      <c r="G3776" s="14" t="str">
        <f>IF(ISBLANK(Raw_Data!G3776),AVERAGE(Raw_Data!G$2:G$5002),Raw_Data!G3776)</f>
        <v>20466.01</v>
      </c>
      <c r="H3776" s="15" t="str">
        <f t="shared" si="1"/>
        <v>154678.00</v>
      </c>
      <c r="I3776" s="14" t="str">
        <f t="shared" si="2"/>
        <v>134212.00</v>
      </c>
      <c r="J3776" s="16" t="str">
        <f>TEXT(Raw_Data!J3776,"MMM-YYY")</f>
        <v>Jun-2025</v>
      </c>
      <c r="K3776" s="13" t="str">
        <f>Raw_Data!K3776</f>
        <v>24</v>
      </c>
      <c r="L3776" s="17" t="str">
        <f>Raw_Data!L3776</f>
        <v>Mumbai-HO</v>
      </c>
      <c r="M3776" s="13" t="str">
        <f t="shared" si="3"/>
        <v>OK</v>
      </c>
      <c r="N3776" s="18" t="str">
        <f t="shared" si="4"/>
        <v>VALID</v>
      </c>
    </row>
    <row r="3777" ht="15.75" customHeight="1">
      <c r="A3777" s="13" t="str">
        <f>Raw_Data!A3777</f>
        <v>EMP3991</v>
      </c>
      <c r="B3777" s="13" t="str">
        <f>TRIM(CLEAN(Raw_Data!B3777))</f>
        <v>Marketing</v>
      </c>
      <c r="C3777" s="18" t="s">
        <v>26</v>
      </c>
      <c r="D3777" s="14" t="str">
        <f>IF(ISBLANK(Raw_Data!D3777),AVERAGE(Raw_Data!D$2:D$5002),Raw_Data!D3777)</f>
        <v>91471.21</v>
      </c>
      <c r="E3777" s="15" t="str">
        <f>IF(ISBLANK(Raw_Data!E3777),AVERAGE(Raw_Data!E$2:E$5002),Raw_Data!E3777)</f>
        <v>32407.97</v>
      </c>
      <c r="F3777" s="15" t="str">
        <f>IF(ISBLANK(Raw_Data!F3777),AVERAGE(Raw_Data!F$2:F$5002),Raw_Data!F3777)</f>
        <v>30822.15</v>
      </c>
      <c r="G3777" s="14" t="str">
        <f>IF(ISBLANK(Raw_Data!G3777),AVERAGE(Raw_Data!G$2:G$5002),Raw_Data!G3777)</f>
        <v>20469.40</v>
      </c>
      <c r="H3777" s="15" t="str">
        <f t="shared" si="1"/>
        <v>154701.00</v>
      </c>
      <c r="I3777" s="14" t="str">
        <f t="shared" si="2"/>
        <v>134232.00</v>
      </c>
      <c r="J3777" s="16" t="str">
        <f>TEXT(Raw_Data!J3777,"MMM-YYY")</f>
        <v>Sep-2025</v>
      </c>
      <c r="K3777" s="13" t="str">
        <f>Raw_Data!K3777</f>
        <v>22</v>
      </c>
      <c r="L3777" s="17" t="str">
        <f>Raw_Data!L3777</f>
        <v>Delhi-North</v>
      </c>
      <c r="M3777" s="13" t="str">
        <f t="shared" si="3"/>
        <v>OK</v>
      </c>
      <c r="N3777" s="18" t="str">
        <f t="shared" si="4"/>
        <v>VALID</v>
      </c>
    </row>
    <row r="3778" ht="15.75" customHeight="1">
      <c r="A3778" s="13" t="str">
        <f>Raw_Data!A3778</f>
        <v>EMP3992</v>
      </c>
      <c r="B3778" s="13" t="str">
        <f>TRIM(CLEAN(Raw_Data!B3778))</f>
        <v>IT</v>
      </c>
      <c r="C3778" s="18" t="s">
        <v>54</v>
      </c>
      <c r="D3778" s="14" t="str">
        <f>IF(ISBLANK(Raw_Data!D3778),AVERAGE(Raw_Data!D$2:D$5002),Raw_Data!D3778)</f>
        <v>91482.10</v>
      </c>
      <c r="E3778" s="15" t="str">
        <f>IF(ISBLANK(Raw_Data!E3778),AVERAGE(Raw_Data!E$2:E$5002),Raw_Data!E3778)</f>
        <v>32412.58</v>
      </c>
      <c r="F3778" s="15" t="str">
        <f>IF(ISBLANK(Raw_Data!F3778),AVERAGE(Raw_Data!F$2:F$5002),Raw_Data!F3778)</f>
        <v>30829.83</v>
      </c>
      <c r="G3778" s="14" t="str">
        <f>IF(ISBLANK(Raw_Data!G3778),AVERAGE(Raw_Data!G$2:G$5002),Raw_Data!G3778)</f>
        <v>20472.80</v>
      </c>
      <c r="H3778" s="15" t="str">
        <f t="shared" si="1"/>
        <v>154725.00</v>
      </c>
      <c r="I3778" s="14" t="str">
        <f t="shared" si="2"/>
        <v>134252.00</v>
      </c>
      <c r="J3778" s="16" t="str">
        <f>TEXT(Raw_Data!J3778,"MMM-YYY")</f>
        <v>Nov-2025</v>
      </c>
      <c r="K3778" s="13" t="str">
        <f>Raw_Data!K3778</f>
        <v>12</v>
      </c>
      <c r="L3778" s="17" t="str">
        <f>Raw_Data!L3778</f>
        <v>Bangalore-South</v>
      </c>
      <c r="M3778" s="13" t="str">
        <f t="shared" si="3"/>
        <v>OK</v>
      </c>
      <c r="N3778" s="18" t="str">
        <f t="shared" si="4"/>
        <v>VALID</v>
      </c>
    </row>
    <row r="3779" ht="15.75" customHeight="1">
      <c r="A3779" s="13" t="str">
        <f>Raw_Data!A3779</f>
        <v>EMP3993</v>
      </c>
      <c r="B3779" s="13" t="str">
        <f>TRIM(CLEAN(Raw_Data!B3779))</f>
        <v>Sales</v>
      </c>
      <c r="C3779" s="18" t="s">
        <v>14</v>
      </c>
      <c r="D3779" s="14" t="str">
        <f>IF(ISBLANK(Raw_Data!D3779),AVERAGE(Raw_Data!D$2:D$5002),Raw_Data!D3779)</f>
        <v>91492.98</v>
      </c>
      <c r="E3779" s="15" t="str">
        <f>IF(ISBLANK(Raw_Data!E3779),AVERAGE(Raw_Data!E$2:E$5002),Raw_Data!E3779)</f>
        <v>32417.19</v>
      </c>
      <c r="F3779" s="15" t="str">
        <f>IF(ISBLANK(Raw_Data!F3779),AVERAGE(Raw_Data!F$2:F$5002),Raw_Data!F3779)</f>
        <v>30837.51</v>
      </c>
      <c r="G3779" s="14" t="str">
        <f>IF(ISBLANK(Raw_Data!G3779),AVERAGE(Raw_Data!G$2:G$5002),Raw_Data!G3779)</f>
        <v>20476.20</v>
      </c>
      <c r="H3779" s="15" t="str">
        <f t="shared" si="1"/>
        <v>154748.00</v>
      </c>
      <c r="I3779" s="14" t="str">
        <f t="shared" si="2"/>
        <v>134272.00</v>
      </c>
      <c r="J3779" s="16" t="str">
        <f>TEXT(Raw_Data!J3779,"MMM-YYY")</f>
        <v>Feb-2025</v>
      </c>
      <c r="K3779" s="13" t="str">
        <f>Raw_Data!K3779</f>
        <v>22</v>
      </c>
      <c r="L3779" s="17" t="str">
        <f>Raw_Data!L3779</f>
        <v>Chennai-South</v>
      </c>
      <c r="M3779" s="13" t="str">
        <f t="shared" si="3"/>
        <v>OK</v>
      </c>
      <c r="N3779" s="18" t="str">
        <f t="shared" si="4"/>
        <v>VALID</v>
      </c>
    </row>
    <row r="3780" ht="15.75" customHeight="1">
      <c r="A3780" s="13" t="str">
        <f>Raw_Data!A3780</f>
        <v>EMP3994</v>
      </c>
      <c r="B3780" s="13" t="str">
        <f>TRIM(CLEAN(Raw_Data!B3780))</f>
        <v>Sales</v>
      </c>
      <c r="C3780" s="18" t="s">
        <v>26</v>
      </c>
      <c r="D3780" s="14" t="str">
        <f>IF(ISBLANK(Raw_Data!D3780),AVERAGE(Raw_Data!D$2:D$5002),Raw_Data!D3780)</f>
        <v>91503.86</v>
      </c>
      <c r="E3780" s="15" t="str">
        <f>IF(ISBLANK(Raw_Data!E3780),AVERAGE(Raw_Data!E$2:E$5002),Raw_Data!E3780)</f>
        <v>32421.81</v>
      </c>
      <c r="F3780" s="15" t="str">
        <f>IF(ISBLANK(Raw_Data!F3780),AVERAGE(Raw_Data!F$2:F$5002),Raw_Data!F3780)</f>
        <v>30845.19</v>
      </c>
      <c r="G3780" s="14" t="str">
        <f>IF(ISBLANK(Raw_Data!G3780),AVERAGE(Raw_Data!G$2:G$5002),Raw_Data!G3780)</f>
        <v>20479.60</v>
      </c>
      <c r="H3780" s="15" t="str">
        <f t="shared" si="1"/>
        <v>154771.00</v>
      </c>
      <c r="I3780" s="14" t="str">
        <f t="shared" si="2"/>
        <v>134291.00</v>
      </c>
      <c r="J3780" s="16" t="str">
        <f>TEXT(Raw_Data!J3780,"MMM-YYY")</f>
        <v>Jan-2025</v>
      </c>
      <c r="K3780" s="13" t="str">
        <f>Raw_Data!K3780</f>
        <v>14</v>
      </c>
      <c r="L3780" s="17" t="str">
        <f>Raw_Data!L3780</f>
        <v>Kolkata-East</v>
      </c>
      <c r="M3780" s="13" t="str">
        <f t="shared" si="3"/>
        <v>OK</v>
      </c>
      <c r="N3780" s="18" t="str">
        <f t="shared" si="4"/>
        <v>VALID</v>
      </c>
    </row>
    <row r="3781" ht="15.75" customHeight="1">
      <c r="A3781" s="13" t="str">
        <f>Raw_Data!A3781</f>
        <v>EMP3995</v>
      </c>
      <c r="B3781" s="13" t="str">
        <f>TRIM(CLEAN(Raw_Data!B3781))</f>
        <v>Finance</v>
      </c>
      <c r="C3781" s="18" t="s">
        <v>30</v>
      </c>
      <c r="D3781" s="14" t="str">
        <f>IF(ISBLANK(Raw_Data!D3781),AVERAGE(Raw_Data!D$2:D$5002),Raw_Data!D3781)</f>
        <v>91514.74</v>
      </c>
      <c r="E3781" s="15" t="str">
        <f>IF(ISBLANK(Raw_Data!E3781),AVERAGE(Raw_Data!E$2:E$5002),Raw_Data!E3781)</f>
        <v>32426.42</v>
      </c>
      <c r="F3781" s="15" t="str">
        <f>IF(ISBLANK(Raw_Data!F3781),AVERAGE(Raw_Data!F$2:F$5002),Raw_Data!F3781)</f>
        <v>30852.87</v>
      </c>
      <c r="G3781" s="14" t="str">
        <f>IF(ISBLANK(Raw_Data!G3781),AVERAGE(Raw_Data!G$2:G$5002),Raw_Data!G3781)</f>
        <v>20482.99</v>
      </c>
      <c r="H3781" s="15" t="str">
        <f t="shared" si="1"/>
        <v>154794.00</v>
      </c>
      <c r="I3781" s="14" t="str">
        <f t="shared" si="2"/>
        <v>134311.00</v>
      </c>
      <c r="J3781" s="16" t="str">
        <f>TEXT(Raw_Data!J3781,"MMM-YYY")</f>
        <v>Jul-2025</v>
      </c>
      <c r="K3781" s="13" t="str">
        <f>Raw_Data!K3781</f>
        <v>18</v>
      </c>
      <c r="L3781" s="17" t="str">
        <f>Raw_Data!L3781</f>
        <v>Pune-West</v>
      </c>
      <c r="M3781" s="13" t="str">
        <f t="shared" si="3"/>
        <v>OK</v>
      </c>
      <c r="N3781" s="18" t="str">
        <f t="shared" si="4"/>
        <v>VALID</v>
      </c>
    </row>
    <row r="3782" ht="15.75" customHeight="1">
      <c r="A3782" s="13" t="str">
        <f>Raw_Data!A3782</f>
        <v>EMP3996</v>
      </c>
      <c r="B3782" s="13" t="str">
        <f>TRIM(CLEAN(Raw_Data!B3782))</f>
        <v>Finance</v>
      </c>
      <c r="C3782" s="18" t="s">
        <v>37</v>
      </c>
      <c r="D3782" s="14" t="str">
        <f>IF(ISBLANK(Raw_Data!D3782),AVERAGE(Raw_Data!D$2:D$5002),Raw_Data!D3782)</f>
        <v>91525.63</v>
      </c>
      <c r="E3782" s="15" t="str">
        <f>IF(ISBLANK(Raw_Data!E3782),AVERAGE(Raw_Data!E$2:E$5002),Raw_Data!E3782)</f>
        <v>32431.04</v>
      </c>
      <c r="F3782" s="15" t="str">
        <f>IF(ISBLANK(Raw_Data!F3782),AVERAGE(Raw_Data!F$2:F$5002),Raw_Data!F3782)</f>
        <v>30860.55</v>
      </c>
      <c r="G3782" s="14" t="str">
        <f>IF(ISBLANK(Raw_Data!G3782),AVERAGE(Raw_Data!G$2:G$5002),Raw_Data!G3782)</f>
        <v>20486.39</v>
      </c>
      <c r="H3782" s="15" t="str">
        <f t="shared" si="1"/>
        <v>154817.00</v>
      </c>
      <c r="I3782" s="14" t="str">
        <f t="shared" si="2"/>
        <v>134331.00</v>
      </c>
      <c r="J3782" s="16" t="str">
        <f>TEXT(Raw_Data!J3782,"MMM-YYY")</f>
        <v>May-2025</v>
      </c>
      <c r="K3782" s="13" t="str">
        <f>Raw_Data!K3782</f>
        <v>4</v>
      </c>
      <c r="L3782" s="17" t="str">
        <f>Raw_Data!L3782</f>
        <v>Hyderabad-South</v>
      </c>
      <c r="M3782" s="13" t="str">
        <f t="shared" si="3"/>
        <v>OK</v>
      </c>
      <c r="N3782" s="18" t="str">
        <f t="shared" si="4"/>
        <v>VALID</v>
      </c>
    </row>
    <row r="3783" ht="15.75" customHeight="1">
      <c r="A3783" s="13" t="str">
        <f>Raw_Data!A3783</f>
        <v>EMP3998</v>
      </c>
      <c r="B3783" s="13" t="str">
        <f>TRIM(CLEAN(Raw_Data!B3783))</f>
        <v>Finance</v>
      </c>
      <c r="C3783" s="18" t="s">
        <v>33</v>
      </c>
      <c r="D3783" s="14" t="str">
        <f>IF(ISBLANK(Raw_Data!D3783),AVERAGE(Raw_Data!D$2:D$5002),Raw_Data!D3783)</f>
        <v>91547.39</v>
      </c>
      <c r="E3783" s="15" t="str">
        <f>IF(ISBLANK(Raw_Data!E3783),AVERAGE(Raw_Data!E$2:E$5002),Raw_Data!E3783)</f>
        <v>32440.27</v>
      </c>
      <c r="F3783" s="15" t="str">
        <f>IF(ISBLANK(Raw_Data!F3783),AVERAGE(Raw_Data!F$2:F$5002),Raw_Data!F3783)</f>
        <v>30875.91</v>
      </c>
      <c r="G3783" s="14" t="str">
        <f>IF(ISBLANK(Raw_Data!G3783),AVERAGE(Raw_Data!G$2:G$5002),Raw_Data!G3783)</f>
        <v>20493.19</v>
      </c>
      <c r="H3783" s="15" t="str">
        <f t="shared" si="1"/>
        <v>154864.00</v>
      </c>
      <c r="I3783" s="14" t="str">
        <f t="shared" si="2"/>
        <v>134371.00</v>
      </c>
      <c r="J3783" s="16" t="str">
        <f>TEXT(Raw_Data!J3783,"MMM-YYY")</f>
        <v>Mar-2025</v>
      </c>
      <c r="K3783" s="13" t="str">
        <f>Raw_Data!K3783</f>
        <v>22</v>
      </c>
      <c r="L3783" s="17" t="str">
        <f>Raw_Data!L3783</f>
        <v>Ahmedabad-West</v>
      </c>
      <c r="M3783" s="13" t="str">
        <f t="shared" si="3"/>
        <v>OK</v>
      </c>
      <c r="N3783" s="18" t="str">
        <f t="shared" si="4"/>
        <v>VALID</v>
      </c>
    </row>
    <row r="3784" ht="15.75" customHeight="1">
      <c r="A3784" s="13" t="str">
        <f>Raw_Data!A3784</f>
        <v>EMP3999</v>
      </c>
      <c r="B3784" s="13" t="str">
        <f>TRIM(CLEAN(Raw_Data!B3784))</f>
        <v>Customer Support</v>
      </c>
      <c r="C3784" s="18" t="s">
        <v>54</v>
      </c>
      <c r="D3784" s="14" t="str">
        <f>IF(ISBLANK(Raw_Data!D3784),AVERAGE(Raw_Data!D$2:D$5002),Raw_Data!D3784)</f>
        <v>91558.28</v>
      </c>
      <c r="E3784" s="15" t="str">
        <f>IF(ISBLANK(Raw_Data!E3784),AVERAGE(Raw_Data!E$2:E$5002),Raw_Data!E3784)</f>
        <v>32444.88</v>
      </c>
      <c r="F3784" s="15" t="str">
        <f>IF(ISBLANK(Raw_Data!F3784),AVERAGE(Raw_Data!F$2:F$5002),Raw_Data!F3784)</f>
        <v>30883.59</v>
      </c>
      <c r="G3784" s="14" t="str">
        <f>IF(ISBLANK(Raw_Data!G3784),AVERAGE(Raw_Data!G$2:G$5002),Raw_Data!G3784)</f>
        <v>20496.58</v>
      </c>
      <c r="H3784" s="15" t="str">
        <f t="shared" si="1"/>
        <v>154887.00</v>
      </c>
      <c r="I3784" s="14" t="str">
        <f t="shared" si="2"/>
        <v>134390.00</v>
      </c>
      <c r="J3784" s="16" t="str">
        <f>TEXT(Raw_Data!J3784,"MMM-YYY")</f>
        <v>Mar-2025</v>
      </c>
      <c r="K3784" s="13" t="str">
        <f>Raw_Data!K3784</f>
        <v>25</v>
      </c>
      <c r="L3784" s="17" t="str">
        <f>Raw_Data!L3784</f>
        <v>Jaipur-North</v>
      </c>
      <c r="M3784" s="13" t="str">
        <f t="shared" si="3"/>
        <v>OK</v>
      </c>
      <c r="N3784" s="18" t="str">
        <f t="shared" si="4"/>
        <v>VALID</v>
      </c>
    </row>
    <row r="3785" ht="15.75" customHeight="1">
      <c r="A3785" s="13" t="str">
        <f>Raw_Data!A3785</f>
        <v>EMP4001</v>
      </c>
      <c r="B3785" s="13" t="str">
        <f>TRIM(CLEAN(Raw_Data!B3785))</f>
        <v>IT</v>
      </c>
      <c r="C3785" s="18" t="s">
        <v>14</v>
      </c>
      <c r="D3785" s="14" t="str">
        <f>IF(ISBLANK(Raw_Data!D3785),AVERAGE(Raw_Data!D$2:D$5002),Raw_Data!D3785)</f>
        <v>91580.04</v>
      </c>
      <c r="E3785" s="15" t="str">
        <f>IF(ISBLANK(Raw_Data!E3785),AVERAGE(Raw_Data!E$2:E$5002),Raw_Data!E3785)</f>
        <v>32454.11</v>
      </c>
      <c r="F3785" s="15" t="str">
        <f>IF(ISBLANK(Raw_Data!F3785),AVERAGE(Raw_Data!F$2:F$5002),Raw_Data!F3785)</f>
        <v>30898.95</v>
      </c>
      <c r="G3785" s="14" t="str">
        <f>IF(ISBLANK(Raw_Data!G3785),AVERAGE(Raw_Data!G$2:G$5002),Raw_Data!G3785)</f>
        <v>20503.38</v>
      </c>
      <c r="H3785" s="15" t="str">
        <f t="shared" si="1"/>
        <v>154933.00</v>
      </c>
      <c r="I3785" s="14" t="str">
        <f t="shared" si="2"/>
        <v>134430.00</v>
      </c>
      <c r="J3785" s="16" t="str">
        <f>TEXT(Raw_Data!J3785,"MMM-YYY")</f>
        <v>Nov-2025</v>
      </c>
      <c r="K3785" s="13" t="str">
        <f>Raw_Data!K3785</f>
        <v>16</v>
      </c>
      <c r="L3785" s="17" t="str">
        <f>Raw_Data!L3785</f>
        <v>Delhi-North</v>
      </c>
      <c r="M3785" s="13" t="str">
        <f t="shared" si="3"/>
        <v>OK</v>
      </c>
      <c r="N3785" s="18" t="str">
        <f t="shared" si="4"/>
        <v>VALID</v>
      </c>
    </row>
    <row r="3786" ht="15.75" customHeight="1">
      <c r="A3786" s="13" t="str">
        <f>Raw_Data!A3786</f>
        <v>EMP4002</v>
      </c>
      <c r="B3786" s="13" t="str">
        <f>TRIM(CLEAN(Raw_Data!B3786))</f>
        <v>Customer Support</v>
      </c>
      <c r="C3786" s="18" t="s">
        <v>37</v>
      </c>
      <c r="D3786" s="14" t="str">
        <f>IF(ISBLANK(Raw_Data!D3786),AVERAGE(Raw_Data!D$2:D$5002),Raw_Data!D3786)</f>
        <v>91590.93</v>
      </c>
      <c r="E3786" s="15" t="str">
        <f>IF(ISBLANK(Raw_Data!E3786),AVERAGE(Raw_Data!E$2:E$5002),Raw_Data!E3786)</f>
        <v>32458.73</v>
      </c>
      <c r="F3786" s="15" t="str">
        <f>IF(ISBLANK(Raw_Data!F3786),AVERAGE(Raw_Data!F$2:F$5002),Raw_Data!F3786)</f>
        <v>30906.63</v>
      </c>
      <c r="G3786" s="14" t="str">
        <f>IF(ISBLANK(Raw_Data!G3786),AVERAGE(Raw_Data!G$2:G$5002),Raw_Data!G3786)</f>
        <v>20506.78</v>
      </c>
      <c r="H3786" s="15" t="str">
        <f t="shared" si="1"/>
        <v>154956.00</v>
      </c>
      <c r="I3786" s="14" t="str">
        <f t="shared" si="2"/>
        <v>134449.00</v>
      </c>
      <c r="J3786" s="16" t="str">
        <f>TEXT(Raw_Data!J3786,"MMM-YYY")</f>
        <v>Feb-2025</v>
      </c>
      <c r="K3786" s="13" t="str">
        <f>Raw_Data!K3786</f>
        <v>12</v>
      </c>
      <c r="L3786" s="17" t="str">
        <f>Raw_Data!L3786</f>
        <v>Bangalore-South</v>
      </c>
      <c r="M3786" s="13" t="str">
        <f t="shared" si="3"/>
        <v>OK</v>
      </c>
      <c r="N3786" s="18" t="str">
        <f t="shared" si="4"/>
        <v>VALID</v>
      </c>
    </row>
    <row r="3787" ht="15.75" customHeight="1">
      <c r="A3787" s="13" t="str">
        <f>Raw_Data!A3787</f>
        <v>EMP4003</v>
      </c>
      <c r="B3787" s="13" t="str">
        <f>TRIM(CLEAN(Raw_Data!B3787))</f>
        <v>Sales</v>
      </c>
      <c r="C3787" s="18" t="s">
        <v>18</v>
      </c>
      <c r="D3787" s="14" t="str">
        <f>IF(ISBLANK(Raw_Data!D3787),AVERAGE(Raw_Data!D$2:D$5002),Raw_Data!D3787)</f>
        <v>91601.81</v>
      </c>
      <c r="E3787" s="15" t="str">
        <f>IF(ISBLANK(Raw_Data!E3787),AVERAGE(Raw_Data!E$2:E$5002),Raw_Data!E3787)</f>
        <v>32463.34</v>
      </c>
      <c r="F3787" s="15" t="str">
        <f>IF(ISBLANK(Raw_Data!F3787),AVERAGE(Raw_Data!F$2:F$5002),Raw_Data!F3787)</f>
        <v>30914.31</v>
      </c>
      <c r="G3787" s="14" t="str">
        <f>IF(ISBLANK(Raw_Data!G3787),AVERAGE(Raw_Data!G$2:G$5002),Raw_Data!G3787)</f>
        <v>20510.17</v>
      </c>
      <c r="H3787" s="15" t="str">
        <f t="shared" si="1"/>
        <v>154979.00</v>
      </c>
      <c r="I3787" s="14" t="str">
        <f t="shared" si="2"/>
        <v>134469.00</v>
      </c>
      <c r="J3787" s="16" t="str">
        <f>TEXT(Raw_Data!J3787,"MMM-YYY")</f>
        <v>Jul-2025</v>
      </c>
      <c r="K3787" s="13" t="str">
        <f>Raw_Data!K3787</f>
        <v>3</v>
      </c>
      <c r="L3787" s="17" t="str">
        <f>Raw_Data!L3787</f>
        <v>Chennai-South</v>
      </c>
      <c r="M3787" s="13" t="str">
        <f t="shared" si="3"/>
        <v>OK</v>
      </c>
      <c r="N3787" s="18" t="str">
        <f t="shared" si="4"/>
        <v>VALID</v>
      </c>
    </row>
    <row r="3788" ht="15.75" customHeight="1">
      <c r="A3788" s="13" t="str">
        <f>Raw_Data!A3788</f>
        <v>EMP4004</v>
      </c>
      <c r="B3788" s="13" t="str">
        <f>TRIM(CLEAN(Raw_Data!B3788))</f>
        <v>Customer Support</v>
      </c>
      <c r="C3788" s="18" t="s">
        <v>18</v>
      </c>
      <c r="D3788" s="14" t="str">
        <f>IF(ISBLANK(Raw_Data!D3788),AVERAGE(Raw_Data!D$2:D$5002),Raw_Data!D3788)</f>
        <v>91612.69</v>
      </c>
      <c r="E3788" s="15" t="str">
        <f>IF(ISBLANK(Raw_Data!E3788),AVERAGE(Raw_Data!E$2:E$5002),Raw_Data!E3788)</f>
        <v>32467.96</v>
      </c>
      <c r="F3788" s="15" t="str">
        <f>IF(ISBLANK(Raw_Data!F3788),AVERAGE(Raw_Data!F$2:F$5002),Raw_Data!F3788)</f>
        <v>30921.99</v>
      </c>
      <c r="G3788" s="14" t="str">
        <f>IF(ISBLANK(Raw_Data!G3788),AVERAGE(Raw_Data!G$2:G$5002),Raw_Data!G3788)</f>
        <v>20513.57</v>
      </c>
      <c r="H3788" s="15" t="str">
        <f t="shared" si="1"/>
        <v>155003.00</v>
      </c>
      <c r="I3788" s="14" t="str">
        <f t="shared" si="2"/>
        <v>134489.00</v>
      </c>
      <c r="J3788" s="16" t="str">
        <f>TEXT(Raw_Data!J3788,"MMM-YYY")</f>
        <v>Dec-2025</v>
      </c>
      <c r="K3788" s="13" t="str">
        <f>Raw_Data!K3788</f>
        <v>16</v>
      </c>
      <c r="L3788" s="17" t="str">
        <f>Raw_Data!L3788</f>
        <v>Kolkata-East</v>
      </c>
      <c r="M3788" s="13" t="str">
        <f t="shared" si="3"/>
        <v>OK</v>
      </c>
      <c r="N3788" s="18" t="str">
        <f t="shared" si="4"/>
        <v>VALID</v>
      </c>
    </row>
    <row r="3789" ht="15.75" customHeight="1">
      <c r="A3789" s="13" t="str">
        <f>Raw_Data!A3789</f>
        <v>EMP4005</v>
      </c>
      <c r="B3789" s="13" t="str">
        <f>TRIM(CLEAN(Raw_Data!B3789))</f>
        <v>Marketing</v>
      </c>
      <c r="C3789" s="18" t="s">
        <v>18</v>
      </c>
      <c r="D3789" s="14" t="str">
        <f>IF(ISBLANK(Raw_Data!D3789),AVERAGE(Raw_Data!D$2:D$5002),Raw_Data!D3789)</f>
        <v>91623.57</v>
      </c>
      <c r="E3789" s="15" t="str">
        <f>IF(ISBLANK(Raw_Data!E3789),AVERAGE(Raw_Data!E$2:E$5002),Raw_Data!E3789)</f>
        <v>32472.57</v>
      </c>
      <c r="F3789" s="15" t="str">
        <f>IF(ISBLANK(Raw_Data!F3789),AVERAGE(Raw_Data!F$2:F$5002),Raw_Data!F3789)</f>
        <v>30929.67</v>
      </c>
      <c r="G3789" s="14" t="str">
        <f>IF(ISBLANK(Raw_Data!G3789),AVERAGE(Raw_Data!G$2:G$5002),Raw_Data!G3789)</f>
        <v>20516.97</v>
      </c>
      <c r="H3789" s="15" t="str">
        <f t="shared" si="1"/>
        <v>155026.00</v>
      </c>
      <c r="I3789" s="14" t="str">
        <f t="shared" si="2"/>
        <v>134509.00</v>
      </c>
      <c r="J3789" s="16" t="str">
        <f>TEXT(Raw_Data!J3789,"MMM-YYY")</f>
        <v>Nov-2025</v>
      </c>
      <c r="K3789" s="13" t="str">
        <f>Raw_Data!K3789</f>
        <v>25</v>
      </c>
      <c r="L3789" s="17" t="str">
        <f>Raw_Data!L3789</f>
        <v>Pune-West</v>
      </c>
      <c r="M3789" s="13" t="str">
        <f t="shared" si="3"/>
        <v>OK</v>
      </c>
      <c r="N3789" s="18" t="str">
        <f t="shared" si="4"/>
        <v>VALID</v>
      </c>
    </row>
    <row r="3790" ht="15.75" customHeight="1">
      <c r="A3790" s="13" t="str">
        <f>Raw_Data!A3790</f>
        <v>EMP4006</v>
      </c>
      <c r="B3790" s="13" t="str">
        <f>TRIM(CLEAN(Raw_Data!B3790))</f>
        <v>Finance</v>
      </c>
      <c r="C3790" s="18" t="s">
        <v>54</v>
      </c>
      <c r="D3790" s="14" t="str">
        <f>IF(ISBLANK(Raw_Data!D3790),AVERAGE(Raw_Data!D$2:D$5002),Raw_Data!D3790)</f>
        <v>91634.46</v>
      </c>
      <c r="E3790" s="15" t="str">
        <f>IF(ISBLANK(Raw_Data!E3790),AVERAGE(Raw_Data!E$2:E$5002),Raw_Data!E3790)</f>
        <v>32477.19</v>
      </c>
      <c r="F3790" s="15" t="str">
        <f>IF(ISBLANK(Raw_Data!F3790),AVERAGE(Raw_Data!F$2:F$5002),Raw_Data!F3790)</f>
        <v>30937.35</v>
      </c>
      <c r="G3790" s="14" t="str">
        <f>IF(ISBLANK(Raw_Data!G3790),AVERAGE(Raw_Data!G$2:G$5002),Raw_Data!G3790)</f>
        <v>20520.37</v>
      </c>
      <c r="H3790" s="15" t="str">
        <f t="shared" si="1"/>
        <v>155049.00</v>
      </c>
      <c r="I3790" s="14" t="str">
        <f t="shared" si="2"/>
        <v>134529.00</v>
      </c>
      <c r="J3790" s="16" t="str">
        <f>TEXT(Raw_Data!J3790,"MMM-YYY")</f>
        <v>Dec-2025</v>
      </c>
      <c r="K3790" s="13" t="str">
        <f>Raw_Data!K3790</f>
        <v>4</v>
      </c>
      <c r="L3790" s="17" t="str">
        <f>Raw_Data!L3790</f>
        <v>Hyderabad-South</v>
      </c>
      <c r="M3790" s="13" t="str">
        <f t="shared" si="3"/>
        <v>OK</v>
      </c>
      <c r="N3790" s="18" t="str">
        <f t="shared" si="4"/>
        <v>VALID</v>
      </c>
    </row>
    <row r="3791" ht="15.75" customHeight="1">
      <c r="A3791" s="13" t="str">
        <f>Raw_Data!A3791</f>
        <v>EMP4007</v>
      </c>
      <c r="B3791" s="13" t="str">
        <f>TRIM(CLEAN(Raw_Data!B3791))</f>
        <v>Finance</v>
      </c>
      <c r="C3791" s="18" t="s">
        <v>14</v>
      </c>
      <c r="D3791" s="14" t="str">
        <f>IF(ISBLANK(Raw_Data!D3791),AVERAGE(Raw_Data!D$2:D$5002),Raw_Data!D3791)</f>
        <v>91645.34</v>
      </c>
      <c r="E3791" s="15" t="str">
        <f>IF(ISBLANK(Raw_Data!E3791),AVERAGE(Raw_Data!E$2:E$5002),Raw_Data!E3791)</f>
        <v>32481.80</v>
      </c>
      <c r="F3791" s="15" t="str">
        <f>IF(ISBLANK(Raw_Data!F3791),AVERAGE(Raw_Data!F$2:F$5002),Raw_Data!F3791)</f>
        <v>30945.03</v>
      </c>
      <c r="G3791" s="14" t="str">
        <f>IF(ISBLANK(Raw_Data!G3791),AVERAGE(Raw_Data!G$2:G$5002),Raw_Data!G3791)</f>
        <v>20523.76</v>
      </c>
      <c r="H3791" s="15" t="str">
        <f t="shared" si="1"/>
        <v>155072.00</v>
      </c>
      <c r="I3791" s="14" t="str">
        <f t="shared" si="2"/>
        <v>134548.00</v>
      </c>
      <c r="J3791" s="16" t="str">
        <f>TEXT(Raw_Data!J3791,"MMM-YYY")</f>
        <v>Jun-2025</v>
      </c>
      <c r="K3791" s="13" t="str">
        <f>Raw_Data!K3791</f>
        <v>3</v>
      </c>
      <c r="L3791" s="17" t="str">
        <f>Raw_Data!L3791</f>
        <v>Chandigarh-North</v>
      </c>
      <c r="M3791" s="13" t="str">
        <f t="shared" si="3"/>
        <v>OK</v>
      </c>
      <c r="N3791" s="18" t="str">
        <f t="shared" si="4"/>
        <v>VALID</v>
      </c>
    </row>
    <row r="3792" ht="15.75" customHeight="1">
      <c r="A3792" s="13" t="str">
        <f>Raw_Data!A3792</f>
        <v>EMP4008</v>
      </c>
      <c r="B3792" s="13" t="str">
        <f>TRIM(CLEAN(Raw_Data!B3792))</f>
        <v>Operations</v>
      </c>
      <c r="C3792" s="18" t="s">
        <v>37</v>
      </c>
      <c r="D3792" s="14" t="str">
        <f>IF(ISBLANK(Raw_Data!D3792),AVERAGE(Raw_Data!D$2:D$5002),Raw_Data!D3792)</f>
        <v>91656.22</v>
      </c>
      <c r="E3792" s="15" t="str">
        <f>IF(ISBLANK(Raw_Data!E3792),AVERAGE(Raw_Data!E$2:E$5002),Raw_Data!E3792)</f>
        <v>32486.42</v>
      </c>
      <c r="F3792" s="15" t="str">
        <f>IF(ISBLANK(Raw_Data!F3792),AVERAGE(Raw_Data!F$2:F$5002),Raw_Data!F3792)</f>
        <v>30952.71</v>
      </c>
      <c r="G3792" s="14" t="str">
        <f>IF(ISBLANK(Raw_Data!G3792),AVERAGE(Raw_Data!G$2:G$5002),Raw_Data!G3792)</f>
        <v>20527.16</v>
      </c>
      <c r="H3792" s="15" t="str">
        <f t="shared" si="1"/>
        <v>155095.00</v>
      </c>
      <c r="I3792" s="14" t="str">
        <f t="shared" si="2"/>
        <v>134568.00</v>
      </c>
      <c r="J3792" s="16" t="str">
        <f>TEXT(Raw_Data!J3792,"MMM-YYY")</f>
        <v>Dec-2025</v>
      </c>
      <c r="K3792" s="13" t="str">
        <f>Raw_Data!K3792</f>
        <v>7</v>
      </c>
      <c r="L3792" s="17" t="str">
        <f>Raw_Data!L3792</f>
        <v>Ahmedabad-West</v>
      </c>
      <c r="M3792" s="13" t="str">
        <f t="shared" si="3"/>
        <v>OK</v>
      </c>
      <c r="N3792" s="18" t="str">
        <f t="shared" si="4"/>
        <v>VALID</v>
      </c>
    </row>
    <row r="3793" ht="15.75" customHeight="1">
      <c r="A3793" s="13" t="str">
        <f>Raw_Data!A3793</f>
        <v>EMP4009</v>
      </c>
      <c r="B3793" s="13" t="str">
        <f>TRIM(CLEAN(Raw_Data!B3793))</f>
        <v>HR</v>
      </c>
      <c r="C3793" s="18" t="s">
        <v>37</v>
      </c>
      <c r="D3793" s="14" t="str">
        <f>IF(ISBLANK(Raw_Data!D3793),AVERAGE(Raw_Data!D$2:D$5002),Raw_Data!D3793)</f>
        <v>91667.11</v>
      </c>
      <c r="E3793" s="15" t="str">
        <f>IF(ISBLANK(Raw_Data!E3793),AVERAGE(Raw_Data!E$2:E$5002),Raw_Data!E3793)</f>
        <v>32491.03</v>
      </c>
      <c r="F3793" s="15" t="str">
        <f>IF(ISBLANK(Raw_Data!F3793),AVERAGE(Raw_Data!F$2:F$5002),Raw_Data!F3793)</f>
        <v>30960.39</v>
      </c>
      <c r="G3793" s="14" t="str">
        <f>IF(ISBLANK(Raw_Data!G3793),AVERAGE(Raw_Data!G$2:G$5002),Raw_Data!G3793)</f>
        <v>20530.56</v>
      </c>
      <c r="H3793" s="15" t="str">
        <f t="shared" si="1"/>
        <v>155119.00</v>
      </c>
      <c r="I3793" s="14" t="str">
        <f t="shared" si="2"/>
        <v>134588.00</v>
      </c>
      <c r="J3793" s="16" t="str">
        <f>TEXT(Raw_Data!J3793,"MMM-YYY")</f>
        <v>Sep-2025</v>
      </c>
      <c r="K3793" s="13" t="str">
        <f>Raw_Data!K3793</f>
        <v>8</v>
      </c>
      <c r="L3793" s="17" t="str">
        <f>Raw_Data!L3793</f>
        <v>Jaipur-North</v>
      </c>
      <c r="M3793" s="13" t="str">
        <f t="shared" si="3"/>
        <v>OK</v>
      </c>
      <c r="N3793" s="18" t="str">
        <f t="shared" si="4"/>
        <v>VALID</v>
      </c>
    </row>
    <row r="3794" ht="15.75" customHeight="1">
      <c r="A3794" s="13" t="str">
        <f>Raw_Data!A3794</f>
        <v>EMP4010</v>
      </c>
      <c r="B3794" s="13" t="str">
        <f>TRIM(CLEAN(Raw_Data!B3794))</f>
        <v>Customer Support</v>
      </c>
      <c r="C3794" s="18" t="s">
        <v>14</v>
      </c>
      <c r="D3794" s="14" t="str">
        <f>IF(ISBLANK(Raw_Data!D3794),AVERAGE(Raw_Data!D$2:D$5002),Raw_Data!D3794)</f>
        <v>91677.99</v>
      </c>
      <c r="E3794" s="15" t="str">
        <f>IF(ISBLANK(Raw_Data!E3794),AVERAGE(Raw_Data!E$2:E$5002),Raw_Data!E3794)</f>
        <v>32495.64</v>
      </c>
      <c r="F3794" s="15" t="str">
        <f>IF(ISBLANK(Raw_Data!F3794),AVERAGE(Raw_Data!F$2:F$5002),Raw_Data!F3794)</f>
        <v>30968.07</v>
      </c>
      <c r="G3794" s="14" t="str">
        <f>IF(ISBLANK(Raw_Data!G3794),AVERAGE(Raw_Data!G$2:G$5002),Raw_Data!G3794)</f>
        <v>20533.96</v>
      </c>
      <c r="H3794" s="15" t="str">
        <f t="shared" si="1"/>
        <v>155142.00</v>
      </c>
      <c r="I3794" s="14" t="str">
        <f t="shared" si="2"/>
        <v>134608.00</v>
      </c>
      <c r="J3794" s="16" t="str">
        <f>TEXT(Raw_Data!J3794,"MMM-YYY")</f>
        <v>Oct-2025</v>
      </c>
      <c r="K3794" s="13" t="str">
        <f>Raw_Data!K3794</f>
        <v>25</v>
      </c>
      <c r="L3794" s="17" t="str">
        <f>Raw_Data!L3794</f>
        <v>Mumbai-HO</v>
      </c>
      <c r="M3794" s="13" t="str">
        <f t="shared" si="3"/>
        <v>OK</v>
      </c>
      <c r="N3794" s="18" t="str">
        <f t="shared" si="4"/>
        <v>VALID</v>
      </c>
    </row>
    <row r="3795" ht="15.75" customHeight="1">
      <c r="A3795" s="13" t="str">
        <f>Raw_Data!A3795</f>
        <v>EMP4011</v>
      </c>
      <c r="B3795" s="13" t="str">
        <f>TRIM(CLEAN(Raw_Data!B3795))</f>
        <v>Operations</v>
      </c>
      <c r="C3795" s="18" t="s">
        <v>54</v>
      </c>
      <c r="D3795" s="14" t="str">
        <f>IF(ISBLANK(Raw_Data!D3795),AVERAGE(Raw_Data!D$2:D$5002),Raw_Data!D3795)</f>
        <v>91688.87</v>
      </c>
      <c r="E3795" s="15" t="str">
        <f>IF(ISBLANK(Raw_Data!E3795),AVERAGE(Raw_Data!E$2:E$5002),Raw_Data!E3795)</f>
        <v>32500.26</v>
      </c>
      <c r="F3795" s="15" t="str">
        <f>IF(ISBLANK(Raw_Data!F3795),AVERAGE(Raw_Data!F$2:F$5002),Raw_Data!F3795)</f>
        <v>30975.75</v>
      </c>
      <c r="G3795" s="14" t="str">
        <f>IF(ISBLANK(Raw_Data!G3795),AVERAGE(Raw_Data!G$2:G$5002),Raw_Data!G3795)</f>
        <v>20537.35</v>
      </c>
      <c r="H3795" s="15" t="str">
        <f t="shared" si="1"/>
        <v>155165.00</v>
      </c>
      <c r="I3795" s="14" t="str">
        <f t="shared" si="2"/>
        <v>134628.00</v>
      </c>
      <c r="J3795" s="16" t="str">
        <f>TEXT(Raw_Data!J3795,"MMM-YYY")</f>
        <v>Feb-2025</v>
      </c>
      <c r="K3795" s="13" t="str">
        <f>Raw_Data!K3795</f>
        <v>25</v>
      </c>
      <c r="L3795" s="17" t="str">
        <f>Raw_Data!L3795</f>
        <v>Delhi-North</v>
      </c>
      <c r="M3795" s="13" t="str">
        <f t="shared" si="3"/>
        <v>OK</v>
      </c>
      <c r="N3795" s="18" t="str">
        <f t="shared" si="4"/>
        <v>VALID</v>
      </c>
    </row>
    <row r="3796" ht="15.75" customHeight="1">
      <c r="A3796" s="13" t="str">
        <f>Raw_Data!A3796</f>
        <v>EMP4012</v>
      </c>
      <c r="B3796" s="13" t="str">
        <f>TRIM(CLEAN(Raw_Data!B3796))</f>
        <v>Operations</v>
      </c>
      <c r="C3796" s="18" t="s">
        <v>14</v>
      </c>
      <c r="D3796" s="14" t="str">
        <f>IF(ISBLANK(Raw_Data!D3796),AVERAGE(Raw_Data!D$2:D$5002),Raw_Data!D3796)</f>
        <v>91699.75</v>
      </c>
      <c r="E3796" s="15" t="str">
        <f>IF(ISBLANK(Raw_Data!E3796),AVERAGE(Raw_Data!E$2:E$5002),Raw_Data!E3796)</f>
        <v>32504.87</v>
      </c>
      <c r="F3796" s="15" t="str">
        <f>IF(ISBLANK(Raw_Data!F3796),AVERAGE(Raw_Data!F$2:F$5002),Raw_Data!F3796)</f>
        <v>30983.43</v>
      </c>
      <c r="G3796" s="14" t="str">
        <f>IF(ISBLANK(Raw_Data!G3796),AVERAGE(Raw_Data!G$2:G$5002),Raw_Data!G3796)</f>
        <v>20540.75</v>
      </c>
      <c r="H3796" s="15" t="str">
        <f t="shared" si="1"/>
        <v>155188.00</v>
      </c>
      <c r="I3796" s="14" t="str">
        <f t="shared" si="2"/>
        <v>134647.00</v>
      </c>
      <c r="J3796" s="16" t="str">
        <f>TEXT(Raw_Data!J3796,"MMM-YYY")</f>
        <v>Oct-2025</v>
      </c>
      <c r="K3796" s="13" t="str">
        <f>Raw_Data!K3796</f>
        <v>23</v>
      </c>
      <c r="L3796" s="17" t="str">
        <f>Raw_Data!L3796</f>
        <v>Bangalore-South</v>
      </c>
      <c r="M3796" s="13" t="str">
        <f t="shared" si="3"/>
        <v>OK</v>
      </c>
      <c r="N3796" s="18" t="str">
        <f t="shared" si="4"/>
        <v>VALID</v>
      </c>
    </row>
    <row r="3797" ht="15.75" customHeight="1">
      <c r="A3797" s="13" t="str">
        <f>Raw_Data!A3797</f>
        <v>EMP4013</v>
      </c>
      <c r="B3797" s="13" t="str">
        <f>TRIM(CLEAN(Raw_Data!B3797))</f>
        <v>Customer Support</v>
      </c>
      <c r="C3797" s="18" t="s">
        <v>54</v>
      </c>
      <c r="D3797" s="14" t="str">
        <f>IF(ISBLANK(Raw_Data!D3797),AVERAGE(Raw_Data!D$2:D$5002),Raw_Data!D3797)</f>
        <v>91710.64</v>
      </c>
      <c r="E3797" s="15" t="str">
        <f>IF(ISBLANK(Raw_Data!E3797),AVERAGE(Raw_Data!E$2:E$5002),Raw_Data!E3797)</f>
        <v>32509.49</v>
      </c>
      <c r="F3797" s="15" t="str">
        <f>IF(ISBLANK(Raw_Data!F3797),AVERAGE(Raw_Data!F$2:F$5002),Raw_Data!F3797)</f>
        <v>30991.11</v>
      </c>
      <c r="G3797" s="14" t="str">
        <f>IF(ISBLANK(Raw_Data!G3797),AVERAGE(Raw_Data!G$2:G$5002),Raw_Data!G3797)</f>
        <v>20544.15</v>
      </c>
      <c r="H3797" s="15" t="str">
        <f t="shared" si="1"/>
        <v>155211.00</v>
      </c>
      <c r="I3797" s="14" t="str">
        <f t="shared" si="2"/>
        <v>134667.00</v>
      </c>
      <c r="J3797" s="16" t="str">
        <f>TEXT(Raw_Data!J3797,"MMM-YYY")</f>
        <v>Nov-2025</v>
      </c>
      <c r="K3797" s="13" t="str">
        <f>Raw_Data!K3797</f>
        <v>13</v>
      </c>
      <c r="L3797" s="17" t="str">
        <f>Raw_Data!L3797</f>
        <v>Chennai-South</v>
      </c>
      <c r="M3797" s="13" t="str">
        <f t="shared" si="3"/>
        <v>OK</v>
      </c>
      <c r="N3797" s="18" t="str">
        <f t="shared" si="4"/>
        <v>VALID</v>
      </c>
    </row>
    <row r="3798" ht="15.75" customHeight="1">
      <c r="A3798" s="13" t="str">
        <f>Raw_Data!A3798</f>
        <v>EMP4014</v>
      </c>
      <c r="B3798" s="13" t="str">
        <f>TRIM(CLEAN(Raw_Data!B3798))</f>
        <v>Customer Support</v>
      </c>
      <c r="C3798" s="18" t="s">
        <v>26</v>
      </c>
      <c r="D3798" s="14" t="str">
        <f>IF(ISBLANK(Raw_Data!D3798),AVERAGE(Raw_Data!D$2:D$5002),Raw_Data!D3798)</f>
        <v>91721.52</v>
      </c>
      <c r="E3798" s="15" t="str">
        <f>IF(ISBLANK(Raw_Data!E3798),AVERAGE(Raw_Data!E$2:E$5002),Raw_Data!E3798)</f>
        <v>32514.10</v>
      </c>
      <c r="F3798" s="15" t="str">
        <f>IF(ISBLANK(Raw_Data!F3798),AVERAGE(Raw_Data!F$2:F$5002),Raw_Data!F3798)</f>
        <v>30998.79</v>
      </c>
      <c r="G3798" s="14" t="str">
        <f>IF(ISBLANK(Raw_Data!G3798),AVERAGE(Raw_Data!G$2:G$5002),Raw_Data!G3798)</f>
        <v>20547.55</v>
      </c>
      <c r="H3798" s="15" t="str">
        <f t="shared" si="1"/>
        <v>155234.00</v>
      </c>
      <c r="I3798" s="14" t="str">
        <f t="shared" si="2"/>
        <v>134686.00</v>
      </c>
      <c r="J3798" s="16" t="str">
        <f>TEXT(Raw_Data!J3798,"MMM-YYY")</f>
        <v>Jan-2025</v>
      </c>
      <c r="K3798" s="13" t="str">
        <f>Raw_Data!K3798</f>
        <v>24</v>
      </c>
      <c r="L3798" s="17" t="str">
        <f>Raw_Data!L3798</f>
        <v>Kolkata-East</v>
      </c>
      <c r="M3798" s="13" t="str">
        <f t="shared" si="3"/>
        <v>OK</v>
      </c>
      <c r="N3798" s="18" t="str">
        <f t="shared" si="4"/>
        <v>VALID</v>
      </c>
    </row>
    <row r="3799" ht="15.75" customHeight="1">
      <c r="A3799" s="13" t="str">
        <f>Raw_Data!A3799</f>
        <v>EMP4015</v>
      </c>
      <c r="B3799" s="13" t="str">
        <f>TRIM(CLEAN(Raw_Data!B3799))</f>
        <v>Operations</v>
      </c>
      <c r="C3799" s="18" t="s">
        <v>26</v>
      </c>
      <c r="D3799" s="14" t="str">
        <f>IF(ISBLANK(Raw_Data!D3799),AVERAGE(Raw_Data!D$2:D$5002),Raw_Data!D3799)</f>
        <v>91732.40</v>
      </c>
      <c r="E3799" s="15" t="str">
        <f>IF(ISBLANK(Raw_Data!E3799),AVERAGE(Raw_Data!E$2:E$5002),Raw_Data!E3799)</f>
        <v>32518.72</v>
      </c>
      <c r="F3799" s="15" t="str">
        <f>IF(ISBLANK(Raw_Data!F3799),AVERAGE(Raw_Data!F$2:F$5002),Raw_Data!F3799)</f>
        <v>31006.47</v>
      </c>
      <c r="G3799" s="14" t="str">
        <f>IF(ISBLANK(Raw_Data!G3799),AVERAGE(Raw_Data!G$2:G$5002),Raw_Data!G3799)</f>
        <v>20550.94</v>
      </c>
      <c r="H3799" s="15" t="str">
        <f t="shared" si="1"/>
        <v>155258.00</v>
      </c>
      <c r="I3799" s="14" t="str">
        <f t="shared" si="2"/>
        <v>134707.00</v>
      </c>
      <c r="J3799" s="16" t="str">
        <f>TEXT(Raw_Data!J3799,"MMM-YYY")</f>
        <v>Aug-2025</v>
      </c>
      <c r="K3799" s="13" t="str">
        <f>Raw_Data!K3799</f>
        <v>12</v>
      </c>
      <c r="L3799" s="17" t="str">
        <f>Raw_Data!L3799</f>
        <v>Pune-West</v>
      </c>
      <c r="M3799" s="13" t="str">
        <f t="shared" si="3"/>
        <v>OK</v>
      </c>
      <c r="N3799" s="18" t="str">
        <f t="shared" si="4"/>
        <v>VALID</v>
      </c>
    </row>
    <row r="3800" ht="15.75" customHeight="1">
      <c r="A3800" s="13" t="str">
        <f>Raw_Data!A3800</f>
        <v>EMP4016</v>
      </c>
      <c r="B3800" s="13" t="str">
        <f>TRIM(CLEAN(Raw_Data!B3800))</f>
        <v>Operations</v>
      </c>
      <c r="C3800" s="18" t="s">
        <v>33</v>
      </c>
      <c r="D3800" s="14" t="str">
        <f>IF(ISBLANK(Raw_Data!D3800),AVERAGE(Raw_Data!D$2:D$5002),Raw_Data!D3800)</f>
        <v>91743.29</v>
      </c>
      <c r="E3800" s="15" t="str">
        <f>IF(ISBLANK(Raw_Data!E3800),AVERAGE(Raw_Data!E$2:E$5002),Raw_Data!E3800)</f>
        <v>32523.33</v>
      </c>
      <c r="F3800" s="15" t="str">
        <f>IF(ISBLANK(Raw_Data!F3800),AVERAGE(Raw_Data!F$2:F$5002),Raw_Data!F3800)</f>
        <v>31014.15</v>
      </c>
      <c r="G3800" s="14" t="str">
        <f>IF(ISBLANK(Raw_Data!G3800),AVERAGE(Raw_Data!G$2:G$5002),Raw_Data!G3800)</f>
        <v>20554.34</v>
      </c>
      <c r="H3800" s="15" t="str">
        <f t="shared" si="1"/>
        <v>155281.00</v>
      </c>
      <c r="I3800" s="14" t="str">
        <f t="shared" si="2"/>
        <v>134727.00</v>
      </c>
      <c r="J3800" s="16" t="str">
        <f>TEXT(Raw_Data!J3800,"MMM-YYY")</f>
        <v>Jan-2025</v>
      </c>
      <c r="K3800" s="13" t="str">
        <f>Raw_Data!K3800</f>
        <v>3</v>
      </c>
      <c r="L3800" s="17" t="str">
        <f>Raw_Data!L3800</f>
        <v>Hyderabad-South</v>
      </c>
      <c r="M3800" s="13" t="str">
        <f t="shared" si="3"/>
        <v>OK</v>
      </c>
      <c r="N3800" s="18" t="str">
        <f t="shared" si="4"/>
        <v>VALID</v>
      </c>
    </row>
    <row r="3801" ht="15.75" customHeight="1">
      <c r="A3801" s="13" t="str">
        <f>Raw_Data!A3801</f>
        <v>EMP4017</v>
      </c>
      <c r="B3801" s="13" t="str">
        <f>TRIM(CLEAN(Raw_Data!B3801))</f>
        <v>Finance</v>
      </c>
      <c r="C3801" s="18" t="s">
        <v>54</v>
      </c>
      <c r="D3801" s="14" t="str">
        <f>IF(ISBLANK(Raw_Data!D3801),AVERAGE(Raw_Data!D$2:D$5002),Raw_Data!D3801)</f>
        <v>91754.17</v>
      </c>
      <c r="E3801" s="15" t="str">
        <f>IF(ISBLANK(Raw_Data!E3801),AVERAGE(Raw_Data!E$2:E$5002),Raw_Data!E3801)</f>
        <v>32527.95</v>
      </c>
      <c r="F3801" s="15" t="str">
        <f>IF(ISBLANK(Raw_Data!F3801),AVERAGE(Raw_Data!F$2:F$5002),Raw_Data!F3801)</f>
        <v>31021.83</v>
      </c>
      <c r="G3801" s="14" t="str">
        <f>IF(ISBLANK(Raw_Data!G3801),AVERAGE(Raw_Data!G$2:G$5002),Raw_Data!G3801)</f>
        <v>20557.74</v>
      </c>
      <c r="H3801" s="15" t="str">
        <f t="shared" si="1"/>
        <v>155304.00</v>
      </c>
      <c r="I3801" s="14" t="str">
        <f t="shared" si="2"/>
        <v>134746.00</v>
      </c>
      <c r="J3801" s="16" t="str">
        <f>TEXT(Raw_Data!J3801,"MMM-YYY")</f>
        <v>Feb-2025</v>
      </c>
      <c r="K3801" s="13" t="str">
        <f>Raw_Data!K3801</f>
        <v>23</v>
      </c>
      <c r="L3801" s="17" t="str">
        <f>Raw_Data!L3801</f>
        <v>Chandigarh-North</v>
      </c>
      <c r="M3801" s="13" t="str">
        <f t="shared" si="3"/>
        <v>OK</v>
      </c>
      <c r="N3801" s="18" t="str">
        <f t="shared" si="4"/>
        <v>VALID</v>
      </c>
    </row>
    <row r="3802" ht="15.75" customHeight="1">
      <c r="A3802" s="13" t="str">
        <f>Raw_Data!A3802</f>
        <v>EMP4018</v>
      </c>
      <c r="B3802" s="13" t="str">
        <f>TRIM(CLEAN(Raw_Data!B3802))</f>
        <v>Marketing</v>
      </c>
      <c r="C3802" s="18" t="s">
        <v>54</v>
      </c>
      <c r="D3802" s="14" t="str">
        <f>IF(ISBLANK(Raw_Data!D3802),AVERAGE(Raw_Data!D$2:D$5002),Raw_Data!D3802)</f>
        <v>91765.05</v>
      </c>
      <c r="E3802" s="15" t="str">
        <f>IF(ISBLANK(Raw_Data!E3802),AVERAGE(Raw_Data!E$2:E$5002),Raw_Data!E3802)</f>
        <v>32532.56</v>
      </c>
      <c r="F3802" s="15" t="str">
        <f>IF(ISBLANK(Raw_Data!F3802),AVERAGE(Raw_Data!F$2:F$5002),Raw_Data!F3802)</f>
        <v>31029.51</v>
      </c>
      <c r="G3802" s="14" t="str">
        <f>IF(ISBLANK(Raw_Data!G3802),AVERAGE(Raw_Data!G$2:G$5002),Raw_Data!G3802)</f>
        <v>14562.73</v>
      </c>
      <c r="H3802" s="15" t="str">
        <f t="shared" si="1"/>
        <v>155327.00</v>
      </c>
      <c r="I3802" s="14" t="str">
        <f t="shared" si="2"/>
        <v>140764.00</v>
      </c>
      <c r="J3802" s="16" t="str">
        <f>TEXT(Raw_Data!J3802,"MMM-YYY")</f>
        <v>Jan-2025</v>
      </c>
      <c r="K3802" s="13" t="str">
        <f>Raw_Data!K3802</f>
        <v>2</v>
      </c>
      <c r="L3802" s="17" t="str">
        <f>Raw_Data!L3802</f>
        <v>Ahmedabad-West</v>
      </c>
      <c r="M3802" s="13" t="str">
        <f t="shared" si="3"/>
        <v>OK</v>
      </c>
      <c r="N3802" s="18" t="str">
        <f t="shared" si="4"/>
        <v>VALID</v>
      </c>
    </row>
    <row r="3803" ht="15.75" customHeight="1">
      <c r="A3803" s="13" t="str">
        <f>Raw_Data!A3803</f>
        <v>EMP4019</v>
      </c>
      <c r="B3803" s="13" t="str">
        <f>TRIM(CLEAN(Raw_Data!B3803))</f>
        <v>Sales</v>
      </c>
      <c r="C3803" s="18" t="s">
        <v>18</v>
      </c>
      <c r="D3803" s="14" t="str">
        <f>IF(ISBLANK(Raw_Data!D3803),AVERAGE(Raw_Data!D$2:D$5002),Raw_Data!D3803)</f>
        <v>91775.94</v>
      </c>
      <c r="E3803" s="15" t="str">
        <f>IF(ISBLANK(Raw_Data!E3803),AVERAGE(Raw_Data!E$2:E$5002),Raw_Data!E3803)</f>
        <v>32537.18</v>
      </c>
      <c r="F3803" s="15" t="str">
        <f>IF(ISBLANK(Raw_Data!F3803),AVERAGE(Raw_Data!F$2:F$5002),Raw_Data!F3803)</f>
        <v>31037.19</v>
      </c>
      <c r="G3803" s="14" t="str">
        <f>IF(ISBLANK(Raw_Data!G3803),AVERAGE(Raw_Data!G$2:G$5002),Raw_Data!G3803)</f>
        <v>20564.54</v>
      </c>
      <c r="H3803" s="15" t="str">
        <f t="shared" si="1"/>
        <v>155350.00</v>
      </c>
      <c r="I3803" s="14" t="str">
        <f t="shared" si="2"/>
        <v>134785.00</v>
      </c>
      <c r="J3803" s="16" t="str">
        <f>TEXT(Raw_Data!J3803,"MMM-YYY")</f>
        <v>Dec-2025</v>
      </c>
      <c r="K3803" s="13" t="str">
        <f>Raw_Data!K3803</f>
        <v>21</v>
      </c>
      <c r="L3803" s="17" t="str">
        <f>Raw_Data!L3803</f>
        <v>Jaipur-North</v>
      </c>
      <c r="M3803" s="13" t="str">
        <f t="shared" si="3"/>
        <v>OK</v>
      </c>
      <c r="N3803" s="18" t="str">
        <f t="shared" si="4"/>
        <v>VALID</v>
      </c>
    </row>
    <row r="3804" ht="15.75" customHeight="1">
      <c r="A3804" s="13" t="str">
        <f>Raw_Data!A3804</f>
        <v>EMP4022</v>
      </c>
      <c r="B3804" s="13" t="str">
        <f>TRIM(CLEAN(Raw_Data!B3804))</f>
        <v>IT</v>
      </c>
      <c r="C3804" s="18" t="s">
        <v>54</v>
      </c>
      <c r="D3804" s="14" t="str">
        <f>IF(ISBLANK(Raw_Data!D3804),AVERAGE(Raw_Data!D$2:D$5002),Raw_Data!D3804)</f>
        <v>91808.58</v>
      </c>
      <c r="E3804" s="15" t="str">
        <f>IF(ISBLANK(Raw_Data!E3804),AVERAGE(Raw_Data!E$2:E$5002),Raw_Data!E3804)</f>
        <v>32551.02</v>
      </c>
      <c r="F3804" s="15" t="str">
        <f>IF(ISBLANK(Raw_Data!F3804),AVERAGE(Raw_Data!F$2:F$5002),Raw_Data!F3804)</f>
        <v>31060.23</v>
      </c>
      <c r="G3804" s="14" t="str">
        <f>IF(ISBLANK(Raw_Data!G3804),AVERAGE(Raw_Data!G$2:G$5002),Raw_Data!G3804)</f>
        <v>20574.73</v>
      </c>
      <c r="H3804" s="15" t="str">
        <f t="shared" si="1"/>
        <v>155420.00</v>
      </c>
      <c r="I3804" s="14" t="str">
        <f t="shared" si="2"/>
        <v>134845.00</v>
      </c>
      <c r="J3804" s="16" t="str">
        <f>TEXT(Raw_Data!J3804,"MMM-YYY")</f>
        <v>Mar-2025</v>
      </c>
      <c r="K3804" s="13" t="str">
        <f>Raw_Data!K3804</f>
        <v>11</v>
      </c>
      <c r="L3804" s="17" t="str">
        <f>Raw_Data!L3804</f>
        <v>Bangalore-South</v>
      </c>
      <c r="M3804" s="13" t="str">
        <f t="shared" si="3"/>
        <v>OK</v>
      </c>
      <c r="N3804" s="18" t="str">
        <f t="shared" si="4"/>
        <v>VALID</v>
      </c>
    </row>
    <row r="3805" ht="15.75" customHeight="1">
      <c r="A3805" s="13" t="str">
        <f>Raw_Data!A3805</f>
        <v>EMP4023</v>
      </c>
      <c r="B3805" s="13" t="str">
        <f>TRIM(CLEAN(Raw_Data!B3805))</f>
        <v>Sales</v>
      </c>
      <c r="C3805" s="18" t="s">
        <v>33</v>
      </c>
      <c r="D3805" s="14" t="str">
        <f>IF(ISBLANK(Raw_Data!D3805),AVERAGE(Raw_Data!D$2:D$5002),Raw_Data!D3805)</f>
        <v>91819.47</v>
      </c>
      <c r="E3805" s="15" t="str">
        <f>IF(ISBLANK(Raw_Data!E3805),AVERAGE(Raw_Data!E$2:E$5002),Raw_Data!E3805)</f>
        <v>32555.64</v>
      </c>
      <c r="F3805" s="15" t="str">
        <f>IF(ISBLANK(Raw_Data!F3805),AVERAGE(Raw_Data!F$2:F$5002),Raw_Data!F3805)</f>
        <v>31067.91</v>
      </c>
      <c r="G3805" s="14" t="str">
        <f>IF(ISBLANK(Raw_Data!G3805),AVERAGE(Raw_Data!G$2:G$5002),Raw_Data!G3805)</f>
        <v>20578.13</v>
      </c>
      <c r="H3805" s="15" t="str">
        <f t="shared" si="1"/>
        <v>155443.00</v>
      </c>
      <c r="I3805" s="14" t="str">
        <f t="shared" si="2"/>
        <v>134865.00</v>
      </c>
      <c r="J3805" s="16" t="str">
        <f>TEXT(Raw_Data!J3805,"MMM-YYY")</f>
        <v>Aug-2025</v>
      </c>
      <c r="K3805" s="13" t="str">
        <f>Raw_Data!K3805</f>
        <v>9</v>
      </c>
      <c r="L3805" s="17" t="str">
        <f>Raw_Data!L3805</f>
        <v>Chennai-South</v>
      </c>
      <c r="M3805" s="13" t="str">
        <f t="shared" si="3"/>
        <v>OK</v>
      </c>
      <c r="N3805" s="18" t="str">
        <f t="shared" si="4"/>
        <v>VALID</v>
      </c>
    </row>
    <row r="3806" ht="15.75" customHeight="1">
      <c r="A3806" s="13" t="str">
        <f>Raw_Data!A3806</f>
        <v>EMP4025</v>
      </c>
      <c r="B3806" s="13" t="str">
        <f>TRIM(CLEAN(Raw_Data!B3806))</f>
        <v>Customer Support</v>
      </c>
      <c r="C3806" s="18" t="s">
        <v>33</v>
      </c>
      <c r="D3806" s="14" t="str">
        <f>IF(ISBLANK(Raw_Data!D3806),AVERAGE(Raw_Data!D$2:D$5002),Raw_Data!D3806)</f>
        <v>91841.23</v>
      </c>
      <c r="E3806" s="15" t="str">
        <f>IF(ISBLANK(Raw_Data!E3806),AVERAGE(Raw_Data!E$2:E$5002),Raw_Data!E3806)</f>
        <v>32564.87</v>
      </c>
      <c r="F3806" s="15" t="str">
        <f>IF(ISBLANK(Raw_Data!F3806),AVERAGE(Raw_Data!F$2:F$5002),Raw_Data!F3806)</f>
        <v>31083.27</v>
      </c>
      <c r="G3806" s="14" t="str">
        <f>IF(ISBLANK(Raw_Data!G3806),AVERAGE(Raw_Data!G$2:G$5002),Raw_Data!G3806)</f>
        <v>20584.92</v>
      </c>
      <c r="H3806" s="15" t="str">
        <f t="shared" si="1"/>
        <v>155489.00</v>
      </c>
      <c r="I3806" s="14" t="str">
        <f t="shared" si="2"/>
        <v>134904.00</v>
      </c>
      <c r="J3806" s="16" t="str">
        <f>TEXT(Raw_Data!J3806,"MMM-YYY")</f>
        <v>Feb-2025</v>
      </c>
      <c r="K3806" s="13" t="str">
        <f>Raw_Data!K3806</f>
        <v>17</v>
      </c>
      <c r="L3806" s="17" t="str">
        <f>Raw_Data!L3806</f>
        <v>Pune-West</v>
      </c>
      <c r="M3806" s="13" t="str">
        <f t="shared" si="3"/>
        <v>OK</v>
      </c>
      <c r="N3806" s="18" t="str">
        <f t="shared" si="4"/>
        <v>VALID</v>
      </c>
    </row>
    <row r="3807" ht="15.75" customHeight="1">
      <c r="A3807" s="13" t="str">
        <f>Raw_Data!A3807</f>
        <v>EMP4026</v>
      </c>
      <c r="B3807" s="13" t="str">
        <f>TRIM(CLEAN(Raw_Data!B3807))</f>
        <v>Sales</v>
      </c>
      <c r="C3807" s="18" t="s">
        <v>18</v>
      </c>
      <c r="D3807" s="14" t="str">
        <f>IF(ISBLANK(Raw_Data!D3807),AVERAGE(Raw_Data!D$2:D$5002),Raw_Data!D3807)</f>
        <v>91852.12</v>
      </c>
      <c r="E3807" s="15" t="str">
        <f>IF(ISBLANK(Raw_Data!E3807),AVERAGE(Raw_Data!E$2:E$5002),Raw_Data!E3807)</f>
        <v>32569.48</v>
      </c>
      <c r="F3807" s="15" t="str">
        <f>IF(ISBLANK(Raw_Data!F3807),AVERAGE(Raw_Data!F$2:F$5002),Raw_Data!F3807)</f>
        <v>31090.95</v>
      </c>
      <c r="G3807" s="14" t="str">
        <f>IF(ISBLANK(Raw_Data!G3807),AVERAGE(Raw_Data!G$2:G$5002),Raw_Data!G3807)</f>
        <v>20588.32</v>
      </c>
      <c r="H3807" s="15" t="str">
        <f t="shared" si="1"/>
        <v>155513.00</v>
      </c>
      <c r="I3807" s="14" t="str">
        <f t="shared" si="2"/>
        <v>134925.00</v>
      </c>
      <c r="J3807" s="16" t="str">
        <f>TEXT(Raw_Data!J3807,"MMM-YYY")</f>
        <v>Jan-2025</v>
      </c>
      <c r="K3807" s="13" t="str">
        <f>Raw_Data!K3807</f>
        <v>22</v>
      </c>
      <c r="L3807" s="17" t="str">
        <f>Raw_Data!L3807</f>
        <v>Hyderabad-South</v>
      </c>
      <c r="M3807" s="13" t="str">
        <f t="shared" si="3"/>
        <v>OK</v>
      </c>
      <c r="N3807" s="18" t="str">
        <f t="shared" si="4"/>
        <v>VALID</v>
      </c>
    </row>
    <row r="3808" ht="15.75" customHeight="1">
      <c r="A3808" s="13" t="str">
        <f>Raw_Data!A3808</f>
        <v>EMP4027</v>
      </c>
      <c r="B3808" s="13" t="str">
        <f>TRIM(CLEAN(Raw_Data!B3808))</f>
        <v>Sales</v>
      </c>
      <c r="C3808" s="18" t="s">
        <v>26</v>
      </c>
      <c r="D3808" s="14" t="str">
        <f>IF(ISBLANK(Raw_Data!D3808),AVERAGE(Raw_Data!D$2:D$5002),Raw_Data!D3808)</f>
        <v>91863.00</v>
      </c>
      <c r="E3808" s="15" t="str">
        <f>IF(ISBLANK(Raw_Data!E3808),AVERAGE(Raw_Data!E$2:E$5002),Raw_Data!E3808)</f>
        <v>32574.09</v>
      </c>
      <c r="F3808" s="15" t="str">
        <f>IF(ISBLANK(Raw_Data!F3808),AVERAGE(Raw_Data!F$2:F$5002),Raw_Data!F3808)</f>
        <v>31098.63</v>
      </c>
      <c r="G3808" s="14" t="str">
        <f>IF(ISBLANK(Raw_Data!G3808),AVERAGE(Raw_Data!G$2:G$5002),Raw_Data!G3808)</f>
        <v>20591.72</v>
      </c>
      <c r="H3808" s="15" t="str">
        <f t="shared" si="1"/>
        <v>155536.00</v>
      </c>
      <c r="I3808" s="14" t="str">
        <f t="shared" si="2"/>
        <v>134944.00</v>
      </c>
      <c r="J3808" s="16" t="str">
        <f>TEXT(Raw_Data!J3808,"MMM-YYY")</f>
        <v>Nov-2025</v>
      </c>
      <c r="K3808" s="13" t="str">
        <f>Raw_Data!K3808</f>
        <v>7</v>
      </c>
      <c r="L3808" s="17" t="str">
        <f>Raw_Data!L3808</f>
        <v>Chandigarh-North</v>
      </c>
      <c r="M3808" s="13" t="str">
        <f t="shared" si="3"/>
        <v>OK</v>
      </c>
      <c r="N3808" s="18" t="str">
        <f t="shared" si="4"/>
        <v>VALID</v>
      </c>
    </row>
    <row r="3809" ht="15.75" customHeight="1">
      <c r="A3809" s="13" t="str">
        <f>Raw_Data!A3809</f>
        <v>EMP4028</v>
      </c>
      <c r="B3809" s="13" t="str">
        <f>TRIM(CLEAN(Raw_Data!B3809))</f>
        <v>Marketing</v>
      </c>
      <c r="C3809" s="18" t="s">
        <v>30</v>
      </c>
      <c r="D3809" s="14" t="str">
        <f>IF(ISBLANK(Raw_Data!D3809),AVERAGE(Raw_Data!D$2:D$5002),Raw_Data!D3809)</f>
        <v>91873.88</v>
      </c>
      <c r="E3809" s="15" t="str">
        <f>IF(ISBLANK(Raw_Data!E3809),AVERAGE(Raw_Data!E$2:E$5002),Raw_Data!E3809)</f>
        <v>32578.71</v>
      </c>
      <c r="F3809" s="15" t="str">
        <f>IF(ISBLANK(Raw_Data!F3809),AVERAGE(Raw_Data!F$2:F$5002),Raw_Data!F3809)</f>
        <v>31106.31</v>
      </c>
      <c r="G3809" s="14" t="str">
        <f>IF(ISBLANK(Raw_Data!G3809),AVERAGE(Raw_Data!G$2:G$5002),Raw_Data!G3809)</f>
        <v>20595.11</v>
      </c>
      <c r="H3809" s="15" t="str">
        <f t="shared" si="1"/>
        <v>155559.00</v>
      </c>
      <c r="I3809" s="14" t="str">
        <f t="shared" si="2"/>
        <v>134964.00</v>
      </c>
      <c r="J3809" s="16" t="str">
        <f>TEXT(Raw_Data!J3809,"MMM-YYY")</f>
        <v>Apr-2025</v>
      </c>
      <c r="K3809" s="13" t="str">
        <f>Raw_Data!K3809</f>
        <v>10</v>
      </c>
      <c r="L3809" s="17" t="str">
        <f>Raw_Data!L3809</f>
        <v>Ahmedabad-West</v>
      </c>
      <c r="M3809" s="13" t="str">
        <f t="shared" si="3"/>
        <v>OK</v>
      </c>
      <c r="N3809" s="18" t="str">
        <f t="shared" si="4"/>
        <v>VALID</v>
      </c>
    </row>
    <row r="3810" ht="15.75" customHeight="1">
      <c r="A3810" s="13" t="str">
        <f>Raw_Data!A3810</f>
        <v>EMP4029</v>
      </c>
      <c r="B3810" s="13" t="str">
        <f>TRIM(CLEAN(Raw_Data!B3810))</f>
        <v>HR</v>
      </c>
      <c r="C3810" s="18" t="s">
        <v>26</v>
      </c>
      <c r="D3810" s="14" t="str">
        <f>IF(ISBLANK(Raw_Data!D3810),AVERAGE(Raw_Data!D$2:D$5002),Raw_Data!D3810)</f>
        <v>91884.77</v>
      </c>
      <c r="E3810" s="15" t="str">
        <f>IF(ISBLANK(Raw_Data!E3810),AVERAGE(Raw_Data!E$2:E$5002),Raw_Data!E3810)</f>
        <v>32583.32</v>
      </c>
      <c r="F3810" s="15" t="str">
        <f>IF(ISBLANK(Raw_Data!F3810),AVERAGE(Raw_Data!F$2:F$5002),Raw_Data!F3810)</f>
        <v>31113.99</v>
      </c>
      <c r="G3810" s="14" t="str">
        <f>IF(ISBLANK(Raw_Data!G3810),AVERAGE(Raw_Data!G$2:G$5002),Raw_Data!G3810)</f>
        <v>20598.51</v>
      </c>
      <c r="H3810" s="15" t="str">
        <f t="shared" si="1"/>
        <v>155582.00</v>
      </c>
      <c r="I3810" s="14" t="str">
        <f t="shared" si="2"/>
        <v>134983.00</v>
      </c>
      <c r="J3810" s="16" t="str">
        <f>TEXT(Raw_Data!J3810,"MMM-YYY")</f>
        <v>May-2025</v>
      </c>
      <c r="K3810" s="13" t="str">
        <f>Raw_Data!K3810</f>
        <v>20</v>
      </c>
      <c r="L3810" s="17" t="str">
        <f>Raw_Data!L3810</f>
        <v>Jaipur-North</v>
      </c>
      <c r="M3810" s="13" t="str">
        <f t="shared" si="3"/>
        <v>OK</v>
      </c>
      <c r="N3810" s="18" t="str">
        <f t="shared" si="4"/>
        <v>VALID</v>
      </c>
    </row>
    <row r="3811" ht="15.75" customHeight="1">
      <c r="A3811" s="13" t="str">
        <f>Raw_Data!A3811</f>
        <v>EMP4030</v>
      </c>
      <c r="B3811" s="13" t="str">
        <f>TRIM(CLEAN(Raw_Data!B3811))</f>
        <v>Finance</v>
      </c>
      <c r="C3811" s="18" t="s">
        <v>30</v>
      </c>
      <c r="D3811" s="14" t="str">
        <f>IF(ISBLANK(Raw_Data!D3811),AVERAGE(Raw_Data!D$2:D$5002),Raw_Data!D3811)</f>
        <v>91895.65</v>
      </c>
      <c r="E3811" s="15" t="str">
        <f>IF(ISBLANK(Raw_Data!E3811),AVERAGE(Raw_Data!E$2:E$5002),Raw_Data!E3811)</f>
        <v>32587.94</v>
      </c>
      <c r="F3811" s="15" t="str">
        <f>IF(ISBLANK(Raw_Data!F3811),AVERAGE(Raw_Data!F$2:F$5002),Raw_Data!F3811)</f>
        <v>31121.67</v>
      </c>
      <c r="G3811" s="14" t="str">
        <f>IF(ISBLANK(Raw_Data!G3811),AVERAGE(Raw_Data!G$2:G$5002),Raw_Data!G3811)</f>
        <v>20601.91</v>
      </c>
      <c r="H3811" s="15" t="str">
        <f t="shared" si="1"/>
        <v>155605.00</v>
      </c>
      <c r="I3811" s="14" t="str">
        <f t="shared" si="2"/>
        <v>135003.00</v>
      </c>
      <c r="J3811" s="16" t="str">
        <f>TEXT(Raw_Data!J3811,"MMM-YYY")</f>
        <v>Nov-2025</v>
      </c>
      <c r="K3811" s="13" t="str">
        <f>Raw_Data!K3811</f>
        <v>8</v>
      </c>
      <c r="L3811" s="17" t="str">
        <f>Raw_Data!L3811</f>
        <v>Mumbai-HO</v>
      </c>
      <c r="M3811" s="13" t="str">
        <f t="shared" si="3"/>
        <v>OK</v>
      </c>
      <c r="N3811" s="18" t="str">
        <f t="shared" si="4"/>
        <v>VALID</v>
      </c>
    </row>
    <row r="3812" ht="15.75" customHeight="1">
      <c r="A3812" s="13" t="str">
        <f>Raw_Data!A3812</f>
        <v>EMP4031</v>
      </c>
      <c r="B3812" s="13" t="str">
        <f>TRIM(CLEAN(Raw_Data!B3812))</f>
        <v>Sales</v>
      </c>
      <c r="C3812" s="18" t="s">
        <v>54</v>
      </c>
      <c r="D3812" s="14" t="str">
        <f>IF(ISBLANK(Raw_Data!D3812),AVERAGE(Raw_Data!D$2:D$5002),Raw_Data!D3812)</f>
        <v>91906.53</v>
      </c>
      <c r="E3812" s="15" t="str">
        <f>IF(ISBLANK(Raw_Data!E3812),AVERAGE(Raw_Data!E$2:E$5002),Raw_Data!E3812)</f>
        <v>32592.55</v>
      </c>
      <c r="F3812" s="15" t="str">
        <f>IF(ISBLANK(Raw_Data!F3812),AVERAGE(Raw_Data!F$2:F$5002),Raw_Data!F3812)</f>
        <v>31129.35</v>
      </c>
      <c r="G3812" s="14" t="str">
        <f>IF(ISBLANK(Raw_Data!G3812),AVERAGE(Raw_Data!G$2:G$5002),Raw_Data!G3812)</f>
        <v>20605.31</v>
      </c>
      <c r="H3812" s="15" t="str">
        <f t="shared" si="1"/>
        <v>155628.00</v>
      </c>
      <c r="I3812" s="14" t="str">
        <f t="shared" si="2"/>
        <v>135023.00</v>
      </c>
      <c r="J3812" s="16" t="str">
        <f>TEXT(Raw_Data!J3812,"MMM-YYY")</f>
        <v>Sep-2025</v>
      </c>
      <c r="K3812" s="13" t="str">
        <f>Raw_Data!K3812</f>
        <v>6</v>
      </c>
      <c r="L3812" s="17" t="str">
        <f>Raw_Data!L3812</f>
        <v>Delhi-North</v>
      </c>
      <c r="M3812" s="13" t="str">
        <f t="shared" si="3"/>
        <v>OK</v>
      </c>
      <c r="N3812" s="18" t="str">
        <f t="shared" si="4"/>
        <v>VALID</v>
      </c>
    </row>
    <row r="3813" ht="15.75" customHeight="1">
      <c r="A3813" s="13" t="str">
        <f>Raw_Data!A3813</f>
        <v>EMP4032</v>
      </c>
      <c r="B3813" s="13" t="str">
        <f>TRIM(CLEAN(Raw_Data!B3813))</f>
        <v>Operations</v>
      </c>
      <c r="C3813" s="18" t="s">
        <v>14</v>
      </c>
      <c r="D3813" s="14" t="str">
        <f>IF(ISBLANK(Raw_Data!D3813),AVERAGE(Raw_Data!D$2:D$5002),Raw_Data!D3813)</f>
        <v>91917.41</v>
      </c>
      <c r="E3813" s="15" t="str">
        <f>IF(ISBLANK(Raw_Data!E3813),AVERAGE(Raw_Data!E$2:E$5002),Raw_Data!E3813)</f>
        <v>32597.17</v>
      </c>
      <c r="F3813" s="15" t="str">
        <f>IF(ISBLANK(Raw_Data!F3813),AVERAGE(Raw_Data!F$2:F$5002),Raw_Data!F3813)</f>
        <v>31137.03</v>
      </c>
      <c r="G3813" s="14" t="str">
        <f>IF(ISBLANK(Raw_Data!G3813),AVERAGE(Raw_Data!G$2:G$5002),Raw_Data!G3813)</f>
        <v>20608.70</v>
      </c>
      <c r="H3813" s="15" t="str">
        <f t="shared" si="1"/>
        <v>155652.00</v>
      </c>
      <c r="I3813" s="14" t="str">
        <f t="shared" si="2"/>
        <v>135043.00</v>
      </c>
      <c r="J3813" s="16" t="str">
        <f>TEXT(Raw_Data!J3813,"MMM-YYY")</f>
        <v>Dec-2025</v>
      </c>
      <c r="K3813" s="13" t="str">
        <f>Raw_Data!K3813</f>
        <v>16</v>
      </c>
      <c r="L3813" s="17" t="str">
        <f>Raw_Data!L3813</f>
        <v>Bangalore-South</v>
      </c>
      <c r="M3813" s="13" t="str">
        <f t="shared" si="3"/>
        <v>OK</v>
      </c>
      <c r="N3813" s="18" t="str">
        <f t="shared" si="4"/>
        <v>VALID</v>
      </c>
    </row>
    <row r="3814" ht="15.75" customHeight="1">
      <c r="A3814" s="13" t="str">
        <f>Raw_Data!A3814</f>
        <v>EMP4033</v>
      </c>
      <c r="B3814" s="13" t="str">
        <f>TRIM(CLEAN(Raw_Data!B3814))</f>
        <v>Finance</v>
      </c>
      <c r="C3814" s="18" t="s">
        <v>14</v>
      </c>
      <c r="D3814" s="14" t="str">
        <f>IF(ISBLANK(Raw_Data!D3814),AVERAGE(Raw_Data!D$2:D$5002),Raw_Data!D3814)</f>
        <v>91928.30</v>
      </c>
      <c r="E3814" s="15" t="str">
        <f>IF(ISBLANK(Raw_Data!E3814),AVERAGE(Raw_Data!E$2:E$5002),Raw_Data!E3814)</f>
        <v>32601.78</v>
      </c>
      <c r="F3814" s="15" t="str">
        <f>IF(ISBLANK(Raw_Data!F3814),AVERAGE(Raw_Data!F$2:F$5002),Raw_Data!F3814)</f>
        <v>31144.71</v>
      </c>
      <c r="G3814" s="14" t="str">
        <f>IF(ISBLANK(Raw_Data!G3814),AVERAGE(Raw_Data!G$2:G$5002),Raw_Data!G3814)</f>
        <v>20612.10</v>
      </c>
      <c r="H3814" s="15" t="str">
        <f t="shared" si="1"/>
        <v>155675.00</v>
      </c>
      <c r="I3814" s="14" t="str">
        <f t="shared" si="2"/>
        <v>135063.00</v>
      </c>
      <c r="J3814" s="16" t="str">
        <f>TEXT(Raw_Data!J3814,"MMM-YYY")</f>
        <v>Jun-2025</v>
      </c>
      <c r="K3814" s="13" t="str">
        <f>Raw_Data!K3814</f>
        <v>3</v>
      </c>
      <c r="L3814" s="17" t="str">
        <f>Raw_Data!L3814</f>
        <v>Chennai-South</v>
      </c>
      <c r="M3814" s="13" t="str">
        <f t="shared" si="3"/>
        <v>OK</v>
      </c>
      <c r="N3814" s="18" t="str">
        <f t="shared" si="4"/>
        <v>VALID</v>
      </c>
    </row>
    <row r="3815" ht="15.75" customHeight="1">
      <c r="A3815" s="13" t="str">
        <f>Raw_Data!A3815</f>
        <v>EMP4034</v>
      </c>
      <c r="B3815" s="13" t="str">
        <f>TRIM(CLEAN(Raw_Data!B3815))</f>
        <v>Customer Support</v>
      </c>
      <c r="C3815" s="18" t="s">
        <v>18</v>
      </c>
      <c r="D3815" s="14" t="str">
        <f>IF(ISBLANK(Raw_Data!D3815),AVERAGE(Raw_Data!D$2:D$5002),Raw_Data!D3815)</f>
        <v>91939.18</v>
      </c>
      <c r="E3815" s="15" t="str">
        <f>IF(ISBLANK(Raw_Data!E3815),AVERAGE(Raw_Data!E$2:E$5002),Raw_Data!E3815)</f>
        <v>32606.40</v>
      </c>
      <c r="F3815" s="15" t="str">
        <f>IF(ISBLANK(Raw_Data!F3815),AVERAGE(Raw_Data!F$2:F$5002),Raw_Data!F3815)</f>
        <v>31152.39</v>
      </c>
      <c r="G3815" s="14" t="str">
        <f>IF(ISBLANK(Raw_Data!G3815),AVERAGE(Raw_Data!G$2:G$5002),Raw_Data!G3815)</f>
        <v>20615.50</v>
      </c>
      <c r="H3815" s="15" t="str">
        <f t="shared" si="1"/>
        <v>155698.00</v>
      </c>
      <c r="I3815" s="14" t="str">
        <f t="shared" si="2"/>
        <v>135083.00</v>
      </c>
      <c r="J3815" s="16" t="str">
        <f>TEXT(Raw_Data!J3815,"MMM-YYY")</f>
        <v>Jul-2025</v>
      </c>
      <c r="K3815" s="13" t="str">
        <f>Raw_Data!K3815</f>
        <v>5</v>
      </c>
      <c r="L3815" s="17" t="str">
        <f>Raw_Data!L3815</f>
        <v>Kolkata-East</v>
      </c>
      <c r="M3815" s="13" t="str">
        <f t="shared" si="3"/>
        <v>OK</v>
      </c>
      <c r="N3815" s="18" t="str">
        <f t="shared" si="4"/>
        <v>VALID</v>
      </c>
    </row>
    <row r="3816" ht="15.75" customHeight="1">
      <c r="A3816" s="13" t="str">
        <f>Raw_Data!A3816</f>
        <v>EMP4036</v>
      </c>
      <c r="B3816" s="13" t="str">
        <f>TRIM(CLEAN(Raw_Data!B3816))</f>
        <v>Finance</v>
      </c>
      <c r="C3816" s="18" t="s">
        <v>37</v>
      </c>
      <c r="D3816" s="14" t="str">
        <f>IF(ISBLANK(Raw_Data!D3816),AVERAGE(Raw_Data!D$2:D$5002),Raw_Data!D3816)</f>
        <v>71831.17</v>
      </c>
      <c r="E3816" s="15" t="str">
        <f>IF(ISBLANK(Raw_Data!E3816),AVERAGE(Raw_Data!E$2:E$5002),Raw_Data!E3816)</f>
        <v>32615.63</v>
      </c>
      <c r="F3816" s="15" t="str">
        <f>IF(ISBLANK(Raw_Data!F3816),AVERAGE(Raw_Data!F$2:F$5002),Raw_Data!F3816)</f>
        <v>31167.75</v>
      </c>
      <c r="G3816" s="14" t="str">
        <f>IF(ISBLANK(Raw_Data!G3816),AVERAGE(Raw_Data!G$2:G$5002),Raw_Data!G3816)</f>
        <v>20622.29</v>
      </c>
      <c r="H3816" s="15" t="str">
        <f t="shared" si="1"/>
        <v>135615.00</v>
      </c>
      <c r="I3816" s="14" t="str">
        <f t="shared" si="2"/>
        <v>114993.00</v>
      </c>
      <c r="J3816" s="16" t="str">
        <f>TEXT(Raw_Data!J3816,"MMM-YYY")</f>
        <v>Sep-2025</v>
      </c>
      <c r="K3816" s="13" t="str">
        <f>Raw_Data!K3816</f>
        <v>10</v>
      </c>
      <c r="L3816" s="17" t="str">
        <f>Raw_Data!L3816</f>
        <v>Hyderabad-South</v>
      </c>
      <c r="M3816" s="13" t="str">
        <f t="shared" si="3"/>
        <v>OK</v>
      </c>
      <c r="N3816" s="18" t="str">
        <f t="shared" si="4"/>
        <v>VALID</v>
      </c>
    </row>
    <row r="3817" ht="15.75" customHeight="1">
      <c r="A3817" s="13" t="str">
        <f>Raw_Data!A3817</f>
        <v>EMP4037</v>
      </c>
      <c r="B3817" s="13" t="str">
        <f>TRIM(CLEAN(Raw_Data!B3817))</f>
        <v>Sales</v>
      </c>
      <c r="C3817" s="18" t="s">
        <v>54</v>
      </c>
      <c r="D3817" s="14" t="str">
        <f>IF(ISBLANK(Raw_Data!D3817),AVERAGE(Raw_Data!D$2:D$5002),Raw_Data!D3817)</f>
        <v>91971.83</v>
      </c>
      <c r="E3817" s="15" t="str">
        <f>IF(ISBLANK(Raw_Data!E3817),AVERAGE(Raw_Data!E$2:E$5002),Raw_Data!E3817)</f>
        <v>32620.24</v>
      </c>
      <c r="F3817" s="15" t="str">
        <f>IF(ISBLANK(Raw_Data!F3817),AVERAGE(Raw_Data!F$2:F$5002),Raw_Data!F3817)</f>
        <v>31175.43</v>
      </c>
      <c r="G3817" s="14" t="str">
        <f>IF(ISBLANK(Raw_Data!G3817),AVERAGE(Raw_Data!G$2:G$5002),Raw_Data!G3817)</f>
        <v>20625.69</v>
      </c>
      <c r="H3817" s="15" t="str">
        <f t="shared" si="1"/>
        <v>155768.00</v>
      </c>
      <c r="I3817" s="14" t="str">
        <f t="shared" si="2"/>
        <v>135142.00</v>
      </c>
      <c r="J3817" s="16" t="str">
        <f>TEXT(Raw_Data!J3817,"MMM-YYY")</f>
        <v>Apr-2025</v>
      </c>
      <c r="K3817" s="13" t="str">
        <f>Raw_Data!K3817</f>
        <v>19</v>
      </c>
      <c r="L3817" s="17" t="str">
        <f>Raw_Data!L3817</f>
        <v>Chandigarh-North</v>
      </c>
      <c r="M3817" s="13" t="str">
        <f t="shared" si="3"/>
        <v>OK</v>
      </c>
      <c r="N3817" s="18" t="str">
        <f t="shared" si="4"/>
        <v>VALID</v>
      </c>
    </row>
    <row r="3818" ht="15.75" customHeight="1">
      <c r="A3818" s="13" t="str">
        <f>Raw_Data!A3818</f>
        <v>EMP4038</v>
      </c>
      <c r="B3818" s="13" t="str">
        <f>TRIM(CLEAN(Raw_Data!B3818))</f>
        <v>Finance</v>
      </c>
      <c r="C3818" s="18" t="s">
        <v>26</v>
      </c>
      <c r="D3818" s="14" t="str">
        <f>IF(ISBLANK(Raw_Data!D3818),AVERAGE(Raw_Data!D$2:D$5002),Raw_Data!D3818)</f>
        <v>91982.71</v>
      </c>
      <c r="E3818" s="15" t="str">
        <f>IF(ISBLANK(Raw_Data!E3818),AVERAGE(Raw_Data!E$2:E$5002),Raw_Data!E3818)</f>
        <v>32624.86</v>
      </c>
      <c r="F3818" s="15" t="str">
        <f>IF(ISBLANK(Raw_Data!F3818),AVERAGE(Raw_Data!F$2:F$5002),Raw_Data!F3818)</f>
        <v>31183.11</v>
      </c>
      <c r="G3818" s="14" t="str">
        <f>IF(ISBLANK(Raw_Data!G3818),AVERAGE(Raw_Data!G$2:G$5002),Raw_Data!G3818)</f>
        <v>20629.09</v>
      </c>
      <c r="H3818" s="15" t="str">
        <f t="shared" si="1"/>
        <v>155791.00</v>
      </c>
      <c r="I3818" s="14" t="str">
        <f t="shared" si="2"/>
        <v>135162.00</v>
      </c>
      <c r="J3818" s="16" t="str">
        <f>TEXT(Raw_Data!J3818,"MMM-YYY")</f>
        <v>Sep-2025</v>
      </c>
      <c r="K3818" s="13" t="str">
        <f>Raw_Data!K3818</f>
        <v>25</v>
      </c>
      <c r="L3818" s="17" t="str">
        <f>Raw_Data!L3818</f>
        <v>Ahmedabad-West</v>
      </c>
      <c r="M3818" s="13" t="str">
        <f t="shared" si="3"/>
        <v>OK</v>
      </c>
      <c r="N3818" s="18" t="str">
        <f t="shared" si="4"/>
        <v>VALID</v>
      </c>
    </row>
    <row r="3819" ht="15.75" customHeight="1">
      <c r="A3819" s="13" t="str">
        <f>Raw_Data!A3819</f>
        <v>EMP4039</v>
      </c>
      <c r="B3819" s="13" t="str">
        <f>TRIM(CLEAN(Raw_Data!B3819))</f>
        <v>IT</v>
      </c>
      <c r="C3819" s="18" t="s">
        <v>14</v>
      </c>
      <c r="D3819" s="14" t="str">
        <f>IF(ISBLANK(Raw_Data!D3819),AVERAGE(Raw_Data!D$2:D$5002),Raw_Data!D3819)</f>
        <v>91993.59</v>
      </c>
      <c r="E3819" s="15" t="str">
        <f>IF(ISBLANK(Raw_Data!E3819),AVERAGE(Raw_Data!E$2:E$5002),Raw_Data!E3819)</f>
        <v>32629.47</v>
      </c>
      <c r="F3819" s="15" t="str">
        <f>IF(ISBLANK(Raw_Data!F3819),AVERAGE(Raw_Data!F$2:F$5002),Raw_Data!F3819)</f>
        <v>31190.79</v>
      </c>
      <c r="G3819" s="14" t="str">
        <f>IF(ISBLANK(Raw_Data!G3819),AVERAGE(Raw_Data!G$2:G$5002),Raw_Data!G3819)</f>
        <v>20632.49</v>
      </c>
      <c r="H3819" s="15" t="str">
        <f t="shared" si="1"/>
        <v>155814.00</v>
      </c>
      <c r="I3819" s="14" t="str">
        <f t="shared" si="2"/>
        <v>135182.00</v>
      </c>
      <c r="J3819" s="16" t="str">
        <f>TEXT(Raw_Data!J3819,"MMM-YYY")</f>
        <v>Oct-2025</v>
      </c>
      <c r="K3819" s="13" t="str">
        <f>Raw_Data!K3819</f>
        <v>2</v>
      </c>
      <c r="L3819" s="17" t="str">
        <f>Raw_Data!L3819</f>
        <v>Jaipur-North</v>
      </c>
      <c r="M3819" s="13" t="str">
        <f t="shared" si="3"/>
        <v>OK</v>
      </c>
      <c r="N3819" s="18" t="str">
        <f t="shared" si="4"/>
        <v>VALID</v>
      </c>
    </row>
    <row r="3820" ht="15.75" customHeight="1">
      <c r="A3820" s="13" t="str">
        <f>Raw_Data!A3820</f>
        <v>EMP4040</v>
      </c>
      <c r="B3820" s="13" t="str">
        <f>TRIM(CLEAN(Raw_Data!B3820))</f>
        <v>Marketing</v>
      </c>
      <c r="C3820" s="18" t="s">
        <v>18</v>
      </c>
      <c r="D3820" s="14" t="str">
        <f>IF(ISBLANK(Raw_Data!D3820),AVERAGE(Raw_Data!D$2:D$5002),Raw_Data!D3820)</f>
        <v>92004.48</v>
      </c>
      <c r="E3820" s="15" t="str">
        <f>IF(ISBLANK(Raw_Data!E3820),AVERAGE(Raw_Data!E$2:E$5002),Raw_Data!E3820)</f>
        <v>32634.09</v>
      </c>
      <c r="F3820" s="15" t="str">
        <f>IF(ISBLANK(Raw_Data!F3820),AVERAGE(Raw_Data!F$2:F$5002),Raw_Data!F3820)</f>
        <v>31198.47</v>
      </c>
      <c r="G3820" s="14" t="str">
        <f>IF(ISBLANK(Raw_Data!G3820),AVERAGE(Raw_Data!G$2:G$5002),Raw_Data!G3820)</f>
        <v>20635.88</v>
      </c>
      <c r="H3820" s="15" t="str">
        <f t="shared" si="1"/>
        <v>155837.00</v>
      </c>
      <c r="I3820" s="14" t="str">
        <f t="shared" si="2"/>
        <v>135201.00</v>
      </c>
      <c r="J3820" s="16" t="str">
        <f>TEXT(Raw_Data!J3820,"MMM-YYY")</f>
        <v>Nov-2025</v>
      </c>
      <c r="K3820" s="13" t="str">
        <f>Raw_Data!K3820</f>
        <v>3</v>
      </c>
      <c r="L3820" s="17" t="str">
        <f>Raw_Data!L3820</f>
        <v>Mumbai-HO</v>
      </c>
      <c r="M3820" s="13" t="str">
        <f t="shared" si="3"/>
        <v>OK</v>
      </c>
      <c r="N3820" s="18" t="str">
        <f t="shared" si="4"/>
        <v>VALID</v>
      </c>
    </row>
    <row r="3821" ht="15.75" customHeight="1">
      <c r="A3821" s="13" t="str">
        <f>Raw_Data!A3821</f>
        <v>EMP4041</v>
      </c>
      <c r="B3821" s="13" t="str">
        <f>TRIM(CLEAN(Raw_Data!B3821))</f>
        <v>IT</v>
      </c>
      <c r="C3821" s="18" t="s">
        <v>54</v>
      </c>
      <c r="D3821" s="14" t="str">
        <f>IF(ISBLANK(Raw_Data!D3821),AVERAGE(Raw_Data!D$2:D$5002),Raw_Data!D3821)</f>
        <v>71831.17</v>
      </c>
      <c r="E3821" s="15" t="str">
        <f>IF(ISBLANK(Raw_Data!E3821),AVERAGE(Raw_Data!E$2:E$5002),Raw_Data!E3821)</f>
        <v>32638.70</v>
      </c>
      <c r="F3821" s="15" t="str">
        <f>IF(ISBLANK(Raw_Data!F3821),AVERAGE(Raw_Data!F$2:F$5002),Raw_Data!F3821)</f>
        <v>31206.15</v>
      </c>
      <c r="G3821" s="14" t="str">
        <f>IF(ISBLANK(Raw_Data!G3821),AVERAGE(Raw_Data!G$2:G$5002),Raw_Data!G3821)</f>
        <v>20639.28</v>
      </c>
      <c r="H3821" s="15" t="str">
        <f t="shared" si="1"/>
        <v>135676.00</v>
      </c>
      <c r="I3821" s="14" t="str">
        <f t="shared" si="2"/>
        <v>115037.00</v>
      </c>
      <c r="J3821" s="16" t="str">
        <f>TEXT(Raw_Data!J3821,"MMM-YYY")</f>
        <v>Jan-2025</v>
      </c>
      <c r="K3821" s="13" t="str">
        <f>Raw_Data!K3821</f>
        <v>21</v>
      </c>
      <c r="L3821" s="17" t="str">
        <f>Raw_Data!L3821</f>
        <v>Delhi-North</v>
      </c>
      <c r="M3821" s="13" t="str">
        <f t="shared" si="3"/>
        <v>OK</v>
      </c>
      <c r="N3821" s="18" t="str">
        <f t="shared" si="4"/>
        <v>VALID</v>
      </c>
    </row>
    <row r="3822" ht="15.75" customHeight="1">
      <c r="A3822" s="13" t="str">
        <f>Raw_Data!A3822</f>
        <v>EMP4042</v>
      </c>
      <c r="B3822" s="13" t="str">
        <f>TRIM(CLEAN(Raw_Data!B3822))</f>
        <v>Sales</v>
      </c>
      <c r="C3822" s="18" t="s">
        <v>26</v>
      </c>
      <c r="D3822" s="14" t="str">
        <f>IF(ISBLANK(Raw_Data!D3822),AVERAGE(Raw_Data!D$2:D$5002),Raw_Data!D3822)</f>
        <v>92026.24</v>
      </c>
      <c r="E3822" s="15" t="str">
        <f>IF(ISBLANK(Raw_Data!E3822),AVERAGE(Raw_Data!E$2:E$5002),Raw_Data!E3822)</f>
        <v>32643.32</v>
      </c>
      <c r="F3822" s="15" t="str">
        <f>IF(ISBLANK(Raw_Data!F3822),AVERAGE(Raw_Data!F$2:F$5002),Raw_Data!F3822)</f>
        <v>31213.83</v>
      </c>
      <c r="G3822" s="14" t="str">
        <f>IF(ISBLANK(Raw_Data!G3822),AVERAGE(Raw_Data!G$2:G$5002),Raw_Data!G3822)</f>
        <v>20642.68</v>
      </c>
      <c r="H3822" s="15" t="str">
        <f t="shared" si="1"/>
        <v>155883.00</v>
      </c>
      <c r="I3822" s="14" t="str">
        <f t="shared" si="2"/>
        <v>135240.00</v>
      </c>
      <c r="J3822" s="16" t="str">
        <f>TEXT(Raw_Data!J3822,"MMM-YYY")</f>
        <v>Aug-2025</v>
      </c>
      <c r="K3822" s="13" t="str">
        <f>Raw_Data!K3822</f>
        <v>21</v>
      </c>
      <c r="L3822" s="17" t="str">
        <f>Raw_Data!L3822</f>
        <v>Bangalore-South</v>
      </c>
      <c r="M3822" s="13" t="str">
        <f t="shared" si="3"/>
        <v>OK</v>
      </c>
      <c r="N3822" s="18" t="str">
        <f t="shared" si="4"/>
        <v>VALID</v>
      </c>
    </row>
    <row r="3823" ht="15.75" customHeight="1">
      <c r="A3823" s="13" t="str">
        <f>Raw_Data!A3823</f>
        <v>EMP4043</v>
      </c>
      <c r="B3823" s="13" t="str">
        <f>TRIM(CLEAN(Raw_Data!B3823))</f>
        <v>HR</v>
      </c>
      <c r="C3823" s="18" t="s">
        <v>26</v>
      </c>
      <c r="D3823" s="14" t="str">
        <f>IF(ISBLANK(Raw_Data!D3823),AVERAGE(Raw_Data!D$2:D$5002),Raw_Data!D3823)</f>
        <v>92037.13</v>
      </c>
      <c r="E3823" s="15" t="str">
        <f>IF(ISBLANK(Raw_Data!E3823),AVERAGE(Raw_Data!E$2:E$5002),Raw_Data!E3823)</f>
        <v>32647.93</v>
      </c>
      <c r="F3823" s="15" t="str">
        <f>IF(ISBLANK(Raw_Data!F3823),AVERAGE(Raw_Data!F$2:F$5002),Raw_Data!F3823)</f>
        <v>31221.51</v>
      </c>
      <c r="G3823" s="14" t="str">
        <f>IF(ISBLANK(Raw_Data!G3823),AVERAGE(Raw_Data!G$2:G$5002),Raw_Data!G3823)</f>
        <v>20646.08</v>
      </c>
      <c r="H3823" s="15" t="str">
        <f t="shared" si="1"/>
        <v>155907.00</v>
      </c>
      <c r="I3823" s="14" t="str">
        <f t="shared" si="2"/>
        <v>135261.00</v>
      </c>
      <c r="J3823" s="16" t="str">
        <f>TEXT(Raw_Data!J3823,"MMM-YYY")</f>
        <v>Sep-2025</v>
      </c>
      <c r="K3823" s="13" t="str">
        <f>Raw_Data!K3823</f>
        <v>9</v>
      </c>
      <c r="L3823" s="17" t="str">
        <f>Raw_Data!L3823</f>
        <v>Chennai-South</v>
      </c>
      <c r="M3823" s="13" t="str">
        <f t="shared" si="3"/>
        <v>OK</v>
      </c>
      <c r="N3823" s="18" t="str">
        <f t="shared" si="4"/>
        <v>VALID</v>
      </c>
    </row>
    <row r="3824" ht="15.75" customHeight="1">
      <c r="A3824" s="13" t="str">
        <f>Raw_Data!A3824</f>
        <v>EMP4044</v>
      </c>
      <c r="B3824" s="13" t="str">
        <f>TRIM(CLEAN(Raw_Data!B3824))</f>
        <v>Operations</v>
      </c>
      <c r="C3824" s="18" t="s">
        <v>54</v>
      </c>
      <c r="D3824" s="14" t="str">
        <f>IF(ISBLANK(Raw_Data!D3824),AVERAGE(Raw_Data!D$2:D$5002),Raw_Data!D3824)</f>
        <v>92048.01</v>
      </c>
      <c r="E3824" s="15" t="str">
        <f>IF(ISBLANK(Raw_Data!E3824),AVERAGE(Raw_Data!E$2:E$5002),Raw_Data!E3824)</f>
        <v>32652.55</v>
      </c>
      <c r="F3824" s="15" t="str">
        <f>IF(ISBLANK(Raw_Data!F3824),AVERAGE(Raw_Data!F$2:F$5002),Raw_Data!F3824)</f>
        <v>31229.19</v>
      </c>
      <c r="G3824" s="14" t="str">
        <f>IF(ISBLANK(Raw_Data!G3824),AVERAGE(Raw_Data!G$2:G$5002),Raw_Data!G3824)</f>
        <v>20649.47</v>
      </c>
      <c r="H3824" s="15" t="str">
        <f t="shared" si="1"/>
        <v>155930.00</v>
      </c>
      <c r="I3824" s="14" t="str">
        <f t="shared" si="2"/>
        <v>135281.00</v>
      </c>
      <c r="J3824" s="16" t="str">
        <f>TEXT(Raw_Data!J3824,"MMM-YYY")</f>
        <v>May-2025</v>
      </c>
      <c r="K3824" s="13" t="str">
        <f>Raw_Data!K3824</f>
        <v>20</v>
      </c>
      <c r="L3824" s="17" t="str">
        <f>Raw_Data!L3824</f>
        <v>Kolkata-East</v>
      </c>
      <c r="M3824" s="13" t="str">
        <f t="shared" si="3"/>
        <v>OK</v>
      </c>
      <c r="N3824" s="18" t="str">
        <f t="shared" si="4"/>
        <v>VALID</v>
      </c>
    </row>
    <row r="3825" ht="15.75" customHeight="1">
      <c r="A3825" s="13" t="str">
        <f>Raw_Data!A3825</f>
        <v>EMP4045</v>
      </c>
      <c r="B3825" s="13" t="str">
        <f>TRIM(CLEAN(Raw_Data!B3825))</f>
        <v>Finance</v>
      </c>
      <c r="C3825" s="18" t="s">
        <v>37</v>
      </c>
      <c r="D3825" s="14" t="str">
        <f>IF(ISBLANK(Raw_Data!D3825),AVERAGE(Raw_Data!D$2:D$5002),Raw_Data!D3825)</f>
        <v>92058.89</v>
      </c>
      <c r="E3825" s="15" t="str">
        <f>IF(ISBLANK(Raw_Data!E3825),AVERAGE(Raw_Data!E$2:E$5002),Raw_Data!E3825)</f>
        <v>32657.16</v>
      </c>
      <c r="F3825" s="15" t="str">
        <f>IF(ISBLANK(Raw_Data!F3825),AVERAGE(Raw_Data!F$2:F$5002),Raw_Data!F3825)</f>
        <v>31236.87</v>
      </c>
      <c r="G3825" s="14" t="str">
        <f>IF(ISBLANK(Raw_Data!G3825),AVERAGE(Raw_Data!G$2:G$5002),Raw_Data!G3825)</f>
        <v>20652.87</v>
      </c>
      <c r="H3825" s="15" t="str">
        <f t="shared" si="1"/>
        <v>155953.00</v>
      </c>
      <c r="I3825" s="14" t="str">
        <f t="shared" si="2"/>
        <v>135300.00</v>
      </c>
      <c r="J3825" s="16" t="str">
        <f>TEXT(Raw_Data!J3825,"MMM-YYY")</f>
        <v>Dec-2025</v>
      </c>
      <c r="K3825" s="13" t="str">
        <f>Raw_Data!K3825</f>
        <v>11</v>
      </c>
      <c r="L3825" s="17" t="str">
        <f>Raw_Data!L3825</f>
        <v>Pune-West</v>
      </c>
      <c r="M3825" s="13" t="str">
        <f t="shared" si="3"/>
        <v>OK</v>
      </c>
      <c r="N3825" s="18" t="str">
        <f t="shared" si="4"/>
        <v>VALID</v>
      </c>
    </row>
    <row r="3826" ht="15.75" customHeight="1">
      <c r="A3826" s="13" t="str">
        <f>Raw_Data!A3826</f>
        <v>EMP4046</v>
      </c>
      <c r="B3826" s="13" t="str">
        <f>TRIM(CLEAN(Raw_Data!B3826))</f>
        <v>Finance</v>
      </c>
      <c r="C3826" s="18" t="s">
        <v>37</v>
      </c>
      <c r="D3826" s="14" t="str">
        <f>IF(ISBLANK(Raw_Data!D3826),AVERAGE(Raw_Data!D$2:D$5002),Raw_Data!D3826)</f>
        <v>92069.78</v>
      </c>
      <c r="E3826" s="15" t="str">
        <f>IF(ISBLANK(Raw_Data!E3826),AVERAGE(Raw_Data!E$2:E$5002),Raw_Data!E3826)</f>
        <v>32661.77</v>
      </c>
      <c r="F3826" s="15" t="str">
        <f>IF(ISBLANK(Raw_Data!F3826),AVERAGE(Raw_Data!F$2:F$5002),Raw_Data!F3826)</f>
        <v>31244.55</v>
      </c>
      <c r="G3826" s="14" t="str">
        <f>IF(ISBLANK(Raw_Data!G3826),AVERAGE(Raw_Data!G$2:G$5002),Raw_Data!G3826)</f>
        <v>20656.27</v>
      </c>
      <c r="H3826" s="15" t="str">
        <f t="shared" si="1"/>
        <v>155976.00</v>
      </c>
      <c r="I3826" s="14" t="str">
        <f t="shared" si="2"/>
        <v>135320.00</v>
      </c>
      <c r="J3826" s="16" t="str">
        <f>TEXT(Raw_Data!J3826,"MMM-YYY")</f>
        <v>Jul-2025</v>
      </c>
      <c r="K3826" s="13" t="str">
        <f>Raw_Data!K3826</f>
        <v>12</v>
      </c>
      <c r="L3826" s="17" t="str">
        <f>Raw_Data!L3826</f>
        <v>Hyderabad-South</v>
      </c>
      <c r="M3826" s="13" t="str">
        <f t="shared" si="3"/>
        <v>OK</v>
      </c>
      <c r="N3826" s="18" t="str">
        <f t="shared" si="4"/>
        <v>VALID</v>
      </c>
    </row>
    <row r="3827" ht="15.75" customHeight="1">
      <c r="A3827" s="13" t="str">
        <f>Raw_Data!A3827</f>
        <v>EMP4047</v>
      </c>
      <c r="B3827" s="13" t="str">
        <f>TRIM(CLEAN(Raw_Data!B3827))</f>
        <v>IT</v>
      </c>
      <c r="C3827" s="18" t="s">
        <v>37</v>
      </c>
      <c r="D3827" s="14" t="str">
        <f>IF(ISBLANK(Raw_Data!D3827),AVERAGE(Raw_Data!D$2:D$5002),Raw_Data!D3827)</f>
        <v>92080.66</v>
      </c>
      <c r="E3827" s="15" t="str">
        <f>IF(ISBLANK(Raw_Data!E3827),AVERAGE(Raw_Data!E$2:E$5002),Raw_Data!E3827)</f>
        <v>32666.39</v>
      </c>
      <c r="F3827" s="15" t="str">
        <f>IF(ISBLANK(Raw_Data!F3827),AVERAGE(Raw_Data!F$2:F$5002),Raw_Data!F3827)</f>
        <v>31252.23</v>
      </c>
      <c r="G3827" s="14" t="str">
        <f>IF(ISBLANK(Raw_Data!G3827),AVERAGE(Raw_Data!G$2:G$5002),Raw_Data!G3827)</f>
        <v>20659.67</v>
      </c>
      <c r="H3827" s="15" t="str">
        <f t="shared" si="1"/>
        <v>155999.00</v>
      </c>
      <c r="I3827" s="14" t="str">
        <f t="shared" si="2"/>
        <v>135339.00</v>
      </c>
      <c r="J3827" s="16" t="str">
        <f>TEXT(Raw_Data!J3827,"MMM-YYY")</f>
        <v>Sep-2025</v>
      </c>
      <c r="K3827" s="13" t="str">
        <f>Raw_Data!K3827</f>
        <v>22</v>
      </c>
      <c r="L3827" s="17" t="str">
        <f>Raw_Data!L3827</f>
        <v>Chandigarh-North</v>
      </c>
      <c r="M3827" s="13" t="str">
        <f t="shared" si="3"/>
        <v>OK</v>
      </c>
      <c r="N3827" s="18" t="str">
        <f t="shared" si="4"/>
        <v>VALID</v>
      </c>
    </row>
    <row r="3828" ht="15.75" customHeight="1">
      <c r="A3828" s="13" t="str">
        <f>Raw_Data!A3828</f>
        <v>EMP4048</v>
      </c>
      <c r="B3828" s="13" t="str">
        <f>TRIM(CLEAN(Raw_Data!B3828))</f>
        <v>IT</v>
      </c>
      <c r="C3828" s="18" t="s">
        <v>26</v>
      </c>
      <c r="D3828" s="14" t="str">
        <f>IF(ISBLANK(Raw_Data!D3828),AVERAGE(Raw_Data!D$2:D$5002),Raw_Data!D3828)</f>
        <v>92091.54</v>
      </c>
      <c r="E3828" s="15" t="str">
        <f>IF(ISBLANK(Raw_Data!E3828),AVERAGE(Raw_Data!E$2:E$5002),Raw_Data!E3828)</f>
        <v>32671.00</v>
      </c>
      <c r="F3828" s="15" t="str">
        <f>IF(ISBLANK(Raw_Data!F3828),AVERAGE(Raw_Data!F$2:F$5002),Raw_Data!F3828)</f>
        <v>31259.91</v>
      </c>
      <c r="G3828" s="14" t="str">
        <f>IF(ISBLANK(Raw_Data!G3828),AVERAGE(Raw_Data!G$2:G$5002),Raw_Data!G3828)</f>
        <v>20663.06</v>
      </c>
      <c r="H3828" s="15" t="str">
        <f t="shared" si="1"/>
        <v>156022.00</v>
      </c>
      <c r="I3828" s="14" t="str">
        <f t="shared" si="2"/>
        <v>135359.00</v>
      </c>
      <c r="J3828" s="16" t="str">
        <f>TEXT(Raw_Data!J3828,"MMM-YYY")</f>
        <v>Apr-2025</v>
      </c>
      <c r="K3828" s="13" t="str">
        <f>Raw_Data!K3828</f>
        <v>15</v>
      </c>
      <c r="L3828" s="17" t="str">
        <f>Raw_Data!L3828</f>
        <v>Ahmedabad-West</v>
      </c>
      <c r="M3828" s="13" t="str">
        <f t="shared" si="3"/>
        <v>OK</v>
      </c>
      <c r="N3828" s="18" t="str">
        <f t="shared" si="4"/>
        <v>VALID</v>
      </c>
    </row>
    <row r="3829" ht="15.75" customHeight="1">
      <c r="A3829" s="13" t="str">
        <f>Raw_Data!A3829</f>
        <v>EMP4049</v>
      </c>
      <c r="B3829" s="13" t="str">
        <f>TRIM(CLEAN(Raw_Data!B3829))</f>
        <v>Marketing</v>
      </c>
      <c r="C3829" s="18" t="s">
        <v>26</v>
      </c>
      <c r="D3829" s="14" t="str">
        <f>IF(ISBLANK(Raw_Data!D3829),AVERAGE(Raw_Data!D$2:D$5002),Raw_Data!D3829)</f>
        <v>92102.42</v>
      </c>
      <c r="E3829" s="15" t="str">
        <f>IF(ISBLANK(Raw_Data!E3829),AVERAGE(Raw_Data!E$2:E$5002),Raw_Data!E3829)</f>
        <v>32675.62</v>
      </c>
      <c r="F3829" s="15" t="str">
        <f>IF(ISBLANK(Raw_Data!F3829),AVERAGE(Raw_Data!F$2:F$5002),Raw_Data!F3829)</f>
        <v>31267.59</v>
      </c>
      <c r="G3829" s="14" t="str">
        <f>IF(ISBLANK(Raw_Data!G3829),AVERAGE(Raw_Data!G$2:G$5002),Raw_Data!G3829)</f>
        <v>20666.46</v>
      </c>
      <c r="H3829" s="15" t="str">
        <f t="shared" si="1"/>
        <v>156046.00</v>
      </c>
      <c r="I3829" s="14" t="str">
        <f t="shared" si="2"/>
        <v>135380.00</v>
      </c>
      <c r="J3829" s="16" t="str">
        <f>TEXT(Raw_Data!J3829,"MMM-YYY")</f>
        <v>Nov-2025</v>
      </c>
      <c r="K3829" s="13" t="str">
        <f>Raw_Data!K3829</f>
        <v>3</v>
      </c>
      <c r="L3829" s="17" t="str">
        <f>Raw_Data!L3829</f>
        <v>Jaipur-North</v>
      </c>
      <c r="M3829" s="13" t="str">
        <f t="shared" si="3"/>
        <v>OK</v>
      </c>
      <c r="N3829" s="18" t="str">
        <f t="shared" si="4"/>
        <v>VALID</v>
      </c>
    </row>
    <row r="3830" ht="15.75" customHeight="1">
      <c r="A3830" s="13" t="str">
        <f>Raw_Data!A3830</f>
        <v>EMP4050</v>
      </c>
      <c r="B3830" s="13" t="str">
        <f>TRIM(CLEAN(Raw_Data!B3830))</f>
        <v>HR</v>
      </c>
      <c r="C3830" s="18" t="s">
        <v>33</v>
      </c>
      <c r="D3830" s="14" t="str">
        <f>IF(ISBLANK(Raw_Data!D3830),AVERAGE(Raw_Data!D$2:D$5002),Raw_Data!D3830)</f>
        <v>92113.31</v>
      </c>
      <c r="E3830" s="15" t="str">
        <f>IF(ISBLANK(Raw_Data!E3830),AVERAGE(Raw_Data!E$2:E$5002),Raw_Data!E3830)</f>
        <v>32680.23</v>
      </c>
      <c r="F3830" s="15" t="str">
        <f>IF(ISBLANK(Raw_Data!F3830),AVERAGE(Raw_Data!F$2:F$5002),Raw_Data!F3830)</f>
        <v>31275.27</v>
      </c>
      <c r="G3830" s="14" t="str">
        <f>IF(ISBLANK(Raw_Data!G3830),AVERAGE(Raw_Data!G$2:G$5002),Raw_Data!G3830)</f>
        <v>20669.86</v>
      </c>
      <c r="H3830" s="15" t="str">
        <f t="shared" si="1"/>
        <v>156069.00</v>
      </c>
      <c r="I3830" s="14" t="str">
        <f t="shared" si="2"/>
        <v>135399.00</v>
      </c>
      <c r="J3830" s="16" t="str">
        <f>TEXT(Raw_Data!J3830,"MMM-YYY")</f>
        <v>Dec-2025</v>
      </c>
      <c r="K3830" s="13" t="str">
        <f>Raw_Data!K3830</f>
        <v>12</v>
      </c>
      <c r="L3830" s="17" t="str">
        <f>Raw_Data!L3830</f>
        <v>Mumbai-HO</v>
      </c>
      <c r="M3830" s="13" t="str">
        <f t="shared" si="3"/>
        <v>OK</v>
      </c>
      <c r="N3830" s="18" t="str">
        <f t="shared" si="4"/>
        <v>VALID</v>
      </c>
    </row>
    <row r="3831" ht="15.75" customHeight="1">
      <c r="A3831" s="13" t="str">
        <f>Raw_Data!A3831</f>
        <v>EMP4051</v>
      </c>
      <c r="B3831" s="13" t="str">
        <f>TRIM(CLEAN(Raw_Data!B3831))</f>
        <v>Operations</v>
      </c>
      <c r="C3831" s="18" t="s">
        <v>18</v>
      </c>
      <c r="D3831" s="14" t="str">
        <f>IF(ISBLANK(Raw_Data!D3831),AVERAGE(Raw_Data!D$2:D$5002),Raw_Data!D3831)</f>
        <v>92124.19</v>
      </c>
      <c r="E3831" s="15" t="str">
        <f>IF(ISBLANK(Raw_Data!E3831),AVERAGE(Raw_Data!E$2:E$5002),Raw_Data!E3831)</f>
        <v>32684.85</v>
      </c>
      <c r="F3831" s="15" t="str">
        <f>IF(ISBLANK(Raw_Data!F3831),AVERAGE(Raw_Data!F$2:F$5002),Raw_Data!F3831)</f>
        <v>31282.95</v>
      </c>
      <c r="G3831" s="14" t="str">
        <f>IF(ISBLANK(Raw_Data!G3831),AVERAGE(Raw_Data!G$2:G$5002),Raw_Data!G3831)</f>
        <v>20673.26</v>
      </c>
      <c r="H3831" s="15" t="str">
        <f t="shared" si="1"/>
        <v>156092.00</v>
      </c>
      <c r="I3831" s="14" t="str">
        <f t="shared" si="2"/>
        <v>135419.00</v>
      </c>
      <c r="J3831" s="16" t="str">
        <f>TEXT(Raw_Data!J3831,"MMM-YYY")</f>
        <v>Dec-2025</v>
      </c>
      <c r="K3831" s="13" t="str">
        <f>Raw_Data!K3831</f>
        <v>20</v>
      </c>
      <c r="L3831" s="17" t="str">
        <f>Raw_Data!L3831</f>
        <v>Delhi-North</v>
      </c>
      <c r="M3831" s="13" t="str">
        <f t="shared" si="3"/>
        <v>OK</v>
      </c>
      <c r="N3831" s="18" t="str">
        <f t="shared" si="4"/>
        <v>VALID</v>
      </c>
    </row>
    <row r="3832" ht="15.75" customHeight="1">
      <c r="A3832" s="13" t="str">
        <f>Raw_Data!A3832</f>
        <v>EMP4052</v>
      </c>
      <c r="B3832" s="13" t="str">
        <f>TRIM(CLEAN(Raw_Data!B3832))</f>
        <v>Marketing</v>
      </c>
      <c r="C3832" s="18" t="s">
        <v>18</v>
      </c>
      <c r="D3832" s="14" t="str">
        <f>IF(ISBLANK(Raw_Data!D3832),AVERAGE(Raw_Data!D$2:D$5002),Raw_Data!D3832)</f>
        <v>92135.07</v>
      </c>
      <c r="E3832" s="15" t="str">
        <f>IF(ISBLANK(Raw_Data!E3832),AVERAGE(Raw_Data!E$2:E$5002),Raw_Data!E3832)</f>
        <v>32689.46</v>
      </c>
      <c r="F3832" s="15" t="str">
        <f>IF(ISBLANK(Raw_Data!F3832),AVERAGE(Raw_Data!F$2:F$5002),Raw_Data!F3832)</f>
        <v>31290.63</v>
      </c>
      <c r="G3832" s="14" t="str">
        <f>IF(ISBLANK(Raw_Data!G3832),AVERAGE(Raw_Data!G$2:G$5002),Raw_Data!G3832)</f>
        <v>20676.65</v>
      </c>
      <c r="H3832" s="15" t="str">
        <f t="shared" si="1"/>
        <v>156115.00</v>
      </c>
      <c r="I3832" s="14" t="str">
        <f t="shared" si="2"/>
        <v>135438.00</v>
      </c>
      <c r="J3832" s="16" t="str">
        <f>TEXT(Raw_Data!J3832,"MMM-YYY")</f>
        <v>Jan-2025</v>
      </c>
      <c r="K3832" s="13" t="str">
        <f>Raw_Data!K3832</f>
        <v>25</v>
      </c>
      <c r="L3832" s="17" t="str">
        <f>Raw_Data!L3832</f>
        <v>Bangalore-South</v>
      </c>
      <c r="M3832" s="13" t="str">
        <f t="shared" si="3"/>
        <v>OK</v>
      </c>
      <c r="N3832" s="18" t="str">
        <f t="shared" si="4"/>
        <v>VALID</v>
      </c>
    </row>
    <row r="3833" ht="15.75" customHeight="1">
      <c r="A3833" s="13" t="str">
        <f>Raw_Data!A3833</f>
        <v>EMP4053</v>
      </c>
      <c r="B3833" s="13" t="str">
        <f>TRIM(CLEAN(Raw_Data!B3833))</f>
        <v>IT</v>
      </c>
      <c r="C3833" s="18" t="s">
        <v>37</v>
      </c>
      <c r="D3833" s="14" t="str">
        <f>IF(ISBLANK(Raw_Data!D3833),AVERAGE(Raw_Data!D$2:D$5002),Raw_Data!D3833)</f>
        <v>92145.96</v>
      </c>
      <c r="E3833" s="15" t="str">
        <f>IF(ISBLANK(Raw_Data!E3833),AVERAGE(Raw_Data!E$2:E$5002),Raw_Data!E3833)</f>
        <v>32694.08</v>
      </c>
      <c r="F3833" s="15" t="str">
        <f>IF(ISBLANK(Raw_Data!F3833),AVERAGE(Raw_Data!F$2:F$5002),Raw_Data!F3833)</f>
        <v>31298.31</v>
      </c>
      <c r="G3833" s="14" t="str">
        <f>IF(ISBLANK(Raw_Data!G3833),AVERAGE(Raw_Data!G$2:G$5002),Raw_Data!G3833)</f>
        <v>20680.05</v>
      </c>
      <c r="H3833" s="15" t="str">
        <f t="shared" si="1"/>
        <v>156138.00</v>
      </c>
      <c r="I3833" s="14" t="str">
        <f t="shared" si="2"/>
        <v>135458.00</v>
      </c>
      <c r="J3833" s="16" t="str">
        <f>TEXT(Raw_Data!J3833,"MMM-YYY")</f>
        <v>Jan-2025</v>
      </c>
      <c r="K3833" s="13" t="str">
        <f>Raw_Data!K3833</f>
        <v>15</v>
      </c>
      <c r="L3833" s="17" t="str">
        <f>Raw_Data!L3833</f>
        <v>Chennai-South</v>
      </c>
      <c r="M3833" s="13" t="str">
        <f t="shared" si="3"/>
        <v>OK</v>
      </c>
      <c r="N3833" s="18" t="str">
        <f t="shared" si="4"/>
        <v>VALID</v>
      </c>
    </row>
    <row r="3834" ht="15.75" customHeight="1">
      <c r="A3834" s="13" t="str">
        <f>Raw_Data!A3834</f>
        <v>EMP4054</v>
      </c>
      <c r="B3834" s="13" t="str">
        <f>TRIM(CLEAN(Raw_Data!B3834))</f>
        <v>Marketing</v>
      </c>
      <c r="C3834" s="18" t="s">
        <v>54</v>
      </c>
      <c r="D3834" s="14" t="str">
        <f>IF(ISBLANK(Raw_Data!D3834),AVERAGE(Raw_Data!D$2:D$5002),Raw_Data!D3834)</f>
        <v>92156.84</v>
      </c>
      <c r="E3834" s="15" t="str">
        <f>IF(ISBLANK(Raw_Data!E3834),AVERAGE(Raw_Data!E$2:E$5002),Raw_Data!E3834)</f>
        <v>32698.69</v>
      </c>
      <c r="F3834" s="15" t="str">
        <f>IF(ISBLANK(Raw_Data!F3834),AVERAGE(Raw_Data!F$2:F$5002),Raw_Data!F3834)</f>
        <v>31305.99</v>
      </c>
      <c r="G3834" s="14" t="str">
        <f>IF(ISBLANK(Raw_Data!G3834),AVERAGE(Raw_Data!G$2:G$5002),Raw_Data!G3834)</f>
        <v>20683.45</v>
      </c>
      <c r="H3834" s="15" t="str">
        <f t="shared" si="1"/>
        <v>156162.00</v>
      </c>
      <c r="I3834" s="14" t="str">
        <f t="shared" si="2"/>
        <v>135479.00</v>
      </c>
      <c r="J3834" s="16" t="str">
        <f>TEXT(Raw_Data!J3834,"MMM-YYY")</f>
        <v>Dec-2025</v>
      </c>
      <c r="K3834" s="13" t="str">
        <f>Raw_Data!K3834</f>
        <v>14</v>
      </c>
      <c r="L3834" s="17" t="str">
        <f>Raw_Data!L3834</f>
        <v>Kolkata-East</v>
      </c>
      <c r="M3834" s="13" t="str">
        <f t="shared" si="3"/>
        <v>OK</v>
      </c>
      <c r="N3834" s="18" t="str">
        <f t="shared" si="4"/>
        <v>VALID</v>
      </c>
    </row>
    <row r="3835" ht="15.75" customHeight="1">
      <c r="A3835" s="13" t="str">
        <f>Raw_Data!A3835</f>
        <v>EMP4055</v>
      </c>
      <c r="B3835" s="13" t="str">
        <f>TRIM(CLEAN(Raw_Data!B3835))</f>
        <v>Operations</v>
      </c>
      <c r="C3835" s="18" t="s">
        <v>26</v>
      </c>
      <c r="D3835" s="14" t="str">
        <f>IF(ISBLANK(Raw_Data!D3835),AVERAGE(Raw_Data!D$2:D$5002),Raw_Data!D3835)</f>
        <v>92167.72</v>
      </c>
      <c r="E3835" s="15" t="str">
        <f>IF(ISBLANK(Raw_Data!E3835),AVERAGE(Raw_Data!E$2:E$5002),Raw_Data!E3835)</f>
        <v>32703.31</v>
      </c>
      <c r="F3835" s="15" t="str">
        <f>IF(ISBLANK(Raw_Data!F3835),AVERAGE(Raw_Data!F$2:F$5002),Raw_Data!F3835)</f>
        <v>31313.67</v>
      </c>
      <c r="G3835" s="14" t="str">
        <f>IF(ISBLANK(Raw_Data!G3835),AVERAGE(Raw_Data!G$2:G$5002),Raw_Data!G3835)</f>
        <v>20686.85</v>
      </c>
      <c r="H3835" s="15" t="str">
        <f t="shared" si="1"/>
        <v>156185.00</v>
      </c>
      <c r="I3835" s="14" t="str">
        <f t="shared" si="2"/>
        <v>135498.00</v>
      </c>
      <c r="J3835" s="16" t="str">
        <f>TEXT(Raw_Data!J3835,"MMM-YYY")</f>
        <v>Nov-2025</v>
      </c>
      <c r="K3835" s="13" t="str">
        <f>Raw_Data!K3835</f>
        <v>15</v>
      </c>
      <c r="L3835" s="17" t="str">
        <f>Raw_Data!L3835</f>
        <v>Pune-West</v>
      </c>
      <c r="M3835" s="13" t="str">
        <f t="shared" si="3"/>
        <v>OK</v>
      </c>
      <c r="N3835" s="18" t="str">
        <f t="shared" si="4"/>
        <v>VALID</v>
      </c>
    </row>
    <row r="3836" ht="15.75" customHeight="1">
      <c r="A3836" s="13" t="str">
        <f>Raw_Data!A3836</f>
        <v>EMP4056</v>
      </c>
      <c r="B3836" s="13" t="s">
        <v>36</v>
      </c>
      <c r="C3836" s="18" t="s">
        <v>14</v>
      </c>
      <c r="D3836" s="14" t="str">
        <f>IF(ISBLANK(Raw_Data!D3836),AVERAGE(Raw_Data!D$2:D$5002),Raw_Data!D3836)</f>
        <v>92178.61</v>
      </c>
      <c r="E3836" s="15" t="str">
        <f>IF(ISBLANK(Raw_Data!E3836),AVERAGE(Raw_Data!E$2:E$5002),Raw_Data!E3836)</f>
        <v>32707.92</v>
      </c>
      <c r="F3836" s="15" t="str">
        <f>IF(ISBLANK(Raw_Data!F3836),AVERAGE(Raw_Data!F$2:F$5002),Raw_Data!F3836)</f>
        <v>31321.35</v>
      </c>
      <c r="G3836" s="14" t="str">
        <f>IF(ISBLANK(Raw_Data!G3836),AVERAGE(Raw_Data!G$2:G$5002),Raw_Data!G3836)</f>
        <v>20690.24</v>
      </c>
      <c r="H3836" s="15" t="str">
        <f t="shared" si="1"/>
        <v>156208.00</v>
      </c>
      <c r="I3836" s="14" t="str">
        <f t="shared" si="2"/>
        <v>135518.00</v>
      </c>
      <c r="J3836" s="16" t="str">
        <f>TEXT(Raw_Data!J3836,"MMM-YYY")</f>
        <v>Sep-2025</v>
      </c>
      <c r="K3836" s="13" t="str">
        <f>Raw_Data!K3836</f>
        <v>19</v>
      </c>
      <c r="L3836" s="17" t="str">
        <f>Raw_Data!L3836</f>
        <v>Hyderabad-South</v>
      </c>
      <c r="M3836" s="13" t="str">
        <f t="shared" si="3"/>
        <v>OK</v>
      </c>
      <c r="N3836" s="18" t="str">
        <f t="shared" si="4"/>
        <v>VALID</v>
      </c>
    </row>
    <row r="3837" ht="15.75" customHeight="1">
      <c r="A3837" s="13" t="str">
        <f>Raw_Data!A3837</f>
        <v>EMP4057</v>
      </c>
      <c r="B3837" s="13" t="str">
        <f>TRIM(CLEAN(Raw_Data!B3837))</f>
        <v>Customer Support</v>
      </c>
      <c r="C3837" s="18" t="s">
        <v>26</v>
      </c>
      <c r="D3837" s="14" t="str">
        <f>IF(ISBLANK(Raw_Data!D3837),AVERAGE(Raw_Data!D$2:D$5002),Raw_Data!D3837)</f>
        <v>92189.49</v>
      </c>
      <c r="E3837" s="15" t="str">
        <f>IF(ISBLANK(Raw_Data!E3837),AVERAGE(Raw_Data!E$2:E$5002),Raw_Data!E3837)</f>
        <v>32712.54</v>
      </c>
      <c r="F3837" s="15" t="str">
        <f>IF(ISBLANK(Raw_Data!F3837),AVERAGE(Raw_Data!F$2:F$5002),Raw_Data!F3837)</f>
        <v>31329.03</v>
      </c>
      <c r="G3837" s="14" t="str">
        <f>IF(ISBLANK(Raw_Data!G3837),AVERAGE(Raw_Data!G$2:G$5002),Raw_Data!G3837)</f>
        <v>20693.64</v>
      </c>
      <c r="H3837" s="15" t="str">
        <f t="shared" si="1"/>
        <v>156231.00</v>
      </c>
      <c r="I3837" s="14" t="str">
        <f t="shared" si="2"/>
        <v>135537.00</v>
      </c>
      <c r="J3837" s="16" t="str">
        <f>TEXT(Raw_Data!J3837,"MMM-YYY")</f>
        <v>May-2025</v>
      </c>
      <c r="K3837" s="13" t="str">
        <f>Raw_Data!K3837</f>
        <v>16</v>
      </c>
      <c r="L3837" s="17" t="str">
        <f>Raw_Data!L3837</f>
        <v>Chandigarh-North</v>
      </c>
      <c r="M3837" s="13" t="str">
        <f t="shared" si="3"/>
        <v>OK</v>
      </c>
      <c r="N3837" s="18" t="str">
        <f t="shared" si="4"/>
        <v>VALID</v>
      </c>
    </row>
    <row r="3838" ht="15.75" customHeight="1">
      <c r="A3838" s="13" t="str">
        <f>Raw_Data!A3838</f>
        <v>EMP4058</v>
      </c>
      <c r="B3838" s="13" t="str">
        <f>TRIM(CLEAN(Raw_Data!B3838))</f>
        <v>Finance</v>
      </c>
      <c r="C3838" s="18" t="s">
        <v>14</v>
      </c>
      <c r="D3838" s="14" t="str">
        <f>IF(ISBLANK(Raw_Data!D3838),AVERAGE(Raw_Data!D$2:D$5002),Raw_Data!D3838)</f>
        <v>92200.37</v>
      </c>
      <c r="E3838" s="15" t="str">
        <f>IF(ISBLANK(Raw_Data!E3838),AVERAGE(Raw_Data!E$2:E$5002),Raw_Data!E3838)</f>
        <v>32717.15</v>
      </c>
      <c r="F3838" s="15" t="str">
        <f>IF(ISBLANK(Raw_Data!F3838),AVERAGE(Raw_Data!F$2:F$5002),Raw_Data!F3838)</f>
        <v>31336.71</v>
      </c>
      <c r="G3838" s="14" t="str">
        <f>IF(ISBLANK(Raw_Data!G3838),AVERAGE(Raw_Data!G$2:G$5002),Raw_Data!G3838)</f>
        <v>20697.04</v>
      </c>
      <c r="H3838" s="15" t="str">
        <f t="shared" si="1"/>
        <v>156254.00</v>
      </c>
      <c r="I3838" s="14" t="str">
        <f t="shared" si="2"/>
        <v>135557.00</v>
      </c>
      <c r="J3838" s="16" t="str">
        <f>TEXT(Raw_Data!J3838,"MMM-YYY")</f>
        <v>Mar-2025</v>
      </c>
      <c r="K3838" s="13" t="str">
        <f>Raw_Data!K3838</f>
        <v>2</v>
      </c>
      <c r="L3838" s="17" t="str">
        <f>Raw_Data!L3838</f>
        <v>Ahmedabad-West</v>
      </c>
      <c r="M3838" s="13" t="str">
        <f t="shared" si="3"/>
        <v>OK</v>
      </c>
      <c r="N3838" s="18" t="str">
        <f t="shared" si="4"/>
        <v>VALID</v>
      </c>
    </row>
    <row r="3839" ht="15.75" customHeight="1">
      <c r="A3839" s="13" t="str">
        <f>Raw_Data!A3839</f>
        <v>EMP4059</v>
      </c>
      <c r="B3839" s="13" t="str">
        <f>TRIM(CLEAN(Raw_Data!B3839))</f>
        <v>Sales</v>
      </c>
      <c r="C3839" s="18" t="s">
        <v>26</v>
      </c>
      <c r="D3839" s="14" t="str">
        <f>IF(ISBLANK(Raw_Data!D3839),AVERAGE(Raw_Data!D$2:D$5002),Raw_Data!D3839)</f>
        <v>92211.25</v>
      </c>
      <c r="E3839" s="15" t="str">
        <f>IF(ISBLANK(Raw_Data!E3839),AVERAGE(Raw_Data!E$2:E$5002),Raw_Data!E3839)</f>
        <v>32721.77</v>
      </c>
      <c r="F3839" s="15" t="str">
        <f>IF(ISBLANK(Raw_Data!F3839),AVERAGE(Raw_Data!F$2:F$5002),Raw_Data!F3839)</f>
        <v>31344.39</v>
      </c>
      <c r="G3839" s="14" t="str">
        <f>IF(ISBLANK(Raw_Data!G3839),AVERAGE(Raw_Data!G$2:G$5002),Raw_Data!G3839)</f>
        <v>20700.44</v>
      </c>
      <c r="H3839" s="15" t="str">
        <f t="shared" si="1"/>
        <v>156277.00</v>
      </c>
      <c r="I3839" s="14" t="str">
        <f t="shared" si="2"/>
        <v>135577.00</v>
      </c>
      <c r="J3839" s="16" t="str">
        <f>TEXT(Raw_Data!J3839,"MMM-YYY")</f>
        <v>May-2025</v>
      </c>
      <c r="K3839" s="13" t="str">
        <f>Raw_Data!K3839</f>
        <v>23</v>
      </c>
      <c r="L3839" s="17" t="str">
        <f>Raw_Data!L3839</f>
        <v>Jaipur-North</v>
      </c>
      <c r="M3839" s="13" t="str">
        <f t="shared" si="3"/>
        <v>OK</v>
      </c>
      <c r="N3839" s="18" t="str">
        <f t="shared" si="4"/>
        <v>VALID</v>
      </c>
    </row>
    <row r="3840" ht="15.75" customHeight="1">
      <c r="A3840" s="13" t="str">
        <f>Raw_Data!A3840</f>
        <v>EMP4060</v>
      </c>
      <c r="B3840" s="13" t="str">
        <f>TRIM(CLEAN(Raw_Data!B3840))</f>
        <v>Operations</v>
      </c>
      <c r="C3840" s="18" t="s">
        <v>30</v>
      </c>
      <c r="D3840" s="14" t="str">
        <f>IF(ISBLANK(Raw_Data!D3840),AVERAGE(Raw_Data!D$2:D$5002),Raw_Data!D3840)</f>
        <v>92222.14</v>
      </c>
      <c r="E3840" s="15" t="str">
        <f>IF(ISBLANK(Raw_Data!E3840),AVERAGE(Raw_Data!E$2:E$5002),Raw_Data!E3840)</f>
        <v>32726.38</v>
      </c>
      <c r="F3840" s="15" t="str">
        <f>IF(ISBLANK(Raw_Data!F3840),AVERAGE(Raw_Data!F$2:F$5002),Raw_Data!F3840)</f>
        <v>31352.07</v>
      </c>
      <c r="G3840" s="14" t="str">
        <f>IF(ISBLANK(Raw_Data!G3840),AVERAGE(Raw_Data!G$2:G$5002),Raw_Data!G3840)</f>
        <v>20703.83</v>
      </c>
      <c r="H3840" s="15" t="str">
        <f t="shared" si="1"/>
        <v>156301.00</v>
      </c>
      <c r="I3840" s="14" t="str">
        <f t="shared" si="2"/>
        <v>135597.00</v>
      </c>
      <c r="J3840" s="16" t="str">
        <f>TEXT(Raw_Data!J3840,"MMM-YYY")</f>
        <v>Jul-2025</v>
      </c>
      <c r="K3840" s="13" t="str">
        <f>Raw_Data!K3840</f>
        <v>8</v>
      </c>
      <c r="L3840" s="17" t="str">
        <f>Raw_Data!L3840</f>
        <v>Mumbai-HO</v>
      </c>
      <c r="M3840" s="13" t="str">
        <f t="shared" si="3"/>
        <v>OK</v>
      </c>
      <c r="N3840" s="18" t="str">
        <f t="shared" si="4"/>
        <v>VALID</v>
      </c>
    </row>
    <row r="3841" ht="15.75" customHeight="1">
      <c r="A3841" s="13" t="str">
        <f>Raw_Data!A3841</f>
        <v>EMP4061</v>
      </c>
      <c r="B3841" s="13" t="str">
        <f>TRIM(CLEAN(Raw_Data!B3841))</f>
        <v>HR</v>
      </c>
      <c r="C3841" s="18" t="s">
        <v>18</v>
      </c>
      <c r="D3841" s="14" t="str">
        <f>IF(ISBLANK(Raw_Data!D3841),AVERAGE(Raw_Data!D$2:D$5002),Raw_Data!D3841)</f>
        <v>92233.02</v>
      </c>
      <c r="E3841" s="15" t="str">
        <f>IF(ISBLANK(Raw_Data!E3841),AVERAGE(Raw_Data!E$2:E$5002),Raw_Data!E3841)</f>
        <v>32731.00</v>
      </c>
      <c r="F3841" s="15" t="str">
        <f>IF(ISBLANK(Raw_Data!F3841),AVERAGE(Raw_Data!F$2:F$5002),Raw_Data!F3841)</f>
        <v>31359.75</v>
      </c>
      <c r="G3841" s="14" t="str">
        <f>IF(ISBLANK(Raw_Data!G3841),AVERAGE(Raw_Data!G$2:G$5002),Raw_Data!G3841)</f>
        <v>20707.23</v>
      </c>
      <c r="H3841" s="15" t="str">
        <f t="shared" si="1"/>
        <v>156324.00</v>
      </c>
      <c r="I3841" s="14" t="str">
        <f t="shared" si="2"/>
        <v>135617.00</v>
      </c>
      <c r="J3841" s="16" t="str">
        <f>TEXT(Raw_Data!J3841,"MMM-YYY")</f>
        <v>Feb-2025</v>
      </c>
      <c r="K3841" s="13" t="str">
        <f>Raw_Data!K3841</f>
        <v>22</v>
      </c>
      <c r="L3841" s="17" t="str">
        <f>Raw_Data!L3841</f>
        <v>Delhi-North</v>
      </c>
      <c r="M3841" s="13" t="str">
        <f t="shared" si="3"/>
        <v>OK</v>
      </c>
      <c r="N3841" s="18" t="str">
        <f t="shared" si="4"/>
        <v>VALID</v>
      </c>
    </row>
    <row r="3842" ht="15.75" customHeight="1">
      <c r="A3842" s="13" t="str">
        <f>Raw_Data!A3842</f>
        <v>EMP4062</v>
      </c>
      <c r="B3842" s="13" t="str">
        <f>TRIM(CLEAN(Raw_Data!B3842))</f>
        <v>HR</v>
      </c>
      <c r="C3842" s="18" t="s">
        <v>37</v>
      </c>
      <c r="D3842" s="14" t="str">
        <f>IF(ISBLANK(Raw_Data!D3842),AVERAGE(Raw_Data!D$2:D$5002),Raw_Data!D3842)</f>
        <v>92243.90</v>
      </c>
      <c r="E3842" s="15" t="str">
        <f>IF(ISBLANK(Raw_Data!E3842),AVERAGE(Raw_Data!E$2:E$5002),Raw_Data!E3842)</f>
        <v>32735.61</v>
      </c>
      <c r="F3842" s="15" t="str">
        <f>IF(ISBLANK(Raw_Data!F3842),AVERAGE(Raw_Data!F$2:F$5002),Raw_Data!F3842)</f>
        <v>31367.43</v>
      </c>
      <c r="G3842" s="14" t="str">
        <f>IF(ISBLANK(Raw_Data!G3842),AVERAGE(Raw_Data!G$2:G$5002),Raw_Data!G3842)</f>
        <v>20710.63</v>
      </c>
      <c r="H3842" s="15" t="str">
        <f t="shared" si="1"/>
        <v>156347.00</v>
      </c>
      <c r="I3842" s="14" t="str">
        <f t="shared" si="2"/>
        <v>135636.00</v>
      </c>
      <c r="J3842" s="16" t="str">
        <f>TEXT(Raw_Data!J3842,"MMM-YYY")</f>
        <v>Jul-2025</v>
      </c>
      <c r="K3842" s="13" t="str">
        <f>Raw_Data!K3842</f>
        <v>16</v>
      </c>
      <c r="L3842" s="17" t="str">
        <f>Raw_Data!L3842</f>
        <v>Bangalore-South</v>
      </c>
      <c r="M3842" s="13" t="str">
        <f t="shared" si="3"/>
        <v>OK</v>
      </c>
      <c r="N3842" s="18" t="str">
        <f t="shared" si="4"/>
        <v>VALID</v>
      </c>
    </row>
    <row r="3843" ht="15.75" customHeight="1">
      <c r="A3843" s="13" t="str">
        <f>Raw_Data!A3843</f>
        <v>EMP4063</v>
      </c>
      <c r="B3843" s="13" t="str">
        <f>TRIM(CLEAN(Raw_Data!B3843))</f>
        <v>Customer Support</v>
      </c>
      <c r="C3843" s="18" t="s">
        <v>30</v>
      </c>
      <c r="D3843" s="14" t="str">
        <f>IF(ISBLANK(Raw_Data!D3843),AVERAGE(Raw_Data!D$2:D$5002),Raw_Data!D3843)</f>
        <v>92254.79</v>
      </c>
      <c r="E3843" s="15" t="str">
        <f>IF(ISBLANK(Raw_Data!E3843),AVERAGE(Raw_Data!E$2:E$5002),Raw_Data!E3843)</f>
        <v>32740.22</v>
      </c>
      <c r="F3843" s="15" t="str">
        <f>IF(ISBLANK(Raw_Data!F3843),AVERAGE(Raw_Data!F$2:F$5002),Raw_Data!F3843)</f>
        <v>31375.11</v>
      </c>
      <c r="G3843" s="14" t="str">
        <f>IF(ISBLANK(Raw_Data!G3843),AVERAGE(Raw_Data!G$2:G$5002),Raw_Data!G3843)</f>
        <v>20714.03</v>
      </c>
      <c r="H3843" s="15" t="str">
        <f t="shared" si="1"/>
        <v>156370.00</v>
      </c>
      <c r="I3843" s="14" t="str">
        <f t="shared" si="2"/>
        <v>135656.00</v>
      </c>
      <c r="J3843" s="16" t="str">
        <f>TEXT(Raw_Data!J3843,"MMM-YYY")</f>
        <v>Aug-2025</v>
      </c>
      <c r="K3843" s="13" t="str">
        <f>Raw_Data!K3843</f>
        <v>8</v>
      </c>
      <c r="L3843" s="17" t="str">
        <f>Raw_Data!L3843</f>
        <v>Chennai-South</v>
      </c>
      <c r="M3843" s="13" t="str">
        <f t="shared" si="3"/>
        <v>OK</v>
      </c>
      <c r="N3843" s="18" t="str">
        <f t="shared" si="4"/>
        <v>VALID</v>
      </c>
    </row>
    <row r="3844" ht="15.75" customHeight="1">
      <c r="A3844" s="13" t="str">
        <f>Raw_Data!A3844</f>
        <v>EMP4064</v>
      </c>
      <c r="B3844" s="13" t="str">
        <f>TRIM(CLEAN(Raw_Data!B3844))</f>
        <v>Marketing</v>
      </c>
      <c r="C3844" s="18" t="s">
        <v>18</v>
      </c>
      <c r="D3844" s="14" t="str">
        <f>IF(ISBLANK(Raw_Data!D3844),AVERAGE(Raw_Data!D$2:D$5002),Raw_Data!D3844)</f>
        <v>92265.67</v>
      </c>
      <c r="E3844" s="15" t="str">
        <f>IF(ISBLANK(Raw_Data!E3844),AVERAGE(Raw_Data!E$2:E$5002),Raw_Data!E3844)</f>
        <v>32744.84</v>
      </c>
      <c r="F3844" s="15" t="str">
        <f>IF(ISBLANK(Raw_Data!F3844),AVERAGE(Raw_Data!F$2:F$5002),Raw_Data!F3844)</f>
        <v>31382.79</v>
      </c>
      <c r="G3844" s="14" t="str">
        <f>IF(ISBLANK(Raw_Data!G3844),AVERAGE(Raw_Data!G$2:G$5002),Raw_Data!G3844)</f>
        <v>20717.42</v>
      </c>
      <c r="H3844" s="15" t="str">
        <f t="shared" si="1"/>
        <v>156393.00</v>
      </c>
      <c r="I3844" s="14" t="str">
        <f t="shared" si="2"/>
        <v>135676.00</v>
      </c>
      <c r="J3844" s="16" t="str">
        <f>TEXT(Raw_Data!J3844,"MMM-YYY")</f>
        <v>Feb-2025</v>
      </c>
      <c r="K3844" s="13" t="str">
        <f>Raw_Data!K3844</f>
        <v>7</v>
      </c>
      <c r="L3844" s="17" t="str">
        <f>Raw_Data!L3844</f>
        <v>Kolkata-East</v>
      </c>
      <c r="M3844" s="13" t="str">
        <f t="shared" si="3"/>
        <v>OK</v>
      </c>
      <c r="N3844" s="18" t="str">
        <f t="shared" si="4"/>
        <v>VALID</v>
      </c>
    </row>
    <row r="3845" ht="15.75" customHeight="1">
      <c r="A3845" s="13" t="str">
        <f>Raw_Data!A3845</f>
        <v>EMP4065</v>
      </c>
      <c r="B3845" s="13" t="str">
        <f>TRIM(CLEAN(Raw_Data!B3845))</f>
        <v>Sales</v>
      </c>
      <c r="C3845" s="18" t="s">
        <v>30</v>
      </c>
      <c r="D3845" s="14" t="str">
        <f>IF(ISBLANK(Raw_Data!D3845),AVERAGE(Raw_Data!D$2:D$5002),Raw_Data!D3845)</f>
        <v>92276.55</v>
      </c>
      <c r="E3845" s="15" t="str">
        <f>IF(ISBLANK(Raw_Data!E3845),AVERAGE(Raw_Data!E$2:E$5002),Raw_Data!E3845)</f>
        <v>32749.45</v>
      </c>
      <c r="F3845" s="15" t="str">
        <f>IF(ISBLANK(Raw_Data!F3845),AVERAGE(Raw_Data!F$2:F$5002),Raw_Data!F3845)</f>
        <v>31390.47</v>
      </c>
      <c r="G3845" s="14" t="str">
        <f>IF(ISBLANK(Raw_Data!G3845),AVERAGE(Raw_Data!G$2:G$5002),Raw_Data!G3845)</f>
        <v>20720.82</v>
      </c>
      <c r="H3845" s="15" t="str">
        <f t="shared" si="1"/>
        <v>156416.00</v>
      </c>
      <c r="I3845" s="14" t="str">
        <f t="shared" si="2"/>
        <v>135695.00</v>
      </c>
      <c r="J3845" s="16" t="str">
        <f>TEXT(Raw_Data!J3845,"MMM-YYY")</f>
        <v>Oct-2025</v>
      </c>
      <c r="K3845" s="13" t="str">
        <f>Raw_Data!K3845</f>
        <v>24</v>
      </c>
      <c r="L3845" s="17" t="str">
        <f>Raw_Data!L3845</f>
        <v>Pune-West</v>
      </c>
      <c r="M3845" s="13" t="str">
        <f t="shared" si="3"/>
        <v>OK</v>
      </c>
      <c r="N3845" s="18" t="str">
        <f t="shared" si="4"/>
        <v>VALID</v>
      </c>
    </row>
    <row r="3846" ht="15.75" customHeight="1">
      <c r="A3846" s="13" t="str">
        <f>Raw_Data!A3846</f>
        <v>EMP4066</v>
      </c>
      <c r="B3846" s="13" t="str">
        <f>TRIM(CLEAN(Raw_Data!B3846))</f>
        <v>Operations</v>
      </c>
      <c r="C3846" s="18" t="s">
        <v>14</v>
      </c>
      <c r="D3846" s="14" t="str">
        <f>IF(ISBLANK(Raw_Data!D3846),AVERAGE(Raw_Data!D$2:D$5002),Raw_Data!D3846)</f>
        <v>92287.44</v>
      </c>
      <c r="E3846" s="15" t="str">
        <f>IF(ISBLANK(Raw_Data!E3846),AVERAGE(Raw_Data!E$2:E$5002),Raw_Data!E3846)</f>
        <v>32754.07</v>
      </c>
      <c r="F3846" s="15" t="str">
        <f>IF(ISBLANK(Raw_Data!F3846),AVERAGE(Raw_Data!F$2:F$5002),Raw_Data!F3846)</f>
        <v>31398.15</v>
      </c>
      <c r="G3846" s="14" t="str">
        <f>IF(ISBLANK(Raw_Data!G3846),AVERAGE(Raw_Data!G$2:G$5002),Raw_Data!G3846)</f>
        <v>20724.22</v>
      </c>
      <c r="H3846" s="15" t="str">
        <f t="shared" si="1"/>
        <v>156440.00</v>
      </c>
      <c r="I3846" s="14" t="str">
        <f t="shared" si="2"/>
        <v>135716.00</v>
      </c>
      <c r="J3846" s="16" t="str">
        <f>TEXT(Raw_Data!J3846,"MMM-YYY")</f>
        <v>Sep-2025</v>
      </c>
      <c r="K3846" s="13" t="str">
        <f>Raw_Data!K3846</f>
        <v>20</v>
      </c>
      <c r="L3846" s="17" t="str">
        <f>Raw_Data!L3846</f>
        <v>Hyderabad-South</v>
      </c>
      <c r="M3846" s="13" t="str">
        <f t="shared" si="3"/>
        <v>OK</v>
      </c>
      <c r="N3846" s="18" t="str">
        <f t="shared" si="4"/>
        <v>VALID</v>
      </c>
    </row>
    <row r="3847" ht="15.75" customHeight="1">
      <c r="A3847" s="13" t="str">
        <f>Raw_Data!A3847</f>
        <v>EMP4067</v>
      </c>
      <c r="B3847" s="13" t="str">
        <f>TRIM(CLEAN(Raw_Data!B3847))</f>
        <v>Customer Support</v>
      </c>
      <c r="C3847" s="18" t="s">
        <v>37</v>
      </c>
      <c r="D3847" s="14" t="str">
        <f>IF(ISBLANK(Raw_Data!D3847),AVERAGE(Raw_Data!D$2:D$5002),Raw_Data!D3847)</f>
        <v>92298.32</v>
      </c>
      <c r="E3847" s="15" t="str">
        <f>IF(ISBLANK(Raw_Data!E3847),AVERAGE(Raw_Data!E$2:E$5002),Raw_Data!E3847)</f>
        <v>32758.68</v>
      </c>
      <c r="F3847" s="15" t="str">
        <f>IF(ISBLANK(Raw_Data!F3847),AVERAGE(Raw_Data!F$2:F$5002),Raw_Data!F3847)</f>
        <v>31405.83</v>
      </c>
      <c r="G3847" s="14" t="str">
        <f>IF(ISBLANK(Raw_Data!G3847),AVERAGE(Raw_Data!G$2:G$5002),Raw_Data!G3847)</f>
        <v>20727.62</v>
      </c>
      <c r="H3847" s="15" t="str">
        <f t="shared" si="1"/>
        <v>156463.00</v>
      </c>
      <c r="I3847" s="14" t="str">
        <f t="shared" si="2"/>
        <v>135735.00</v>
      </c>
      <c r="J3847" s="16" t="str">
        <f>TEXT(Raw_Data!J3847,"MMM-YYY")</f>
        <v>Apr-2025</v>
      </c>
      <c r="K3847" s="13" t="str">
        <f>Raw_Data!K3847</f>
        <v>17</v>
      </c>
      <c r="L3847" s="17" t="str">
        <f>Raw_Data!L3847</f>
        <v>Chandigarh-North</v>
      </c>
      <c r="M3847" s="13" t="str">
        <f t="shared" si="3"/>
        <v>OK</v>
      </c>
      <c r="N3847" s="18" t="str">
        <f t="shared" si="4"/>
        <v>VALID</v>
      </c>
    </row>
    <row r="3848" ht="15.75" customHeight="1">
      <c r="A3848" s="13" t="str">
        <f>Raw_Data!A3848</f>
        <v>EMP4068</v>
      </c>
      <c r="B3848" s="13" t="str">
        <f>TRIM(CLEAN(Raw_Data!B3848))</f>
        <v>Operations</v>
      </c>
      <c r="C3848" s="18" t="s">
        <v>30</v>
      </c>
      <c r="D3848" s="14" t="str">
        <f>IF(ISBLANK(Raw_Data!D3848),AVERAGE(Raw_Data!D$2:D$5002),Raw_Data!D3848)</f>
        <v>92309.20</v>
      </c>
      <c r="E3848" s="15" t="str">
        <f>IF(ISBLANK(Raw_Data!E3848),AVERAGE(Raw_Data!E$2:E$5002),Raw_Data!E3848)</f>
        <v>32763.30</v>
      </c>
      <c r="F3848" s="15" t="str">
        <f>IF(ISBLANK(Raw_Data!F3848),AVERAGE(Raw_Data!F$2:F$5002),Raw_Data!F3848)</f>
        <v>31413.51</v>
      </c>
      <c r="G3848" s="14" t="str">
        <f>IF(ISBLANK(Raw_Data!G3848),AVERAGE(Raw_Data!G$2:G$5002),Raw_Data!G3848)</f>
        <v>20731.02</v>
      </c>
      <c r="H3848" s="15" t="str">
        <f t="shared" si="1"/>
        <v>156486.00</v>
      </c>
      <c r="I3848" s="14" t="str">
        <f t="shared" si="2"/>
        <v>135755.00</v>
      </c>
      <c r="J3848" s="16" t="str">
        <f>TEXT(Raw_Data!J3848,"MMM-YYY")</f>
        <v>Feb-2025</v>
      </c>
      <c r="K3848" s="13" t="str">
        <f>Raw_Data!K3848</f>
        <v>7</v>
      </c>
      <c r="L3848" s="17" t="str">
        <f>Raw_Data!L3848</f>
        <v>Ahmedabad-West</v>
      </c>
      <c r="M3848" s="13" t="str">
        <f t="shared" si="3"/>
        <v>OK</v>
      </c>
      <c r="N3848" s="18" t="str">
        <f t="shared" si="4"/>
        <v>VALID</v>
      </c>
    </row>
    <row r="3849" ht="15.75" customHeight="1">
      <c r="A3849" s="13" t="str">
        <f>Raw_Data!A3849</f>
        <v>EMP4069</v>
      </c>
      <c r="B3849" s="13" t="str">
        <f>TRIM(CLEAN(Raw_Data!B3849))</f>
        <v>Marketing</v>
      </c>
      <c r="C3849" s="18" t="s">
        <v>26</v>
      </c>
      <c r="D3849" s="14" t="str">
        <f>IF(ISBLANK(Raw_Data!D3849),AVERAGE(Raw_Data!D$2:D$5002),Raw_Data!D3849)</f>
        <v>92320.08</v>
      </c>
      <c r="E3849" s="15" t="str">
        <f>IF(ISBLANK(Raw_Data!E3849),AVERAGE(Raw_Data!E$2:E$5002),Raw_Data!E3849)</f>
        <v>32767.91</v>
      </c>
      <c r="F3849" s="15" t="str">
        <f>IF(ISBLANK(Raw_Data!F3849),AVERAGE(Raw_Data!F$2:F$5002),Raw_Data!F3849)</f>
        <v>31421.19</v>
      </c>
      <c r="G3849" s="14" t="str">
        <f>IF(ISBLANK(Raw_Data!G3849),AVERAGE(Raw_Data!G$2:G$5002),Raw_Data!G3849)</f>
        <v>14562.73</v>
      </c>
      <c r="H3849" s="15" t="str">
        <f t="shared" si="1"/>
        <v>156509.00</v>
      </c>
      <c r="I3849" s="14" t="str">
        <f t="shared" si="2"/>
        <v>141946.00</v>
      </c>
      <c r="J3849" s="16" t="str">
        <f>TEXT(Raw_Data!J3849,"MMM-YYY")</f>
        <v>Nov-2025</v>
      </c>
      <c r="K3849" s="13" t="str">
        <f>Raw_Data!K3849</f>
        <v>10</v>
      </c>
      <c r="L3849" s="17" t="str">
        <f>Raw_Data!L3849</f>
        <v>Jaipur-North</v>
      </c>
      <c r="M3849" s="13" t="str">
        <f t="shared" si="3"/>
        <v>OK</v>
      </c>
      <c r="N3849" s="18" t="str">
        <f t="shared" si="4"/>
        <v>VALID</v>
      </c>
    </row>
    <row r="3850" ht="15.75" customHeight="1">
      <c r="A3850" s="13" t="str">
        <f>Raw_Data!A3850</f>
        <v>EMP4070</v>
      </c>
      <c r="B3850" s="13" t="str">
        <f>TRIM(CLEAN(Raw_Data!B3850))</f>
        <v>Operations</v>
      </c>
      <c r="C3850" s="18" t="s">
        <v>26</v>
      </c>
      <c r="D3850" s="14" t="str">
        <f>IF(ISBLANK(Raw_Data!D3850),AVERAGE(Raw_Data!D$2:D$5002),Raw_Data!D3850)</f>
        <v>92330.97</v>
      </c>
      <c r="E3850" s="15" t="str">
        <f>IF(ISBLANK(Raw_Data!E3850),AVERAGE(Raw_Data!E$2:E$5002),Raw_Data!E3850)</f>
        <v>32772.53</v>
      </c>
      <c r="F3850" s="15" t="str">
        <f>IF(ISBLANK(Raw_Data!F3850),AVERAGE(Raw_Data!F$2:F$5002),Raw_Data!F3850)</f>
        <v>31428.87</v>
      </c>
      <c r="G3850" s="14" t="str">
        <f>IF(ISBLANK(Raw_Data!G3850),AVERAGE(Raw_Data!G$2:G$5002),Raw_Data!G3850)</f>
        <v>14562.73</v>
      </c>
      <c r="H3850" s="15" t="str">
        <f t="shared" si="1"/>
        <v>156532.00</v>
      </c>
      <c r="I3850" s="14" t="str">
        <f t="shared" si="2"/>
        <v>141969.00</v>
      </c>
      <c r="J3850" s="16" t="str">
        <f>TEXT(Raw_Data!J3850,"MMM-YYY")</f>
        <v>Dec-2025</v>
      </c>
      <c r="K3850" s="13" t="str">
        <f>Raw_Data!K3850</f>
        <v>17</v>
      </c>
      <c r="L3850" s="17" t="str">
        <f>Raw_Data!L3850</f>
        <v>Mumbai-HO</v>
      </c>
      <c r="M3850" s="13" t="str">
        <f t="shared" si="3"/>
        <v>OK</v>
      </c>
      <c r="N3850" s="18" t="str">
        <f t="shared" si="4"/>
        <v>VALID</v>
      </c>
    </row>
    <row r="3851" ht="15.75" customHeight="1">
      <c r="A3851" s="13" t="str">
        <f>Raw_Data!A3851</f>
        <v>EMP4071</v>
      </c>
      <c r="B3851" s="13" t="str">
        <f>TRIM(CLEAN(Raw_Data!B3851))</f>
        <v>Operations</v>
      </c>
      <c r="C3851" s="18" t="s">
        <v>26</v>
      </c>
      <c r="D3851" s="14" t="str">
        <f>IF(ISBLANK(Raw_Data!D3851),AVERAGE(Raw_Data!D$2:D$5002),Raw_Data!D3851)</f>
        <v>92341.85</v>
      </c>
      <c r="E3851" s="15" t="str">
        <f>IF(ISBLANK(Raw_Data!E3851),AVERAGE(Raw_Data!E$2:E$5002),Raw_Data!E3851)</f>
        <v>32777.14</v>
      </c>
      <c r="F3851" s="15" t="str">
        <f>IF(ISBLANK(Raw_Data!F3851),AVERAGE(Raw_Data!F$2:F$5002),Raw_Data!F3851)</f>
        <v>31436.55</v>
      </c>
      <c r="G3851" s="14" t="str">
        <f>IF(ISBLANK(Raw_Data!G3851),AVERAGE(Raw_Data!G$2:G$5002),Raw_Data!G3851)</f>
        <v>20741.21</v>
      </c>
      <c r="H3851" s="15" t="str">
        <f t="shared" si="1"/>
        <v>156556.00</v>
      </c>
      <c r="I3851" s="14" t="str">
        <f t="shared" si="2"/>
        <v>135815.00</v>
      </c>
      <c r="J3851" s="16" t="str">
        <f>TEXT(Raw_Data!J3851,"MMM-YYY")</f>
        <v>Jul-2025</v>
      </c>
      <c r="K3851" s="13" t="str">
        <f>Raw_Data!K3851</f>
        <v>10</v>
      </c>
      <c r="L3851" s="17" t="str">
        <f>Raw_Data!L3851</f>
        <v>Delhi-North</v>
      </c>
      <c r="M3851" s="13" t="str">
        <f t="shared" si="3"/>
        <v>OK</v>
      </c>
      <c r="N3851" s="18" t="str">
        <f t="shared" si="4"/>
        <v>VALID</v>
      </c>
    </row>
    <row r="3852" ht="15.75" customHeight="1">
      <c r="A3852" s="13" t="str">
        <f>Raw_Data!A3852</f>
        <v>EMP4073</v>
      </c>
      <c r="B3852" s="13" t="str">
        <f>TRIM(CLEAN(Raw_Data!B3852))</f>
        <v>Operations</v>
      </c>
      <c r="C3852" s="18" t="s">
        <v>26</v>
      </c>
      <c r="D3852" s="14" t="str">
        <f>IF(ISBLANK(Raw_Data!D3852),AVERAGE(Raw_Data!D$2:D$5002),Raw_Data!D3852)</f>
        <v>92363.62</v>
      </c>
      <c r="E3852" s="15" t="str">
        <f>IF(ISBLANK(Raw_Data!E3852),AVERAGE(Raw_Data!E$2:E$5002),Raw_Data!E3852)</f>
        <v>32786.37</v>
      </c>
      <c r="F3852" s="15" t="str">
        <f>IF(ISBLANK(Raw_Data!F3852),AVERAGE(Raw_Data!F$2:F$5002),Raw_Data!F3852)</f>
        <v>31451.91</v>
      </c>
      <c r="G3852" s="14" t="str">
        <f>IF(ISBLANK(Raw_Data!G3852),AVERAGE(Raw_Data!G$2:G$5002),Raw_Data!G3852)</f>
        <v>20748.00</v>
      </c>
      <c r="H3852" s="15" t="str">
        <f t="shared" si="1"/>
        <v>156602.00</v>
      </c>
      <c r="I3852" s="14" t="str">
        <f t="shared" si="2"/>
        <v>135854.00</v>
      </c>
      <c r="J3852" s="16" t="str">
        <f>TEXT(Raw_Data!J3852,"MMM-YYY")</f>
        <v>Aug-2025</v>
      </c>
      <c r="K3852" s="13" t="str">
        <f>Raw_Data!K3852</f>
        <v>25</v>
      </c>
      <c r="L3852" s="17" t="str">
        <f>Raw_Data!L3852</f>
        <v>Chennai-South</v>
      </c>
      <c r="M3852" s="13" t="str">
        <f t="shared" si="3"/>
        <v>OK</v>
      </c>
      <c r="N3852" s="18" t="str">
        <f t="shared" si="4"/>
        <v>VALID</v>
      </c>
    </row>
    <row r="3853" ht="15.75" customHeight="1">
      <c r="A3853" s="13" t="str">
        <f>Raw_Data!A3853</f>
        <v>EMP4074</v>
      </c>
      <c r="B3853" s="13" t="str">
        <f>TRIM(CLEAN(Raw_Data!B3853))</f>
        <v>Sales</v>
      </c>
      <c r="C3853" s="18" t="s">
        <v>14</v>
      </c>
      <c r="D3853" s="14" t="str">
        <f>IF(ISBLANK(Raw_Data!D3853),AVERAGE(Raw_Data!D$2:D$5002),Raw_Data!D3853)</f>
        <v>92374.50</v>
      </c>
      <c r="E3853" s="15" t="str">
        <f>IF(ISBLANK(Raw_Data!E3853),AVERAGE(Raw_Data!E$2:E$5002),Raw_Data!E3853)</f>
        <v>32790.99</v>
      </c>
      <c r="F3853" s="15" t="str">
        <f>IF(ISBLANK(Raw_Data!F3853),AVERAGE(Raw_Data!F$2:F$5002),Raw_Data!F3853)</f>
        <v>31459.59</v>
      </c>
      <c r="G3853" s="14" t="str">
        <f>IF(ISBLANK(Raw_Data!G3853),AVERAGE(Raw_Data!G$2:G$5002),Raw_Data!G3853)</f>
        <v>20751.40</v>
      </c>
      <c r="H3853" s="15" t="str">
        <f t="shared" si="1"/>
        <v>156625.00</v>
      </c>
      <c r="I3853" s="14" t="str">
        <f t="shared" si="2"/>
        <v>135874.00</v>
      </c>
      <c r="J3853" s="16" t="str">
        <f>TEXT(Raw_Data!J3853,"MMM-YYY")</f>
        <v>Nov-2025</v>
      </c>
      <c r="K3853" s="13" t="str">
        <f>Raw_Data!K3853</f>
        <v>13</v>
      </c>
      <c r="L3853" s="17" t="str">
        <f>Raw_Data!L3853</f>
        <v>Kolkata-East</v>
      </c>
      <c r="M3853" s="13" t="str">
        <f t="shared" si="3"/>
        <v>OK</v>
      </c>
      <c r="N3853" s="18" t="str">
        <f t="shared" si="4"/>
        <v>VALID</v>
      </c>
    </row>
    <row r="3854" ht="15.75" customHeight="1">
      <c r="A3854" s="13" t="str">
        <f>Raw_Data!A3854</f>
        <v>EMP4075</v>
      </c>
      <c r="B3854" s="13" t="str">
        <f>TRIM(CLEAN(Raw_Data!B3854))</f>
        <v>Finance</v>
      </c>
      <c r="C3854" s="18" t="s">
        <v>30</v>
      </c>
      <c r="D3854" s="14" t="str">
        <f>IF(ISBLANK(Raw_Data!D3854),AVERAGE(Raw_Data!D$2:D$5002),Raw_Data!D3854)</f>
        <v>92385.38</v>
      </c>
      <c r="E3854" s="15" t="str">
        <f>IF(ISBLANK(Raw_Data!E3854),AVERAGE(Raw_Data!E$2:E$5002),Raw_Data!E3854)</f>
        <v>32795.60</v>
      </c>
      <c r="F3854" s="15" t="str">
        <f>IF(ISBLANK(Raw_Data!F3854),AVERAGE(Raw_Data!F$2:F$5002),Raw_Data!F3854)</f>
        <v>31467.27</v>
      </c>
      <c r="G3854" s="14" t="str">
        <f>IF(ISBLANK(Raw_Data!G3854),AVERAGE(Raw_Data!G$2:G$5002),Raw_Data!G3854)</f>
        <v>20754.80</v>
      </c>
      <c r="H3854" s="15" t="str">
        <f t="shared" si="1"/>
        <v>156648.00</v>
      </c>
      <c r="I3854" s="14" t="str">
        <f t="shared" si="2"/>
        <v>135893.00</v>
      </c>
      <c r="J3854" s="16" t="str">
        <f>TEXT(Raw_Data!J3854,"MMM-YYY")</f>
        <v>Apr-2025</v>
      </c>
      <c r="K3854" s="13" t="str">
        <f>Raw_Data!K3854</f>
        <v>6</v>
      </c>
      <c r="L3854" s="17" t="str">
        <f>Raw_Data!L3854</f>
        <v>Pune-West</v>
      </c>
      <c r="M3854" s="13" t="str">
        <f t="shared" si="3"/>
        <v>OK</v>
      </c>
      <c r="N3854" s="18" t="str">
        <f t="shared" si="4"/>
        <v>VALID</v>
      </c>
    </row>
    <row r="3855" ht="15.75" customHeight="1">
      <c r="A3855" s="13" t="str">
        <f>Raw_Data!A3855</f>
        <v>EMP4076</v>
      </c>
      <c r="B3855" s="13" t="str">
        <f>TRIM(CLEAN(Raw_Data!B3855))</f>
        <v>Marketing</v>
      </c>
      <c r="C3855" s="18" t="s">
        <v>33</v>
      </c>
      <c r="D3855" s="14" t="str">
        <f>IF(ISBLANK(Raw_Data!D3855),AVERAGE(Raw_Data!D$2:D$5002),Raw_Data!D3855)</f>
        <v>92396.26</v>
      </c>
      <c r="E3855" s="15" t="str">
        <f>IF(ISBLANK(Raw_Data!E3855),AVERAGE(Raw_Data!E$2:E$5002),Raw_Data!E3855)</f>
        <v>32800.22</v>
      </c>
      <c r="F3855" s="15" t="str">
        <f>IF(ISBLANK(Raw_Data!F3855),AVERAGE(Raw_Data!F$2:F$5002),Raw_Data!F3855)</f>
        <v>31474.95</v>
      </c>
      <c r="G3855" s="14" t="str">
        <f>IF(ISBLANK(Raw_Data!G3855),AVERAGE(Raw_Data!G$2:G$5002),Raw_Data!G3855)</f>
        <v>20758.20</v>
      </c>
      <c r="H3855" s="15" t="str">
        <f t="shared" si="1"/>
        <v>156671.00</v>
      </c>
      <c r="I3855" s="14" t="str">
        <f t="shared" si="2"/>
        <v>135913.00</v>
      </c>
      <c r="J3855" s="16" t="str">
        <f>TEXT(Raw_Data!J3855,"MMM-YYY")</f>
        <v>Nov-2025</v>
      </c>
      <c r="K3855" s="13" t="str">
        <f>Raw_Data!K3855</f>
        <v>21</v>
      </c>
      <c r="L3855" s="17" t="str">
        <f>Raw_Data!L3855</f>
        <v>Hyderabad-South</v>
      </c>
      <c r="M3855" s="13" t="str">
        <f t="shared" si="3"/>
        <v>OK</v>
      </c>
      <c r="N3855" s="18" t="str">
        <f t="shared" si="4"/>
        <v>VALID</v>
      </c>
    </row>
    <row r="3856" ht="15.75" customHeight="1">
      <c r="A3856" s="13" t="str">
        <f>Raw_Data!A3856</f>
        <v>EMP4077</v>
      </c>
      <c r="B3856" s="13" t="str">
        <f>TRIM(CLEAN(Raw_Data!B3856))</f>
        <v>Marketing</v>
      </c>
      <c r="C3856" s="18" t="s">
        <v>26</v>
      </c>
      <c r="D3856" s="14" t="str">
        <f>IF(ISBLANK(Raw_Data!D3856),AVERAGE(Raw_Data!D$2:D$5002),Raw_Data!D3856)</f>
        <v>92407.15</v>
      </c>
      <c r="E3856" s="15" t="str">
        <f>IF(ISBLANK(Raw_Data!E3856),AVERAGE(Raw_Data!E$2:E$5002),Raw_Data!E3856)</f>
        <v>32804.83</v>
      </c>
      <c r="F3856" s="15" t="str">
        <f>IF(ISBLANK(Raw_Data!F3856),AVERAGE(Raw_Data!F$2:F$5002),Raw_Data!F3856)</f>
        <v>31482.63</v>
      </c>
      <c r="G3856" s="14" t="str">
        <f>IF(ISBLANK(Raw_Data!G3856),AVERAGE(Raw_Data!G$2:G$5002),Raw_Data!G3856)</f>
        <v>20761.59</v>
      </c>
      <c r="H3856" s="15" t="str">
        <f t="shared" si="1"/>
        <v>156695.00</v>
      </c>
      <c r="I3856" s="14" t="str">
        <f t="shared" si="2"/>
        <v>135933.00</v>
      </c>
      <c r="J3856" s="16" t="str">
        <f>TEXT(Raw_Data!J3856,"MMM-YYY")</f>
        <v>May-2025</v>
      </c>
      <c r="K3856" s="13" t="str">
        <f>Raw_Data!K3856</f>
        <v>16</v>
      </c>
      <c r="L3856" s="17" t="str">
        <f>Raw_Data!L3856</f>
        <v>Chandigarh-North</v>
      </c>
      <c r="M3856" s="13" t="str">
        <f t="shared" si="3"/>
        <v>OK</v>
      </c>
      <c r="N3856" s="18" t="str">
        <f t="shared" si="4"/>
        <v>VALID</v>
      </c>
    </row>
    <row r="3857" ht="15.75" customHeight="1">
      <c r="A3857" s="13" t="str">
        <f>Raw_Data!A3857</f>
        <v>EMP4078</v>
      </c>
      <c r="B3857" s="13" t="str">
        <f>TRIM(CLEAN(Raw_Data!B3857))</f>
        <v>Operations</v>
      </c>
      <c r="C3857" s="18" t="s">
        <v>33</v>
      </c>
      <c r="D3857" s="14" t="str">
        <f>IF(ISBLANK(Raw_Data!D3857),AVERAGE(Raw_Data!D$2:D$5002),Raw_Data!D3857)</f>
        <v>92418.03</v>
      </c>
      <c r="E3857" s="15" t="str">
        <f>IF(ISBLANK(Raw_Data!E3857),AVERAGE(Raw_Data!E$2:E$5002),Raw_Data!E3857)</f>
        <v>32809.45</v>
      </c>
      <c r="F3857" s="15" t="str">
        <f>IF(ISBLANK(Raw_Data!F3857),AVERAGE(Raw_Data!F$2:F$5002),Raw_Data!F3857)</f>
        <v>31490.31</v>
      </c>
      <c r="G3857" s="14" t="str">
        <f>IF(ISBLANK(Raw_Data!G3857),AVERAGE(Raw_Data!G$2:G$5002),Raw_Data!G3857)</f>
        <v>20764.99</v>
      </c>
      <c r="H3857" s="15" t="str">
        <f t="shared" si="1"/>
        <v>156718.00</v>
      </c>
      <c r="I3857" s="14" t="str">
        <f t="shared" si="2"/>
        <v>135953.00</v>
      </c>
      <c r="J3857" s="16" t="str">
        <f>TEXT(Raw_Data!J3857,"MMM-YYY")</f>
        <v>Jul-2025</v>
      </c>
      <c r="K3857" s="13" t="str">
        <f>Raw_Data!K3857</f>
        <v>14</v>
      </c>
      <c r="L3857" s="17" t="str">
        <f>Raw_Data!L3857</f>
        <v>Ahmedabad-West</v>
      </c>
      <c r="M3857" s="13" t="str">
        <f t="shared" si="3"/>
        <v>OK</v>
      </c>
      <c r="N3857" s="18" t="str">
        <f t="shared" si="4"/>
        <v>VALID</v>
      </c>
    </row>
    <row r="3858" ht="15.75" customHeight="1">
      <c r="A3858" s="13" t="str">
        <f>Raw_Data!A3858</f>
        <v>EMP4080</v>
      </c>
      <c r="B3858" s="13" t="str">
        <f>TRIM(CLEAN(Raw_Data!B3858))</f>
        <v>Finance</v>
      </c>
      <c r="C3858" s="18" t="s">
        <v>18</v>
      </c>
      <c r="D3858" s="14" t="str">
        <f>IF(ISBLANK(Raw_Data!D3858),AVERAGE(Raw_Data!D$2:D$5002),Raw_Data!D3858)</f>
        <v>92439.80</v>
      </c>
      <c r="E3858" s="15" t="str">
        <f>IF(ISBLANK(Raw_Data!E3858),AVERAGE(Raw_Data!E$2:E$5002),Raw_Data!E3858)</f>
        <v>32818.67</v>
      </c>
      <c r="F3858" s="15" t="str">
        <f>IF(ISBLANK(Raw_Data!F3858),AVERAGE(Raw_Data!F$2:F$5002),Raw_Data!F3858)</f>
        <v>31505.67</v>
      </c>
      <c r="G3858" s="14" t="str">
        <f>IF(ISBLANK(Raw_Data!G3858),AVERAGE(Raw_Data!G$2:G$5002),Raw_Data!G3858)</f>
        <v>20771.79</v>
      </c>
      <c r="H3858" s="15" t="str">
        <f t="shared" si="1"/>
        <v>156764.00</v>
      </c>
      <c r="I3858" s="14" t="str">
        <f t="shared" si="2"/>
        <v>135992.00</v>
      </c>
      <c r="J3858" s="16" t="str">
        <f>TEXT(Raw_Data!J3858,"MMM-YYY")</f>
        <v>Jan-2025</v>
      </c>
      <c r="K3858" s="13" t="str">
        <f>Raw_Data!K3858</f>
        <v>7</v>
      </c>
      <c r="L3858" s="17" t="str">
        <f>Raw_Data!L3858</f>
        <v>Mumbai-HO</v>
      </c>
      <c r="M3858" s="13" t="str">
        <f t="shared" si="3"/>
        <v>OK</v>
      </c>
      <c r="N3858" s="18" t="str">
        <f t="shared" si="4"/>
        <v>VALID</v>
      </c>
    </row>
    <row r="3859" ht="15.75" customHeight="1">
      <c r="A3859" s="13" t="str">
        <f>Raw_Data!A3859</f>
        <v>EMP4081</v>
      </c>
      <c r="B3859" s="13" t="str">
        <f>TRIM(CLEAN(Raw_Data!B3859))</f>
        <v>Marketing</v>
      </c>
      <c r="C3859" s="18" t="s">
        <v>26</v>
      </c>
      <c r="D3859" s="14" t="str">
        <f>IF(ISBLANK(Raw_Data!D3859),AVERAGE(Raw_Data!D$2:D$5002),Raw_Data!D3859)</f>
        <v>92450.68</v>
      </c>
      <c r="E3859" s="15" t="str">
        <f>IF(ISBLANK(Raw_Data!E3859),AVERAGE(Raw_Data!E$2:E$5002),Raw_Data!E3859)</f>
        <v>32823.29</v>
      </c>
      <c r="F3859" s="15" t="str">
        <f>IF(ISBLANK(Raw_Data!F3859),AVERAGE(Raw_Data!F$2:F$5002),Raw_Data!F3859)</f>
        <v>31513.35</v>
      </c>
      <c r="G3859" s="14" t="str">
        <f>IF(ISBLANK(Raw_Data!G3859),AVERAGE(Raw_Data!G$2:G$5002),Raw_Data!G3859)</f>
        <v>20775.18</v>
      </c>
      <c r="H3859" s="15" t="str">
        <f t="shared" si="1"/>
        <v>156787.00</v>
      </c>
      <c r="I3859" s="14" t="str">
        <f t="shared" si="2"/>
        <v>136012.00</v>
      </c>
      <c r="J3859" s="16" t="str">
        <f>TEXT(Raw_Data!J3859,"MMM-YYY")</f>
        <v>Apr-2025</v>
      </c>
      <c r="K3859" s="13" t="str">
        <f>Raw_Data!K3859</f>
        <v>21</v>
      </c>
      <c r="L3859" s="17" t="str">
        <f>Raw_Data!L3859</f>
        <v>Delhi-North</v>
      </c>
      <c r="M3859" s="13" t="str">
        <f t="shared" si="3"/>
        <v>OK</v>
      </c>
      <c r="N3859" s="18" t="str">
        <f t="shared" si="4"/>
        <v>VALID</v>
      </c>
    </row>
    <row r="3860" ht="15.75" customHeight="1">
      <c r="A3860" s="13" t="str">
        <f>Raw_Data!A3860</f>
        <v>EMP4082</v>
      </c>
      <c r="B3860" s="13" t="str">
        <f>TRIM(CLEAN(Raw_Data!B3860))</f>
        <v>Marketing</v>
      </c>
      <c r="C3860" s="18" t="s">
        <v>14</v>
      </c>
      <c r="D3860" s="14" t="str">
        <f>IF(ISBLANK(Raw_Data!D3860),AVERAGE(Raw_Data!D$2:D$5002),Raw_Data!D3860)</f>
        <v>92461.56</v>
      </c>
      <c r="E3860" s="15" t="str">
        <f>IF(ISBLANK(Raw_Data!E3860),AVERAGE(Raw_Data!E$2:E$5002),Raw_Data!E3860)</f>
        <v>32827.90</v>
      </c>
      <c r="F3860" s="15" t="str">
        <f>IF(ISBLANK(Raw_Data!F3860),AVERAGE(Raw_Data!F$2:F$5002),Raw_Data!F3860)</f>
        <v>31521.03</v>
      </c>
      <c r="G3860" s="14" t="str">
        <f>IF(ISBLANK(Raw_Data!G3860),AVERAGE(Raw_Data!G$2:G$5002),Raw_Data!G3860)</f>
        <v>14562.73</v>
      </c>
      <c r="H3860" s="15" t="str">
        <f t="shared" si="1"/>
        <v>156810.00</v>
      </c>
      <c r="I3860" s="14" t="str">
        <f t="shared" si="2"/>
        <v>142247.00</v>
      </c>
      <c r="J3860" s="16" t="str">
        <f>TEXT(Raw_Data!J3860,"MMM-YYY")</f>
        <v>May-2025</v>
      </c>
      <c r="K3860" s="13" t="str">
        <f>Raw_Data!K3860</f>
        <v>5</v>
      </c>
      <c r="L3860" s="17" t="str">
        <f>Raw_Data!L3860</f>
        <v>Bangalore-South</v>
      </c>
      <c r="M3860" s="13" t="str">
        <f t="shared" si="3"/>
        <v>OK</v>
      </c>
      <c r="N3860" s="18" t="str">
        <f t="shared" si="4"/>
        <v>VALID</v>
      </c>
    </row>
    <row r="3861" ht="15.75" customHeight="1">
      <c r="A3861" s="13" t="str">
        <f>Raw_Data!A3861</f>
        <v>EMP4083</v>
      </c>
      <c r="B3861" s="13" t="str">
        <f>TRIM(CLEAN(Raw_Data!B3861))</f>
        <v>Operations</v>
      </c>
      <c r="C3861" s="18" t="s">
        <v>26</v>
      </c>
      <c r="D3861" s="14" t="str">
        <f>IF(ISBLANK(Raw_Data!D3861),AVERAGE(Raw_Data!D$2:D$5002),Raw_Data!D3861)</f>
        <v>92472.45</v>
      </c>
      <c r="E3861" s="15" t="str">
        <f>IF(ISBLANK(Raw_Data!E3861),AVERAGE(Raw_Data!E$2:E$5002),Raw_Data!E3861)</f>
        <v>32832.52</v>
      </c>
      <c r="F3861" s="15" t="str">
        <f>IF(ISBLANK(Raw_Data!F3861),AVERAGE(Raw_Data!F$2:F$5002),Raw_Data!F3861)</f>
        <v>31528.71</v>
      </c>
      <c r="G3861" s="14" t="str">
        <f>IF(ISBLANK(Raw_Data!G3861),AVERAGE(Raw_Data!G$2:G$5002),Raw_Data!G3861)</f>
        <v>20781.98</v>
      </c>
      <c r="H3861" s="15" t="str">
        <f t="shared" si="1"/>
        <v>156834.00</v>
      </c>
      <c r="I3861" s="14" t="str">
        <f t="shared" si="2"/>
        <v>136052.00</v>
      </c>
      <c r="J3861" s="16" t="str">
        <f>TEXT(Raw_Data!J3861,"MMM-YYY")</f>
        <v>May-2025</v>
      </c>
      <c r="K3861" s="13" t="str">
        <f>Raw_Data!K3861</f>
        <v>8</v>
      </c>
      <c r="L3861" s="17" t="str">
        <f>Raw_Data!L3861</f>
        <v>Chennai-South</v>
      </c>
      <c r="M3861" s="13" t="str">
        <f t="shared" si="3"/>
        <v>OK</v>
      </c>
      <c r="N3861" s="18" t="str">
        <f t="shared" si="4"/>
        <v>VALID</v>
      </c>
    </row>
    <row r="3862" ht="15.75" customHeight="1">
      <c r="A3862" s="13" t="str">
        <f>Raw_Data!A3862</f>
        <v>EMP4084</v>
      </c>
      <c r="B3862" s="13" t="str">
        <f>TRIM(CLEAN(Raw_Data!B3862))</f>
        <v>IT</v>
      </c>
      <c r="C3862" s="18" t="s">
        <v>54</v>
      </c>
      <c r="D3862" s="14" t="str">
        <f>IF(ISBLANK(Raw_Data!D3862),AVERAGE(Raw_Data!D$2:D$5002),Raw_Data!D3862)</f>
        <v>92483.33</v>
      </c>
      <c r="E3862" s="15" t="str">
        <f>IF(ISBLANK(Raw_Data!E3862),AVERAGE(Raw_Data!E$2:E$5002),Raw_Data!E3862)</f>
        <v>32837.13</v>
      </c>
      <c r="F3862" s="15" t="str">
        <f>IF(ISBLANK(Raw_Data!F3862),AVERAGE(Raw_Data!F$2:F$5002),Raw_Data!F3862)</f>
        <v>31536.39</v>
      </c>
      <c r="G3862" s="14" t="str">
        <f>IF(ISBLANK(Raw_Data!G3862),AVERAGE(Raw_Data!G$2:G$5002),Raw_Data!G3862)</f>
        <v>20785.38</v>
      </c>
      <c r="H3862" s="15" t="str">
        <f t="shared" si="1"/>
        <v>156857.00</v>
      </c>
      <c r="I3862" s="14" t="str">
        <f t="shared" si="2"/>
        <v>136072.00</v>
      </c>
      <c r="J3862" s="16" t="str">
        <f>TEXT(Raw_Data!J3862,"MMM-YYY")</f>
        <v>Nov-2025</v>
      </c>
      <c r="K3862" s="13" t="str">
        <f>Raw_Data!K3862</f>
        <v>19</v>
      </c>
      <c r="L3862" s="17" t="str">
        <f>Raw_Data!L3862</f>
        <v>Kolkata-East</v>
      </c>
      <c r="M3862" s="13" t="str">
        <f t="shared" si="3"/>
        <v>OK</v>
      </c>
      <c r="N3862" s="18" t="str">
        <f t="shared" si="4"/>
        <v>VALID</v>
      </c>
    </row>
    <row r="3863" ht="15.75" customHeight="1">
      <c r="A3863" s="13" t="str">
        <f>Raw_Data!A3863</f>
        <v>EMP4085</v>
      </c>
      <c r="B3863" s="13" t="str">
        <f>TRIM(CLEAN(Raw_Data!B3863))</f>
        <v>Operations</v>
      </c>
      <c r="C3863" s="18" t="s">
        <v>14</v>
      </c>
      <c r="D3863" s="14" t="str">
        <f>IF(ISBLANK(Raw_Data!D3863),AVERAGE(Raw_Data!D$2:D$5002),Raw_Data!D3863)</f>
        <v>92494.21</v>
      </c>
      <c r="E3863" s="15" t="str">
        <f>IF(ISBLANK(Raw_Data!E3863),AVERAGE(Raw_Data!E$2:E$5002),Raw_Data!E3863)</f>
        <v>32841.75</v>
      </c>
      <c r="F3863" s="15" t="str">
        <f>IF(ISBLANK(Raw_Data!F3863),AVERAGE(Raw_Data!F$2:F$5002),Raw_Data!F3863)</f>
        <v>31544.07</v>
      </c>
      <c r="G3863" s="14" t="str">
        <f>IF(ISBLANK(Raw_Data!G3863),AVERAGE(Raw_Data!G$2:G$5002),Raw_Data!G3863)</f>
        <v>20788.77</v>
      </c>
      <c r="H3863" s="15" t="str">
        <f t="shared" si="1"/>
        <v>156880.00</v>
      </c>
      <c r="I3863" s="14" t="str">
        <f t="shared" si="2"/>
        <v>136091.00</v>
      </c>
      <c r="J3863" s="16" t="str">
        <f>TEXT(Raw_Data!J3863,"MMM-YYY")</f>
        <v>Jan-2025</v>
      </c>
      <c r="K3863" s="13" t="str">
        <f>Raw_Data!K3863</f>
        <v>17</v>
      </c>
      <c r="L3863" s="17" t="str">
        <f>Raw_Data!L3863</f>
        <v>Pune-West</v>
      </c>
      <c r="M3863" s="13" t="str">
        <f t="shared" si="3"/>
        <v>OK</v>
      </c>
      <c r="N3863" s="18" t="str">
        <f t="shared" si="4"/>
        <v>VALID</v>
      </c>
    </row>
    <row r="3864" ht="15.75" customHeight="1">
      <c r="A3864" s="13" t="str">
        <f>Raw_Data!A3864</f>
        <v>EMP4086</v>
      </c>
      <c r="B3864" s="13" t="str">
        <f>TRIM(CLEAN(Raw_Data!B3864))</f>
        <v>IT</v>
      </c>
      <c r="C3864" s="18" t="s">
        <v>14</v>
      </c>
      <c r="D3864" s="14" t="str">
        <f>IF(ISBLANK(Raw_Data!D3864),AVERAGE(Raw_Data!D$2:D$5002),Raw_Data!D3864)</f>
        <v>92505.09</v>
      </c>
      <c r="E3864" s="15" t="str">
        <f>IF(ISBLANK(Raw_Data!E3864),AVERAGE(Raw_Data!E$2:E$5002),Raw_Data!E3864)</f>
        <v>32846.36</v>
      </c>
      <c r="F3864" s="15" t="str">
        <f>IF(ISBLANK(Raw_Data!F3864),AVERAGE(Raw_Data!F$2:F$5002),Raw_Data!F3864)</f>
        <v>31551.75</v>
      </c>
      <c r="G3864" s="14" t="str">
        <f>IF(ISBLANK(Raw_Data!G3864),AVERAGE(Raw_Data!G$2:G$5002),Raw_Data!G3864)</f>
        <v>20792.17</v>
      </c>
      <c r="H3864" s="15" t="str">
        <f t="shared" si="1"/>
        <v>156903.00</v>
      </c>
      <c r="I3864" s="14" t="str">
        <f t="shared" si="2"/>
        <v>136111.00</v>
      </c>
      <c r="J3864" s="16" t="str">
        <f>TEXT(Raw_Data!J3864,"MMM-YYY")</f>
        <v>Aug-2025</v>
      </c>
      <c r="K3864" s="13" t="str">
        <f>Raw_Data!K3864</f>
        <v>1</v>
      </c>
      <c r="L3864" s="17" t="str">
        <f>Raw_Data!L3864</f>
        <v>Hyderabad-South</v>
      </c>
      <c r="M3864" s="13" t="str">
        <f t="shared" si="3"/>
        <v>OK</v>
      </c>
      <c r="N3864" s="18" t="str">
        <f t="shared" si="4"/>
        <v>VALID</v>
      </c>
    </row>
    <row r="3865" ht="15.75" customHeight="1">
      <c r="A3865" s="13" t="str">
        <f>Raw_Data!A3865</f>
        <v>EMP4087</v>
      </c>
      <c r="B3865" s="13" t="str">
        <f>TRIM(CLEAN(Raw_Data!B3865))</f>
        <v>Marketing</v>
      </c>
      <c r="C3865" s="18" t="s">
        <v>26</v>
      </c>
      <c r="D3865" s="14" t="str">
        <f>IF(ISBLANK(Raw_Data!D3865),AVERAGE(Raw_Data!D$2:D$5002),Raw_Data!D3865)</f>
        <v>92515.98</v>
      </c>
      <c r="E3865" s="15" t="str">
        <f>IF(ISBLANK(Raw_Data!E3865),AVERAGE(Raw_Data!E$2:E$5002),Raw_Data!E3865)</f>
        <v>32850.98</v>
      </c>
      <c r="F3865" s="15" t="str">
        <f>IF(ISBLANK(Raw_Data!F3865),AVERAGE(Raw_Data!F$2:F$5002),Raw_Data!F3865)</f>
        <v>31559.43</v>
      </c>
      <c r="G3865" s="14" t="str">
        <f>IF(ISBLANK(Raw_Data!G3865),AVERAGE(Raw_Data!G$2:G$5002),Raw_Data!G3865)</f>
        <v>20795.57</v>
      </c>
      <c r="H3865" s="15" t="str">
        <f t="shared" si="1"/>
        <v>156926.00</v>
      </c>
      <c r="I3865" s="14" t="str">
        <f t="shared" si="2"/>
        <v>136130.00</v>
      </c>
      <c r="J3865" s="16" t="str">
        <f>TEXT(Raw_Data!J3865,"MMM-YYY")</f>
        <v>Mar-2025</v>
      </c>
      <c r="K3865" s="13" t="str">
        <f>Raw_Data!K3865</f>
        <v>15</v>
      </c>
      <c r="L3865" s="17" t="str">
        <f>Raw_Data!L3865</f>
        <v>Chandigarh-North</v>
      </c>
      <c r="M3865" s="13" t="str">
        <f t="shared" si="3"/>
        <v>OK</v>
      </c>
      <c r="N3865" s="18" t="str">
        <f t="shared" si="4"/>
        <v>VALID</v>
      </c>
    </row>
    <row r="3866" ht="15.75" customHeight="1">
      <c r="A3866" s="13" t="str">
        <f>Raw_Data!A3866</f>
        <v>EMP4088</v>
      </c>
      <c r="B3866" s="13" t="str">
        <f>TRIM(CLEAN(Raw_Data!B3866))</f>
        <v>Marketing</v>
      </c>
      <c r="C3866" s="18" t="s">
        <v>54</v>
      </c>
      <c r="D3866" s="14" t="str">
        <f>IF(ISBLANK(Raw_Data!D3866),AVERAGE(Raw_Data!D$2:D$5002),Raw_Data!D3866)</f>
        <v>92526.86</v>
      </c>
      <c r="E3866" s="15" t="str">
        <f>IF(ISBLANK(Raw_Data!E3866),AVERAGE(Raw_Data!E$2:E$5002),Raw_Data!E3866)</f>
        <v>32855.59</v>
      </c>
      <c r="F3866" s="15" t="str">
        <f>IF(ISBLANK(Raw_Data!F3866),AVERAGE(Raw_Data!F$2:F$5002),Raw_Data!F3866)</f>
        <v>31567.11</v>
      </c>
      <c r="G3866" s="14" t="str">
        <f>IF(ISBLANK(Raw_Data!G3866),AVERAGE(Raw_Data!G$2:G$5002),Raw_Data!G3866)</f>
        <v>20798.97</v>
      </c>
      <c r="H3866" s="15" t="str">
        <f t="shared" si="1"/>
        <v>156950.00</v>
      </c>
      <c r="I3866" s="14" t="str">
        <f t="shared" si="2"/>
        <v>136151.00</v>
      </c>
      <c r="J3866" s="16" t="str">
        <f>TEXT(Raw_Data!J3866,"MMM-YYY")</f>
        <v>Mar-2025</v>
      </c>
      <c r="K3866" s="13" t="str">
        <f>Raw_Data!K3866</f>
        <v>19</v>
      </c>
      <c r="L3866" s="17" t="str">
        <f>Raw_Data!L3866</f>
        <v>Ahmedabad-West</v>
      </c>
      <c r="M3866" s="13" t="str">
        <f t="shared" si="3"/>
        <v>OK</v>
      </c>
      <c r="N3866" s="18" t="str">
        <f t="shared" si="4"/>
        <v>VALID</v>
      </c>
    </row>
    <row r="3867" ht="15.75" customHeight="1">
      <c r="A3867" s="13" t="str">
        <f>Raw_Data!A3867</f>
        <v>EMP4089</v>
      </c>
      <c r="B3867" s="13" t="str">
        <f>TRIM(CLEAN(Raw_Data!B3867))</f>
        <v>Marketing</v>
      </c>
      <c r="C3867" s="18" t="s">
        <v>18</v>
      </c>
      <c r="D3867" s="14" t="str">
        <f>IF(ISBLANK(Raw_Data!D3867),AVERAGE(Raw_Data!D$2:D$5002),Raw_Data!D3867)</f>
        <v>92537.74</v>
      </c>
      <c r="E3867" s="15" t="str">
        <f>IF(ISBLANK(Raw_Data!E3867),AVERAGE(Raw_Data!E$2:E$5002),Raw_Data!E3867)</f>
        <v>32860.21</v>
      </c>
      <c r="F3867" s="15" t="str">
        <f>IF(ISBLANK(Raw_Data!F3867),AVERAGE(Raw_Data!F$2:F$5002),Raw_Data!F3867)</f>
        <v>31574.79</v>
      </c>
      <c r="G3867" s="14" t="str">
        <f>IF(ISBLANK(Raw_Data!G3867),AVERAGE(Raw_Data!G$2:G$5002),Raw_Data!G3867)</f>
        <v>20802.36</v>
      </c>
      <c r="H3867" s="15" t="str">
        <f t="shared" si="1"/>
        <v>156973.00</v>
      </c>
      <c r="I3867" s="14" t="str">
        <f t="shared" si="2"/>
        <v>136171.00</v>
      </c>
      <c r="J3867" s="16" t="str">
        <f>TEXT(Raw_Data!J3867,"MMM-YYY")</f>
        <v>Oct-2025</v>
      </c>
      <c r="K3867" s="13" t="str">
        <f>Raw_Data!K3867</f>
        <v>21</v>
      </c>
      <c r="L3867" s="17" t="str">
        <f>Raw_Data!L3867</f>
        <v>Jaipur-North</v>
      </c>
      <c r="M3867" s="13" t="str">
        <f t="shared" si="3"/>
        <v>OK</v>
      </c>
      <c r="N3867" s="18" t="str">
        <f t="shared" si="4"/>
        <v>VALID</v>
      </c>
    </row>
    <row r="3868" ht="15.75" customHeight="1">
      <c r="A3868" s="13" t="str">
        <f>Raw_Data!A3868</f>
        <v>EMP4090</v>
      </c>
      <c r="B3868" s="13" t="str">
        <f>TRIM(CLEAN(Raw_Data!B3868))</f>
        <v>IT</v>
      </c>
      <c r="C3868" s="18" t="s">
        <v>33</v>
      </c>
      <c r="D3868" s="14" t="str">
        <f>IF(ISBLANK(Raw_Data!D3868),AVERAGE(Raw_Data!D$2:D$5002),Raw_Data!D3868)</f>
        <v>92548.63</v>
      </c>
      <c r="E3868" s="15" t="str">
        <f>IF(ISBLANK(Raw_Data!E3868),AVERAGE(Raw_Data!E$2:E$5002),Raw_Data!E3868)</f>
        <v>32864.82</v>
      </c>
      <c r="F3868" s="15" t="str">
        <f>IF(ISBLANK(Raw_Data!F3868),AVERAGE(Raw_Data!F$2:F$5002),Raw_Data!F3868)</f>
        <v>31582.47</v>
      </c>
      <c r="G3868" s="14" t="str">
        <f>IF(ISBLANK(Raw_Data!G3868),AVERAGE(Raw_Data!G$2:G$5002),Raw_Data!G3868)</f>
        <v>20805.76</v>
      </c>
      <c r="H3868" s="15" t="str">
        <f t="shared" si="1"/>
        <v>156996.00</v>
      </c>
      <c r="I3868" s="14" t="str">
        <f t="shared" si="2"/>
        <v>136190.00</v>
      </c>
      <c r="J3868" s="16" t="str">
        <f>TEXT(Raw_Data!J3868,"MMM-YYY")</f>
        <v>Jun-2025</v>
      </c>
      <c r="K3868" s="13" t="str">
        <f>Raw_Data!K3868</f>
        <v>13</v>
      </c>
      <c r="L3868" s="17" t="str">
        <f>Raw_Data!L3868</f>
        <v>Mumbai-HO</v>
      </c>
      <c r="M3868" s="13" t="str">
        <f t="shared" si="3"/>
        <v>OK</v>
      </c>
      <c r="N3868" s="18" t="str">
        <f t="shared" si="4"/>
        <v>VALID</v>
      </c>
    </row>
    <row r="3869" ht="15.75" customHeight="1">
      <c r="A3869" s="13" t="str">
        <f>Raw_Data!A3869</f>
        <v>EMP4091</v>
      </c>
      <c r="B3869" s="13" t="str">
        <f>TRIM(CLEAN(Raw_Data!B3869))</f>
        <v>IT</v>
      </c>
      <c r="C3869" s="18" t="s">
        <v>33</v>
      </c>
      <c r="D3869" s="14" t="str">
        <f>IF(ISBLANK(Raw_Data!D3869),AVERAGE(Raw_Data!D$2:D$5002),Raw_Data!D3869)</f>
        <v>92559.51</v>
      </c>
      <c r="E3869" s="15" t="str">
        <f>IF(ISBLANK(Raw_Data!E3869),AVERAGE(Raw_Data!E$2:E$5002),Raw_Data!E3869)</f>
        <v>32869.44</v>
      </c>
      <c r="F3869" s="15" t="str">
        <f>IF(ISBLANK(Raw_Data!F3869),AVERAGE(Raw_Data!F$2:F$5002),Raw_Data!F3869)</f>
        <v>31590.15</v>
      </c>
      <c r="G3869" s="14" t="str">
        <f>IF(ISBLANK(Raw_Data!G3869),AVERAGE(Raw_Data!G$2:G$5002),Raw_Data!G3869)</f>
        <v>20809.16</v>
      </c>
      <c r="H3869" s="15" t="str">
        <f t="shared" si="1"/>
        <v>157019.00</v>
      </c>
      <c r="I3869" s="14" t="str">
        <f t="shared" si="2"/>
        <v>136210.00</v>
      </c>
      <c r="J3869" s="16" t="str">
        <f>TEXT(Raw_Data!J3869,"MMM-YYY")</f>
        <v>Sep-2025</v>
      </c>
      <c r="K3869" s="13" t="str">
        <f>Raw_Data!K3869</f>
        <v>13</v>
      </c>
      <c r="L3869" s="17" t="str">
        <f>Raw_Data!L3869</f>
        <v>Delhi-North</v>
      </c>
      <c r="M3869" s="13" t="str">
        <f t="shared" si="3"/>
        <v>OK</v>
      </c>
      <c r="N3869" s="18" t="str">
        <f t="shared" si="4"/>
        <v>VALID</v>
      </c>
    </row>
    <row r="3870" ht="15.75" customHeight="1">
      <c r="A3870" s="13" t="str">
        <f>Raw_Data!A3870</f>
        <v>EMP4092</v>
      </c>
      <c r="B3870" s="13" t="str">
        <f>TRIM(CLEAN(Raw_Data!B3870))</f>
        <v>Marketing</v>
      </c>
      <c r="C3870" s="18" t="s">
        <v>14</v>
      </c>
      <c r="D3870" s="14" t="str">
        <f>IF(ISBLANK(Raw_Data!D3870),AVERAGE(Raw_Data!D$2:D$5002),Raw_Data!D3870)</f>
        <v>92570.39</v>
      </c>
      <c r="E3870" s="15" t="str">
        <f>IF(ISBLANK(Raw_Data!E3870),AVERAGE(Raw_Data!E$2:E$5002),Raw_Data!E3870)</f>
        <v>32874.05</v>
      </c>
      <c r="F3870" s="15" t="str">
        <f>IF(ISBLANK(Raw_Data!F3870),AVERAGE(Raw_Data!F$2:F$5002),Raw_Data!F3870)</f>
        <v>31597.83</v>
      </c>
      <c r="G3870" s="14" t="str">
        <f>IF(ISBLANK(Raw_Data!G3870),AVERAGE(Raw_Data!G$2:G$5002),Raw_Data!G3870)</f>
        <v>20812.56</v>
      </c>
      <c r="H3870" s="15" t="str">
        <f t="shared" si="1"/>
        <v>157042.00</v>
      </c>
      <c r="I3870" s="14" t="str">
        <f t="shared" si="2"/>
        <v>136229.00</v>
      </c>
      <c r="J3870" s="16" t="str">
        <f>TEXT(Raw_Data!J3870,"MMM-YYY")</f>
        <v>May-2025</v>
      </c>
      <c r="K3870" s="13" t="str">
        <f>Raw_Data!K3870</f>
        <v>19</v>
      </c>
      <c r="L3870" s="17" t="str">
        <f>Raw_Data!L3870</f>
        <v>Bangalore-South</v>
      </c>
      <c r="M3870" s="13" t="str">
        <f t="shared" si="3"/>
        <v>OK</v>
      </c>
      <c r="N3870" s="18" t="str">
        <f t="shared" si="4"/>
        <v>VALID</v>
      </c>
    </row>
    <row r="3871" ht="15.75" customHeight="1">
      <c r="A3871" s="13" t="str">
        <f>Raw_Data!A3871</f>
        <v>EMP4093</v>
      </c>
      <c r="B3871" s="13" t="str">
        <f>TRIM(CLEAN(Raw_Data!B3871))</f>
        <v>Customer Support</v>
      </c>
      <c r="C3871" s="18" t="s">
        <v>30</v>
      </c>
      <c r="D3871" s="14" t="str">
        <f>IF(ISBLANK(Raw_Data!D3871),AVERAGE(Raw_Data!D$2:D$5002),Raw_Data!D3871)</f>
        <v>92581.28</v>
      </c>
      <c r="E3871" s="15" t="str">
        <f>IF(ISBLANK(Raw_Data!E3871),AVERAGE(Raw_Data!E$2:E$5002),Raw_Data!E3871)</f>
        <v>32878.67</v>
      </c>
      <c r="F3871" s="15" t="str">
        <f>IF(ISBLANK(Raw_Data!F3871),AVERAGE(Raw_Data!F$2:F$5002),Raw_Data!F3871)</f>
        <v>31605.51</v>
      </c>
      <c r="G3871" s="14" t="str">
        <f>IF(ISBLANK(Raw_Data!G3871),AVERAGE(Raw_Data!G$2:G$5002),Raw_Data!G3871)</f>
        <v>20815.95</v>
      </c>
      <c r="H3871" s="15" t="str">
        <f t="shared" si="1"/>
        <v>157065.00</v>
      </c>
      <c r="I3871" s="14" t="str">
        <f t="shared" si="2"/>
        <v>136249.00</v>
      </c>
      <c r="J3871" s="16" t="str">
        <f>TEXT(Raw_Data!J3871,"MMM-YYY")</f>
        <v>Nov-2025</v>
      </c>
      <c r="K3871" s="13" t="str">
        <f>Raw_Data!K3871</f>
        <v>8</v>
      </c>
      <c r="L3871" s="17" t="str">
        <f>Raw_Data!L3871</f>
        <v>Chennai-South</v>
      </c>
      <c r="M3871" s="13" t="str">
        <f t="shared" si="3"/>
        <v>OK</v>
      </c>
      <c r="N3871" s="18" t="str">
        <f t="shared" si="4"/>
        <v>VALID</v>
      </c>
    </row>
    <row r="3872" ht="15.75" customHeight="1">
      <c r="A3872" s="13" t="str">
        <f>Raw_Data!A3872</f>
        <v>EMP4094</v>
      </c>
      <c r="B3872" s="13" t="str">
        <f>TRIM(CLEAN(Raw_Data!B3872))</f>
        <v>HR</v>
      </c>
      <c r="C3872" s="18" t="s">
        <v>26</v>
      </c>
      <c r="D3872" s="14" t="str">
        <f>IF(ISBLANK(Raw_Data!D3872),AVERAGE(Raw_Data!D$2:D$5002),Raw_Data!D3872)</f>
        <v>92592.16</v>
      </c>
      <c r="E3872" s="15" t="str">
        <f>IF(ISBLANK(Raw_Data!E3872),AVERAGE(Raw_Data!E$2:E$5002),Raw_Data!E3872)</f>
        <v>32883.28</v>
      </c>
      <c r="F3872" s="15" t="str">
        <f>IF(ISBLANK(Raw_Data!F3872),AVERAGE(Raw_Data!F$2:F$5002),Raw_Data!F3872)</f>
        <v>31613.19</v>
      </c>
      <c r="G3872" s="14" t="str">
        <f>IF(ISBLANK(Raw_Data!G3872),AVERAGE(Raw_Data!G$2:G$5002),Raw_Data!G3872)</f>
        <v>20819.35</v>
      </c>
      <c r="H3872" s="15" t="str">
        <f t="shared" si="1"/>
        <v>157089.00</v>
      </c>
      <c r="I3872" s="14" t="str">
        <f t="shared" si="2"/>
        <v>136270.00</v>
      </c>
      <c r="J3872" s="16" t="str">
        <f>TEXT(Raw_Data!J3872,"MMM-YYY")</f>
        <v>Dec-2025</v>
      </c>
      <c r="K3872" s="13" t="str">
        <f>Raw_Data!K3872</f>
        <v>19</v>
      </c>
      <c r="L3872" s="17" t="str">
        <f>Raw_Data!L3872</f>
        <v>Kolkata-East</v>
      </c>
      <c r="M3872" s="13" t="str">
        <f t="shared" si="3"/>
        <v>OK</v>
      </c>
      <c r="N3872" s="18" t="str">
        <f t="shared" si="4"/>
        <v>VALID</v>
      </c>
    </row>
    <row r="3873" ht="15.75" customHeight="1">
      <c r="A3873" s="13" t="str">
        <f>Raw_Data!A3873</f>
        <v>EMP4095</v>
      </c>
      <c r="B3873" s="13" t="str">
        <f>TRIM(CLEAN(Raw_Data!B3873))</f>
        <v>HR</v>
      </c>
      <c r="C3873" s="18" t="s">
        <v>14</v>
      </c>
      <c r="D3873" s="14" t="str">
        <f>IF(ISBLANK(Raw_Data!D3873),AVERAGE(Raw_Data!D$2:D$5002),Raw_Data!D3873)</f>
        <v>92603.04</v>
      </c>
      <c r="E3873" s="15" t="str">
        <f>IF(ISBLANK(Raw_Data!E3873),AVERAGE(Raw_Data!E$2:E$5002),Raw_Data!E3873)</f>
        <v>32887.90</v>
      </c>
      <c r="F3873" s="15" t="str">
        <f>IF(ISBLANK(Raw_Data!F3873),AVERAGE(Raw_Data!F$2:F$5002),Raw_Data!F3873)</f>
        <v>31620.87</v>
      </c>
      <c r="G3873" s="14" t="str">
        <f>IF(ISBLANK(Raw_Data!G3873),AVERAGE(Raw_Data!G$2:G$5002),Raw_Data!G3873)</f>
        <v>20822.75</v>
      </c>
      <c r="H3873" s="15" t="str">
        <f t="shared" si="1"/>
        <v>157112.00</v>
      </c>
      <c r="I3873" s="14" t="str">
        <f t="shared" si="2"/>
        <v>136289.00</v>
      </c>
      <c r="J3873" s="16" t="str">
        <f>TEXT(Raw_Data!J3873,"MMM-YYY")</f>
        <v>Oct-2025</v>
      </c>
      <c r="K3873" s="13" t="str">
        <f>Raw_Data!K3873</f>
        <v>15</v>
      </c>
      <c r="L3873" s="17" t="str">
        <f>Raw_Data!L3873</f>
        <v>Pune-West</v>
      </c>
      <c r="M3873" s="13" t="str">
        <f t="shared" si="3"/>
        <v>OK</v>
      </c>
      <c r="N3873" s="18" t="str">
        <f t="shared" si="4"/>
        <v>VALID</v>
      </c>
    </row>
    <row r="3874" ht="15.75" customHeight="1">
      <c r="A3874" s="13" t="str">
        <f>Raw_Data!A3874</f>
        <v>EMP4096</v>
      </c>
      <c r="B3874" s="13" t="str">
        <f>TRIM(CLEAN(Raw_Data!B3874))</f>
        <v>Customer Support</v>
      </c>
      <c r="C3874" s="18" t="s">
        <v>18</v>
      </c>
      <c r="D3874" s="14" t="str">
        <f>IF(ISBLANK(Raw_Data!D3874),AVERAGE(Raw_Data!D$2:D$5002),Raw_Data!D3874)</f>
        <v>92613.92</v>
      </c>
      <c r="E3874" s="15" t="str">
        <f>IF(ISBLANK(Raw_Data!E3874),AVERAGE(Raw_Data!E$2:E$5002),Raw_Data!E3874)</f>
        <v>32892.51</v>
      </c>
      <c r="F3874" s="15" t="str">
        <f>IF(ISBLANK(Raw_Data!F3874),AVERAGE(Raw_Data!F$2:F$5002),Raw_Data!F3874)</f>
        <v>31628.55</v>
      </c>
      <c r="G3874" s="14" t="str">
        <f>IF(ISBLANK(Raw_Data!G3874),AVERAGE(Raw_Data!G$2:G$5002),Raw_Data!G3874)</f>
        <v>20826.15</v>
      </c>
      <c r="H3874" s="15" t="str">
        <f t="shared" si="1"/>
        <v>157135.00</v>
      </c>
      <c r="I3874" s="14" t="str">
        <f t="shared" si="2"/>
        <v>136309.00</v>
      </c>
      <c r="J3874" s="16" t="str">
        <f>TEXT(Raw_Data!J3874,"MMM-YYY")</f>
        <v>Sep-2025</v>
      </c>
      <c r="K3874" s="13" t="str">
        <f>Raw_Data!K3874</f>
        <v>11</v>
      </c>
      <c r="L3874" s="17" t="str">
        <f>Raw_Data!L3874</f>
        <v>Hyderabad-South</v>
      </c>
      <c r="M3874" s="13" t="str">
        <f t="shared" si="3"/>
        <v>OK</v>
      </c>
      <c r="N3874" s="18" t="str">
        <f t="shared" si="4"/>
        <v>VALID</v>
      </c>
    </row>
    <row r="3875" ht="15.75" customHeight="1">
      <c r="A3875" s="13" t="str">
        <f>Raw_Data!A3875</f>
        <v>EMP4097</v>
      </c>
      <c r="B3875" s="13" t="str">
        <f>TRIM(CLEAN(Raw_Data!B3875))</f>
        <v>Marketing</v>
      </c>
      <c r="C3875" s="18" t="s">
        <v>18</v>
      </c>
      <c r="D3875" s="14" t="str">
        <f>IF(ISBLANK(Raw_Data!D3875),AVERAGE(Raw_Data!D$2:D$5002),Raw_Data!D3875)</f>
        <v>92624.81</v>
      </c>
      <c r="E3875" s="15" t="str">
        <f>IF(ISBLANK(Raw_Data!E3875),AVERAGE(Raw_Data!E$2:E$5002),Raw_Data!E3875)</f>
        <v>32897.13</v>
      </c>
      <c r="F3875" s="15" t="str">
        <f>IF(ISBLANK(Raw_Data!F3875),AVERAGE(Raw_Data!F$2:F$5002),Raw_Data!F3875)</f>
        <v>31636.23</v>
      </c>
      <c r="G3875" s="14" t="str">
        <f>IF(ISBLANK(Raw_Data!G3875),AVERAGE(Raw_Data!G$2:G$5002),Raw_Data!G3875)</f>
        <v>20829.54</v>
      </c>
      <c r="H3875" s="15" t="str">
        <f t="shared" si="1"/>
        <v>157158.00</v>
      </c>
      <c r="I3875" s="14" t="str">
        <f t="shared" si="2"/>
        <v>136328.00</v>
      </c>
      <c r="J3875" s="16" t="str">
        <f>TEXT(Raw_Data!J3875,"MMM-YYY")</f>
        <v>Oct-2025</v>
      </c>
      <c r="K3875" s="13" t="str">
        <f>Raw_Data!K3875</f>
        <v>3</v>
      </c>
      <c r="L3875" s="17" t="str">
        <f>Raw_Data!L3875</f>
        <v>Chandigarh-North</v>
      </c>
      <c r="M3875" s="13" t="str">
        <f t="shared" si="3"/>
        <v>OK</v>
      </c>
      <c r="N3875" s="18" t="str">
        <f t="shared" si="4"/>
        <v>VALID</v>
      </c>
    </row>
    <row r="3876" ht="15.75" customHeight="1">
      <c r="A3876" s="13" t="str">
        <f>Raw_Data!A3876</f>
        <v>EMP4098</v>
      </c>
      <c r="B3876" s="13" t="str">
        <f>TRIM(CLEAN(Raw_Data!B3876))</f>
        <v>Marketing</v>
      </c>
      <c r="C3876" s="18" t="s">
        <v>30</v>
      </c>
      <c r="D3876" s="14" t="str">
        <f>IF(ISBLANK(Raw_Data!D3876),AVERAGE(Raw_Data!D$2:D$5002),Raw_Data!D3876)</f>
        <v>92635.69</v>
      </c>
      <c r="E3876" s="15" t="str">
        <f>IF(ISBLANK(Raw_Data!E3876),AVERAGE(Raw_Data!E$2:E$5002),Raw_Data!E3876)</f>
        <v>32901.74</v>
      </c>
      <c r="F3876" s="15" t="str">
        <f>IF(ISBLANK(Raw_Data!F3876),AVERAGE(Raw_Data!F$2:F$5002),Raw_Data!F3876)</f>
        <v>31643.91</v>
      </c>
      <c r="G3876" s="14" t="str">
        <f>IF(ISBLANK(Raw_Data!G3876),AVERAGE(Raw_Data!G$2:G$5002),Raw_Data!G3876)</f>
        <v>20832.94</v>
      </c>
      <c r="H3876" s="15" t="str">
        <f t="shared" si="1"/>
        <v>157181.00</v>
      </c>
      <c r="I3876" s="14" t="str">
        <f t="shared" si="2"/>
        <v>136348.00</v>
      </c>
      <c r="J3876" s="16" t="str">
        <f>TEXT(Raw_Data!J3876,"MMM-YYY")</f>
        <v>Mar-2025</v>
      </c>
      <c r="K3876" s="13" t="str">
        <f>Raw_Data!K3876</f>
        <v>12</v>
      </c>
      <c r="L3876" s="17" t="str">
        <f>Raw_Data!L3876</f>
        <v>Ahmedabad-West</v>
      </c>
      <c r="M3876" s="13" t="str">
        <f t="shared" si="3"/>
        <v>OK</v>
      </c>
      <c r="N3876" s="18" t="str">
        <f t="shared" si="4"/>
        <v>VALID</v>
      </c>
    </row>
    <row r="3877" ht="15.75" customHeight="1">
      <c r="A3877" s="13" t="str">
        <f>Raw_Data!A3877</f>
        <v>EMP4099</v>
      </c>
      <c r="B3877" s="13" t="str">
        <f>TRIM(CLEAN(Raw_Data!B3877))</f>
        <v>Marketing</v>
      </c>
      <c r="C3877" s="18" t="s">
        <v>54</v>
      </c>
      <c r="D3877" s="14" t="str">
        <f>IF(ISBLANK(Raw_Data!D3877),AVERAGE(Raw_Data!D$2:D$5002),Raw_Data!D3877)</f>
        <v>92646.57</v>
      </c>
      <c r="E3877" s="15" t="str">
        <f>IF(ISBLANK(Raw_Data!E3877),AVERAGE(Raw_Data!E$2:E$5002),Raw_Data!E3877)</f>
        <v>32906.35</v>
      </c>
      <c r="F3877" s="15" t="str">
        <f>IF(ISBLANK(Raw_Data!F3877),AVERAGE(Raw_Data!F$2:F$5002),Raw_Data!F3877)</f>
        <v>31651.59</v>
      </c>
      <c r="G3877" s="14" t="str">
        <f>IF(ISBLANK(Raw_Data!G3877),AVERAGE(Raw_Data!G$2:G$5002),Raw_Data!G3877)</f>
        <v>20836.34</v>
      </c>
      <c r="H3877" s="15" t="str">
        <f t="shared" si="1"/>
        <v>157205.00</v>
      </c>
      <c r="I3877" s="14" t="str">
        <f t="shared" si="2"/>
        <v>136369.00</v>
      </c>
      <c r="J3877" s="16" t="str">
        <f>TEXT(Raw_Data!J3877,"MMM-YYY")</f>
        <v>Jul-2025</v>
      </c>
      <c r="K3877" s="13" t="str">
        <f>Raw_Data!K3877</f>
        <v>16</v>
      </c>
      <c r="L3877" s="17" t="str">
        <f>Raw_Data!L3877</f>
        <v>Jaipur-North</v>
      </c>
      <c r="M3877" s="13" t="str">
        <f t="shared" si="3"/>
        <v>OK</v>
      </c>
      <c r="N3877" s="18" t="str">
        <f t="shared" si="4"/>
        <v>VALID</v>
      </c>
    </row>
    <row r="3878" ht="15.75" customHeight="1">
      <c r="A3878" s="13" t="str">
        <f>Raw_Data!A3878</f>
        <v>EMP4100</v>
      </c>
      <c r="B3878" s="13" t="str">
        <f>TRIM(CLEAN(Raw_Data!B3878))</f>
        <v>HR</v>
      </c>
      <c r="C3878" s="18" t="s">
        <v>37</v>
      </c>
      <c r="D3878" s="14" t="str">
        <f>IF(ISBLANK(Raw_Data!D3878),AVERAGE(Raw_Data!D$2:D$5002),Raw_Data!D3878)</f>
        <v>92657.46</v>
      </c>
      <c r="E3878" s="15" t="str">
        <f>IF(ISBLANK(Raw_Data!E3878),AVERAGE(Raw_Data!E$2:E$5002),Raw_Data!E3878)</f>
        <v>32910.97</v>
      </c>
      <c r="F3878" s="15" t="str">
        <f>IF(ISBLANK(Raw_Data!F3878),AVERAGE(Raw_Data!F$2:F$5002),Raw_Data!F3878)</f>
        <v>31659.27</v>
      </c>
      <c r="G3878" s="14" t="str">
        <f>IF(ISBLANK(Raw_Data!G3878),AVERAGE(Raw_Data!G$2:G$5002),Raw_Data!G3878)</f>
        <v>20839.74</v>
      </c>
      <c r="H3878" s="15" t="str">
        <f t="shared" si="1"/>
        <v>157228.00</v>
      </c>
      <c r="I3878" s="14" t="str">
        <f t="shared" si="2"/>
        <v>136388.00</v>
      </c>
      <c r="J3878" s="16" t="str">
        <f>TEXT(Raw_Data!J3878,"MMM-YYY")</f>
        <v>May-2025</v>
      </c>
      <c r="K3878" s="13" t="str">
        <f>Raw_Data!K3878</f>
        <v>23</v>
      </c>
      <c r="L3878" s="17" t="str">
        <f>Raw_Data!L3878</f>
        <v>Mumbai-HO</v>
      </c>
      <c r="M3878" s="13" t="str">
        <f t="shared" si="3"/>
        <v>OK</v>
      </c>
      <c r="N3878" s="18" t="str">
        <f t="shared" si="4"/>
        <v>VALID</v>
      </c>
    </row>
    <row r="3879" ht="15.75" customHeight="1">
      <c r="A3879" s="13" t="str">
        <f>Raw_Data!A3879</f>
        <v>EMP4101</v>
      </c>
      <c r="B3879" s="13" t="str">
        <f>TRIM(CLEAN(Raw_Data!B3879))</f>
        <v>Sales</v>
      </c>
      <c r="C3879" s="18" t="s">
        <v>30</v>
      </c>
      <c r="D3879" s="14" t="str">
        <f>IF(ISBLANK(Raw_Data!D3879),AVERAGE(Raw_Data!D$2:D$5002),Raw_Data!D3879)</f>
        <v>92668.34</v>
      </c>
      <c r="E3879" s="15" t="str">
        <f>IF(ISBLANK(Raw_Data!E3879),AVERAGE(Raw_Data!E$2:E$5002),Raw_Data!E3879)</f>
        <v>32915.58</v>
      </c>
      <c r="F3879" s="15" t="str">
        <f>IF(ISBLANK(Raw_Data!F3879),AVERAGE(Raw_Data!F$2:F$5002),Raw_Data!F3879)</f>
        <v>31666.95</v>
      </c>
      <c r="G3879" s="14" t="str">
        <f>IF(ISBLANK(Raw_Data!G3879),AVERAGE(Raw_Data!G$2:G$5002),Raw_Data!G3879)</f>
        <v>20843.13</v>
      </c>
      <c r="H3879" s="15" t="str">
        <f t="shared" si="1"/>
        <v>157251.00</v>
      </c>
      <c r="I3879" s="14" t="str">
        <f t="shared" si="2"/>
        <v>136408.00</v>
      </c>
      <c r="J3879" s="16" t="str">
        <f>TEXT(Raw_Data!J3879,"MMM-YYY")</f>
        <v>Apr-2025</v>
      </c>
      <c r="K3879" s="13" t="str">
        <f>Raw_Data!K3879</f>
        <v>20</v>
      </c>
      <c r="L3879" s="17" t="str">
        <f>Raw_Data!L3879</f>
        <v>Delhi-North</v>
      </c>
      <c r="M3879" s="13" t="str">
        <f t="shared" si="3"/>
        <v>OK</v>
      </c>
      <c r="N3879" s="18" t="str">
        <f t="shared" si="4"/>
        <v>VALID</v>
      </c>
    </row>
    <row r="3880" ht="15.75" customHeight="1">
      <c r="A3880" s="13" t="str">
        <f>Raw_Data!A3880</f>
        <v>EMP4102</v>
      </c>
      <c r="B3880" s="13" t="str">
        <f>TRIM(CLEAN(Raw_Data!B3880))</f>
        <v>Sales</v>
      </c>
      <c r="C3880" s="18" t="s">
        <v>33</v>
      </c>
      <c r="D3880" s="14" t="str">
        <f>IF(ISBLANK(Raw_Data!D3880),AVERAGE(Raw_Data!D$2:D$5002),Raw_Data!D3880)</f>
        <v>92679.22</v>
      </c>
      <c r="E3880" s="15" t="str">
        <f>IF(ISBLANK(Raw_Data!E3880),AVERAGE(Raw_Data!E$2:E$5002),Raw_Data!E3880)</f>
        <v>32920.20</v>
      </c>
      <c r="F3880" s="15" t="str">
        <f>IF(ISBLANK(Raw_Data!F3880),AVERAGE(Raw_Data!F$2:F$5002),Raw_Data!F3880)</f>
        <v>31674.63</v>
      </c>
      <c r="G3880" s="14" t="str">
        <f>IF(ISBLANK(Raw_Data!G3880),AVERAGE(Raw_Data!G$2:G$5002),Raw_Data!G3880)</f>
        <v>20846.53</v>
      </c>
      <c r="H3880" s="15" t="str">
        <f t="shared" si="1"/>
        <v>157274.00</v>
      </c>
      <c r="I3880" s="14" t="str">
        <f t="shared" si="2"/>
        <v>136427.00</v>
      </c>
      <c r="J3880" s="16" t="str">
        <f>TEXT(Raw_Data!J3880,"MMM-YYY")</f>
        <v>Sep-2025</v>
      </c>
      <c r="K3880" s="13" t="str">
        <f>Raw_Data!K3880</f>
        <v>17</v>
      </c>
      <c r="L3880" s="17" t="str">
        <f>Raw_Data!L3880</f>
        <v>Bangalore-South</v>
      </c>
      <c r="M3880" s="13" t="str">
        <f t="shared" si="3"/>
        <v>OK</v>
      </c>
      <c r="N3880" s="18" t="str">
        <f t="shared" si="4"/>
        <v>VALID</v>
      </c>
    </row>
    <row r="3881" ht="15.75" customHeight="1">
      <c r="A3881" s="13" t="str">
        <f>Raw_Data!A3881</f>
        <v>EMP4103</v>
      </c>
      <c r="B3881" s="13" t="str">
        <f>TRIM(CLEAN(Raw_Data!B3881))</f>
        <v>Customer Support</v>
      </c>
      <c r="C3881" s="18" t="s">
        <v>33</v>
      </c>
      <c r="D3881" s="14" t="str">
        <f>IF(ISBLANK(Raw_Data!D3881),AVERAGE(Raw_Data!D$2:D$5002),Raw_Data!D3881)</f>
        <v>92690.11</v>
      </c>
      <c r="E3881" s="15" t="str">
        <f>IF(ISBLANK(Raw_Data!E3881),AVERAGE(Raw_Data!E$2:E$5002),Raw_Data!E3881)</f>
        <v>32924.81</v>
      </c>
      <c r="F3881" s="15" t="str">
        <f>IF(ISBLANK(Raw_Data!F3881),AVERAGE(Raw_Data!F$2:F$5002),Raw_Data!F3881)</f>
        <v>31682.31</v>
      </c>
      <c r="G3881" s="14" t="str">
        <f>IF(ISBLANK(Raw_Data!G3881),AVERAGE(Raw_Data!G$2:G$5002),Raw_Data!G3881)</f>
        <v>20849.93</v>
      </c>
      <c r="H3881" s="15" t="str">
        <f t="shared" si="1"/>
        <v>157297.00</v>
      </c>
      <c r="I3881" s="14" t="str">
        <f t="shared" si="2"/>
        <v>136447.00</v>
      </c>
      <c r="J3881" s="16" t="str">
        <f>TEXT(Raw_Data!J3881,"MMM-YYY")</f>
        <v>Feb-2025</v>
      </c>
      <c r="K3881" s="13" t="str">
        <f>Raw_Data!K3881</f>
        <v>10</v>
      </c>
      <c r="L3881" s="17" t="str">
        <f>Raw_Data!L3881</f>
        <v>Chennai-South</v>
      </c>
      <c r="M3881" s="13" t="str">
        <f t="shared" si="3"/>
        <v>OK</v>
      </c>
      <c r="N3881" s="18" t="str">
        <f t="shared" si="4"/>
        <v>VALID</v>
      </c>
    </row>
    <row r="3882" ht="15.75" customHeight="1">
      <c r="A3882" s="13" t="str">
        <f>Raw_Data!A3882</f>
        <v>EMP4105</v>
      </c>
      <c r="B3882" s="13" t="str">
        <f>TRIM(CLEAN(Raw_Data!B3882))</f>
        <v>Marketing</v>
      </c>
      <c r="C3882" s="18" t="s">
        <v>33</v>
      </c>
      <c r="D3882" s="14" t="str">
        <f>IF(ISBLANK(Raw_Data!D3882),AVERAGE(Raw_Data!D$2:D$5002),Raw_Data!D3882)</f>
        <v>92711.87</v>
      </c>
      <c r="E3882" s="15" t="str">
        <f>IF(ISBLANK(Raw_Data!E3882),AVERAGE(Raw_Data!E$2:E$5002),Raw_Data!E3882)</f>
        <v>32934.04</v>
      </c>
      <c r="F3882" s="15" t="str">
        <f>IF(ISBLANK(Raw_Data!F3882),AVERAGE(Raw_Data!F$2:F$5002),Raw_Data!F3882)</f>
        <v>31697.67</v>
      </c>
      <c r="G3882" s="14" t="str">
        <f>IF(ISBLANK(Raw_Data!G3882),AVERAGE(Raw_Data!G$2:G$5002),Raw_Data!G3882)</f>
        <v>20856.72</v>
      </c>
      <c r="H3882" s="15" t="str">
        <f t="shared" si="1"/>
        <v>157344.00</v>
      </c>
      <c r="I3882" s="14" t="str">
        <f t="shared" si="2"/>
        <v>136487.00</v>
      </c>
      <c r="J3882" s="16" t="str">
        <f>TEXT(Raw_Data!J3882,"MMM-YYY")</f>
        <v>Dec-2025</v>
      </c>
      <c r="K3882" s="13" t="str">
        <f>Raw_Data!K3882</f>
        <v>13</v>
      </c>
      <c r="L3882" s="17" t="str">
        <f>Raw_Data!L3882</f>
        <v>Pune-West</v>
      </c>
      <c r="M3882" s="13" t="str">
        <f t="shared" si="3"/>
        <v>OK</v>
      </c>
      <c r="N3882" s="18" t="str">
        <f t="shared" si="4"/>
        <v>VALID</v>
      </c>
    </row>
    <row r="3883" ht="15.75" customHeight="1">
      <c r="A3883" s="13" t="str">
        <f>Raw_Data!A3883</f>
        <v>EMP4106</v>
      </c>
      <c r="B3883" s="13" t="str">
        <f>TRIM(CLEAN(Raw_Data!B3883))</f>
        <v>Finance</v>
      </c>
      <c r="C3883" s="18" t="s">
        <v>37</v>
      </c>
      <c r="D3883" s="14" t="str">
        <f>IF(ISBLANK(Raw_Data!D3883),AVERAGE(Raw_Data!D$2:D$5002),Raw_Data!D3883)</f>
        <v>92722.75</v>
      </c>
      <c r="E3883" s="15" t="str">
        <f>IF(ISBLANK(Raw_Data!E3883),AVERAGE(Raw_Data!E$2:E$5002),Raw_Data!E3883)</f>
        <v>32938.66</v>
      </c>
      <c r="F3883" s="15" t="str">
        <f>IF(ISBLANK(Raw_Data!F3883),AVERAGE(Raw_Data!F$2:F$5002),Raw_Data!F3883)</f>
        <v>31705.35</v>
      </c>
      <c r="G3883" s="14" t="str">
        <f>IF(ISBLANK(Raw_Data!G3883),AVERAGE(Raw_Data!G$2:G$5002),Raw_Data!G3883)</f>
        <v>20860.12</v>
      </c>
      <c r="H3883" s="15" t="str">
        <f t="shared" si="1"/>
        <v>157367.00</v>
      </c>
      <c r="I3883" s="14" t="str">
        <f t="shared" si="2"/>
        <v>136507.00</v>
      </c>
      <c r="J3883" s="16" t="str">
        <f>TEXT(Raw_Data!J3883,"MMM-YYY")</f>
        <v>Feb-2025</v>
      </c>
      <c r="K3883" s="13" t="str">
        <f>Raw_Data!K3883</f>
        <v>13</v>
      </c>
      <c r="L3883" s="17" t="str">
        <f>Raw_Data!L3883</f>
        <v>Hyderabad-South</v>
      </c>
      <c r="M3883" s="13" t="str">
        <f t="shared" si="3"/>
        <v>OK</v>
      </c>
      <c r="N3883" s="18" t="str">
        <f t="shared" si="4"/>
        <v>VALID</v>
      </c>
    </row>
    <row r="3884" ht="15.75" customHeight="1">
      <c r="A3884" s="13" t="str">
        <f>Raw_Data!A3884</f>
        <v>EMP4107</v>
      </c>
      <c r="B3884" s="13" t="str">
        <f>TRIM(CLEAN(Raw_Data!B3884))</f>
        <v>HR</v>
      </c>
      <c r="C3884" s="18" t="s">
        <v>14</v>
      </c>
      <c r="D3884" s="14" t="str">
        <f>IF(ISBLANK(Raw_Data!D3884),AVERAGE(Raw_Data!D$2:D$5002),Raw_Data!D3884)</f>
        <v>92733.64</v>
      </c>
      <c r="E3884" s="15" t="str">
        <f>IF(ISBLANK(Raw_Data!E3884),AVERAGE(Raw_Data!E$2:E$5002),Raw_Data!E3884)</f>
        <v>32943.27</v>
      </c>
      <c r="F3884" s="15" t="str">
        <f>IF(ISBLANK(Raw_Data!F3884),AVERAGE(Raw_Data!F$2:F$5002),Raw_Data!F3884)</f>
        <v>31713.03</v>
      </c>
      <c r="G3884" s="14" t="str">
        <f>IF(ISBLANK(Raw_Data!G3884),AVERAGE(Raw_Data!G$2:G$5002),Raw_Data!G3884)</f>
        <v>20863.52</v>
      </c>
      <c r="H3884" s="15" t="str">
        <f t="shared" si="1"/>
        <v>157390.00</v>
      </c>
      <c r="I3884" s="14" t="str">
        <f t="shared" si="2"/>
        <v>136526.00</v>
      </c>
      <c r="J3884" s="16" t="str">
        <f>TEXT(Raw_Data!J3884,"MMM-YYY")</f>
        <v>Dec-2025</v>
      </c>
      <c r="K3884" s="13" t="str">
        <f>Raw_Data!K3884</f>
        <v>3</v>
      </c>
      <c r="L3884" s="17" t="str">
        <f>Raw_Data!L3884</f>
        <v>Chandigarh-North</v>
      </c>
      <c r="M3884" s="13" t="str">
        <f t="shared" si="3"/>
        <v>OK</v>
      </c>
      <c r="N3884" s="18" t="str">
        <f t="shared" si="4"/>
        <v>VALID</v>
      </c>
    </row>
    <row r="3885" ht="15.75" customHeight="1">
      <c r="A3885" s="13" t="str">
        <f>Raw_Data!A3885</f>
        <v>EMP4108</v>
      </c>
      <c r="B3885" s="13" t="str">
        <f>TRIM(CLEAN(Raw_Data!B3885))</f>
        <v>Customer Support</v>
      </c>
      <c r="C3885" s="18" t="s">
        <v>26</v>
      </c>
      <c r="D3885" s="14" t="str">
        <f>IF(ISBLANK(Raw_Data!D3885),AVERAGE(Raw_Data!D$2:D$5002),Raw_Data!D3885)</f>
        <v>92744.52</v>
      </c>
      <c r="E3885" s="15" t="str">
        <f>IF(ISBLANK(Raw_Data!E3885),AVERAGE(Raw_Data!E$2:E$5002),Raw_Data!E3885)</f>
        <v>32947.89</v>
      </c>
      <c r="F3885" s="15" t="str">
        <f>IF(ISBLANK(Raw_Data!F3885),AVERAGE(Raw_Data!F$2:F$5002),Raw_Data!F3885)</f>
        <v>31720.71</v>
      </c>
      <c r="G3885" s="14" t="str">
        <f>IF(ISBLANK(Raw_Data!G3885),AVERAGE(Raw_Data!G$2:G$5002),Raw_Data!G3885)</f>
        <v>20866.92</v>
      </c>
      <c r="H3885" s="15" t="str">
        <f t="shared" si="1"/>
        <v>157413.00</v>
      </c>
      <c r="I3885" s="14" t="str">
        <f t="shared" si="2"/>
        <v>136546.00</v>
      </c>
      <c r="J3885" s="16" t="str">
        <f>TEXT(Raw_Data!J3885,"MMM-YYY")</f>
        <v>Aug-2025</v>
      </c>
      <c r="K3885" s="13" t="str">
        <f>Raw_Data!K3885</f>
        <v>11</v>
      </c>
      <c r="L3885" s="17" t="str">
        <f>Raw_Data!L3885</f>
        <v>Ahmedabad-West</v>
      </c>
      <c r="M3885" s="13" t="str">
        <f t="shared" si="3"/>
        <v>OK</v>
      </c>
      <c r="N3885" s="18" t="str">
        <f t="shared" si="4"/>
        <v>VALID</v>
      </c>
    </row>
    <row r="3886" ht="15.75" customHeight="1">
      <c r="A3886" s="13" t="str">
        <f>Raw_Data!A3886</f>
        <v>EMP4109</v>
      </c>
      <c r="B3886" s="13" t="str">
        <f>TRIM(CLEAN(Raw_Data!B3886))</f>
        <v>Sales</v>
      </c>
      <c r="C3886" s="18" t="s">
        <v>26</v>
      </c>
      <c r="D3886" s="14" t="str">
        <f>IF(ISBLANK(Raw_Data!D3886),AVERAGE(Raw_Data!D$2:D$5002),Raw_Data!D3886)</f>
        <v>92755.40</v>
      </c>
      <c r="E3886" s="15" t="str">
        <f>IF(ISBLANK(Raw_Data!E3886),AVERAGE(Raw_Data!E$2:E$5002),Raw_Data!E3886)</f>
        <v>32952.50</v>
      </c>
      <c r="F3886" s="15" t="str">
        <f>IF(ISBLANK(Raw_Data!F3886),AVERAGE(Raw_Data!F$2:F$5002),Raw_Data!F3886)</f>
        <v>31728.39</v>
      </c>
      <c r="G3886" s="14" t="str">
        <f>IF(ISBLANK(Raw_Data!G3886),AVERAGE(Raw_Data!G$2:G$5002),Raw_Data!G3886)</f>
        <v>20870.31</v>
      </c>
      <c r="H3886" s="15" t="str">
        <f t="shared" si="1"/>
        <v>157436.00</v>
      </c>
      <c r="I3886" s="14" t="str">
        <f t="shared" si="2"/>
        <v>136566.00</v>
      </c>
      <c r="J3886" s="16" t="str">
        <f>TEXT(Raw_Data!J3886,"MMM-YYY")</f>
        <v>Jul-2025</v>
      </c>
      <c r="K3886" s="13" t="str">
        <f>Raw_Data!K3886</f>
        <v>24</v>
      </c>
      <c r="L3886" s="17" t="str">
        <f>Raw_Data!L3886</f>
        <v>Jaipur-North</v>
      </c>
      <c r="M3886" s="13" t="str">
        <f t="shared" si="3"/>
        <v>OK</v>
      </c>
      <c r="N3886" s="18" t="str">
        <f t="shared" si="4"/>
        <v>VALID</v>
      </c>
    </row>
    <row r="3887" ht="15.75" customHeight="1">
      <c r="A3887" s="13" t="str">
        <f>Raw_Data!A3887</f>
        <v>EMP4110</v>
      </c>
      <c r="B3887" s="13" t="str">
        <f>TRIM(CLEAN(Raw_Data!B3887))</f>
        <v>HR</v>
      </c>
      <c r="C3887" s="18" t="s">
        <v>37</v>
      </c>
      <c r="D3887" s="14" t="str">
        <f>IF(ISBLANK(Raw_Data!D3887),AVERAGE(Raw_Data!D$2:D$5002),Raw_Data!D3887)</f>
        <v>92766.29</v>
      </c>
      <c r="E3887" s="15" t="str">
        <f>IF(ISBLANK(Raw_Data!E3887),AVERAGE(Raw_Data!E$2:E$5002),Raw_Data!E3887)</f>
        <v>32957.12</v>
      </c>
      <c r="F3887" s="15" t="str">
        <f>IF(ISBLANK(Raw_Data!F3887),AVERAGE(Raw_Data!F$2:F$5002),Raw_Data!F3887)</f>
        <v>31736.07</v>
      </c>
      <c r="G3887" s="14" t="str">
        <f>IF(ISBLANK(Raw_Data!G3887),AVERAGE(Raw_Data!G$2:G$5002),Raw_Data!G3887)</f>
        <v>20873.71</v>
      </c>
      <c r="H3887" s="15" t="str">
        <f t="shared" si="1"/>
        <v>157459.00</v>
      </c>
      <c r="I3887" s="14" t="str">
        <f t="shared" si="2"/>
        <v>136585.00</v>
      </c>
      <c r="J3887" s="16" t="str">
        <f>TEXT(Raw_Data!J3887,"MMM-YYY")</f>
        <v>Jul-2025</v>
      </c>
      <c r="K3887" s="13" t="str">
        <f>Raw_Data!K3887</f>
        <v>23</v>
      </c>
      <c r="L3887" s="17" t="str">
        <f>Raw_Data!L3887</f>
        <v>Mumbai-HO</v>
      </c>
      <c r="M3887" s="13" t="str">
        <f t="shared" si="3"/>
        <v>OK</v>
      </c>
      <c r="N3887" s="18" t="str">
        <f t="shared" si="4"/>
        <v>VALID</v>
      </c>
    </row>
    <row r="3888" ht="15.75" customHeight="1">
      <c r="A3888" s="13" t="str">
        <f>Raw_Data!A3888</f>
        <v>EMP4111</v>
      </c>
      <c r="B3888" s="13" t="str">
        <f>TRIM(CLEAN(Raw_Data!B3888))</f>
        <v>Finance</v>
      </c>
      <c r="C3888" s="18" t="s">
        <v>30</v>
      </c>
      <c r="D3888" s="14" t="str">
        <f>IF(ISBLANK(Raw_Data!D3888),AVERAGE(Raw_Data!D$2:D$5002),Raw_Data!D3888)</f>
        <v>92777.17</v>
      </c>
      <c r="E3888" s="15" t="str">
        <f>IF(ISBLANK(Raw_Data!E3888),AVERAGE(Raw_Data!E$2:E$5002),Raw_Data!E3888)</f>
        <v>32961.73</v>
      </c>
      <c r="F3888" s="15" t="str">
        <f>IF(ISBLANK(Raw_Data!F3888),AVERAGE(Raw_Data!F$2:F$5002),Raw_Data!F3888)</f>
        <v>31743.75</v>
      </c>
      <c r="G3888" s="14" t="str">
        <f>IF(ISBLANK(Raw_Data!G3888),AVERAGE(Raw_Data!G$2:G$5002),Raw_Data!G3888)</f>
        <v>20877.11</v>
      </c>
      <c r="H3888" s="15" t="str">
        <f t="shared" si="1"/>
        <v>157483.00</v>
      </c>
      <c r="I3888" s="14" t="str">
        <f t="shared" si="2"/>
        <v>136606.00</v>
      </c>
      <c r="J3888" s="16" t="str">
        <f>TEXT(Raw_Data!J3888,"MMM-YYY")</f>
        <v>Feb-2025</v>
      </c>
      <c r="K3888" s="13" t="str">
        <f>Raw_Data!K3888</f>
        <v>13</v>
      </c>
      <c r="L3888" s="17" t="str">
        <f>Raw_Data!L3888</f>
        <v>Delhi-North</v>
      </c>
      <c r="M3888" s="13" t="str">
        <f t="shared" si="3"/>
        <v>OK</v>
      </c>
      <c r="N3888" s="18" t="str">
        <f t="shared" si="4"/>
        <v>VALID</v>
      </c>
    </row>
    <row r="3889" ht="15.75" customHeight="1">
      <c r="A3889" s="13" t="str">
        <f>Raw_Data!A3889</f>
        <v>EMP4112</v>
      </c>
      <c r="B3889" s="13" t="str">
        <f>TRIM(CLEAN(Raw_Data!B3889))</f>
        <v>Finance</v>
      </c>
      <c r="C3889" s="18" t="s">
        <v>18</v>
      </c>
      <c r="D3889" s="14" t="str">
        <f>IF(ISBLANK(Raw_Data!D3889),AVERAGE(Raw_Data!D$2:D$5002),Raw_Data!D3889)</f>
        <v>92788.05</v>
      </c>
      <c r="E3889" s="15" t="str">
        <f>IF(ISBLANK(Raw_Data!E3889),AVERAGE(Raw_Data!E$2:E$5002),Raw_Data!E3889)</f>
        <v>32966.35</v>
      </c>
      <c r="F3889" s="15" t="str">
        <f>IF(ISBLANK(Raw_Data!F3889),AVERAGE(Raw_Data!F$2:F$5002),Raw_Data!F3889)</f>
        <v>31751.43</v>
      </c>
      <c r="G3889" s="14" t="str">
        <f>IF(ISBLANK(Raw_Data!G3889),AVERAGE(Raw_Data!G$2:G$5002),Raw_Data!G3889)</f>
        <v>20880.51</v>
      </c>
      <c r="H3889" s="15" t="str">
        <f t="shared" si="1"/>
        <v>157506.00</v>
      </c>
      <c r="I3889" s="14" t="str">
        <f t="shared" si="2"/>
        <v>136625.00</v>
      </c>
      <c r="J3889" s="16" t="str">
        <f>TEXT(Raw_Data!J3889,"MMM-YYY")</f>
        <v>Apr-2025</v>
      </c>
      <c r="K3889" s="13" t="str">
        <f>Raw_Data!K3889</f>
        <v>19</v>
      </c>
      <c r="L3889" s="17" t="str">
        <f>Raw_Data!L3889</f>
        <v>Bangalore-South</v>
      </c>
      <c r="M3889" s="13" t="str">
        <f t="shared" si="3"/>
        <v>OK</v>
      </c>
      <c r="N3889" s="18" t="str">
        <f t="shared" si="4"/>
        <v>VALID</v>
      </c>
    </row>
    <row r="3890" ht="15.75" customHeight="1">
      <c r="A3890" s="13" t="str">
        <f>Raw_Data!A3890</f>
        <v>EMP4113</v>
      </c>
      <c r="B3890" s="13" t="str">
        <f>TRIM(CLEAN(Raw_Data!B3890))</f>
        <v>Marketing</v>
      </c>
      <c r="C3890" s="18" t="s">
        <v>30</v>
      </c>
      <c r="D3890" s="14" t="str">
        <f>IF(ISBLANK(Raw_Data!D3890),AVERAGE(Raw_Data!D$2:D$5002),Raw_Data!D3890)</f>
        <v>92798.93</v>
      </c>
      <c r="E3890" s="15" t="str">
        <f>IF(ISBLANK(Raw_Data!E3890),AVERAGE(Raw_Data!E$2:E$5002),Raw_Data!E3890)</f>
        <v>32970.96</v>
      </c>
      <c r="F3890" s="15" t="str">
        <f>IF(ISBLANK(Raw_Data!F3890),AVERAGE(Raw_Data!F$2:F$5002),Raw_Data!F3890)</f>
        <v>31759.11</v>
      </c>
      <c r="G3890" s="14" t="str">
        <f>IF(ISBLANK(Raw_Data!G3890),AVERAGE(Raw_Data!G$2:G$5002),Raw_Data!G3890)</f>
        <v>20883.90</v>
      </c>
      <c r="H3890" s="15" t="str">
        <f t="shared" si="1"/>
        <v>157529.00</v>
      </c>
      <c r="I3890" s="14" t="str">
        <f t="shared" si="2"/>
        <v>136645.00</v>
      </c>
      <c r="J3890" s="16" t="str">
        <f>TEXT(Raw_Data!J3890,"MMM-YYY")</f>
        <v>Nov-2025</v>
      </c>
      <c r="K3890" s="13" t="str">
        <f>Raw_Data!K3890</f>
        <v>11</v>
      </c>
      <c r="L3890" s="17" t="str">
        <f>Raw_Data!L3890</f>
        <v>Chennai-South</v>
      </c>
      <c r="M3890" s="13" t="str">
        <f t="shared" si="3"/>
        <v>OK</v>
      </c>
      <c r="N3890" s="18" t="str">
        <f t="shared" si="4"/>
        <v>VALID</v>
      </c>
    </row>
    <row r="3891" ht="15.75" customHeight="1">
      <c r="A3891" s="13" t="str">
        <f>Raw_Data!A3891</f>
        <v>EMP4114</v>
      </c>
      <c r="B3891" s="13" t="str">
        <f>TRIM(CLEAN(Raw_Data!B3891))</f>
        <v>Marketing</v>
      </c>
      <c r="C3891" s="18" t="s">
        <v>18</v>
      </c>
      <c r="D3891" s="14" t="str">
        <f>IF(ISBLANK(Raw_Data!D3891),AVERAGE(Raw_Data!D$2:D$5002),Raw_Data!D3891)</f>
        <v>92809.82</v>
      </c>
      <c r="E3891" s="15" t="str">
        <f>IF(ISBLANK(Raw_Data!E3891),AVERAGE(Raw_Data!E$2:E$5002),Raw_Data!E3891)</f>
        <v>32975.58</v>
      </c>
      <c r="F3891" s="15" t="str">
        <f>IF(ISBLANK(Raw_Data!F3891),AVERAGE(Raw_Data!F$2:F$5002),Raw_Data!F3891)</f>
        <v>31766.79</v>
      </c>
      <c r="G3891" s="14" t="str">
        <f>IF(ISBLANK(Raw_Data!G3891),AVERAGE(Raw_Data!G$2:G$5002),Raw_Data!G3891)</f>
        <v>20887.30</v>
      </c>
      <c r="H3891" s="15" t="str">
        <f t="shared" si="1"/>
        <v>157552.00</v>
      </c>
      <c r="I3891" s="14" t="str">
        <f t="shared" si="2"/>
        <v>136665.00</v>
      </c>
      <c r="J3891" s="16" t="str">
        <f>TEXT(Raw_Data!J3891,"MMM-YYY")</f>
        <v>Jun-2025</v>
      </c>
      <c r="K3891" s="13" t="str">
        <f>Raw_Data!K3891</f>
        <v>15</v>
      </c>
      <c r="L3891" s="17" t="str">
        <f>Raw_Data!L3891</f>
        <v>Kolkata-East</v>
      </c>
      <c r="M3891" s="13" t="str">
        <f t="shared" si="3"/>
        <v>OK</v>
      </c>
      <c r="N3891" s="18" t="str">
        <f t="shared" si="4"/>
        <v>VALID</v>
      </c>
    </row>
    <row r="3892" ht="15.75" customHeight="1">
      <c r="A3892" s="13" t="str">
        <f>Raw_Data!A3892</f>
        <v>EMP4115</v>
      </c>
      <c r="B3892" s="13" t="str">
        <f>TRIM(CLEAN(Raw_Data!B3892))</f>
        <v>Operations</v>
      </c>
      <c r="C3892" s="18" t="s">
        <v>14</v>
      </c>
      <c r="D3892" s="14" t="str">
        <f>IF(ISBLANK(Raw_Data!D3892),AVERAGE(Raw_Data!D$2:D$5002),Raw_Data!D3892)</f>
        <v>92820.70</v>
      </c>
      <c r="E3892" s="15" t="str">
        <f>IF(ISBLANK(Raw_Data!E3892),AVERAGE(Raw_Data!E$2:E$5002),Raw_Data!E3892)</f>
        <v>32980.19</v>
      </c>
      <c r="F3892" s="15" t="str">
        <f>IF(ISBLANK(Raw_Data!F3892),AVERAGE(Raw_Data!F$2:F$5002),Raw_Data!F3892)</f>
        <v>31774.47</v>
      </c>
      <c r="G3892" s="14" t="str">
        <f>IF(ISBLANK(Raw_Data!G3892),AVERAGE(Raw_Data!G$2:G$5002),Raw_Data!G3892)</f>
        <v>20890.70</v>
      </c>
      <c r="H3892" s="15" t="str">
        <f t="shared" si="1"/>
        <v>157575.00</v>
      </c>
      <c r="I3892" s="14" t="str">
        <f t="shared" si="2"/>
        <v>136684.00</v>
      </c>
      <c r="J3892" s="16" t="str">
        <f>TEXT(Raw_Data!J3892,"MMM-YYY")</f>
        <v>May-2025</v>
      </c>
      <c r="K3892" s="13" t="str">
        <f>Raw_Data!K3892</f>
        <v>21</v>
      </c>
      <c r="L3892" s="17" t="str">
        <f>Raw_Data!L3892</f>
        <v>Pune-West</v>
      </c>
      <c r="M3892" s="13" t="str">
        <f t="shared" si="3"/>
        <v>OK</v>
      </c>
      <c r="N3892" s="18" t="str">
        <f t="shared" si="4"/>
        <v>VALID</v>
      </c>
    </row>
    <row r="3893" ht="15.75" customHeight="1">
      <c r="A3893" s="13" t="str">
        <f>Raw_Data!A3893</f>
        <v>EMP4116</v>
      </c>
      <c r="B3893" s="13" t="str">
        <f>TRIM(CLEAN(Raw_Data!B3893))</f>
        <v>Marketing</v>
      </c>
      <c r="C3893" s="18" t="s">
        <v>26</v>
      </c>
      <c r="D3893" s="14" t="str">
        <f>IF(ISBLANK(Raw_Data!D3893),AVERAGE(Raw_Data!D$2:D$5002),Raw_Data!D3893)</f>
        <v>92831.58</v>
      </c>
      <c r="E3893" s="15" t="str">
        <f>IF(ISBLANK(Raw_Data!E3893),AVERAGE(Raw_Data!E$2:E$5002),Raw_Data!E3893)</f>
        <v>32984.80</v>
      </c>
      <c r="F3893" s="15" t="str">
        <f>IF(ISBLANK(Raw_Data!F3893),AVERAGE(Raw_Data!F$2:F$5002),Raw_Data!F3893)</f>
        <v>31782.15</v>
      </c>
      <c r="G3893" s="14" t="str">
        <f>IF(ISBLANK(Raw_Data!G3893),AVERAGE(Raw_Data!G$2:G$5002),Raw_Data!G3893)</f>
        <v>20894.10</v>
      </c>
      <c r="H3893" s="15" t="str">
        <f t="shared" si="1"/>
        <v>157599.00</v>
      </c>
      <c r="I3893" s="14" t="str">
        <f t="shared" si="2"/>
        <v>136705.00</v>
      </c>
      <c r="J3893" s="16" t="str">
        <f>TEXT(Raw_Data!J3893,"MMM-YYY")</f>
        <v>May-2025</v>
      </c>
      <c r="K3893" s="13" t="str">
        <f>Raw_Data!K3893</f>
        <v>11</v>
      </c>
      <c r="L3893" s="17" t="str">
        <f>Raw_Data!L3893</f>
        <v>Hyderabad-South</v>
      </c>
      <c r="M3893" s="13" t="str">
        <f t="shared" si="3"/>
        <v>OK</v>
      </c>
      <c r="N3893" s="18" t="str">
        <f t="shared" si="4"/>
        <v>VALID</v>
      </c>
    </row>
    <row r="3894" ht="15.75" customHeight="1">
      <c r="A3894" s="13" t="str">
        <f>Raw_Data!A3894</f>
        <v>EMP4117</v>
      </c>
      <c r="B3894" s="13" t="str">
        <f>TRIM(CLEAN(Raw_Data!B3894))</f>
        <v>IT</v>
      </c>
      <c r="C3894" s="18" t="s">
        <v>54</v>
      </c>
      <c r="D3894" s="14" t="str">
        <f>IF(ISBLANK(Raw_Data!D3894),AVERAGE(Raw_Data!D$2:D$5002),Raw_Data!D3894)</f>
        <v>92842.47</v>
      </c>
      <c r="E3894" s="15" t="str">
        <f>IF(ISBLANK(Raw_Data!E3894),AVERAGE(Raw_Data!E$2:E$5002),Raw_Data!E3894)</f>
        <v>32989.42</v>
      </c>
      <c r="F3894" s="15" t="str">
        <f>IF(ISBLANK(Raw_Data!F3894),AVERAGE(Raw_Data!F$2:F$5002),Raw_Data!F3894)</f>
        <v>31789.83</v>
      </c>
      <c r="G3894" s="14" t="str">
        <f>IF(ISBLANK(Raw_Data!G3894),AVERAGE(Raw_Data!G$2:G$5002),Raw_Data!G3894)</f>
        <v>20897.50</v>
      </c>
      <c r="H3894" s="15" t="str">
        <f t="shared" si="1"/>
        <v>157622.00</v>
      </c>
      <c r="I3894" s="14" t="str">
        <f t="shared" si="2"/>
        <v>136725.00</v>
      </c>
      <c r="J3894" s="16" t="str">
        <f>TEXT(Raw_Data!J3894,"MMM-YYY")</f>
        <v>Oct-2025</v>
      </c>
      <c r="K3894" s="13" t="str">
        <f>Raw_Data!K3894</f>
        <v>18</v>
      </c>
      <c r="L3894" s="17" t="str">
        <f>Raw_Data!L3894</f>
        <v>Chandigarh-North</v>
      </c>
      <c r="M3894" s="13" t="str">
        <f t="shared" si="3"/>
        <v>OK</v>
      </c>
      <c r="N3894" s="18" t="str">
        <f t="shared" si="4"/>
        <v>VALID</v>
      </c>
    </row>
    <row r="3895" ht="15.75" customHeight="1">
      <c r="A3895" s="13" t="str">
        <f>Raw_Data!A3895</f>
        <v>EMP4118</v>
      </c>
      <c r="B3895" s="13" t="str">
        <f>TRIM(CLEAN(Raw_Data!B3895))</f>
        <v>Customer Support</v>
      </c>
      <c r="C3895" s="18" t="s">
        <v>33</v>
      </c>
      <c r="D3895" s="14" t="str">
        <f>IF(ISBLANK(Raw_Data!D3895),AVERAGE(Raw_Data!D$2:D$5002),Raw_Data!D3895)</f>
        <v>92853.35</v>
      </c>
      <c r="E3895" s="15" t="str">
        <f>IF(ISBLANK(Raw_Data!E3895),AVERAGE(Raw_Data!E$2:E$5002),Raw_Data!E3895)</f>
        <v>32994.03</v>
      </c>
      <c r="F3895" s="15" t="str">
        <f>IF(ISBLANK(Raw_Data!F3895),AVERAGE(Raw_Data!F$2:F$5002),Raw_Data!F3895)</f>
        <v>31797.51</v>
      </c>
      <c r="G3895" s="14" t="str">
        <f>IF(ISBLANK(Raw_Data!G3895),AVERAGE(Raw_Data!G$2:G$5002),Raw_Data!G3895)</f>
        <v>20900.89</v>
      </c>
      <c r="H3895" s="15" t="str">
        <f t="shared" si="1"/>
        <v>157645.00</v>
      </c>
      <c r="I3895" s="14" t="str">
        <f t="shared" si="2"/>
        <v>136744.00</v>
      </c>
      <c r="J3895" s="16" t="str">
        <f>TEXT(Raw_Data!J3895,"MMM-YYY")</f>
        <v>Dec-2025</v>
      </c>
      <c r="K3895" s="13" t="str">
        <f>Raw_Data!K3895</f>
        <v>21</v>
      </c>
      <c r="L3895" s="17" t="str">
        <f>Raw_Data!L3895</f>
        <v>Ahmedabad-West</v>
      </c>
      <c r="M3895" s="13" t="str">
        <f t="shared" si="3"/>
        <v>OK</v>
      </c>
      <c r="N3895" s="18" t="str">
        <f t="shared" si="4"/>
        <v>VALID</v>
      </c>
    </row>
    <row r="3896" ht="15.75" customHeight="1">
      <c r="A3896" s="13" t="str">
        <f>Raw_Data!A3896</f>
        <v>EMP4119</v>
      </c>
      <c r="B3896" s="13" t="str">
        <f>TRIM(CLEAN(Raw_Data!B3896))</f>
        <v>Operations</v>
      </c>
      <c r="C3896" s="18" t="s">
        <v>26</v>
      </c>
      <c r="D3896" s="14" t="str">
        <f>IF(ISBLANK(Raw_Data!D3896),AVERAGE(Raw_Data!D$2:D$5002),Raw_Data!D3896)</f>
        <v>92864.23</v>
      </c>
      <c r="E3896" s="15" t="str">
        <f>IF(ISBLANK(Raw_Data!E3896),AVERAGE(Raw_Data!E$2:E$5002),Raw_Data!E3896)</f>
        <v>32998.65</v>
      </c>
      <c r="F3896" s="15" t="str">
        <f>IF(ISBLANK(Raw_Data!F3896),AVERAGE(Raw_Data!F$2:F$5002),Raw_Data!F3896)</f>
        <v>31805.19</v>
      </c>
      <c r="G3896" s="14" t="str">
        <f>IF(ISBLANK(Raw_Data!G3896),AVERAGE(Raw_Data!G$2:G$5002),Raw_Data!G3896)</f>
        <v>20904.29</v>
      </c>
      <c r="H3896" s="15" t="str">
        <f t="shared" si="1"/>
        <v>157668.00</v>
      </c>
      <c r="I3896" s="14" t="str">
        <f t="shared" si="2"/>
        <v>136764.00</v>
      </c>
      <c r="J3896" s="16" t="str">
        <f>TEXT(Raw_Data!J3896,"MMM-YYY")</f>
        <v>Jun-2025</v>
      </c>
      <c r="K3896" s="13" t="str">
        <f>Raw_Data!K3896</f>
        <v>3</v>
      </c>
      <c r="L3896" s="17" t="str">
        <f>Raw_Data!L3896</f>
        <v>Jaipur-North</v>
      </c>
      <c r="M3896" s="13" t="str">
        <f t="shared" si="3"/>
        <v>OK</v>
      </c>
      <c r="N3896" s="18" t="str">
        <f t="shared" si="4"/>
        <v>VALID</v>
      </c>
    </row>
    <row r="3897" ht="15.75" customHeight="1">
      <c r="A3897" s="13" t="str">
        <f>Raw_Data!A3897</f>
        <v>EMP4120</v>
      </c>
      <c r="B3897" s="13" t="str">
        <f>TRIM(CLEAN(Raw_Data!B3897))</f>
        <v>HR</v>
      </c>
      <c r="C3897" s="18" t="s">
        <v>30</v>
      </c>
      <c r="D3897" s="14" t="str">
        <f>IF(ISBLANK(Raw_Data!D3897),AVERAGE(Raw_Data!D$2:D$5002),Raw_Data!D3897)</f>
        <v>92875.12</v>
      </c>
      <c r="E3897" s="15" t="str">
        <f>IF(ISBLANK(Raw_Data!E3897),AVERAGE(Raw_Data!E$2:E$5002),Raw_Data!E3897)</f>
        <v>33003.26</v>
      </c>
      <c r="F3897" s="15" t="str">
        <f>IF(ISBLANK(Raw_Data!F3897),AVERAGE(Raw_Data!F$2:F$5002),Raw_Data!F3897)</f>
        <v>31812.87</v>
      </c>
      <c r="G3897" s="14" t="str">
        <f>IF(ISBLANK(Raw_Data!G3897),AVERAGE(Raw_Data!G$2:G$5002),Raw_Data!G3897)</f>
        <v>20907.69</v>
      </c>
      <c r="H3897" s="15" t="str">
        <f t="shared" si="1"/>
        <v>157691.00</v>
      </c>
      <c r="I3897" s="14" t="str">
        <f t="shared" si="2"/>
        <v>136783.00</v>
      </c>
      <c r="J3897" s="16" t="str">
        <f>TEXT(Raw_Data!J3897,"MMM-YYY")</f>
        <v>Aug-2025</v>
      </c>
      <c r="K3897" s="13" t="str">
        <f>Raw_Data!K3897</f>
        <v>19</v>
      </c>
      <c r="L3897" s="17" t="str">
        <f>Raw_Data!L3897</f>
        <v>Mumbai-HO</v>
      </c>
      <c r="M3897" s="13" t="str">
        <f t="shared" si="3"/>
        <v>OK</v>
      </c>
      <c r="N3897" s="18" t="str">
        <f t="shared" si="4"/>
        <v>VALID</v>
      </c>
    </row>
    <row r="3898" ht="15.75" customHeight="1">
      <c r="A3898" s="13" t="str">
        <f>Raw_Data!A3898</f>
        <v>EMP4121</v>
      </c>
      <c r="B3898" s="13" t="str">
        <f>TRIM(CLEAN(Raw_Data!B3898))</f>
        <v>Finance</v>
      </c>
      <c r="C3898" s="18" t="s">
        <v>30</v>
      </c>
      <c r="D3898" s="14" t="str">
        <f>IF(ISBLANK(Raw_Data!D3898),AVERAGE(Raw_Data!D$2:D$5002),Raw_Data!D3898)</f>
        <v>92886.00</v>
      </c>
      <c r="E3898" s="15" t="str">
        <f>IF(ISBLANK(Raw_Data!E3898),AVERAGE(Raw_Data!E$2:E$5002),Raw_Data!E3898)</f>
        <v>33007.88</v>
      </c>
      <c r="F3898" s="15" t="str">
        <f>IF(ISBLANK(Raw_Data!F3898),AVERAGE(Raw_Data!F$2:F$5002),Raw_Data!F3898)</f>
        <v>31820.55</v>
      </c>
      <c r="G3898" s="14" t="str">
        <f>IF(ISBLANK(Raw_Data!G3898),AVERAGE(Raw_Data!G$2:G$5002),Raw_Data!G3898)</f>
        <v>20911.09</v>
      </c>
      <c r="H3898" s="15" t="str">
        <f t="shared" si="1"/>
        <v>157714.00</v>
      </c>
      <c r="I3898" s="14" t="str">
        <f t="shared" si="2"/>
        <v>136803.00</v>
      </c>
      <c r="J3898" s="16" t="str">
        <f>TEXT(Raw_Data!J3898,"MMM-YYY")</f>
        <v>Aug-2025</v>
      </c>
      <c r="K3898" s="13" t="str">
        <f>Raw_Data!K3898</f>
        <v>10</v>
      </c>
      <c r="L3898" s="17" t="str">
        <f>Raw_Data!L3898</f>
        <v>Delhi-North</v>
      </c>
      <c r="M3898" s="13" t="str">
        <f t="shared" si="3"/>
        <v>OK</v>
      </c>
      <c r="N3898" s="18" t="str">
        <f t="shared" si="4"/>
        <v>VALID</v>
      </c>
    </row>
    <row r="3899" ht="15.75" customHeight="1">
      <c r="A3899" s="13" t="str">
        <f>Raw_Data!A3899</f>
        <v>EMP4122</v>
      </c>
      <c r="B3899" s="13" t="str">
        <f>TRIM(CLEAN(Raw_Data!B3899))</f>
        <v>Sales</v>
      </c>
      <c r="C3899" s="18" t="s">
        <v>30</v>
      </c>
      <c r="D3899" s="14" t="str">
        <f>IF(ISBLANK(Raw_Data!D3899),AVERAGE(Raw_Data!D$2:D$5002),Raw_Data!D3899)</f>
        <v>92896.88</v>
      </c>
      <c r="E3899" s="15" t="str">
        <f>IF(ISBLANK(Raw_Data!E3899),AVERAGE(Raw_Data!E$2:E$5002),Raw_Data!E3899)</f>
        <v>33012.49</v>
      </c>
      <c r="F3899" s="15" t="str">
        <f>IF(ISBLANK(Raw_Data!F3899),AVERAGE(Raw_Data!F$2:F$5002),Raw_Data!F3899)</f>
        <v>31828.23</v>
      </c>
      <c r="G3899" s="14" t="str">
        <f>IF(ISBLANK(Raw_Data!G3899),AVERAGE(Raw_Data!G$2:G$5002),Raw_Data!G3899)</f>
        <v>20914.48</v>
      </c>
      <c r="H3899" s="15" t="str">
        <f t="shared" si="1"/>
        <v>157738.00</v>
      </c>
      <c r="I3899" s="14" t="str">
        <f t="shared" si="2"/>
        <v>136824.00</v>
      </c>
      <c r="J3899" s="16" t="str">
        <f>TEXT(Raw_Data!J3899,"MMM-YYY")</f>
        <v>Mar-2025</v>
      </c>
      <c r="K3899" s="13" t="str">
        <f>Raw_Data!K3899</f>
        <v>16</v>
      </c>
      <c r="L3899" s="17" t="str">
        <f>Raw_Data!L3899</f>
        <v>Bangalore-South</v>
      </c>
      <c r="M3899" s="13" t="str">
        <f t="shared" si="3"/>
        <v>OK</v>
      </c>
      <c r="N3899" s="18" t="str">
        <f t="shared" si="4"/>
        <v>VALID</v>
      </c>
    </row>
    <row r="3900" ht="15.75" customHeight="1">
      <c r="A3900" s="13" t="str">
        <f>Raw_Data!A3900</f>
        <v>EMP4123</v>
      </c>
      <c r="B3900" s="13" t="str">
        <f>TRIM(CLEAN(Raw_Data!B3900))</f>
        <v>Customer Support</v>
      </c>
      <c r="C3900" s="18" t="s">
        <v>54</v>
      </c>
      <c r="D3900" s="14" t="str">
        <f>IF(ISBLANK(Raw_Data!D3900),AVERAGE(Raw_Data!D$2:D$5002),Raw_Data!D3900)</f>
        <v>92907.76</v>
      </c>
      <c r="E3900" s="15" t="str">
        <f>IF(ISBLANK(Raw_Data!E3900),AVERAGE(Raw_Data!E$2:E$5002),Raw_Data!E3900)</f>
        <v>33017.11</v>
      </c>
      <c r="F3900" s="15" t="str">
        <f>IF(ISBLANK(Raw_Data!F3900),AVERAGE(Raw_Data!F$2:F$5002),Raw_Data!F3900)</f>
        <v>31835.91</v>
      </c>
      <c r="G3900" s="14" t="str">
        <f>IF(ISBLANK(Raw_Data!G3900),AVERAGE(Raw_Data!G$2:G$5002),Raw_Data!G3900)</f>
        <v>20917.88</v>
      </c>
      <c r="H3900" s="15" t="str">
        <f t="shared" si="1"/>
        <v>157761.00</v>
      </c>
      <c r="I3900" s="14" t="str">
        <f t="shared" si="2"/>
        <v>136843.00</v>
      </c>
      <c r="J3900" s="16" t="str">
        <f>TEXT(Raw_Data!J3900,"MMM-YYY")</f>
        <v>May-2025</v>
      </c>
      <c r="K3900" s="13" t="str">
        <f>Raw_Data!K3900</f>
        <v>12</v>
      </c>
      <c r="L3900" s="17" t="str">
        <f>Raw_Data!L3900</f>
        <v>Chennai-South</v>
      </c>
      <c r="M3900" s="13" t="str">
        <f t="shared" si="3"/>
        <v>OK</v>
      </c>
      <c r="N3900" s="18" t="str">
        <f t="shared" si="4"/>
        <v>VALID</v>
      </c>
    </row>
    <row r="3901" ht="15.75" customHeight="1">
      <c r="A3901" s="13" t="str">
        <f>Raw_Data!A3901</f>
        <v>EMP4124</v>
      </c>
      <c r="B3901" s="13" t="str">
        <f>TRIM(CLEAN(Raw_Data!B3901))</f>
        <v>Finance</v>
      </c>
      <c r="C3901" s="18" t="s">
        <v>14</v>
      </c>
      <c r="D3901" s="14" t="str">
        <f>IF(ISBLANK(Raw_Data!D3901),AVERAGE(Raw_Data!D$2:D$5002),Raw_Data!D3901)</f>
        <v>92918.65</v>
      </c>
      <c r="E3901" s="15" t="str">
        <f>IF(ISBLANK(Raw_Data!E3901),AVERAGE(Raw_Data!E$2:E$5002),Raw_Data!E3901)</f>
        <v>33021.72</v>
      </c>
      <c r="F3901" s="15" t="str">
        <f>IF(ISBLANK(Raw_Data!F3901),AVERAGE(Raw_Data!F$2:F$5002),Raw_Data!F3901)</f>
        <v>31843.59</v>
      </c>
      <c r="G3901" s="14" t="str">
        <f>IF(ISBLANK(Raw_Data!G3901),AVERAGE(Raw_Data!G$2:G$5002),Raw_Data!G3901)</f>
        <v>20921.28</v>
      </c>
      <c r="H3901" s="15" t="str">
        <f t="shared" si="1"/>
        <v>157784.00</v>
      </c>
      <c r="I3901" s="14" t="str">
        <f t="shared" si="2"/>
        <v>136863.00</v>
      </c>
      <c r="J3901" s="16" t="str">
        <f>TEXT(Raw_Data!J3901,"MMM-YYY")</f>
        <v>Aug-2025</v>
      </c>
      <c r="K3901" s="13" t="str">
        <f>Raw_Data!K3901</f>
        <v>7</v>
      </c>
      <c r="L3901" s="17" t="str">
        <f>Raw_Data!L3901</f>
        <v>Kolkata-East</v>
      </c>
      <c r="M3901" s="13" t="str">
        <f t="shared" si="3"/>
        <v>OK</v>
      </c>
      <c r="N3901" s="18" t="str">
        <f t="shared" si="4"/>
        <v>VALID</v>
      </c>
    </row>
    <row r="3902" ht="15.75" customHeight="1">
      <c r="A3902" s="13" t="str">
        <f>Raw_Data!A3902</f>
        <v>EMP4125</v>
      </c>
      <c r="B3902" s="13" t="str">
        <f>TRIM(CLEAN(Raw_Data!B3902))</f>
        <v>Marketing</v>
      </c>
      <c r="C3902" s="18" t="s">
        <v>37</v>
      </c>
      <c r="D3902" s="14" t="str">
        <f>IF(ISBLANK(Raw_Data!D3902),AVERAGE(Raw_Data!D$2:D$5002),Raw_Data!D3902)</f>
        <v>92929.53</v>
      </c>
      <c r="E3902" s="15" t="str">
        <f>IF(ISBLANK(Raw_Data!E3902),AVERAGE(Raw_Data!E$2:E$5002),Raw_Data!E3902)</f>
        <v>33026.34</v>
      </c>
      <c r="F3902" s="15" t="str">
        <f>IF(ISBLANK(Raw_Data!F3902),AVERAGE(Raw_Data!F$2:F$5002),Raw_Data!F3902)</f>
        <v>31851.27</v>
      </c>
      <c r="G3902" s="14" t="str">
        <f>IF(ISBLANK(Raw_Data!G3902),AVERAGE(Raw_Data!G$2:G$5002),Raw_Data!G3902)</f>
        <v>20924.68</v>
      </c>
      <c r="H3902" s="15" t="str">
        <f t="shared" si="1"/>
        <v>157807.00</v>
      </c>
      <c r="I3902" s="14" t="str">
        <f t="shared" si="2"/>
        <v>136882.00</v>
      </c>
      <c r="J3902" s="16" t="str">
        <f>TEXT(Raw_Data!J3902,"MMM-YYY")</f>
        <v>Jun-2025</v>
      </c>
      <c r="K3902" s="13" t="str">
        <f>Raw_Data!K3902</f>
        <v>3</v>
      </c>
      <c r="L3902" s="17" t="str">
        <f>Raw_Data!L3902</f>
        <v>Pune-West</v>
      </c>
      <c r="M3902" s="13" t="str">
        <f t="shared" si="3"/>
        <v>OK</v>
      </c>
      <c r="N3902" s="18" t="str">
        <f t="shared" si="4"/>
        <v>VALID</v>
      </c>
    </row>
    <row r="3903" ht="15.75" customHeight="1">
      <c r="A3903" s="13" t="str">
        <f>Raw_Data!A3903</f>
        <v>EMP4126</v>
      </c>
      <c r="B3903" s="13" t="str">
        <f>TRIM(CLEAN(Raw_Data!B3903))</f>
        <v>HR</v>
      </c>
      <c r="C3903" s="18" t="s">
        <v>37</v>
      </c>
      <c r="D3903" s="14" t="str">
        <f>IF(ISBLANK(Raw_Data!D3903),AVERAGE(Raw_Data!D$2:D$5002),Raw_Data!D3903)</f>
        <v>92940.41</v>
      </c>
      <c r="E3903" s="15" t="str">
        <f>IF(ISBLANK(Raw_Data!E3903),AVERAGE(Raw_Data!E$2:E$5002),Raw_Data!E3903)</f>
        <v>33030.95</v>
      </c>
      <c r="F3903" s="15" t="str">
        <f>IF(ISBLANK(Raw_Data!F3903),AVERAGE(Raw_Data!F$2:F$5002),Raw_Data!F3903)</f>
        <v>31858.95</v>
      </c>
      <c r="G3903" s="14" t="str">
        <f>IF(ISBLANK(Raw_Data!G3903),AVERAGE(Raw_Data!G$2:G$5002),Raw_Data!G3903)</f>
        <v>20928.07</v>
      </c>
      <c r="H3903" s="15" t="str">
        <f t="shared" si="1"/>
        <v>157830.00</v>
      </c>
      <c r="I3903" s="14" t="str">
        <f t="shared" si="2"/>
        <v>136902.00</v>
      </c>
      <c r="J3903" s="16" t="str">
        <f>TEXT(Raw_Data!J3903,"MMM-YYY")</f>
        <v>Apr-2025</v>
      </c>
      <c r="K3903" s="13" t="str">
        <f>Raw_Data!K3903</f>
        <v>22</v>
      </c>
      <c r="L3903" s="17" t="str">
        <f>Raw_Data!L3903</f>
        <v>Hyderabad-South</v>
      </c>
      <c r="M3903" s="13" t="str">
        <f t="shared" si="3"/>
        <v>OK</v>
      </c>
      <c r="N3903" s="18" t="str">
        <f t="shared" si="4"/>
        <v>VALID</v>
      </c>
    </row>
    <row r="3904" ht="15.75" customHeight="1">
      <c r="A3904" s="13" t="str">
        <f>Raw_Data!A3904</f>
        <v>EMP4127</v>
      </c>
      <c r="B3904" s="13" t="str">
        <f>TRIM(CLEAN(Raw_Data!B3904))</f>
        <v>Finance</v>
      </c>
      <c r="C3904" s="18" t="s">
        <v>26</v>
      </c>
      <c r="D3904" s="14" t="str">
        <f>IF(ISBLANK(Raw_Data!D3904),AVERAGE(Raw_Data!D$2:D$5002),Raw_Data!D3904)</f>
        <v>92951.30</v>
      </c>
      <c r="E3904" s="15" t="str">
        <f>IF(ISBLANK(Raw_Data!E3904),AVERAGE(Raw_Data!E$2:E$5002),Raw_Data!E3904)</f>
        <v>33035.57</v>
      </c>
      <c r="F3904" s="15" t="str">
        <f>IF(ISBLANK(Raw_Data!F3904),AVERAGE(Raw_Data!F$2:F$5002),Raw_Data!F3904)</f>
        <v>31866.63</v>
      </c>
      <c r="G3904" s="14" t="str">
        <f>IF(ISBLANK(Raw_Data!G3904),AVERAGE(Raw_Data!G$2:G$5002),Raw_Data!G3904)</f>
        <v>20931.47</v>
      </c>
      <c r="H3904" s="15" t="str">
        <f t="shared" si="1"/>
        <v>157853.00</v>
      </c>
      <c r="I3904" s="14" t="str">
        <f t="shared" si="2"/>
        <v>136922.00</v>
      </c>
      <c r="J3904" s="16" t="str">
        <f>TEXT(Raw_Data!J3904,"MMM-YYY")</f>
        <v>Jan-2025</v>
      </c>
      <c r="K3904" s="13" t="str">
        <f>Raw_Data!K3904</f>
        <v>22</v>
      </c>
      <c r="L3904" s="17" t="str">
        <f>Raw_Data!L3904</f>
        <v>Chandigarh-North</v>
      </c>
      <c r="M3904" s="13" t="str">
        <f t="shared" si="3"/>
        <v>OK</v>
      </c>
      <c r="N3904" s="18" t="str">
        <f t="shared" si="4"/>
        <v>VALID</v>
      </c>
    </row>
    <row r="3905" ht="15.75" customHeight="1">
      <c r="A3905" s="13" t="str">
        <f>Raw_Data!A3905</f>
        <v>EMP4128</v>
      </c>
      <c r="B3905" s="13" t="str">
        <f>TRIM(CLEAN(Raw_Data!B3905))</f>
        <v>Operations</v>
      </c>
      <c r="C3905" s="18" t="s">
        <v>54</v>
      </c>
      <c r="D3905" s="14" t="str">
        <f>IF(ISBLANK(Raw_Data!D3905),AVERAGE(Raw_Data!D$2:D$5002),Raw_Data!D3905)</f>
        <v>92962.18</v>
      </c>
      <c r="E3905" s="15" t="str">
        <f>IF(ISBLANK(Raw_Data!E3905),AVERAGE(Raw_Data!E$2:E$5002),Raw_Data!E3905)</f>
        <v>33040.18</v>
      </c>
      <c r="F3905" s="15" t="str">
        <f>IF(ISBLANK(Raw_Data!F3905),AVERAGE(Raw_Data!F$2:F$5002),Raw_Data!F3905)</f>
        <v>31874.31</v>
      </c>
      <c r="G3905" s="14" t="str">
        <f>IF(ISBLANK(Raw_Data!G3905),AVERAGE(Raw_Data!G$2:G$5002),Raw_Data!G3905)</f>
        <v>20934.87</v>
      </c>
      <c r="H3905" s="15" t="str">
        <f t="shared" si="1"/>
        <v>157877.00</v>
      </c>
      <c r="I3905" s="14" t="str">
        <f t="shared" si="2"/>
        <v>136942.00</v>
      </c>
      <c r="J3905" s="16" t="str">
        <f>TEXT(Raw_Data!J3905,"MMM-YYY")</f>
        <v>Feb-2025</v>
      </c>
      <c r="K3905" s="13" t="str">
        <f>Raw_Data!K3905</f>
        <v>2</v>
      </c>
      <c r="L3905" s="17" t="str">
        <f>Raw_Data!L3905</f>
        <v>Ahmedabad-West</v>
      </c>
      <c r="M3905" s="13" t="str">
        <f t="shared" si="3"/>
        <v>OK</v>
      </c>
      <c r="N3905" s="18" t="str">
        <f t="shared" si="4"/>
        <v>VALID</v>
      </c>
    </row>
    <row r="3906" ht="15.75" customHeight="1">
      <c r="A3906" s="13" t="str">
        <f>Raw_Data!A3906</f>
        <v>EMP4129</v>
      </c>
      <c r="B3906" s="13" t="str">
        <f>TRIM(CLEAN(Raw_Data!B3906))</f>
        <v>Operations</v>
      </c>
      <c r="C3906" s="18" t="s">
        <v>26</v>
      </c>
      <c r="D3906" s="14" t="str">
        <f>IF(ISBLANK(Raw_Data!D3906),AVERAGE(Raw_Data!D$2:D$5002),Raw_Data!D3906)</f>
        <v>92973.06</v>
      </c>
      <c r="E3906" s="15" t="str">
        <f>IF(ISBLANK(Raw_Data!E3906),AVERAGE(Raw_Data!E$2:E$5002),Raw_Data!E3906)</f>
        <v>33044.80</v>
      </c>
      <c r="F3906" s="15" t="str">
        <f>IF(ISBLANK(Raw_Data!F3906),AVERAGE(Raw_Data!F$2:F$5002),Raw_Data!F3906)</f>
        <v>31881.99</v>
      </c>
      <c r="G3906" s="14" t="str">
        <f>IF(ISBLANK(Raw_Data!G3906),AVERAGE(Raw_Data!G$2:G$5002),Raw_Data!G3906)</f>
        <v>20938.27</v>
      </c>
      <c r="H3906" s="15" t="str">
        <f t="shared" si="1"/>
        <v>157900.00</v>
      </c>
      <c r="I3906" s="14" t="str">
        <f t="shared" si="2"/>
        <v>136962.00</v>
      </c>
      <c r="J3906" s="16" t="str">
        <f>TEXT(Raw_Data!J3906,"MMM-YYY")</f>
        <v>Jun-2025</v>
      </c>
      <c r="K3906" s="13" t="str">
        <f>Raw_Data!K3906</f>
        <v>24</v>
      </c>
      <c r="L3906" s="17" t="str">
        <f>Raw_Data!L3906</f>
        <v>Jaipur-North</v>
      </c>
      <c r="M3906" s="13" t="str">
        <f t="shared" si="3"/>
        <v>OK</v>
      </c>
      <c r="N3906" s="18" t="str">
        <f t="shared" si="4"/>
        <v>VALID</v>
      </c>
    </row>
    <row r="3907" ht="15.75" customHeight="1">
      <c r="A3907" s="13" t="str">
        <f>Raw_Data!A3907</f>
        <v>EMP4130</v>
      </c>
      <c r="B3907" s="13" t="str">
        <f>TRIM(CLEAN(Raw_Data!B3907))</f>
        <v>Marketing</v>
      </c>
      <c r="C3907" s="18" t="s">
        <v>33</v>
      </c>
      <c r="D3907" s="14" t="str">
        <f>IF(ISBLANK(Raw_Data!D3907),AVERAGE(Raw_Data!D$2:D$5002),Raw_Data!D3907)</f>
        <v>92983.95</v>
      </c>
      <c r="E3907" s="15" t="str">
        <f>IF(ISBLANK(Raw_Data!E3907),AVERAGE(Raw_Data!E$2:E$5002),Raw_Data!E3907)</f>
        <v>33049.41</v>
      </c>
      <c r="F3907" s="15" t="str">
        <f>IF(ISBLANK(Raw_Data!F3907),AVERAGE(Raw_Data!F$2:F$5002),Raw_Data!F3907)</f>
        <v>31889.67</v>
      </c>
      <c r="G3907" s="14" t="str">
        <f>IF(ISBLANK(Raw_Data!G3907),AVERAGE(Raw_Data!G$2:G$5002),Raw_Data!G3907)</f>
        <v>20941.66</v>
      </c>
      <c r="H3907" s="15" t="str">
        <f t="shared" si="1"/>
        <v>157923.00</v>
      </c>
      <c r="I3907" s="14" t="str">
        <f t="shared" si="2"/>
        <v>136981.00</v>
      </c>
      <c r="J3907" s="16" t="str">
        <f>TEXT(Raw_Data!J3907,"MMM-YYY")</f>
        <v>Apr-2025</v>
      </c>
      <c r="K3907" s="13" t="str">
        <f>Raw_Data!K3907</f>
        <v>9</v>
      </c>
      <c r="L3907" s="17" t="str">
        <f>Raw_Data!L3907</f>
        <v>Mumbai-HO</v>
      </c>
      <c r="M3907" s="13" t="str">
        <f t="shared" si="3"/>
        <v>OK</v>
      </c>
      <c r="N3907" s="18" t="str">
        <f t="shared" si="4"/>
        <v>VALID</v>
      </c>
    </row>
    <row r="3908" ht="15.75" customHeight="1">
      <c r="A3908" s="13" t="str">
        <f>Raw_Data!A3908</f>
        <v>EMP4131</v>
      </c>
      <c r="B3908" s="13" t="str">
        <f>TRIM(CLEAN(Raw_Data!B3908))</f>
        <v>Marketing</v>
      </c>
      <c r="C3908" s="18" t="s">
        <v>30</v>
      </c>
      <c r="D3908" s="14" t="str">
        <f>IF(ISBLANK(Raw_Data!D3908),AVERAGE(Raw_Data!D$2:D$5002),Raw_Data!D3908)</f>
        <v>92994.83</v>
      </c>
      <c r="E3908" s="15" t="str">
        <f>IF(ISBLANK(Raw_Data!E3908),AVERAGE(Raw_Data!E$2:E$5002),Raw_Data!E3908)</f>
        <v>33054.03</v>
      </c>
      <c r="F3908" s="15" t="str">
        <f>IF(ISBLANK(Raw_Data!F3908),AVERAGE(Raw_Data!F$2:F$5002),Raw_Data!F3908)</f>
        <v>31897.35</v>
      </c>
      <c r="G3908" s="14" t="str">
        <f>IF(ISBLANK(Raw_Data!G3908),AVERAGE(Raw_Data!G$2:G$5002),Raw_Data!G3908)</f>
        <v>20945.06</v>
      </c>
      <c r="H3908" s="15" t="str">
        <f t="shared" si="1"/>
        <v>157946.00</v>
      </c>
      <c r="I3908" s="14" t="str">
        <f t="shared" si="2"/>
        <v>137001.00</v>
      </c>
      <c r="J3908" s="16" t="str">
        <f>TEXT(Raw_Data!J3908,"MMM-YYY")</f>
        <v>Oct-2025</v>
      </c>
      <c r="K3908" s="13" t="str">
        <f>Raw_Data!K3908</f>
        <v>16</v>
      </c>
      <c r="L3908" s="17" t="str">
        <f>Raw_Data!L3908</f>
        <v>Delhi-North</v>
      </c>
      <c r="M3908" s="13" t="str">
        <f t="shared" si="3"/>
        <v>OK</v>
      </c>
      <c r="N3908" s="18" t="str">
        <f t="shared" si="4"/>
        <v>VALID</v>
      </c>
    </row>
    <row r="3909" ht="15.75" customHeight="1">
      <c r="A3909" s="13" t="str">
        <f>Raw_Data!A3909</f>
        <v>EMP4132</v>
      </c>
      <c r="B3909" s="13" t="str">
        <f>TRIM(CLEAN(Raw_Data!B3909))</f>
        <v>Customer Support</v>
      </c>
      <c r="C3909" s="18" t="s">
        <v>54</v>
      </c>
      <c r="D3909" s="14" t="str">
        <f>IF(ISBLANK(Raw_Data!D3909),AVERAGE(Raw_Data!D$2:D$5002),Raw_Data!D3909)</f>
        <v>93005.71</v>
      </c>
      <c r="E3909" s="15" t="str">
        <f>IF(ISBLANK(Raw_Data!E3909),AVERAGE(Raw_Data!E$2:E$5002),Raw_Data!E3909)</f>
        <v>33058.64</v>
      </c>
      <c r="F3909" s="15" t="str">
        <f>IF(ISBLANK(Raw_Data!F3909),AVERAGE(Raw_Data!F$2:F$5002),Raw_Data!F3909)</f>
        <v>31905.03</v>
      </c>
      <c r="G3909" s="14" t="str">
        <f>IF(ISBLANK(Raw_Data!G3909),AVERAGE(Raw_Data!G$2:G$5002),Raw_Data!G3909)</f>
        <v>20948.46</v>
      </c>
      <c r="H3909" s="15" t="str">
        <f t="shared" si="1"/>
        <v>157969.00</v>
      </c>
      <c r="I3909" s="14" t="str">
        <f t="shared" si="2"/>
        <v>137021.00</v>
      </c>
      <c r="J3909" s="16" t="str">
        <f>TEXT(Raw_Data!J3909,"MMM-YYY")</f>
        <v>May-2025</v>
      </c>
      <c r="K3909" s="13" t="str">
        <f>Raw_Data!K3909</f>
        <v>18</v>
      </c>
      <c r="L3909" s="17" t="str">
        <f>Raw_Data!L3909</f>
        <v>Bangalore-South</v>
      </c>
      <c r="M3909" s="13" t="str">
        <f t="shared" si="3"/>
        <v>OK</v>
      </c>
      <c r="N3909" s="18" t="str">
        <f t="shared" si="4"/>
        <v>VALID</v>
      </c>
    </row>
    <row r="3910" ht="15.75" customHeight="1">
      <c r="A3910" s="13" t="str">
        <f>Raw_Data!A3910</f>
        <v>EMP4133</v>
      </c>
      <c r="B3910" s="13" t="str">
        <f>TRIM(CLEAN(Raw_Data!B3910))</f>
        <v>Customer Support</v>
      </c>
      <c r="C3910" s="18" t="s">
        <v>14</v>
      </c>
      <c r="D3910" s="14" t="str">
        <f>IF(ISBLANK(Raw_Data!D3910),AVERAGE(Raw_Data!D$2:D$5002),Raw_Data!D3910)</f>
        <v>93016.59</v>
      </c>
      <c r="E3910" s="15" t="str">
        <f>IF(ISBLANK(Raw_Data!E3910),AVERAGE(Raw_Data!E$2:E$5002),Raw_Data!E3910)</f>
        <v>33063.26</v>
      </c>
      <c r="F3910" s="15" t="str">
        <f>IF(ISBLANK(Raw_Data!F3910),AVERAGE(Raw_Data!F$2:F$5002),Raw_Data!F3910)</f>
        <v>31912.71</v>
      </c>
      <c r="G3910" s="14" t="str">
        <f>IF(ISBLANK(Raw_Data!G3910),AVERAGE(Raw_Data!G$2:G$5002),Raw_Data!G3910)</f>
        <v>20951.86</v>
      </c>
      <c r="H3910" s="15" t="str">
        <f t="shared" si="1"/>
        <v>157993.00</v>
      </c>
      <c r="I3910" s="14" t="str">
        <f t="shared" si="2"/>
        <v>137041.00</v>
      </c>
      <c r="J3910" s="16" t="str">
        <f>TEXT(Raw_Data!J3910,"MMM-YYY")</f>
        <v>Jul-2025</v>
      </c>
      <c r="K3910" s="13" t="str">
        <f>Raw_Data!K3910</f>
        <v>25</v>
      </c>
      <c r="L3910" s="17" t="str">
        <f>Raw_Data!L3910</f>
        <v>Chennai-South</v>
      </c>
      <c r="M3910" s="13" t="str">
        <f t="shared" si="3"/>
        <v>OK</v>
      </c>
      <c r="N3910" s="18" t="str">
        <f t="shared" si="4"/>
        <v>VALID</v>
      </c>
    </row>
    <row r="3911" ht="15.75" customHeight="1">
      <c r="A3911" s="13" t="str">
        <f>Raw_Data!A3911</f>
        <v>EMP4134</v>
      </c>
      <c r="B3911" s="13" t="str">
        <f>TRIM(CLEAN(Raw_Data!B3911))</f>
        <v>Customer Support</v>
      </c>
      <c r="C3911" s="18" t="s">
        <v>18</v>
      </c>
      <c r="D3911" s="14" t="str">
        <f>IF(ISBLANK(Raw_Data!D3911),AVERAGE(Raw_Data!D$2:D$5002),Raw_Data!D3911)</f>
        <v>93027.48</v>
      </c>
      <c r="E3911" s="15" t="str">
        <f>IF(ISBLANK(Raw_Data!E3911),AVERAGE(Raw_Data!E$2:E$5002),Raw_Data!E3911)</f>
        <v>33067.87</v>
      </c>
      <c r="F3911" s="15" t="str">
        <f>IF(ISBLANK(Raw_Data!F3911),AVERAGE(Raw_Data!F$2:F$5002),Raw_Data!F3911)</f>
        <v>31920.39</v>
      </c>
      <c r="G3911" s="14" t="str">
        <f>IF(ISBLANK(Raw_Data!G3911),AVERAGE(Raw_Data!G$2:G$5002),Raw_Data!G3911)</f>
        <v>20955.25</v>
      </c>
      <c r="H3911" s="15" t="str">
        <f t="shared" si="1"/>
        <v>158016.00</v>
      </c>
      <c r="I3911" s="14" t="str">
        <f t="shared" si="2"/>
        <v>137061.00</v>
      </c>
      <c r="J3911" s="16" t="str">
        <f>TEXT(Raw_Data!J3911,"MMM-YYY")</f>
        <v>Apr-2025</v>
      </c>
      <c r="K3911" s="13" t="str">
        <f>Raw_Data!K3911</f>
        <v>22</v>
      </c>
      <c r="L3911" s="17" t="str">
        <f>Raw_Data!L3911</f>
        <v>Kolkata-East</v>
      </c>
      <c r="M3911" s="13" t="str">
        <f t="shared" si="3"/>
        <v>OK</v>
      </c>
      <c r="N3911" s="18" t="str">
        <f t="shared" si="4"/>
        <v>VALID</v>
      </c>
    </row>
    <row r="3912" ht="15.75" customHeight="1">
      <c r="A3912" s="13" t="str">
        <f>Raw_Data!A3912</f>
        <v>EMP4135</v>
      </c>
      <c r="B3912" s="13" t="str">
        <f>TRIM(CLEAN(Raw_Data!B3912))</f>
        <v>Operations</v>
      </c>
      <c r="C3912" s="18" t="s">
        <v>54</v>
      </c>
      <c r="D3912" s="14" t="str">
        <f>IF(ISBLANK(Raw_Data!D3912),AVERAGE(Raw_Data!D$2:D$5002),Raw_Data!D3912)</f>
        <v>93038.36</v>
      </c>
      <c r="E3912" s="15" t="str">
        <f>IF(ISBLANK(Raw_Data!E3912),AVERAGE(Raw_Data!E$2:E$5002),Raw_Data!E3912)</f>
        <v>33072.48</v>
      </c>
      <c r="F3912" s="15" t="str">
        <f>IF(ISBLANK(Raw_Data!F3912),AVERAGE(Raw_Data!F$2:F$5002),Raw_Data!F3912)</f>
        <v>31928.07</v>
      </c>
      <c r="G3912" s="14" t="str">
        <f>IF(ISBLANK(Raw_Data!G3912),AVERAGE(Raw_Data!G$2:G$5002),Raw_Data!G3912)</f>
        <v>20958.65</v>
      </c>
      <c r="H3912" s="15" t="str">
        <f t="shared" si="1"/>
        <v>158039.00</v>
      </c>
      <c r="I3912" s="14" t="str">
        <f t="shared" si="2"/>
        <v>137080.00</v>
      </c>
      <c r="J3912" s="16" t="str">
        <f>TEXT(Raw_Data!J3912,"MMM-YYY")</f>
        <v>Jul-2025</v>
      </c>
      <c r="K3912" s="13" t="str">
        <f>Raw_Data!K3912</f>
        <v>2</v>
      </c>
      <c r="L3912" s="17" t="str">
        <f>Raw_Data!L3912</f>
        <v>Pune-West</v>
      </c>
      <c r="M3912" s="13" t="str">
        <f t="shared" si="3"/>
        <v>OK</v>
      </c>
      <c r="N3912" s="18" t="str">
        <f t="shared" si="4"/>
        <v>VALID</v>
      </c>
    </row>
    <row r="3913" ht="15.75" customHeight="1">
      <c r="A3913" s="13" t="str">
        <f>Raw_Data!A3913</f>
        <v>EMP4136</v>
      </c>
      <c r="B3913" s="13" t="str">
        <f>TRIM(CLEAN(Raw_Data!B3913))</f>
        <v>Customer Support</v>
      </c>
      <c r="C3913" s="18" t="s">
        <v>30</v>
      </c>
      <c r="D3913" s="14" t="str">
        <f>IF(ISBLANK(Raw_Data!D3913),AVERAGE(Raw_Data!D$2:D$5002),Raw_Data!D3913)</f>
        <v>93049.24</v>
      </c>
      <c r="E3913" s="15" t="str">
        <f>IF(ISBLANK(Raw_Data!E3913),AVERAGE(Raw_Data!E$2:E$5002),Raw_Data!E3913)</f>
        <v>33077.10</v>
      </c>
      <c r="F3913" s="15" t="str">
        <f>IF(ISBLANK(Raw_Data!F3913),AVERAGE(Raw_Data!F$2:F$5002),Raw_Data!F3913)</f>
        <v>31935.75</v>
      </c>
      <c r="G3913" s="14" t="str">
        <f>IF(ISBLANK(Raw_Data!G3913),AVERAGE(Raw_Data!G$2:G$5002),Raw_Data!G3913)</f>
        <v>20962.05</v>
      </c>
      <c r="H3913" s="15" t="str">
        <f t="shared" si="1"/>
        <v>158062.00</v>
      </c>
      <c r="I3913" s="14" t="str">
        <f t="shared" si="2"/>
        <v>137100.00</v>
      </c>
      <c r="J3913" s="16" t="str">
        <f>TEXT(Raw_Data!J3913,"MMM-YYY")</f>
        <v>Aug-2025</v>
      </c>
      <c r="K3913" s="13" t="str">
        <f>Raw_Data!K3913</f>
        <v>22</v>
      </c>
      <c r="L3913" s="17" t="str">
        <f>Raw_Data!L3913</f>
        <v>Hyderabad-South</v>
      </c>
      <c r="M3913" s="13" t="str">
        <f t="shared" si="3"/>
        <v>OK</v>
      </c>
      <c r="N3913" s="18" t="str">
        <f t="shared" si="4"/>
        <v>VALID</v>
      </c>
    </row>
    <row r="3914" ht="15.75" customHeight="1">
      <c r="A3914" s="13" t="str">
        <f>Raw_Data!A3914</f>
        <v>EMP4137</v>
      </c>
      <c r="B3914" s="13" t="str">
        <f>TRIM(CLEAN(Raw_Data!B3914))</f>
        <v>HR</v>
      </c>
      <c r="C3914" s="18" t="s">
        <v>26</v>
      </c>
      <c r="D3914" s="14" t="str">
        <f>IF(ISBLANK(Raw_Data!D3914),AVERAGE(Raw_Data!D$2:D$5002),Raw_Data!D3914)</f>
        <v>93060.13</v>
      </c>
      <c r="E3914" s="15" t="str">
        <f>IF(ISBLANK(Raw_Data!E3914),AVERAGE(Raw_Data!E$2:E$5002),Raw_Data!E3914)</f>
        <v>33081.71</v>
      </c>
      <c r="F3914" s="15" t="str">
        <f>IF(ISBLANK(Raw_Data!F3914),AVERAGE(Raw_Data!F$2:F$5002),Raw_Data!F3914)</f>
        <v>31943.43</v>
      </c>
      <c r="G3914" s="14" t="str">
        <f>IF(ISBLANK(Raw_Data!G3914),AVERAGE(Raw_Data!G$2:G$5002),Raw_Data!G3914)</f>
        <v>20965.45</v>
      </c>
      <c r="H3914" s="15" t="str">
        <f t="shared" si="1"/>
        <v>158085.00</v>
      </c>
      <c r="I3914" s="14" t="str">
        <f t="shared" si="2"/>
        <v>137120.00</v>
      </c>
      <c r="J3914" s="16" t="str">
        <f>TEXT(Raw_Data!J3914,"MMM-YYY")</f>
        <v>Dec-2025</v>
      </c>
      <c r="K3914" s="13" t="str">
        <f>Raw_Data!K3914</f>
        <v>23</v>
      </c>
      <c r="L3914" s="17" t="str">
        <f>Raw_Data!L3914</f>
        <v>Chandigarh-North</v>
      </c>
      <c r="M3914" s="13" t="str">
        <f t="shared" si="3"/>
        <v>OK</v>
      </c>
      <c r="N3914" s="18" t="str">
        <f t="shared" si="4"/>
        <v>VALID</v>
      </c>
    </row>
    <row r="3915" ht="15.75" customHeight="1">
      <c r="A3915" s="13" t="str">
        <f>Raw_Data!A3915</f>
        <v>EMP4138</v>
      </c>
      <c r="B3915" s="13" t="str">
        <f>TRIM(CLEAN(Raw_Data!B3915))</f>
        <v>Finance</v>
      </c>
      <c r="C3915" s="18" t="s">
        <v>30</v>
      </c>
      <c r="D3915" s="14" t="str">
        <f>IF(ISBLANK(Raw_Data!D3915),AVERAGE(Raw_Data!D$2:D$5002),Raw_Data!D3915)</f>
        <v>93071.01</v>
      </c>
      <c r="E3915" s="15" t="str">
        <f>IF(ISBLANK(Raw_Data!E3915),AVERAGE(Raw_Data!E$2:E$5002),Raw_Data!E3915)</f>
        <v>33086.33</v>
      </c>
      <c r="F3915" s="15" t="str">
        <f>IF(ISBLANK(Raw_Data!F3915),AVERAGE(Raw_Data!F$2:F$5002),Raw_Data!F3915)</f>
        <v>31951.11</v>
      </c>
      <c r="G3915" s="14" t="str">
        <f>IF(ISBLANK(Raw_Data!G3915),AVERAGE(Raw_Data!G$2:G$5002),Raw_Data!G3915)</f>
        <v>20968.84</v>
      </c>
      <c r="H3915" s="15" t="str">
        <f t="shared" si="1"/>
        <v>158108.00</v>
      </c>
      <c r="I3915" s="14" t="str">
        <f t="shared" si="2"/>
        <v>137139.00</v>
      </c>
      <c r="J3915" s="16" t="str">
        <f>TEXT(Raw_Data!J3915,"MMM-YYY")</f>
        <v>Jun-2025</v>
      </c>
      <c r="K3915" s="13" t="str">
        <f>Raw_Data!K3915</f>
        <v>22</v>
      </c>
      <c r="L3915" s="17" t="str">
        <f>Raw_Data!L3915</f>
        <v>Ahmedabad-West</v>
      </c>
      <c r="M3915" s="13" t="str">
        <f t="shared" si="3"/>
        <v>OK</v>
      </c>
      <c r="N3915" s="18" t="str">
        <f t="shared" si="4"/>
        <v>VALID</v>
      </c>
    </row>
    <row r="3916" ht="15.75" customHeight="1">
      <c r="A3916" s="13" t="str">
        <f>Raw_Data!A3916</f>
        <v>EMP4139</v>
      </c>
      <c r="B3916" s="13" t="str">
        <f>TRIM(CLEAN(Raw_Data!B3916))</f>
        <v>Marketing</v>
      </c>
      <c r="C3916" s="18" t="s">
        <v>37</v>
      </c>
      <c r="D3916" s="14" t="str">
        <f>IF(ISBLANK(Raw_Data!D3916),AVERAGE(Raw_Data!D$2:D$5002),Raw_Data!D3916)</f>
        <v>93081.89</v>
      </c>
      <c r="E3916" s="15" t="str">
        <f>IF(ISBLANK(Raw_Data!E3916),AVERAGE(Raw_Data!E$2:E$5002),Raw_Data!E3916)</f>
        <v>33090.94</v>
      </c>
      <c r="F3916" s="15" t="str">
        <f>IF(ISBLANK(Raw_Data!F3916),AVERAGE(Raw_Data!F$2:F$5002),Raw_Data!F3916)</f>
        <v>31958.79</v>
      </c>
      <c r="G3916" s="14" t="str">
        <f>IF(ISBLANK(Raw_Data!G3916),AVERAGE(Raw_Data!G$2:G$5002),Raw_Data!G3916)</f>
        <v>20972.24</v>
      </c>
      <c r="H3916" s="15" t="str">
        <f t="shared" si="1"/>
        <v>158132.00</v>
      </c>
      <c r="I3916" s="14" t="str">
        <f t="shared" si="2"/>
        <v>137160.00</v>
      </c>
      <c r="J3916" s="16" t="str">
        <f>TEXT(Raw_Data!J3916,"MMM-YYY")</f>
        <v>Aug-2025</v>
      </c>
      <c r="K3916" s="13" t="str">
        <f>Raw_Data!K3916</f>
        <v>23</v>
      </c>
      <c r="L3916" s="17" t="str">
        <f>Raw_Data!L3916</f>
        <v>Jaipur-North</v>
      </c>
      <c r="M3916" s="13" t="str">
        <f t="shared" si="3"/>
        <v>OK</v>
      </c>
      <c r="N3916" s="18" t="str">
        <f t="shared" si="4"/>
        <v>VALID</v>
      </c>
    </row>
    <row r="3917" ht="15.75" customHeight="1">
      <c r="A3917" s="13" t="str">
        <f>Raw_Data!A3917</f>
        <v>EMP4140</v>
      </c>
      <c r="B3917" s="13" t="str">
        <f>TRIM(CLEAN(Raw_Data!B3917))</f>
        <v>HR</v>
      </c>
      <c r="C3917" s="18" t="s">
        <v>26</v>
      </c>
      <c r="D3917" s="14" t="str">
        <f>IF(ISBLANK(Raw_Data!D3917),AVERAGE(Raw_Data!D$2:D$5002),Raw_Data!D3917)</f>
        <v>93092.77</v>
      </c>
      <c r="E3917" s="15" t="str">
        <f>IF(ISBLANK(Raw_Data!E3917),AVERAGE(Raw_Data!E$2:E$5002),Raw_Data!E3917)</f>
        <v>33095.56</v>
      </c>
      <c r="F3917" s="15" t="str">
        <f>IF(ISBLANK(Raw_Data!F3917),AVERAGE(Raw_Data!F$2:F$5002),Raw_Data!F3917)</f>
        <v>31966.47</v>
      </c>
      <c r="G3917" s="14" t="str">
        <f>IF(ISBLANK(Raw_Data!G3917),AVERAGE(Raw_Data!G$2:G$5002),Raw_Data!G3917)</f>
        <v>20975.64</v>
      </c>
      <c r="H3917" s="15" t="str">
        <f t="shared" si="1"/>
        <v>158155.00</v>
      </c>
      <c r="I3917" s="14" t="str">
        <f t="shared" si="2"/>
        <v>137179.00</v>
      </c>
      <c r="J3917" s="16" t="str">
        <f>TEXT(Raw_Data!J3917,"MMM-YYY")</f>
        <v>Jul-2025</v>
      </c>
      <c r="K3917" s="13" t="str">
        <f>Raw_Data!K3917</f>
        <v>19</v>
      </c>
      <c r="L3917" s="17" t="str">
        <f>Raw_Data!L3917</f>
        <v>Mumbai-HO</v>
      </c>
      <c r="M3917" s="13" t="str">
        <f t="shared" si="3"/>
        <v>OK</v>
      </c>
      <c r="N3917" s="18" t="str">
        <f t="shared" si="4"/>
        <v>VALID</v>
      </c>
    </row>
    <row r="3918" ht="15.75" customHeight="1">
      <c r="A3918" s="13" t="str">
        <f>Raw_Data!A3918</f>
        <v>EMP4141</v>
      </c>
      <c r="B3918" s="13" t="str">
        <f>TRIM(CLEAN(Raw_Data!B3918))</f>
        <v>IT</v>
      </c>
      <c r="C3918" s="18" t="s">
        <v>30</v>
      </c>
      <c r="D3918" s="14" t="str">
        <f>IF(ISBLANK(Raw_Data!D3918),AVERAGE(Raw_Data!D$2:D$5002),Raw_Data!D3918)</f>
        <v>93103.66</v>
      </c>
      <c r="E3918" s="15" t="str">
        <f>IF(ISBLANK(Raw_Data!E3918),AVERAGE(Raw_Data!E$2:E$5002),Raw_Data!E3918)</f>
        <v>33100.17</v>
      </c>
      <c r="F3918" s="15" t="str">
        <f>IF(ISBLANK(Raw_Data!F3918),AVERAGE(Raw_Data!F$2:F$5002),Raw_Data!F3918)</f>
        <v>31974.15</v>
      </c>
      <c r="G3918" s="14" t="str">
        <f>IF(ISBLANK(Raw_Data!G3918),AVERAGE(Raw_Data!G$2:G$5002),Raw_Data!G3918)</f>
        <v>20979.04</v>
      </c>
      <c r="H3918" s="15" t="str">
        <f t="shared" si="1"/>
        <v>158178.00</v>
      </c>
      <c r="I3918" s="14" t="str">
        <f t="shared" si="2"/>
        <v>137199.00</v>
      </c>
      <c r="J3918" s="16" t="str">
        <f>TEXT(Raw_Data!J3918,"MMM-YYY")</f>
        <v>May-2025</v>
      </c>
      <c r="K3918" s="13" t="str">
        <f>Raw_Data!K3918</f>
        <v>21</v>
      </c>
      <c r="L3918" s="17" t="str">
        <f>Raw_Data!L3918</f>
        <v>Delhi-North</v>
      </c>
      <c r="M3918" s="13" t="str">
        <f t="shared" si="3"/>
        <v>OK</v>
      </c>
      <c r="N3918" s="18" t="str">
        <f t="shared" si="4"/>
        <v>VALID</v>
      </c>
    </row>
    <row r="3919" ht="15.75" customHeight="1">
      <c r="A3919" s="13" t="str">
        <f>Raw_Data!A3919</f>
        <v>EMP4142</v>
      </c>
      <c r="B3919" s="13" t="str">
        <f>TRIM(CLEAN(Raw_Data!B3919))</f>
        <v>Operations</v>
      </c>
      <c r="C3919" s="18" t="s">
        <v>18</v>
      </c>
      <c r="D3919" s="14" t="str">
        <f>IF(ISBLANK(Raw_Data!D3919),AVERAGE(Raw_Data!D$2:D$5002),Raw_Data!D3919)</f>
        <v>93114.54</v>
      </c>
      <c r="E3919" s="15" t="str">
        <f>IF(ISBLANK(Raw_Data!E3919),AVERAGE(Raw_Data!E$2:E$5002),Raw_Data!E3919)</f>
        <v>33104.79</v>
      </c>
      <c r="F3919" s="15" t="str">
        <f>IF(ISBLANK(Raw_Data!F3919),AVERAGE(Raw_Data!F$2:F$5002),Raw_Data!F3919)</f>
        <v>31981.83</v>
      </c>
      <c r="G3919" s="14" t="str">
        <f>IF(ISBLANK(Raw_Data!G3919),AVERAGE(Raw_Data!G$2:G$5002),Raw_Data!G3919)</f>
        <v>20982.43</v>
      </c>
      <c r="H3919" s="15" t="str">
        <f t="shared" si="1"/>
        <v>158201.00</v>
      </c>
      <c r="I3919" s="14" t="str">
        <f t="shared" si="2"/>
        <v>137219.00</v>
      </c>
      <c r="J3919" s="16" t="str">
        <f>TEXT(Raw_Data!J3919,"MMM-YYY")</f>
        <v>Jun-2025</v>
      </c>
      <c r="K3919" s="13" t="str">
        <f>Raw_Data!K3919</f>
        <v>5</v>
      </c>
      <c r="L3919" s="17" t="str">
        <f>Raw_Data!L3919</f>
        <v>Bangalore-South</v>
      </c>
      <c r="M3919" s="13" t="str">
        <f t="shared" si="3"/>
        <v>OK</v>
      </c>
      <c r="N3919" s="18" t="str">
        <f t="shared" si="4"/>
        <v>VALID</v>
      </c>
    </row>
    <row r="3920" ht="15.75" customHeight="1">
      <c r="A3920" s="13" t="str">
        <f>Raw_Data!A3920</f>
        <v>EMP4143</v>
      </c>
      <c r="B3920" s="13" t="str">
        <f>TRIM(CLEAN(Raw_Data!B3920))</f>
        <v>Sales</v>
      </c>
      <c r="C3920" s="18" t="s">
        <v>37</v>
      </c>
      <c r="D3920" s="14" t="str">
        <f>IF(ISBLANK(Raw_Data!D3920),AVERAGE(Raw_Data!D$2:D$5002),Raw_Data!D3920)</f>
        <v>93125.42</v>
      </c>
      <c r="E3920" s="15" t="str">
        <f>IF(ISBLANK(Raw_Data!E3920),AVERAGE(Raw_Data!E$2:E$5002),Raw_Data!E3920)</f>
        <v>33109.40</v>
      </c>
      <c r="F3920" s="15" t="str">
        <f>IF(ISBLANK(Raw_Data!F3920),AVERAGE(Raw_Data!F$2:F$5002),Raw_Data!F3920)</f>
        <v>31989.51</v>
      </c>
      <c r="G3920" s="14" t="str">
        <f>IF(ISBLANK(Raw_Data!G3920),AVERAGE(Raw_Data!G$2:G$5002),Raw_Data!G3920)</f>
        <v>20985.83</v>
      </c>
      <c r="H3920" s="15" t="str">
        <f t="shared" si="1"/>
        <v>158224.00</v>
      </c>
      <c r="I3920" s="14" t="str">
        <f t="shared" si="2"/>
        <v>137238.00</v>
      </c>
      <c r="J3920" s="16" t="str">
        <f>TEXT(Raw_Data!J3920,"MMM-YYY")</f>
        <v>Aug-2025</v>
      </c>
      <c r="K3920" s="13" t="str">
        <f>Raw_Data!K3920</f>
        <v>10</v>
      </c>
      <c r="L3920" s="17" t="str">
        <f>Raw_Data!L3920</f>
        <v>Chennai-South</v>
      </c>
      <c r="M3920" s="13" t="str">
        <f t="shared" si="3"/>
        <v>OK</v>
      </c>
      <c r="N3920" s="18" t="str">
        <f t="shared" si="4"/>
        <v>VALID</v>
      </c>
    </row>
    <row r="3921" ht="15.75" customHeight="1">
      <c r="A3921" s="13" t="str">
        <f>Raw_Data!A3921</f>
        <v>EMP4144</v>
      </c>
      <c r="B3921" s="13" t="str">
        <f>TRIM(CLEAN(Raw_Data!B3921))</f>
        <v>Finance</v>
      </c>
      <c r="C3921" s="18" t="s">
        <v>26</v>
      </c>
      <c r="D3921" s="14" t="str">
        <f>IF(ISBLANK(Raw_Data!D3921),AVERAGE(Raw_Data!D$2:D$5002),Raw_Data!D3921)</f>
        <v>93136.31</v>
      </c>
      <c r="E3921" s="15" t="str">
        <f>IF(ISBLANK(Raw_Data!E3921),AVERAGE(Raw_Data!E$2:E$5002),Raw_Data!E3921)</f>
        <v>33114.02</v>
      </c>
      <c r="F3921" s="15" t="str">
        <f>IF(ISBLANK(Raw_Data!F3921),AVERAGE(Raw_Data!F$2:F$5002),Raw_Data!F3921)</f>
        <v>31997.19</v>
      </c>
      <c r="G3921" s="14" t="str">
        <f>IF(ISBLANK(Raw_Data!G3921),AVERAGE(Raw_Data!G$2:G$5002),Raw_Data!G3921)</f>
        <v>20989.23</v>
      </c>
      <c r="H3921" s="15" t="str">
        <f t="shared" si="1"/>
        <v>158248.00</v>
      </c>
      <c r="I3921" s="14" t="str">
        <f t="shared" si="2"/>
        <v>137259.00</v>
      </c>
      <c r="J3921" s="16" t="str">
        <f>TEXT(Raw_Data!J3921,"MMM-YYY")</f>
        <v>Jul-2025</v>
      </c>
      <c r="K3921" s="13" t="str">
        <f>Raw_Data!K3921</f>
        <v>19</v>
      </c>
      <c r="L3921" s="17" t="str">
        <f>Raw_Data!L3921</f>
        <v>Kolkata-East</v>
      </c>
      <c r="M3921" s="13" t="str">
        <f t="shared" si="3"/>
        <v>OK</v>
      </c>
      <c r="N3921" s="18" t="str">
        <f t="shared" si="4"/>
        <v>VALID</v>
      </c>
    </row>
    <row r="3922" ht="15.75" customHeight="1">
      <c r="A3922" s="13" t="str">
        <f>Raw_Data!A3922</f>
        <v>EMP4145</v>
      </c>
      <c r="B3922" s="13" t="str">
        <f>TRIM(CLEAN(Raw_Data!B3922))</f>
        <v>IT</v>
      </c>
      <c r="C3922" s="18" t="s">
        <v>33</v>
      </c>
      <c r="D3922" s="14" t="str">
        <f>IF(ISBLANK(Raw_Data!D3922),AVERAGE(Raw_Data!D$2:D$5002),Raw_Data!D3922)</f>
        <v>93147.19</v>
      </c>
      <c r="E3922" s="15" t="str">
        <f>IF(ISBLANK(Raw_Data!E3922),AVERAGE(Raw_Data!E$2:E$5002),Raw_Data!E3922)</f>
        <v>33118.63</v>
      </c>
      <c r="F3922" s="15" t="str">
        <f>IF(ISBLANK(Raw_Data!F3922),AVERAGE(Raw_Data!F$2:F$5002),Raw_Data!F3922)</f>
        <v>32004.87</v>
      </c>
      <c r="G3922" s="14" t="str">
        <f>IF(ISBLANK(Raw_Data!G3922),AVERAGE(Raw_Data!G$2:G$5002),Raw_Data!G3922)</f>
        <v>20992.63</v>
      </c>
      <c r="H3922" s="15" t="str">
        <f t="shared" si="1"/>
        <v>158271.00</v>
      </c>
      <c r="I3922" s="14" t="str">
        <f t="shared" si="2"/>
        <v>137278.00</v>
      </c>
      <c r="J3922" s="16" t="str">
        <f>TEXT(Raw_Data!J3922,"MMM-YYY")</f>
        <v>May-2025</v>
      </c>
      <c r="K3922" s="13" t="str">
        <f>Raw_Data!K3922</f>
        <v>25</v>
      </c>
      <c r="L3922" s="17" t="str">
        <f>Raw_Data!L3922</f>
        <v>Pune-West</v>
      </c>
      <c r="M3922" s="13" t="str">
        <f t="shared" si="3"/>
        <v>OK</v>
      </c>
      <c r="N3922" s="18" t="str">
        <f t="shared" si="4"/>
        <v>VALID</v>
      </c>
    </row>
    <row r="3923" ht="15.75" customHeight="1">
      <c r="A3923" s="13" t="str">
        <f>Raw_Data!A3923</f>
        <v>EMP4146</v>
      </c>
      <c r="B3923" s="13" t="str">
        <f>TRIM(CLEAN(Raw_Data!B3923))</f>
        <v>Sales</v>
      </c>
      <c r="C3923" s="18" t="s">
        <v>26</v>
      </c>
      <c r="D3923" s="14" t="str">
        <f>IF(ISBLANK(Raw_Data!D3923),AVERAGE(Raw_Data!D$2:D$5002),Raw_Data!D3923)</f>
        <v>93158.07</v>
      </c>
      <c r="E3923" s="15" t="str">
        <f>IF(ISBLANK(Raw_Data!E3923),AVERAGE(Raw_Data!E$2:E$5002),Raw_Data!E3923)</f>
        <v>33123.25</v>
      </c>
      <c r="F3923" s="15" t="str">
        <f>IF(ISBLANK(Raw_Data!F3923),AVERAGE(Raw_Data!F$2:F$5002),Raw_Data!F3923)</f>
        <v>32012.55</v>
      </c>
      <c r="G3923" s="14" t="str">
        <f>IF(ISBLANK(Raw_Data!G3923),AVERAGE(Raw_Data!G$2:G$5002),Raw_Data!G3923)</f>
        <v>20996.02</v>
      </c>
      <c r="H3923" s="15" t="str">
        <f t="shared" si="1"/>
        <v>158294.00</v>
      </c>
      <c r="I3923" s="14" t="str">
        <f t="shared" si="2"/>
        <v>137298.00</v>
      </c>
      <c r="J3923" s="16" t="str">
        <f>TEXT(Raw_Data!J3923,"MMM-YYY")</f>
        <v>Nov-2025</v>
      </c>
      <c r="K3923" s="13" t="str">
        <f>Raw_Data!K3923</f>
        <v>14</v>
      </c>
      <c r="L3923" s="17" t="str">
        <f>Raw_Data!L3923</f>
        <v>Hyderabad-South</v>
      </c>
      <c r="M3923" s="13" t="str">
        <f t="shared" si="3"/>
        <v>OK</v>
      </c>
      <c r="N3923" s="18" t="str">
        <f t="shared" si="4"/>
        <v>VALID</v>
      </c>
    </row>
    <row r="3924" ht="15.75" customHeight="1">
      <c r="A3924" s="13" t="str">
        <f>Raw_Data!A3924</f>
        <v>EMP4147</v>
      </c>
      <c r="B3924" s="13" t="str">
        <f>TRIM(CLEAN(Raw_Data!B3924))</f>
        <v>HR</v>
      </c>
      <c r="C3924" s="18" t="s">
        <v>14</v>
      </c>
      <c r="D3924" s="14" t="str">
        <f>IF(ISBLANK(Raw_Data!D3924),AVERAGE(Raw_Data!D$2:D$5002),Raw_Data!D3924)</f>
        <v>93168.96</v>
      </c>
      <c r="E3924" s="15" t="str">
        <f>IF(ISBLANK(Raw_Data!E3924),AVERAGE(Raw_Data!E$2:E$5002),Raw_Data!E3924)</f>
        <v>33127.86</v>
      </c>
      <c r="F3924" s="15" t="str">
        <f>IF(ISBLANK(Raw_Data!F3924),AVERAGE(Raw_Data!F$2:F$5002),Raw_Data!F3924)</f>
        <v>32020.23</v>
      </c>
      <c r="G3924" s="14" t="str">
        <f>IF(ISBLANK(Raw_Data!G3924),AVERAGE(Raw_Data!G$2:G$5002),Raw_Data!G3924)</f>
        <v>20999.42</v>
      </c>
      <c r="H3924" s="15" t="str">
        <f t="shared" si="1"/>
        <v>158317.00</v>
      </c>
      <c r="I3924" s="14" t="str">
        <f t="shared" si="2"/>
        <v>137318.00</v>
      </c>
      <c r="J3924" s="16" t="str">
        <f>TEXT(Raw_Data!J3924,"MMM-YYY")</f>
        <v>Apr-2025</v>
      </c>
      <c r="K3924" s="13" t="str">
        <f>Raw_Data!K3924</f>
        <v>14</v>
      </c>
      <c r="L3924" s="17" t="str">
        <f>Raw_Data!L3924</f>
        <v>Chandigarh-North</v>
      </c>
      <c r="M3924" s="13" t="str">
        <f t="shared" si="3"/>
        <v>OK</v>
      </c>
      <c r="N3924" s="18" t="str">
        <f t="shared" si="4"/>
        <v>VALID</v>
      </c>
    </row>
    <row r="3925" ht="15.75" customHeight="1">
      <c r="A3925" s="13" t="str">
        <f>Raw_Data!A3925</f>
        <v>EMP4148</v>
      </c>
      <c r="B3925" s="13" t="str">
        <f>TRIM(CLEAN(Raw_Data!B3925))</f>
        <v>Finance</v>
      </c>
      <c r="C3925" s="18" t="s">
        <v>18</v>
      </c>
      <c r="D3925" s="14" t="str">
        <f>IF(ISBLANK(Raw_Data!D3925),AVERAGE(Raw_Data!D$2:D$5002),Raw_Data!D3925)</f>
        <v>93179.84</v>
      </c>
      <c r="E3925" s="15" t="str">
        <f>IF(ISBLANK(Raw_Data!E3925),AVERAGE(Raw_Data!E$2:E$5002),Raw_Data!E3925)</f>
        <v>33132.48</v>
      </c>
      <c r="F3925" s="15" t="str">
        <f>IF(ISBLANK(Raw_Data!F3925),AVERAGE(Raw_Data!F$2:F$5002),Raw_Data!F3925)</f>
        <v>32027.91</v>
      </c>
      <c r="G3925" s="14" t="str">
        <f>IF(ISBLANK(Raw_Data!G3925),AVERAGE(Raw_Data!G$2:G$5002),Raw_Data!G3925)</f>
        <v>21002.82</v>
      </c>
      <c r="H3925" s="15" t="str">
        <f t="shared" si="1"/>
        <v>158340.00</v>
      </c>
      <c r="I3925" s="14" t="str">
        <f t="shared" si="2"/>
        <v>137337.00</v>
      </c>
      <c r="J3925" s="16" t="str">
        <f>TEXT(Raw_Data!J3925,"MMM-YYY")</f>
        <v>Feb-2025</v>
      </c>
      <c r="K3925" s="13" t="str">
        <f>Raw_Data!K3925</f>
        <v>2</v>
      </c>
      <c r="L3925" s="17" t="str">
        <f>Raw_Data!L3925</f>
        <v>Ahmedabad-West</v>
      </c>
      <c r="M3925" s="13" t="str">
        <f t="shared" si="3"/>
        <v>OK</v>
      </c>
      <c r="N3925" s="18" t="str">
        <f t="shared" si="4"/>
        <v>VALID</v>
      </c>
    </row>
    <row r="3926" ht="15.75" customHeight="1">
      <c r="A3926" s="13" t="str">
        <f>Raw_Data!A3926</f>
        <v>EMP4149</v>
      </c>
      <c r="B3926" s="13" t="str">
        <f>TRIM(CLEAN(Raw_Data!B3926))</f>
        <v>HR</v>
      </c>
      <c r="C3926" s="18" t="s">
        <v>26</v>
      </c>
      <c r="D3926" s="14" t="str">
        <f>IF(ISBLANK(Raw_Data!D3926),AVERAGE(Raw_Data!D$2:D$5002),Raw_Data!D3926)</f>
        <v>93190.72</v>
      </c>
      <c r="E3926" s="15" t="str">
        <f>IF(ISBLANK(Raw_Data!E3926),AVERAGE(Raw_Data!E$2:E$5002),Raw_Data!E3926)</f>
        <v>33137.09</v>
      </c>
      <c r="F3926" s="15" t="str">
        <f>IF(ISBLANK(Raw_Data!F3926),AVERAGE(Raw_Data!F$2:F$5002),Raw_Data!F3926)</f>
        <v>32035.59</v>
      </c>
      <c r="G3926" s="14" t="str">
        <f>IF(ISBLANK(Raw_Data!G3926),AVERAGE(Raw_Data!G$2:G$5002),Raw_Data!G3926)</f>
        <v>21006.22</v>
      </c>
      <c r="H3926" s="15" t="str">
        <f t="shared" si="1"/>
        <v>158363.00</v>
      </c>
      <c r="I3926" s="14" t="str">
        <f t="shared" si="2"/>
        <v>137357.00</v>
      </c>
      <c r="J3926" s="16" t="str">
        <f>TEXT(Raw_Data!J3926,"MMM-YYY")</f>
        <v>Dec-2025</v>
      </c>
      <c r="K3926" s="13" t="str">
        <f>Raw_Data!K3926</f>
        <v>9</v>
      </c>
      <c r="L3926" s="17" t="str">
        <f>Raw_Data!L3926</f>
        <v>Jaipur-North</v>
      </c>
      <c r="M3926" s="13" t="str">
        <f t="shared" si="3"/>
        <v>OK</v>
      </c>
      <c r="N3926" s="18" t="str">
        <f t="shared" si="4"/>
        <v>VALID</v>
      </c>
    </row>
    <row r="3927" ht="15.75" customHeight="1">
      <c r="A3927" s="13" t="str">
        <f>Raw_Data!A3927</f>
        <v>EMP4150</v>
      </c>
      <c r="B3927" s="13" t="str">
        <f>TRIM(CLEAN(Raw_Data!B3927))</f>
        <v>Finance</v>
      </c>
      <c r="C3927" s="18" t="s">
        <v>14</v>
      </c>
      <c r="D3927" s="14" t="str">
        <f>IF(ISBLANK(Raw_Data!D3927),AVERAGE(Raw_Data!D$2:D$5002),Raw_Data!D3927)</f>
        <v>93201.60</v>
      </c>
      <c r="E3927" s="15" t="str">
        <f>IF(ISBLANK(Raw_Data!E3927),AVERAGE(Raw_Data!E$2:E$5002),Raw_Data!E3927)</f>
        <v>33141.71</v>
      </c>
      <c r="F3927" s="15" t="str">
        <f>IF(ISBLANK(Raw_Data!F3927),AVERAGE(Raw_Data!F$2:F$5002),Raw_Data!F3927)</f>
        <v>32043.27</v>
      </c>
      <c r="G3927" s="14" t="str">
        <f>IF(ISBLANK(Raw_Data!G3927),AVERAGE(Raw_Data!G$2:G$5002),Raw_Data!G3927)</f>
        <v>21009.61</v>
      </c>
      <c r="H3927" s="15" t="str">
        <f t="shared" si="1"/>
        <v>158387.00</v>
      </c>
      <c r="I3927" s="14" t="str">
        <f t="shared" si="2"/>
        <v>137377.00</v>
      </c>
      <c r="J3927" s="16" t="str">
        <f>TEXT(Raw_Data!J3927,"MMM-YYY")</f>
        <v>Aug-2025</v>
      </c>
      <c r="K3927" s="13" t="str">
        <f>Raw_Data!K3927</f>
        <v>6</v>
      </c>
      <c r="L3927" s="17" t="str">
        <f>Raw_Data!L3927</f>
        <v>Mumbai-HO</v>
      </c>
      <c r="M3927" s="13" t="str">
        <f t="shared" si="3"/>
        <v>OK</v>
      </c>
      <c r="N3927" s="18" t="str">
        <f t="shared" si="4"/>
        <v>VALID</v>
      </c>
    </row>
    <row r="3928" ht="15.75" customHeight="1">
      <c r="A3928" s="13" t="str">
        <f>Raw_Data!A3928</f>
        <v>EMP4151</v>
      </c>
      <c r="B3928" s="13" t="str">
        <f>TRIM(CLEAN(Raw_Data!B3928))</f>
        <v>Marketing</v>
      </c>
      <c r="C3928" s="18" t="s">
        <v>54</v>
      </c>
      <c r="D3928" s="14" t="str">
        <f>IF(ISBLANK(Raw_Data!D3928),AVERAGE(Raw_Data!D$2:D$5002),Raw_Data!D3928)</f>
        <v>93212.49</v>
      </c>
      <c r="E3928" s="15" t="str">
        <f>IF(ISBLANK(Raw_Data!E3928),AVERAGE(Raw_Data!E$2:E$5002),Raw_Data!E3928)</f>
        <v>33146.32</v>
      </c>
      <c r="F3928" s="15" t="str">
        <f>IF(ISBLANK(Raw_Data!F3928),AVERAGE(Raw_Data!F$2:F$5002),Raw_Data!F3928)</f>
        <v>32050.95</v>
      </c>
      <c r="G3928" s="14" t="str">
        <f>IF(ISBLANK(Raw_Data!G3928),AVERAGE(Raw_Data!G$2:G$5002),Raw_Data!G3928)</f>
        <v>21013.01</v>
      </c>
      <c r="H3928" s="15" t="str">
        <f t="shared" si="1"/>
        <v>158410.00</v>
      </c>
      <c r="I3928" s="14" t="str">
        <f t="shared" si="2"/>
        <v>137397.00</v>
      </c>
      <c r="J3928" s="16" t="str">
        <f>TEXT(Raw_Data!J3928,"MMM-YYY")</f>
        <v>Jun-2025</v>
      </c>
      <c r="K3928" s="13" t="str">
        <f>Raw_Data!K3928</f>
        <v>22</v>
      </c>
      <c r="L3928" s="17" t="str">
        <f>Raw_Data!L3928</f>
        <v>Delhi-North</v>
      </c>
      <c r="M3928" s="13" t="str">
        <f t="shared" si="3"/>
        <v>OK</v>
      </c>
      <c r="N3928" s="18" t="str">
        <f t="shared" si="4"/>
        <v>VALID</v>
      </c>
    </row>
    <row r="3929" ht="15.75" customHeight="1">
      <c r="A3929" s="13" t="str">
        <f>Raw_Data!A3929</f>
        <v>EMP4152</v>
      </c>
      <c r="B3929" s="13" t="str">
        <f>TRIM(CLEAN(Raw_Data!B3929))</f>
        <v>Finance</v>
      </c>
      <c r="C3929" s="18" t="s">
        <v>26</v>
      </c>
      <c r="D3929" s="14" t="str">
        <f>IF(ISBLANK(Raw_Data!D3929),AVERAGE(Raw_Data!D$2:D$5002),Raw_Data!D3929)</f>
        <v>93223.37</v>
      </c>
      <c r="E3929" s="15" t="str">
        <f>IF(ISBLANK(Raw_Data!E3929),AVERAGE(Raw_Data!E$2:E$5002),Raw_Data!E3929)</f>
        <v>33150.93</v>
      </c>
      <c r="F3929" s="15" t="str">
        <f>IF(ISBLANK(Raw_Data!F3929),AVERAGE(Raw_Data!F$2:F$5002),Raw_Data!F3929)</f>
        <v>32058.63</v>
      </c>
      <c r="G3929" s="14" t="str">
        <f>IF(ISBLANK(Raw_Data!G3929),AVERAGE(Raw_Data!G$2:G$5002),Raw_Data!G3929)</f>
        <v>21016.41</v>
      </c>
      <c r="H3929" s="15" t="str">
        <f t="shared" si="1"/>
        <v>158433.00</v>
      </c>
      <c r="I3929" s="14" t="str">
        <f t="shared" si="2"/>
        <v>137417.00</v>
      </c>
      <c r="J3929" s="16" t="str">
        <f>TEXT(Raw_Data!J3929,"MMM-YYY")</f>
        <v>Mar-2025</v>
      </c>
      <c r="K3929" s="13" t="str">
        <f>Raw_Data!K3929</f>
        <v>9</v>
      </c>
      <c r="L3929" s="17" t="str">
        <f>Raw_Data!L3929</f>
        <v>Bangalore-South</v>
      </c>
      <c r="M3929" s="13" t="str">
        <f t="shared" si="3"/>
        <v>OK</v>
      </c>
      <c r="N3929" s="18" t="str">
        <f t="shared" si="4"/>
        <v>VALID</v>
      </c>
    </row>
    <row r="3930" ht="15.75" customHeight="1">
      <c r="A3930" s="13" t="str">
        <f>Raw_Data!A3930</f>
        <v>EMP4153</v>
      </c>
      <c r="B3930" s="13" t="str">
        <f>TRIM(CLEAN(Raw_Data!B3930))</f>
        <v>IT</v>
      </c>
      <c r="C3930" s="18" t="s">
        <v>18</v>
      </c>
      <c r="D3930" s="14" t="str">
        <f>IF(ISBLANK(Raw_Data!D3930),AVERAGE(Raw_Data!D$2:D$5002),Raw_Data!D3930)</f>
        <v>93234.25</v>
      </c>
      <c r="E3930" s="15" t="str">
        <f>IF(ISBLANK(Raw_Data!E3930),AVERAGE(Raw_Data!E$2:E$5002),Raw_Data!E3930)</f>
        <v>33155.55</v>
      </c>
      <c r="F3930" s="15" t="str">
        <f>IF(ISBLANK(Raw_Data!F3930),AVERAGE(Raw_Data!F$2:F$5002),Raw_Data!F3930)</f>
        <v>32066.31</v>
      </c>
      <c r="G3930" s="14" t="str">
        <f>IF(ISBLANK(Raw_Data!G3930),AVERAGE(Raw_Data!G$2:G$5002),Raw_Data!G3930)</f>
        <v>21019.81</v>
      </c>
      <c r="H3930" s="15" t="str">
        <f t="shared" si="1"/>
        <v>158456.00</v>
      </c>
      <c r="I3930" s="14" t="str">
        <f t="shared" si="2"/>
        <v>137436.00</v>
      </c>
      <c r="J3930" s="16" t="str">
        <f>TEXT(Raw_Data!J3930,"MMM-YYY")</f>
        <v>Nov-2025</v>
      </c>
      <c r="K3930" s="13" t="str">
        <f>Raw_Data!K3930</f>
        <v>11</v>
      </c>
      <c r="L3930" s="17" t="str">
        <f>Raw_Data!L3930</f>
        <v>Chennai-South</v>
      </c>
      <c r="M3930" s="13" t="str">
        <f t="shared" si="3"/>
        <v>OK</v>
      </c>
      <c r="N3930" s="18" t="str">
        <f t="shared" si="4"/>
        <v>VALID</v>
      </c>
    </row>
    <row r="3931" ht="15.75" customHeight="1">
      <c r="A3931" s="13" t="str">
        <f>Raw_Data!A3931</f>
        <v>EMP4154</v>
      </c>
      <c r="B3931" s="13" t="str">
        <f>TRIM(CLEAN(Raw_Data!B3931))</f>
        <v>HR</v>
      </c>
      <c r="C3931" s="18" t="s">
        <v>37</v>
      </c>
      <c r="D3931" s="14" t="str">
        <f>IF(ISBLANK(Raw_Data!D3931),AVERAGE(Raw_Data!D$2:D$5002),Raw_Data!D3931)</f>
        <v>93245.14</v>
      </c>
      <c r="E3931" s="15" t="str">
        <f>IF(ISBLANK(Raw_Data!E3931),AVERAGE(Raw_Data!E$2:E$5002),Raw_Data!E3931)</f>
        <v>33160.16</v>
      </c>
      <c r="F3931" s="15" t="str">
        <f>IF(ISBLANK(Raw_Data!F3931),AVERAGE(Raw_Data!F$2:F$5002),Raw_Data!F3931)</f>
        <v>32073.99</v>
      </c>
      <c r="G3931" s="14" t="str">
        <f>IF(ISBLANK(Raw_Data!G3931),AVERAGE(Raw_Data!G$2:G$5002),Raw_Data!G3931)</f>
        <v>21023.20</v>
      </c>
      <c r="H3931" s="15" t="str">
        <f t="shared" si="1"/>
        <v>158479.00</v>
      </c>
      <c r="I3931" s="14" t="str">
        <f t="shared" si="2"/>
        <v>137456.00</v>
      </c>
      <c r="J3931" s="16" t="str">
        <f>TEXT(Raw_Data!J3931,"MMM-YYY")</f>
        <v>Jul-2025</v>
      </c>
      <c r="K3931" s="13" t="str">
        <f>Raw_Data!K3931</f>
        <v>6</v>
      </c>
      <c r="L3931" s="17" t="str">
        <f>Raw_Data!L3931</f>
        <v>Kolkata-East</v>
      </c>
      <c r="M3931" s="13" t="str">
        <f t="shared" si="3"/>
        <v>OK</v>
      </c>
      <c r="N3931" s="18" t="str">
        <f t="shared" si="4"/>
        <v>VALID</v>
      </c>
    </row>
    <row r="3932" ht="15.75" customHeight="1">
      <c r="A3932" s="13" t="str">
        <f>Raw_Data!A3932</f>
        <v>EMP4155</v>
      </c>
      <c r="B3932" s="13" t="str">
        <f>TRIM(CLEAN(Raw_Data!B3932))</f>
        <v>IT</v>
      </c>
      <c r="C3932" s="18" t="s">
        <v>18</v>
      </c>
      <c r="D3932" s="14" t="str">
        <f>IF(ISBLANK(Raw_Data!D3932),AVERAGE(Raw_Data!D$2:D$5002),Raw_Data!D3932)</f>
        <v>93256.02</v>
      </c>
      <c r="E3932" s="15" t="str">
        <f>IF(ISBLANK(Raw_Data!E3932),AVERAGE(Raw_Data!E$2:E$5002),Raw_Data!E3932)</f>
        <v>33164.78</v>
      </c>
      <c r="F3932" s="15" t="str">
        <f>IF(ISBLANK(Raw_Data!F3932),AVERAGE(Raw_Data!F$2:F$5002),Raw_Data!F3932)</f>
        <v>32081.67</v>
      </c>
      <c r="G3932" s="14" t="str">
        <f>IF(ISBLANK(Raw_Data!G3932),AVERAGE(Raw_Data!G$2:G$5002),Raw_Data!G3932)</f>
        <v>21026.60</v>
      </c>
      <c r="H3932" s="15" t="str">
        <f t="shared" si="1"/>
        <v>158502.00</v>
      </c>
      <c r="I3932" s="14" t="str">
        <f t="shared" si="2"/>
        <v>137475.00</v>
      </c>
      <c r="J3932" s="16" t="str">
        <f>TEXT(Raw_Data!J3932,"MMM-YYY")</f>
        <v>Mar-2025</v>
      </c>
      <c r="K3932" s="13" t="str">
        <f>Raw_Data!K3932</f>
        <v>13</v>
      </c>
      <c r="L3932" s="17" t="str">
        <f>Raw_Data!L3932</f>
        <v>Pune-West</v>
      </c>
      <c r="M3932" s="13" t="str">
        <f t="shared" si="3"/>
        <v>OK</v>
      </c>
      <c r="N3932" s="18" t="str">
        <f t="shared" si="4"/>
        <v>VALID</v>
      </c>
    </row>
    <row r="3933" ht="15.75" customHeight="1">
      <c r="A3933" s="13" t="str">
        <f>Raw_Data!A3933</f>
        <v>EMP4156</v>
      </c>
      <c r="B3933" s="13" t="str">
        <f>TRIM(CLEAN(Raw_Data!B3933))</f>
        <v>Sales</v>
      </c>
      <c r="C3933" s="18" t="s">
        <v>18</v>
      </c>
      <c r="D3933" s="14" t="str">
        <f>IF(ISBLANK(Raw_Data!D3933),AVERAGE(Raw_Data!D$2:D$5002),Raw_Data!D3933)</f>
        <v>93266.90</v>
      </c>
      <c r="E3933" s="15" t="str">
        <f>IF(ISBLANK(Raw_Data!E3933),AVERAGE(Raw_Data!E$2:E$5002),Raw_Data!E3933)</f>
        <v>33169.39</v>
      </c>
      <c r="F3933" s="15" t="str">
        <f>IF(ISBLANK(Raw_Data!F3933),AVERAGE(Raw_Data!F$2:F$5002),Raw_Data!F3933)</f>
        <v>32089.35</v>
      </c>
      <c r="G3933" s="14" t="str">
        <f>IF(ISBLANK(Raw_Data!G3933),AVERAGE(Raw_Data!G$2:G$5002),Raw_Data!G3933)</f>
        <v>21030.00</v>
      </c>
      <c r="H3933" s="15" t="str">
        <f t="shared" si="1"/>
        <v>158526.00</v>
      </c>
      <c r="I3933" s="14" t="str">
        <f t="shared" si="2"/>
        <v>137496.00</v>
      </c>
      <c r="J3933" s="16" t="str">
        <f>TEXT(Raw_Data!J3933,"MMM-YYY")</f>
        <v>Jun-2025</v>
      </c>
      <c r="K3933" s="13" t="str">
        <f>Raw_Data!K3933</f>
        <v>20</v>
      </c>
      <c r="L3933" s="17" t="str">
        <f>Raw_Data!L3933</f>
        <v>Hyderabad-South</v>
      </c>
      <c r="M3933" s="13" t="str">
        <f t="shared" si="3"/>
        <v>OK</v>
      </c>
      <c r="N3933" s="18" t="str">
        <f t="shared" si="4"/>
        <v>VALID</v>
      </c>
    </row>
    <row r="3934" ht="15.75" customHeight="1">
      <c r="A3934" s="13" t="str">
        <f>Raw_Data!A3934</f>
        <v>EMP4157</v>
      </c>
      <c r="B3934" s="13" t="str">
        <f>TRIM(CLEAN(Raw_Data!B3934))</f>
        <v>Finance</v>
      </c>
      <c r="C3934" s="18" t="s">
        <v>14</v>
      </c>
      <c r="D3934" s="14" t="str">
        <f>IF(ISBLANK(Raw_Data!D3934),AVERAGE(Raw_Data!D$2:D$5002),Raw_Data!D3934)</f>
        <v>93277.79</v>
      </c>
      <c r="E3934" s="15" t="str">
        <f>IF(ISBLANK(Raw_Data!E3934),AVERAGE(Raw_Data!E$2:E$5002),Raw_Data!E3934)</f>
        <v>33174.01</v>
      </c>
      <c r="F3934" s="15" t="str">
        <f>IF(ISBLANK(Raw_Data!F3934),AVERAGE(Raw_Data!F$2:F$5002),Raw_Data!F3934)</f>
        <v>32097.03</v>
      </c>
      <c r="G3934" s="14" t="str">
        <f>IF(ISBLANK(Raw_Data!G3934),AVERAGE(Raw_Data!G$2:G$5002),Raw_Data!G3934)</f>
        <v>21033.40</v>
      </c>
      <c r="H3934" s="15" t="str">
        <f t="shared" si="1"/>
        <v>158549.00</v>
      </c>
      <c r="I3934" s="14" t="str">
        <f t="shared" si="2"/>
        <v>137516.00</v>
      </c>
      <c r="J3934" s="16" t="str">
        <f>TEXT(Raw_Data!J3934,"MMM-YYY")</f>
        <v>Oct-2025</v>
      </c>
      <c r="K3934" s="13" t="str">
        <f>Raw_Data!K3934</f>
        <v>9</v>
      </c>
      <c r="L3934" s="17" t="str">
        <f>Raw_Data!L3934</f>
        <v>Chandigarh-North</v>
      </c>
      <c r="M3934" s="13" t="str">
        <f t="shared" si="3"/>
        <v>OK</v>
      </c>
      <c r="N3934" s="18" t="str">
        <f t="shared" si="4"/>
        <v>VALID</v>
      </c>
    </row>
    <row r="3935" ht="15.75" customHeight="1">
      <c r="A3935" s="13" t="str">
        <f>Raw_Data!A3935</f>
        <v>EMP4158</v>
      </c>
      <c r="B3935" s="13" t="str">
        <f>TRIM(CLEAN(Raw_Data!B3935))</f>
        <v>Operations</v>
      </c>
      <c r="C3935" s="18" t="s">
        <v>33</v>
      </c>
      <c r="D3935" s="14" t="str">
        <f>IF(ISBLANK(Raw_Data!D3935),AVERAGE(Raw_Data!D$2:D$5002),Raw_Data!D3935)</f>
        <v>93288.67</v>
      </c>
      <c r="E3935" s="15" t="str">
        <f>IF(ISBLANK(Raw_Data!E3935),AVERAGE(Raw_Data!E$2:E$5002),Raw_Data!E3935)</f>
        <v>33178.62</v>
      </c>
      <c r="F3935" s="15" t="str">
        <f>IF(ISBLANK(Raw_Data!F3935),AVERAGE(Raw_Data!F$2:F$5002),Raw_Data!F3935)</f>
        <v>32104.71</v>
      </c>
      <c r="G3935" s="14" t="str">
        <f>IF(ISBLANK(Raw_Data!G3935),AVERAGE(Raw_Data!G$2:G$5002),Raw_Data!G3935)</f>
        <v>21036.79</v>
      </c>
      <c r="H3935" s="15" t="str">
        <f t="shared" si="1"/>
        <v>158572.00</v>
      </c>
      <c r="I3935" s="14" t="str">
        <f t="shared" si="2"/>
        <v>137535.00</v>
      </c>
      <c r="J3935" s="16" t="str">
        <f>TEXT(Raw_Data!J3935,"MMM-YYY")</f>
        <v>Nov-2025</v>
      </c>
      <c r="K3935" s="13" t="str">
        <f>Raw_Data!K3935</f>
        <v>1</v>
      </c>
      <c r="L3935" s="17" t="str">
        <f>Raw_Data!L3935</f>
        <v>Ahmedabad-West</v>
      </c>
      <c r="M3935" s="13" t="str">
        <f t="shared" si="3"/>
        <v>OK</v>
      </c>
      <c r="N3935" s="18" t="str">
        <f t="shared" si="4"/>
        <v>VALID</v>
      </c>
    </row>
    <row r="3936" ht="15.75" customHeight="1">
      <c r="A3936" s="13" t="str">
        <f>Raw_Data!A3936</f>
        <v>EMP4159</v>
      </c>
      <c r="B3936" s="13" t="str">
        <f>TRIM(CLEAN(Raw_Data!B3936))</f>
        <v>Customer Support</v>
      </c>
      <c r="C3936" s="18" t="s">
        <v>54</v>
      </c>
      <c r="D3936" s="14" t="str">
        <f>IF(ISBLANK(Raw_Data!D3936),AVERAGE(Raw_Data!D$2:D$5002),Raw_Data!D3936)</f>
        <v>93299.55</v>
      </c>
      <c r="E3936" s="15" t="str">
        <f>IF(ISBLANK(Raw_Data!E3936),AVERAGE(Raw_Data!E$2:E$5002),Raw_Data!E3936)</f>
        <v>33183.24</v>
      </c>
      <c r="F3936" s="15" t="str">
        <f>IF(ISBLANK(Raw_Data!F3936),AVERAGE(Raw_Data!F$2:F$5002),Raw_Data!F3936)</f>
        <v>32112.39</v>
      </c>
      <c r="G3936" s="14" t="str">
        <f>IF(ISBLANK(Raw_Data!G3936),AVERAGE(Raw_Data!G$2:G$5002),Raw_Data!G3936)</f>
        <v>21040.19</v>
      </c>
      <c r="H3936" s="15" t="str">
        <f t="shared" si="1"/>
        <v>158595.00</v>
      </c>
      <c r="I3936" s="14" t="str">
        <f t="shared" si="2"/>
        <v>137555.00</v>
      </c>
      <c r="J3936" s="16" t="str">
        <f>TEXT(Raw_Data!J3936,"MMM-YYY")</f>
        <v>May-2025</v>
      </c>
      <c r="K3936" s="13" t="str">
        <f>Raw_Data!K3936</f>
        <v>17</v>
      </c>
      <c r="L3936" s="17" t="str">
        <f>Raw_Data!L3936</f>
        <v>Jaipur-North</v>
      </c>
      <c r="M3936" s="13" t="str">
        <f t="shared" si="3"/>
        <v>OK</v>
      </c>
      <c r="N3936" s="18" t="str">
        <f t="shared" si="4"/>
        <v>VALID</v>
      </c>
    </row>
    <row r="3937" ht="15.75" customHeight="1">
      <c r="A3937" s="13" t="str">
        <f>Raw_Data!A3937</f>
        <v>EMP4160</v>
      </c>
      <c r="B3937" s="13" t="str">
        <f>TRIM(CLEAN(Raw_Data!B3937))</f>
        <v>Customer Support</v>
      </c>
      <c r="C3937" s="18" t="s">
        <v>14</v>
      </c>
      <c r="D3937" s="14" t="str">
        <f>IF(ISBLANK(Raw_Data!D3937),AVERAGE(Raw_Data!D$2:D$5002),Raw_Data!D3937)</f>
        <v>93310.43</v>
      </c>
      <c r="E3937" s="15" t="str">
        <f>IF(ISBLANK(Raw_Data!E3937),AVERAGE(Raw_Data!E$2:E$5002),Raw_Data!E3937)</f>
        <v>33187.85</v>
      </c>
      <c r="F3937" s="15" t="str">
        <f>IF(ISBLANK(Raw_Data!F3937),AVERAGE(Raw_Data!F$2:F$5002),Raw_Data!F3937)</f>
        <v>32120.07</v>
      </c>
      <c r="G3937" s="14" t="str">
        <f>IF(ISBLANK(Raw_Data!G3937),AVERAGE(Raw_Data!G$2:G$5002),Raw_Data!G3937)</f>
        <v>21043.59</v>
      </c>
      <c r="H3937" s="15" t="str">
        <f t="shared" si="1"/>
        <v>158618.00</v>
      </c>
      <c r="I3937" s="14" t="str">
        <f t="shared" si="2"/>
        <v>137574.00</v>
      </c>
      <c r="J3937" s="16" t="str">
        <f>TEXT(Raw_Data!J3937,"MMM-YYY")</f>
        <v>Jul-2025</v>
      </c>
      <c r="K3937" s="13" t="str">
        <f>Raw_Data!K3937</f>
        <v>23</v>
      </c>
      <c r="L3937" s="17" t="str">
        <f>Raw_Data!L3937</f>
        <v>Mumbai-HO</v>
      </c>
      <c r="M3937" s="13" t="str">
        <f t="shared" si="3"/>
        <v>OK</v>
      </c>
      <c r="N3937" s="18" t="str">
        <f t="shared" si="4"/>
        <v>VALID</v>
      </c>
    </row>
    <row r="3938" ht="15.75" customHeight="1">
      <c r="A3938" s="13" t="str">
        <f>Raw_Data!A3938</f>
        <v>EMP4161</v>
      </c>
      <c r="B3938" s="13" t="str">
        <f>TRIM(CLEAN(Raw_Data!B3938))</f>
        <v>Operations</v>
      </c>
      <c r="C3938" s="18" t="s">
        <v>37</v>
      </c>
      <c r="D3938" s="14" t="str">
        <f>IF(ISBLANK(Raw_Data!D3938),AVERAGE(Raw_Data!D$2:D$5002),Raw_Data!D3938)</f>
        <v>93321.32</v>
      </c>
      <c r="E3938" s="15" t="str">
        <f>IF(ISBLANK(Raw_Data!E3938),AVERAGE(Raw_Data!E$2:E$5002),Raw_Data!E3938)</f>
        <v>33192.47</v>
      </c>
      <c r="F3938" s="15" t="str">
        <f>IF(ISBLANK(Raw_Data!F3938),AVERAGE(Raw_Data!F$2:F$5002),Raw_Data!F3938)</f>
        <v>32127.75</v>
      </c>
      <c r="G3938" s="14" t="str">
        <f>IF(ISBLANK(Raw_Data!G3938),AVERAGE(Raw_Data!G$2:G$5002),Raw_Data!G3938)</f>
        <v>21046.99</v>
      </c>
      <c r="H3938" s="15" t="str">
        <f t="shared" si="1"/>
        <v>158642.00</v>
      </c>
      <c r="I3938" s="14" t="str">
        <f t="shared" si="2"/>
        <v>137595.00</v>
      </c>
      <c r="J3938" s="16" t="str">
        <f>TEXT(Raw_Data!J3938,"MMM-YYY")</f>
        <v>Jan-2025</v>
      </c>
      <c r="K3938" s="13" t="str">
        <f>Raw_Data!K3938</f>
        <v>15</v>
      </c>
      <c r="L3938" s="17" t="str">
        <f>Raw_Data!L3938</f>
        <v>Delhi-North</v>
      </c>
      <c r="M3938" s="13" t="str">
        <f t="shared" si="3"/>
        <v>OK</v>
      </c>
      <c r="N3938" s="18" t="str">
        <f t="shared" si="4"/>
        <v>VALID</v>
      </c>
    </row>
    <row r="3939" ht="15.75" customHeight="1">
      <c r="A3939" s="13" t="str">
        <f>Raw_Data!A3939</f>
        <v>EMP4162</v>
      </c>
      <c r="B3939" s="13" t="str">
        <f>TRIM(CLEAN(Raw_Data!B3939))</f>
        <v>IT</v>
      </c>
      <c r="C3939" s="18" t="s">
        <v>54</v>
      </c>
      <c r="D3939" s="14" t="str">
        <f>IF(ISBLANK(Raw_Data!D3939),AVERAGE(Raw_Data!D$2:D$5002),Raw_Data!D3939)</f>
        <v>93332.20</v>
      </c>
      <c r="E3939" s="15" t="str">
        <f>IF(ISBLANK(Raw_Data!E3939),AVERAGE(Raw_Data!E$2:E$5002),Raw_Data!E3939)</f>
        <v>33197.08</v>
      </c>
      <c r="F3939" s="15" t="str">
        <f>IF(ISBLANK(Raw_Data!F3939),AVERAGE(Raw_Data!F$2:F$5002),Raw_Data!F3939)</f>
        <v>32135.43</v>
      </c>
      <c r="G3939" s="14" t="str">
        <f>IF(ISBLANK(Raw_Data!G3939),AVERAGE(Raw_Data!G$2:G$5002),Raw_Data!G3939)</f>
        <v>14562.73</v>
      </c>
      <c r="H3939" s="15" t="str">
        <f t="shared" si="1"/>
        <v>158665.00</v>
      </c>
      <c r="I3939" s="14" t="str">
        <f t="shared" si="2"/>
        <v>144102.00</v>
      </c>
      <c r="J3939" s="16" t="str">
        <f>TEXT(Raw_Data!J3939,"MMM-YYY")</f>
        <v>Jun-2025</v>
      </c>
      <c r="K3939" s="13" t="str">
        <f>Raw_Data!K3939</f>
        <v>13</v>
      </c>
      <c r="L3939" s="17" t="str">
        <f>Raw_Data!L3939</f>
        <v>Bangalore-South</v>
      </c>
      <c r="M3939" s="13" t="str">
        <f t="shared" si="3"/>
        <v>OK</v>
      </c>
      <c r="N3939" s="18" t="str">
        <f t="shared" si="4"/>
        <v>VALID</v>
      </c>
    </row>
    <row r="3940" ht="15.75" customHeight="1">
      <c r="A3940" s="13" t="str">
        <f>Raw_Data!A3940</f>
        <v>EMP4163</v>
      </c>
      <c r="B3940" s="13" t="str">
        <f>TRIM(CLEAN(Raw_Data!B3940))</f>
        <v>Sales</v>
      </c>
      <c r="C3940" s="18" t="s">
        <v>54</v>
      </c>
      <c r="D3940" s="14" t="str">
        <f>IF(ISBLANK(Raw_Data!D3940),AVERAGE(Raw_Data!D$2:D$5002),Raw_Data!D3940)</f>
        <v>93343.08</v>
      </c>
      <c r="E3940" s="15" t="str">
        <f>IF(ISBLANK(Raw_Data!E3940),AVERAGE(Raw_Data!E$2:E$5002),Raw_Data!E3940)</f>
        <v>33201.70</v>
      </c>
      <c r="F3940" s="15" t="str">
        <f>IF(ISBLANK(Raw_Data!F3940),AVERAGE(Raw_Data!F$2:F$5002),Raw_Data!F3940)</f>
        <v>32143.11</v>
      </c>
      <c r="G3940" s="14" t="str">
        <f>IF(ISBLANK(Raw_Data!G3940),AVERAGE(Raw_Data!G$2:G$5002),Raw_Data!G3940)</f>
        <v>21053.78</v>
      </c>
      <c r="H3940" s="15" t="str">
        <f t="shared" si="1"/>
        <v>158688.00</v>
      </c>
      <c r="I3940" s="14" t="str">
        <f t="shared" si="2"/>
        <v>137634.00</v>
      </c>
      <c r="J3940" s="16" t="str">
        <f>TEXT(Raw_Data!J3940,"MMM-YYY")</f>
        <v>Feb-2025</v>
      </c>
      <c r="K3940" s="13" t="str">
        <f>Raw_Data!K3940</f>
        <v>7</v>
      </c>
      <c r="L3940" s="17" t="str">
        <f>Raw_Data!L3940</f>
        <v>Chennai-South</v>
      </c>
      <c r="M3940" s="13" t="str">
        <f t="shared" si="3"/>
        <v>OK</v>
      </c>
      <c r="N3940" s="18" t="str">
        <f t="shared" si="4"/>
        <v>VALID</v>
      </c>
    </row>
    <row r="3941" ht="15.75" customHeight="1">
      <c r="A3941" s="13" t="str">
        <f>Raw_Data!A3941</f>
        <v>EMP4165</v>
      </c>
      <c r="B3941" s="13" t="str">
        <f>TRIM(CLEAN(Raw_Data!B3941))</f>
        <v>IT</v>
      </c>
      <c r="C3941" s="18" t="s">
        <v>33</v>
      </c>
      <c r="D3941" s="14" t="str">
        <f>IF(ISBLANK(Raw_Data!D3941),AVERAGE(Raw_Data!D$2:D$5002),Raw_Data!D3941)</f>
        <v>93364.85</v>
      </c>
      <c r="E3941" s="15" t="str">
        <f>IF(ISBLANK(Raw_Data!E3941),AVERAGE(Raw_Data!E$2:E$5002),Raw_Data!E3941)</f>
        <v>33210.93</v>
      </c>
      <c r="F3941" s="15" t="str">
        <f>IF(ISBLANK(Raw_Data!F3941),AVERAGE(Raw_Data!F$2:F$5002),Raw_Data!F3941)</f>
        <v>32158.47</v>
      </c>
      <c r="G3941" s="14" t="str">
        <f>IF(ISBLANK(Raw_Data!G3941),AVERAGE(Raw_Data!G$2:G$5002),Raw_Data!G3941)</f>
        <v>21060.58</v>
      </c>
      <c r="H3941" s="15" t="str">
        <f t="shared" si="1"/>
        <v>158734.00</v>
      </c>
      <c r="I3941" s="14" t="str">
        <f t="shared" si="2"/>
        <v>137673.00</v>
      </c>
      <c r="J3941" s="16" t="str">
        <f>TEXT(Raw_Data!J3941,"MMM-YYY")</f>
        <v>Jul-2025</v>
      </c>
      <c r="K3941" s="13" t="str">
        <f>Raw_Data!K3941</f>
        <v>5</v>
      </c>
      <c r="L3941" s="17" t="str">
        <f>Raw_Data!L3941</f>
        <v>Pune-West</v>
      </c>
      <c r="M3941" s="13" t="str">
        <f t="shared" si="3"/>
        <v>OK</v>
      </c>
      <c r="N3941" s="18" t="str">
        <f t="shared" si="4"/>
        <v>VALID</v>
      </c>
    </row>
    <row r="3942" ht="15.75" customHeight="1">
      <c r="A3942" s="13" t="str">
        <f>Raw_Data!A3942</f>
        <v>EMP4166</v>
      </c>
      <c r="B3942" s="13" t="str">
        <f>TRIM(CLEAN(Raw_Data!B3942))</f>
        <v>Operations</v>
      </c>
      <c r="C3942" s="18" t="s">
        <v>33</v>
      </c>
      <c r="D3942" s="14" t="str">
        <f>IF(ISBLANK(Raw_Data!D3942),AVERAGE(Raw_Data!D$2:D$5002),Raw_Data!D3942)</f>
        <v>93375.73</v>
      </c>
      <c r="E3942" s="15" t="str">
        <f>IF(ISBLANK(Raw_Data!E3942),AVERAGE(Raw_Data!E$2:E$5002),Raw_Data!E3942)</f>
        <v>33215.54</v>
      </c>
      <c r="F3942" s="15" t="str">
        <f>IF(ISBLANK(Raw_Data!F3942),AVERAGE(Raw_Data!F$2:F$5002),Raw_Data!F3942)</f>
        <v>32166.15</v>
      </c>
      <c r="G3942" s="14" t="str">
        <f>IF(ISBLANK(Raw_Data!G3942),AVERAGE(Raw_Data!G$2:G$5002),Raw_Data!G3942)</f>
        <v>21063.98</v>
      </c>
      <c r="H3942" s="15" t="str">
        <f t="shared" si="1"/>
        <v>158757.00</v>
      </c>
      <c r="I3942" s="14" t="str">
        <f t="shared" si="2"/>
        <v>137693.00</v>
      </c>
      <c r="J3942" s="16" t="str">
        <f>TEXT(Raw_Data!J3942,"MMM-YYY")</f>
        <v>Mar-2025</v>
      </c>
      <c r="K3942" s="13" t="str">
        <f>Raw_Data!K3942</f>
        <v>15</v>
      </c>
      <c r="L3942" s="17" t="str">
        <f>Raw_Data!L3942</f>
        <v>Hyderabad-South</v>
      </c>
      <c r="M3942" s="13" t="str">
        <f t="shared" si="3"/>
        <v>OK</v>
      </c>
      <c r="N3942" s="18" t="str">
        <f t="shared" si="4"/>
        <v>VALID</v>
      </c>
    </row>
    <row r="3943" ht="15.75" customHeight="1">
      <c r="A3943" s="13" t="str">
        <f>Raw_Data!A3943</f>
        <v>EMP4167</v>
      </c>
      <c r="B3943" s="13" t="str">
        <f>TRIM(CLEAN(Raw_Data!B3943))</f>
        <v>HR</v>
      </c>
      <c r="C3943" s="18" t="s">
        <v>37</v>
      </c>
      <c r="D3943" s="14" t="str">
        <f>IF(ISBLANK(Raw_Data!D3943),AVERAGE(Raw_Data!D$2:D$5002),Raw_Data!D3943)</f>
        <v>93386.62</v>
      </c>
      <c r="E3943" s="15" t="str">
        <f>IF(ISBLANK(Raw_Data!E3943),AVERAGE(Raw_Data!E$2:E$5002),Raw_Data!E3943)</f>
        <v>33220.16</v>
      </c>
      <c r="F3943" s="15" t="str">
        <f>IF(ISBLANK(Raw_Data!F3943),AVERAGE(Raw_Data!F$2:F$5002),Raw_Data!F3943)</f>
        <v>32173.83</v>
      </c>
      <c r="G3943" s="14" t="str">
        <f>IF(ISBLANK(Raw_Data!G3943),AVERAGE(Raw_Data!G$2:G$5002),Raw_Data!G3943)</f>
        <v>21067.37</v>
      </c>
      <c r="H3943" s="15" t="str">
        <f t="shared" si="1"/>
        <v>158781.00</v>
      </c>
      <c r="I3943" s="14" t="str">
        <f t="shared" si="2"/>
        <v>137714.00</v>
      </c>
      <c r="J3943" s="16" t="str">
        <f>TEXT(Raw_Data!J3943,"MMM-YYY")</f>
        <v>Mar-2025</v>
      </c>
      <c r="K3943" s="13" t="str">
        <f>Raw_Data!K3943</f>
        <v>17</v>
      </c>
      <c r="L3943" s="17" t="str">
        <f>Raw_Data!L3943</f>
        <v>Chandigarh-North</v>
      </c>
      <c r="M3943" s="13" t="str">
        <f t="shared" si="3"/>
        <v>OK</v>
      </c>
      <c r="N3943" s="18" t="str">
        <f t="shared" si="4"/>
        <v>VALID</v>
      </c>
    </row>
    <row r="3944" ht="15.75" customHeight="1">
      <c r="A3944" s="13" t="str">
        <f>Raw_Data!A3944</f>
        <v>EMP4168</v>
      </c>
      <c r="B3944" s="13" t="str">
        <f>TRIM(CLEAN(Raw_Data!B3944))</f>
        <v>Customer Support</v>
      </c>
      <c r="C3944" s="18" t="s">
        <v>30</v>
      </c>
      <c r="D3944" s="14" t="str">
        <f>IF(ISBLANK(Raw_Data!D3944),AVERAGE(Raw_Data!D$2:D$5002),Raw_Data!D3944)</f>
        <v>93397.50</v>
      </c>
      <c r="E3944" s="15" t="str">
        <f>IF(ISBLANK(Raw_Data!E3944),AVERAGE(Raw_Data!E$2:E$5002),Raw_Data!E3944)</f>
        <v>33224.77</v>
      </c>
      <c r="F3944" s="15" t="str">
        <f>IF(ISBLANK(Raw_Data!F3944),AVERAGE(Raw_Data!F$2:F$5002),Raw_Data!F3944)</f>
        <v>32181.51</v>
      </c>
      <c r="G3944" s="14" t="str">
        <f>IF(ISBLANK(Raw_Data!G3944),AVERAGE(Raw_Data!G$2:G$5002),Raw_Data!G3944)</f>
        <v>21070.77</v>
      </c>
      <c r="H3944" s="15" t="str">
        <f t="shared" si="1"/>
        <v>158804.00</v>
      </c>
      <c r="I3944" s="14" t="str">
        <f t="shared" si="2"/>
        <v>137733.00</v>
      </c>
      <c r="J3944" s="16" t="str">
        <f>TEXT(Raw_Data!J3944,"MMM-YYY")</f>
        <v>Nov-2025</v>
      </c>
      <c r="K3944" s="13" t="str">
        <f>Raw_Data!K3944</f>
        <v>4</v>
      </c>
      <c r="L3944" s="17" t="str">
        <f>Raw_Data!L3944</f>
        <v>Ahmedabad-West</v>
      </c>
      <c r="M3944" s="13" t="str">
        <f t="shared" si="3"/>
        <v>OK</v>
      </c>
      <c r="N3944" s="18" t="str">
        <f t="shared" si="4"/>
        <v>VALID</v>
      </c>
    </row>
    <row r="3945" ht="15.75" customHeight="1">
      <c r="A3945" s="13" t="str">
        <f>Raw_Data!A3945</f>
        <v>EMP4169</v>
      </c>
      <c r="B3945" s="13" t="str">
        <f>TRIM(CLEAN(Raw_Data!B3945))</f>
        <v>Marketing</v>
      </c>
      <c r="C3945" s="18" t="s">
        <v>30</v>
      </c>
      <c r="D3945" s="14" t="str">
        <f>IF(ISBLANK(Raw_Data!D3945),AVERAGE(Raw_Data!D$2:D$5002),Raw_Data!D3945)</f>
        <v>93408.38</v>
      </c>
      <c r="E3945" s="15" t="str">
        <f>IF(ISBLANK(Raw_Data!E3945),AVERAGE(Raw_Data!E$2:E$5002),Raw_Data!E3945)</f>
        <v>33229.38</v>
      </c>
      <c r="F3945" s="15" t="str">
        <f>IF(ISBLANK(Raw_Data!F3945),AVERAGE(Raw_Data!F$2:F$5002),Raw_Data!F3945)</f>
        <v>32189.19</v>
      </c>
      <c r="G3945" s="14" t="str">
        <f>IF(ISBLANK(Raw_Data!G3945),AVERAGE(Raw_Data!G$2:G$5002),Raw_Data!G3945)</f>
        <v>21074.17</v>
      </c>
      <c r="H3945" s="15" t="str">
        <f t="shared" si="1"/>
        <v>158827.00</v>
      </c>
      <c r="I3945" s="14" t="str">
        <f t="shared" si="2"/>
        <v>137753.00</v>
      </c>
      <c r="J3945" s="16" t="str">
        <f>TEXT(Raw_Data!J3945,"MMM-YYY")</f>
        <v>Apr-2025</v>
      </c>
      <c r="K3945" s="13" t="str">
        <f>Raw_Data!K3945</f>
        <v>25</v>
      </c>
      <c r="L3945" s="17" t="str">
        <f>Raw_Data!L3945</f>
        <v>Jaipur-North</v>
      </c>
      <c r="M3945" s="13" t="str">
        <f t="shared" si="3"/>
        <v>OK</v>
      </c>
      <c r="N3945" s="18" t="str">
        <f t="shared" si="4"/>
        <v>VALID</v>
      </c>
    </row>
    <row r="3946" ht="15.75" customHeight="1">
      <c r="A3946" s="13" t="str">
        <f>Raw_Data!A3946</f>
        <v>EMP4170</v>
      </c>
      <c r="B3946" s="13" t="str">
        <f>TRIM(CLEAN(Raw_Data!B3946))</f>
        <v>IT</v>
      </c>
      <c r="C3946" s="18" t="s">
        <v>26</v>
      </c>
      <c r="D3946" s="14" t="str">
        <f>IF(ISBLANK(Raw_Data!D3946),AVERAGE(Raw_Data!D$2:D$5002),Raw_Data!D3946)</f>
        <v>93419.26</v>
      </c>
      <c r="E3946" s="15" t="str">
        <f>IF(ISBLANK(Raw_Data!E3946),AVERAGE(Raw_Data!E$2:E$5002),Raw_Data!E3946)</f>
        <v>33234.00</v>
      </c>
      <c r="F3946" s="15" t="str">
        <f>IF(ISBLANK(Raw_Data!F3946),AVERAGE(Raw_Data!F$2:F$5002),Raw_Data!F3946)</f>
        <v>32196.87</v>
      </c>
      <c r="G3946" s="14" t="str">
        <f>IF(ISBLANK(Raw_Data!G3946),AVERAGE(Raw_Data!G$2:G$5002),Raw_Data!G3946)</f>
        <v>21077.57</v>
      </c>
      <c r="H3946" s="15" t="str">
        <f t="shared" si="1"/>
        <v>158850.00</v>
      </c>
      <c r="I3946" s="14" t="str">
        <f t="shared" si="2"/>
        <v>137772.00</v>
      </c>
      <c r="J3946" s="16" t="str">
        <f>TEXT(Raw_Data!J3946,"MMM-YYY")</f>
        <v>Oct-2025</v>
      </c>
      <c r="K3946" s="13" t="str">
        <f>Raw_Data!K3946</f>
        <v>22</v>
      </c>
      <c r="L3946" s="17" t="str">
        <f>Raw_Data!L3946</f>
        <v>Mumbai-HO</v>
      </c>
      <c r="M3946" s="13" t="str">
        <f t="shared" si="3"/>
        <v>OK</v>
      </c>
      <c r="N3946" s="18" t="str">
        <f t="shared" si="4"/>
        <v>VALID</v>
      </c>
    </row>
    <row r="3947" ht="15.75" customHeight="1">
      <c r="A3947" s="13" t="str">
        <f>Raw_Data!A3947</f>
        <v>EMP4171</v>
      </c>
      <c r="B3947" s="13" t="str">
        <f>TRIM(CLEAN(Raw_Data!B3947))</f>
        <v>Operations</v>
      </c>
      <c r="C3947" s="18" t="s">
        <v>14</v>
      </c>
      <c r="D3947" s="14" t="str">
        <f>IF(ISBLANK(Raw_Data!D3947),AVERAGE(Raw_Data!D$2:D$5002),Raw_Data!D3947)</f>
        <v>93430.15</v>
      </c>
      <c r="E3947" s="15" t="str">
        <f>IF(ISBLANK(Raw_Data!E3947),AVERAGE(Raw_Data!E$2:E$5002),Raw_Data!E3947)</f>
        <v>33238.61</v>
      </c>
      <c r="F3947" s="15" t="str">
        <f>IF(ISBLANK(Raw_Data!F3947),AVERAGE(Raw_Data!F$2:F$5002),Raw_Data!F3947)</f>
        <v>32204.55</v>
      </c>
      <c r="G3947" s="14" t="str">
        <f>IF(ISBLANK(Raw_Data!G3947),AVERAGE(Raw_Data!G$2:G$5002),Raw_Data!G3947)</f>
        <v>21080.96</v>
      </c>
      <c r="H3947" s="15" t="str">
        <f t="shared" si="1"/>
        <v>158873.00</v>
      </c>
      <c r="I3947" s="14" t="str">
        <f t="shared" si="2"/>
        <v>137792.00</v>
      </c>
      <c r="J3947" s="16" t="str">
        <f>TEXT(Raw_Data!J3947,"MMM-YYY")</f>
        <v>Jan-2025</v>
      </c>
      <c r="K3947" s="13" t="str">
        <f>Raw_Data!K3947</f>
        <v>6</v>
      </c>
      <c r="L3947" s="17" t="str">
        <f>Raw_Data!L3947</f>
        <v>Delhi-North</v>
      </c>
      <c r="M3947" s="13" t="str">
        <f t="shared" si="3"/>
        <v>OK</v>
      </c>
      <c r="N3947" s="18" t="str">
        <f t="shared" si="4"/>
        <v>VALID</v>
      </c>
    </row>
    <row r="3948" ht="15.75" customHeight="1">
      <c r="A3948" s="13" t="str">
        <f>Raw_Data!A3948</f>
        <v>EMP4172</v>
      </c>
      <c r="B3948" s="13" t="str">
        <f>TRIM(CLEAN(Raw_Data!B3948))</f>
        <v>Sales</v>
      </c>
      <c r="C3948" s="18" t="s">
        <v>26</v>
      </c>
      <c r="D3948" s="14" t="str">
        <f>IF(ISBLANK(Raw_Data!D3948),AVERAGE(Raw_Data!D$2:D$5002),Raw_Data!D3948)</f>
        <v>93441.03</v>
      </c>
      <c r="E3948" s="15" t="str">
        <f>IF(ISBLANK(Raw_Data!E3948),AVERAGE(Raw_Data!E$2:E$5002),Raw_Data!E3948)</f>
        <v>33243.23</v>
      </c>
      <c r="F3948" s="15" t="str">
        <f>IF(ISBLANK(Raw_Data!F3948),AVERAGE(Raw_Data!F$2:F$5002),Raw_Data!F3948)</f>
        <v>32212.23</v>
      </c>
      <c r="G3948" s="14" t="str">
        <f>IF(ISBLANK(Raw_Data!G3948),AVERAGE(Raw_Data!G$2:G$5002),Raw_Data!G3948)</f>
        <v>21084.36</v>
      </c>
      <c r="H3948" s="15" t="str">
        <f t="shared" si="1"/>
        <v>158896.00</v>
      </c>
      <c r="I3948" s="14" t="str">
        <f t="shared" si="2"/>
        <v>137812.00</v>
      </c>
      <c r="J3948" s="16" t="str">
        <f>TEXT(Raw_Data!J3948,"MMM-YYY")</f>
        <v>Jan-2025</v>
      </c>
      <c r="K3948" s="13" t="str">
        <f>Raw_Data!K3948</f>
        <v>7</v>
      </c>
      <c r="L3948" s="17" t="str">
        <f>Raw_Data!L3948</f>
        <v>Bangalore-South</v>
      </c>
      <c r="M3948" s="13" t="str">
        <f t="shared" si="3"/>
        <v>OK</v>
      </c>
      <c r="N3948" s="18" t="str">
        <f t="shared" si="4"/>
        <v>VALID</v>
      </c>
    </row>
    <row r="3949" ht="15.75" customHeight="1">
      <c r="A3949" s="13" t="str">
        <f>Raw_Data!A3949</f>
        <v>EMP4173</v>
      </c>
      <c r="B3949" s="13" t="str">
        <f>TRIM(CLEAN(Raw_Data!B3949))</f>
        <v>HR</v>
      </c>
      <c r="C3949" s="18" t="s">
        <v>33</v>
      </c>
      <c r="D3949" s="14" t="str">
        <f>IF(ISBLANK(Raw_Data!D3949),AVERAGE(Raw_Data!D$2:D$5002),Raw_Data!D3949)</f>
        <v>93451.91</v>
      </c>
      <c r="E3949" s="15" t="str">
        <f>IF(ISBLANK(Raw_Data!E3949),AVERAGE(Raw_Data!E$2:E$5002),Raw_Data!E3949)</f>
        <v>33247.84</v>
      </c>
      <c r="F3949" s="15" t="str">
        <f>IF(ISBLANK(Raw_Data!F3949),AVERAGE(Raw_Data!F$2:F$5002),Raw_Data!F3949)</f>
        <v>32219.91</v>
      </c>
      <c r="G3949" s="14" t="str">
        <f>IF(ISBLANK(Raw_Data!G3949),AVERAGE(Raw_Data!G$2:G$5002),Raw_Data!G3949)</f>
        <v>21087.76</v>
      </c>
      <c r="H3949" s="15" t="str">
        <f t="shared" si="1"/>
        <v>158920.00</v>
      </c>
      <c r="I3949" s="14" t="str">
        <f t="shared" si="2"/>
        <v>137832.00</v>
      </c>
      <c r="J3949" s="16" t="str">
        <f>TEXT(Raw_Data!J3949,"MMM-YYY")</f>
        <v>Dec-2025</v>
      </c>
      <c r="K3949" s="13" t="str">
        <f>Raw_Data!K3949</f>
        <v>4</v>
      </c>
      <c r="L3949" s="17" t="str">
        <f>Raw_Data!L3949</f>
        <v>Chennai-South</v>
      </c>
      <c r="M3949" s="13" t="str">
        <f t="shared" si="3"/>
        <v>OK</v>
      </c>
      <c r="N3949" s="18" t="str">
        <f t="shared" si="4"/>
        <v>VALID</v>
      </c>
    </row>
    <row r="3950" ht="15.75" customHeight="1">
      <c r="A3950" s="13" t="str">
        <f>Raw_Data!A3950</f>
        <v>EMP4175</v>
      </c>
      <c r="B3950" s="13" t="str">
        <f>TRIM(CLEAN(Raw_Data!B3950))</f>
        <v>Sales</v>
      </c>
      <c r="C3950" s="18" t="s">
        <v>37</v>
      </c>
      <c r="D3950" s="14" t="str">
        <f>IF(ISBLANK(Raw_Data!D3950),AVERAGE(Raw_Data!D$2:D$5002),Raw_Data!D3950)</f>
        <v>93473.68</v>
      </c>
      <c r="E3950" s="15" t="str">
        <f>IF(ISBLANK(Raw_Data!E3950),AVERAGE(Raw_Data!E$2:E$5002),Raw_Data!E3950)</f>
        <v>33257.07</v>
      </c>
      <c r="F3950" s="15" t="str">
        <f>IF(ISBLANK(Raw_Data!F3950),AVERAGE(Raw_Data!F$2:F$5002),Raw_Data!F3950)</f>
        <v>32235.27</v>
      </c>
      <c r="G3950" s="14" t="str">
        <f>IF(ISBLANK(Raw_Data!G3950),AVERAGE(Raw_Data!G$2:G$5002),Raw_Data!G3950)</f>
        <v>21094.55</v>
      </c>
      <c r="H3950" s="15" t="str">
        <f t="shared" si="1"/>
        <v>158966.00</v>
      </c>
      <c r="I3950" s="14" t="str">
        <f t="shared" si="2"/>
        <v>137871.00</v>
      </c>
      <c r="J3950" s="16" t="str">
        <f>TEXT(Raw_Data!J3950,"MMM-YYY")</f>
        <v>Oct-2025</v>
      </c>
      <c r="K3950" s="13" t="str">
        <f>Raw_Data!K3950</f>
        <v>5</v>
      </c>
      <c r="L3950" s="17" t="str">
        <f>Raw_Data!L3950</f>
        <v>Pune-West</v>
      </c>
      <c r="M3950" s="13" t="str">
        <f t="shared" si="3"/>
        <v>OK</v>
      </c>
      <c r="N3950" s="18" t="str">
        <f t="shared" si="4"/>
        <v>VALID</v>
      </c>
    </row>
    <row r="3951" ht="15.75" customHeight="1">
      <c r="A3951" s="13" t="str">
        <f>Raw_Data!A3951</f>
        <v>EMP4176</v>
      </c>
      <c r="B3951" s="13" t="str">
        <f>TRIM(CLEAN(Raw_Data!B3951))</f>
        <v>Operations</v>
      </c>
      <c r="C3951" s="18" t="s">
        <v>14</v>
      </c>
      <c r="D3951" s="14" t="str">
        <f>IF(ISBLANK(Raw_Data!D3951),AVERAGE(Raw_Data!D$2:D$5002),Raw_Data!D3951)</f>
        <v>93484.56</v>
      </c>
      <c r="E3951" s="15" t="str">
        <f>IF(ISBLANK(Raw_Data!E3951),AVERAGE(Raw_Data!E$2:E$5002),Raw_Data!E3951)</f>
        <v>33261.69</v>
      </c>
      <c r="F3951" s="15" t="str">
        <f>IF(ISBLANK(Raw_Data!F3951),AVERAGE(Raw_Data!F$2:F$5002),Raw_Data!F3951)</f>
        <v>32242.95</v>
      </c>
      <c r="G3951" s="14" t="str">
        <f>IF(ISBLANK(Raw_Data!G3951),AVERAGE(Raw_Data!G$2:G$5002),Raw_Data!G3951)</f>
        <v>21097.95</v>
      </c>
      <c r="H3951" s="15" t="str">
        <f t="shared" si="1"/>
        <v>158989.00</v>
      </c>
      <c r="I3951" s="14" t="str">
        <f t="shared" si="2"/>
        <v>137891.00</v>
      </c>
      <c r="J3951" s="16" t="str">
        <f>TEXT(Raw_Data!J3951,"MMM-YYY")</f>
        <v>Oct-2025</v>
      </c>
      <c r="K3951" s="13" t="str">
        <f>Raw_Data!K3951</f>
        <v>23</v>
      </c>
      <c r="L3951" s="17" t="str">
        <f>Raw_Data!L3951</f>
        <v>Hyderabad-South</v>
      </c>
      <c r="M3951" s="13" t="str">
        <f t="shared" si="3"/>
        <v>OK</v>
      </c>
      <c r="N3951" s="18" t="str">
        <f t="shared" si="4"/>
        <v>VALID</v>
      </c>
    </row>
    <row r="3952" ht="15.75" customHeight="1">
      <c r="A3952" s="13" t="str">
        <f>Raw_Data!A3952</f>
        <v>EMP4177</v>
      </c>
      <c r="B3952" s="13" t="str">
        <f>TRIM(CLEAN(Raw_Data!B3952))</f>
        <v>Customer Support</v>
      </c>
      <c r="C3952" s="18" t="s">
        <v>30</v>
      </c>
      <c r="D3952" s="14" t="str">
        <f>IF(ISBLANK(Raw_Data!D3952),AVERAGE(Raw_Data!D$2:D$5002),Raw_Data!D3952)</f>
        <v>93495.44</v>
      </c>
      <c r="E3952" s="15" t="str">
        <f>IF(ISBLANK(Raw_Data!E3952),AVERAGE(Raw_Data!E$2:E$5002),Raw_Data!E3952)</f>
        <v>33266.30</v>
      </c>
      <c r="F3952" s="15" t="str">
        <f>IF(ISBLANK(Raw_Data!F3952),AVERAGE(Raw_Data!F$2:F$5002),Raw_Data!F3952)</f>
        <v>32250.63</v>
      </c>
      <c r="G3952" s="14" t="str">
        <f>IF(ISBLANK(Raw_Data!G3952),AVERAGE(Raw_Data!G$2:G$5002),Raw_Data!G3952)</f>
        <v>21101.35</v>
      </c>
      <c r="H3952" s="15" t="str">
        <f t="shared" si="1"/>
        <v>159012.00</v>
      </c>
      <c r="I3952" s="14" t="str">
        <f t="shared" si="2"/>
        <v>137911.00</v>
      </c>
      <c r="J3952" s="16" t="str">
        <f>TEXT(Raw_Data!J3952,"MMM-YYY")</f>
        <v>Nov-2025</v>
      </c>
      <c r="K3952" s="13" t="str">
        <f>Raw_Data!K3952</f>
        <v>6</v>
      </c>
      <c r="L3952" s="17" t="str">
        <f>Raw_Data!L3952</f>
        <v>Chandigarh-North</v>
      </c>
      <c r="M3952" s="13" t="str">
        <f t="shared" si="3"/>
        <v>OK</v>
      </c>
      <c r="N3952" s="18" t="str">
        <f t="shared" si="4"/>
        <v>VALID</v>
      </c>
    </row>
    <row r="3953" ht="15.75" customHeight="1">
      <c r="A3953" s="13" t="str">
        <f>Raw_Data!A3953</f>
        <v>EMP4178</v>
      </c>
      <c r="B3953" s="13" t="str">
        <f>TRIM(CLEAN(Raw_Data!B3953))</f>
        <v>IT</v>
      </c>
      <c r="C3953" s="18" t="s">
        <v>37</v>
      </c>
      <c r="D3953" s="14" t="str">
        <f>IF(ISBLANK(Raw_Data!D3953),AVERAGE(Raw_Data!D$2:D$5002),Raw_Data!D3953)</f>
        <v>93506.33</v>
      </c>
      <c r="E3953" s="15" t="str">
        <f>IF(ISBLANK(Raw_Data!E3953),AVERAGE(Raw_Data!E$2:E$5002),Raw_Data!E3953)</f>
        <v>33270.92</v>
      </c>
      <c r="F3953" s="15" t="str">
        <f>IF(ISBLANK(Raw_Data!F3953),AVERAGE(Raw_Data!F$2:F$5002),Raw_Data!F3953)</f>
        <v>32258.31</v>
      </c>
      <c r="G3953" s="14" t="str">
        <f>IF(ISBLANK(Raw_Data!G3953),AVERAGE(Raw_Data!G$2:G$5002),Raw_Data!G3953)</f>
        <v>21104.75</v>
      </c>
      <c r="H3953" s="15" t="str">
        <f t="shared" si="1"/>
        <v>159036.00</v>
      </c>
      <c r="I3953" s="14" t="str">
        <f t="shared" si="2"/>
        <v>137931.00</v>
      </c>
      <c r="J3953" s="16" t="str">
        <f>TEXT(Raw_Data!J3953,"MMM-YYY")</f>
        <v>Jan-2025</v>
      </c>
      <c r="K3953" s="13" t="str">
        <f>Raw_Data!K3953</f>
        <v>2</v>
      </c>
      <c r="L3953" s="17" t="str">
        <f>Raw_Data!L3953</f>
        <v>Ahmedabad-West</v>
      </c>
      <c r="M3953" s="13" t="str">
        <f t="shared" si="3"/>
        <v>OK</v>
      </c>
      <c r="N3953" s="18" t="str">
        <f t="shared" si="4"/>
        <v>VALID</v>
      </c>
    </row>
    <row r="3954" ht="15.75" customHeight="1">
      <c r="A3954" s="13" t="str">
        <f>Raw_Data!A3954</f>
        <v>EMP4179</v>
      </c>
      <c r="B3954" s="13" t="str">
        <f>TRIM(CLEAN(Raw_Data!B3954))</f>
        <v>Sales</v>
      </c>
      <c r="C3954" s="18" t="s">
        <v>30</v>
      </c>
      <c r="D3954" s="14" t="str">
        <f>IF(ISBLANK(Raw_Data!D3954),AVERAGE(Raw_Data!D$2:D$5002),Raw_Data!D3954)</f>
        <v>93517.21</v>
      </c>
      <c r="E3954" s="15" t="str">
        <f>IF(ISBLANK(Raw_Data!E3954),AVERAGE(Raw_Data!E$2:E$5002),Raw_Data!E3954)</f>
        <v>33275.53</v>
      </c>
      <c r="F3954" s="15" t="str">
        <f>IF(ISBLANK(Raw_Data!F3954),AVERAGE(Raw_Data!F$2:F$5002),Raw_Data!F3954)</f>
        <v>32265.99</v>
      </c>
      <c r="G3954" s="14" t="str">
        <f>IF(ISBLANK(Raw_Data!G3954),AVERAGE(Raw_Data!G$2:G$5002),Raw_Data!G3954)</f>
        <v>21108.14</v>
      </c>
      <c r="H3954" s="15" t="str">
        <f t="shared" si="1"/>
        <v>159059.00</v>
      </c>
      <c r="I3954" s="14" t="str">
        <f t="shared" si="2"/>
        <v>137951.00</v>
      </c>
      <c r="J3954" s="16" t="str">
        <f>TEXT(Raw_Data!J3954,"MMM-YYY")</f>
        <v>Jan-2025</v>
      </c>
      <c r="K3954" s="13" t="str">
        <f>Raw_Data!K3954</f>
        <v>25</v>
      </c>
      <c r="L3954" s="17" t="str">
        <f>Raw_Data!L3954</f>
        <v>Jaipur-North</v>
      </c>
      <c r="M3954" s="13" t="str">
        <f t="shared" si="3"/>
        <v>OK</v>
      </c>
      <c r="N3954" s="18" t="str">
        <f t="shared" si="4"/>
        <v>VALID</v>
      </c>
    </row>
    <row r="3955" ht="15.75" customHeight="1">
      <c r="A3955" s="13" t="str">
        <f>Raw_Data!A3955</f>
        <v>EMP4180</v>
      </c>
      <c r="B3955" s="13" t="str">
        <f>TRIM(CLEAN(Raw_Data!B3955))</f>
        <v>Finance</v>
      </c>
      <c r="C3955" s="18" t="s">
        <v>26</v>
      </c>
      <c r="D3955" s="14" t="str">
        <f>IF(ISBLANK(Raw_Data!D3955),AVERAGE(Raw_Data!D$2:D$5002),Raw_Data!D3955)</f>
        <v>93528.09</v>
      </c>
      <c r="E3955" s="15" t="str">
        <f>IF(ISBLANK(Raw_Data!E3955),AVERAGE(Raw_Data!E$2:E$5002),Raw_Data!E3955)</f>
        <v>33280.15</v>
      </c>
      <c r="F3955" s="15" t="str">
        <f>IF(ISBLANK(Raw_Data!F3955),AVERAGE(Raw_Data!F$2:F$5002),Raw_Data!F3955)</f>
        <v>32273.67</v>
      </c>
      <c r="G3955" s="14" t="str">
        <f>IF(ISBLANK(Raw_Data!G3955),AVERAGE(Raw_Data!G$2:G$5002),Raw_Data!G3955)</f>
        <v>21111.54</v>
      </c>
      <c r="H3955" s="15" t="str">
        <f t="shared" si="1"/>
        <v>159082.00</v>
      </c>
      <c r="I3955" s="14" t="str">
        <f t="shared" si="2"/>
        <v>137970.00</v>
      </c>
      <c r="J3955" s="16" t="str">
        <f>TEXT(Raw_Data!J3955,"MMM-YYY")</f>
        <v>Jan-2025</v>
      </c>
      <c r="K3955" s="13" t="str">
        <f>Raw_Data!K3955</f>
        <v>12</v>
      </c>
      <c r="L3955" s="17" t="str">
        <f>Raw_Data!L3955</f>
        <v>Mumbai-HO</v>
      </c>
      <c r="M3955" s="13" t="str">
        <f t="shared" si="3"/>
        <v>OK</v>
      </c>
      <c r="N3955" s="18" t="str">
        <f t="shared" si="4"/>
        <v>VALID</v>
      </c>
    </row>
    <row r="3956" ht="15.75" customHeight="1">
      <c r="A3956" s="13" t="str">
        <f>Raw_Data!A3956</f>
        <v>EMP4181</v>
      </c>
      <c r="B3956" s="13" t="str">
        <f>TRIM(CLEAN(Raw_Data!B3956))</f>
        <v>Sales</v>
      </c>
      <c r="C3956" s="18" t="s">
        <v>30</v>
      </c>
      <c r="D3956" s="14" t="str">
        <f>IF(ISBLANK(Raw_Data!D3956),AVERAGE(Raw_Data!D$2:D$5002),Raw_Data!D3956)</f>
        <v>93538.98</v>
      </c>
      <c r="E3956" s="15" t="str">
        <f>IF(ISBLANK(Raw_Data!E3956),AVERAGE(Raw_Data!E$2:E$5002),Raw_Data!E3956)</f>
        <v>33284.76</v>
      </c>
      <c r="F3956" s="15" t="str">
        <f>IF(ISBLANK(Raw_Data!F3956),AVERAGE(Raw_Data!F$2:F$5002),Raw_Data!F3956)</f>
        <v>32281.35</v>
      </c>
      <c r="G3956" s="14" t="str">
        <f>IF(ISBLANK(Raw_Data!G3956),AVERAGE(Raw_Data!G$2:G$5002),Raw_Data!G3956)</f>
        <v>21114.94</v>
      </c>
      <c r="H3956" s="15" t="str">
        <f t="shared" si="1"/>
        <v>159105.00</v>
      </c>
      <c r="I3956" s="14" t="str">
        <f t="shared" si="2"/>
        <v>137990.00</v>
      </c>
      <c r="J3956" s="16" t="str">
        <f>TEXT(Raw_Data!J3956,"MMM-YYY")</f>
        <v>Oct-2025</v>
      </c>
      <c r="K3956" s="13" t="str">
        <f>Raw_Data!K3956</f>
        <v>12</v>
      </c>
      <c r="L3956" s="17" t="str">
        <f>Raw_Data!L3956</f>
        <v>Delhi-North</v>
      </c>
      <c r="M3956" s="13" t="str">
        <f t="shared" si="3"/>
        <v>OK</v>
      </c>
      <c r="N3956" s="18" t="str">
        <f t="shared" si="4"/>
        <v>VALID</v>
      </c>
    </row>
    <row r="3957" ht="15.75" customHeight="1">
      <c r="A3957" s="13" t="str">
        <f>Raw_Data!A3957</f>
        <v>EMP4182</v>
      </c>
      <c r="B3957" s="13" t="str">
        <f>TRIM(CLEAN(Raw_Data!B3957))</f>
        <v>Finance</v>
      </c>
      <c r="C3957" s="18" t="s">
        <v>26</v>
      </c>
      <c r="D3957" s="14" t="str">
        <f>IF(ISBLANK(Raw_Data!D3957),AVERAGE(Raw_Data!D$2:D$5002),Raw_Data!D3957)</f>
        <v>93549.86</v>
      </c>
      <c r="E3957" s="15" t="str">
        <f>IF(ISBLANK(Raw_Data!E3957),AVERAGE(Raw_Data!E$2:E$5002),Raw_Data!E3957)</f>
        <v>33289.38</v>
      </c>
      <c r="F3957" s="15" t="str">
        <f>IF(ISBLANK(Raw_Data!F3957),AVERAGE(Raw_Data!F$2:F$5002),Raw_Data!F3957)</f>
        <v>32289.03</v>
      </c>
      <c r="G3957" s="14" t="str">
        <f>IF(ISBLANK(Raw_Data!G3957),AVERAGE(Raw_Data!G$2:G$5002),Raw_Data!G3957)</f>
        <v>21118.34</v>
      </c>
      <c r="H3957" s="15" t="str">
        <f t="shared" si="1"/>
        <v>159128.00</v>
      </c>
      <c r="I3957" s="14" t="str">
        <f t="shared" si="2"/>
        <v>138010.00</v>
      </c>
      <c r="J3957" s="16" t="str">
        <f>TEXT(Raw_Data!J3957,"MMM-YYY")</f>
        <v>Sep-2025</v>
      </c>
      <c r="K3957" s="13" t="str">
        <f>Raw_Data!K3957</f>
        <v>20</v>
      </c>
      <c r="L3957" s="17" t="str">
        <f>Raw_Data!L3957</f>
        <v>Bangalore-South</v>
      </c>
      <c r="M3957" s="13" t="str">
        <f t="shared" si="3"/>
        <v>OK</v>
      </c>
      <c r="N3957" s="18" t="str">
        <f t="shared" si="4"/>
        <v>VALID</v>
      </c>
    </row>
    <row r="3958" ht="15.75" customHeight="1">
      <c r="A3958" s="13" t="str">
        <f>Raw_Data!A3958</f>
        <v>EMP4183</v>
      </c>
      <c r="B3958" s="13" t="str">
        <f>TRIM(CLEAN(Raw_Data!B3958))</f>
        <v>Operations</v>
      </c>
      <c r="C3958" s="18" t="s">
        <v>26</v>
      </c>
      <c r="D3958" s="14" t="str">
        <f>IF(ISBLANK(Raw_Data!D3958),AVERAGE(Raw_Data!D$2:D$5002),Raw_Data!D3958)</f>
        <v>93560.74</v>
      </c>
      <c r="E3958" s="15" t="str">
        <f>IF(ISBLANK(Raw_Data!E3958),AVERAGE(Raw_Data!E$2:E$5002),Raw_Data!E3958)</f>
        <v>33293.99</v>
      </c>
      <c r="F3958" s="15" t="str">
        <f>IF(ISBLANK(Raw_Data!F3958),AVERAGE(Raw_Data!F$2:F$5002),Raw_Data!F3958)</f>
        <v>32296.71</v>
      </c>
      <c r="G3958" s="14" t="str">
        <f>IF(ISBLANK(Raw_Data!G3958),AVERAGE(Raw_Data!G$2:G$5002),Raw_Data!G3958)</f>
        <v>21121.73</v>
      </c>
      <c r="H3958" s="15" t="str">
        <f t="shared" si="1"/>
        <v>159151.00</v>
      </c>
      <c r="I3958" s="14" t="str">
        <f t="shared" si="2"/>
        <v>138029.00</v>
      </c>
      <c r="J3958" s="16" t="str">
        <f>TEXT(Raw_Data!J3958,"MMM-YYY")</f>
        <v>May-2025</v>
      </c>
      <c r="K3958" s="13" t="str">
        <f>Raw_Data!K3958</f>
        <v>24</v>
      </c>
      <c r="L3958" s="17" t="str">
        <f>Raw_Data!L3958</f>
        <v>Chennai-South</v>
      </c>
      <c r="M3958" s="13" t="str">
        <f t="shared" si="3"/>
        <v>OK</v>
      </c>
      <c r="N3958" s="18" t="str">
        <f t="shared" si="4"/>
        <v>VALID</v>
      </c>
    </row>
    <row r="3959" ht="15.75" customHeight="1">
      <c r="A3959" s="13" t="str">
        <f>Raw_Data!A3959</f>
        <v>EMP4184</v>
      </c>
      <c r="B3959" s="13" t="str">
        <f>TRIM(CLEAN(Raw_Data!B3959))</f>
        <v>Finance</v>
      </c>
      <c r="C3959" s="18" t="s">
        <v>37</v>
      </c>
      <c r="D3959" s="14" t="str">
        <f>IF(ISBLANK(Raw_Data!D3959),AVERAGE(Raw_Data!D$2:D$5002),Raw_Data!D3959)</f>
        <v>93571.63</v>
      </c>
      <c r="E3959" s="15" t="str">
        <f>IF(ISBLANK(Raw_Data!E3959),AVERAGE(Raw_Data!E$2:E$5002),Raw_Data!E3959)</f>
        <v>33298.61</v>
      </c>
      <c r="F3959" s="15" t="str">
        <f>IF(ISBLANK(Raw_Data!F3959),AVERAGE(Raw_Data!F$2:F$5002),Raw_Data!F3959)</f>
        <v>32304.39</v>
      </c>
      <c r="G3959" s="14" t="str">
        <f>IF(ISBLANK(Raw_Data!G3959),AVERAGE(Raw_Data!G$2:G$5002),Raw_Data!G3959)</f>
        <v>21125.13</v>
      </c>
      <c r="H3959" s="15" t="str">
        <f t="shared" si="1"/>
        <v>159175.00</v>
      </c>
      <c r="I3959" s="14" t="str">
        <f t="shared" si="2"/>
        <v>138050.00</v>
      </c>
      <c r="J3959" s="16" t="str">
        <f>TEXT(Raw_Data!J3959,"MMM-YYY")</f>
        <v>Oct-2025</v>
      </c>
      <c r="K3959" s="13" t="str">
        <f>Raw_Data!K3959</f>
        <v>18</v>
      </c>
      <c r="L3959" s="17" t="str">
        <f>Raw_Data!L3959</f>
        <v>Kolkata-East</v>
      </c>
      <c r="M3959" s="13" t="str">
        <f t="shared" si="3"/>
        <v>OK</v>
      </c>
      <c r="N3959" s="18" t="str">
        <f t="shared" si="4"/>
        <v>VALID</v>
      </c>
    </row>
    <row r="3960" ht="15.75" customHeight="1">
      <c r="A3960" s="13" t="str">
        <f>Raw_Data!A3960</f>
        <v>EMP4185</v>
      </c>
      <c r="B3960" s="13" t="str">
        <f>TRIM(CLEAN(Raw_Data!B3960))</f>
        <v>IT</v>
      </c>
      <c r="C3960" s="18" t="s">
        <v>37</v>
      </c>
      <c r="D3960" s="14" t="str">
        <f>IF(ISBLANK(Raw_Data!D3960),AVERAGE(Raw_Data!D$2:D$5002),Raw_Data!D3960)</f>
        <v>93582.51</v>
      </c>
      <c r="E3960" s="15" t="str">
        <f>IF(ISBLANK(Raw_Data!E3960),AVERAGE(Raw_Data!E$2:E$5002),Raw_Data!E3960)</f>
        <v>33303.22</v>
      </c>
      <c r="F3960" s="15" t="str">
        <f>IF(ISBLANK(Raw_Data!F3960),AVERAGE(Raw_Data!F$2:F$5002),Raw_Data!F3960)</f>
        <v>32312.07</v>
      </c>
      <c r="G3960" s="14" t="str">
        <f>IF(ISBLANK(Raw_Data!G3960),AVERAGE(Raw_Data!G$2:G$5002),Raw_Data!G3960)</f>
        <v>21128.53</v>
      </c>
      <c r="H3960" s="15" t="str">
        <f t="shared" si="1"/>
        <v>159198.00</v>
      </c>
      <c r="I3960" s="14" t="str">
        <f t="shared" si="2"/>
        <v>138069.00</v>
      </c>
      <c r="J3960" s="16" t="str">
        <f>TEXT(Raw_Data!J3960,"MMM-YYY")</f>
        <v>Aug-2025</v>
      </c>
      <c r="K3960" s="13" t="str">
        <f>Raw_Data!K3960</f>
        <v>15</v>
      </c>
      <c r="L3960" s="17" t="str">
        <f>Raw_Data!L3960</f>
        <v>Pune-West</v>
      </c>
      <c r="M3960" s="13" t="str">
        <f t="shared" si="3"/>
        <v>OK</v>
      </c>
      <c r="N3960" s="18" t="str">
        <f t="shared" si="4"/>
        <v>VALID</v>
      </c>
    </row>
    <row r="3961" ht="15.75" customHeight="1">
      <c r="A3961" s="13" t="str">
        <f>Raw_Data!A3961</f>
        <v>EMP4186</v>
      </c>
      <c r="B3961" s="13" t="str">
        <f>TRIM(CLEAN(Raw_Data!B3961))</f>
        <v>HR</v>
      </c>
      <c r="C3961" s="18" t="s">
        <v>33</v>
      </c>
      <c r="D3961" s="14" t="str">
        <f>IF(ISBLANK(Raw_Data!D3961),AVERAGE(Raw_Data!D$2:D$5002),Raw_Data!D3961)</f>
        <v>93593.39</v>
      </c>
      <c r="E3961" s="15" t="str">
        <f>IF(ISBLANK(Raw_Data!E3961),AVERAGE(Raw_Data!E$2:E$5002),Raw_Data!E3961)</f>
        <v>33307.84</v>
      </c>
      <c r="F3961" s="15" t="str">
        <f>IF(ISBLANK(Raw_Data!F3961),AVERAGE(Raw_Data!F$2:F$5002),Raw_Data!F3961)</f>
        <v>32319.75</v>
      </c>
      <c r="G3961" s="14" t="str">
        <f>IF(ISBLANK(Raw_Data!G3961),AVERAGE(Raw_Data!G$2:G$5002),Raw_Data!G3961)</f>
        <v>21131.93</v>
      </c>
      <c r="H3961" s="15" t="str">
        <f t="shared" si="1"/>
        <v>159221.00</v>
      </c>
      <c r="I3961" s="14" t="str">
        <f t="shared" si="2"/>
        <v>138089.00</v>
      </c>
      <c r="J3961" s="16" t="str">
        <f>TEXT(Raw_Data!J3961,"MMM-YYY")</f>
        <v>Apr-2025</v>
      </c>
      <c r="K3961" s="13" t="str">
        <f>Raw_Data!K3961</f>
        <v>17</v>
      </c>
      <c r="L3961" s="17" t="str">
        <f>Raw_Data!L3961</f>
        <v>Hyderabad-South</v>
      </c>
      <c r="M3961" s="13" t="str">
        <f t="shared" si="3"/>
        <v>OK</v>
      </c>
      <c r="N3961" s="18" t="str">
        <f t="shared" si="4"/>
        <v>VALID</v>
      </c>
    </row>
    <row r="3962" ht="15.75" customHeight="1">
      <c r="A3962" s="13" t="str">
        <f>Raw_Data!A3962</f>
        <v>EMP4187</v>
      </c>
      <c r="B3962" s="13" t="str">
        <f>TRIM(CLEAN(Raw_Data!B3962))</f>
        <v>IT</v>
      </c>
      <c r="C3962" s="18" t="s">
        <v>14</v>
      </c>
      <c r="D3962" s="14" t="str">
        <f>IF(ISBLANK(Raw_Data!D3962),AVERAGE(Raw_Data!D$2:D$5002),Raw_Data!D3962)</f>
        <v>93604.27</v>
      </c>
      <c r="E3962" s="15" t="str">
        <f>IF(ISBLANK(Raw_Data!E3962),AVERAGE(Raw_Data!E$2:E$5002),Raw_Data!E3962)</f>
        <v>33312.45</v>
      </c>
      <c r="F3962" s="15" t="str">
        <f>IF(ISBLANK(Raw_Data!F3962),AVERAGE(Raw_Data!F$2:F$5002),Raw_Data!F3962)</f>
        <v>32327.43</v>
      </c>
      <c r="G3962" s="14" t="str">
        <f>IF(ISBLANK(Raw_Data!G3962),AVERAGE(Raw_Data!G$2:G$5002),Raw_Data!G3962)</f>
        <v>21135.32</v>
      </c>
      <c r="H3962" s="15" t="str">
        <f t="shared" si="1"/>
        <v>159244.00</v>
      </c>
      <c r="I3962" s="14" t="str">
        <f t="shared" si="2"/>
        <v>138109.00</v>
      </c>
      <c r="J3962" s="16" t="str">
        <f>TEXT(Raw_Data!J3962,"MMM-YYY")</f>
        <v>Nov-2025</v>
      </c>
      <c r="K3962" s="13" t="str">
        <f>Raw_Data!K3962</f>
        <v>12</v>
      </c>
      <c r="L3962" s="17" t="str">
        <f>Raw_Data!L3962</f>
        <v>Chandigarh-North</v>
      </c>
      <c r="M3962" s="13" t="str">
        <f t="shared" si="3"/>
        <v>OK</v>
      </c>
      <c r="N3962" s="18" t="str">
        <f t="shared" si="4"/>
        <v>VALID</v>
      </c>
    </row>
    <row r="3963" ht="15.75" customHeight="1">
      <c r="A3963" s="13" t="str">
        <f>Raw_Data!A3963</f>
        <v>EMP4188</v>
      </c>
      <c r="B3963" s="13" t="str">
        <f>TRIM(CLEAN(Raw_Data!B3963))</f>
        <v>Customer Support</v>
      </c>
      <c r="C3963" s="18" t="s">
        <v>18</v>
      </c>
      <c r="D3963" s="14" t="str">
        <f>IF(ISBLANK(Raw_Data!D3963),AVERAGE(Raw_Data!D$2:D$5002),Raw_Data!D3963)</f>
        <v>93615.16</v>
      </c>
      <c r="E3963" s="15" t="str">
        <f>IF(ISBLANK(Raw_Data!E3963),AVERAGE(Raw_Data!E$2:E$5002),Raw_Data!E3963)</f>
        <v>33317.06</v>
      </c>
      <c r="F3963" s="15" t="str">
        <f>IF(ISBLANK(Raw_Data!F3963),AVERAGE(Raw_Data!F$2:F$5002),Raw_Data!F3963)</f>
        <v>32335.11</v>
      </c>
      <c r="G3963" s="14" t="str">
        <f>IF(ISBLANK(Raw_Data!G3963),AVERAGE(Raw_Data!G$2:G$5002),Raw_Data!G3963)</f>
        <v>21138.72</v>
      </c>
      <c r="H3963" s="15" t="str">
        <f t="shared" si="1"/>
        <v>159267.00</v>
      </c>
      <c r="I3963" s="14" t="str">
        <f t="shared" si="2"/>
        <v>138128.00</v>
      </c>
      <c r="J3963" s="16" t="str">
        <f>TEXT(Raw_Data!J3963,"MMM-YYY")</f>
        <v>Nov-2025</v>
      </c>
      <c r="K3963" s="13" t="str">
        <f>Raw_Data!K3963</f>
        <v>1</v>
      </c>
      <c r="L3963" s="17" t="str">
        <f>Raw_Data!L3963</f>
        <v>Ahmedabad-West</v>
      </c>
      <c r="M3963" s="13" t="str">
        <f t="shared" si="3"/>
        <v>OK</v>
      </c>
      <c r="N3963" s="18" t="str">
        <f t="shared" si="4"/>
        <v>VALID</v>
      </c>
    </row>
    <row r="3964" ht="15.75" customHeight="1">
      <c r="A3964" s="13" t="str">
        <f>Raw_Data!A3964</f>
        <v>EMP4190</v>
      </c>
      <c r="B3964" s="13" t="str">
        <f>TRIM(CLEAN(Raw_Data!B3964))</f>
        <v>Finance</v>
      </c>
      <c r="C3964" s="18" t="s">
        <v>18</v>
      </c>
      <c r="D3964" s="14" t="str">
        <f>IF(ISBLANK(Raw_Data!D3964),AVERAGE(Raw_Data!D$2:D$5002),Raw_Data!D3964)</f>
        <v>93636.92</v>
      </c>
      <c r="E3964" s="15" t="str">
        <f>IF(ISBLANK(Raw_Data!E3964),AVERAGE(Raw_Data!E$2:E$5002),Raw_Data!E3964)</f>
        <v>33326.29</v>
      </c>
      <c r="F3964" s="15" t="str">
        <f>IF(ISBLANK(Raw_Data!F3964),AVERAGE(Raw_Data!F$2:F$5002),Raw_Data!F3964)</f>
        <v>32350.47</v>
      </c>
      <c r="G3964" s="14" t="str">
        <f>IF(ISBLANK(Raw_Data!G3964),AVERAGE(Raw_Data!G$2:G$5002),Raw_Data!G3964)</f>
        <v>21145.52</v>
      </c>
      <c r="H3964" s="15" t="str">
        <f t="shared" si="1"/>
        <v>159314.00</v>
      </c>
      <c r="I3964" s="14" t="str">
        <f t="shared" si="2"/>
        <v>138168.00</v>
      </c>
      <c r="J3964" s="16" t="str">
        <f>TEXT(Raw_Data!J3964,"MMM-YYY")</f>
        <v>May-2025</v>
      </c>
      <c r="K3964" s="13" t="str">
        <f>Raw_Data!K3964</f>
        <v>20</v>
      </c>
      <c r="L3964" s="17" t="str">
        <f>Raw_Data!L3964</f>
        <v>Mumbai-HO</v>
      </c>
      <c r="M3964" s="13" t="str">
        <f t="shared" si="3"/>
        <v>OK</v>
      </c>
      <c r="N3964" s="18" t="str">
        <f t="shared" si="4"/>
        <v>VALID</v>
      </c>
    </row>
    <row r="3965" ht="15.75" customHeight="1">
      <c r="A3965" s="13" t="str">
        <f>Raw_Data!A3965</f>
        <v>EMP4191</v>
      </c>
      <c r="B3965" s="13" t="str">
        <f>TRIM(CLEAN(Raw_Data!B3965))</f>
        <v>Customer Support</v>
      </c>
      <c r="C3965" s="18" t="s">
        <v>26</v>
      </c>
      <c r="D3965" s="14" t="str">
        <f>IF(ISBLANK(Raw_Data!D3965),AVERAGE(Raw_Data!D$2:D$5002),Raw_Data!D3965)</f>
        <v>93647.81</v>
      </c>
      <c r="E3965" s="15" t="str">
        <f>IF(ISBLANK(Raw_Data!E3965),AVERAGE(Raw_Data!E$2:E$5002),Raw_Data!E3965)</f>
        <v>33330.91</v>
      </c>
      <c r="F3965" s="15" t="str">
        <f>IF(ISBLANK(Raw_Data!F3965),AVERAGE(Raw_Data!F$2:F$5002),Raw_Data!F3965)</f>
        <v>32358.15</v>
      </c>
      <c r="G3965" s="14" t="str">
        <f>IF(ISBLANK(Raw_Data!G3965),AVERAGE(Raw_Data!G$2:G$5002),Raw_Data!G3965)</f>
        <v>21148.91</v>
      </c>
      <c r="H3965" s="15" t="str">
        <f t="shared" si="1"/>
        <v>159337.00</v>
      </c>
      <c r="I3965" s="14" t="str">
        <f t="shared" si="2"/>
        <v>138188.00</v>
      </c>
      <c r="J3965" s="16" t="str">
        <f>TEXT(Raw_Data!J3965,"MMM-YYY")</f>
        <v>Dec-2025</v>
      </c>
      <c r="K3965" s="13" t="str">
        <f>Raw_Data!K3965</f>
        <v>14</v>
      </c>
      <c r="L3965" s="17" t="str">
        <f>Raw_Data!L3965</f>
        <v>Delhi-North</v>
      </c>
      <c r="M3965" s="13" t="str">
        <f t="shared" si="3"/>
        <v>OK</v>
      </c>
      <c r="N3965" s="18" t="str">
        <f t="shared" si="4"/>
        <v>VALID</v>
      </c>
    </row>
    <row r="3966" ht="15.75" customHeight="1">
      <c r="A3966" s="13" t="str">
        <f>Raw_Data!A3966</f>
        <v>EMP4192</v>
      </c>
      <c r="B3966" s="13" t="str">
        <f>TRIM(CLEAN(Raw_Data!B3966))</f>
        <v>Marketing</v>
      </c>
      <c r="C3966" s="18" t="s">
        <v>30</v>
      </c>
      <c r="D3966" s="14" t="str">
        <f>IF(ISBLANK(Raw_Data!D3966),AVERAGE(Raw_Data!D$2:D$5002),Raw_Data!D3966)</f>
        <v>93658.69</v>
      </c>
      <c r="E3966" s="15" t="str">
        <f>IF(ISBLANK(Raw_Data!E3966),AVERAGE(Raw_Data!E$2:E$5002),Raw_Data!E3966)</f>
        <v>33335.52</v>
      </c>
      <c r="F3966" s="15" t="str">
        <f>IF(ISBLANK(Raw_Data!F3966),AVERAGE(Raw_Data!F$2:F$5002),Raw_Data!F3966)</f>
        <v>32365.83</v>
      </c>
      <c r="G3966" s="14" t="str">
        <f>IF(ISBLANK(Raw_Data!G3966),AVERAGE(Raw_Data!G$2:G$5002),Raw_Data!G3966)</f>
        <v>21152.31</v>
      </c>
      <c r="H3966" s="15" t="str">
        <f t="shared" si="1"/>
        <v>159360.00</v>
      </c>
      <c r="I3966" s="14" t="str">
        <f t="shared" si="2"/>
        <v>138208.00</v>
      </c>
      <c r="J3966" s="16" t="str">
        <f>TEXT(Raw_Data!J3966,"MMM-YYY")</f>
        <v>Mar-2025</v>
      </c>
      <c r="K3966" s="13" t="str">
        <f>Raw_Data!K3966</f>
        <v>7</v>
      </c>
      <c r="L3966" s="17" t="str">
        <f>Raw_Data!L3966</f>
        <v>Bangalore-South</v>
      </c>
      <c r="M3966" s="13" t="str">
        <f t="shared" si="3"/>
        <v>OK</v>
      </c>
      <c r="N3966" s="18" t="str">
        <f t="shared" si="4"/>
        <v>VALID</v>
      </c>
    </row>
    <row r="3967" ht="15.75" customHeight="1">
      <c r="A3967" s="13" t="str">
        <f>Raw_Data!A3967</f>
        <v>EMP4193</v>
      </c>
      <c r="B3967" s="13" t="str">
        <f>TRIM(CLEAN(Raw_Data!B3967))</f>
        <v>Marketing</v>
      </c>
      <c r="C3967" s="18" t="s">
        <v>33</v>
      </c>
      <c r="D3967" s="14" t="str">
        <f>IF(ISBLANK(Raw_Data!D3967),AVERAGE(Raw_Data!D$2:D$5002),Raw_Data!D3967)</f>
        <v>93669.57</v>
      </c>
      <c r="E3967" s="15" t="str">
        <f>IF(ISBLANK(Raw_Data!E3967),AVERAGE(Raw_Data!E$2:E$5002),Raw_Data!E3967)</f>
        <v>33340.14</v>
      </c>
      <c r="F3967" s="15" t="str">
        <f>IF(ISBLANK(Raw_Data!F3967),AVERAGE(Raw_Data!F$2:F$5002),Raw_Data!F3967)</f>
        <v>32373.51</v>
      </c>
      <c r="G3967" s="14" t="str">
        <f>IF(ISBLANK(Raw_Data!G3967),AVERAGE(Raw_Data!G$2:G$5002),Raw_Data!G3967)</f>
        <v>21155.71</v>
      </c>
      <c r="H3967" s="15" t="str">
        <f t="shared" si="1"/>
        <v>159383.00</v>
      </c>
      <c r="I3967" s="14" t="str">
        <f t="shared" si="2"/>
        <v>138227.00</v>
      </c>
      <c r="J3967" s="16" t="str">
        <f>TEXT(Raw_Data!J3967,"MMM-YYY")</f>
        <v>Nov-2025</v>
      </c>
      <c r="K3967" s="13" t="str">
        <f>Raw_Data!K3967</f>
        <v>4</v>
      </c>
      <c r="L3967" s="17" t="str">
        <f>Raw_Data!L3967</f>
        <v>Chennai-South</v>
      </c>
      <c r="M3967" s="13" t="str">
        <f t="shared" si="3"/>
        <v>OK</v>
      </c>
      <c r="N3967" s="18" t="str">
        <f t="shared" si="4"/>
        <v>VALID</v>
      </c>
    </row>
    <row r="3968" ht="15.75" customHeight="1">
      <c r="A3968" s="13" t="str">
        <f>Raw_Data!A3968</f>
        <v>EMP4194</v>
      </c>
      <c r="B3968" s="13" t="str">
        <f>TRIM(CLEAN(Raw_Data!B3968))</f>
        <v>HR</v>
      </c>
      <c r="C3968" s="18" t="s">
        <v>37</v>
      </c>
      <c r="D3968" s="14" t="str">
        <f>IF(ISBLANK(Raw_Data!D3968),AVERAGE(Raw_Data!D$2:D$5002),Raw_Data!D3968)</f>
        <v>93680.46</v>
      </c>
      <c r="E3968" s="15" t="str">
        <f>IF(ISBLANK(Raw_Data!E3968),AVERAGE(Raw_Data!E$2:E$5002),Raw_Data!E3968)</f>
        <v>33344.75</v>
      </c>
      <c r="F3968" s="15" t="str">
        <f>IF(ISBLANK(Raw_Data!F3968),AVERAGE(Raw_Data!F$2:F$5002),Raw_Data!F3968)</f>
        <v>32381.19</v>
      </c>
      <c r="G3968" s="14" t="str">
        <f>IF(ISBLANK(Raw_Data!G3968),AVERAGE(Raw_Data!G$2:G$5002),Raw_Data!G3968)</f>
        <v>21159.11</v>
      </c>
      <c r="H3968" s="15" t="str">
        <f t="shared" si="1"/>
        <v>159406.00</v>
      </c>
      <c r="I3968" s="14" t="str">
        <f t="shared" si="2"/>
        <v>138247.00</v>
      </c>
      <c r="J3968" s="16" t="str">
        <f>TEXT(Raw_Data!J3968,"MMM-YYY")</f>
        <v>Jul-2025</v>
      </c>
      <c r="K3968" s="13" t="str">
        <f>Raw_Data!K3968</f>
        <v>17</v>
      </c>
      <c r="L3968" s="17" t="str">
        <f>Raw_Data!L3968</f>
        <v>Kolkata-East</v>
      </c>
      <c r="M3968" s="13" t="str">
        <f t="shared" si="3"/>
        <v>OK</v>
      </c>
      <c r="N3968" s="18" t="str">
        <f t="shared" si="4"/>
        <v>VALID</v>
      </c>
    </row>
    <row r="3969" ht="15.75" customHeight="1">
      <c r="A3969" s="13" t="str">
        <f>Raw_Data!A3969</f>
        <v>EMP4195</v>
      </c>
      <c r="B3969" s="13" t="str">
        <f>TRIM(CLEAN(Raw_Data!B3969))</f>
        <v>IT</v>
      </c>
      <c r="C3969" s="18" t="s">
        <v>18</v>
      </c>
      <c r="D3969" s="14" t="str">
        <f>IF(ISBLANK(Raw_Data!D3969),AVERAGE(Raw_Data!D$2:D$5002),Raw_Data!D3969)</f>
        <v>93691.34</v>
      </c>
      <c r="E3969" s="15" t="str">
        <f>IF(ISBLANK(Raw_Data!E3969),AVERAGE(Raw_Data!E$2:E$5002),Raw_Data!E3969)</f>
        <v>33349.37</v>
      </c>
      <c r="F3969" s="15" t="str">
        <f>IF(ISBLANK(Raw_Data!F3969),AVERAGE(Raw_Data!F$2:F$5002),Raw_Data!F3969)</f>
        <v>32388.87</v>
      </c>
      <c r="G3969" s="14" t="str">
        <f>IF(ISBLANK(Raw_Data!G3969),AVERAGE(Raw_Data!G$2:G$5002),Raw_Data!G3969)</f>
        <v>21162.50</v>
      </c>
      <c r="H3969" s="15" t="str">
        <f t="shared" si="1"/>
        <v>159430.00</v>
      </c>
      <c r="I3969" s="14" t="str">
        <f t="shared" si="2"/>
        <v>138267.00</v>
      </c>
      <c r="J3969" s="16" t="str">
        <f>TEXT(Raw_Data!J3969,"MMM-YYY")</f>
        <v>Feb-2025</v>
      </c>
      <c r="K3969" s="13" t="str">
        <f>Raw_Data!K3969</f>
        <v>3</v>
      </c>
      <c r="L3969" s="17" t="str">
        <f>Raw_Data!L3969</f>
        <v>Pune-West</v>
      </c>
      <c r="M3969" s="13" t="str">
        <f t="shared" si="3"/>
        <v>OK</v>
      </c>
      <c r="N3969" s="18" t="str">
        <f t="shared" si="4"/>
        <v>VALID</v>
      </c>
    </row>
    <row r="3970" ht="15.75" customHeight="1">
      <c r="A3970" s="13" t="str">
        <f>Raw_Data!A3970</f>
        <v>EMP4196</v>
      </c>
      <c r="B3970" s="13" t="str">
        <f>TRIM(CLEAN(Raw_Data!B3970))</f>
        <v>Sales</v>
      </c>
      <c r="C3970" s="18" t="s">
        <v>14</v>
      </c>
      <c r="D3970" s="14" t="str">
        <f>IF(ISBLANK(Raw_Data!D3970),AVERAGE(Raw_Data!D$2:D$5002),Raw_Data!D3970)</f>
        <v>93702.22</v>
      </c>
      <c r="E3970" s="15" t="str">
        <f>IF(ISBLANK(Raw_Data!E3970),AVERAGE(Raw_Data!E$2:E$5002),Raw_Data!E3970)</f>
        <v>33353.98</v>
      </c>
      <c r="F3970" s="15" t="str">
        <f>IF(ISBLANK(Raw_Data!F3970),AVERAGE(Raw_Data!F$2:F$5002),Raw_Data!F3970)</f>
        <v>32396.55</v>
      </c>
      <c r="G3970" s="14" t="str">
        <f>IF(ISBLANK(Raw_Data!G3970),AVERAGE(Raw_Data!G$2:G$5002),Raw_Data!G3970)</f>
        <v>21165.90</v>
      </c>
      <c r="H3970" s="15" t="str">
        <f t="shared" si="1"/>
        <v>159453.00</v>
      </c>
      <c r="I3970" s="14" t="str">
        <f t="shared" si="2"/>
        <v>138287.00</v>
      </c>
      <c r="J3970" s="16" t="str">
        <f>TEXT(Raw_Data!J3970,"MMM-YYY")</f>
        <v>Mar-2025</v>
      </c>
      <c r="K3970" s="13" t="str">
        <f>Raw_Data!K3970</f>
        <v>4</v>
      </c>
      <c r="L3970" s="17" t="str">
        <f>Raw_Data!L3970</f>
        <v>Hyderabad-South</v>
      </c>
      <c r="M3970" s="13" t="str">
        <f t="shared" si="3"/>
        <v>OK</v>
      </c>
      <c r="N3970" s="18" t="str">
        <f t="shared" si="4"/>
        <v>VALID</v>
      </c>
    </row>
    <row r="3971" ht="15.75" customHeight="1">
      <c r="A3971" s="13" t="str">
        <f>Raw_Data!A3971</f>
        <v>EMP4197</v>
      </c>
      <c r="B3971" s="13" t="str">
        <f>TRIM(CLEAN(Raw_Data!B3971))</f>
        <v>Finance</v>
      </c>
      <c r="C3971" s="18" t="s">
        <v>14</v>
      </c>
      <c r="D3971" s="14" t="str">
        <f>IF(ISBLANK(Raw_Data!D3971),AVERAGE(Raw_Data!D$2:D$5002),Raw_Data!D3971)</f>
        <v>93713.10</v>
      </c>
      <c r="E3971" s="15" t="str">
        <f>IF(ISBLANK(Raw_Data!E3971),AVERAGE(Raw_Data!E$2:E$5002),Raw_Data!E3971)</f>
        <v>33358.60</v>
      </c>
      <c r="F3971" s="15" t="str">
        <f>IF(ISBLANK(Raw_Data!F3971),AVERAGE(Raw_Data!F$2:F$5002),Raw_Data!F3971)</f>
        <v>32404.23</v>
      </c>
      <c r="G3971" s="14" t="str">
        <f>IF(ISBLANK(Raw_Data!G3971),AVERAGE(Raw_Data!G$2:G$5002),Raw_Data!G3971)</f>
        <v>21169.30</v>
      </c>
      <c r="H3971" s="15" t="str">
        <f t="shared" si="1"/>
        <v>159476.00</v>
      </c>
      <c r="I3971" s="14" t="str">
        <f t="shared" si="2"/>
        <v>138307.00</v>
      </c>
      <c r="J3971" s="16" t="str">
        <f>TEXT(Raw_Data!J3971,"MMM-YYY")</f>
        <v>Apr-2025</v>
      </c>
      <c r="K3971" s="13" t="str">
        <f>Raw_Data!K3971</f>
        <v>10</v>
      </c>
      <c r="L3971" s="17" t="str">
        <f>Raw_Data!L3971</f>
        <v>Chandigarh-North</v>
      </c>
      <c r="M3971" s="13" t="str">
        <f t="shared" si="3"/>
        <v>OK</v>
      </c>
      <c r="N3971" s="18" t="str">
        <f t="shared" si="4"/>
        <v>VALID</v>
      </c>
    </row>
    <row r="3972" ht="15.75" customHeight="1">
      <c r="A3972" s="13" t="str">
        <f>Raw_Data!A3972</f>
        <v>EMP4198</v>
      </c>
      <c r="B3972" s="13" t="str">
        <f>TRIM(CLEAN(Raw_Data!B3972))</f>
        <v>Sales</v>
      </c>
      <c r="C3972" s="18" t="s">
        <v>33</v>
      </c>
      <c r="D3972" s="14" t="str">
        <f>IF(ISBLANK(Raw_Data!D3972),AVERAGE(Raw_Data!D$2:D$5002),Raw_Data!D3972)</f>
        <v>93723.99</v>
      </c>
      <c r="E3972" s="15" t="str">
        <f>IF(ISBLANK(Raw_Data!E3972),AVERAGE(Raw_Data!E$2:E$5002),Raw_Data!E3972)</f>
        <v>33363.21</v>
      </c>
      <c r="F3972" s="15" t="str">
        <f>IF(ISBLANK(Raw_Data!F3972),AVERAGE(Raw_Data!F$2:F$5002),Raw_Data!F3972)</f>
        <v>32411.91</v>
      </c>
      <c r="G3972" s="14" t="str">
        <f>IF(ISBLANK(Raw_Data!G3972),AVERAGE(Raw_Data!G$2:G$5002),Raw_Data!G3972)</f>
        <v>21172.70</v>
      </c>
      <c r="H3972" s="15" t="str">
        <f t="shared" si="1"/>
        <v>159499.00</v>
      </c>
      <c r="I3972" s="14" t="str">
        <f t="shared" si="2"/>
        <v>138326.00</v>
      </c>
      <c r="J3972" s="16" t="str">
        <f>TEXT(Raw_Data!J3972,"MMM-YYY")</f>
        <v>Nov-2025</v>
      </c>
      <c r="K3972" s="13" t="str">
        <f>Raw_Data!K3972</f>
        <v>25</v>
      </c>
      <c r="L3972" s="17" t="str">
        <f>Raw_Data!L3972</f>
        <v>Ahmedabad-West</v>
      </c>
      <c r="M3972" s="13" t="str">
        <f t="shared" si="3"/>
        <v>OK</v>
      </c>
      <c r="N3972" s="18" t="str">
        <f t="shared" si="4"/>
        <v>VALID</v>
      </c>
    </row>
    <row r="3973" ht="15.75" customHeight="1">
      <c r="A3973" s="13" t="str">
        <f>Raw_Data!A3973</f>
        <v>EMP4199</v>
      </c>
      <c r="B3973" s="13" t="str">
        <f>TRIM(CLEAN(Raw_Data!B3973))</f>
        <v>Finance</v>
      </c>
      <c r="C3973" s="18" t="s">
        <v>37</v>
      </c>
      <c r="D3973" s="14" t="str">
        <f>IF(ISBLANK(Raw_Data!D3973),AVERAGE(Raw_Data!D$2:D$5002),Raw_Data!D3973)</f>
        <v>93734.87</v>
      </c>
      <c r="E3973" s="15" t="str">
        <f>IF(ISBLANK(Raw_Data!E3973),AVERAGE(Raw_Data!E$2:E$5002),Raw_Data!E3973)</f>
        <v>33367.83</v>
      </c>
      <c r="F3973" s="15" t="str">
        <f>IF(ISBLANK(Raw_Data!F3973),AVERAGE(Raw_Data!F$2:F$5002),Raw_Data!F3973)</f>
        <v>32419.59</v>
      </c>
      <c r="G3973" s="14" t="str">
        <f>IF(ISBLANK(Raw_Data!G3973),AVERAGE(Raw_Data!G$2:G$5002),Raw_Data!G3973)</f>
        <v>21176.09</v>
      </c>
      <c r="H3973" s="15" t="str">
        <f t="shared" si="1"/>
        <v>159522.00</v>
      </c>
      <c r="I3973" s="14" t="str">
        <f t="shared" si="2"/>
        <v>138346.00</v>
      </c>
      <c r="J3973" s="16" t="str">
        <f>TEXT(Raw_Data!J3973,"MMM-YYY")</f>
        <v>Jun-2025</v>
      </c>
      <c r="K3973" s="13" t="str">
        <f>Raw_Data!K3973</f>
        <v>3</v>
      </c>
      <c r="L3973" s="17" t="str">
        <f>Raw_Data!L3973</f>
        <v>Jaipur-North</v>
      </c>
      <c r="M3973" s="13" t="str">
        <f t="shared" si="3"/>
        <v>OK</v>
      </c>
      <c r="N3973" s="18" t="str">
        <f t="shared" si="4"/>
        <v>VALID</v>
      </c>
    </row>
    <row r="3974" ht="15.75" customHeight="1">
      <c r="A3974" s="13" t="str">
        <f>Raw_Data!A3974</f>
        <v>EMP4200</v>
      </c>
      <c r="B3974" s="13" t="str">
        <f>TRIM(CLEAN(Raw_Data!B3974))</f>
        <v>Marketing</v>
      </c>
      <c r="C3974" s="18" t="s">
        <v>33</v>
      </c>
      <c r="D3974" s="14" t="str">
        <f>IF(ISBLANK(Raw_Data!D3974),AVERAGE(Raw_Data!D$2:D$5002),Raw_Data!D3974)</f>
        <v>93745.75</v>
      </c>
      <c r="E3974" s="15" t="str">
        <f>IF(ISBLANK(Raw_Data!E3974),AVERAGE(Raw_Data!E$2:E$5002),Raw_Data!E3974)</f>
        <v>33372.44</v>
      </c>
      <c r="F3974" s="15" t="str">
        <f>IF(ISBLANK(Raw_Data!F3974),AVERAGE(Raw_Data!F$2:F$5002),Raw_Data!F3974)</f>
        <v>32427.27</v>
      </c>
      <c r="G3974" s="14" t="str">
        <f>IF(ISBLANK(Raw_Data!G3974),AVERAGE(Raw_Data!G$2:G$5002),Raw_Data!G3974)</f>
        <v>21179.49</v>
      </c>
      <c r="H3974" s="15" t="str">
        <f t="shared" si="1"/>
        <v>159545.00</v>
      </c>
      <c r="I3974" s="14" t="str">
        <f t="shared" si="2"/>
        <v>138366.00</v>
      </c>
      <c r="J3974" s="16" t="str">
        <f>TEXT(Raw_Data!J3974,"MMM-YYY")</f>
        <v>Jan-2025</v>
      </c>
      <c r="K3974" s="13" t="str">
        <f>Raw_Data!K3974</f>
        <v>8</v>
      </c>
      <c r="L3974" s="17" t="str">
        <f>Raw_Data!L3974</f>
        <v>Mumbai-HO</v>
      </c>
      <c r="M3974" s="13" t="str">
        <f t="shared" si="3"/>
        <v>OK</v>
      </c>
      <c r="N3974" s="18" t="str">
        <f t="shared" si="4"/>
        <v>VALID</v>
      </c>
    </row>
    <row r="3975" ht="15.75" customHeight="1">
      <c r="A3975" s="13" t="str">
        <f>Raw_Data!A3975</f>
        <v>EMP4201</v>
      </c>
      <c r="B3975" s="13" t="str">
        <f>TRIM(CLEAN(Raw_Data!B3975))</f>
        <v>Marketing</v>
      </c>
      <c r="C3975" s="18" t="s">
        <v>26</v>
      </c>
      <c r="D3975" s="14" t="str">
        <f>IF(ISBLANK(Raw_Data!D3975),AVERAGE(Raw_Data!D$2:D$5002),Raw_Data!D3975)</f>
        <v>93756.64</v>
      </c>
      <c r="E3975" s="15" t="str">
        <f>IF(ISBLANK(Raw_Data!E3975),AVERAGE(Raw_Data!E$2:E$5002),Raw_Data!E3975)</f>
        <v>33377.06</v>
      </c>
      <c r="F3975" s="15" t="str">
        <f>IF(ISBLANK(Raw_Data!F3975),AVERAGE(Raw_Data!F$2:F$5002),Raw_Data!F3975)</f>
        <v>32434.95</v>
      </c>
      <c r="G3975" s="14" t="str">
        <f>IF(ISBLANK(Raw_Data!G3975),AVERAGE(Raw_Data!G$2:G$5002),Raw_Data!G3975)</f>
        <v>21182.89</v>
      </c>
      <c r="H3975" s="15" t="str">
        <f t="shared" si="1"/>
        <v>159569.00</v>
      </c>
      <c r="I3975" s="14" t="str">
        <f t="shared" si="2"/>
        <v>138386.00</v>
      </c>
      <c r="J3975" s="16" t="str">
        <f>TEXT(Raw_Data!J3975,"MMM-YYY")</f>
        <v>Jul-2025</v>
      </c>
      <c r="K3975" s="13" t="str">
        <f>Raw_Data!K3975</f>
        <v>9</v>
      </c>
      <c r="L3975" s="17" t="str">
        <f>Raw_Data!L3975</f>
        <v>Delhi-North</v>
      </c>
      <c r="M3975" s="13" t="str">
        <f t="shared" si="3"/>
        <v>OK</v>
      </c>
      <c r="N3975" s="18" t="str">
        <f t="shared" si="4"/>
        <v>VALID</v>
      </c>
    </row>
    <row r="3976" ht="15.75" customHeight="1">
      <c r="A3976" s="13" t="str">
        <f>Raw_Data!A3976</f>
        <v>EMP4202</v>
      </c>
      <c r="B3976" s="13" t="str">
        <f>TRIM(CLEAN(Raw_Data!B3976))</f>
        <v>IT</v>
      </c>
      <c r="C3976" s="18" t="s">
        <v>33</v>
      </c>
      <c r="D3976" s="14" t="str">
        <f>IF(ISBLANK(Raw_Data!D3976),AVERAGE(Raw_Data!D$2:D$5002),Raw_Data!D3976)</f>
        <v>93767.52</v>
      </c>
      <c r="E3976" s="15" t="str">
        <f>IF(ISBLANK(Raw_Data!E3976),AVERAGE(Raw_Data!E$2:E$5002),Raw_Data!E3976)</f>
        <v>33381.67</v>
      </c>
      <c r="F3976" s="15" t="str">
        <f>IF(ISBLANK(Raw_Data!F3976),AVERAGE(Raw_Data!F$2:F$5002),Raw_Data!F3976)</f>
        <v>32442.63</v>
      </c>
      <c r="G3976" s="14" t="str">
        <f>IF(ISBLANK(Raw_Data!G3976),AVERAGE(Raw_Data!G$2:G$5002),Raw_Data!G3976)</f>
        <v>21186.29</v>
      </c>
      <c r="H3976" s="15" t="str">
        <f t="shared" si="1"/>
        <v>159592.00</v>
      </c>
      <c r="I3976" s="14" t="str">
        <f t="shared" si="2"/>
        <v>138406.00</v>
      </c>
      <c r="J3976" s="16" t="str">
        <f>TEXT(Raw_Data!J3976,"MMM-YYY")</f>
        <v>Feb-2025</v>
      </c>
      <c r="K3976" s="13" t="str">
        <f>Raw_Data!K3976</f>
        <v>23</v>
      </c>
      <c r="L3976" s="17" t="str">
        <f>Raw_Data!L3976</f>
        <v>Bangalore-South</v>
      </c>
      <c r="M3976" s="13" t="str">
        <f t="shared" si="3"/>
        <v>OK</v>
      </c>
      <c r="N3976" s="18" t="str">
        <f t="shared" si="4"/>
        <v>VALID</v>
      </c>
    </row>
    <row r="3977" ht="15.75" customHeight="1">
      <c r="A3977" s="13" t="str">
        <f>Raw_Data!A3977</f>
        <v>EMP4203</v>
      </c>
      <c r="B3977" s="13" t="str">
        <f>TRIM(CLEAN(Raw_Data!B3977))</f>
        <v>Finance</v>
      </c>
      <c r="C3977" s="18" t="s">
        <v>30</v>
      </c>
      <c r="D3977" s="14" t="str">
        <f>IF(ISBLANK(Raw_Data!D3977),AVERAGE(Raw_Data!D$2:D$5002),Raw_Data!D3977)</f>
        <v>93778.40</v>
      </c>
      <c r="E3977" s="15" t="str">
        <f>IF(ISBLANK(Raw_Data!E3977),AVERAGE(Raw_Data!E$2:E$5002),Raw_Data!E3977)</f>
        <v>33386.29</v>
      </c>
      <c r="F3977" s="15" t="str">
        <f>IF(ISBLANK(Raw_Data!F3977),AVERAGE(Raw_Data!F$2:F$5002),Raw_Data!F3977)</f>
        <v>32450.31</v>
      </c>
      <c r="G3977" s="14" t="str">
        <f>IF(ISBLANK(Raw_Data!G3977),AVERAGE(Raw_Data!G$2:G$5002),Raw_Data!G3977)</f>
        <v>21189.68</v>
      </c>
      <c r="H3977" s="15" t="str">
        <f t="shared" si="1"/>
        <v>159615.00</v>
      </c>
      <c r="I3977" s="14" t="str">
        <f t="shared" si="2"/>
        <v>138425.00</v>
      </c>
      <c r="J3977" s="16" t="str">
        <f>TEXT(Raw_Data!J3977,"MMM-YYY")</f>
        <v>Apr-2025</v>
      </c>
      <c r="K3977" s="13" t="str">
        <f>Raw_Data!K3977</f>
        <v>24</v>
      </c>
      <c r="L3977" s="17" t="str">
        <f>Raw_Data!L3977</f>
        <v>Chennai-South</v>
      </c>
      <c r="M3977" s="13" t="str">
        <f t="shared" si="3"/>
        <v>OK</v>
      </c>
      <c r="N3977" s="18" t="str">
        <f t="shared" si="4"/>
        <v>VALID</v>
      </c>
    </row>
    <row r="3978" ht="15.75" customHeight="1">
      <c r="A3978" s="13" t="str">
        <f>Raw_Data!A3978</f>
        <v>EMP4204</v>
      </c>
      <c r="B3978" s="13" t="str">
        <f>TRIM(CLEAN(Raw_Data!B3978))</f>
        <v>Sales</v>
      </c>
      <c r="C3978" s="18" t="s">
        <v>33</v>
      </c>
      <c r="D3978" s="14" t="str">
        <f>IF(ISBLANK(Raw_Data!D3978),AVERAGE(Raw_Data!D$2:D$5002),Raw_Data!D3978)</f>
        <v>93789.29</v>
      </c>
      <c r="E3978" s="15" t="str">
        <f>IF(ISBLANK(Raw_Data!E3978),AVERAGE(Raw_Data!E$2:E$5002),Raw_Data!E3978)</f>
        <v>33390.90</v>
      </c>
      <c r="F3978" s="15" t="str">
        <f>IF(ISBLANK(Raw_Data!F3978),AVERAGE(Raw_Data!F$2:F$5002),Raw_Data!F3978)</f>
        <v>32457.99</v>
      </c>
      <c r="G3978" s="14" t="str">
        <f>IF(ISBLANK(Raw_Data!G3978),AVERAGE(Raw_Data!G$2:G$5002),Raw_Data!G3978)</f>
        <v>21193.08</v>
      </c>
      <c r="H3978" s="15" t="str">
        <f t="shared" si="1"/>
        <v>159638.00</v>
      </c>
      <c r="I3978" s="14" t="str">
        <f t="shared" si="2"/>
        <v>138445.00</v>
      </c>
      <c r="J3978" s="16" t="str">
        <f>TEXT(Raw_Data!J3978,"MMM-YYY")</f>
        <v>Nov-2025</v>
      </c>
      <c r="K3978" s="13" t="str">
        <f>Raw_Data!K3978</f>
        <v>14</v>
      </c>
      <c r="L3978" s="17" t="str">
        <f>Raw_Data!L3978</f>
        <v>Kolkata-East</v>
      </c>
      <c r="M3978" s="13" t="str">
        <f t="shared" si="3"/>
        <v>OK</v>
      </c>
      <c r="N3978" s="18" t="str">
        <f t="shared" si="4"/>
        <v>VALID</v>
      </c>
    </row>
    <row r="3979" ht="15.75" customHeight="1">
      <c r="A3979" s="13" t="str">
        <f>Raw_Data!A3979</f>
        <v>EMP4205</v>
      </c>
      <c r="B3979" s="13" t="str">
        <f>TRIM(CLEAN(Raw_Data!B3979))</f>
        <v>Customer Support</v>
      </c>
      <c r="C3979" s="18" t="s">
        <v>54</v>
      </c>
      <c r="D3979" s="14" t="str">
        <f>IF(ISBLANK(Raw_Data!D3979),AVERAGE(Raw_Data!D$2:D$5002),Raw_Data!D3979)</f>
        <v>93800.17</v>
      </c>
      <c r="E3979" s="15" t="str">
        <f>IF(ISBLANK(Raw_Data!E3979),AVERAGE(Raw_Data!E$2:E$5002),Raw_Data!E3979)</f>
        <v>33395.51</v>
      </c>
      <c r="F3979" s="15" t="str">
        <f>IF(ISBLANK(Raw_Data!F3979),AVERAGE(Raw_Data!F$2:F$5002),Raw_Data!F3979)</f>
        <v>32465.67</v>
      </c>
      <c r="G3979" s="14" t="str">
        <f>IF(ISBLANK(Raw_Data!G3979),AVERAGE(Raw_Data!G$2:G$5002),Raw_Data!G3979)</f>
        <v>21196.48</v>
      </c>
      <c r="H3979" s="15" t="str">
        <f t="shared" si="1"/>
        <v>159661.00</v>
      </c>
      <c r="I3979" s="14" t="str">
        <f t="shared" si="2"/>
        <v>138465.00</v>
      </c>
      <c r="J3979" s="16" t="str">
        <f>TEXT(Raw_Data!J3979,"MMM-YYY")</f>
        <v>Feb-2025</v>
      </c>
      <c r="K3979" s="13" t="str">
        <f>Raw_Data!K3979</f>
        <v>7</v>
      </c>
      <c r="L3979" s="17" t="str">
        <f>Raw_Data!L3979</f>
        <v>Pune-West</v>
      </c>
      <c r="M3979" s="13" t="str">
        <f t="shared" si="3"/>
        <v>OK</v>
      </c>
      <c r="N3979" s="18" t="str">
        <f t="shared" si="4"/>
        <v>VALID</v>
      </c>
    </row>
    <row r="3980" ht="15.75" customHeight="1">
      <c r="A3980" s="13" t="str">
        <f>Raw_Data!A3980</f>
        <v>EMP4206</v>
      </c>
      <c r="B3980" s="13" t="str">
        <f>TRIM(CLEAN(Raw_Data!B3980))</f>
        <v>Customer Support</v>
      </c>
      <c r="C3980" s="18" t="s">
        <v>54</v>
      </c>
      <c r="D3980" s="14" t="str">
        <f>IF(ISBLANK(Raw_Data!D3980),AVERAGE(Raw_Data!D$2:D$5002),Raw_Data!D3980)</f>
        <v>93811.05</v>
      </c>
      <c r="E3980" s="15" t="str">
        <f>IF(ISBLANK(Raw_Data!E3980),AVERAGE(Raw_Data!E$2:E$5002),Raw_Data!E3980)</f>
        <v>33400.13</v>
      </c>
      <c r="F3980" s="15" t="str">
        <f>IF(ISBLANK(Raw_Data!F3980),AVERAGE(Raw_Data!F$2:F$5002),Raw_Data!F3980)</f>
        <v>32473.35</v>
      </c>
      <c r="G3980" s="14" t="str">
        <f>IF(ISBLANK(Raw_Data!G3980),AVERAGE(Raw_Data!G$2:G$5002),Raw_Data!G3980)</f>
        <v>21199.88</v>
      </c>
      <c r="H3980" s="15" t="str">
        <f t="shared" si="1"/>
        <v>159685.00</v>
      </c>
      <c r="I3980" s="14" t="str">
        <f t="shared" si="2"/>
        <v>138485.00</v>
      </c>
      <c r="J3980" s="16" t="str">
        <f>TEXT(Raw_Data!J3980,"MMM-YYY")</f>
        <v>Jun-2025</v>
      </c>
      <c r="K3980" s="13" t="str">
        <f>Raw_Data!K3980</f>
        <v>6</v>
      </c>
      <c r="L3980" s="17" t="str">
        <f>Raw_Data!L3980</f>
        <v>Hyderabad-South</v>
      </c>
      <c r="M3980" s="13" t="str">
        <f t="shared" si="3"/>
        <v>OK</v>
      </c>
      <c r="N3980" s="18" t="str">
        <f t="shared" si="4"/>
        <v>VALID</v>
      </c>
    </row>
    <row r="3981" ht="15.75" customHeight="1">
      <c r="A3981" s="13" t="str">
        <f>Raw_Data!A3981</f>
        <v>EMP4207</v>
      </c>
      <c r="B3981" s="13" t="str">
        <f>TRIM(CLEAN(Raw_Data!B3981))</f>
        <v>Finance</v>
      </c>
      <c r="C3981" s="18" t="s">
        <v>26</v>
      </c>
      <c r="D3981" s="14" t="str">
        <f>IF(ISBLANK(Raw_Data!D3981),AVERAGE(Raw_Data!D$2:D$5002),Raw_Data!D3981)</f>
        <v>93821.93</v>
      </c>
      <c r="E3981" s="15" t="str">
        <f>IF(ISBLANK(Raw_Data!E3981),AVERAGE(Raw_Data!E$2:E$5002),Raw_Data!E3981)</f>
        <v>33404.74</v>
      </c>
      <c r="F3981" s="15" t="str">
        <f>IF(ISBLANK(Raw_Data!F3981),AVERAGE(Raw_Data!F$2:F$5002),Raw_Data!F3981)</f>
        <v>32481.03</v>
      </c>
      <c r="G3981" s="14" t="str">
        <f>IF(ISBLANK(Raw_Data!G3981),AVERAGE(Raw_Data!G$2:G$5002),Raw_Data!G3981)</f>
        <v>21203.27</v>
      </c>
      <c r="H3981" s="15" t="str">
        <f t="shared" si="1"/>
        <v>159708.00</v>
      </c>
      <c r="I3981" s="14" t="str">
        <f t="shared" si="2"/>
        <v>138505.00</v>
      </c>
      <c r="J3981" s="16" t="str">
        <f>TEXT(Raw_Data!J3981,"MMM-YYY")</f>
        <v>Jul-2025</v>
      </c>
      <c r="K3981" s="13" t="str">
        <f>Raw_Data!K3981</f>
        <v>4</v>
      </c>
      <c r="L3981" s="17" t="str">
        <f>Raw_Data!L3981</f>
        <v>Chandigarh-North</v>
      </c>
      <c r="M3981" s="13" t="str">
        <f t="shared" si="3"/>
        <v>OK</v>
      </c>
      <c r="N3981" s="18" t="str">
        <f t="shared" si="4"/>
        <v>VALID</v>
      </c>
    </row>
    <row r="3982" ht="15.75" customHeight="1">
      <c r="A3982" s="13" t="str">
        <f>Raw_Data!A3982</f>
        <v>EMP4208</v>
      </c>
      <c r="B3982" s="13" t="str">
        <f>TRIM(CLEAN(Raw_Data!B3982))</f>
        <v>HR</v>
      </c>
      <c r="C3982" s="18" t="s">
        <v>37</v>
      </c>
      <c r="D3982" s="14" t="str">
        <f>IF(ISBLANK(Raw_Data!D3982),AVERAGE(Raw_Data!D$2:D$5002),Raw_Data!D3982)</f>
        <v>93832.82</v>
      </c>
      <c r="E3982" s="15" t="str">
        <f>IF(ISBLANK(Raw_Data!E3982),AVERAGE(Raw_Data!E$2:E$5002),Raw_Data!E3982)</f>
        <v>33409.36</v>
      </c>
      <c r="F3982" s="15" t="str">
        <f>IF(ISBLANK(Raw_Data!F3982),AVERAGE(Raw_Data!F$2:F$5002),Raw_Data!F3982)</f>
        <v>32488.71</v>
      </c>
      <c r="G3982" s="14" t="str">
        <f>IF(ISBLANK(Raw_Data!G3982),AVERAGE(Raw_Data!G$2:G$5002),Raw_Data!G3982)</f>
        <v>21206.67</v>
      </c>
      <c r="H3982" s="15" t="str">
        <f t="shared" si="1"/>
        <v>159731.00</v>
      </c>
      <c r="I3982" s="14" t="str">
        <f t="shared" si="2"/>
        <v>138524.00</v>
      </c>
      <c r="J3982" s="16" t="str">
        <f>TEXT(Raw_Data!J3982,"MMM-YYY")</f>
        <v>Mar-2025</v>
      </c>
      <c r="K3982" s="13" t="str">
        <f>Raw_Data!K3982</f>
        <v>21</v>
      </c>
      <c r="L3982" s="17" t="str">
        <f>Raw_Data!L3982</f>
        <v>Ahmedabad-West</v>
      </c>
      <c r="M3982" s="13" t="str">
        <f t="shared" si="3"/>
        <v>OK</v>
      </c>
      <c r="N3982" s="18" t="str">
        <f t="shared" si="4"/>
        <v>VALID</v>
      </c>
    </row>
    <row r="3983" ht="15.75" customHeight="1">
      <c r="A3983" s="13" t="str">
        <f>Raw_Data!A3983</f>
        <v>EMP4209</v>
      </c>
      <c r="B3983" s="13" t="str">
        <f>TRIM(CLEAN(Raw_Data!B3983))</f>
        <v>Finance</v>
      </c>
      <c r="C3983" s="18" t="s">
        <v>14</v>
      </c>
      <c r="D3983" s="14" t="str">
        <f>IF(ISBLANK(Raw_Data!D3983),AVERAGE(Raw_Data!D$2:D$5002),Raw_Data!D3983)</f>
        <v>93843.70</v>
      </c>
      <c r="E3983" s="15" t="str">
        <f>IF(ISBLANK(Raw_Data!E3983),AVERAGE(Raw_Data!E$2:E$5002),Raw_Data!E3983)</f>
        <v>33413.97</v>
      </c>
      <c r="F3983" s="15" t="str">
        <f>IF(ISBLANK(Raw_Data!F3983),AVERAGE(Raw_Data!F$2:F$5002),Raw_Data!F3983)</f>
        <v>32496.39</v>
      </c>
      <c r="G3983" s="14" t="str">
        <f>IF(ISBLANK(Raw_Data!G3983),AVERAGE(Raw_Data!G$2:G$5002),Raw_Data!G3983)</f>
        <v>21210.07</v>
      </c>
      <c r="H3983" s="15" t="str">
        <f t="shared" si="1"/>
        <v>159754.00</v>
      </c>
      <c r="I3983" s="14" t="str">
        <f t="shared" si="2"/>
        <v>138544.00</v>
      </c>
      <c r="J3983" s="16" t="str">
        <f>TEXT(Raw_Data!J3983,"MMM-YYY")</f>
        <v>Mar-2025</v>
      </c>
      <c r="K3983" s="13" t="str">
        <f>Raw_Data!K3983</f>
        <v>7</v>
      </c>
      <c r="L3983" s="17" t="str">
        <f>Raw_Data!L3983</f>
        <v>Jaipur-North</v>
      </c>
      <c r="M3983" s="13" t="str">
        <f t="shared" si="3"/>
        <v>OK</v>
      </c>
      <c r="N3983" s="18" t="str">
        <f t="shared" si="4"/>
        <v>VALID</v>
      </c>
    </row>
    <row r="3984" ht="15.75" customHeight="1">
      <c r="A3984" s="13" t="str">
        <f>Raw_Data!A3984</f>
        <v>EMP4210</v>
      </c>
      <c r="B3984" s="13" t="str">
        <f>TRIM(CLEAN(Raw_Data!B3984))</f>
        <v>HR</v>
      </c>
      <c r="C3984" s="18" t="s">
        <v>14</v>
      </c>
      <c r="D3984" s="14" t="str">
        <f>IF(ISBLANK(Raw_Data!D3984),AVERAGE(Raw_Data!D$2:D$5002),Raw_Data!D3984)</f>
        <v>93854.58</v>
      </c>
      <c r="E3984" s="15" t="str">
        <f>IF(ISBLANK(Raw_Data!E3984),AVERAGE(Raw_Data!E$2:E$5002),Raw_Data!E3984)</f>
        <v>33418.59</v>
      </c>
      <c r="F3984" s="15" t="str">
        <f>IF(ISBLANK(Raw_Data!F3984),AVERAGE(Raw_Data!F$2:F$5002),Raw_Data!F3984)</f>
        <v>32504.07</v>
      </c>
      <c r="G3984" s="14" t="str">
        <f>IF(ISBLANK(Raw_Data!G3984),AVERAGE(Raw_Data!G$2:G$5002),Raw_Data!G3984)</f>
        <v>21213.47</v>
      </c>
      <c r="H3984" s="15" t="str">
        <f t="shared" si="1"/>
        <v>159777.00</v>
      </c>
      <c r="I3984" s="14" t="str">
        <f t="shared" si="2"/>
        <v>138564.00</v>
      </c>
      <c r="J3984" s="16" t="str">
        <f>TEXT(Raw_Data!J3984,"MMM-YYY")</f>
        <v>Jul-2025</v>
      </c>
      <c r="K3984" s="13" t="str">
        <f>Raw_Data!K3984</f>
        <v>15</v>
      </c>
      <c r="L3984" s="17" t="str">
        <f>Raw_Data!L3984</f>
        <v>Mumbai-HO</v>
      </c>
      <c r="M3984" s="13" t="str">
        <f t="shared" si="3"/>
        <v>OK</v>
      </c>
      <c r="N3984" s="18" t="str">
        <f t="shared" si="4"/>
        <v>VALID</v>
      </c>
    </row>
    <row r="3985" ht="15.75" customHeight="1">
      <c r="A3985" s="13" t="str">
        <f>Raw_Data!A3985</f>
        <v>EMP4211</v>
      </c>
      <c r="B3985" s="13" t="str">
        <f>TRIM(CLEAN(Raw_Data!B3985))</f>
        <v>Customer Support</v>
      </c>
      <c r="C3985" s="18" t="s">
        <v>33</v>
      </c>
      <c r="D3985" s="14" t="str">
        <f>IF(ISBLANK(Raw_Data!D3985),AVERAGE(Raw_Data!D$2:D$5002),Raw_Data!D3985)</f>
        <v>93865.47</v>
      </c>
      <c r="E3985" s="15" t="str">
        <f>IF(ISBLANK(Raw_Data!E3985),AVERAGE(Raw_Data!E$2:E$5002),Raw_Data!E3985)</f>
        <v>33423.20</v>
      </c>
      <c r="F3985" s="15" t="str">
        <f>IF(ISBLANK(Raw_Data!F3985),AVERAGE(Raw_Data!F$2:F$5002),Raw_Data!F3985)</f>
        <v>32511.75</v>
      </c>
      <c r="G3985" s="14" t="str">
        <f>IF(ISBLANK(Raw_Data!G3985),AVERAGE(Raw_Data!G$2:G$5002),Raw_Data!G3985)</f>
        <v>14562.73</v>
      </c>
      <c r="H3985" s="15" t="str">
        <f t="shared" si="1"/>
        <v>159800.00</v>
      </c>
      <c r="I3985" s="14" t="str">
        <f t="shared" si="2"/>
        <v>145237.00</v>
      </c>
      <c r="J3985" s="16" t="str">
        <f>TEXT(Raw_Data!J3985,"MMM-YYY")</f>
        <v>Apr-2025</v>
      </c>
      <c r="K3985" s="13" t="str">
        <f>Raw_Data!K3985</f>
        <v>13</v>
      </c>
      <c r="L3985" s="17" t="str">
        <f>Raw_Data!L3985</f>
        <v>Delhi-North</v>
      </c>
      <c r="M3985" s="13" t="str">
        <f t="shared" si="3"/>
        <v>OK</v>
      </c>
      <c r="N3985" s="18" t="str">
        <f t="shared" si="4"/>
        <v>VALID</v>
      </c>
    </row>
    <row r="3986" ht="15.75" customHeight="1">
      <c r="A3986" s="13" t="str">
        <f>Raw_Data!A3986</f>
        <v>EMP4212</v>
      </c>
      <c r="B3986" s="13" t="str">
        <f>TRIM(CLEAN(Raw_Data!B3986))</f>
        <v>IT</v>
      </c>
      <c r="C3986" s="18" t="s">
        <v>18</v>
      </c>
      <c r="D3986" s="14" t="str">
        <f>IF(ISBLANK(Raw_Data!D3986),AVERAGE(Raw_Data!D$2:D$5002),Raw_Data!D3986)</f>
        <v>93876.35</v>
      </c>
      <c r="E3986" s="15" t="str">
        <f>IF(ISBLANK(Raw_Data!E3986),AVERAGE(Raw_Data!E$2:E$5002),Raw_Data!E3986)</f>
        <v>33427.82</v>
      </c>
      <c r="F3986" s="15" t="str">
        <f>IF(ISBLANK(Raw_Data!F3986),AVERAGE(Raw_Data!F$2:F$5002),Raw_Data!F3986)</f>
        <v>32519.43</v>
      </c>
      <c r="G3986" s="14" t="str">
        <f>IF(ISBLANK(Raw_Data!G3986),AVERAGE(Raw_Data!G$2:G$5002),Raw_Data!G3986)</f>
        <v>21220.26</v>
      </c>
      <c r="H3986" s="15" t="str">
        <f t="shared" si="1"/>
        <v>159824.00</v>
      </c>
      <c r="I3986" s="14" t="str">
        <f t="shared" si="2"/>
        <v>138604.00</v>
      </c>
      <c r="J3986" s="16" t="str">
        <f>TEXT(Raw_Data!J3986,"MMM-YYY")</f>
        <v>Jan-2025</v>
      </c>
      <c r="K3986" s="13" t="str">
        <f>Raw_Data!K3986</f>
        <v>11</v>
      </c>
      <c r="L3986" s="17" t="str">
        <f>Raw_Data!L3986</f>
        <v>Bangalore-South</v>
      </c>
      <c r="M3986" s="13" t="str">
        <f t="shared" si="3"/>
        <v>OK</v>
      </c>
      <c r="N3986" s="18" t="str">
        <f t="shared" si="4"/>
        <v>VALID</v>
      </c>
    </row>
    <row r="3987" ht="15.75" customHeight="1">
      <c r="A3987" s="13" t="str">
        <f>Raw_Data!A3987</f>
        <v>EMP4213</v>
      </c>
      <c r="B3987" s="13" t="str">
        <f>TRIM(CLEAN(Raw_Data!B3987))</f>
        <v>HR</v>
      </c>
      <c r="C3987" s="18" t="s">
        <v>26</v>
      </c>
      <c r="D3987" s="14" t="str">
        <f>IF(ISBLANK(Raw_Data!D3987),AVERAGE(Raw_Data!D$2:D$5002),Raw_Data!D3987)</f>
        <v>93887.23</v>
      </c>
      <c r="E3987" s="15" t="str">
        <f>IF(ISBLANK(Raw_Data!E3987),AVERAGE(Raw_Data!E$2:E$5002),Raw_Data!E3987)</f>
        <v>33432.43</v>
      </c>
      <c r="F3987" s="15" t="str">
        <f>IF(ISBLANK(Raw_Data!F3987),AVERAGE(Raw_Data!F$2:F$5002),Raw_Data!F3987)</f>
        <v>32527.11</v>
      </c>
      <c r="G3987" s="14" t="str">
        <f>IF(ISBLANK(Raw_Data!G3987),AVERAGE(Raw_Data!G$2:G$5002),Raw_Data!G3987)</f>
        <v>14562.73</v>
      </c>
      <c r="H3987" s="15" t="str">
        <f t="shared" si="1"/>
        <v>159847.00</v>
      </c>
      <c r="I3987" s="14" t="str">
        <f t="shared" si="2"/>
        <v>145284.00</v>
      </c>
      <c r="J3987" s="16" t="str">
        <f>TEXT(Raw_Data!J3987,"MMM-YYY")</f>
        <v>Jun-2025</v>
      </c>
      <c r="K3987" s="13" t="str">
        <f>Raw_Data!K3987</f>
        <v>13</v>
      </c>
      <c r="L3987" s="17" t="str">
        <f>Raw_Data!L3987</f>
        <v>Chennai-South</v>
      </c>
      <c r="M3987" s="13" t="str">
        <f t="shared" si="3"/>
        <v>OK</v>
      </c>
      <c r="N3987" s="18" t="str">
        <f t="shared" si="4"/>
        <v>VALID</v>
      </c>
    </row>
    <row r="3988" ht="15.75" customHeight="1">
      <c r="A3988" s="13" t="str">
        <f>Raw_Data!A3988</f>
        <v>EMP4214</v>
      </c>
      <c r="B3988" s="13" t="str">
        <f>TRIM(CLEAN(Raw_Data!B3988))</f>
        <v>Operations</v>
      </c>
      <c r="C3988" s="18" t="s">
        <v>33</v>
      </c>
      <c r="D3988" s="14" t="str">
        <f>IF(ISBLANK(Raw_Data!D3988),AVERAGE(Raw_Data!D$2:D$5002),Raw_Data!D3988)</f>
        <v>93898.11</v>
      </c>
      <c r="E3988" s="15" t="str">
        <f>IF(ISBLANK(Raw_Data!E3988),AVERAGE(Raw_Data!E$2:E$5002),Raw_Data!E3988)</f>
        <v>33437.05</v>
      </c>
      <c r="F3988" s="15" t="str">
        <f>IF(ISBLANK(Raw_Data!F3988),AVERAGE(Raw_Data!F$2:F$5002),Raw_Data!F3988)</f>
        <v>32534.79</v>
      </c>
      <c r="G3988" s="14" t="str">
        <f>IF(ISBLANK(Raw_Data!G3988),AVERAGE(Raw_Data!G$2:G$5002),Raw_Data!G3988)</f>
        <v>21227.06</v>
      </c>
      <c r="H3988" s="15" t="str">
        <f t="shared" si="1"/>
        <v>159870.00</v>
      </c>
      <c r="I3988" s="14" t="str">
        <f t="shared" si="2"/>
        <v>138643.00</v>
      </c>
      <c r="J3988" s="16" t="str">
        <f>TEXT(Raw_Data!J3988,"MMM-YYY")</f>
        <v>Oct-2025</v>
      </c>
      <c r="K3988" s="13" t="str">
        <f>Raw_Data!K3988</f>
        <v>18</v>
      </c>
      <c r="L3988" s="17" t="str">
        <f>Raw_Data!L3988</f>
        <v>Kolkata-East</v>
      </c>
      <c r="M3988" s="13" t="str">
        <f t="shared" si="3"/>
        <v>OK</v>
      </c>
      <c r="N3988" s="18" t="str">
        <f t="shared" si="4"/>
        <v>VALID</v>
      </c>
    </row>
    <row r="3989" ht="15.75" customHeight="1">
      <c r="A3989" s="13" t="str">
        <f>Raw_Data!A3989</f>
        <v>EMP4215</v>
      </c>
      <c r="B3989" s="13" t="str">
        <f>TRIM(CLEAN(Raw_Data!B3989))</f>
        <v>Sales</v>
      </c>
      <c r="C3989" s="18" t="s">
        <v>14</v>
      </c>
      <c r="D3989" s="14" t="str">
        <f>IF(ISBLANK(Raw_Data!D3989),AVERAGE(Raw_Data!D$2:D$5002),Raw_Data!D3989)</f>
        <v>93909.00</v>
      </c>
      <c r="E3989" s="15" t="str">
        <f>IF(ISBLANK(Raw_Data!E3989),AVERAGE(Raw_Data!E$2:E$5002),Raw_Data!E3989)</f>
        <v>33441.66</v>
      </c>
      <c r="F3989" s="15" t="str">
        <f>IF(ISBLANK(Raw_Data!F3989),AVERAGE(Raw_Data!F$2:F$5002),Raw_Data!F3989)</f>
        <v>32542.47</v>
      </c>
      <c r="G3989" s="14" t="str">
        <f>IF(ISBLANK(Raw_Data!G3989),AVERAGE(Raw_Data!G$2:G$5002),Raw_Data!G3989)</f>
        <v>21230.46</v>
      </c>
      <c r="H3989" s="15" t="str">
        <f t="shared" si="1"/>
        <v>159893.00</v>
      </c>
      <c r="I3989" s="14" t="str">
        <f t="shared" si="2"/>
        <v>138663.00</v>
      </c>
      <c r="J3989" s="16" t="str">
        <f>TEXT(Raw_Data!J3989,"MMM-YYY")</f>
        <v>Aug-2025</v>
      </c>
      <c r="K3989" s="13" t="str">
        <f>Raw_Data!K3989</f>
        <v>14</v>
      </c>
      <c r="L3989" s="17" t="str">
        <f>Raw_Data!L3989</f>
        <v>Pune-West</v>
      </c>
      <c r="M3989" s="13" t="str">
        <f t="shared" si="3"/>
        <v>OK</v>
      </c>
      <c r="N3989" s="18" t="str">
        <f t="shared" si="4"/>
        <v>VALID</v>
      </c>
    </row>
    <row r="3990" ht="15.75" customHeight="1">
      <c r="A3990" s="13" t="str">
        <f>Raw_Data!A3990</f>
        <v>EMP4216</v>
      </c>
      <c r="B3990" s="13" t="str">
        <f>TRIM(CLEAN(Raw_Data!B3990))</f>
        <v>Marketing</v>
      </c>
      <c r="C3990" s="18" t="s">
        <v>26</v>
      </c>
      <c r="D3990" s="14" t="str">
        <f>IF(ISBLANK(Raw_Data!D3990),AVERAGE(Raw_Data!D$2:D$5002),Raw_Data!D3990)</f>
        <v>93919.88</v>
      </c>
      <c r="E3990" s="15" t="str">
        <f>IF(ISBLANK(Raw_Data!E3990),AVERAGE(Raw_Data!E$2:E$5002),Raw_Data!E3990)</f>
        <v>33446.28</v>
      </c>
      <c r="F3990" s="15" t="str">
        <f>IF(ISBLANK(Raw_Data!F3990),AVERAGE(Raw_Data!F$2:F$5002),Raw_Data!F3990)</f>
        <v>32550.15</v>
      </c>
      <c r="G3990" s="14" t="str">
        <f>IF(ISBLANK(Raw_Data!G3990),AVERAGE(Raw_Data!G$2:G$5002),Raw_Data!G3990)</f>
        <v>21233.85</v>
      </c>
      <c r="H3990" s="15" t="str">
        <f t="shared" si="1"/>
        <v>159916.00</v>
      </c>
      <c r="I3990" s="14" t="str">
        <f t="shared" si="2"/>
        <v>138682.00</v>
      </c>
      <c r="J3990" s="16" t="str">
        <f>TEXT(Raw_Data!J3990,"MMM-YYY")</f>
        <v>Feb-2025</v>
      </c>
      <c r="K3990" s="13" t="str">
        <f>Raw_Data!K3990</f>
        <v>9</v>
      </c>
      <c r="L3990" s="17" t="str">
        <f>Raw_Data!L3990</f>
        <v>Hyderabad-South</v>
      </c>
      <c r="M3990" s="13" t="str">
        <f t="shared" si="3"/>
        <v>OK</v>
      </c>
      <c r="N3990" s="18" t="str">
        <f t="shared" si="4"/>
        <v>VALID</v>
      </c>
    </row>
    <row r="3991" ht="15.75" customHeight="1">
      <c r="A3991" s="13" t="str">
        <f>Raw_Data!A3991</f>
        <v>EMP4217</v>
      </c>
      <c r="B3991" s="13" t="str">
        <f>TRIM(CLEAN(Raw_Data!B3991))</f>
        <v>Operations</v>
      </c>
      <c r="C3991" s="18" t="s">
        <v>54</v>
      </c>
      <c r="D3991" s="14" t="str">
        <f>IF(ISBLANK(Raw_Data!D3991),AVERAGE(Raw_Data!D$2:D$5002),Raw_Data!D3991)</f>
        <v>71831.17</v>
      </c>
      <c r="E3991" s="15" t="str">
        <f>IF(ISBLANK(Raw_Data!E3991),AVERAGE(Raw_Data!E$2:E$5002),Raw_Data!E3991)</f>
        <v>33450.89</v>
      </c>
      <c r="F3991" s="15" t="str">
        <f>IF(ISBLANK(Raw_Data!F3991),AVERAGE(Raw_Data!F$2:F$5002),Raw_Data!F3991)</f>
        <v>32557.83</v>
      </c>
      <c r="G3991" s="14" t="str">
        <f>IF(ISBLANK(Raw_Data!G3991),AVERAGE(Raw_Data!G$2:G$5002),Raw_Data!G3991)</f>
        <v>21237.25</v>
      </c>
      <c r="H3991" s="15" t="str">
        <f t="shared" si="1"/>
        <v>137840.00</v>
      </c>
      <c r="I3991" s="14" t="str">
        <f t="shared" si="2"/>
        <v>116603.00</v>
      </c>
      <c r="J3991" s="16" t="str">
        <f>TEXT(Raw_Data!J3991,"MMM-YYY")</f>
        <v>Dec-2025</v>
      </c>
      <c r="K3991" s="13" t="str">
        <f>Raw_Data!K3991</f>
        <v>11</v>
      </c>
      <c r="L3991" s="17" t="str">
        <f>Raw_Data!L3991</f>
        <v>Chandigarh-North</v>
      </c>
      <c r="M3991" s="13" t="str">
        <f t="shared" si="3"/>
        <v>OK</v>
      </c>
      <c r="N3991" s="18" t="str">
        <f t="shared" si="4"/>
        <v>VALID</v>
      </c>
    </row>
    <row r="3992" ht="15.75" customHeight="1">
      <c r="A3992" s="13" t="str">
        <f>Raw_Data!A3992</f>
        <v>EMP4218</v>
      </c>
      <c r="B3992" s="13" t="str">
        <f>TRIM(CLEAN(Raw_Data!B3992))</f>
        <v>Finance</v>
      </c>
      <c r="C3992" s="18" t="s">
        <v>30</v>
      </c>
      <c r="D3992" s="14" t="str">
        <f>IF(ISBLANK(Raw_Data!D3992),AVERAGE(Raw_Data!D$2:D$5002),Raw_Data!D3992)</f>
        <v>93941.65</v>
      </c>
      <c r="E3992" s="15" t="str">
        <f>IF(ISBLANK(Raw_Data!E3992),AVERAGE(Raw_Data!E$2:E$5002),Raw_Data!E3992)</f>
        <v>33455.51</v>
      </c>
      <c r="F3992" s="15" t="str">
        <f>IF(ISBLANK(Raw_Data!F3992),AVERAGE(Raw_Data!F$2:F$5002),Raw_Data!F3992)</f>
        <v>32565.51</v>
      </c>
      <c r="G3992" s="14" t="str">
        <f>IF(ISBLANK(Raw_Data!G3992),AVERAGE(Raw_Data!G$2:G$5002),Raw_Data!G3992)</f>
        <v>21240.65</v>
      </c>
      <c r="H3992" s="15" t="str">
        <f t="shared" si="1"/>
        <v>159963.00</v>
      </c>
      <c r="I3992" s="14" t="str">
        <f t="shared" si="2"/>
        <v>138722.00</v>
      </c>
      <c r="J3992" s="16" t="str">
        <f>TEXT(Raw_Data!J3992,"MMM-YYY")</f>
        <v>Jul-2025</v>
      </c>
      <c r="K3992" s="13" t="str">
        <f>Raw_Data!K3992</f>
        <v>21</v>
      </c>
      <c r="L3992" s="17" t="str">
        <f>Raw_Data!L3992</f>
        <v>Ahmedabad-West</v>
      </c>
      <c r="M3992" s="13" t="str">
        <f t="shared" si="3"/>
        <v>OK</v>
      </c>
      <c r="N3992" s="18" t="str">
        <f t="shared" si="4"/>
        <v>VALID</v>
      </c>
    </row>
    <row r="3993" ht="15.75" customHeight="1">
      <c r="A3993" s="13" t="str">
        <f>Raw_Data!A3993</f>
        <v>EMP4219</v>
      </c>
      <c r="B3993" s="13" t="str">
        <f>TRIM(CLEAN(Raw_Data!B3993))</f>
        <v>Operations</v>
      </c>
      <c r="C3993" s="18" t="s">
        <v>54</v>
      </c>
      <c r="D3993" s="14" t="str">
        <f>IF(ISBLANK(Raw_Data!D3993),AVERAGE(Raw_Data!D$2:D$5002),Raw_Data!D3993)</f>
        <v>93952.53</v>
      </c>
      <c r="E3993" s="15" t="str">
        <f>IF(ISBLANK(Raw_Data!E3993),AVERAGE(Raw_Data!E$2:E$5002),Raw_Data!E3993)</f>
        <v>33460.12</v>
      </c>
      <c r="F3993" s="15" t="str">
        <f>IF(ISBLANK(Raw_Data!F3993),AVERAGE(Raw_Data!F$2:F$5002),Raw_Data!F3993)</f>
        <v>32573.19</v>
      </c>
      <c r="G3993" s="14" t="str">
        <f>IF(ISBLANK(Raw_Data!G3993),AVERAGE(Raw_Data!G$2:G$5002),Raw_Data!G3993)</f>
        <v>21244.05</v>
      </c>
      <c r="H3993" s="15" t="str">
        <f t="shared" si="1"/>
        <v>159986.00</v>
      </c>
      <c r="I3993" s="14" t="str">
        <f t="shared" si="2"/>
        <v>138742.00</v>
      </c>
      <c r="J3993" s="16" t="str">
        <f>TEXT(Raw_Data!J3993,"MMM-YYY")</f>
        <v>Jun-2025</v>
      </c>
      <c r="K3993" s="13" t="str">
        <f>Raw_Data!K3993</f>
        <v>21</v>
      </c>
      <c r="L3993" s="17" t="str">
        <f>Raw_Data!L3993</f>
        <v>Jaipur-North</v>
      </c>
      <c r="M3993" s="13" t="str">
        <f t="shared" si="3"/>
        <v>OK</v>
      </c>
      <c r="N3993" s="18" t="str">
        <f t="shared" si="4"/>
        <v>VALID</v>
      </c>
    </row>
    <row r="3994" ht="15.75" customHeight="1">
      <c r="A3994" s="13" t="str">
        <f>Raw_Data!A3994</f>
        <v>EMP4220</v>
      </c>
      <c r="B3994" s="13" t="str">
        <f>TRIM(CLEAN(Raw_Data!B3994))</f>
        <v>Finance</v>
      </c>
      <c r="C3994" s="18" t="s">
        <v>14</v>
      </c>
      <c r="D3994" s="14" t="str">
        <f>IF(ISBLANK(Raw_Data!D3994),AVERAGE(Raw_Data!D$2:D$5002),Raw_Data!D3994)</f>
        <v>93963.41</v>
      </c>
      <c r="E3994" s="15" t="str">
        <f>IF(ISBLANK(Raw_Data!E3994),AVERAGE(Raw_Data!E$2:E$5002),Raw_Data!E3994)</f>
        <v>33464.74</v>
      </c>
      <c r="F3994" s="15" t="str">
        <f>IF(ISBLANK(Raw_Data!F3994),AVERAGE(Raw_Data!F$2:F$5002),Raw_Data!F3994)</f>
        <v>32580.87</v>
      </c>
      <c r="G3994" s="14" t="str">
        <f>IF(ISBLANK(Raw_Data!G3994),AVERAGE(Raw_Data!G$2:G$5002),Raw_Data!G3994)</f>
        <v>21247.44</v>
      </c>
      <c r="H3994" s="15" t="str">
        <f t="shared" si="1"/>
        <v>160009.00</v>
      </c>
      <c r="I3994" s="14" t="str">
        <f t="shared" si="2"/>
        <v>138762.00</v>
      </c>
      <c r="J3994" s="16" t="str">
        <f>TEXT(Raw_Data!J3994,"MMM-YYY")</f>
        <v>Dec-2025</v>
      </c>
      <c r="K3994" s="13" t="str">
        <f>Raw_Data!K3994</f>
        <v>14</v>
      </c>
      <c r="L3994" s="17" t="str">
        <f>Raw_Data!L3994</f>
        <v>Mumbai-HO</v>
      </c>
      <c r="M3994" s="13" t="str">
        <f t="shared" si="3"/>
        <v>OK</v>
      </c>
      <c r="N3994" s="18" t="str">
        <f t="shared" si="4"/>
        <v>VALID</v>
      </c>
    </row>
    <row r="3995" ht="15.75" customHeight="1">
      <c r="A3995" s="13" t="str">
        <f>Raw_Data!A3995</f>
        <v>EMP4221</v>
      </c>
      <c r="B3995" s="13" t="str">
        <f>TRIM(CLEAN(Raw_Data!B3995))</f>
        <v>HR</v>
      </c>
      <c r="C3995" s="18" t="s">
        <v>37</v>
      </c>
      <c r="D3995" s="14" t="str">
        <f>IF(ISBLANK(Raw_Data!D3995),AVERAGE(Raw_Data!D$2:D$5002),Raw_Data!D3995)</f>
        <v>93974.30</v>
      </c>
      <c r="E3995" s="15" t="str">
        <f>IF(ISBLANK(Raw_Data!E3995),AVERAGE(Raw_Data!E$2:E$5002),Raw_Data!E3995)</f>
        <v>33469.35</v>
      </c>
      <c r="F3995" s="15" t="str">
        <f>IF(ISBLANK(Raw_Data!F3995),AVERAGE(Raw_Data!F$2:F$5002),Raw_Data!F3995)</f>
        <v>32588.55</v>
      </c>
      <c r="G3995" s="14" t="str">
        <f>IF(ISBLANK(Raw_Data!G3995),AVERAGE(Raw_Data!G$2:G$5002),Raw_Data!G3995)</f>
        <v>21250.84</v>
      </c>
      <c r="H3995" s="15" t="str">
        <f t="shared" si="1"/>
        <v>160032.00</v>
      </c>
      <c r="I3995" s="14" t="str">
        <f t="shared" si="2"/>
        <v>138781.00</v>
      </c>
      <c r="J3995" s="16" t="str">
        <f>TEXT(Raw_Data!J3995,"MMM-YYY")</f>
        <v>Aug-2025</v>
      </c>
      <c r="K3995" s="13" t="str">
        <f>Raw_Data!K3995</f>
        <v>6</v>
      </c>
      <c r="L3995" s="17" t="str">
        <f>Raw_Data!L3995</f>
        <v>Delhi-North</v>
      </c>
      <c r="M3995" s="13" t="str">
        <f t="shared" si="3"/>
        <v>OK</v>
      </c>
      <c r="N3995" s="18" t="str">
        <f t="shared" si="4"/>
        <v>VALID</v>
      </c>
    </row>
    <row r="3996" ht="15.75" customHeight="1">
      <c r="A3996" s="13" t="str">
        <f>Raw_Data!A3996</f>
        <v>EMP4222</v>
      </c>
      <c r="B3996" s="13" t="str">
        <f>TRIM(CLEAN(Raw_Data!B3996))</f>
        <v>IT</v>
      </c>
      <c r="C3996" s="18" t="s">
        <v>14</v>
      </c>
      <c r="D3996" s="14" t="str">
        <f>IF(ISBLANK(Raw_Data!D3996),AVERAGE(Raw_Data!D$2:D$5002),Raw_Data!D3996)</f>
        <v>93985.18</v>
      </c>
      <c r="E3996" s="15" t="str">
        <f>IF(ISBLANK(Raw_Data!E3996),AVERAGE(Raw_Data!E$2:E$5002),Raw_Data!E3996)</f>
        <v>33473.96</v>
      </c>
      <c r="F3996" s="15" t="str">
        <f>IF(ISBLANK(Raw_Data!F3996),AVERAGE(Raw_Data!F$2:F$5002),Raw_Data!F3996)</f>
        <v>32596.23</v>
      </c>
      <c r="G3996" s="14" t="str">
        <f>IF(ISBLANK(Raw_Data!G3996),AVERAGE(Raw_Data!G$2:G$5002),Raw_Data!G3996)</f>
        <v>21254.24</v>
      </c>
      <c r="H3996" s="15" t="str">
        <f t="shared" si="1"/>
        <v>160055.00</v>
      </c>
      <c r="I3996" s="14" t="str">
        <f t="shared" si="2"/>
        <v>138801.00</v>
      </c>
      <c r="J3996" s="16" t="str">
        <f>TEXT(Raw_Data!J3996,"MMM-YYY")</f>
        <v>Oct-2025</v>
      </c>
      <c r="K3996" s="13" t="str">
        <f>Raw_Data!K3996</f>
        <v>23</v>
      </c>
      <c r="L3996" s="17" t="str">
        <f>Raw_Data!L3996</f>
        <v>Bangalore-South</v>
      </c>
      <c r="M3996" s="13" t="str">
        <f t="shared" si="3"/>
        <v>OK</v>
      </c>
      <c r="N3996" s="18" t="str">
        <f t="shared" si="4"/>
        <v>VALID</v>
      </c>
    </row>
    <row r="3997" ht="15.75" customHeight="1">
      <c r="A3997" s="13" t="str">
        <f>Raw_Data!A3997</f>
        <v>EMP4223</v>
      </c>
      <c r="B3997" s="13" t="str">
        <f>TRIM(CLEAN(Raw_Data!B3997))</f>
        <v>Customer Support</v>
      </c>
      <c r="C3997" s="18" t="s">
        <v>30</v>
      </c>
      <c r="D3997" s="14" t="str">
        <f>IF(ISBLANK(Raw_Data!D3997),AVERAGE(Raw_Data!D$2:D$5002),Raw_Data!D3997)</f>
        <v>93996.06</v>
      </c>
      <c r="E3997" s="15" t="str">
        <f>IF(ISBLANK(Raw_Data!E3997),AVERAGE(Raw_Data!E$2:E$5002),Raw_Data!E3997)</f>
        <v>33478.58</v>
      </c>
      <c r="F3997" s="15" t="str">
        <f>IF(ISBLANK(Raw_Data!F3997),AVERAGE(Raw_Data!F$2:F$5002),Raw_Data!F3997)</f>
        <v>32603.91</v>
      </c>
      <c r="G3997" s="14" t="str">
        <f>IF(ISBLANK(Raw_Data!G3997),AVERAGE(Raw_Data!G$2:G$5002),Raw_Data!G3997)</f>
        <v>21257.64</v>
      </c>
      <c r="H3997" s="15" t="str">
        <f t="shared" si="1"/>
        <v>160079.00</v>
      </c>
      <c r="I3997" s="14" t="str">
        <f t="shared" si="2"/>
        <v>138821.00</v>
      </c>
      <c r="J3997" s="16" t="str">
        <f>TEXT(Raw_Data!J3997,"MMM-YYY")</f>
        <v>Apr-2025</v>
      </c>
      <c r="K3997" s="13" t="str">
        <f>Raw_Data!K3997</f>
        <v>4</v>
      </c>
      <c r="L3997" s="17" t="str">
        <f>Raw_Data!L3997</f>
        <v>Chennai-South</v>
      </c>
      <c r="M3997" s="13" t="str">
        <f t="shared" si="3"/>
        <v>OK</v>
      </c>
      <c r="N3997" s="18" t="str">
        <f t="shared" si="4"/>
        <v>VALID</v>
      </c>
    </row>
    <row r="3998" ht="15.75" customHeight="1">
      <c r="A3998" s="13" t="str">
        <f>Raw_Data!A3998</f>
        <v>EMP4224</v>
      </c>
      <c r="B3998" s="13" t="str">
        <f>TRIM(CLEAN(Raw_Data!B3998))</f>
        <v>IT</v>
      </c>
      <c r="C3998" s="18" t="s">
        <v>30</v>
      </c>
      <c r="D3998" s="14" t="str">
        <f>IF(ISBLANK(Raw_Data!D3998),AVERAGE(Raw_Data!D$2:D$5002),Raw_Data!D3998)</f>
        <v>94006.94</v>
      </c>
      <c r="E3998" s="15" t="str">
        <f>IF(ISBLANK(Raw_Data!E3998),AVERAGE(Raw_Data!E$2:E$5002),Raw_Data!E3998)</f>
        <v>33483.19</v>
      </c>
      <c r="F3998" s="15" t="str">
        <f>IF(ISBLANK(Raw_Data!F3998),AVERAGE(Raw_Data!F$2:F$5002),Raw_Data!F3998)</f>
        <v>32611.59</v>
      </c>
      <c r="G3998" s="14" t="str">
        <f>IF(ISBLANK(Raw_Data!G3998),AVERAGE(Raw_Data!G$2:G$5002),Raw_Data!G3998)</f>
        <v>21261.03</v>
      </c>
      <c r="H3998" s="15" t="str">
        <f t="shared" si="1"/>
        <v>160102.00</v>
      </c>
      <c r="I3998" s="14" t="str">
        <f t="shared" si="2"/>
        <v>138841.00</v>
      </c>
      <c r="J3998" s="16" t="str">
        <f>TEXT(Raw_Data!J3998,"MMM-YYY")</f>
        <v>Jun-2025</v>
      </c>
      <c r="K3998" s="13" t="str">
        <f>Raw_Data!K3998</f>
        <v>9</v>
      </c>
      <c r="L3998" s="17" t="str">
        <f>Raw_Data!L3998</f>
        <v>Kolkata-East</v>
      </c>
      <c r="M3998" s="13" t="str">
        <f t="shared" si="3"/>
        <v>OK</v>
      </c>
      <c r="N3998" s="18" t="str">
        <f t="shared" si="4"/>
        <v>VALID</v>
      </c>
    </row>
    <row r="3999" ht="15.75" customHeight="1">
      <c r="A3999" s="13" t="str">
        <f>Raw_Data!A3999</f>
        <v>EMP4225</v>
      </c>
      <c r="B3999" s="13" t="str">
        <f>TRIM(CLEAN(Raw_Data!B3999))</f>
        <v>Operations</v>
      </c>
      <c r="C3999" s="18" t="s">
        <v>54</v>
      </c>
      <c r="D3999" s="14" t="str">
        <f>IF(ISBLANK(Raw_Data!D3999),AVERAGE(Raw_Data!D$2:D$5002),Raw_Data!D3999)</f>
        <v>94017.83</v>
      </c>
      <c r="E3999" s="15" t="str">
        <f>IF(ISBLANK(Raw_Data!E3999),AVERAGE(Raw_Data!E$2:E$5002),Raw_Data!E3999)</f>
        <v>33487.81</v>
      </c>
      <c r="F3999" s="15" t="str">
        <f>IF(ISBLANK(Raw_Data!F3999),AVERAGE(Raw_Data!F$2:F$5002),Raw_Data!F3999)</f>
        <v>32619.27</v>
      </c>
      <c r="G3999" s="14" t="str">
        <f>IF(ISBLANK(Raw_Data!G3999),AVERAGE(Raw_Data!G$2:G$5002),Raw_Data!G3999)</f>
        <v>14562.73</v>
      </c>
      <c r="H3999" s="15" t="str">
        <f t="shared" si="1"/>
        <v>160125.00</v>
      </c>
      <c r="I3999" s="14" t="str">
        <f t="shared" si="2"/>
        <v>145562.00</v>
      </c>
      <c r="J3999" s="16" t="str">
        <f>TEXT(Raw_Data!J3999,"MMM-YYY")</f>
        <v>Feb-2025</v>
      </c>
      <c r="K3999" s="13" t="str">
        <f>Raw_Data!K3999</f>
        <v>11</v>
      </c>
      <c r="L3999" s="17" t="str">
        <f>Raw_Data!L3999</f>
        <v>Pune-West</v>
      </c>
      <c r="M3999" s="13" t="str">
        <f t="shared" si="3"/>
        <v>OK</v>
      </c>
      <c r="N3999" s="18" t="str">
        <f t="shared" si="4"/>
        <v>VALID</v>
      </c>
    </row>
    <row r="4000" ht="15.75" customHeight="1">
      <c r="A4000" s="13" t="str">
        <f>Raw_Data!A4000</f>
        <v>EMP4226</v>
      </c>
      <c r="B4000" s="13" t="str">
        <f>TRIM(CLEAN(Raw_Data!B4000))</f>
        <v>Finance</v>
      </c>
      <c r="C4000" s="18" t="s">
        <v>18</v>
      </c>
      <c r="D4000" s="14" t="str">
        <f>IF(ISBLANK(Raw_Data!D4000),AVERAGE(Raw_Data!D$2:D$5002),Raw_Data!D4000)</f>
        <v>94028.71</v>
      </c>
      <c r="E4000" s="15" t="str">
        <f>IF(ISBLANK(Raw_Data!E4000),AVERAGE(Raw_Data!E$2:E$5002),Raw_Data!E4000)</f>
        <v>33492.42</v>
      </c>
      <c r="F4000" s="15" t="str">
        <f>IF(ISBLANK(Raw_Data!F4000),AVERAGE(Raw_Data!F$2:F$5002),Raw_Data!F4000)</f>
        <v>32626.95</v>
      </c>
      <c r="G4000" s="14" t="str">
        <f>IF(ISBLANK(Raw_Data!G4000),AVERAGE(Raw_Data!G$2:G$5002),Raw_Data!G4000)</f>
        <v>21267.83</v>
      </c>
      <c r="H4000" s="15" t="str">
        <f t="shared" si="1"/>
        <v>160148.00</v>
      </c>
      <c r="I4000" s="14" t="str">
        <f t="shared" si="2"/>
        <v>138880.00</v>
      </c>
      <c r="J4000" s="16" t="str">
        <f>TEXT(Raw_Data!J4000,"MMM-YYY")</f>
        <v>Nov-2025</v>
      </c>
      <c r="K4000" s="13" t="str">
        <f>Raw_Data!K4000</f>
        <v>15</v>
      </c>
      <c r="L4000" s="17" t="str">
        <f>Raw_Data!L4000</f>
        <v>Hyderabad-South</v>
      </c>
      <c r="M4000" s="13" t="str">
        <f t="shared" si="3"/>
        <v>OK</v>
      </c>
      <c r="N4000" s="18" t="str">
        <f t="shared" si="4"/>
        <v>VALID</v>
      </c>
    </row>
    <row r="4001" ht="15.75" customHeight="1">
      <c r="A4001" s="13" t="str">
        <f>Raw_Data!A4001</f>
        <v>EMP4227</v>
      </c>
      <c r="B4001" s="13" t="str">
        <f>TRIM(CLEAN(Raw_Data!B4001))</f>
        <v>Customer Support</v>
      </c>
      <c r="C4001" s="18" t="s">
        <v>26</v>
      </c>
      <c r="D4001" s="14" t="str">
        <f>IF(ISBLANK(Raw_Data!D4001),AVERAGE(Raw_Data!D$2:D$5002),Raw_Data!D4001)</f>
        <v>94039.59</v>
      </c>
      <c r="E4001" s="15" t="str">
        <f>IF(ISBLANK(Raw_Data!E4001),AVERAGE(Raw_Data!E$2:E$5002),Raw_Data!E4001)</f>
        <v>33497.04</v>
      </c>
      <c r="F4001" s="15" t="str">
        <f>IF(ISBLANK(Raw_Data!F4001),AVERAGE(Raw_Data!F$2:F$5002),Raw_Data!F4001)</f>
        <v>32634.63</v>
      </c>
      <c r="G4001" s="14" t="str">
        <f>IF(ISBLANK(Raw_Data!G4001),AVERAGE(Raw_Data!G$2:G$5002),Raw_Data!G4001)</f>
        <v>21271.23</v>
      </c>
      <c r="H4001" s="15" t="str">
        <f t="shared" si="1"/>
        <v>160171.00</v>
      </c>
      <c r="I4001" s="14" t="str">
        <f t="shared" si="2"/>
        <v>138900.00</v>
      </c>
      <c r="J4001" s="16" t="str">
        <f>TEXT(Raw_Data!J4001,"MMM-YYY")</f>
        <v>Mar-2025</v>
      </c>
      <c r="K4001" s="13" t="str">
        <f>Raw_Data!K4001</f>
        <v>12</v>
      </c>
      <c r="L4001" s="17" t="str">
        <f>Raw_Data!L4001</f>
        <v>Chandigarh-North</v>
      </c>
      <c r="M4001" s="13" t="str">
        <f t="shared" si="3"/>
        <v>OK</v>
      </c>
      <c r="N4001" s="18" t="str">
        <f t="shared" si="4"/>
        <v>VALID</v>
      </c>
    </row>
    <row r="4002" ht="15.75" customHeight="1">
      <c r="A4002" s="13" t="str">
        <f>Raw_Data!A4002</f>
        <v>EMP4228</v>
      </c>
      <c r="B4002" s="13" t="str">
        <f>TRIM(CLEAN(Raw_Data!B4002))</f>
        <v>HR</v>
      </c>
      <c r="C4002" s="18" t="s">
        <v>30</v>
      </c>
      <c r="D4002" s="14" t="str">
        <f>IF(ISBLANK(Raw_Data!D4002),AVERAGE(Raw_Data!D$2:D$5002),Raw_Data!D4002)</f>
        <v>94050.48</v>
      </c>
      <c r="E4002" s="15" t="str">
        <f>IF(ISBLANK(Raw_Data!E4002),AVERAGE(Raw_Data!E$2:E$5002),Raw_Data!E4002)</f>
        <v>33501.65</v>
      </c>
      <c r="F4002" s="15" t="str">
        <f>IF(ISBLANK(Raw_Data!F4002),AVERAGE(Raw_Data!F$2:F$5002),Raw_Data!F4002)</f>
        <v>32642.31</v>
      </c>
      <c r="G4002" s="14" t="str">
        <f>IF(ISBLANK(Raw_Data!G4002),AVERAGE(Raw_Data!G$2:G$5002),Raw_Data!G4002)</f>
        <v>21274.62</v>
      </c>
      <c r="H4002" s="15" t="str">
        <f t="shared" si="1"/>
        <v>160194.00</v>
      </c>
      <c r="I4002" s="14" t="str">
        <f t="shared" si="2"/>
        <v>138919.00</v>
      </c>
      <c r="J4002" s="16" t="str">
        <f>TEXT(Raw_Data!J4002,"MMM-YYY")</f>
        <v>Mar-2025</v>
      </c>
      <c r="K4002" s="13" t="str">
        <f>Raw_Data!K4002</f>
        <v>23</v>
      </c>
      <c r="L4002" s="17" t="str">
        <f>Raw_Data!L4002</f>
        <v>Ahmedabad-West</v>
      </c>
      <c r="M4002" s="13" t="str">
        <f t="shared" si="3"/>
        <v>OK</v>
      </c>
      <c r="N4002" s="18" t="str">
        <f t="shared" si="4"/>
        <v>VALID</v>
      </c>
    </row>
    <row r="4003" ht="15.75" customHeight="1">
      <c r="A4003" s="13" t="str">
        <f>Raw_Data!A4003</f>
        <v>EMP4229</v>
      </c>
      <c r="B4003" s="13" t="str">
        <f>TRIM(CLEAN(Raw_Data!B4003))</f>
        <v>Customer Support</v>
      </c>
      <c r="C4003" s="18" t="s">
        <v>26</v>
      </c>
      <c r="D4003" s="14" t="str">
        <f>IF(ISBLANK(Raw_Data!D4003),AVERAGE(Raw_Data!D$2:D$5002),Raw_Data!D4003)</f>
        <v>94061.36</v>
      </c>
      <c r="E4003" s="15" t="str">
        <f>IF(ISBLANK(Raw_Data!E4003),AVERAGE(Raw_Data!E$2:E$5002),Raw_Data!E4003)</f>
        <v>33506.27</v>
      </c>
      <c r="F4003" s="15" t="str">
        <f>IF(ISBLANK(Raw_Data!F4003),AVERAGE(Raw_Data!F$2:F$5002),Raw_Data!F4003)</f>
        <v>32649.99</v>
      </c>
      <c r="G4003" s="14" t="str">
        <f>IF(ISBLANK(Raw_Data!G4003),AVERAGE(Raw_Data!G$2:G$5002),Raw_Data!G4003)</f>
        <v>21278.02</v>
      </c>
      <c r="H4003" s="15" t="str">
        <f t="shared" si="1"/>
        <v>160218.00</v>
      </c>
      <c r="I4003" s="14" t="str">
        <f t="shared" si="2"/>
        <v>138940.00</v>
      </c>
      <c r="J4003" s="16" t="str">
        <f>TEXT(Raw_Data!J4003,"MMM-YYY")</f>
        <v>Apr-2025</v>
      </c>
      <c r="K4003" s="13" t="str">
        <f>Raw_Data!K4003</f>
        <v>18</v>
      </c>
      <c r="L4003" s="17" t="str">
        <f>Raw_Data!L4003</f>
        <v>Jaipur-North</v>
      </c>
      <c r="M4003" s="13" t="str">
        <f t="shared" si="3"/>
        <v>OK</v>
      </c>
      <c r="N4003" s="18" t="str">
        <f t="shared" si="4"/>
        <v>VALID</v>
      </c>
    </row>
    <row r="4004" ht="15.75" customHeight="1">
      <c r="A4004" s="13" t="str">
        <f>Raw_Data!A4004</f>
        <v>EMP4230</v>
      </c>
      <c r="B4004" s="13" t="str">
        <f>TRIM(CLEAN(Raw_Data!B4004))</f>
        <v>Marketing</v>
      </c>
      <c r="C4004" s="18" t="s">
        <v>14</v>
      </c>
      <c r="D4004" s="14" t="str">
        <f>IF(ISBLANK(Raw_Data!D4004),AVERAGE(Raw_Data!D$2:D$5002),Raw_Data!D4004)</f>
        <v>94072.24</v>
      </c>
      <c r="E4004" s="15" t="str">
        <f>IF(ISBLANK(Raw_Data!E4004),AVERAGE(Raw_Data!E$2:E$5002),Raw_Data!E4004)</f>
        <v>33510.88</v>
      </c>
      <c r="F4004" s="15" t="str">
        <f>IF(ISBLANK(Raw_Data!F4004),AVERAGE(Raw_Data!F$2:F$5002),Raw_Data!F4004)</f>
        <v>32657.67</v>
      </c>
      <c r="G4004" s="14" t="str">
        <f>IF(ISBLANK(Raw_Data!G4004),AVERAGE(Raw_Data!G$2:G$5002),Raw_Data!G4004)</f>
        <v>21281.42</v>
      </c>
      <c r="H4004" s="15" t="str">
        <f t="shared" si="1"/>
        <v>160241.00</v>
      </c>
      <c r="I4004" s="14" t="str">
        <f t="shared" si="2"/>
        <v>138960.00</v>
      </c>
      <c r="J4004" s="16" t="str">
        <f>TEXT(Raw_Data!J4004,"MMM-YYY")</f>
        <v>May-2025</v>
      </c>
      <c r="K4004" s="13" t="str">
        <f>Raw_Data!K4004</f>
        <v>7</v>
      </c>
      <c r="L4004" s="17" t="str">
        <f>Raw_Data!L4004</f>
        <v>Mumbai-HO</v>
      </c>
      <c r="M4004" s="13" t="str">
        <f t="shared" si="3"/>
        <v>OK</v>
      </c>
      <c r="N4004" s="18" t="str">
        <f t="shared" si="4"/>
        <v>VALID</v>
      </c>
    </row>
    <row r="4005" ht="15.75" customHeight="1">
      <c r="A4005" s="13" t="str">
        <f>Raw_Data!A4005</f>
        <v>EMP4231</v>
      </c>
      <c r="B4005" s="13" t="str">
        <f>TRIM(CLEAN(Raw_Data!B4005))</f>
        <v>Sales</v>
      </c>
      <c r="C4005" s="18" t="s">
        <v>54</v>
      </c>
      <c r="D4005" s="14" t="str">
        <f>IF(ISBLANK(Raw_Data!D4005),AVERAGE(Raw_Data!D$2:D$5002),Raw_Data!D4005)</f>
        <v>94083.13</v>
      </c>
      <c r="E4005" s="15" t="str">
        <f>IF(ISBLANK(Raw_Data!E4005),AVERAGE(Raw_Data!E$2:E$5002),Raw_Data!E4005)</f>
        <v>33515.50</v>
      </c>
      <c r="F4005" s="15" t="str">
        <f>IF(ISBLANK(Raw_Data!F4005),AVERAGE(Raw_Data!F$2:F$5002),Raw_Data!F4005)</f>
        <v>32665.35</v>
      </c>
      <c r="G4005" s="14" t="str">
        <f>IF(ISBLANK(Raw_Data!G4005),AVERAGE(Raw_Data!G$2:G$5002),Raw_Data!G4005)</f>
        <v>21284.82</v>
      </c>
      <c r="H4005" s="15" t="str">
        <f t="shared" si="1"/>
        <v>160264.00</v>
      </c>
      <c r="I4005" s="14" t="str">
        <f t="shared" si="2"/>
        <v>138979.00</v>
      </c>
      <c r="J4005" s="16" t="str">
        <f>TEXT(Raw_Data!J4005,"MMM-YYY")</f>
        <v>Jul-2025</v>
      </c>
      <c r="K4005" s="13" t="str">
        <f>Raw_Data!K4005</f>
        <v>20</v>
      </c>
      <c r="L4005" s="17" t="str">
        <f>Raw_Data!L4005</f>
        <v>Delhi-North</v>
      </c>
      <c r="M4005" s="13" t="str">
        <f t="shared" si="3"/>
        <v>OK</v>
      </c>
      <c r="N4005" s="18" t="str">
        <f t="shared" si="4"/>
        <v>VALID</v>
      </c>
    </row>
    <row r="4006" ht="15.75" customHeight="1">
      <c r="A4006" s="13" t="str">
        <f>Raw_Data!A4006</f>
        <v>EMP4232</v>
      </c>
      <c r="B4006" s="13" t="str">
        <f>TRIM(CLEAN(Raw_Data!B4006))</f>
        <v>Sales</v>
      </c>
      <c r="C4006" s="18" t="s">
        <v>14</v>
      </c>
      <c r="D4006" s="14" t="str">
        <f>IF(ISBLANK(Raw_Data!D4006),AVERAGE(Raw_Data!D$2:D$5002),Raw_Data!D4006)</f>
        <v>94094.01</v>
      </c>
      <c r="E4006" s="15" t="str">
        <f>IF(ISBLANK(Raw_Data!E4006),AVERAGE(Raw_Data!E$2:E$5002),Raw_Data!E4006)</f>
        <v>33520.11</v>
      </c>
      <c r="F4006" s="15" t="str">
        <f>IF(ISBLANK(Raw_Data!F4006),AVERAGE(Raw_Data!F$2:F$5002),Raw_Data!F4006)</f>
        <v>32673.03</v>
      </c>
      <c r="G4006" s="14" t="str">
        <f>IF(ISBLANK(Raw_Data!G4006),AVERAGE(Raw_Data!G$2:G$5002),Raw_Data!G4006)</f>
        <v>21288.21</v>
      </c>
      <c r="H4006" s="15" t="str">
        <f t="shared" si="1"/>
        <v>160287.00</v>
      </c>
      <c r="I4006" s="14" t="str">
        <f t="shared" si="2"/>
        <v>138999.00</v>
      </c>
      <c r="J4006" s="16" t="str">
        <f>TEXT(Raw_Data!J4006,"MMM-YYY")</f>
        <v>Oct-2025</v>
      </c>
      <c r="K4006" s="13" t="str">
        <f>Raw_Data!K4006</f>
        <v>5</v>
      </c>
      <c r="L4006" s="17" t="str">
        <f>Raw_Data!L4006</f>
        <v>Bangalore-South</v>
      </c>
      <c r="M4006" s="13" t="str">
        <f t="shared" si="3"/>
        <v>OK</v>
      </c>
      <c r="N4006" s="18" t="str">
        <f t="shared" si="4"/>
        <v>VALID</v>
      </c>
    </row>
    <row r="4007" ht="15.75" customHeight="1">
      <c r="A4007" s="13" t="str">
        <f>Raw_Data!A4007</f>
        <v>EMP4233</v>
      </c>
      <c r="B4007" s="13" t="str">
        <f>TRIM(CLEAN(Raw_Data!B4007))</f>
        <v>Sales</v>
      </c>
      <c r="C4007" s="18" t="s">
        <v>54</v>
      </c>
      <c r="D4007" s="14" t="str">
        <f>IF(ISBLANK(Raw_Data!D4007),AVERAGE(Raw_Data!D$2:D$5002),Raw_Data!D4007)</f>
        <v>94104.89</v>
      </c>
      <c r="E4007" s="15" t="str">
        <f>IF(ISBLANK(Raw_Data!E4007),AVERAGE(Raw_Data!E$2:E$5002),Raw_Data!E4007)</f>
        <v>33524.73</v>
      </c>
      <c r="F4007" s="15" t="str">
        <f>IF(ISBLANK(Raw_Data!F4007),AVERAGE(Raw_Data!F$2:F$5002),Raw_Data!F4007)</f>
        <v>32680.71</v>
      </c>
      <c r="G4007" s="14" t="str">
        <f>IF(ISBLANK(Raw_Data!G4007),AVERAGE(Raw_Data!G$2:G$5002),Raw_Data!G4007)</f>
        <v>21291.61</v>
      </c>
      <c r="H4007" s="15" t="str">
        <f t="shared" si="1"/>
        <v>160310.00</v>
      </c>
      <c r="I4007" s="14" t="str">
        <f t="shared" si="2"/>
        <v>139018.00</v>
      </c>
      <c r="J4007" s="16" t="str">
        <f>TEXT(Raw_Data!J4007,"MMM-YYY")</f>
        <v>Dec-2025</v>
      </c>
      <c r="K4007" s="13" t="str">
        <f>Raw_Data!K4007</f>
        <v>20</v>
      </c>
      <c r="L4007" s="17" t="str">
        <f>Raw_Data!L4007</f>
        <v>Chennai-South</v>
      </c>
      <c r="M4007" s="13" t="str">
        <f t="shared" si="3"/>
        <v>OK</v>
      </c>
      <c r="N4007" s="18" t="str">
        <f t="shared" si="4"/>
        <v>VALID</v>
      </c>
    </row>
    <row r="4008" ht="15.75" customHeight="1">
      <c r="A4008" s="13" t="str">
        <f>Raw_Data!A4008</f>
        <v>EMP4234</v>
      </c>
      <c r="B4008" s="13" t="str">
        <f>TRIM(CLEAN(Raw_Data!B4008))</f>
        <v>Finance</v>
      </c>
      <c r="C4008" s="18" t="s">
        <v>54</v>
      </c>
      <c r="D4008" s="14" t="str">
        <f>IF(ISBLANK(Raw_Data!D4008),AVERAGE(Raw_Data!D$2:D$5002),Raw_Data!D4008)</f>
        <v>94115.77</v>
      </c>
      <c r="E4008" s="15" t="str">
        <f>IF(ISBLANK(Raw_Data!E4008),AVERAGE(Raw_Data!E$2:E$5002),Raw_Data!E4008)</f>
        <v>33529.34</v>
      </c>
      <c r="F4008" s="15" t="str">
        <f>IF(ISBLANK(Raw_Data!F4008),AVERAGE(Raw_Data!F$2:F$5002),Raw_Data!F4008)</f>
        <v>32688.39</v>
      </c>
      <c r="G4008" s="14" t="str">
        <f>IF(ISBLANK(Raw_Data!G4008),AVERAGE(Raw_Data!G$2:G$5002),Raw_Data!G4008)</f>
        <v>21295.01</v>
      </c>
      <c r="H4008" s="15" t="str">
        <f t="shared" si="1"/>
        <v>160334.00</v>
      </c>
      <c r="I4008" s="14" t="str">
        <f t="shared" si="2"/>
        <v>139039.00</v>
      </c>
      <c r="J4008" s="16" t="str">
        <f>TEXT(Raw_Data!J4008,"MMM-YYY")</f>
        <v>Feb-2025</v>
      </c>
      <c r="K4008" s="13" t="str">
        <f>Raw_Data!K4008</f>
        <v>21</v>
      </c>
      <c r="L4008" s="17" t="str">
        <f>Raw_Data!L4008</f>
        <v>Kolkata-East</v>
      </c>
      <c r="M4008" s="13" t="str">
        <f t="shared" si="3"/>
        <v>OK</v>
      </c>
      <c r="N4008" s="18" t="str">
        <f t="shared" si="4"/>
        <v>VALID</v>
      </c>
    </row>
    <row r="4009" ht="15.75" customHeight="1">
      <c r="A4009" s="13" t="str">
        <f>Raw_Data!A4009</f>
        <v>EMP4235</v>
      </c>
      <c r="B4009" s="13" t="str">
        <f>TRIM(CLEAN(Raw_Data!B4009))</f>
        <v>Customer Support</v>
      </c>
      <c r="C4009" s="18" t="s">
        <v>37</v>
      </c>
      <c r="D4009" s="14" t="str">
        <f>IF(ISBLANK(Raw_Data!D4009),AVERAGE(Raw_Data!D$2:D$5002),Raw_Data!D4009)</f>
        <v>94126.66</v>
      </c>
      <c r="E4009" s="15" t="str">
        <f>IF(ISBLANK(Raw_Data!E4009),AVERAGE(Raw_Data!E$2:E$5002),Raw_Data!E4009)</f>
        <v>33533.96</v>
      </c>
      <c r="F4009" s="15" t="str">
        <f>IF(ISBLANK(Raw_Data!F4009),AVERAGE(Raw_Data!F$2:F$5002),Raw_Data!F4009)</f>
        <v>32696.07</v>
      </c>
      <c r="G4009" s="14" t="str">
        <f>IF(ISBLANK(Raw_Data!G4009),AVERAGE(Raw_Data!G$2:G$5002),Raw_Data!G4009)</f>
        <v>21298.41</v>
      </c>
      <c r="H4009" s="15" t="str">
        <f t="shared" si="1"/>
        <v>160357.00</v>
      </c>
      <c r="I4009" s="14" t="str">
        <f t="shared" si="2"/>
        <v>139059.00</v>
      </c>
      <c r="J4009" s="16" t="str">
        <f>TEXT(Raw_Data!J4009,"MMM-YYY")</f>
        <v>Jan-2025</v>
      </c>
      <c r="K4009" s="13" t="str">
        <f>Raw_Data!K4009</f>
        <v>6</v>
      </c>
      <c r="L4009" s="17" t="str">
        <f>Raw_Data!L4009</f>
        <v>Pune-West</v>
      </c>
      <c r="M4009" s="13" t="str">
        <f t="shared" si="3"/>
        <v>OK</v>
      </c>
      <c r="N4009" s="18" t="str">
        <f t="shared" si="4"/>
        <v>VALID</v>
      </c>
    </row>
    <row r="4010" ht="15.75" customHeight="1">
      <c r="A4010" s="13" t="str">
        <f>Raw_Data!A4010</f>
        <v>EMP4236</v>
      </c>
      <c r="B4010" s="13" t="str">
        <f>TRIM(CLEAN(Raw_Data!B4010))</f>
        <v>Finance</v>
      </c>
      <c r="C4010" s="18" t="s">
        <v>26</v>
      </c>
      <c r="D4010" s="14" t="str">
        <f>IF(ISBLANK(Raw_Data!D4010),AVERAGE(Raw_Data!D$2:D$5002),Raw_Data!D4010)</f>
        <v>94137.54</v>
      </c>
      <c r="E4010" s="15" t="str">
        <f>IF(ISBLANK(Raw_Data!E4010),AVERAGE(Raw_Data!E$2:E$5002),Raw_Data!E4010)</f>
        <v>33538.57</v>
      </c>
      <c r="F4010" s="15" t="str">
        <f>IF(ISBLANK(Raw_Data!F4010),AVERAGE(Raw_Data!F$2:F$5002),Raw_Data!F4010)</f>
        <v>32703.75</v>
      </c>
      <c r="G4010" s="14" t="str">
        <f>IF(ISBLANK(Raw_Data!G4010),AVERAGE(Raw_Data!G$2:G$5002),Raw_Data!G4010)</f>
        <v>21301.80</v>
      </c>
      <c r="H4010" s="15" t="str">
        <f t="shared" si="1"/>
        <v>160380.00</v>
      </c>
      <c r="I4010" s="14" t="str">
        <f t="shared" si="2"/>
        <v>139078.00</v>
      </c>
      <c r="J4010" s="16" t="str">
        <f>TEXT(Raw_Data!J4010,"MMM-YYY")</f>
        <v>Feb-2025</v>
      </c>
      <c r="K4010" s="13" t="str">
        <f>Raw_Data!K4010</f>
        <v>5</v>
      </c>
      <c r="L4010" s="17" t="str">
        <f>Raw_Data!L4010</f>
        <v>Hyderabad-South</v>
      </c>
      <c r="M4010" s="13" t="str">
        <f t="shared" si="3"/>
        <v>OK</v>
      </c>
      <c r="N4010" s="18" t="str">
        <f t="shared" si="4"/>
        <v>VALID</v>
      </c>
    </row>
    <row r="4011" ht="15.75" customHeight="1">
      <c r="A4011" s="13" t="str">
        <f>Raw_Data!A4011</f>
        <v>EMP4237</v>
      </c>
      <c r="B4011" s="13" t="str">
        <f>TRIM(CLEAN(Raw_Data!B4011))</f>
        <v>HR</v>
      </c>
      <c r="C4011" s="18" t="s">
        <v>37</v>
      </c>
      <c r="D4011" s="14" t="str">
        <f>IF(ISBLANK(Raw_Data!D4011),AVERAGE(Raw_Data!D$2:D$5002),Raw_Data!D4011)</f>
        <v>94148.42</v>
      </c>
      <c r="E4011" s="15" t="str">
        <f>IF(ISBLANK(Raw_Data!E4011),AVERAGE(Raw_Data!E$2:E$5002),Raw_Data!E4011)</f>
        <v>33543.19</v>
      </c>
      <c r="F4011" s="15" t="str">
        <f>IF(ISBLANK(Raw_Data!F4011),AVERAGE(Raw_Data!F$2:F$5002),Raw_Data!F4011)</f>
        <v>32711.43</v>
      </c>
      <c r="G4011" s="14" t="str">
        <f>IF(ISBLANK(Raw_Data!G4011),AVERAGE(Raw_Data!G$2:G$5002),Raw_Data!G4011)</f>
        <v>21305.20</v>
      </c>
      <c r="H4011" s="15" t="str">
        <f t="shared" si="1"/>
        <v>160403.00</v>
      </c>
      <c r="I4011" s="14" t="str">
        <f t="shared" si="2"/>
        <v>139098.00</v>
      </c>
      <c r="J4011" s="16" t="str">
        <f>TEXT(Raw_Data!J4011,"MMM-YYY")</f>
        <v>Mar-2025</v>
      </c>
      <c r="K4011" s="13" t="str">
        <f>Raw_Data!K4011</f>
        <v>7</v>
      </c>
      <c r="L4011" s="17" t="str">
        <f>Raw_Data!L4011</f>
        <v>Chandigarh-North</v>
      </c>
      <c r="M4011" s="13" t="str">
        <f t="shared" si="3"/>
        <v>OK</v>
      </c>
      <c r="N4011" s="18" t="str">
        <f t="shared" si="4"/>
        <v>VALID</v>
      </c>
    </row>
    <row r="4012" ht="15.75" customHeight="1">
      <c r="A4012" s="13" t="str">
        <f>Raw_Data!A4012</f>
        <v>EMP4238</v>
      </c>
      <c r="B4012" s="13" t="str">
        <f>TRIM(CLEAN(Raw_Data!B4012))</f>
        <v>Customer Support</v>
      </c>
      <c r="C4012" s="18" t="s">
        <v>37</v>
      </c>
      <c r="D4012" s="14" t="str">
        <f>IF(ISBLANK(Raw_Data!D4012),AVERAGE(Raw_Data!D$2:D$5002),Raw_Data!D4012)</f>
        <v>94159.31</v>
      </c>
      <c r="E4012" s="15" t="str">
        <f>IF(ISBLANK(Raw_Data!E4012),AVERAGE(Raw_Data!E$2:E$5002),Raw_Data!E4012)</f>
        <v>33547.80</v>
      </c>
      <c r="F4012" s="15" t="str">
        <f>IF(ISBLANK(Raw_Data!F4012),AVERAGE(Raw_Data!F$2:F$5002),Raw_Data!F4012)</f>
        <v>32719.11</v>
      </c>
      <c r="G4012" s="14" t="str">
        <f>IF(ISBLANK(Raw_Data!G4012),AVERAGE(Raw_Data!G$2:G$5002),Raw_Data!G4012)</f>
        <v>21308.60</v>
      </c>
      <c r="H4012" s="15" t="str">
        <f t="shared" si="1"/>
        <v>160426.00</v>
      </c>
      <c r="I4012" s="14" t="str">
        <f t="shared" si="2"/>
        <v>139117.00</v>
      </c>
      <c r="J4012" s="16" t="str">
        <f>TEXT(Raw_Data!J4012,"MMM-YYY")</f>
        <v>Aug-2025</v>
      </c>
      <c r="K4012" s="13" t="str">
        <f>Raw_Data!K4012</f>
        <v>5</v>
      </c>
      <c r="L4012" s="17" t="str">
        <f>Raw_Data!L4012</f>
        <v>Ahmedabad-West</v>
      </c>
      <c r="M4012" s="13" t="str">
        <f t="shared" si="3"/>
        <v>OK</v>
      </c>
      <c r="N4012" s="18" t="str">
        <f t="shared" si="4"/>
        <v>VALID</v>
      </c>
    </row>
    <row r="4013" ht="15.75" customHeight="1">
      <c r="A4013" s="13" t="str">
        <f>Raw_Data!A4013</f>
        <v>EMP4239</v>
      </c>
      <c r="B4013" s="13" t="str">
        <f>TRIM(CLEAN(Raw_Data!B4013))</f>
        <v>IT</v>
      </c>
      <c r="C4013" s="18" t="s">
        <v>37</v>
      </c>
      <c r="D4013" s="14" t="str">
        <f>IF(ISBLANK(Raw_Data!D4013),AVERAGE(Raw_Data!D$2:D$5002),Raw_Data!D4013)</f>
        <v>94170.19</v>
      </c>
      <c r="E4013" s="15" t="str">
        <f>IF(ISBLANK(Raw_Data!E4013),AVERAGE(Raw_Data!E$2:E$5002),Raw_Data!E4013)</f>
        <v>33552.42</v>
      </c>
      <c r="F4013" s="15" t="str">
        <f>IF(ISBLANK(Raw_Data!F4013),AVERAGE(Raw_Data!F$2:F$5002),Raw_Data!F4013)</f>
        <v>32726.79</v>
      </c>
      <c r="G4013" s="14" t="str">
        <f>IF(ISBLANK(Raw_Data!G4013),AVERAGE(Raw_Data!G$2:G$5002),Raw_Data!G4013)</f>
        <v>21312.00</v>
      </c>
      <c r="H4013" s="15" t="str">
        <f t="shared" si="1"/>
        <v>160449.00</v>
      </c>
      <c r="I4013" s="14" t="str">
        <f t="shared" si="2"/>
        <v>139137.00</v>
      </c>
      <c r="J4013" s="16" t="str">
        <f>TEXT(Raw_Data!J4013,"MMM-YYY")</f>
        <v>Aug-2025</v>
      </c>
      <c r="K4013" s="13" t="str">
        <f>Raw_Data!K4013</f>
        <v>9</v>
      </c>
      <c r="L4013" s="17" t="str">
        <f>Raw_Data!L4013</f>
        <v>Jaipur-North</v>
      </c>
      <c r="M4013" s="13" t="str">
        <f t="shared" si="3"/>
        <v>OK</v>
      </c>
      <c r="N4013" s="18" t="str">
        <f t="shared" si="4"/>
        <v>VALID</v>
      </c>
    </row>
    <row r="4014" ht="15.75" customHeight="1">
      <c r="A4014" s="13" t="str">
        <f>Raw_Data!A4014</f>
        <v>EMP4240</v>
      </c>
      <c r="B4014" s="13" t="str">
        <f>TRIM(CLEAN(Raw_Data!B4014))</f>
        <v>Sales</v>
      </c>
      <c r="C4014" s="18" t="s">
        <v>33</v>
      </c>
      <c r="D4014" s="14" t="str">
        <f>IF(ISBLANK(Raw_Data!D4014),AVERAGE(Raw_Data!D$2:D$5002),Raw_Data!D4014)</f>
        <v>94181.07</v>
      </c>
      <c r="E4014" s="15" t="str">
        <f>IF(ISBLANK(Raw_Data!E4014),AVERAGE(Raw_Data!E$2:E$5002),Raw_Data!E4014)</f>
        <v>33557.03</v>
      </c>
      <c r="F4014" s="15" t="str">
        <f>IF(ISBLANK(Raw_Data!F4014),AVERAGE(Raw_Data!F$2:F$5002),Raw_Data!F4014)</f>
        <v>32734.47</v>
      </c>
      <c r="G4014" s="14" t="str">
        <f>IF(ISBLANK(Raw_Data!G4014),AVERAGE(Raw_Data!G$2:G$5002),Raw_Data!G4014)</f>
        <v>21315.39</v>
      </c>
      <c r="H4014" s="15" t="str">
        <f t="shared" si="1"/>
        <v>160473.00</v>
      </c>
      <c r="I4014" s="14" t="str">
        <f t="shared" si="2"/>
        <v>139158.00</v>
      </c>
      <c r="J4014" s="16" t="str">
        <f>TEXT(Raw_Data!J4014,"MMM-YYY")</f>
        <v>Feb-2025</v>
      </c>
      <c r="K4014" s="13" t="str">
        <f>Raw_Data!K4014</f>
        <v>10</v>
      </c>
      <c r="L4014" s="17" t="str">
        <f>Raw_Data!L4014</f>
        <v>Mumbai-HO</v>
      </c>
      <c r="M4014" s="13" t="str">
        <f t="shared" si="3"/>
        <v>OK</v>
      </c>
      <c r="N4014" s="18" t="str">
        <f t="shared" si="4"/>
        <v>VALID</v>
      </c>
    </row>
    <row r="4015" ht="15.75" customHeight="1">
      <c r="A4015" s="13" t="str">
        <f>Raw_Data!A4015</f>
        <v>EMP4241</v>
      </c>
      <c r="B4015" s="13" t="str">
        <f>TRIM(CLEAN(Raw_Data!B4015))</f>
        <v>Marketing</v>
      </c>
      <c r="C4015" s="18" t="s">
        <v>14</v>
      </c>
      <c r="D4015" s="14" t="str">
        <f>IF(ISBLANK(Raw_Data!D4015),AVERAGE(Raw_Data!D$2:D$5002),Raw_Data!D4015)</f>
        <v>94191.95</v>
      </c>
      <c r="E4015" s="15" t="str">
        <f>IF(ISBLANK(Raw_Data!E4015),AVERAGE(Raw_Data!E$2:E$5002),Raw_Data!E4015)</f>
        <v>33561.64</v>
      </c>
      <c r="F4015" s="15" t="str">
        <f>IF(ISBLANK(Raw_Data!F4015),AVERAGE(Raw_Data!F$2:F$5002),Raw_Data!F4015)</f>
        <v>32742.15</v>
      </c>
      <c r="G4015" s="14" t="str">
        <f>IF(ISBLANK(Raw_Data!G4015),AVERAGE(Raw_Data!G$2:G$5002),Raw_Data!G4015)</f>
        <v>21318.79</v>
      </c>
      <c r="H4015" s="15" t="str">
        <f t="shared" si="1"/>
        <v>160496.00</v>
      </c>
      <c r="I4015" s="14" t="str">
        <f t="shared" si="2"/>
        <v>139177.00</v>
      </c>
      <c r="J4015" s="16" t="str">
        <f>TEXT(Raw_Data!J4015,"MMM-YYY")</f>
        <v>Sep-2025</v>
      </c>
      <c r="K4015" s="13" t="str">
        <f>Raw_Data!K4015</f>
        <v>8</v>
      </c>
      <c r="L4015" s="17" t="str">
        <f>Raw_Data!L4015</f>
        <v>Delhi-North</v>
      </c>
      <c r="M4015" s="13" t="str">
        <f t="shared" si="3"/>
        <v>OK</v>
      </c>
      <c r="N4015" s="18" t="str">
        <f t="shared" si="4"/>
        <v>VALID</v>
      </c>
    </row>
    <row r="4016" ht="15.75" customHeight="1">
      <c r="A4016" s="13" t="str">
        <f>Raw_Data!A4016</f>
        <v>EMP4242</v>
      </c>
      <c r="B4016" s="13" t="str">
        <f>TRIM(CLEAN(Raw_Data!B4016))</f>
        <v>Customer Support</v>
      </c>
      <c r="C4016" s="18" t="s">
        <v>37</v>
      </c>
      <c r="D4016" s="14" t="str">
        <f>IF(ISBLANK(Raw_Data!D4016),AVERAGE(Raw_Data!D$2:D$5002),Raw_Data!D4016)</f>
        <v>94202.84</v>
      </c>
      <c r="E4016" s="15" t="str">
        <f>IF(ISBLANK(Raw_Data!E4016),AVERAGE(Raw_Data!E$2:E$5002),Raw_Data!E4016)</f>
        <v>33566.26</v>
      </c>
      <c r="F4016" s="15" t="str">
        <f>IF(ISBLANK(Raw_Data!F4016),AVERAGE(Raw_Data!F$2:F$5002),Raw_Data!F4016)</f>
        <v>32749.83</v>
      </c>
      <c r="G4016" s="14" t="str">
        <f>IF(ISBLANK(Raw_Data!G4016),AVERAGE(Raw_Data!G$2:G$5002),Raw_Data!G4016)</f>
        <v>21322.19</v>
      </c>
      <c r="H4016" s="15" t="str">
        <f t="shared" si="1"/>
        <v>160519.00</v>
      </c>
      <c r="I4016" s="14" t="str">
        <f t="shared" si="2"/>
        <v>139197.00</v>
      </c>
      <c r="J4016" s="16" t="str">
        <f>TEXT(Raw_Data!J4016,"MMM-YYY")</f>
        <v>Jan-2025</v>
      </c>
      <c r="K4016" s="13" t="str">
        <f>Raw_Data!K4016</f>
        <v>25</v>
      </c>
      <c r="L4016" s="17" t="str">
        <f>Raw_Data!L4016</f>
        <v>Bangalore-South</v>
      </c>
      <c r="M4016" s="13" t="str">
        <f t="shared" si="3"/>
        <v>OK</v>
      </c>
      <c r="N4016" s="18" t="str">
        <f t="shared" si="4"/>
        <v>VALID</v>
      </c>
    </row>
    <row r="4017" ht="15.75" customHeight="1">
      <c r="A4017" s="13" t="str">
        <f>Raw_Data!A4017</f>
        <v>EMP4243</v>
      </c>
      <c r="B4017" s="13" t="str">
        <f>TRIM(CLEAN(Raw_Data!B4017))</f>
        <v>HR</v>
      </c>
      <c r="C4017" s="18" t="s">
        <v>33</v>
      </c>
      <c r="D4017" s="14" t="str">
        <f>IF(ISBLANK(Raw_Data!D4017),AVERAGE(Raw_Data!D$2:D$5002),Raw_Data!D4017)</f>
        <v>94213.72</v>
      </c>
      <c r="E4017" s="15" t="str">
        <f>IF(ISBLANK(Raw_Data!E4017),AVERAGE(Raw_Data!E$2:E$5002),Raw_Data!E4017)</f>
        <v>33570.87</v>
      </c>
      <c r="F4017" s="15" t="str">
        <f>IF(ISBLANK(Raw_Data!F4017),AVERAGE(Raw_Data!F$2:F$5002),Raw_Data!F4017)</f>
        <v>32757.51</v>
      </c>
      <c r="G4017" s="14" t="str">
        <f>IF(ISBLANK(Raw_Data!G4017),AVERAGE(Raw_Data!G$2:G$5002),Raw_Data!G4017)</f>
        <v>21325.59</v>
      </c>
      <c r="H4017" s="15" t="str">
        <f t="shared" si="1"/>
        <v>160542.00</v>
      </c>
      <c r="I4017" s="14" t="str">
        <f t="shared" si="2"/>
        <v>139216.00</v>
      </c>
      <c r="J4017" s="16" t="str">
        <f>TEXT(Raw_Data!J4017,"MMM-YYY")</f>
        <v>Feb-2025</v>
      </c>
      <c r="K4017" s="13" t="str">
        <f>Raw_Data!K4017</f>
        <v>5</v>
      </c>
      <c r="L4017" s="17" t="str">
        <f>Raw_Data!L4017</f>
        <v>Chennai-South</v>
      </c>
      <c r="M4017" s="13" t="str">
        <f t="shared" si="3"/>
        <v>OK</v>
      </c>
      <c r="N4017" s="18" t="str">
        <f t="shared" si="4"/>
        <v>VALID</v>
      </c>
    </row>
    <row r="4018" ht="15.75" customHeight="1">
      <c r="A4018" s="13" t="str">
        <f>Raw_Data!A4018</f>
        <v>EMP4245</v>
      </c>
      <c r="B4018" s="13" t="str">
        <f>TRIM(CLEAN(Raw_Data!B4018))</f>
        <v>HR</v>
      </c>
      <c r="C4018" s="18" t="s">
        <v>14</v>
      </c>
      <c r="D4018" s="14" t="str">
        <f>IF(ISBLANK(Raw_Data!D4018),AVERAGE(Raw_Data!D$2:D$5002),Raw_Data!D4018)</f>
        <v>94235.49</v>
      </c>
      <c r="E4018" s="15" t="str">
        <f>IF(ISBLANK(Raw_Data!E4018),AVERAGE(Raw_Data!E$2:E$5002),Raw_Data!E4018)</f>
        <v>33580.10</v>
      </c>
      <c r="F4018" s="15" t="str">
        <f>IF(ISBLANK(Raw_Data!F4018),AVERAGE(Raw_Data!F$2:F$5002),Raw_Data!F4018)</f>
        <v>32772.87</v>
      </c>
      <c r="G4018" s="14" t="str">
        <f>IF(ISBLANK(Raw_Data!G4018),AVERAGE(Raw_Data!G$2:G$5002),Raw_Data!G4018)</f>
        <v>21332.38</v>
      </c>
      <c r="H4018" s="15" t="str">
        <f t="shared" si="1"/>
        <v>160588.00</v>
      </c>
      <c r="I4018" s="14" t="str">
        <f t="shared" si="2"/>
        <v>139256.00</v>
      </c>
      <c r="J4018" s="16" t="str">
        <f>TEXT(Raw_Data!J4018,"MMM-YYY")</f>
        <v>Jul-2025</v>
      </c>
      <c r="K4018" s="13" t="str">
        <f>Raw_Data!K4018</f>
        <v>17</v>
      </c>
      <c r="L4018" s="17" t="str">
        <f>Raw_Data!L4018</f>
        <v>Pune-West</v>
      </c>
      <c r="M4018" s="13" t="str">
        <f t="shared" si="3"/>
        <v>OK</v>
      </c>
      <c r="N4018" s="18" t="str">
        <f t="shared" si="4"/>
        <v>VALID</v>
      </c>
    </row>
    <row r="4019" ht="15.75" customHeight="1">
      <c r="A4019" s="13" t="str">
        <f>Raw_Data!A4019</f>
        <v>EMP4246</v>
      </c>
      <c r="B4019" s="13" t="str">
        <f>TRIM(CLEAN(Raw_Data!B4019))</f>
        <v>Marketing</v>
      </c>
      <c r="C4019" s="18" t="s">
        <v>37</v>
      </c>
      <c r="D4019" s="14" t="str">
        <f>IF(ISBLANK(Raw_Data!D4019),AVERAGE(Raw_Data!D$2:D$5002),Raw_Data!D4019)</f>
        <v>94246.37</v>
      </c>
      <c r="E4019" s="15" t="str">
        <f>IF(ISBLANK(Raw_Data!E4019),AVERAGE(Raw_Data!E$2:E$5002),Raw_Data!E4019)</f>
        <v>33584.72</v>
      </c>
      <c r="F4019" s="15" t="str">
        <f>IF(ISBLANK(Raw_Data!F4019),AVERAGE(Raw_Data!F$2:F$5002),Raw_Data!F4019)</f>
        <v>32780.55</v>
      </c>
      <c r="G4019" s="14" t="str">
        <f>IF(ISBLANK(Raw_Data!G4019),AVERAGE(Raw_Data!G$2:G$5002),Raw_Data!G4019)</f>
        <v>21335.78</v>
      </c>
      <c r="H4019" s="15" t="str">
        <f t="shared" si="1"/>
        <v>160612.00</v>
      </c>
      <c r="I4019" s="14" t="str">
        <f t="shared" si="2"/>
        <v>139276.00</v>
      </c>
      <c r="J4019" s="16" t="str">
        <f>TEXT(Raw_Data!J4019,"MMM-YYY")</f>
        <v>Jul-2025</v>
      </c>
      <c r="K4019" s="13" t="str">
        <f>Raw_Data!K4019</f>
        <v>13</v>
      </c>
      <c r="L4019" s="17" t="str">
        <f>Raw_Data!L4019</f>
        <v>Hyderabad-South</v>
      </c>
      <c r="M4019" s="13" t="str">
        <f t="shared" si="3"/>
        <v>OK</v>
      </c>
      <c r="N4019" s="18" t="str">
        <f t="shared" si="4"/>
        <v>VALID</v>
      </c>
    </row>
    <row r="4020" ht="15.75" customHeight="1">
      <c r="A4020" s="13" t="str">
        <f>Raw_Data!A4020</f>
        <v>EMP4247</v>
      </c>
      <c r="B4020" s="13" t="str">
        <f>TRIM(CLEAN(Raw_Data!B4020))</f>
        <v>IT</v>
      </c>
      <c r="C4020" s="18" t="s">
        <v>18</v>
      </c>
      <c r="D4020" s="14" t="str">
        <f>IF(ISBLANK(Raw_Data!D4020),AVERAGE(Raw_Data!D$2:D$5002),Raw_Data!D4020)</f>
        <v>94257.25</v>
      </c>
      <c r="E4020" s="15" t="str">
        <f>IF(ISBLANK(Raw_Data!E4020),AVERAGE(Raw_Data!E$2:E$5002),Raw_Data!E4020)</f>
        <v>33589.33</v>
      </c>
      <c r="F4020" s="15" t="str">
        <f>IF(ISBLANK(Raw_Data!F4020),AVERAGE(Raw_Data!F$2:F$5002),Raw_Data!F4020)</f>
        <v>32788.23</v>
      </c>
      <c r="G4020" s="14" t="str">
        <f>IF(ISBLANK(Raw_Data!G4020),AVERAGE(Raw_Data!G$2:G$5002),Raw_Data!G4020)</f>
        <v>21339.18</v>
      </c>
      <c r="H4020" s="15" t="str">
        <f t="shared" si="1"/>
        <v>160635.00</v>
      </c>
      <c r="I4020" s="14" t="str">
        <f t="shared" si="2"/>
        <v>139296.00</v>
      </c>
      <c r="J4020" s="16" t="str">
        <f>TEXT(Raw_Data!J4020,"MMM-YYY")</f>
        <v>Feb-2025</v>
      </c>
      <c r="K4020" s="13" t="str">
        <f>Raw_Data!K4020</f>
        <v>22</v>
      </c>
      <c r="L4020" s="17" t="str">
        <f>Raw_Data!L4020</f>
        <v>Chandigarh-North</v>
      </c>
      <c r="M4020" s="13" t="str">
        <f t="shared" si="3"/>
        <v>OK</v>
      </c>
      <c r="N4020" s="18" t="str">
        <f t="shared" si="4"/>
        <v>VALID</v>
      </c>
    </row>
    <row r="4021" ht="15.75" customHeight="1">
      <c r="A4021" s="13" t="str">
        <f>Raw_Data!A4021</f>
        <v>EMP4248</v>
      </c>
      <c r="B4021" s="13" t="str">
        <f>TRIM(CLEAN(Raw_Data!B4021))</f>
        <v>Operations</v>
      </c>
      <c r="C4021" s="18" t="s">
        <v>18</v>
      </c>
      <c r="D4021" s="14" t="str">
        <f>IF(ISBLANK(Raw_Data!D4021),AVERAGE(Raw_Data!D$2:D$5002),Raw_Data!D4021)</f>
        <v>94268.14</v>
      </c>
      <c r="E4021" s="15" t="str">
        <f>IF(ISBLANK(Raw_Data!E4021),AVERAGE(Raw_Data!E$2:E$5002),Raw_Data!E4021)</f>
        <v>33593.95</v>
      </c>
      <c r="F4021" s="15" t="str">
        <f>IF(ISBLANK(Raw_Data!F4021),AVERAGE(Raw_Data!F$2:F$5002),Raw_Data!F4021)</f>
        <v>32795.91</v>
      </c>
      <c r="G4021" s="14" t="str">
        <f>IF(ISBLANK(Raw_Data!G4021),AVERAGE(Raw_Data!G$2:G$5002),Raw_Data!G4021)</f>
        <v>21342.57</v>
      </c>
      <c r="H4021" s="15" t="str">
        <f t="shared" si="1"/>
        <v>160658.00</v>
      </c>
      <c r="I4021" s="14" t="str">
        <f t="shared" si="2"/>
        <v>139315.00</v>
      </c>
      <c r="J4021" s="16" t="str">
        <f>TEXT(Raw_Data!J4021,"MMM-YYY")</f>
        <v>Feb-2025</v>
      </c>
      <c r="K4021" s="13" t="str">
        <f>Raw_Data!K4021</f>
        <v>16</v>
      </c>
      <c r="L4021" s="17" t="str">
        <f>Raw_Data!L4021</f>
        <v>Ahmedabad-West</v>
      </c>
      <c r="M4021" s="13" t="str">
        <f t="shared" si="3"/>
        <v>OK</v>
      </c>
      <c r="N4021" s="18" t="str">
        <f t="shared" si="4"/>
        <v>VALID</v>
      </c>
    </row>
    <row r="4022" ht="15.75" customHeight="1">
      <c r="A4022" s="13" t="str">
        <f>Raw_Data!A4022</f>
        <v>EMP4249</v>
      </c>
      <c r="B4022" s="13" t="str">
        <f>TRIM(CLEAN(Raw_Data!B4022))</f>
        <v>Operations</v>
      </c>
      <c r="C4022" s="18" t="s">
        <v>33</v>
      </c>
      <c r="D4022" s="14" t="str">
        <f>IF(ISBLANK(Raw_Data!D4022),AVERAGE(Raw_Data!D$2:D$5002),Raw_Data!D4022)</f>
        <v>94279.02</v>
      </c>
      <c r="E4022" s="15" t="str">
        <f>IF(ISBLANK(Raw_Data!E4022),AVERAGE(Raw_Data!E$2:E$5002),Raw_Data!E4022)</f>
        <v>33598.56</v>
      </c>
      <c r="F4022" s="15" t="str">
        <f>IF(ISBLANK(Raw_Data!F4022),AVERAGE(Raw_Data!F$2:F$5002),Raw_Data!F4022)</f>
        <v>32803.59</v>
      </c>
      <c r="G4022" s="14" t="str">
        <f>IF(ISBLANK(Raw_Data!G4022),AVERAGE(Raw_Data!G$2:G$5002),Raw_Data!G4022)</f>
        <v>21345.97</v>
      </c>
      <c r="H4022" s="15" t="str">
        <f t="shared" si="1"/>
        <v>160681.00</v>
      </c>
      <c r="I4022" s="14" t="str">
        <f t="shared" si="2"/>
        <v>139335.00</v>
      </c>
      <c r="J4022" s="16" t="str">
        <f>TEXT(Raw_Data!J4022,"MMM-YYY")</f>
        <v>Feb-2025</v>
      </c>
      <c r="K4022" s="13" t="str">
        <f>Raw_Data!K4022</f>
        <v>10</v>
      </c>
      <c r="L4022" s="17" t="str">
        <f>Raw_Data!L4022</f>
        <v>Jaipur-North</v>
      </c>
      <c r="M4022" s="13" t="str">
        <f t="shared" si="3"/>
        <v>OK</v>
      </c>
      <c r="N4022" s="18" t="str">
        <f t="shared" si="4"/>
        <v>VALID</v>
      </c>
    </row>
    <row r="4023" ht="15.75" customHeight="1">
      <c r="A4023" s="13" t="str">
        <f>Raw_Data!A4023</f>
        <v>EMP4250</v>
      </c>
      <c r="B4023" s="13" t="str">
        <f>TRIM(CLEAN(Raw_Data!B4023))</f>
        <v>HR</v>
      </c>
      <c r="C4023" s="18" t="s">
        <v>14</v>
      </c>
      <c r="D4023" s="14" t="str">
        <f>IF(ISBLANK(Raw_Data!D4023),AVERAGE(Raw_Data!D$2:D$5002),Raw_Data!D4023)</f>
        <v>94289.90</v>
      </c>
      <c r="E4023" s="15" t="str">
        <f>IF(ISBLANK(Raw_Data!E4023),AVERAGE(Raw_Data!E$2:E$5002),Raw_Data!E4023)</f>
        <v>33603.18</v>
      </c>
      <c r="F4023" s="15" t="str">
        <f>IF(ISBLANK(Raw_Data!F4023),AVERAGE(Raw_Data!F$2:F$5002),Raw_Data!F4023)</f>
        <v>32811.27</v>
      </c>
      <c r="G4023" s="14" t="str">
        <f>IF(ISBLANK(Raw_Data!G4023),AVERAGE(Raw_Data!G$2:G$5002),Raw_Data!G4023)</f>
        <v>21349.37</v>
      </c>
      <c r="H4023" s="15" t="str">
        <f t="shared" si="1"/>
        <v>160704.00</v>
      </c>
      <c r="I4023" s="14" t="str">
        <f t="shared" si="2"/>
        <v>139355.00</v>
      </c>
      <c r="J4023" s="16" t="str">
        <f>TEXT(Raw_Data!J4023,"MMM-YYY")</f>
        <v>Mar-2025</v>
      </c>
      <c r="K4023" s="13" t="str">
        <f>Raw_Data!K4023</f>
        <v>12</v>
      </c>
      <c r="L4023" s="17" t="str">
        <f>Raw_Data!L4023</f>
        <v>Mumbai-HO</v>
      </c>
      <c r="M4023" s="13" t="str">
        <f t="shared" si="3"/>
        <v>OK</v>
      </c>
      <c r="N4023" s="18" t="str">
        <f t="shared" si="4"/>
        <v>VALID</v>
      </c>
    </row>
    <row r="4024" ht="15.75" customHeight="1">
      <c r="A4024" s="13" t="str">
        <f>Raw_Data!A4024</f>
        <v>EMP4251</v>
      </c>
      <c r="B4024" s="13" t="str">
        <f>TRIM(CLEAN(Raw_Data!B4024))</f>
        <v>HR</v>
      </c>
      <c r="C4024" s="18" t="s">
        <v>26</v>
      </c>
      <c r="D4024" s="14" t="str">
        <f>IF(ISBLANK(Raw_Data!D4024),AVERAGE(Raw_Data!D$2:D$5002),Raw_Data!D4024)</f>
        <v>94300.78</v>
      </c>
      <c r="E4024" s="15" t="str">
        <f>IF(ISBLANK(Raw_Data!E4024),AVERAGE(Raw_Data!E$2:E$5002),Raw_Data!E4024)</f>
        <v>33607.79</v>
      </c>
      <c r="F4024" s="15" t="str">
        <f>IF(ISBLANK(Raw_Data!F4024),AVERAGE(Raw_Data!F$2:F$5002),Raw_Data!F4024)</f>
        <v>32818.95</v>
      </c>
      <c r="G4024" s="14" t="str">
        <f>IF(ISBLANK(Raw_Data!G4024),AVERAGE(Raw_Data!G$2:G$5002),Raw_Data!G4024)</f>
        <v>21352.77</v>
      </c>
      <c r="H4024" s="15" t="str">
        <f t="shared" si="1"/>
        <v>160728.00</v>
      </c>
      <c r="I4024" s="14" t="str">
        <f t="shared" si="2"/>
        <v>139375.00</v>
      </c>
      <c r="J4024" s="16" t="str">
        <f>TEXT(Raw_Data!J4024,"MMM-YYY")</f>
        <v>May-2025</v>
      </c>
      <c r="K4024" s="13" t="str">
        <f>Raw_Data!K4024</f>
        <v>22</v>
      </c>
      <c r="L4024" s="17" t="str">
        <f>Raw_Data!L4024</f>
        <v>Delhi-North</v>
      </c>
      <c r="M4024" s="13" t="str">
        <f t="shared" si="3"/>
        <v>OK</v>
      </c>
      <c r="N4024" s="18" t="str">
        <f t="shared" si="4"/>
        <v>VALID</v>
      </c>
    </row>
    <row r="4025" ht="15.75" customHeight="1">
      <c r="A4025" s="13" t="str">
        <f>Raw_Data!A4025</f>
        <v>EMP4252</v>
      </c>
      <c r="B4025" s="13" t="str">
        <f>TRIM(CLEAN(Raw_Data!B4025))</f>
        <v>IT</v>
      </c>
      <c r="C4025" s="18" t="s">
        <v>33</v>
      </c>
      <c r="D4025" s="14" t="str">
        <f>IF(ISBLANK(Raw_Data!D4025),AVERAGE(Raw_Data!D$2:D$5002),Raw_Data!D4025)</f>
        <v>94311.67</v>
      </c>
      <c r="E4025" s="15" t="str">
        <f>IF(ISBLANK(Raw_Data!E4025),AVERAGE(Raw_Data!E$2:E$5002),Raw_Data!E4025)</f>
        <v>33612.41</v>
      </c>
      <c r="F4025" s="15" t="str">
        <f>IF(ISBLANK(Raw_Data!F4025),AVERAGE(Raw_Data!F$2:F$5002),Raw_Data!F4025)</f>
        <v>32826.63</v>
      </c>
      <c r="G4025" s="14" t="str">
        <f>IF(ISBLANK(Raw_Data!G4025),AVERAGE(Raw_Data!G$2:G$5002),Raw_Data!G4025)</f>
        <v>21356.16</v>
      </c>
      <c r="H4025" s="15" t="str">
        <f t="shared" si="1"/>
        <v>160751.00</v>
      </c>
      <c r="I4025" s="14" t="str">
        <f t="shared" si="2"/>
        <v>139395.00</v>
      </c>
      <c r="J4025" s="16" t="str">
        <f>TEXT(Raw_Data!J4025,"MMM-YYY")</f>
        <v>Nov-2025</v>
      </c>
      <c r="K4025" s="13" t="str">
        <f>Raw_Data!K4025</f>
        <v>24</v>
      </c>
      <c r="L4025" s="17" t="str">
        <f>Raw_Data!L4025</f>
        <v>Bangalore-South</v>
      </c>
      <c r="M4025" s="13" t="str">
        <f t="shared" si="3"/>
        <v>OK</v>
      </c>
      <c r="N4025" s="18" t="str">
        <f t="shared" si="4"/>
        <v>VALID</v>
      </c>
    </row>
    <row r="4026" ht="15.75" customHeight="1">
      <c r="A4026" s="13" t="str">
        <f>Raw_Data!A4026</f>
        <v>EMP4253</v>
      </c>
      <c r="B4026" s="13" t="str">
        <f>TRIM(CLEAN(Raw_Data!B4026))</f>
        <v>Sales</v>
      </c>
      <c r="C4026" s="18" t="s">
        <v>18</v>
      </c>
      <c r="D4026" s="14" t="str">
        <f>IF(ISBLANK(Raw_Data!D4026),AVERAGE(Raw_Data!D$2:D$5002),Raw_Data!D4026)</f>
        <v>94322.55</v>
      </c>
      <c r="E4026" s="15" t="str">
        <f>IF(ISBLANK(Raw_Data!E4026),AVERAGE(Raw_Data!E$2:E$5002),Raw_Data!E4026)</f>
        <v>33617.02</v>
      </c>
      <c r="F4026" s="15" t="str">
        <f>IF(ISBLANK(Raw_Data!F4026),AVERAGE(Raw_Data!F$2:F$5002),Raw_Data!F4026)</f>
        <v>32834.31</v>
      </c>
      <c r="G4026" s="14" t="str">
        <f>IF(ISBLANK(Raw_Data!G4026),AVERAGE(Raw_Data!G$2:G$5002),Raw_Data!G4026)</f>
        <v>21359.56</v>
      </c>
      <c r="H4026" s="15" t="str">
        <f t="shared" si="1"/>
        <v>160774.00</v>
      </c>
      <c r="I4026" s="14" t="str">
        <f t="shared" si="2"/>
        <v>139414.00</v>
      </c>
      <c r="J4026" s="16" t="str">
        <f>TEXT(Raw_Data!J4026,"MMM-YYY")</f>
        <v>Sep-2025</v>
      </c>
      <c r="K4026" s="13" t="str">
        <f>Raw_Data!K4026</f>
        <v>7</v>
      </c>
      <c r="L4026" s="17" t="str">
        <f>Raw_Data!L4026</f>
        <v>Chennai-South</v>
      </c>
      <c r="M4026" s="13" t="str">
        <f t="shared" si="3"/>
        <v>OK</v>
      </c>
      <c r="N4026" s="18" t="str">
        <f t="shared" si="4"/>
        <v>VALID</v>
      </c>
    </row>
    <row r="4027" ht="15.75" customHeight="1">
      <c r="A4027" s="13" t="str">
        <f>Raw_Data!A4027</f>
        <v>EMP4254</v>
      </c>
      <c r="B4027" s="13" t="str">
        <f>TRIM(CLEAN(Raw_Data!B4027))</f>
        <v>Marketing</v>
      </c>
      <c r="C4027" s="18" t="s">
        <v>18</v>
      </c>
      <c r="D4027" s="14" t="str">
        <f>IF(ISBLANK(Raw_Data!D4027),AVERAGE(Raw_Data!D$2:D$5002),Raw_Data!D4027)</f>
        <v>94333.43</v>
      </c>
      <c r="E4027" s="15" t="str">
        <f>IF(ISBLANK(Raw_Data!E4027),AVERAGE(Raw_Data!E$2:E$5002),Raw_Data!E4027)</f>
        <v>33621.64</v>
      </c>
      <c r="F4027" s="15" t="str">
        <f>IF(ISBLANK(Raw_Data!F4027),AVERAGE(Raw_Data!F$2:F$5002),Raw_Data!F4027)</f>
        <v>32841.99</v>
      </c>
      <c r="G4027" s="14" t="str">
        <f>IF(ISBLANK(Raw_Data!G4027),AVERAGE(Raw_Data!G$2:G$5002),Raw_Data!G4027)</f>
        <v>21362.96</v>
      </c>
      <c r="H4027" s="15" t="str">
        <f t="shared" si="1"/>
        <v>160797.00</v>
      </c>
      <c r="I4027" s="14" t="str">
        <f t="shared" si="2"/>
        <v>139434.00</v>
      </c>
      <c r="J4027" s="16" t="str">
        <f>TEXT(Raw_Data!J4027,"MMM-YYY")</f>
        <v>Nov-2025</v>
      </c>
      <c r="K4027" s="13" t="str">
        <f>Raw_Data!K4027</f>
        <v>19</v>
      </c>
      <c r="L4027" s="17" t="str">
        <f>Raw_Data!L4027</f>
        <v>Kolkata-East</v>
      </c>
      <c r="M4027" s="13" t="str">
        <f t="shared" si="3"/>
        <v>OK</v>
      </c>
      <c r="N4027" s="18" t="str">
        <f t="shared" si="4"/>
        <v>VALID</v>
      </c>
    </row>
    <row r="4028" ht="15.75" customHeight="1">
      <c r="A4028" s="13" t="str">
        <f>Raw_Data!A4028</f>
        <v>EMP4255</v>
      </c>
      <c r="B4028" s="13" t="str">
        <f>TRIM(CLEAN(Raw_Data!B4028))</f>
        <v>Operations</v>
      </c>
      <c r="C4028" s="18" t="s">
        <v>14</v>
      </c>
      <c r="D4028" s="14" t="str">
        <f>IF(ISBLANK(Raw_Data!D4028),AVERAGE(Raw_Data!D$2:D$5002),Raw_Data!D4028)</f>
        <v>94344.32</v>
      </c>
      <c r="E4028" s="15" t="str">
        <f>IF(ISBLANK(Raw_Data!E4028),AVERAGE(Raw_Data!E$2:E$5002),Raw_Data!E4028)</f>
        <v>33626.25</v>
      </c>
      <c r="F4028" s="15" t="str">
        <f>IF(ISBLANK(Raw_Data!F4028),AVERAGE(Raw_Data!F$2:F$5002),Raw_Data!F4028)</f>
        <v>32849.67</v>
      </c>
      <c r="G4028" s="14" t="str">
        <f>IF(ISBLANK(Raw_Data!G4028),AVERAGE(Raw_Data!G$2:G$5002),Raw_Data!G4028)</f>
        <v>21366.36</v>
      </c>
      <c r="H4028" s="15" t="str">
        <f t="shared" si="1"/>
        <v>160820.00</v>
      </c>
      <c r="I4028" s="14" t="str">
        <f t="shared" si="2"/>
        <v>139454.00</v>
      </c>
      <c r="J4028" s="16" t="str">
        <f>TEXT(Raw_Data!J4028,"MMM-YYY")</f>
        <v>Jul-2025</v>
      </c>
      <c r="K4028" s="13" t="str">
        <f>Raw_Data!K4028</f>
        <v>23</v>
      </c>
      <c r="L4028" s="17" t="str">
        <f>Raw_Data!L4028</f>
        <v>Pune-West</v>
      </c>
      <c r="M4028" s="13" t="str">
        <f t="shared" si="3"/>
        <v>OK</v>
      </c>
      <c r="N4028" s="18" t="str">
        <f t="shared" si="4"/>
        <v>VALID</v>
      </c>
    </row>
    <row r="4029" ht="15.75" customHeight="1">
      <c r="A4029" s="13" t="str">
        <f>Raw_Data!A4029</f>
        <v>EMP4256</v>
      </c>
      <c r="B4029" s="13" t="str">
        <f>TRIM(CLEAN(Raw_Data!B4029))</f>
        <v>IT</v>
      </c>
      <c r="C4029" s="18" t="s">
        <v>18</v>
      </c>
      <c r="D4029" s="14" t="str">
        <f>IF(ISBLANK(Raw_Data!D4029),AVERAGE(Raw_Data!D$2:D$5002),Raw_Data!D4029)</f>
        <v>94355.20</v>
      </c>
      <c r="E4029" s="15" t="str">
        <f>IF(ISBLANK(Raw_Data!E4029),AVERAGE(Raw_Data!E$2:E$5002),Raw_Data!E4029)</f>
        <v>33630.87</v>
      </c>
      <c r="F4029" s="15" t="str">
        <f>IF(ISBLANK(Raw_Data!F4029),AVERAGE(Raw_Data!F$2:F$5002),Raw_Data!F4029)</f>
        <v>32857.35</v>
      </c>
      <c r="G4029" s="14" t="str">
        <f>IF(ISBLANK(Raw_Data!G4029),AVERAGE(Raw_Data!G$2:G$5002),Raw_Data!G4029)</f>
        <v>21369.75</v>
      </c>
      <c r="H4029" s="15" t="str">
        <f t="shared" si="1"/>
        <v>160843.00</v>
      </c>
      <c r="I4029" s="14" t="str">
        <f t="shared" si="2"/>
        <v>139473.00</v>
      </c>
      <c r="J4029" s="16" t="str">
        <f>TEXT(Raw_Data!J4029,"MMM-YYY")</f>
        <v>Oct-2025</v>
      </c>
      <c r="K4029" s="13" t="str">
        <f>Raw_Data!K4029</f>
        <v>17</v>
      </c>
      <c r="L4029" s="17" t="str">
        <f>Raw_Data!L4029</f>
        <v>Hyderabad-South</v>
      </c>
      <c r="M4029" s="13" t="str">
        <f t="shared" si="3"/>
        <v>OK</v>
      </c>
      <c r="N4029" s="18" t="str">
        <f t="shared" si="4"/>
        <v>VALID</v>
      </c>
    </row>
    <row r="4030" ht="15.75" customHeight="1">
      <c r="A4030" s="13" t="str">
        <f>Raw_Data!A4030</f>
        <v>EMP4257</v>
      </c>
      <c r="B4030" s="13" t="str">
        <f>TRIM(CLEAN(Raw_Data!B4030))</f>
        <v>HR</v>
      </c>
      <c r="C4030" s="18" t="s">
        <v>54</v>
      </c>
      <c r="D4030" s="14" t="str">
        <f>IF(ISBLANK(Raw_Data!D4030),AVERAGE(Raw_Data!D$2:D$5002),Raw_Data!D4030)</f>
        <v>94366.08</v>
      </c>
      <c r="E4030" s="15" t="str">
        <f>IF(ISBLANK(Raw_Data!E4030),AVERAGE(Raw_Data!E$2:E$5002),Raw_Data!E4030)</f>
        <v>33635.48</v>
      </c>
      <c r="F4030" s="15" t="str">
        <f>IF(ISBLANK(Raw_Data!F4030),AVERAGE(Raw_Data!F$2:F$5002),Raw_Data!F4030)</f>
        <v>32865.03</v>
      </c>
      <c r="G4030" s="14" t="str">
        <f>IF(ISBLANK(Raw_Data!G4030),AVERAGE(Raw_Data!G$2:G$5002),Raw_Data!G4030)</f>
        <v>21373.15</v>
      </c>
      <c r="H4030" s="15" t="str">
        <f t="shared" si="1"/>
        <v>160867.00</v>
      </c>
      <c r="I4030" s="14" t="str">
        <f t="shared" si="2"/>
        <v>139494.00</v>
      </c>
      <c r="J4030" s="16" t="str">
        <f>TEXT(Raw_Data!J4030,"MMM-YYY")</f>
        <v>Mar-2025</v>
      </c>
      <c r="K4030" s="13" t="str">
        <f>Raw_Data!K4030</f>
        <v>19</v>
      </c>
      <c r="L4030" s="17" t="str">
        <f>Raw_Data!L4030</f>
        <v>Chandigarh-North</v>
      </c>
      <c r="M4030" s="13" t="str">
        <f t="shared" si="3"/>
        <v>OK</v>
      </c>
      <c r="N4030" s="18" t="str">
        <f t="shared" si="4"/>
        <v>VALID</v>
      </c>
    </row>
    <row r="4031" ht="15.75" customHeight="1">
      <c r="A4031" s="13" t="str">
        <f>Raw_Data!A4031</f>
        <v>EMP4258</v>
      </c>
      <c r="B4031" s="13" t="str">
        <f>TRIM(CLEAN(Raw_Data!B4031))</f>
        <v>Customer Support</v>
      </c>
      <c r="C4031" s="18" t="s">
        <v>33</v>
      </c>
      <c r="D4031" s="14" t="str">
        <f>IF(ISBLANK(Raw_Data!D4031),AVERAGE(Raw_Data!D$2:D$5002),Raw_Data!D4031)</f>
        <v>94376.97</v>
      </c>
      <c r="E4031" s="15" t="str">
        <f>IF(ISBLANK(Raw_Data!E4031),AVERAGE(Raw_Data!E$2:E$5002),Raw_Data!E4031)</f>
        <v>33640.09</v>
      </c>
      <c r="F4031" s="15" t="str">
        <f>IF(ISBLANK(Raw_Data!F4031),AVERAGE(Raw_Data!F$2:F$5002),Raw_Data!F4031)</f>
        <v>32872.71</v>
      </c>
      <c r="G4031" s="14" t="str">
        <f>IF(ISBLANK(Raw_Data!G4031),AVERAGE(Raw_Data!G$2:G$5002),Raw_Data!G4031)</f>
        <v>21376.55</v>
      </c>
      <c r="H4031" s="15" t="str">
        <f t="shared" si="1"/>
        <v>160890.00</v>
      </c>
      <c r="I4031" s="14" t="str">
        <f t="shared" si="2"/>
        <v>139513.00</v>
      </c>
      <c r="J4031" s="16" t="str">
        <f>TEXT(Raw_Data!J4031,"MMM-YYY")</f>
        <v>Nov-2025</v>
      </c>
      <c r="K4031" s="13" t="str">
        <f>Raw_Data!K4031</f>
        <v>5</v>
      </c>
      <c r="L4031" s="17" t="str">
        <f>Raw_Data!L4031</f>
        <v>Ahmedabad-West</v>
      </c>
      <c r="M4031" s="13" t="str">
        <f t="shared" si="3"/>
        <v>OK</v>
      </c>
      <c r="N4031" s="18" t="str">
        <f t="shared" si="4"/>
        <v>VALID</v>
      </c>
    </row>
    <row r="4032" ht="15.75" customHeight="1">
      <c r="A4032" s="13" t="str">
        <f>Raw_Data!A4032</f>
        <v>EMP4259</v>
      </c>
      <c r="B4032" s="13" t="str">
        <f>TRIM(CLEAN(Raw_Data!B4032))</f>
        <v>Customer Support</v>
      </c>
      <c r="C4032" s="18" t="s">
        <v>54</v>
      </c>
      <c r="D4032" s="14" t="str">
        <f>IF(ISBLANK(Raw_Data!D4032),AVERAGE(Raw_Data!D$2:D$5002),Raw_Data!D4032)</f>
        <v>94387.85</v>
      </c>
      <c r="E4032" s="15" t="str">
        <f>IF(ISBLANK(Raw_Data!E4032),AVERAGE(Raw_Data!E$2:E$5002),Raw_Data!E4032)</f>
        <v>33644.71</v>
      </c>
      <c r="F4032" s="15" t="str">
        <f>IF(ISBLANK(Raw_Data!F4032),AVERAGE(Raw_Data!F$2:F$5002),Raw_Data!F4032)</f>
        <v>32880.39</v>
      </c>
      <c r="G4032" s="14" t="str">
        <f>IF(ISBLANK(Raw_Data!G4032),AVERAGE(Raw_Data!G$2:G$5002),Raw_Data!G4032)</f>
        <v>21379.95</v>
      </c>
      <c r="H4032" s="15" t="str">
        <f t="shared" si="1"/>
        <v>160913.00</v>
      </c>
      <c r="I4032" s="14" t="str">
        <f t="shared" si="2"/>
        <v>139533.00</v>
      </c>
      <c r="J4032" s="16" t="str">
        <f>TEXT(Raw_Data!J4032,"MMM-YYY")</f>
        <v>May-2025</v>
      </c>
      <c r="K4032" s="13" t="str">
        <f>Raw_Data!K4032</f>
        <v>16</v>
      </c>
      <c r="L4032" s="17" t="str">
        <f>Raw_Data!L4032</f>
        <v>Jaipur-North</v>
      </c>
      <c r="M4032" s="13" t="str">
        <f t="shared" si="3"/>
        <v>OK</v>
      </c>
      <c r="N4032" s="18" t="str">
        <f t="shared" si="4"/>
        <v>VALID</v>
      </c>
    </row>
    <row r="4033" ht="15.75" customHeight="1">
      <c r="A4033" s="13" t="str">
        <f>Raw_Data!A4033</f>
        <v>EMP4260</v>
      </c>
      <c r="B4033" s="13" t="str">
        <f>TRIM(CLEAN(Raw_Data!B4033))</f>
        <v>Sales</v>
      </c>
      <c r="C4033" s="18" t="s">
        <v>18</v>
      </c>
      <c r="D4033" s="14" t="str">
        <f>IF(ISBLANK(Raw_Data!D4033),AVERAGE(Raw_Data!D$2:D$5002),Raw_Data!D4033)</f>
        <v>94398.73</v>
      </c>
      <c r="E4033" s="15" t="str">
        <f>IF(ISBLANK(Raw_Data!E4033),AVERAGE(Raw_Data!E$2:E$5002),Raw_Data!E4033)</f>
        <v>33649.32</v>
      </c>
      <c r="F4033" s="15" t="str">
        <f>IF(ISBLANK(Raw_Data!F4033),AVERAGE(Raw_Data!F$2:F$5002),Raw_Data!F4033)</f>
        <v>32888.07</v>
      </c>
      <c r="G4033" s="14" t="str">
        <f>IF(ISBLANK(Raw_Data!G4033),AVERAGE(Raw_Data!G$2:G$5002),Raw_Data!G4033)</f>
        <v>21383.34</v>
      </c>
      <c r="H4033" s="15" t="str">
        <f t="shared" si="1"/>
        <v>160936.00</v>
      </c>
      <c r="I4033" s="14" t="str">
        <f t="shared" si="2"/>
        <v>139553.00</v>
      </c>
      <c r="J4033" s="16" t="str">
        <f>TEXT(Raw_Data!J4033,"MMM-YYY")</f>
        <v>Jul-2025</v>
      </c>
      <c r="K4033" s="13" t="str">
        <f>Raw_Data!K4033</f>
        <v>8</v>
      </c>
      <c r="L4033" s="17" t="str">
        <f>Raw_Data!L4033</f>
        <v>Mumbai-HO</v>
      </c>
      <c r="M4033" s="13" t="str">
        <f t="shared" si="3"/>
        <v>OK</v>
      </c>
      <c r="N4033" s="18" t="str">
        <f t="shared" si="4"/>
        <v>VALID</v>
      </c>
    </row>
    <row r="4034" ht="15.75" customHeight="1">
      <c r="A4034" s="13" t="str">
        <f>Raw_Data!A4034</f>
        <v>EMP4261</v>
      </c>
      <c r="B4034" s="13" t="str">
        <f>TRIM(CLEAN(Raw_Data!B4034))</f>
        <v>Finance</v>
      </c>
      <c r="C4034" s="18" t="s">
        <v>14</v>
      </c>
      <c r="D4034" s="14" t="str">
        <f>IF(ISBLANK(Raw_Data!D4034),AVERAGE(Raw_Data!D$2:D$5002),Raw_Data!D4034)</f>
        <v>94409.61</v>
      </c>
      <c r="E4034" s="15" t="str">
        <f>IF(ISBLANK(Raw_Data!E4034),AVERAGE(Raw_Data!E$2:E$5002),Raw_Data!E4034)</f>
        <v>33653.94</v>
      </c>
      <c r="F4034" s="15" t="str">
        <f>IF(ISBLANK(Raw_Data!F4034),AVERAGE(Raw_Data!F$2:F$5002),Raw_Data!F4034)</f>
        <v>32895.75</v>
      </c>
      <c r="G4034" s="14" t="str">
        <f>IF(ISBLANK(Raw_Data!G4034),AVERAGE(Raw_Data!G$2:G$5002),Raw_Data!G4034)</f>
        <v>21386.74</v>
      </c>
      <c r="H4034" s="15" t="str">
        <f t="shared" si="1"/>
        <v>160959.00</v>
      </c>
      <c r="I4034" s="14" t="str">
        <f t="shared" si="2"/>
        <v>139572.00</v>
      </c>
      <c r="J4034" s="16" t="str">
        <f>TEXT(Raw_Data!J4034,"MMM-YYY")</f>
        <v>Jan-2025</v>
      </c>
      <c r="K4034" s="13" t="str">
        <f>Raw_Data!K4034</f>
        <v>22</v>
      </c>
      <c r="L4034" s="17" t="str">
        <f>Raw_Data!L4034</f>
        <v>Delhi-North</v>
      </c>
      <c r="M4034" s="13" t="str">
        <f t="shared" si="3"/>
        <v>OK</v>
      </c>
      <c r="N4034" s="18" t="str">
        <f t="shared" si="4"/>
        <v>VALID</v>
      </c>
    </row>
    <row r="4035" ht="15.75" customHeight="1">
      <c r="A4035" s="13" t="str">
        <f>Raw_Data!A4035</f>
        <v>EMP4262</v>
      </c>
      <c r="B4035" s="13" t="str">
        <f>TRIM(CLEAN(Raw_Data!B4035))</f>
        <v>Marketing</v>
      </c>
      <c r="C4035" s="18" t="s">
        <v>14</v>
      </c>
      <c r="D4035" s="14" t="str">
        <f>IF(ISBLANK(Raw_Data!D4035),AVERAGE(Raw_Data!D$2:D$5002),Raw_Data!D4035)</f>
        <v>94420.50</v>
      </c>
      <c r="E4035" s="15" t="str">
        <f>IF(ISBLANK(Raw_Data!E4035),AVERAGE(Raw_Data!E$2:E$5002),Raw_Data!E4035)</f>
        <v>33658.55</v>
      </c>
      <c r="F4035" s="15" t="str">
        <f>IF(ISBLANK(Raw_Data!F4035),AVERAGE(Raw_Data!F$2:F$5002),Raw_Data!F4035)</f>
        <v>32903.43</v>
      </c>
      <c r="G4035" s="14" t="str">
        <f>IF(ISBLANK(Raw_Data!G4035),AVERAGE(Raw_Data!G$2:G$5002),Raw_Data!G4035)</f>
        <v>21390.14</v>
      </c>
      <c r="H4035" s="15" t="str">
        <f t="shared" si="1"/>
        <v>160982.00</v>
      </c>
      <c r="I4035" s="14" t="str">
        <f t="shared" si="2"/>
        <v>139592.00</v>
      </c>
      <c r="J4035" s="16" t="str">
        <f>TEXT(Raw_Data!J4035,"MMM-YYY")</f>
        <v>Jul-2025</v>
      </c>
      <c r="K4035" s="13" t="str">
        <f>Raw_Data!K4035</f>
        <v>15</v>
      </c>
      <c r="L4035" s="17" t="str">
        <f>Raw_Data!L4035</f>
        <v>Bangalore-South</v>
      </c>
      <c r="M4035" s="13" t="str">
        <f t="shared" si="3"/>
        <v>OK</v>
      </c>
      <c r="N4035" s="18" t="str">
        <f t="shared" si="4"/>
        <v>VALID</v>
      </c>
    </row>
    <row r="4036" ht="15.75" customHeight="1">
      <c r="A4036" s="13" t="str">
        <f>Raw_Data!A4036</f>
        <v>EMP4264</v>
      </c>
      <c r="B4036" s="13" t="str">
        <f>TRIM(CLEAN(Raw_Data!B4036))</f>
        <v>Operations</v>
      </c>
      <c r="C4036" s="18" t="s">
        <v>54</v>
      </c>
      <c r="D4036" s="14" t="str">
        <f>IF(ISBLANK(Raw_Data!D4036),AVERAGE(Raw_Data!D$2:D$5002),Raw_Data!D4036)</f>
        <v>94442.26</v>
      </c>
      <c r="E4036" s="15" t="str">
        <f>IF(ISBLANK(Raw_Data!E4036),AVERAGE(Raw_Data!E$2:E$5002),Raw_Data!E4036)</f>
        <v>33667.78</v>
      </c>
      <c r="F4036" s="15" t="str">
        <f>IF(ISBLANK(Raw_Data!F4036),AVERAGE(Raw_Data!F$2:F$5002),Raw_Data!F4036)</f>
        <v>32918.79</v>
      </c>
      <c r="G4036" s="14" t="str">
        <f>IF(ISBLANK(Raw_Data!G4036),AVERAGE(Raw_Data!G$2:G$5002),Raw_Data!G4036)</f>
        <v>21396.94</v>
      </c>
      <c r="H4036" s="15" t="str">
        <f t="shared" si="1"/>
        <v>161029.00</v>
      </c>
      <c r="I4036" s="14" t="str">
        <f t="shared" si="2"/>
        <v>139632.00</v>
      </c>
      <c r="J4036" s="16" t="str">
        <f>TEXT(Raw_Data!J4036,"MMM-YYY")</f>
        <v>Jun-2025</v>
      </c>
      <c r="K4036" s="13" t="str">
        <f>Raw_Data!K4036</f>
        <v>17</v>
      </c>
      <c r="L4036" s="17" t="str">
        <f>Raw_Data!L4036</f>
        <v>Kolkata-East</v>
      </c>
      <c r="M4036" s="13" t="str">
        <f t="shared" si="3"/>
        <v>OK</v>
      </c>
      <c r="N4036" s="18" t="str">
        <f t="shared" si="4"/>
        <v>VALID</v>
      </c>
    </row>
    <row r="4037" ht="15.75" customHeight="1">
      <c r="A4037" s="13" t="str">
        <f>Raw_Data!A4037</f>
        <v>EMP4265</v>
      </c>
      <c r="B4037" s="13" t="str">
        <f>TRIM(CLEAN(Raw_Data!B4037))</f>
        <v>Customer Support</v>
      </c>
      <c r="C4037" s="18" t="s">
        <v>18</v>
      </c>
      <c r="D4037" s="14" t="str">
        <f>IF(ISBLANK(Raw_Data!D4037),AVERAGE(Raw_Data!D$2:D$5002),Raw_Data!D4037)</f>
        <v>94453.15</v>
      </c>
      <c r="E4037" s="15" t="str">
        <f>IF(ISBLANK(Raw_Data!E4037),AVERAGE(Raw_Data!E$2:E$5002),Raw_Data!E4037)</f>
        <v>33672.40</v>
      </c>
      <c r="F4037" s="15" t="str">
        <f>IF(ISBLANK(Raw_Data!F4037),AVERAGE(Raw_Data!F$2:F$5002),Raw_Data!F4037)</f>
        <v>32926.47</v>
      </c>
      <c r="G4037" s="14" t="str">
        <f>IF(ISBLANK(Raw_Data!G4037),AVERAGE(Raw_Data!G$2:G$5002),Raw_Data!G4037)</f>
        <v>21400.33</v>
      </c>
      <c r="H4037" s="15" t="str">
        <f t="shared" si="1"/>
        <v>161052.00</v>
      </c>
      <c r="I4037" s="14" t="str">
        <f t="shared" si="2"/>
        <v>139652.00</v>
      </c>
      <c r="J4037" s="16" t="str">
        <f>TEXT(Raw_Data!J4037,"MMM-YYY")</f>
        <v>Jan-2025</v>
      </c>
      <c r="K4037" s="13" t="str">
        <f>Raw_Data!K4037</f>
        <v>14</v>
      </c>
      <c r="L4037" s="17" t="str">
        <f>Raw_Data!L4037</f>
        <v>Pune-West</v>
      </c>
      <c r="M4037" s="13" t="str">
        <f t="shared" si="3"/>
        <v>OK</v>
      </c>
      <c r="N4037" s="18" t="str">
        <f t="shared" si="4"/>
        <v>VALID</v>
      </c>
    </row>
    <row r="4038" ht="15.75" customHeight="1">
      <c r="A4038" s="13" t="str">
        <f>Raw_Data!A4038</f>
        <v>EMP4266</v>
      </c>
      <c r="B4038" s="13" t="str">
        <f>TRIM(CLEAN(Raw_Data!B4038))</f>
        <v>Finance</v>
      </c>
      <c r="C4038" s="18" t="s">
        <v>37</v>
      </c>
      <c r="D4038" s="14" t="str">
        <f>IF(ISBLANK(Raw_Data!D4038),AVERAGE(Raw_Data!D$2:D$5002),Raw_Data!D4038)</f>
        <v>94464.03</v>
      </c>
      <c r="E4038" s="15" t="str">
        <f>IF(ISBLANK(Raw_Data!E4038),AVERAGE(Raw_Data!E$2:E$5002),Raw_Data!E4038)</f>
        <v>33677.01</v>
      </c>
      <c r="F4038" s="15" t="str">
        <f>IF(ISBLANK(Raw_Data!F4038),AVERAGE(Raw_Data!F$2:F$5002),Raw_Data!F4038)</f>
        <v>32934.15</v>
      </c>
      <c r="G4038" s="14" t="str">
        <f>IF(ISBLANK(Raw_Data!G4038),AVERAGE(Raw_Data!G$2:G$5002),Raw_Data!G4038)</f>
        <v>21403.73</v>
      </c>
      <c r="H4038" s="15" t="str">
        <f t="shared" si="1"/>
        <v>161075.00</v>
      </c>
      <c r="I4038" s="14" t="str">
        <f t="shared" si="2"/>
        <v>139671.00</v>
      </c>
      <c r="J4038" s="16" t="str">
        <f>TEXT(Raw_Data!J4038,"MMM-YYY")</f>
        <v>Jul-2025</v>
      </c>
      <c r="K4038" s="13" t="str">
        <f>Raw_Data!K4038</f>
        <v>14</v>
      </c>
      <c r="L4038" s="17" t="str">
        <f>Raw_Data!L4038</f>
        <v>Hyderabad-South</v>
      </c>
      <c r="M4038" s="13" t="str">
        <f t="shared" si="3"/>
        <v>OK</v>
      </c>
      <c r="N4038" s="18" t="str">
        <f t="shared" si="4"/>
        <v>VALID</v>
      </c>
    </row>
    <row r="4039" ht="15.75" customHeight="1">
      <c r="A4039" s="13" t="str">
        <f>Raw_Data!A4039</f>
        <v>EMP4267</v>
      </c>
      <c r="B4039" s="13" t="str">
        <f>TRIM(CLEAN(Raw_Data!B4039))</f>
        <v>HR</v>
      </c>
      <c r="C4039" s="18" t="s">
        <v>33</v>
      </c>
      <c r="D4039" s="14" t="str">
        <f>IF(ISBLANK(Raw_Data!D4039),AVERAGE(Raw_Data!D$2:D$5002),Raw_Data!D4039)</f>
        <v>94474.91</v>
      </c>
      <c r="E4039" s="15" t="str">
        <f>IF(ISBLANK(Raw_Data!E4039),AVERAGE(Raw_Data!E$2:E$5002),Raw_Data!E4039)</f>
        <v>33681.63</v>
      </c>
      <c r="F4039" s="15" t="str">
        <f>IF(ISBLANK(Raw_Data!F4039),AVERAGE(Raw_Data!F$2:F$5002),Raw_Data!F4039)</f>
        <v>32941.83</v>
      </c>
      <c r="G4039" s="14" t="str">
        <f>IF(ISBLANK(Raw_Data!G4039),AVERAGE(Raw_Data!G$2:G$5002),Raw_Data!G4039)</f>
        <v>21407.13</v>
      </c>
      <c r="H4039" s="15" t="str">
        <f t="shared" si="1"/>
        <v>161098.00</v>
      </c>
      <c r="I4039" s="14" t="str">
        <f t="shared" si="2"/>
        <v>139691.00</v>
      </c>
      <c r="J4039" s="16" t="str">
        <f>TEXT(Raw_Data!J4039,"MMM-YYY")</f>
        <v>Dec-2025</v>
      </c>
      <c r="K4039" s="13" t="str">
        <f>Raw_Data!K4039</f>
        <v>11</v>
      </c>
      <c r="L4039" s="17" t="str">
        <f>Raw_Data!L4039</f>
        <v>Chandigarh-North</v>
      </c>
      <c r="M4039" s="13" t="str">
        <f t="shared" si="3"/>
        <v>OK</v>
      </c>
      <c r="N4039" s="18" t="str">
        <f t="shared" si="4"/>
        <v>VALID</v>
      </c>
    </row>
    <row r="4040" ht="15.75" customHeight="1">
      <c r="A4040" s="13" t="str">
        <f>Raw_Data!A4040</f>
        <v>EMP4268</v>
      </c>
      <c r="B4040" s="13" t="str">
        <f>TRIM(CLEAN(Raw_Data!B4040))</f>
        <v>Marketing</v>
      </c>
      <c r="C4040" s="18" t="s">
        <v>30</v>
      </c>
      <c r="D4040" s="14" t="str">
        <f>IF(ISBLANK(Raw_Data!D4040),AVERAGE(Raw_Data!D$2:D$5002),Raw_Data!D4040)</f>
        <v>71831.17</v>
      </c>
      <c r="E4040" s="15" t="str">
        <f>IF(ISBLANK(Raw_Data!E4040),AVERAGE(Raw_Data!E$2:E$5002),Raw_Data!E4040)</f>
        <v>33686.24</v>
      </c>
      <c r="F4040" s="15" t="str">
        <f>IF(ISBLANK(Raw_Data!F4040),AVERAGE(Raw_Data!F$2:F$5002),Raw_Data!F4040)</f>
        <v>32949.51</v>
      </c>
      <c r="G4040" s="14" t="str">
        <f>IF(ISBLANK(Raw_Data!G4040),AVERAGE(Raw_Data!G$2:G$5002),Raw_Data!G4040)</f>
        <v>21410.53</v>
      </c>
      <c r="H4040" s="15" t="str">
        <f t="shared" si="1"/>
        <v>138467.00</v>
      </c>
      <c r="I4040" s="14" t="str">
        <f t="shared" si="2"/>
        <v>117056.00</v>
      </c>
      <c r="J4040" s="16" t="str">
        <f>TEXT(Raw_Data!J4040,"MMM-YYY")</f>
        <v>May-2025</v>
      </c>
      <c r="K4040" s="13" t="str">
        <f>Raw_Data!K4040</f>
        <v>6</v>
      </c>
      <c r="L4040" s="17" t="str">
        <f>Raw_Data!L4040</f>
        <v>Ahmedabad-West</v>
      </c>
      <c r="M4040" s="13" t="str">
        <f t="shared" si="3"/>
        <v>OK</v>
      </c>
      <c r="N4040" s="18" t="str">
        <f t="shared" si="4"/>
        <v>VALID</v>
      </c>
    </row>
    <row r="4041" ht="15.75" customHeight="1">
      <c r="A4041" s="13" t="str">
        <f>Raw_Data!A4041</f>
        <v>EMP4269</v>
      </c>
      <c r="B4041" s="13" t="str">
        <f>TRIM(CLEAN(Raw_Data!B4041))</f>
        <v>Finance</v>
      </c>
      <c r="C4041" s="18" t="s">
        <v>37</v>
      </c>
      <c r="D4041" s="14" t="str">
        <f>IF(ISBLANK(Raw_Data!D4041),AVERAGE(Raw_Data!D$2:D$5002),Raw_Data!D4041)</f>
        <v>94496.68</v>
      </c>
      <c r="E4041" s="15" t="str">
        <f>IF(ISBLANK(Raw_Data!E4041),AVERAGE(Raw_Data!E$2:E$5002),Raw_Data!E4041)</f>
        <v>33690.86</v>
      </c>
      <c r="F4041" s="15" t="str">
        <f>IF(ISBLANK(Raw_Data!F4041),AVERAGE(Raw_Data!F$2:F$5002),Raw_Data!F4041)</f>
        <v>32957.19</v>
      </c>
      <c r="G4041" s="14" t="str">
        <f>IF(ISBLANK(Raw_Data!G4041),AVERAGE(Raw_Data!G$2:G$5002),Raw_Data!G4041)</f>
        <v>21413.92</v>
      </c>
      <c r="H4041" s="15" t="str">
        <f t="shared" si="1"/>
        <v>161145.00</v>
      </c>
      <c r="I4041" s="14" t="str">
        <f t="shared" si="2"/>
        <v>139731.00</v>
      </c>
      <c r="J4041" s="16" t="str">
        <f>TEXT(Raw_Data!J4041,"MMM-YYY")</f>
        <v>Apr-2025</v>
      </c>
      <c r="K4041" s="13" t="str">
        <f>Raw_Data!K4041</f>
        <v>7</v>
      </c>
      <c r="L4041" s="17" t="str">
        <f>Raw_Data!L4041</f>
        <v>Jaipur-North</v>
      </c>
      <c r="M4041" s="13" t="str">
        <f t="shared" si="3"/>
        <v>OK</v>
      </c>
      <c r="N4041" s="18" t="str">
        <f t="shared" si="4"/>
        <v>VALID</v>
      </c>
    </row>
    <row r="4042" ht="15.75" customHeight="1">
      <c r="A4042" s="13" t="str">
        <f>Raw_Data!A4042</f>
        <v>EMP4270</v>
      </c>
      <c r="B4042" s="13" t="str">
        <f>TRIM(CLEAN(Raw_Data!B4042))</f>
        <v>HR</v>
      </c>
      <c r="C4042" s="18" t="s">
        <v>54</v>
      </c>
      <c r="D4042" s="14" t="str">
        <f>IF(ISBLANK(Raw_Data!D4042),AVERAGE(Raw_Data!D$2:D$5002),Raw_Data!D4042)</f>
        <v>94507.56</v>
      </c>
      <c r="E4042" s="15" t="str">
        <f>IF(ISBLANK(Raw_Data!E4042),AVERAGE(Raw_Data!E$2:E$5002),Raw_Data!E4042)</f>
        <v>33695.47</v>
      </c>
      <c r="F4042" s="15" t="str">
        <f>IF(ISBLANK(Raw_Data!F4042),AVERAGE(Raw_Data!F$2:F$5002),Raw_Data!F4042)</f>
        <v>32964.87</v>
      </c>
      <c r="G4042" s="14" t="str">
        <f>IF(ISBLANK(Raw_Data!G4042),AVERAGE(Raw_Data!G$2:G$5002),Raw_Data!G4042)</f>
        <v>21417.32</v>
      </c>
      <c r="H4042" s="15" t="str">
        <f t="shared" si="1"/>
        <v>161168.00</v>
      </c>
      <c r="I4042" s="14" t="str">
        <f t="shared" si="2"/>
        <v>139751.00</v>
      </c>
      <c r="J4042" s="16" t="str">
        <f>TEXT(Raw_Data!J4042,"MMM-YYY")</f>
        <v>May-2025</v>
      </c>
      <c r="K4042" s="13" t="str">
        <f>Raw_Data!K4042</f>
        <v>19</v>
      </c>
      <c r="L4042" s="17" t="str">
        <f>Raw_Data!L4042</f>
        <v>Mumbai-HO</v>
      </c>
      <c r="M4042" s="13" t="str">
        <f t="shared" si="3"/>
        <v>OK</v>
      </c>
      <c r="N4042" s="18" t="str">
        <f t="shared" si="4"/>
        <v>VALID</v>
      </c>
    </row>
    <row r="4043" ht="15.75" customHeight="1">
      <c r="A4043" s="13" t="str">
        <f>Raw_Data!A4043</f>
        <v>EMP4271</v>
      </c>
      <c r="B4043" s="13" t="str">
        <f>TRIM(CLEAN(Raw_Data!B4043))</f>
        <v>Marketing</v>
      </c>
      <c r="C4043" s="18" t="s">
        <v>18</v>
      </c>
      <c r="D4043" s="14" t="str">
        <f>IF(ISBLANK(Raw_Data!D4043),AVERAGE(Raw_Data!D$2:D$5002),Raw_Data!D4043)</f>
        <v>94518.44</v>
      </c>
      <c r="E4043" s="15" t="str">
        <f>IF(ISBLANK(Raw_Data!E4043),AVERAGE(Raw_Data!E$2:E$5002),Raw_Data!E4043)</f>
        <v>33700.09</v>
      </c>
      <c r="F4043" s="15" t="str">
        <f>IF(ISBLANK(Raw_Data!F4043),AVERAGE(Raw_Data!F$2:F$5002),Raw_Data!F4043)</f>
        <v>32972.55</v>
      </c>
      <c r="G4043" s="14" t="str">
        <f>IF(ISBLANK(Raw_Data!G4043),AVERAGE(Raw_Data!G$2:G$5002),Raw_Data!G4043)</f>
        <v>21420.72</v>
      </c>
      <c r="H4043" s="15" t="str">
        <f t="shared" si="1"/>
        <v>161191.00</v>
      </c>
      <c r="I4043" s="14" t="str">
        <f t="shared" si="2"/>
        <v>139770.00</v>
      </c>
      <c r="J4043" s="16" t="str">
        <f>TEXT(Raw_Data!J4043,"MMM-YYY")</f>
        <v>Jul-2025</v>
      </c>
      <c r="K4043" s="13" t="str">
        <f>Raw_Data!K4043</f>
        <v>25</v>
      </c>
      <c r="L4043" s="17" t="str">
        <f>Raw_Data!L4043</f>
        <v>Delhi-North</v>
      </c>
      <c r="M4043" s="13" t="str">
        <f t="shared" si="3"/>
        <v>OK</v>
      </c>
      <c r="N4043" s="18" t="str">
        <f t="shared" si="4"/>
        <v>VALID</v>
      </c>
    </row>
    <row r="4044" ht="15.75" customHeight="1">
      <c r="A4044" s="13" t="str">
        <f>Raw_Data!A4044</f>
        <v>EMP4272</v>
      </c>
      <c r="B4044" s="13" t="str">
        <f>TRIM(CLEAN(Raw_Data!B4044))</f>
        <v>IT</v>
      </c>
      <c r="C4044" s="18" t="s">
        <v>18</v>
      </c>
      <c r="D4044" s="14" t="str">
        <f>IF(ISBLANK(Raw_Data!D4044),AVERAGE(Raw_Data!D$2:D$5002),Raw_Data!D4044)</f>
        <v>94529.33</v>
      </c>
      <c r="E4044" s="15" t="str">
        <f>IF(ISBLANK(Raw_Data!E4044),AVERAGE(Raw_Data!E$2:E$5002),Raw_Data!E4044)</f>
        <v>33704.70</v>
      </c>
      <c r="F4044" s="15" t="str">
        <f>IF(ISBLANK(Raw_Data!F4044),AVERAGE(Raw_Data!F$2:F$5002),Raw_Data!F4044)</f>
        <v>32980.23</v>
      </c>
      <c r="G4044" s="14" t="str">
        <f>IF(ISBLANK(Raw_Data!G4044),AVERAGE(Raw_Data!G$2:G$5002),Raw_Data!G4044)</f>
        <v>21424.12</v>
      </c>
      <c r="H4044" s="15" t="str">
        <f t="shared" si="1"/>
        <v>161214.00</v>
      </c>
      <c r="I4044" s="14" t="str">
        <f t="shared" si="2"/>
        <v>139790.00</v>
      </c>
      <c r="J4044" s="16" t="str">
        <f>TEXT(Raw_Data!J4044,"MMM-YYY")</f>
        <v>Sep-2025</v>
      </c>
      <c r="K4044" s="13" t="str">
        <f>Raw_Data!K4044</f>
        <v>10</v>
      </c>
      <c r="L4044" s="17" t="str">
        <f>Raw_Data!L4044</f>
        <v>Bangalore-South</v>
      </c>
      <c r="M4044" s="13" t="str">
        <f t="shared" si="3"/>
        <v>OK</v>
      </c>
      <c r="N4044" s="18" t="str">
        <f t="shared" si="4"/>
        <v>VALID</v>
      </c>
    </row>
    <row r="4045" ht="15.75" customHeight="1">
      <c r="A4045" s="13" t="str">
        <f>Raw_Data!A4045</f>
        <v>EMP4273</v>
      </c>
      <c r="B4045" s="13" t="str">
        <f>TRIM(CLEAN(Raw_Data!B4045))</f>
        <v>Finance</v>
      </c>
      <c r="C4045" s="18" t="s">
        <v>26</v>
      </c>
      <c r="D4045" s="14" t="str">
        <f>IF(ISBLANK(Raw_Data!D4045),AVERAGE(Raw_Data!D$2:D$5002),Raw_Data!D4045)</f>
        <v>94540.21</v>
      </c>
      <c r="E4045" s="15" t="str">
        <f>IF(ISBLANK(Raw_Data!E4045),AVERAGE(Raw_Data!E$2:E$5002),Raw_Data!E4045)</f>
        <v>33709.32</v>
      </c>
      <c r="F4045" s="15" t="str">
        <f>IF(ISBLANK(Raw_Data!F4045),AVERAGE(Raw_Data!F$2:F$5002),Raw_Data!F4045)</f>
        <v>32987.91</v>
      </c>
      <c r="G4045" s="14" t="str">
        <f>IF(ISBLANK(Raw_Data!G4045),AVERAGE(Raw_Data!G$2:G$5002),Raw_Data!G4045)</f>
        <v>21427.51</v>
      </c>
      <c r="H4045" s="15" t="str">
        <f t="shared" si="1"/>
        <v>161237.00</v>
      </c>
      <c r="I4045" s="14" t="str">
        <f t="shared" si="2"/>
        <v>139809.00</v>
      </c>
      <c r="J4045" s="16" t="str">
        <f>TEXT(Raw_Data!J4045,"MMM-YYY")</f>
        <v>Sep-2025</v>
      </c>
      <c r="K4045" s="13" t="str">
        <f>Raw_Data!K4045</f>
        <v>18</v>
      </c>
      <c r="L4045" s="17" t="str">
        <f>Raw_Data!L4045</f>
        <v>Chennai-South</v>
      </c>
      <c r="M4045" s="13" t="str">
        <f t="shared" si="3"/>
        <v>OK</v>
      </c>
      <c r="N4045" s="18" t="str">
        <f t="shared" si="4"/>
        <v>VALID</v>
      </c>
    </row>
    <row r="4046" ht="15.75" customHeight="1">
      <c r="A4046" s="13" t="str">
        <f>Raw_Data!A4046</f>
        <v>EMP4274</v>
      </c>
      <c r="B4046" s="13" t="str">
        <f>TRIM(CLEAN(Raw_Data!B4046))</f>
        <v>Sales</v>
      </c>
      <c r="C4046" s="18" t="s">
        <v>14</v>
      </c>
      <c r="D4046" s="14" t="str">
        <f>IF(ISBLANK(Raw_Data!D4046),AVERAGE(Raw_Data!D$2:D$5002),Raw_Data!D4046)</f>
        <v>94551.09</v>
      </c>
      <c r="E4046" s="15" t="str">
        <f>IF(ISBLANK(Raw_Data!E4046),AVERAGE(Raw_Data!E$2:E$5002),Raw_Data!E4046)</f>
        <v>33713.93</v>
      </c>
      <c r="F4046" s="15" t="str">
        <f>IF(ISBLANK(Raw_Data!F4046),AVERAGE(Raw_Data!F$2:F$5002),Raw_Data!F4046)</f>
        <v>32995.59</v>
      </c>
      <c r="G4046" s="14" t="str">
        <f>IF(ISBLANK(Raw_Data!G4046),AVERAGE(Raw_Data!G$2:G$5002),Raw_Data!G4046)</f>
        <v>21430.91</v>
      </c>
      <c r="H4046" s="15" t="str">
        <f t="shared" si="1"/>
        <v>161261.00</v>
      </c>
      <c r="I4046" s="14" t="str">
        <f t="shared" si="2"/>
        <v>139830.00</v>
      </c>
      <c r="J4046" s="16" t="str">
        <f>TEXT(Raw_Data!J4046,"MMM-YYY")</f>
        <v>Jan-2025</v>
      </c>
      <c r="K4046" s="13" t="str">
        <f>Raw_Data!K4046</f>
        <v>14</v>
      </c>
      <c r="L4046" s="17" t="str">
        <f>Raw_Data!L4046</f>
        <v>Kolkata-East</v>
      </c>
      <c r="M4046" s="13" t="str">
        <f t="shared" si="3"/>
        <v>OK</v>
      </c>
      <c r="N4046" s="18" t="str">
        <f t="shared" si="4"/>
        <v>VALID</v>
      </c>
    </row>
    <row r="4047" ht="15.75" customHeight="1">
      <c r="A4047" s="13" t="str">
        <f>Raw_Data!A4047</f>
        <v>EMP4275</v>
      </c>
      <c r="B4047" s="13" t="str">
        <f>TRIM(CLEAN(Raw_Data!B4047))</f>
        <v>Sales</v>
      </c>
      <c r="C4047" s="18" t="s">
        <v>54</v>
      </c>
      <c r="D4047" s="14" t="str">
        <f>IF(ISBLANK(Raw_Data!D4047),AVERAGE(Raw_Data!D$2:D$5002),Raw_Data!D4047)</f>
        <v>94561.98</v>
      </c>
      <c r="E4047" s="15" t="str">
        <f>IF(ISBLANK(Raw_Data!E4047),AVERAGE(Raw_Data!E$2:E$5002),Raw_Data!E4047)</f>
        <v>33718.55</v>
      </c>
      <c r="F4047" s="15" t="str">
        <f>IF(ISBLANK(Raw_Data!F4047),AVERAGE(Raw_Data!F$2:F$5002),Raw_Data!F4047)</f>
        <v>33003.27</v>
      </c>
      <c r="G4047" s="14" t="str">
        <f>IF(ISBLANK(Raw_Data!G4047),AVERAGE(Raw_Data!G$2:G$5002),Raw_Data!G4047)</f>
        <v>21434.31</v>
      </c>
      <c r="H4047" s="15" t="str">
        <f t="shared" si="1"/>
        <v>161284.00</v>
      </c>
      <c r="I4047" s="14" t="str">
        <f t="shared" si="2"/>
        <v>139850.00</v>
      </c>
      <c r="J4047" s="16" t="str">
        <f>TEXT(Raw_Data!J4047,"MMM-YYY")</f>
        <v>May-2025</v>
      </c>
      <c r="K4047" s="13" t="str">
        <f>Raw_Data!K4047</f>
        <v>7</v>
      </c>
      <c r="L4047" s="17" t="str">
        <f>Raw_Data!L4047</f>
        <v>Pune-West</v>
      </c>
      <c r="M4047" s="13" t="str">
        <f t="shared" si="3"/>
        <v>OK</v>
      </c>
      <c r="N4047" s="18" t="str">
        <f t="shared" si="4"/>
        <v>VALID</v>
      </c>
    </row>
    <row r="4048" ht="15.75" customHeight="1">
      <c r="A4048" s="13" t="str">
        <f>Raw_Data!A4048</f>
        <v>EMP4276</v>
      </c>
      <c r="B4048" s="13" t="str">
        <f>TRIM(CLEAN(Raw_Data!B4048))</f>
        <v>Customer Support</v>
      </c>
      <c r="C4048" s="18" t="s">
        <v>54</v>
      </c>
      <c r="D4048" s="14" t="str">
        <f>IF(ISBLANK(Raw_Data!D4048),AVERAGE(Raw_Data!D$2:D$5002),Raw_Data!D4048)</f>
        <v>94572.86</v>
      </c>
      <c r="E4048" s="15" t="str">
        <f>IF(ISBLANK(Raw_Data!E4048),AVERAGE(Raw_Data!E$2:E$5002),Raw_Data!E4048)</f>
        <v>33723.16</v>
      </c>
      <c r="F4048" s="15" t="str">
        <f>IF(ISBLANK(Raw_Data!F4048),AVERAGE(Raw_Data!F$2:F$5002),Raw_Data!F4048)</f>
        <v>33010.95</v>
      </c>
      <c r="G4048" s="14" t="str">
        <f>IF(ISBLANK(Raw_Data!G4048),AVERAGE(Raw_Data!G$2:G$5002),Raw_Data!G4048)</f>
        <v>21437.71</v>
      </c>
      <c r="H4048" s="15" t="str">
        <f t="shared" si="1"/>
        <v>161307.00</v>
      </c>
      <c r="I4048" s="14" t="str">
        <f t="shared" si="2"/>
        <v>139869.00</v>
      </c>
      <c r="J4048" s="16" t="str">
        <f>TEXT(Raw_Data!J4048,"MMM-YYY")</f>
        <v>Nov-2025</v>
      </c>
      <c r="K4048" s="13" t="str">
        <f>Raw_Data!K4048</f>
        <v>13</v>
      </c>
      <c r="L4048" s="17" t="str">
        <f>Raw_Data!L4048</f>
        <v>Hyderabad-South</v>
      </c>
      <c r="M4048" s="13" t="str">
        <f t="shared" si="3"/>
        <v>OK</v>
      </c>
      <c r="N4048" s="18" t="str">
        <f t="shared" si="4"/>
        <v>VALID</v>
      </c>
    </row>
    <row r="4049" ht="15.75" customHeight="1">
      <c r="A4049" s="13" t="str">
        <f>Raw_Data!A4049</f>
        <v>EMP4277</v>
      </c>
      <c r="B4049" s="13" t="str">
        <f>TRIM(CLEAN(Raw_Data!B4049))</f>
        <v>Operations</v>
      </c>
      <c r="C4049" s="18" t="s">
        <v>54</v>
      </c>
      <c r="D4049" s="14" t="str">
        <f>IF(ISBLANK(Raw_Data!D4049),AVERAGE(Raw_Data!D$2:D$5002),Raw_Data!D4049)</f>
        <v>94583.74</v>
      </c>
      <c r="E4049" s="15" t="str">
        <f>IF(ISBLANK(Raw_Data!E4049),AVERAGE(Raw_Data!E$2:E$5002),Raw_Data!E4049)</f>
        <v>33727.77</v>
      </c>
      <c r="F4049" s="15" t="str">
        <f>IF(ISBLANK(Raw_Data!F4049),AVERAGE(Raw_Data!F$2:F$5002),Raw_Data!F4049)</f>
        <v>33018.63</v>
      </c>
      <c r="G4049" s="14" t="str">
        <f>IF(ISBLANK(Raw_Data!G4049),AVERAGE(Raw_Data!G$2:G$5002),Raw_Data!G4049)</f>
        <v>21441.10</v>
      </c>
      <c r="H4049" s="15" t="str">
        <f t="shared" si="1"/>
        <v>161330.00</v>
      </c>
      <c r="I4049" s="14" t="str">
        <f t="shared" si="2"/>
        <v>139889.00</v>
      </c>
      <c r="J4049" s="16" t="str">
        <f>TEXT(Raw_Data!J4049,"MMM-YYY")</f>
        <v>Aug-2025</v>
      </c>
      <c r="K4049" s="13" t="str">
        <f>Raw_Data!K4049</f>
        <v>13</v>
      </c>
      <c r="L4049" s="17" t="str">
        <f>Raw_Data!L4049</f>
        <v>Chandigarh-North</v>
      </c>
      <c r="M4049" s="13" t="str">
        <f t="shared" si="3"/>
        <v>OK</v>
      </c>
      <c r="N4049" s="18" t="str">
        <f t="shared" si="4"/>
        <v>VALID</v>
      </c>
    </row>
    <row r="4050" ht="15.75" customHeight="1">
      <c r="A4050" s="13" t="str">
        <f>Raw_Data!A4050</f>
        <v>EMP4278</v>
      </c>
      <c r="B4050" s="13" t="str">
        <f>TRIM(CLEAN(Raw_Data!B4050))</f>
        <v>Finance</v>
      </c>
      <c r="C4050" s="18" t="s">
        <v>37</v>
      </c>
      <c r="D4050" s="14" t="str">
        <f>IF(ISBLANK(Raw_Data!D4050),AVERAGE(Raw_Data!D$2:D$5002),Raw_Data!D4050)</f>
        <v>94594.62</v>
      </c>
      <c r="E4050" s="15" t="str">
        <f>IF(ISBLANK(Raw_Data!E4050),AVERAGE(Raw_Data!E$2:E$5002),Raw_Data!E4050)</f>
        <v>33732.39</v>
      </c>
      <c r="F4050" s="15" t="str">
        <f>IF(ISBLANK(Raw_Data!F4050),AVERAGE(Raw_Data!F$2:F$5002),Raw_Data!F4050)</f>
        <v>33026.31</v>
      </c>
      <c r="G4050" s="14" t="str">
        <f>IF(ISBLANK(Raw_Data!G4050),AVERAGE(Raw_Data!G$2:G$5002),Raw_Data!G4050)</f>
        <v>21444.50</v>
      </c>
      <c r="H4050" s="15" t="str">
        <f t="shared" si="1"/>
        <v>161353.00</v>
      </c>
      <c r="I4050" s="14" t="str">
        <f t="shared" si="2"/>
        <v>139908.00</v>
      </c>
      <c r="J4050" s="16" t="str">
        <f>TEXT(Raw_Data!J4050,"MMM-YYY")</f>
        <v>Dec-2025</v>
      </c>
      <c r="K4050" s="13" t="str">
        <f>Raw_Data!K4050</f>
        <v>19</v>
      </c>
      <c r="L4050" s="17" t="str">
        <f>Raw_Data!L4050</f>
        <v>Ahmedabad-West</v>
      </c>
      <c r="M4050" s="13" t="str">
        <f t="shared" si="3"/>
        <v>OK</v>
      </c>
      <c r="N4050" s="18" t="str">
        <f t="shared" si="4"/>
        <v>VALID</v>
      </c>
    </row>
    <row r="4051" ht="15.75" customHeight="1">
      <c r="A4051" s="13" t="str">
        <f>Raw_Data!A4051</f>
        <v>EMP4279</v>
      </c>
      <c r="B4051" s="13" t="str">
        <f>TRIM(CLEAN(Raw_Data!B4051))</f>
        <v>IT</v>
      </c>
      <c r="C4051" s="18" t="s">
        <v>37</v>
      </c>
      <c r="D4051" s="14" t="str">
        <f>IF(ISBLANK(Raw_Data!D4051),AVERAGE(Raw_Data!D$2:D$5002),Raw_Data!D4051)</f>
        <v>94605.51</v>
      </c>
      <c r="E4051" s="15" t="str">
        <f>IF(ISBLANK(Raw_Data!E4051),AVERAGE(Raw_Data!E$2:E$5002),Raw_Data!E4051)</f>
        <v>33737.00</v>
      </c>
      <c r="F4051" s="15" t="str">
        <f>IF(ISBLANK(Raw_Data!F4051),AVERAGE(Raw_Data!F$2:F$5002),Raw_Data!F4051)</f>
        <v>33033.99</v>
      </c>
      <c r="G4051" s="14" t="str">
        <f>IF(ISBLANK(Raw_Data!G4051),AVERAGE(Raw_Data!G$2:G$5002),Raw_Data!G4051)</f>
        <v>21447.90</v>
      </c>
      <c r="H4051" s="15" t="str">
        <f t="shared" si="1"/>
        <v>161377.00</v>
      </c>
      <c r="I4051" s="14" t="str">
        <f t="shared" si="2"/>
        <v>139929.00</v>
      </c>
      <c r="J4051" s="16" t="str">
        <f>TEXT(Raw_Data!J4051,"MMM-YYY")</f>
        <v>Oct-2025</v>
      </c>
      <c r="K4051" s="13" t="str">
        <f>Raw_Data!K4051</f>
        <v>9</v>
      </c>
      <c r="L4051" s="17" t="str">
        <f>Raw_Data!L4051</f>
        <v>Jaipur-North</v>
      </c>
      <c r="M4051" s="13" t="str">
        <f t="shared" si="3"/>
        <v>OK</v>
      </c>
      <c r="N4051" s="18" t="str">
        <f t="shared" si="4"/>
        <v>VALID</v>
      </c>
    </row>
    <row r="4052" ht="15.75" customHeight="1">
      <c r="A4052" s="13" t="str">
        <f>Raw_Data!A4052</f>
        <v>EMP4281</v>
      </c>
      <c r="B4052" s="13" t="str">
        <f>TRIM(CLEAN(Raw_Data!B4052))</f>
        <v>Operations</v>
      </c>
      <c r="C4052" s="18" t="s">
        <v>30</v>
      </c>
      <c r="D4052" s="14" t="str">
        <f>IF(ISBLANK(Raw_Data!D4052),AVERAGE(Raw_Data!D$2:D$5002),Raw_Data!D4052)</f>
        <v>94627.27</v>
      </c>
      <c r="E4052" s="15" t="str">
        <f>IF(ISBLANK(Raw_Data!E4052),AVERAGE(Raw_Data!E$2:E$5002),Raw_Data!E4052)</f>
        <v>33746.23</v>
      </c>
      <c r="F4052" s="15" t="str">
        <f>IF(ISBLANK(Raw_Data!F4052),AVERAGE(Raw_Data!F$2:F$5002),Raw_Data!F4052)</f>
        <v>33049.35</v>
      </c>
      <c r="G4052" s="14" t="str">
        <f>IF(ISBLANK(Raw_Data!G4052),AVERAGE(Raw_Data!G$2:G$5002),Raw_Data!G4052)</f>
        <v>21454.69</v>
      </c>
      <c r="H4052" s="15" t="str">
        <f t="shared" si="1"/>
        <v>161423.00</v>
      </c>
      <c r="I4052" s="14" t="str">
        <f t="shared" si="2"/>
        <v>139968.00</v>
      </c>
      <c r="J4052" s="16" t="str">
        <f>TEXT(Raw_Data!J4052,"MMM-YYY")</f>
        <v>Nov-2025</v>
      </c>
      <c r="K4052" s="13" t="str">
        <f>Raw_Data!K4052</f>
        <v>19</v>
      </c>
      <c r="L4052" s="17" t="str">
        <f>Raw_Data!L4052</f>
        <v>Delhi-North</v>
      </c>
      <c r="M4052" s="13" t="str">
        <f t="shared" si="3"/>
        <v>OK</v>
      </c>
      <c r="N4052" s="18" t="str">
        <f t="shared" si="4"/>
        <v>VALID</v>
      </c>
    </row>
    <row r="4053" ht="15.75" customHeight="1">
      <c r="A4053" s="13" t="str">
        <f>Raw_Data!A4053</f>
        <v>EMP4282</v>
      </c>
      <c r="B4053" s="13" t="str">
        <f>TRIM(CLEAN(Raw_Data!B4053))</f>
        <v>Customer Support</v>
      </c>
      <c r="C4053" s="18" t="s">
        <v>18</v>
      </c>
      <c r="D4053" s="14" t="str">
        <f>IF(ISBLANK(Raw_Data!D4053),AVERAGE(Raw_Data!D$2:D$5002),Raw_Data!D4053)</f>
        <v>94638.16</v>
      </c>
      <c r="E4053" s="15" t="str">
        <f>IF(ISBLANK(Raw_Data!E4053),AVERAGE(Raw_Data!E$2:E$5002),Raw_Data!E4053)</f>
        <v>33750.85</v>
      </c>
      <c r="F4053" s="15" t="str">
        <f>IF(ISBLANK(Raw_Data!F4053),AVERAGE(Raw_Data!F$2:F$5002),Raw_Data!F4053)</f>
        <v>33057.03</v>
      </c>
      <c r="G4053" s="14" t="str">
        <f>IF(ISBLANK(Raw_Data!G4053),AVERAGE(Raw_Data!G$2:G$5002),Raw_Data!G4053)</f>
        <v>21458.09</v>
      </c>
      <c r="H4053" s="15" t="str">
        <f t="shared" si="1"/>
        <v>161446.00</v>
      </c>
      <c r="I4053" s="14" t="str">
        <f t="shared" si="2"/>
        <v>139988.00</v>
      </c>
      <c r="J4053" s="16" t="str">
        <f>TEXT(Raw_Data!J4053,"MMM-YYY")</f>
        <v>Jan-2025</v>
      </c>
      <c r="K4053" s="13" t="str">
        <f>Raw_Data!K4053</f>
        <v>23</v>
      </c>
      <c r="L4053" s="17" t="str">
        <f>Raw_Data!L4053</f>
        <v>Bangalore-South</v>
      </c>
      <c r="M4053" s="13" t="str">
        <f t="shared" si="3"/>
        <v>OK</v>
      </c>
      <c r="N4053" s="18" t="str">
        <f t="shared" si="4"/>
        <v>VALID</v>
      </c>
    </row>
    <row r="4054" ht="15.75" customHeight="1">
      <c r="A4054" s="13" t="str">
        <f>Raw_Data!A4054</f>
        <v>EMP4283</v>
      </c>
      <c r="B4054" s="13" t="str">
        <f>TRIM(CLEAN(Raw_Data!B4054))</f>
        <v>Customer Support</v>
      </c>
      <c r="C4054" s="18" t="s">
        <v>54</v>
      </c>
      <c r="D4054" s="14" t="str">
        <f>IF(ISBLANK(Raw_Data!D4054),AVERAGE(Raw_Data!D$2:D$5002),Raw_Data!D4054)</f>
        <v>94649.04</v>
      </c>
      <c r="E4054" s="15" t="str">
        <f>IF(ISBLANK(Raw_Data!E4054),AVERAGE(Raw_Data!E$2:E$5002),Raw_Data!E4054)</f>
        <v>33755.46</v>
      </c>
      <c r="F4054" s="15" t="str">
        <f>IF(ISBLANK(Raw_Data!F4054),AVERAGE(Raw_Data!F$2:F$5002),Raw_Data!F4054)</f>
        <v>33064.71</v>
      </c>
      <c r="G4054" s="14" t="str">
        <f>IF(ISBLANK(Raw_Data!G4054),AVERAGE(Raw_Data!G$2:G$5002),Raw_Data!G4054)</f>
        <v>21461.49</v>
      </c>
      <c r="H4054" s="15" t="str">
        <f t="shared" si="1"/>
        <v>161469.00</v>
      </c>
      <c r="I4054" s="14" t="str">
        <f t="shared" si="2"/>
        <v>140008.00</v>
      </c>
      <c r="J4054" s="16" t="str">
        <f>TEXT(Raw_Data!J4054,"MMM-YYY")</f>
        <v>Dec-2025</v>
      </c>
      <c r="K4054" s="13" t="str">
        <f>Raw_Data!K4054</f>
        <v>18</v>
      </c>
      <c r="L4054" s="17" t="str">
        <f>Raw_Data!L4054</f>
        <v>Chennai-South</v>
      </c>
      <c r="M4054" s="13" t="str">
        <f t="shared" si="3"/>
        <v>OK</v>
      </c>
      <c r="N4054" s="18" t="str">
        <f t="shared" si="4"/>
        <v>VALID</v>
      </c>
    </row>
    <row r="4055" ht="15.75" customHeight="1">
      <c r="A4055" s="13" t="str">
        <f>Raw_Data!A4055</f>
        <v>EMP4284</v>
      </c>
      <c r="B4055" s="13" t="str">
        <f>TRIM(CLEAN(Raw_Data!B4055))</f>
        <v>Sales</v>
      </c>
      <c r="C4055" s="18" t="s">
        <v>14</v>
      </c>
      <c r="D4055" s="14" t="str">
        <f>IF(ISBLANK(Raw_Data!D4055),AVERAGE(Raw_Data!D$2:D$5002),Raw_Data!D4055)</f>
        <v>94659.92</v>
      </c>
      <c r="E4055" s="15" t="str">
        <f>IF(ISBLANK(Raw_Data!E4055),AVERAGE(Raw_Data!E$2:E$5002),Raw_Data!E4055)</f>
        <v>33760.08</v>
      </c>
      <c r="F4055" s="15" t="str">
        <f>IF(ISBLANK(Raw_Data!F4055),AVERAGE(Raw_Data!F$2:F$5002),Raw_Data!F4055)</f>
        <v>33072.39</v>
      </c>
      <c r="G4055" s="14" t="str">
        <f>IF(ISBLANK(Raw_Data!G4055),AVERAGE(Raw_Data!G$2:G$5002),Raw_Data!G4055)</f>
        <v>21464.89</v>
      </c>
      <c r="H4055" s="15" t="str">
        <f t="shared" si="1"/>
        <v>161492.00</v>
      </c>
      <c r="I4055" s="14" t="str">
        <f t="shared" si="2"/>
        <v>140027.00</v>
      </c>
      <c r="J4055" s="16" t="str">
        <f>TEXT(Raw_Data!J4055,"MMM-YYY")</f>
        <v>May-2025</v>
      </c>
      <c r="K4055" s="13" t="str">
        <f>Raw_Data!K4055</f>
        <v>24</v>
      </c>
      <c r="L4055" s="17" t="str">
        <f>Raw_Data!L4055</f>
        <v>Kolkata-East</v>
      </c>
      <c r="M4055" s="13" t="str">
        <f t="shared" si="3"/>
        <v>OK</v>
      </c>
      <c r="N4055" s="18" t="str">
        <f t="shared" si="4"/>
        <v>VALID</v>
      </c>
    </row>
    <row r="4056" ht="15.75" customHeight="1">
      <c r="A4056" s="13" t="str">
        <f>Raw_Data!A4056</f>
        <v>EMP4285</v>
      </c>
      <c r="B4056" s="13" t="str">
        <f>TRIM(CLEAN(Raw_Data!B4056))</f>
        <v>HR</v>
      </c>
      <c r="C4056" s="18" t="s">
        <v>14</v>
      </c>
      <c r="D4056" s="14" t="str">
        <f>IF(ISBLANK(Raw_Data!D4056),AVERAGE(Raw_Data!D$2:D$5002),Raw_Data!D4056)</f>
        <v>94670.81</v>
      </c>
      <c r="E4056" s="15" t="str">
        <f>IF(ISBLANK(Raw_Data!E4056),AVERAGE(Raw_Data!E$2:E$5002),Raw_Data!E4056)</f>
        <v>33764.69</v>
      </c>
      <c r="F4056" s="15" t="str">
        <f>IF(ISBLANK(Raw_Data!F4056),AVERAGE(Raw_Data!F$2:F$5002),Raw_Data!F4056)</f>
        <v>33080.07</v>
      </c>
      <c r="G4056" s="14" t="str">
        <f>IF(ISBLANK(Raw_Data!G4056),AVERAGE(Raw_Data!G$2:G$5002),Raw_Data!G4056)</f>
        <v>21468.28</v>
      </c>
      <c r="H4056" s="15" t="str">
        <f t="shared" si="1"/>
        <v>161516.00</v>
      </c>
      <c r="I4056" s="14" t="str">
        <f t="shared" si="2"/>
        <v>140048.00</v>
      </c>
      <c r="J4056" s="16" t="str">
        <f>TEXT(Raw_Data!J4056,"MMM-YYY")</f>
        <v>Oct-2025</v>
      </c>
      <c r="K4056" s="13" t="str">
        <f>Raw_Data!K4056</f>
        <v>16</v>
      </c>
      <c r="L4056" s="17" t="str">
        <f>Raw_Data!L4056</f>
        <v>Pune-West</v>
      </c>
      <c r="M4056" s="13" t="str">
        <f t="shared" si="3"/>
        <v>OK</v>
      </c>
      <c r="N4056" s="18" t="str">
        <f t="shared" si="4"/>
        <v>VALID</v>
      </c>
    </row>
    <row r="4057" ht="15.75" customHeight="1">
      <c r="A4057" s="13" t="str">
        <f>Raw_Data!A4057</f>
        <v>EMP4286</v>
      </c>
      <c r="B4057" s="13" t="str">
        <f>TRIM(CLEAN(Raw_Data!B4057))</f>
        <v>Finance</v>
      </c>
      <c r="C4057" s="18" t="s">
        <v>26</v>
      </c>
      <c r="D4057" s="14" t="str">
        <f>IF(ISBLANK(Raw_Data!D4057),AVERAGE(Raw_Data!D$2:D$5002),Raw_Data!D4057)</f>
        <v>94681.69</v>
      </c>
      <c r="E4057" s="15" t="str">
        <f>IF(ISBLANK(Raw_Data!E4057),AVERAGE(Raw_Data!E$2:E$5002),Raw_Data!E4057)</f>
        <v>33769.31</v>
      </c>
      <c r="F4057" s="15" t="str">
        <f>IF(ISBLANK(Raw_Data!F4057),AVERAGE(Raw_Data!F$2:F$5002),Raw_Data!F4057)</f>
        <v>33087.75</v>
      </c>
      <c r="G4057" s="14" t="str">
        <f>IF(ISBLANK(Raw_Data!G4057),AVERAGE(Raw_Data!G$2:G$5002),Raw_Data!G4057)</f>
        <v>21471.68</v>
      </c>
      <c r="H4057" s="15" t="str">
        <f t="shared" si="1"/>
        <v>161539.00</v>
      </c>
      <c r="I4057" s="14" t="str">
        <f t="shared" si="2"/>
        <v>140067.00</v>
      </c>
      <c r="J4057" s="16" t="str">
        <f>TEXT(Raw_Data!J4057,"MMM-YYY")</f>
        <v>Jun-2025</v>
      </c>
      <c r="K4057" s="13" t="str">
        <f>Raw_Data!K4057</f>
        <v>14</v>
      </c>
      <c r="L4057" s="17" t="str">
        <f>Raw_Data!L4057</f>
        <v>Hyderabad-South</v>
      </c>
      <c r="M4057" s="13" t="str">
        <f t="shared" si="3"/>
        <v>OK</v>
      </c>
      <c r="N4057" s="18" t="str">
        <f t="shared" si="4"/>
        <v>VALID</v>
      </c>
    </row>
    <row r="4058" ht="15.75" customHeight="1">
      <c r="A4058" s="13" t="str">
        <f>Raw_Data!A4058</f>
        <v>EMP4287</v>
      </c>
      <c r="B4058" s="13" t="str">
        <f>TRIM(CLEAN(Raw_Data!B4058))</f>
        <v>Sales</v>
      </c>
      <c r="C4058" s="18" t="s">
        <v>26</v>
      </c>
      <c r="D4058" s="14" t="str">
        <f>IF(ISBLANK(Raw_Data!D4058),AVERAGE(Raw_Data!D$2:D$5002),Raw_Data!D4058)</f>
        <v>94692.57</v>
      </c>
      <c r="E4058" s="15" t="str">
        <f>IF(ISBLANK(Raw_Data!E4058),AVERAGE(Raw_Data!E$2:E$5002),Raw_Data!E4058)</f>
        <v>33773.92</v>
      </c>
      <c r="F4058" s="15" t="str">
        <f>IF(ISBLANK(Raw_Data!F4058),AVERAGE(Raw_Data!F$2:F$5002),Raw_Data!F4058)</f>
        <v>33095.43</v>
      </c>
      <c r="G4058" s="14" t="str">
        <f>IF(ISBLANK(Raw_Data!G4058),AVERAGE(Raw_Data!G$2:G$5002),Raw_Data!G4058)</f>
        <v>14562.73</v>
      </c>
      <c r="H4058" s="15" t="str">
        <f t="shared" si="1"/>
        <v>161562.00</v>
      </c>
      <c r="I4058" s="14" t="str">
        <f t="shared" si="2"/>
        <v>146999.00</v>
      </c>
      <c r="J4058" s="16" t="str">
        <f>TEXT(Raw_Data!J4058,"MMM-YYY")</f>
        <v>Aug-2025</v>
      </c>
      <c r="K4058" s="13" t="str">
        <f>Raw_Data!K4058</f>
        <v>14</v>
      </c>
      <c r="L4058" s="17" t="str">
        <f>Raw_Data!L4058</f>
        <v>Chandigarh-North</v>
      </c>
      <c r="M4058" s="13" t="str">
        <f t="shared" si="3"/>
        <v>OK</v>
      </c>
      <c r="N4058" s="18" t="str">
        <f t="shared" si="4"/>
        <v>VALID</v>
      </c>
    </row>
    <row r="4059" ht="15.75" customHeight="1">
      <c r="A4059" s="13" t="str">
        <f>Raw_Data!A4059</f>
        <v>EMP4288</v>
      </c>
      <c r="B4059" s="13" t="str">
        <f>TRIM(CLEAN(Raw_Data!B4059))</f>
        <v>Finance</v>
      </c>
      <c r="C4059" s="18" t="s">
        <v>26</v>
      </c>
      <c r="D4059" s="14" t="str">
        <f>IF(ISBLANK(Raw_Data!D4059),AVERAGE(Raw_Data!D$2:D$5002),Raw_Data!D4059)</f>
        <v>94703.45</v>
      </c>
      <c r="E4059" s="15" t="str">
        <f>IF(ISBLANK(Raw_Data!E4059),AVERAGE(Raw_Data!E$2:E$5002),Raw_Data!E4059)</f>
        <v>33778.54</v>
      </c>
      <c r="F4059" s="15" t="str">
        <f>IF(ISBLANK(Raw_Data!F4059),AVERAGE(Raw_Data!F$2:F$5002),Raw_Data!F4059)</f>
        <v>33103.11</v>
      </c>
      <c r="G4059" s="14" t="str">
        <f>IF(ISBLANK(Raw_Data!G4059),AVERAGE(Raw_Data!G$2:G$5002),Raw_Data!G4059)</f>
        <v>21478.48</v>
      </c>
      <c r="H4059" s="15" t="str">
        <f t="shared" si="1"/>
        <v>161585.00</v>
      </c>
      <c r="I4059" s="14" t="str">
        <f t="shared" si="2"/>
        <v>140107.00</v>
      </c>
      <c r="J4059" s="16" t="str">
        <f>TEXT(Raw_Data!J4059,"MMM-YYY")</f>
        <v>May-2025</v>
      </c>
      <c r="K4059" s="13" t="str">
        <f>Raw_Data!K4059</f>
        <v>15</v>
      </c>
      <c r="L4059" s="17" t="str">
        <f>Raw_Data!L4059</f>
        <v>Ahmedabad-West</v>
      </c>
      <c r="M4059" s="13" t="str">
        <f t="shared" si="3"/>
        <v>OK</v>
      </c>
      <c r="N4059" s="18" t="str">
        <f t="shared" si="4"/>
        <v>VALID</v>
      </c>
    </row>
    <row r="4060" ht="15.75" customHeight="1">
      <c r="A4060" s="13" t="str">
        <f>Raw_Data!A4060</f>
        <v>EMP4289</v>
      </c>
      <c r="B4060" s="13" t="str">
        <f>TRIM(CLEAN(Raw_Data!B4060))</f>
        <v>HR</v>
      </c>
      <c r="C4060" s="18" t="s">
        <v>18</v>
      </c>
      <c r="D4060" s="14" t="str">
        <f>IF(ISBLANK(Raw_Data!D4060),AVERAGE(Raw_Data!D$2:D$5002),Raw_Data!D4060)</f>
        <v>94714.34</v>
      </c>
      <c r="E4060" s="15" t="str">
        <f>IF(ISBLANK(Raw_Data!E4060),AVERAGE(Raw_Data!E$2:E$5002),Raw_Data!E4060)</f>
        <v>33783.15</v>
      </c>
      <c r="F4060" s="15" t="str">
        <f>IF(ISBLANK(Raw_Data!F4060),AVERAGE(Raw_Data!F$2:F$5002),Raw_Data!F4060)</f>
        <v>33110.79</v>
      </c>
      <c r="G4060" s="14" t="str">
        <f>IF(ISBLANK(Raw_Data!G4060),AVERAGE(Raw_Data!G$2:G$5002),Raw_Data!G4060)</f>
        <v>21481.87</v>
      </c>
      <c r="H4060" s="15" t="str">
        <f t="shared" si="1"/>
        <v>161608.00</v>
      </c>
      <c r="I4060" s="14" t="str">
        <f t="shared" si="2"/>
        <v>140126.00</v>
      </c>
      <c r="J4060" s="16" t="str">
        <f>TEXT(Raw_Data!J4060,"MMM-YYY")</f>
        <v>Sep-2025</v>
      </c>
      <c r="K4060" s="13" t="str">
        <f>Raw_Data!K4060</f>
        <v>8</v>
      </c>
      <c r="L4060" s="17" t="str">
        <f>Raw_Data!L4060</f>
        <v>Jaipur-North</v>
      </c>
      <c r="M4060" s="13" t="str">
        <f t="shared" si="3"/>
        <v>OK</v>
      </c>
      <c r="N4060" s="18" t="str">
        <f t="shared" si="4"/>
        <v>VALID</v>
      </c>
    </row>
    <row r="4061" ht="15.75" customHeight="1">
      <c r="A4061" s="13" t="str">
        <f>Raw_Data!A4061</f>
        <v>EMP4290</v>
      </c>
      <c r="B4061" s="13" t="str">
        <f>TRIM(CLEAN(Raw_Data!B4061))</f>
        <v>Operations</v>
      </c>
      <c r="C4061" s="18" t="s">
        <v>54</v>
      </c>
      <c r="D4061" s="14" t="str">
        <f>IF(ISBLANK(Raw_Data!D4061),AVERAGE(Raw_Data!D$2:D$5002),Raw_Data!D4061)</f>
        <v>94725.22</v>
      </c>
      <c r="E4061" s="15" t="str">
        <f>IF(ISBLANK(Raw_Data!E4061),AVERAGE(Raw_Data!E$2:E$5002),Raw_Data!E4061)</f>
        <v>33787.77</v>
      </c>
      <c r="F4061" s="15" t="str">
        <f>IF(ISBLANK(Raw_Data!F4061),AVERAGE(Raw_Data!F$2:F$5002),Raw_Data!F4061)</f>
        <v>33118.47</v>
      </c>
      <c r="G4061" s="14" t="str">
        <f>IF(ISBLANK(Raw_Data!G4061),AVERAGE(Raw_Data!G$2:G$5002),Raw_Data!G4061)</f>
        <v>21485.27</v>
      </c>
      <c r="H4061" s="15" t="str">
        <f t="shared" si="1"/>
        <v>161631.00</v>
      </c>
      <c r="I4061" s="14" t="str">
        <f t="shared" si="2"/>
        <v>140146.00</v>
      </c>
      <c r="J4061" s="16" t="str">
        <f>TEXT(Raw_Data!J4061,"MMM-YYY")</f>
        <v>Oct-2025</v>
      </c>
      <c r="K4061" s="13" t="str">
        <f>Raw_Data!K4061</f>
        <v>19</v>
      </c>
      <c r="L4061" s="17" t="str">
        <f>Raw_Data!L4061</f>
        <v>Mumbai-HO</v>
      </c>
      <c r="M4061" s="13" t="str">
        <f t="shared" si="3"/>
        <v>OK</v>
      </c>
      <c r="N4061" s="18" t="str">
        <f t="shared" si="4"/>
        <v>VALID</v>
      </c>
    </row>
    <row r="4062" ht="15.75" customHeight="1">
      <c r="A4062" s="13" t="str">
        <f>Raw_Data!A4062</f>
        <v>EMP4291</v>
      </c>
      <c r="B4062" s="13" t="str">
        <f>TRIM(CLEAN(Raw_Data!B4062))</f>
        <v>HR</v>
      </c>
      <c r="C4062" s="18" t="s">
        <v>30</v>
      </c>
      <c r="D4062" s="14" t="str">
        <f>IF(ISBLANK(Raw_Data!D4062),AVERAGE(Raw_Data!D$2:D$5002),Raw_Data!D4062)</f>
        <v>94736.10</v>
      </c>
      <c r="E4062" s="15" t="str">
        <f>IF(ISBLANK(Raw_Data!E4062),AVERAGE(Raw_Data!E$2:E$5002),Raw_Data!E4062)</f>
        <v>33792.38</v>
      </c>
      <c r="F4062" s="15" t="str">
        <f>IF(ISBLANK(Raw_Data!F4062),AVERAGE(Raw_Data!F$2:F$5002),Raw_Data!F4062)</f>
        <v>33126.15</v>
      </c>
      <c r="G4062" s="14" t="str">
        <f>IF(ISBLANK(Raw_Data!G4062),AVERAGE(Raw_Data!G$2:G$5002),Raw_Data!G4062)</f>
        <v>21488.67</v>
      </c>
      <c r="H4062" s="15" t="str">
        <f t="shared" si="1"/>
        <v>161655.00</v>
      </c>
      <c r="I4062" s="14" t="str">
        <f t="shared" si="2"/>
        <v>140166.00</v>
      </c>
      <c r="J4062" s="16" t="str">
        <f>TEXT(Raw_Data!J4062,"MMM-YYY")</f>
        <v>Aug-2025</v>
      </c>
      <c r="K4062" s="13" t="str">
        <f>Raw_Data!K4062</f>
        <v>25</v>
      </c>
      <c r="L4062" s="17" t="str">
        <f>Raw_Data!L4062</f>
        <v>Delhi-North</v>
      </c>
      <c r="M4062" s="13" t="str">
        <f t="shared" si="3"/>
        <v>OK</v>
      </c>
      <c r="N4062" s="18" t="str">
        <f t="shared" si="4"/>
        <v>VALID</v>
      </c>
    </row>
    <row r="4063" ht="15.75" customHeight="1">
      <c r="A4063" s="13" t="str">
        <f>Raw_Data!A4063</f>
        <v>EMP4292</v>
      </c>
      <c r="B4063" s="13" t="str">
        <f>TRIM(CLEAN(Raw_Data!B4063))</f>
        <v>Sales</v>
      </c>
      <c r="C4063" s="18" t="s">
        <v>54</v>
      </c>
      <c r="D4063" s="14" t="str">
        <f>IF(ISBLANK(Raw_Data!D4063),AVERAGE(Raw_Data!D$2:D$5002),Raw_Data!D4063)</f>
        <v>94746.99</v>
      </c>
      <c r="E4063" s="15" t="str">
        <f>IF(ISBLANK(Raw_Data!E4063),AVERAGE(Raw_Data!E$2:E$5002),Raw_Data!E4063)</f>
        <v>33797.00</v>
      </c>
      <c r="F4063" s="15" t="str">
        <f>IF(ISBLANK(Raw_Data!F4063),AVERAGE(Raw_Data!F$2:F$5002),Raw_Data!F4063)</f>
        <v>33133.83</v>
      </c>
      <c r="G4063" s="14" t="str">
        <f>IF(ISBLANK(Raw_Data!G4063),AVERAGE(Raw_Data!G$2:G$5002),Raw_Data!G4063)</f>
        <v>21492.07</v>
      </c>
      <c r="H4063" s="15" t="str">
        <f t="shared" si="1"/>
        <v>161678.00</v>
      </c>
      <c r="I4063" s="14" t="str">
        <f t="shared" si="2"/>
        <v>140186.00</v>
      </c>
      <c r="J4063" s="16" t="str">
        <f>TEXT(Raw_Data!J4063,"MMM-YYY")</f>
        <v>Oct-2025</v>
      </c>
      <c r="K4063" s="13" t="str">
        <f>Raw_Data!K4063</f>
        <v>15</v>
      </c>
      <c r="L4063" s="17" t="str">
        <f>Raw_Data!L4063</f>
        <v>Bangalore-South</v>
      </c>
      <c r="M4063" s="13" t="str">
        <f t="shared" si="3"/>
        <v>OK</v>
      </c>
      <c r="N4063" s="18" t="str">
        <f t="shared" si="4"/>
        <v>VALID</v>
      </c>
    </row>
    <row r="4064" ht="15.75" customHeight="1">
      <c r="A4064" s="13" t="str">
        <f>Raw_Data!A4064</f>
        <v>EMP4293</v>
      </c>
      <c r="B4064" s="13" t="str">
        <f>TRIM(CLEAN(Raw_Data!B4064))</f>
        <v>Customer Support</v>
      </c>
      <c r="C4064" s="18" t="s">
        <v>26</v>
      </c>
      <c r="D4064" s="14" t="str">
        <f>IF(ISBLANK(Raw_Data!D4064),AVERAGE(Raw_Data!D$2:D$5002),Raw_Data!D4064)</f>
        <v>94757.87</v>
      </c>
      <c r="E4064" s="15" t="str">
        <f>IF(ISBLANK(Raw_Data!E4064),AVERAGE(Raw_Data!E$2:E$5002),Raw_Data!E4064)</f>
        <v>33801.61</v>
      </c>
      <c r="F4064" s="15" t="str">
        <f>IF(ISBLANK(Raw_Data!F4064),AVERAGE(Raw_Data!F$2:F$5002),Raw_Data!F4064)</f>
        <v>33141.51</v>
      </c>
      <c r="G4064" s="14" t="str">
        <f>IF(ISBLANK(Raw_Data!G4064),AVERAGE(Raw_Data!G$2:G$5002),Raw_Data!G4064)</f>
        <v>21495.46</v>
      </c>
      <c r="H4064" s="15" t="str">
        <f t="shared" si="1"/>
        <v>161701.00</v>
      </c>
      <c r="I4064" s="14" t="str">
        <f t="shared" si="2"/>
        <v>140206.00</v>
      </c>
      <c r="J4064" s="16" t="str">
        <f>TEXT(Raw_Data!J4064,"MMM-YYY")</f>
        <v>Nov-2025</v>
      </c>
      <c r="K4064" s="13" t="str">
        <f>Raw_Data!K4064</f>
        <v>18</v>
      </c>
      <c r="L4064" s="17" t="str">
        <f>Raw_Data!L4064</f>
        <v>Chennai-South</v>
      </c>
      <c r="M4064" s="13" t="str">
        <f t="shared" si="3"/>
        <v>OK</v>
      </c>
      <c r="N4064" s="18" t="str">
        <f t="shared" si="4"/>
        <v>VALID</v>
      </c>
    </row>
    <row r="4065" ht="15.75" customHeight="1">
      <c r="A4065" s="13" t="str">
        <f>Raw_Data!A4065</f>
        <v>EMP4294</v>
      </c>
      <c r="B4065" s="13" t="str">
        <f>TRIM(CLEAN(Raw_Data!B4065))</f>
        <v>Marketing</v>
      </c>
      <c r="C4065" s="18" t="s">
        <v>33</v>
      </c>
      <c r="D4065" s="14" t="str">
        <f>IF(ISBLANK(Raw_Data!D4065),AVERAGE(Raw_Data!D$2:D$5002),Raw_Data!D4065)</f>
        <v>94768.75</v>
      </c>
      <c r="E4065" s="15" t="str">
        <f>IF(ISBLANK(Raw_Data!E4065),AVERAGE(Raw_Data!E$2:E$5002),Raw_Data!E4065)</f>
        <v>33806.22</v>
      </c>
      <c r="F4065" s="15" t="str">
        <f>IF(ISBLANK(Raw_Data!F4065),AVERAGE(Raw_Data!F$2:F$5002),Raw_Data!F4065)</f>
        <v>33149.19</v>
      </c>
      <c r="G4065" s="14" t="str">
        <f>IF(ISBLANK(Raw_Data!G4065),AVERAGE(Raw_Data!G$2:G$5002),Raw_Data!G4065)</f>
        <v>21498.86</v>
      </c>
      <c r="H4065" s="15" t="str">
        <f t="shared" si="1"/>
        <v>161724.00</v>
      </c>
      <c r="I4065" s="14" t="str">
        <f t="shared" si="2"/>
        <v>140225.00</v>
      </c>
      <c r="J4065" s="16" t="str">
        <f>TEXT(Raw_Data!J4065,"MMM-YYY")</f>
        <v>Sep-2025</v>
      </c>
      <c r="K4065" s="13" t="str">
        <f>Raw_Data!K4065</f>
        <v>25</v>
      </c>
      <c r="L4065" s="17" t="str">
        <f>Raw_Data!L4065</f>
        <v>Kolkata-East</v>
      </c>
      <c r="M4065" s="13" t="str">
        <f t="shared" si="3"/>
        <v>OK</v>
      </c>
      <c r="N4065" s="18" t="str">
        <f t="shared" si="4"/>
        <v>VALID</v>
      </c>
    </row>
    <row r="4066" ht="15.75" customHeight="1">
      <c r="A4066" s="13" t="str">
        <f>Raw_Data!A4066</f>
        <v>EMP4295</v>
      </c>
      <c r="B4066" s="13" t="str">
        <f>TRIM(CLEAN(Raw_Data!B4066))</f>
        <v>IT</v>
      </c>
      <c r="C4066" s="18" t="s">
        <v>26</v>
      </c>
      <c r="D4066" s="14" t="str">
        <f>IF(ISBLANK(Raw_Data!D4066),AVERAGE(Raw_Data!D$2:D$5002),Raw_Data!D4066)</f>
        <v>94779.64</v>
      </c>
      <c r="E4066" s="15" t="str">
        <f>IF(ISBLANK(Raw_Data!E4066),AVERAGE(Raw_Data!E$2:E$5002),Raw_Data!E4066)</f>
        <v>33810.84</v>
      </c>
      <c r="F4066" s="15" t="str">
        <f>IF(ISBLANK(Raw_Data!F4066),AVERAGE(Raw_Data!F$2:F$5002),Raw_Data!F4066)</f>
        <v>33156.87</v>
      </c>
      <c r="G4066" s="14" t="str">
        <f>IF(ISBLANK(Raw_Data!G4066),AVERAGE(Raw_Data!G$2:G$5002),Raw_Data!G4066)</f>
        <v>21502.26</v>
      </c>
      <c r="H4066" s="15" t="str">
        <f t="shared" si="1"/>
        <v>161747.00</v>
      </c>
      <c r="I4066" s="14" t="str">
        <f t="shared" si="2"/>
        <v>140245.00</v>
      </c>
      <c r="J4066" s="16" t="str">
        <f>TEXT(Raw_Data!J4066,"MMM-YYY")</f>
        <v>May-2025</v>
      </c>
      <c r="K4066" s="13" t="str">
        <f>Raw_Data!K4066</f>
        <v>2</v>
      </c>
      <c r="L4066" s="17" t="str">
        <f>Raw_Data!L4066</f>
        <v>Pune-West</v>
      </c>
      <c r="M4066" s="13" t="str">
        <f t="shared" si="3"/>
        <v>OK</v>
      </c>
      <c r="N4066" s="18" t="str">
        <f t="shared" si="4"/>
        <v>VALID</v>
      </c>
    </row>
    <row r="4067" ht="15.75" customHeight="1">
      <c r="A4067" s="13" t="str">
        <f>Raw_Data!A4067</f>
        <v>EMP4296</v>
      </c>
      <c r="B4067" s="13" t="str">
        <f>TRIM(CLEAN(Raw_Data!B4067))</f>
        <v>Sales</v>
      </c>
      <c r="C4067" s="18" t="s">
        <v>18</v>
      </c>
      <c r="D4067" s="14" t="str">
        <f>IF(ISBLANK(Raw_Data!D4067),AVERAGE(Raw_Data!D$2:D$5002),Raw_Data!D4067)</f>
        <v>94790.52</v>
      </c>
      <c r="E4067" s="15" t="str">
        <f>IF(ISBLANK(Raw_Data!E4067),AVERAGE(Raw_Data!E$2:E$5002),Raw_Data!E4067)</f>
        <v>33815.45</v>
      </c>
      <c r="F4067" s="15" t="str">
        <f>IF(ISBLANK(Raw_Data!F4067),AVERAGE(Raw_Data!F$2:F$5002),Raw_Data!F4067)</f>
        <v>33164.55</v>
      </c>
      <c r="G4067" s="14" t="str">
        <f>IF(ISBLANK(Raw_Data!G4067),AVERAGE(Raw_Data!G$2:G$5002),Raw_Data!G4067)</f>
        <v>21505.66</v>
      </c>
      <c r="H4067" s="15" t="str">
        <f t="shared" si="1"/>
        <v>161771.00</v>
      </c>
      <c r="I4067" s="14" t="str">
        <f t="shared" si="2"/>
        <v>140265.00</v>
      </c>
      <c r="J4067" s="16" t="str">
        <f>TEXT(Raw_Data!J4067,"MMM-YYY")</f>
        <v>Mar-2025</v>
      </c>
      <c r="K4067" s="13" t="str">
        <f>Raw_Data!K4067</f>
        <v>16</v>
      </c>
      <c r="L4067" s="17" t="str">
        <f>Raw_Data!L4067</f>
        <v>Hyderabad-South</v>
      </c>
      <c r="M4067" s="13" t="str">
        <f t="shared" si="3"/>
        <v>OK</v>
      </c>
      <c r="N4067" s="18" t="str">
        <f t="shared" si="4"/>
        <v>VALID</v>
      </c>
    </row>
    <row r="4068" ht="15.75" customHeight="1">
      <c r="A4068" s="13" t="str">
        <f>Raw_Data!A4068</f>
        <v>EMP4297</v>
      </c>
      <c r="B4068" s="13" t="str">
        <f>TRIM(CLEAN(Raw_Data!B4068))</f>
        <v>Operations</v>
      </c>
      <c r="C4068" s="18" t="s">
        <v>30</v>
      </c>
      <c r="D4068" s="14" t="str">
        <f>IF(ISBLANK(Raw_Data!D4068),AVERAGE(Raw_Data!D$2:D$5002),Raw_Data!D4068)</f>
        <v>94801.40</v>
      </c>
      <c r="E4068" s="15" t="str">
        <f>IF(ISBLANK(Raw_Data!E4068),AVERAGE(Raw_Data!E$2:E$5002),Raw_Data!E4068)</f>
        <v>33820.07</v>
      </c>
      <c r="F4068" s="15" t="str">
        <f>IF(ISBLANK(Raw_Data!F4068),AVERAGE(Raw_Data!F$2:F$5002),Raw_Data!F4068)</f>
        <v>33172.23</v>
      </c>
      <c r="G4068" s="14" t="str">
        <f>IF(ISBLANK(Raw_Data!G4068),AVERAGE(Raw_Data!G$2:G$5002),Raw_Data!G4068)</f>
        <v>21509.05</v>
      </c>
      <c r="H4068" s="15" t="str">
        <f t="shared" si="1"/>
        <v>161794.00</v>
      </c>
      <c r="I4068" s="14" t="str">
        <f t="shared" si="2"/>
        <v>140285.00</v>
      </c>
      <c r="J4068" s="16" t="str">
        <f>TEXT(Raw_Data!J4068,"MMM-YYY")</f>
        <v>May-2025</v>
      </c>
      <c r="K4068" s="13" t="str">
        <f>Raw_Data!K4068</f>
        <v>11</v>
      </c>
      <c r="L4068" s="17" t="str">
        <f>Raw_Data!L4068</f>
        <v>Chandigarh-North</v>
      </c>
      <c r="M4068" s="13" t="str">
        <f t="shared" si="3"/>
        <v>OK</v>
      </c>
      <c r="N4068" s="18" t="str">
        <f t="shared" si="4"/>
        <v>VALID</v>
      </c>
    </row>
    <row r="4069" ht="15.75" customHeight="1">
      <c r="A4069" s="13" t="str">
        <f>Raw_Data!A4069</f>
        <v>EMP4298</v>
      </c>
      <c r="B4069" s="13" t="str">
        <f>TRIM(CLEAN(Raw_Data!B4069))</f>
        <v>IT</v>
      </c>
      <c r="C4069" s="18" t="s">
        <v>14</v>
      </c>
      <c r="D4069" s="14" t="str">
        <f>IF(ISBLANK(Raw_Data!D4069),AVERAGE(Raw_Data!D$2:D$5002),Raw_Data!D4069)</f>
        <v>94812.28</v>
      </c>
      <c r="E4069" s="15" t="str">
        <f>IF(ISBLANK(Raw_Data!E4069),AVERAGE(Raw_Data!E$2:E$5002),Raw_Data!E4069)</f>
        <v>33824.68</v>
      </c>
      <c r="F4069" s="15" t="str">
        <f>IF(ISBLANK(Raw_Data!F4069),AVERAGE(Raw_Data!F$2:F$5002),Raw_Data!F4069)</f>
        <v>33179.91</v>
      </c>
      <c r="G4069" s="14" t="str">
        <f>IF(ISBLANK(Raw_Data!G4069),AVERAGE(Raw_Data!G$2:G$5002),Raw_Data!G4069)</f>
        <v>21512.45</v>
      </c>
      <c r="H4069" s="15" t="str">
        <f t="shared" si="1"/>
        <v>161817.00</v>
      </c>
      <c r="I4069" s="14" t="str">
        <f t="shared" si="2"/>
        <v>140305.00</v>
      </c>
      <c r="J4069" s="16" t="str">
        <f>TEXT(Raw_Data!J4069,"MMM-YYY")</f>
        <v>Aug-2025</v>
      </c>
      <c r="K4069" s="13" t="str">
        <f>Raw_Data!K4069</f>
        <v>15</v>
      </c>
      <c r="L4069" s="17" t="str">
        <f>Raw_Data!L4069</f>
        <v>Ahmedabad-West</v>
      </c>
      <c r="M4069" s="13" t="str">
        <f t="shared" si="3"/>
        <v>OK</v>
      </c>
      <c r="N4069" s="18" t="str">
        <f t="shared" si="4"/>
        <v>VALID</v>
      </c>
    </row>
    <row r="4070" ht="15.75" customHeight="1">
      <c r="A4070" s="13" t="str">
        <f>Raw_Data!A4070</f>
        <v>EMP4299</v>
      </c>
      <c r="B4070" s="13" t="str">
        <f>TRIM(CLEAN(Raw_Data!B4070))</f>
        <v>HR</v>
      </c>
      <c r="C4070" s="18" t="s">
        <v>37</v>
      </c>
      <c r="D4070" s="14" t="str">
        <f>IF(ISBLANK(Raw_Data!D4070),AVERAGE(Raw_Data!D$2:D$5002),Raw_Data!D4070)</f>
        <v>94823.17</v>
      </c>
      <c r="E4070" s="15" t="str">
        <f>IF(ISBLANK(Raw_Data!E4070),AVERAGE(Raw_Data!E$2:E$5002),Raw_Data!E4070)</f>
        <v>33829.30</v>
      </c>
      <c r="F4070" s="15" t="str">
        <f>IF(ISBLANK(Raw_Data!F4070),AVERAGE(Raw_Data!F$2:F$5002),Raw_Data!F4070)</f>
        <v>33187.59</v>
      </c>
      <c r="G4070" s="14" t="str">
        <f>IF(ISBLANK(Raw_Data!G4070),AVERAGE(Raw_Data!G$2:G$5002),Raw_Data!G4070)</f>
        <v>21515.85</v>
      </c>
      <c r="H4070" s="15" t="str">
        <f t="shared" si="1"/>
        <v>161840.00</v>
      </c>
      <c r="I4070" s="14" t="str">
        <f t="shared" si="2"/>
        <v>140324.00</v>
      </c>
      <c r="J4070" s="16" t="str">
        <f>TEXT(Raw_Data!J4070,"MMM-YYY")</f>
        <v>Oct-2025</v>
      </c>
      <c r="K4070" s="13" t="str">
        <f>Raw_Data!K4070</f>
        <v>16</v>
      </c>
      <c r="L4070" s="17" t="str">
        <f>Raw_Data!L4070</f>
        <v>Jaipur-North</v>
      </c>
      <c r="M4070" s="13" t="str">
        <f t="shared" si="3"/>
        <v>OK</v>
      </c>
      <c r="N4070" s="18" t="str">
        <f t="shared" si="4"/>
        <v>VALID</v>
      </c>
    </row>
    <row r="4071" ht="15.75" customHeight="1">
      <c r="A4071" s="13" t="str">
        <f>Raw_Data!A4071</f>
        <v>EMP4300</v>
      </c>
      <c r="B4071" s="13" t="str">
        <f>TRIM(CLEAN(Raw_Data!B4071))</f>
        <v>Sales</v>
      </c>
      <c r="C4071" s="18" t="s">
        <v>14</v>
      </c>
      <c r="D4071" s="14" t="str">
        <f>IF(ISBLANK(Raw_Data!D4071),AVERAGE(Raw_Data!D$2:D$5002),Raw_Data!D4071)</f>
        <v>94834.05</v>
      </c>
      <c r="E4071" s="15" t="str">
        <f>IF(ISBLANK(Raw_Data!E4071),AVERAGE(Raw_Data!E$2:E$5002),Raw_Data!E4071)</f>
        <v>33833.91</v>
      </c>
      <c r="F4071" s="15" t="str">
        <f>IF(ISBLANK(Raw_Data!F4071),AVERAGE(Raw_Data!F$2:F$5002),Raw_Data!F4071)</f>
        <v>33195.27</v>
      </c>
      <c r="G4071" s="14" t="str">
        <f>IF(ISBLANK(Raw_Data!G4071),AVERAGE(Raw_Data!G$2:G$5002),Raw_Data!G4071)</f>
        <v>21519.25</v>
      </c>
      <c r="H4071" s="15" t="str">
        <f t="shared" si="1"/>
        <v>161863.00</v>
      </c>
      <c r="I4071" s="14" t="str">
        <f t="shared" si="2"/>
        <v>140344.00</v>
      </c>
      <c r="J4071" s="16" t="str">
        <f>TEXT(Raw_Data!J4071,"MMM-YYY")</f>
        <v>Jul-2025</v>
      </c>
      <c r="K4071" s="13" t="str">
        <f>Raw_Data!K4071</f>
        <v>12</v>
      </c>
      <c r="L4071" s="17" t="str">
        <f>Raw_Data!L4071</f>
        <v>Mumbai-HO</v>
      </c>
      <c r="M4071" s="13" t="str">
        <f t="shared" si="3"/>
        <v>OK</v>
      </c>
      <c r="N4071" s="18" t="str">
        <f t="shared" si="4"/>
        <v>VALID</v>
      </c>
    </row>
    <row r="4072" ht="15.75" customHeight="1">
      <c r="A4072" s="13" t="str">
        <f>Raw_Data!A4072</f>
        <v>EMP4301</v>
      </c>
      <c r="B4072" s="13" t="str">
        <f>TRIM(CLEAN(Raw_Data!B4072))</f>
        <v>Marketing</v>
      </c>
      <c r="C4072" s="18" t="s">
        <v>18</v>
      </c>
      <c r="D4072" s="14" t="str">
        <f>IF(ISBLANK(Raw_Data!D4072),AVERAGE(Raw_Data!D$2:D$5002),Raw_Data!D4072)</f>
        <v>94844.93</v>
      </c>
      <c r="E4072" s="15" t="str">
        <f>IF(ISBLANK(Raw_Data!E4072),AVERAGE(Raw_Data!E$2:E$5002),Raw_Data!E4072)</f>
        <v>33838.53</v>
      </c>
      <c r="F4072" s="15" t="str">
        <f>IF(ISBLANK(Raw_Data!F4072),AVERAGE(Raw_Data!F$2:F$5002),Raw_Data!F4072)</f>
        <v>33202.95</v>
      </c>
      <c r="G4072" s="14" t="str">
        <f>IF(ISBLANK(Raw_Data!G4072),AVERAGE(Raw_Data!G$2:G$5002),Raw_Data!G4072)</f>
        <v>21522.64</v>
      </c>
      <c r="H4072" s="15" t="str">
        <f t="shared" si="1"/>
        <v>161886.00</v>
      </c>
      <c r="I4072" s="14" t="str">
        <f t="shared" si="2"/>
        <v>140363.00</v>
      </c>
      <c r="J4072" s="16" t="str">
        <f>TEXT(Raw_Data!J4072,"MMM-YYY")</f>
        <v>Apr-2025</v>
      </c>
      <c r="K4072" s="13" t="str">
        <f>Raw_Data!K4072</f>
        <v>11</v>
      </c>
      <c r="L4072" s="17" t="str">
        <f>Raw_Data!L4072</f>
        <v>Delhi-North</v>
      </c>
      <c r="M4072" s="13" t="str">
        <f t="shared" si="3"/>
        <v>OK</v>
      </c>
      <c r="N4072" s="18" t="str">
        <f t="shared" si="4"/>
        <v>VALID</v>
      </c>
    </row>
    <row r="4073" ht="15.75" customHeight="1">
      <c r="A4073" s="13" t="str">
        <f>Raw_Data!A4073</f>
        <v>EMP4302</v>
      </c>
      <c r="B4073" s="13" t="str">
        <f>TRIM(CLEAN(Raw_Data!B4073))</f>
        <v>Customer Support</v>
      </c>
      <c r="C4073" s="18" t="s">
        <v>18</v>
      </c>
      <c r="D4073" s="14" t="str">
        <f>IF(ISBLANK(Raw_Data!D4073),AVERAGE(Raw_Data!D$2:D$5002),Raw_Data!D4073)</f>
        <v>94855.82</v>
      </c>
      <c r="E4073" s="15" t="str">
        <f>IF(ISBLANK(Raw_Data!E4073),AVERAGE(Raw_Data!E$2:E$5002),Raw_Data!E4073)</f>
        <v>33843.14</v>
      </c>
      <c r="F4073" s="15" t="str">
        <f>IF(ISBLANK(Raw_Data!F4073),AVERAGE(Raw_Data!F$2:F$5002),Raw_Data!F4073)</f>
        <v>33210.63</v>
      </c>
      <c r="G4073" s="14" t="str">
        <f>IF(ISBLANK(Raw_Data!G4073),AVERAGE(Raw_Data!G$2:G$5002),Raw_Data!G4073)</f>
        <v>21526.04</v>
      </c>
      <c r="H4073" s="15" t="str">
        <f t="shared" si="1"/>
        <v>161910.00</v>
      </c>
      <c r="I4073" s="14" t="str">
        <f t="shared" si="2"/>
        <v>140384.00</v>
      </c>
      <c r="J4073" s="16" t="str">
        <f>TEXT(Raw_Data!J4073,"MMM-YYY")</f>
        <v>Mar-2025</v>
      </c>
      <c r="K4073" s="13" t="str">
        <f>Raw_Data!K4073</f>
        <v>11</v>
      </c>
      <c r="L4073" s="17" t="str">
        <f>Raw_Data!L4073</f>
        <v>Bangalore-South</v>
      </c>
      <c r="M4073" s="13" t="str">
        <f t="shared" si="3"/>
        <v>OK</v>
      </c>
      <c r="N4073" s="18" t="str">
        <f t="shared" si="4"/>
        <v>VALID</v>
      </c>
    </row>
    <row r="4074" ht="15.75" customHeight="1">
      <c r="A4074" s="13" t="str">
        <f>Raw_Data!A4074</f>
        <v>EMP4303</v>
      </c>
      <c r="B4074" s="13" t="str">
        <f>TRIM(CLEAN(Raw_Data!B4074))</f>
        <v>HR</v>
      </c>
      <c r="C4074" s="18" t="s">
        <v>37</v>
      </c>
      <c r="D4074" s="14" t="str">
        <f>IF(ISBLANK(Raw_Data!D4074),AVERAGE(Raw_Data!D$2:D$5002),Raw_Data!D4074)</f>
        <v>94866.70</v>
      </c>
      <c r="E4074" s="15" t="str">
        <f>IF(ISBLANK(Raw_Data!E4074),AVERAGE(Raw_Data!E$2:E$5002),Raw_Data!E4074)</f>
        <v>33847.76</v>
      </c>
      <c r="F4074" s="15" t="str">
        <f>IF(ISBLANK(Raw_Data!F4074),AVERAGE(Raw_Data!F$2:F$5002),Raw_Data!F4074)</f>
        <v>33218.31</v>
      </c>
      <c r="G4074" s="14" t="str">
        <f>IF(ISBLANK(Raw_Data!G4074),AVERAGE(Raw_Data!G$2:G$5002),Raw_Data!G4074)</f>
        <v>21529.44</v>
      </c>
      <c r="H4074" s="15" t="str">
        <f t="shared" si="1"/>
        <v>161933.00</v>
      </c>
      <c r="I4074" s="14" t="str">
        <f t="shared" si="2"/>
        <v>140404.00</v>
      </c>
      <c r="J4074" s="16" t="str">
        <f>TEXT(Raw_Data!J4074,"MMM-YYY")</f>
        <v>Nov-2025</v>
      </c>
      <c r="K4074" s="13" t="str">
        <f>Raw_Data!K4074</f>
        <v>18</v>
      </c>
      <c r="L4074" s="17" t="str">
        <f>Raw_Data!L4074</f>
        <v>Chennai-South</v>
      </c>
      <c r="M4074" s="13" t="str">
        <f t="shared" si="3"/>
        <v>OK</v>
      </c>
      <c r="N4074" s="18" t="str">
        <f t="shared" si="4"/>
        <v>VALID</v>
      </c>
    </row>
    <row r="4075" ht="15.75" customHeight="1">
      <c r="A4075" s="13" t="str">
        <f>Raw_Data!A4075</f>
        <v>EMP4304</v>
      </c>
      <c r="B4075" s="13" t="str">
        <f>TRIM(CLEAN(Raw_Data!B4075))</f>
        <v>Operations</v>
      </c>
      <c r="C4075" s="18" t="s">
        <v>37</v>
      </c>
      <c r="D4075" s="14" t="str">
        <f>IF(ISBLANK(Raw_Data!D4075),AVERAGE(Raw_Data!D$2:D$5002),Raw_Data!D4075)</f>
        <v>94877.58</v>
      </c>
      <c r="E4075" s="15" t="str">
        <f>IF(ISBLANK(Raw_Data!E4075),AVERAGE(Raw_Data!E$2:E$5002),Raw_Data!E4075)</f>
        <v>33852.37</v>
      </c>
      <c r="F4075" s="15" t="str">
        <f>IF(ISBLANK(Raw_Data!F4075),AVERAGE(Raw_Data!F$2:F$5002),Raw_Data!F4075)</f>
        <v>33225.99</v>
      </c>
      <c r="G4075" s="14" t="str">
        <f>IF(ISBLANK(Raw_Data!G4075),AVERAGE(Raw_Data!G$2:G$5002),Raw_Data!G4075)</f>
        <v>21532.84</v>
      </c>
      <c r="H4075" s="15" t="str">
        <f t="shared" si="1"/>
        <v>161956.00</v>
      </c>
      <c r="I4075" s="14" t="str">
        <f t="shared" si="2"/>
        <v>140423.00</v>
      </c>
      <c r="J4075" s="16" t="str">
        <f>TEXT(Raw_Data!J4075,"MMM-YYY")</f>
        <v>Mar-2025</v>
      </c>
      <c r="K4075" s="13" t="str">
        <f>Raw_Data!K4075</f>
        <v>2</v>
      </c>
      <c r="L4075" s="17" t="str">
        <f>Raw_Data!L4075</f>
        <v>Kolkata-East</v>
      </c>
      <c r="M4075" s="13" t="str">
        <f t="shared" si="3"/>
        <v>OK</v>
      </c>
      <c r="N4075" s="18" t="str">
        <f t="shared" si="4"/>
        <v>VALID</v>
      </c>
    </row>
    <row r="4076" ht="15.75" customHeight="1">
      <c r="A4076" s="13" t="str">
        <f>Raw_Data!A4076</f>
        <v>EMP4305</v>
      </c>
      <c r="B4076" s="13" t="str">
        <f>TRIM(CLEAN(Raw_Data!B4076))</f>
        <v>IT</v>
      </c>
      <c r="C4076" s="18" t="s">
        <v>54</v>
      </c>
      <c r="D4076" s="14" t="str">
        <f>IF(ISBLANK(Raw_Data!D4076),AVERAGE(Raw_Data!D$2:D$5002),Raw_Data!D4076)</f>
        <v>94888.46</v>
      </c>
      <c r="E4076" s="15" t="str">
        <f>IF(ISBLANK(Raw_Data!E4076),AVERAGE(Raw_Data!E$2:E$5002),Raw_Data!E4076)</f>
        <v>33856.99</v>
      </c>
      <c r="F4076" s="15" t="str">
        <f>IF(ISBLANK(Raw_Data!F4076),AVERAGE(Raw_Data!F$2:F$5002),Raw_Data!F4076)</f>
        <v>33233.67</v>
      </c>
      <c r="G4076" s="14" t="str">
        <f>IF(ISBLANK(Raw_Data!G4076),AVERAGE(Raw_Data!G$2:G$5002),Raw_Data!G4076)</f>
        <v>21536.23</v>
      </c>
      <c r="H4076" s="15" t="str">
        <f t="shared" si="1"/>
        <v>161979.00</v>
      </c>
      <c r="I4076" s="14" t="str">
        <f t="shared" si="2"/>
        <v>140443.00</v>
      </c>
      <c r="J4076" s="16" t="str">
        <f>TEXT(Raw_Data!J4076,"MMM-YYY")</f>
        <v>Mar-2025</v>
      </c>
      <c r="K4076" s="13" t="str">
        <f>Raw_Data!K4076</f>
        <v>5</v>
      </c>
      <c r="L4076" s="17" t="str">
        <f>Raw_Data!L4076</f>
        <v>Pune-West</v>
      </c>
      <c r="M4076" s="13" t="str">
        <f t="shared" si="3"/>
        <v>OK</v>
      </c>
      <c r="N4076" s="18" t="str">
        <f t="shared" si="4"/>
        <v>VALID</v>
      </c>
    </row>
    <row r="4077" ht="15.75" customHeight="1">
      <c r="A4077" s="13" t="str">
        <f>Raw_Data!A4077</f>
        <v>EMP4306</v>
      </c>
      <c r="B4077" s="13" t="str">
        <f>TRIM(CLEAN(Raw_Data!B4077))</f>
        <v>IT</v>
      </c>
      <c r="C4077" s="18" t="s">
        <v>54</v>
      </c>
      <c r="D4077" s="14" t="str">
        <f>IF(ISBLANK(Raw_Data!D4077),AVERAGE(Raw_Data!D$2:D$5002),Raw_Data!D4077)</f>
        <v>94899.35</v>
      </c>
      <c r="E4077" s="15" t="str">
        <f>IF(ISBLANK(Raw_Data!E4077),AVERAGE(Raw_Data!E$2:E$5002),Raw_Data!E4077)</f>
        <v>33861.60</v>
      </c>
      <c r="F4077" s="15" t="str">
        <f>IF(ISBLANK(Raw_Data!F4077),AVERAGE(Raw_Data!F$2:F$5002),Raw_Data!F4077)</f>
        <v>33241.35</v>
      </c>
      <c r="G4077" s="14" t="str">
        <f>IF(ISBLANK(Raw_Data!G4077),AVERAGE(Raw_Data!G$2:G$5002),Raw_Data!G4077)</f>
        <v>21539.63</v>
      </c>
      <c r="H4077" s="15" t="str">
        <f t="shared" si="1"/>
        <v>162002.00</v>
      </c>
      <c r="I4077" s="14" t="str">
        <f t="shared" si="2"/>
        <v>140462.00</v>
      </c>
      <c r="J4077" s="16" t="str">
        <f>TEXT(Raw_Data!J4077,"MMM-YYY")</f>
        <v>Jul-2025</v>
      </c>
      <c r="K4077" s="13" t="str">
        <f>Raw_Data!K4077</f>
        <v>9</v>
      </c>
      <c r="L4077" s="17" t="str">
        <f>Raw_Data!L4077</f>
        <v>Hyderabad-South</v>
      </c>
      <c r="M4077" s="13" t="str">
        <f t="shared" si="3"/>
        <v>OK</v>
      </c>
      <c r="N4077" s="18" t="str">
        <f t="shared" si="4"/>
        <v>VALID</v>
      </c>
    </row>
    <row r="4078" ht="15.75" customHeight="1">
      <c r="A4078" s="13" t="str">
        <f>Raw_Data!A4078</f>
        <v>EMP4307</v>
      </c>
      <c r="B4078" s="13" t="str">
        <f>TRIM(CLEAN(Raw_Data!B4078))</f>
        <v>Finance</v>
      </c>
      <c r="C4078" s="18" t="s">
        <v>37</v>
      </c>
      <c r="D4078" s="14" t="str">
        <f>IF(ISBLANK(Raw_Data!D4078),AVERAGE(Raw_Data!D$2:D$5002),Raw_Data!D4078)</f>
        <v>94910.23</v>
      </c>
      <c r="E4078" s="15" t="str">
        <f>IF(ISBLANK(Raw_Data!E4078),AVERAGE(Raw_Data!E$2:E$5002),Raw_Data!E4078)</f>
        <v>33866.22</v>
      </c>
      <c r="F4078" s="15" t="str">
        <f>IF(ISBLANK(Raw_Data!F4078),AVERAGE(Raw_Data!F$2:F$5002),Raw_Data!F4078)</f>
        <v>33249.03</v>
      </c>
      <c r="G4078" s="14" t="str">
        <f>IF(ISBLANK(Raw_Data!G4078),AVERAGE(Raw_Data!G$2:G$5002),Raw_Data!G4078)</f>
        <v>21543.03</v>
      </c>
      <c r="H4078" s="15" t="str">
        <f t="shared" si="1"/>
        <v>162025.00</v>
      </c>
      <c r="I4078" s="14" t="str">
        <f t="shared" si="2"/>
        <v>140482.00</v>
      </c>
      <c r="J4078" s="16" t="str">
        <f>TEXT(Raw_Data!J4078,"MMM-YYY")</f>
        <v>Jun-2025</v>
      </c>
      <c r="K4078" s="13" t="str">
        <f>Raw_Data!K4078</f>
        <v>5</v>
      </c>
      <c r="L4078" s="17" t="str">
        <f>Raw_Data!L4078</f>
        <v>Chandigarh-North</v>
      </c>
      <c r="M4078" s="13" t="str">
        <f t="shared" si="3"/>
        <v>OK</v>
      </c>
      <c r="N4078" s="18" t="str">
        <f t="shared" si="4"/>
        <v>VALID</v>
      </c>
    </row>
    <row r="4079" ht="15.75" customHeight="1">
      <c r="A4079" s="13" t="str">
        <f>Raw_Data!A4079</f>
        <v>EMP4308</v>
      </c>
      <c r="B4079" s="13" t="str">
        <f>TRIM(CLEAN(Raw_Data!B4079))</f>
        <v>Operations</v>
      </c>
      <c r="C4079" s="18" t="s">
        <v>33</v>
      </c>
      <c r="D4079" s="14" t="str">
        <f>IF(ISBLANK(Raw_Data!D4079),AVERAGE(Raw_Data!D$2:D$5002),Raw_Data!D4079)</f>
        <v>71831.17</v>
      </c>
      <c r="E4079" s="15" t="str">
        <f>IF(ISBLANK(Raw_Data!E4079),AVERAGE(Raw_Data!E$2:E$5002),Raw_Data!E4079)</f>
        <v>33870.83</v>
      </c>
      <c r="F4079" s="15" t="str">
        <f>IF(ISBLANK(Raw_Data!F4079),AVERAGE(Raw_Data!F$2:F$5002),Raw_Data!F4079)</f>
        <v>33256.71</v>
      </c>
      <c r="G4079" s="14" t="str">
        <f>IF(ISBLANK(Raw_Data!G4079),AVERAGE(Raw_Data!G$2:G$5002),Raw_Data!G4079)</f>
        <v>21546.43</v>
      </c>
      <c r="H4079" s="15" t="str">
        <f t="shared" si="1"/>
        <v>138959.00</v>
      </c>
      <c r="I4079" s="14" t="str">
        <f t="shared" si="2"/>
        <v>117413.00</v>
      </c>
      <c r="J4079" s="16" t="str">
        <f>TEXT(Raw_Data!J4079,"MMM-YYY")</f>
        <v>Dec-2025</v>
      </c>
      <c r="K4079" s="13" t="str">
        <f>Raw_Data!K4079</f>
        <v>15</v>
      </c>
      <c r="L4079" s="17" t="str">
        <f>Raw_Data!L4079</f>
        <v>Ahmedabad-West</v>
      </c>
      <c r="M4079" s="13" t="str">
        <f t="shared" si="3"/>
        <v>OK</v>
      </c>
      <c r="N4079" s="18" t="str">
        <f t="shared" si="4"/>
        <v>VALID</v>
      </c>
    </row>
    <row r="4080" ht="15.75" customHeight="1">
      <c r="A4080" s="13" t="str">
        <f>Raw_Data!A4080</f>
        <v>EMP4309</v>
      </c>
      <c r="B4080" s="13" t="str">
        <f>TRIM(CLEAN(Raw_Data!B4080))</f>
        <v>Operations</v>
      </c>
      <c r="C4080" s="18" t="s">
        <v>26</v>
      </c>
      <c r="D4080" s="14" t="str">
        <f>IF(ISBLANK(Raw_Data!D4080),AVERAGE(Raw_Data!D$2:D$5002),Raw_Data!D4080)</f>
        <v>94932.00</v>
      </c>
      <c r="E4080" s="15" t="str">
        <f>IF(ISBLANK(Raw_Data!E4080),AVERAGE(Raw_Data!E$2:E$5002),Raw_Data!E4080)</f>
        <v>33875.45</v>
      </c>
      <c r="F4080" s="15" t="str">
        <f>IF(ISBLANK(Raw_Data!F4080),AVERAGE(Raw_Data!F$2:F$5002),Raw_Data!F4080)</f>
        <v>33264.39</v>
      </c>
      <c r="G4080" s="14" t="str">
        <f>IF(ISBLANK(Raw_Data!G4080),AVERAGE(Raw_Data!G$2:G$5002),Raw_Data!G4080)</f>
        <v>21549.82</v>
      </c>
      <c r="H4080" s="15" t="str">
        <f t="shared" si="1"/>
        <v>162072.00</v>
      </c>
      <c r="I4080" s="14" t="str">
        <f t="shared" si="2"/>
        <v>140522.00</v>
      </c>
      <c r="J4080" s="16" t="str">
        <f>TEXT(Raw_Data!J4080,"MMM-YYY")</f>
        <v>Jul-2025</v>
      </c>
      <c r="K4080" s="13" t="str">
        <f>Raw_Data!K4080</f>
        <v>17</v>
      </c>
      <c r="L4080" s="17" t="str">
        <f>Raw_Data!L4080</f>
        <v>Jaipur-North</v>
      </c>
      <c r="M4080" s="13" t="str">
        <f t="shared" si="3"/>
        <v>OK</v>
      </c>
      <c r="N4080" s="18" t="str">
        <f t="shared" si="4"/>
        <v>VALID</v>
      </c>
    </row>
    <row r="4081" ht="15.75" customHeight="1">
      <c r="A4081" s="13" t="str">
        <f>Raw_Data!A4081</f>
        <v>EMP4310</v>
      </c>
      <c r="B4081" s="13" t="str">
        <f>TRIM(CLEAN(Raw_Data!B4081))</f>
        <v>HR</v>
      </c>
      <c r="C4081" s="18" t="s">
        <v>26</v>
      </c>
      <c r="D4081" s="14" t="str">
        <f>IF(ISBLANK(Raw_Data!D4081),AVERAGE(Raw_Data!D$2:D$5002),Raw_Data!D4081)</f>
        <v>94942.88</v>
      </c>
      <c r="E4081" s="15" t="str">
        <f>IF(ISBLANK(Raw_Data!E4081),AVERAGE(Raw_Data!E$2:E$5002),Raw_Data!E4081)</f>
        <v>33880.06</v>
      </c>
      <c r="F4081" s="15" t="str">
        <f>IF(ISBLANK(Raw_Data!F4081),AVERAGE(Raw_Data!F$2:F$5002),Raw_Data!F4081)</f>
        <v>33272.07</v>
      </c>
      <c r="G4081" s="14" t="str">
        <f>IF(ISBLANK(Raw_Data!G4081),AVERAGE(Raw_Data!G$2:G$5002),Raw_Data!G4081)</f>
        <v>21553.22</v>
      </c>
      <c r="H4081" s="15" t="str">
        <f t="shared" si="1"/>
        <v>162095.00</v>
      </c>
      <c r="I4081" s="14" t="str">
        <f t="shared" si="2"/>
        <v>140542.00</v>
      </c>
      <c r="J4081" s="16" t="str">
        <f>TEXT(Raw_Data!J4081,"MMM-YYY")</f>
        <v>May-2025</v>
      </c>
      <c r="K4081" s="13" t="str">
        <f>Raw_Data!K4081</f>
        <v>4</v>
      </c>
      <c r="L4081" s="17" t="str">
        <f>Raw_Data!L4081</f>
        <v>Mumbai-HO</v>
      </c>
      <c r="M4081" s="13" t="str">
        <f t="shared" si="3"/>
        <v>OK</v>
      </c>
      <c r="N4081" s="18" t="str">
        <f t="shared" si="4"/>
        <v>VALID</v>
      </c>
    </row>
    <row r="4082" ht="15.75" customHeight="1">
      <c r="A4082" s="13" t="str">
        <f>Raw_Data!A4082</f>
        <v>EMP4311</v>
      </c>
      <c r="B4082" s="13" t="str">
        <f>TRIM(CLEAN(Raw_Data!B4082))</f>
        <v>Customer Support</v>
      </c>
      <c r="C4082" s="18" t="s">
        <v>33</v>
      </c>
      <c r="D4082" s="14" t="str">
        <f>IF(ISBLANK(Raw_Data!D4082),AVERAGE(Raw_Data!D$2:D$5002),Raw_Data!D4082)</f>
        <v>94953.76</v>
      </c>
      <c r="E4082" s="15" t="str">
        <f>IF(ISBLANK(Raw_Data!E4082),AVERAGE(Raw_Data!E$2:E$5002),Raw_Data!E4082)</f>
        <v>33884.67</v>
      </c>
      <c r="F4082" s="15" t="str">
        <f>IF(ISBLANK(Raw_Data!F4082),AVERAGE(Raw_Data!F$2:F$5002),Raw_Data!F4082)</f>
        <v>33279.75</v>
      </c>
      <c r="G4082" s="14" t="str">
        <f>IF(ISBLANK(Raw_Data!G4082),AVERAGE(Raw_Data!G$2:G$5002),Raw_Data!G4082)</f>
        <v>21556.62</v>
      </c>
      <c r="H4082" s="15" t="str">
        <f t="shared" si="1"/>
        <v>162118.00</v>
      </c>
      <c r="I4082" s="14" t="str">
        <f t="shared" si="2"/>
        <v>140561.00</v>
      </c>
      <c r="J4082" s="16" t="str">
        <f>TEXT(Raw_Data!J4082,"MMM-YYY")</f>
        <v>Nov-2025</v>
      </c>
      <c r="K4082" s="13" t="str">
        <f>Raw_Data!K4082</f>
        <v>4</v>
      </c>
      <c r="L4082" s="17" t="str">
        <f>Raw_Data!L4082</f>
        <v>Delhi-North</v>
      </c>
      <c r="M4082" s="13" t="str">
        <f t="shared" si="3"/>
        <v>OK</v>
      </c>
      <c r="N4082" s="18" t="str">
        <f t="shared" si="4"/>
        <v>VALID</v>
      </c>
    </row>
    <row r="4083" ht="15.75" customHeight="1">
      <c r="A4083" s="13" t="str">
        <f>Raw_Data!A4083</f>
        <v>EMP4312</v>
      </c>
      <c r="B4083" s="13" t="str">
        <f>TRIM(CLEAN(Raw_Data!B4083))</f>
        <v>Finance</v>
      </c>
      <c r="C4083" s="18" t="s">
        <v>30</v>
      </c>
      <c r="D4083" s="14" t="str">
        <f>IF(ISBLANK(Raw_Data!D4083),AVERAGE(Raw_Data!D$2:D$5002),Raw_Data!D4083)</f>
        <v>94964.65</v>
      </c>
      <c r="E4083" s="15" t="str">
        <f>IF(ISBLANK(Raw_Data!E4083),AVERAGE(Raw_Data!E$2:E$5002),Raw_Data!E4083)</f>
        <v>33889.29</v>
      </c>
      <c r="F4083" s="15" t="str">
        <f>IF(ISBLANK(Raw_Data!F4083),AVERAGE(Raw_Data!F$2:F$5002),Raw_Data!F4083)</f>
        <v>33287.43</v>
      </c>
      <c r="G4083" s="14" t="str">
        <f>IF(ISBLANK(Raw_Data!G4083),AVERAGE(Raw_Data!G$2:G$5002),Raw_Data!G4083)</f>
        <v>21560.02</v>
      </c>
      <c r="H4083" s="15" t="str">
        <f t="shared" si="1"/>
        <v>162141.00</v>
      </c>
      <c r="I4083" s="14" t="str">
        <f t="shared" si="2"/>
        <v>140581.00</v>
      </c>
      <c r="J4083" s="16" t="str">
        <f>TEXT(Raw_Data!J4083,"MMM-YYY")</f>
        <v>Mar-2025</v>
      </c>
      <c r="K4083" s="13" t="str">
        <f>Raw_Data!K4083</f>
        <v>16</v>
      </c>
      <c r="L4083" s="17" t="str">
        <f>Raw_Data!L4083</f>
        <v>Bangalore-South</v>
      </c>
      <c r="M4083" s="13" t="str">
        <f t="shared" si="3"/>
        <v>OK</v>
      </c>
      <c r="N4083" s="18" t="str">
        <f t="shared" si="4"/>
        <v>VALID</v>
      </c>
    </row>
    <row r="4084" ht="15.75" customHeight="1">
      <c r="A4084" s="13" t="str">
        <f>Raw_Data!A4084</f>
        <v>EMP4313</v>
      </c>
      <c r="B4084" s="13" t="str">
        <f>TRIM(CLEAN(Raw_Data!B4084))</f>
        <v>Operations</v>
      </c>
      <c r="C4084" s="18" t="s">
        <v>54</v>
      </c>
      <c r="D4084" s="14" t="str">
        <f>IF(ISBLANK(Raw_Data!D4084),AVERAGE(Raw_Data!D$2:D$5002),Raw_Data!D4084)</f>
        <v>94975.53</v>
      </c>
      <c r="E4084" s="15" t="str">
        <f>IF(ISBLANK(Raw_Data!E4084),AVERAGE(Raw_Data!E$2:E$5002),Raw_Data!E4084)</f>
        <v>33893.90</v>
      </c>
      <c r="F4084" s="15" t="str">
        <f>IF(ISBLANK(Raw_Data!F4084),AVERAGE(Raw_Data!F$2:F$5002),Raw_Data!F4084)</f>
        <v>33295.11</v>
      </c>
      <c r="G4084" s="14" t="str">
        <f>IF(ISBLANK(Raw_Data!G4084),AVERAGE(Raw_Data!G$2:G$5002),Raw_Data!G4084)</f>
        <v>21563.42</v>
      </c>
      <c r="H4084" s="15" t="str">
        <f t="shared" si="1"/>
        <v>162165.00</v>
      </c>
      <c r="I4084" s="14" t="str">
        <f t="shared" si="2"/>
        <v>140602.00</v>
      </c>
      <c r="J4084" s="16" t="str">
        <f>TEXT(Raw_Data!J4084,"MMM-YYY")</f>
        <v>Apr-2025</v>
      </c>
      <c r="K4084" s="13" t="str">
        <f>Raw_Data!K4084</f>
        <v>5</v>
      </c>
      <c r="L4084" s="17" t="str">
        <f>Raw_Data!L4084</f>
        <v>Chennai-South</v>
      </c>
      <c r="M4084" s="13" t="str">
        <f t="shared" si="3"/>
        <v>OK</v>
      </c>
      <c r="N4084" s="18" t="str">
        <f t="shared" si="4"/>
        <v>VALID</v>
      </c>
    </row>
    <row r="4085" ht="15.75" customHeight="1">
      <c r="A4085" s="13" t="str">
        <f>Raw_Data!A4085</f>
        <v>EMP4314</v>
      </c>
      <c r="B4085" s="13" t="str">
        <f>TRIM(CLEAN(Raw_Data!B4085))</f>
        <v>Marketing</v>
      </c>
      <c r="C4085" s="18" t="s">
        <v>30</v>
      </c>
      <c r="D4085" s="14" t="str">
        <f>IF(ISBLANK(Raw_Data!D4085),AVERAGE(Raw_Data!D$2:D$5002),Raw_Data!D4085)</f>
        <v>94986.41</v>
      </c>
      <c r="E4085" s="15" t="str">
        <f>IF(ISBLANK(Raw_Data!E4085),AVERAGE(Raw_Data!E$2:E$5002),Raw_Data!E4085)</f>
        <v>33898.52</v>
      </c>
      <c r="F4085" s="15" t="str">
        <f>IF(ISBLANK(Raw_Data!F4085),AVERAGE(Raw_Data!F$2:F$5002),Raw_Data!F4085)</f>
        <v>33302.79</v>
      </c>
      <c r="G4085" s="14" t="str">
        <f>IF(ISBLANK(Raw_Data!G4085),AVERAGE(Raw_Data!G$2:G$5002),Raw_Data!G4085)</f>
        <v>21566.81</v>
      </c>
      <c r="H4085" s="15" t="str">
        <f t="shared" si="1"/>
        <v>162188.00</v>
      </c>
      <c r="I4085" s="14" t="str">
        <f t="shared" si="2"/>
        <v>140621.00</v>
      </c>
      <c r="J4085" s="16" t="str">
        <f>TEXT(Raw_Data!J4085,"MMM-YYY")</f>
        <v>Nov-2025</v>
      </c>
      <c r="K4085" s="13" t="str">
        <f>Raw_Data!K4085</f>
        <v>23</v>
      </c>
      <c r="L4085" s="17" t="str">
        <f>Raw_Data!L4085</f>
        <v>Kolkata-East</v>
      </c>
      <c r="M4085" s="13" t="str">
        <f t="shared" si="3"/>
        <v>OK</v>
      </c>
      <c r="N4085" s="18" t="str">
        <f t="shared" si="4"/>
        <v>VALID</v>
      </c>
    </row>
    <row r="4086" ht="15.75" customHeight="1">
      <c r="A4086" s="13" t="str">
        <f>Raw_Data!A4086</f>
        <v>EMP4315</v>
      </c>
      <c r="B4086" s="13" t="str">
        <f>TRIM(CLEAN(Raw_Data!B4086))</f>
        <v>Finance</v>
      </c>
      <c r="C4086" s="18" t="s">
        <v>37</v>
      </c>
      <c r="D4086" s="14" t="str">
        <f>IF(ISBLANK(Raw_Data!D4086),AVERAGE(Raw_Data!D$2:D$5002),Raw_Data!D4086)</f>
        <v>94997.29</v>
      </c>
      <c r="E4086" s="15" t="str">
        <f>IF(ISBLANK(Raw_Data!E4086),AVERAGE(Raw_Data!E$2:E$5002),Raw_Data!E4086)</f>
        <v>33903.13</v>
      </c>
      <c r="F4086" s="15" t="str">
        <f>IF(ISBLANK(Raw_Data!F4086),AVERAGE(Raw_Data!F$2:F$5002),Raw_Data!F4086)</f>
        <v>33310.47</v>
      </c>
      <c r="G4086" s="14" t="str">
        <f>IF(ISBLANK(Raw_Data!G4086),AVERAGE(Raw_Data!G$2:G$5002),Raw_Data!G4086)</f>
        <v>21570.21</v>
      </c>
      <c r="H4086" s="15" t="str">
        <f t="shared" si="1"/>
        <v>162211.00</v>
      </c>
      <c r="I4086" s="14" t="str">
        <f t="shared" si="2"/>
        <v>140641.00</v>
      </c>
      <c r="J4086" s="16" t="str">
        <f>TEXT(Raw_Data!J4086,"MMM-YYY")</f>
        <v>Oct-2025</v>
      </c>
      <c r="K4086" s="13" t="str">
        <f>Raw_Data!K4086</f>
        <v>24</v>
      </c>
      <c r="L4086" s="17" t="str">
        <f>Raw_Data!L4086</f>
        <v>Pune-West</v>
      </c>
      <c r="M4086" s="13" t="str">
        <f t="shared" si="3"/>
        <v>OK</v>
      </c>
      <c r="N4086" s="18" t="str">
        <f t="shared" si="4"/>
        <v>VALID</v>
      </c>
    </row>
    <row r="4087" ht="15.75" customHeight="1">
      <c r="A4087" s="13" t="str">
        <f>Raw_Data!A4087</f>
        <v>EMP4316</v>
      </c>
      <c r="B4087" s="13" t="str">
        <f>TRIM(CLEAN(Raw_Data!B4087))</f>
        <v>Customer Support</v>
      </c>
      <c r="C4087" s="18" t="s">
        <v>18</v>
      </c>
      <c r="D4087" s="14" t="str">
        <f>IF(ISBLANK(Raw_Data!D4087),AVERAGE(Raw_Data!D$2:D$5002),Raw_Data!D4087)</f>
        <v>95008.18</v>
      </c>
      <c r="E4087" s="15" t="str">
        <f>IF(ISBLANK(Raw_Data!E4087),AVERAGE(Raw_Data!E$2:E$5002),Raw_Data!E4087)</f>
        <v>33907.75</v>
      </c>
      <c r="F4087" s="15" t="str">
        <f>IF(ISBLANK(Raw_Data!F4087),AVERAGE(Raw_Data!F$2:F$5002),Raw_Data!F4087)</f>
        <v>33318.15</v>
      </c>
      <c r="G4087" s="14" t="str">
        <f>IF(ISBLANK(Raw_Data!G4087),AVERAGE(Raw_Data!G$2:G$5002),Raw_Data!G4087)</f>
        <v>21573.61</v>
      </c>
      <c r="H4087" s="15" t="str">
        <f t="shared" si="1"/>
        <v>162234.00</v>
      </c>
      <c r="I4087" s="14" t="str">
        <f t="shared" si="2"/>
        <v>140660.00</v>
      </c>
      <c r="J4087" s="16" t="str">
        <f>TEXT(Raw_Data!J4087,"MMM-YYY")</f>
        <v>Jan-2025</v>
      </c>
      <c r="K4087" s="13" t="str">
        <f>Raw_Data!K4087</f>
        <v>11</v>
      </c>
      <c r="L4087" s="17" t="str">
        <f>Raw_Data!L4087</f>
        <v>Hyderabad-South</v>
      </c>
      <c r="M4087" s="13" t="str">
        <f t="shared" si="3"/>
        <v>OK</v>
      </c>
      <c r="N4087" s="18" t="str">
        <f t="shared" si="4"/>
        <v>VALID</v>
      </c>
    </row>
    <row r="4088" ht="15.75" customHeight="1">
      <c r="A4088" s="13" t="str">
        <f>Raw_Data!A4088</f>
        <v>EMP4317</v>
      </c>
      <c r="B4088" s="13" t="str">
        <f>TRIM(CLEAN(Raw_Data!B4088))</f>
        <v>Sales</v>
      </c>
      <c r="C4088" s="18" t="s">
        <v>33</v>
      </c>
      <c r="D4088" s="14" t="str">
        <f>IF(ISBLANK(Raw_Data!D4088),AVERAGE(Raw_Data!D$2:D$5002),Raw_Data!D4088)</f>
        <v>95019.06</v>
      </c>
      <c r="E4088" s="15" t="str">
        <f>IF(ISBLANK(Raw_Data!E4088),AVERAGE(Raw_Data!E$2:E$5002),Raw_Data!E4088)</f>
        <v>33912.36</v>
      </c>
      <c r="F4088" s="15" t="str">
        <f>IF(ISBLANK(Raw_Data!F4088),AVERAGE(Raw_Data!F$2:F$5002),Raw_Data!F4088)</f>
        <v>33325.83</v>
      </c>
      <c r="G4088" s="14" t="str">
        <f>IF(ISBLANK(Raw_Data!G4088),AVERAGE(Raw_Data!G$2:G$5002),Raw_Data!G4088)</f>
        <v>21577.01</v>
      </c>
      <c r="H4088" s="15" t="str">
        <f t="shared" si="1"/>
        <v>162257.00</v>
      </c>
      <c r="I4088" s="14" t="str">
        <f t="shared" si="2"/>
        <v>140680.00</v>
      </c>
      <c r="J4088" s="16" t="str">
        <f>TEXT(Raw_Data!J4088,"MMM-YYY")</f>
        <v>May-2025</v>
      </c>
      <c r="K4088" s="13" t="str">
        <f>Raw_Data!K4088</f>
        <v>15</v>
      </c>
      <c r="L4088" s="17" t="str">
        <f>Raw_Data!L4088</f>
        <v>Chandigarh-North</v>
      </c>
      <c r="M4088" s="13" t="str">
        <f t="shared" si="3"/>
        <v>OK</v>
      </c>
      <c r="N4088" s="18" t="str">
        <f t="shared" si="4"/>
        <v>VALID</v>
      </c>
    </row>
    <row r="4089" ht="15.75" customHeight="1">
      <c r="A4089" s="13" t="str">
        <f>Raw_Data!A4089</f>
        <v>EMP4318</v>
      </c>
      <c r="B4089" s="13" t="str">
        <f>TRIM(CLEAN(Raw_Data!B4089))</f>
        <v>Customer Support</v>
      </c>
      <c r="C4089" s="18" t="s">
        <v>30</v>
      </c>
      <c r="D4089" s="14" t="str">
        <f>IF(ISBLANK(Raw_Data!D4089),AVERAGE(Raw_Data!D$2:D$5002),Raw_Data!D4089)</f>
        <v>95029.94</v>
      </c>
      <c r="E4089" s="15" t="str">
        <f>IF(ISBLANK(Raw_Data!E4089),AVERAGE(Raw_Data!E$2:E$5002),Raw_Data!E4089)</f>
        <v>33916.98</v>
      </c>
      <c r="F4089" s="15" t="str">
        <f>IF(ISBLANK(Raw_Data!F4089),AVERAGE(Raw_Data!F$2:F$5002),Raw_Data!F4089)</f>
        <v>33333.51</v>
      </c>
      <c r="G4089" s="14" t="str">
        <f>IF(ISBLANK(Raw_Data!G4089),AVERAGE(Raw_Data!G$2:G$5002),Raw_Data!G4089)</f>
        <v>21580.40</v>
      </c>
      <c r="H4089" s="15" t="str">
        <f t="shared" si="1"/>
        <v>162280.00</v>
      </c>
      <c r="I4089" s="14" t="str">
        <f t="shared" si="2"/>
        <v>140700.00</v>
      </c>
      <c r="J4089" s="16" t="str">
        <f>TEXT(Raw_Data!J4089,"MMM-YYY")</f>
        <v>May-2025</v>
      </c>
      <c r="K4089" s="13" t="str">
        <f>Raw_Data!K4089</f>
        <v>2</v>
      </c>
      <c r="L4089" s="17" t="str">
        <f>Raw_Data!L4089</f>
        <v>Ahmedabad-West</v>
      </c>
      <c r="M4089" s="13" t="str">
        <f t="shared" si="3"/>
        <v>OK</v>
      </c>
      <c r="N4089" s="18" t="str">
        <f t="shared" si="4"/>
        <v>VALID</v>
      </c>
    </row>
    <row r="4090" ht="15.75" customHeight="1">
      <c r="A4090" s="13" t="str">
        <f>Raw_Data!A4090</f>
        <v>EMP4319</v>
      </c>
      <c r="B4090" s="13" t="str">
        <f>TRIM(CLEAN(Raw_Data!B4090))</f>
        <v>HR</v>
      </c>
      <c r="C4090" s="18" t="s">
        <v>33</v>
      </c>
      <c r="D4090" s="14" t="str">
        <f>IF(ISBLANK(Raw_Data!D4090),AVERAGE(Raw_Data!D$2:D$5002),Raw_Data!D4090)</f>
        <v>95040.83</v>
      </c>
      <c r="E4090" s="15" t="str">
        <f>IF(ISBLANK(Raw_Data!E4090),AVERAGE(Raw_Data!E$2:E$5002),Raw_Data!E4090)</f>
        <v>33921.59</v>
      </c>
      <c r="F4090" s="15" t="str">
        <f>IF(ISBLANK(Raw_Data!F4090),AVERAGE(Raw_Data!F$2:F$5002),Raw_Data!F4090)</f>
        <v>33341.19</v>
      </c>
      <c r="G4090" s="14" t="str">
        <f>IF(ISBLANK(Raw_Data!G4090),AVERAGE(Raw_Data!G$2:G$5002),Raw_Data!G4090)</f>
        <v>21583.80</v>
      </c>
      <c r="H4090" s="15" t="str">
        <f t="shared" si="1"/>
        <v>162304.00</v>
      </c>
      <c r="I4090" s="14" t="str">
        <f t="shared" si="2"/>
        <v>140720.00</v>
      </c>
      <c r="J4090" s="16" t="str">
        <f>TEXT(Raw_Data!J4090,"MMM-YYY")</f>
        <v>Dec-2025</v>
      </c>
      <c r="K4090" s="13" t="str">
        <f>Raw_Data!K4090</f>
        <v>12</v>
      </c>
      <c r="L4090" s="17" t="str">
        <f>Raw_Data!L4090</f>
        <v>Jaipur-North</v>
      </c>
      <c r="M4090" s="13" t="str">
        <f t="shared" si="3"/>
        <v>OK</v>
      </c>
      <c r="N4090" s="18" t="str">
        <f t="shared" si="4"/>
        <v>VALID</v>
      </c>
    </row>
    <row r="4091" ht="15.75" customHeight="1">
      <c r="A4091" s="13" t="str">
        <f>Raw_Data!A4091</f>
        <v>EMP4320</v>
      </c>
      <c r="B4091" s="13" t="str">
        <f>TRIM(CLEAN(Raw_Data!B4091))</f>
        <v>HR</v>
      </c>
      <c r="C4091" s="18" t="s">
        <v>33</v>
      </c>
      <c r="D4091" s="14" t="str">
        <f>IF(ISBLANK(Raw_Data!D4091),AVERAGE(Raw_Data!D$2:D$5002),Raw_Data!D4091)</f>
        <v>95051.71</v>
      </c>
      <c r="E4091" s="15" t="str">
        <f>IF(ISBLANK(Raw_Data!E4091),AVERAGE(Raw_Data!E$2:E$5002),Raw_Data!E4091)</f>
        <v>33926.21</v>
      </c>
      <c r="F4091" s="15" t="str">
        <f>IF(ISBLANK(Raw_Data!F4091),AVERAGE(Raw_Data!F$2:F$5002),Raw_Data!F4091)</f>
        <v>33348.87</v>
      </c>
      <c r="G4091" s="14" t="str">
        <f>IF(ISBLANK(Raw_Data!G4091),AVERAGE(Raw_Data!G$2:G$5002),Raw_Data!G4091)</f>
        <v>14562.73</v>
      </c>
      <c r="H4091" s="15" t="str">
        <f t="shared" si="1"/>
        <v>162327.00</v>
      </c>
      <c r="I4091" s="14" t="str">
        <f t="shared" si="2"/>
        <v>147764.00</v>
      </c>
      <c r="J4091" s="16" t="str">
        <f>TEXT(Raw_Data!J4091,"MMM-YYY")</f>
        <v>Feb-2025</v>
      </c>
      <c r="K4091" s="13" t="str">
        <f>Raw_Data!K4091</f>
        <v>10</v>
      </c>
      <c r="L4091" s="17" t="str">
        <f>Raw_Data!L4091</f>
        <v>Mumbai-HO</v>
      </c>
      <c r="M4091" s="13" t="str">
        <f t="shared" si="3"/>
        <v>OK</v>
      </c>
      <c r="N4091" s="18" t="str">
        <f t="shared" si="4"/>
        <v>VALID</v>
      </c>
    </row>
    <row r="4092" ht="15.75" customHeight="1">
      <c r="A4092" s="13" t="str">
        <f>Raw_Data!A4092</f>
        <v>EMP4321</v>
      </c>
      <c r="B4092" s="13" t="str">
        <f>TRIM(CLEAN(Raw_Data!B4092))</f>
        <v>Marketing</v>
      </c>
      <c r="C4092" s="18" t="s">
        <v>33</v>
      </c>
      <c r="D4092" s="14" t="str">
        <f>IF(ISBLANK(Raw_Data!D4092),AVERAGE(Raw_Data!D$2:D$5002),Raw_Data!D4092)</f>
        <v>95062.59</v>
      </c>
      <c r="E4092" s="15" t="str">
        <f>IF(ISBLANK(Raw_Data!E4092),AVERAGE(Raw_Data!E$2:E$5002),Raw_Data!E4092)</f>
        <v>33930.82</v>
      </c>
      <c r="F4092" s="15" t="str">
        <f>IF(ISBLANK(Raw_Data!F4092),AVERAGE(Raw_Data!F$2:F$5002),Raw_Data!F4092)</f>
        <v>33356.55</v>
      </c>
      <c r="G4092" s="14" t="str">
        <f>IF(ISBLANK(Raw_Data!G4092),AVERAGE(Raw_Data!G$2:G$5002),Raw_Data!G4092)</f>
        <v>21590.60</v>
      </c>
      <c r="H4092" s="15" t="str">
        <f t="shared" si="1"/>
        <v>162350.00</v>
      </c>
      <c r="I4092" s="14" t="str">
        <f t="shared" si="2"/>
        <v>140759.00</v>
      </c>
      <c r="J4092" s="16" t="str">
        <f>TEXT(Raw_Data!J4092,"MMM-YYY")</f>
        <v>May-2025</v>
      </c>
      <c r="K4092" s="13" t="str">
        <f>Raw_Data!K4092</f>
        <v>9</v>
      </c>
      <c r="L4092" s="17" t="str">
        <f>Raw_Data!L4092</f>
        <v>Delhi-North</v>
      </c>
      <c r="M4092" s="13" t="str">
        <f t="shared" si="3"/>
        <v>OK</v>
      </c>
      <c r="N4092" s="18" t="str">
        <f t="shared" si="4"/>
        <v>VALID</v>
      </c>
    </row>
    <row r="4093" ht="15.75" customHeight="1">
      <c r="A4093" s="13" t="str">
        <f>Raw_Data!A4093</f>
        <v>EMP4322</v>
      </c>
      <c r="B4093" s="13" t="str">
        <f>TRIM(CLEAN(Raw_Data!B4093))</f>
        <v>Marketing</v>
      </c>
      <c r="C4093" s="18" t="s">
        <v>26</v>
      </c>
      <c r="D4093" s="14" t="str">
        <f>IF(ISBLANK(Raw_Data!D4093),AVERAGE(Raw_Data!D$2:D$5002),Raw_Data!D4093)</f>
        <v>95073.48</v>
      </c>
      <c r="E4093" s="15" t="str">
        <f>IF(ISBLANK(Raw_Data!E4093),AVERAGE(Raw_Data!E$2:E$5002),Raw_Data!E4093)</f>
        <v>33935.44</v>
      </c>
      <c r="F4093" s="15" t="str">
        <f>IF(ISBLANK(Raw_Data!F4093),AVERAGE(Raw_Data!F$2:F$5002),Raw_Data!F4093)</f>
        <v>33364.23</v>
      </c>
      <c r="G4093" s="14" t="str">
        <f>IF(ISBLANK(Raw_Data!G4093),AVERAGE(Raw_Data!G$2:G$5002),Raw_Data!G4093)</f>
        <v>21593.99</v>
      </c>
      <c r="H4093" s="15" t="str">
        <f t="shared" si="1"/>
        <v>162373.00</v>
      </c>
      <c r="I4093" s="14" t="str">
        <f t="shared" si="2"/>
        <v>140779.00</v>
      </c>
      <c r="J4093" s="16" t="str">
        <f>TEXT(Raw_Data!J4093,"MMM-YYY")</f>
        <v>Mar-2025</v>
      </c>
      <c r="K4093" s="13" t="str">
        <f>Raw_Data!K4093</f>
        <v>5</v>
      </c>
      <c r="L4093" s="17" t="str">
        <f>Raw_Data!L4093</f>
        <v>Bangalore-South</v>
      </c>
      <c r="M4093" s="13" t="str">
        <f t="shared" si="3"/>
        <v>OK</v>
      </c>
      <c r="N4093" s="18" t="str">
        <f t="shared" si="4"/>
        <v>VALID</v>
      </c>
    </row>
    <row r="4094" ht="15.75" customHeight="1">
      <c r="A4094" s="13" t="str">
        <f>Raw_Data!A4094</f>
        <v>EMP4323</v>
      </c>
      <c r="B4094" s="13" t="str">
        <f>TRIM(CLEAN(Raw_Data!B4094))</f>
        <v>Finance</v>
      </c>
      <c r="C4094" s="18" t="s">
        <v>14</v>
      </c>
      <c r="D4094" s="14" t="str">
        <f>IF(ISBLANK(Raw_Data!D4094),AVERAGE(Raw_Data!D$2:D$5002),Raw_Data!D4094)</f>
        <v>95084.36</v>
      </c>
      <c r="E4094" s="15" t="str">
        <f>IF(ISBLANK(Raw_Data!E4094),AVERAGE(Raw_Data!E$2:E$5002),Raw_Data!E4094)</f>
        <v>33940.05</v>
      </c>
      <c r="F4094" s="15" t="str">
        <f>IF(ISBLANK(Raw_Data!F4094),AVERAGE(Raw_Data!F$2:F$5002),Raw_Data!F4094)</f>
        <v>33371.91</v>
      </c>
      <c r="G4094" s="14" t="str">
        <f>IF(ISBLANK(Raw_Data!G4094),AVERAGE(Raw_Data!G$2:G$5002),Raw_Data!G4094)</f>
        <v>21597.39</v>
      </c>
      <c r="H4094" s="15" t="str">
        <f t="shared" si="1"/>
        <v>162396.00</v>
      </c>
      <c r="I4094" s="14" t="str">
        <f t="shared" si="2"/>
        <v>140799.00</v>
      </c>
      <c r="J4094" s="16" t="str">
        <f>TEXT(Raw_Data!J4094,"MMM-YYY")</f>
        <v>Jun-2025</v>
      </c>
      <c r="K4094" s="13" t="str">
        <f>Raw_Data!K4094</f>
        <v>16</v>
      </c>
      <c r="L4094" s="17" t="str">
        <f>Raw_Data!L4094</f>
        <v>Chennai-South</v>
      </c>
      <c r="M4094" s="13" t="str">
        <f t="shared" si="3"/>
        <v>OK</v>
      </c>
      <c r="N4094" s="18" t="str">
        <f t="shared" si="4"/>
        <v>VALID</v>
      </c>
    </row>
    <row r="4095" ht="15.75" customHeight="1">
      <c r="A4095" s="13" t="str">
        <f>Raw_Data!A4095</f>
        <v>EMP4324</v>
      </c>
      <c r="B4095" s="13" t="str">
        <f>TRIM(CLEAN(Raw_Data!B4095))</f>
        <v>IT</v>
      </c>
      <c r="C4095" s="18" t="s">
        <v>54</v>
      </c>
      <c r="D4095" s="14" t="str">
        <f>IF(ISBLANK(Raw_Data!D4095),AVERAGE(Raw_Data!D$2:D$5002),Raw_Data!D4095)</f>
        <v>95095.24</v>
      </c>
      <c r="E4095" s="15" t="str">
        <f>IF(ISBLANK(Raw_Data!E4095),AVERAGE(Raw_Data!E$2:E$5002),Raw_Data!E4095)</f>
        <v>33944.67</v>
      </c>
      <c r="F4095" s="15" t="str">
        <f>IF(ISBLANK(Raw_Data!F4095),AVERAGE(Raw_Data!F$2:F$5002),Raw_Data!F4095)</f>
        <v>33379.59</v>
      </c>
      <c r="G4095" s="14" t="str">
        <f>IF(ISBLANK(Raw_Data!G4095),AVERAGE(Raw_Data!G$2:G$5002),Raw_Data!G4095)</f>
        <v>21600.79</v>
      </c>
      <c r="H4095" s="15" t="str">
        <f t="shared" si="1"/>
        <v>162419.00</v>
      </c>
      <c r="I4095" s="14" t="str">
        <f t="shared" si="2"/>
        <v>140818.00</v>
      </c>
      <c r="J4095" s="16" t="str">
        <f>TEXT(Raw_Data!J4095,"MMM-YYY")</f>
        <v>Oct-2025</v>
      </c>
      <c r="K4095" s="13" t="str">
        <f>Raw_Data!K4095</f>
        <v>5</v>
      </c>
      <c r="L4095" s="17" t="str">
        <f>Raw_Data!L4095</f>
        <v>Kolkata-East</v>
      </c>
      <c r="M4095" s="13" t="str">
        <f t="shared" si="3"/>
        <v>OK</v>
      </c>
      <c r="N4095" s="18" t="str">
        <f t="shared" si="4"/>
        <v>VALID</v>
      </c>
    </row>
    <row r="4096" ht="15.75" customHeight="1">
      <c r="A4096" s="13" t="str">
        <f>Raw_Data!A4096</f>
        <v>EMP4325</v>
      </c>
      <c r="B4096" s="13" t="str">
        <f>TRIM(CLEAN(Raw_Data!B4096))</f>
        <v>Customer Support</v>
      </c>
      <c r="C4096" s="18" t="s">
        <v>37</v>
      </c>
      <c r="D4096" s="14" t="str">
        <f>IF(ISBLANK(Raw_Data!D4096),AVERAGE(Raw_Data!D$2:D$5002),Raw_Data!D4096)</f>
        <v>95106.12</v>
      </c>
      <c r="E4096" s="15" t="str">
        <f>IF(ISBLANK(Raw_Data!E4096),AVERAGE(Raw_Data!E$2:E$5002),Raw_Data!E4096)</f>
        <v>33949.28</v>
      </c>
      <c r="F4096" s="15" t="str">
        <f>IF(ISBLANK(Raw_Data!F4096),AVERAGE(Raw_Data!F$2:F$5002),Raw_Data!F4096)</f>
        <v>33387.27</v>
      </c>
      <c r="G4096" s="14" t="str">
        <f>IF(ISBLANK(Raw_Data!G4096),AVERAGE(Raw_Data!G$2:G$5002),Raw_Data!G4096)</f>
        <v>21604.19</v>
      </c>
      <c r="H4096" s="15" t="str">
        <f t="shared" si="1"/>
        <v>162443.00</v>
      </c>
      <c r="I4096" s="14" t="str">
        <f t="shared" si="2"/>
        <v>140839.00</v>
      </c>
      <c r="J4096" s="16" t="str">
        <f>TEXT(Raw_Data!J4096,"MMM-YYY")</f>
        <v>Dec-2025</v>
      </c>
      <c r="K4096" s="13" t="str">
        <f>Raw_Data!K4096</f>
        <v>6</v>
      </c>
      <c r="L4096" s="17" t="str">
        <f>Raw_Data!L4096</f>
        <v>Pune-West</v>
      </c>
      <c r="M4096" s="13" t="str">
        <f t="shared" si="3"/>
        <v>OK</v>
      </c>
      <c r="N4096" s="18" t="str">
        <f t="shared" si="4"/>
        <v>VALID</v>
      </c>
    </row>
    <row r="4097" ht="15.75" customHeight="1">
      <c r="A4097" s="13" t="str">
        <f>Raw_Data!A4097</f>
        <v>EMP4326</v>
      </c>
      <c r="B4097" s="13" t="str">
        <f>TRIM(CLEAN(Raw_Data!B4097))</f>
        <v>HR</v>
      </c>
      <c r="C4097" s="18" t="s">
        <v>54</v>
      </c>
      <c r="D4097" s="14" t="str">
        <f>IF(ISBLANK(Raw_Data!D4097),AVERAGE(Raw_Data!D$2:D$5002),Raw_Data!D4097)</f>
        <v>95117.01</v>
      </c>
      <c r="E4097" s="15" t="str">
        <f>IF(ISBLANK(Raw_Data!E4097),AVERAGE(Raw_Data!E$2:E$5002),Raw_Data!E4097)</f>
        <v>33953.90</v>
      </c>
      <c r="F4097" s="15" t="str">
        <f>IF(ISBLANK(Raw_Data!F4097),AVERAGE(Raw_Data!F$2:F$5002),Raw_Data!F4097)</f>
        <v>33394.95</v>
      </c>
      <c r="G4097" s="14" t="str">
        <f>IF(ISBLANK(Raw_Data!G4097),AVERAGE(Raw_Data!G$2:G$5002),Raw_Data!G4097)</f>
        <v>21607.58</v>
      </c>
      <c r="H4097" s="15" t="str">
        <f t="shared" si="1"/>
        <v>162466.00</v>
      </c>
      <c r="I4097" s="14" t="str">
        <f t="shared" si="2"/>
        <v>140858.00</v>
      </c>
      <c r="J4097" s="16" t="str">
        <f>TEXT(Raw_Data!J4097,"MMM-YYY")</f>
        <v>May-2025</v>
      </c>
      <c r="K4097" s="13" t="str">
        <f>Raw_Data!K4097</f>
        <v>14</v>
      </c>
      <c r="L4097" s="17" t="str">
        <f>Raw_Data!L4097</f>
        <v>Hyderabad-South</v>
      </c>
      <c r="M4097" s="13" t="str">
        <f t="shared" si="3"/>
        <v>OK</v>
      </c>
      <c r="N4097" s="18" t="str">
        <f t="shared" si="4"/>
        <v>VALID</v>
      </c>
    </row>
    <row r="4098" ht="15.75" customHeight="1">
      <c r="A4098" s="13" t="str">
        <f>Raw_Data!A4098</f>
        <v>EMP4327</v>
      </c>
      <c r="B4098" s="13" t="str">
        <f>TRIM(CLEAN(Raw_Data!B4098))</f>
        <v>Finance</v>
      </c>
      <c r="C4098" s="18" t="s">
        <v>54</v>
      </c>
      <c r="D4098" s="14" t="str">
        <f>IF(ISBLANK(Raw_Data!D4098),AVERAGE(Raw_Data!D$2:D$5002),Raw_Data!D4098)</f>
        <v>95127.89</v>
      </c>
      <c r="E4098" s="15" t="str">
        <f>IF(ISBLANK(Raw_Data!E4098),AVERAGE(Raw_Data!E$2:E$5002),Raw_Data!E4098)</f>
        <v>33958.51</v>
      </c>
      <c r="F4098" s="15" t="str">
        <f>IF(ISBLANK(Raw_Data!F4098),AVERAGE(Raw_Data!F$2:F$5002),Raw_Data!F4098)</f>
        <v>33402.63</v>
      </c>
      <c r="G4098" s="14" t="str">
        <f>IF(ISBLANK(Raw_Data!G4098),AVERAGE(Raw_Data!G$2:G$5002),Raw_Data!G4098)</f>
        <v>21610.98</v>
      </c>
      <c r="H4098" s="15" t="str">
        <f t="shared" si="1"/>
        <v>162489.00</v>
      </c>
      <c r="I4098" s="14" t="str">
        <f t="shared" si="2"/>
        <v>140878.00</v>
      </c>
      <c r="J4098" s="16" t="str">
        <f>TEXT(Raw_Data!J4098,"MMM-YYY")</f>
        <v>May-2025</v>
      </c>
      <c r="K4098" s="13" t="str">
        <f>Raw_Data!K4098</f>
        <v>2</v>
      </c>
      <c r="L4098" s="17" t="str">
        <f>Raw_Data!L4098</f>
        <v>Chandigarh-North</v>
      </c>
      <c r="M4098" s="13" t="str">
        <f t="shared" si="3"/>
        <v>OK</v>
      </c>
      <c r="N4098" s="18" t="str">
        <f t="shared" si="4"/>
        <v>VALID</v>
      </c>
    </row>
    <row r="4099" ht="15.75" customHeight="1">
      <c r="A4099" s="13" t="str">
        <f>Raw_Data!A4099</f>
        <v>EMP4328</v>
      </c>
      <c r="B4099" s="13" t="str">
        <f>TRIM(CLEAN(Raw_Data!B4099))</f>
        <v>Sales</v>
      </c>
      <c r="C4099" s="18" t="s">
        <v>37</v>
      </c>
      <c r="D4099" s="14" t="str">
        <f>IF(ISBLANK(Raw_Data!D4099),AVERAGE(Raw_Data!D$2:D$5002),Raw_Data!D4099)</f>
        <v>95138.77</v>
      </c>
      <c r="E4099" s="15" t="str">
        <f>IF(ISBLANK(Raw_Data!E4099),AVERAGE(Raw_Data!E$2:E$5002),Raw_Data!E4099)</f>
        <v>33963.13</v>
      </c>
      <c r="F4099" s="15" t="str">
        <f>IF(ISBLANK(Raw_Data!F4099),AVERAGE(Raw_Data!F$2:F$5002),Raw_Data!F4099)</f>
        <v>33410.31</v>
      </c>
      <c r="G4099" s="14" t="str">
        <f>IF(ISBLANK(Raw_Data!G4099),AVERAGE(Raw_Data!G$2:G$5002),Raw_Data!G4099)</f>
        <v>21614.38</v>
      </c>
      <c r="H4099" s="15" t="str">
        <f t="shared" si="1"/>
        <v>162512.00</v>
      </c>
      <c r="I4099" s="14" t="str">
        <f t="shared" si="2"/>
        <v>140898.00</v>
      </c>
      <c r="J4099" s="16" t="str">
        <f>TEXT(Raw_Data!J4099,"MMM-YYY")</f>
        <v>Jan-2025</v>
      </c>
      <c r="K4099" s="13" t="str">
        <f>Raw_Data!K4099</f>
        <v>13</v>
      </c>
      <c r="L4099" s="17" t="str">
        <f>Raw_Data!L4099</f>
        <v>Ahmedabad-West</v>
      </c>
      <c r="M4099" s="13" t="str">
        <f t="shared" si="3"/>
        <v>OK</v>
      </c>
      <c r="N4099" s="18" t="str">
        <f t="shared" si="4"/>
        <v>VALID</v>
      </c>
    </row>
    <row r="4100" ht="15.75" customHeight="1">
      <c r="A4100" s="13" t="str">
        <f>Raw_Data!A4100</f>
        <v>EMP4329</v>
      </c>
      <c r="B4100" s="13" t="str">
        <f>TRIM(CLEAN(Raw_Data!B4100))</f>
        <v>Sales</v>
      </c>
      <c r="C4100" s="18" t="s">
        <v>30</v>
      </c>
      <c r="D4100" s="14" t="str">
        <f>IF(ISBLANK(Raw_Data!D4100),AVERAGE(Raw_Data!D$2:D$5002),Raw_Data!D4100)</f>
        <v>95149.66</v>
      </c>
      <c r="E4100" s="15" t="str">
        <f>IF(ISBLANK(Raw_Data!E4100),AVERAGE(Raw_Data!E$2:E$5002),Raw_Data!E4100)</f>
        <v>33967.74</v>
      </c>
      <c r="F4100" s="15" t="str">
        <f>IF(ISBLANK(Raw_Data!F4100),AVERAGE(Raw_Data!F$2:F$5002),Raw_Data!F4100)</f>
        <v>33417.99</v>
      </c>
      <c r="G4100" s="14" t="str">
        <f>IF(ISBLANK(Raw_Data!G4100),AVERAGE(Raw_Data!G$2:G$5002),Raw_Data!G4100)</f>
        <v>21617.78</v>
      </c>
      <c r="H4100" s="15" t="str">
        <f t="shared" si="1"/>
        <v>162535.00</v>
      </c>
      <c r="I4100" s="14" t="str">
        <f t="shared" si="2"/>
        <v>140917.00</v>
      </c>
      <c r="J4100" s="16" t="str">
        <f>TEXT(Raw_Data!J4100,"MMM-YYY")</f>
        <v>Aug-2025</v>
      </c>
      <c r="K4100" s="13" t="str">
        <f>Raw_Data!K4100</f>
        <v>6</v>
      </c>
      <c r="L4100" s="17" t="str">
        <f>Raw_Data!L4100</f>
        <v>Jaipur-North</v>
      </c>
      <c r="M4100" s="13" t="str">
        <f t="shared" si="3"/>
        <v>OK</v>
      </c>
      <c r="N4100" s="18" t="str">
        <f t="shared" si="4"/>
        <v>VALID</v>
      </c>
    </row>
    <row r="4101" ht="15.75" customHeight="1">
      <c r="A4101" s="13" t="str">
        <f>Raw_Data!A4101</f>
        <v>EMP4330</v>
      </c>
      <c r="B4101" s="13" t="str">
        <f>TRIM(CLEAN(Raw_Data!B4101))</f>
        <v>IT</v>
      </c>
      <c r="C4101" s="18" t="s">
        <v>30</v>
      </c>
      <c r="D4101" s="14" t="str">
        <f>IF(ISBLANK(Raw_Data!D4101),AVERAGE(Raw_Data!D$2:D$5002),Raw_Data!D4101)</f>
        <v>95160.54</v>
      </c>
      <c r="E4101" s="15" t="str">
        <f>IF(ISBLANK(Raw_Data!E4101),AVERAGE(Raw_Data!E$2:E$5002),Raw_Data!E4101)</f>
        <v>33972.35</v>
      </c>
      <c r="F4101" s="15" t="str">
        <f>IF(ISBLANK(Raw_Data!F4101),AVERAGE(Raw_Data!F$2:F$5002),Raw_Data!F4101)</f>
        <v>33425.67</v>
      </c>
      <c r="G4101" s="14" t="str">
        <f>IF(ISBLANK(Raw_Data!G4101),AVERAGE(Raw_Data!G$2:G$5002),Raw_Data!G4101)</f>
        <v>21621.17</v>
      </c>
      <c r="H4101" s="15" t="str">
        <f t="shared" si="1"/>
        <v>162559.00</v>
      </c>
      <c r="I4101" s="14" t="str">
        <f t="shared" si="2"/>
        <v>140938.00</v>
      </c>
      <c r="J4101" s="16" t="str">
        <f>TEXT(Raw_Data!J4101,"MMM-YYY")</f>
        <v>Mar-2025</v>
      </c>
      <c r="K4101" s="13" t="str">
        <f>Raw_Data!K4101</f>
        <v>4</v>
      </c>
      <c r="L4101" s="17" t="str">
        <f>Raw_Data!L4101</f>
        <v>Mumbai-HO</v>
      </c>
      <c r="M4101" s="13" t="str">
        <f t="shared" si="3"/>
        <v>OK</v>
      </c>
      <c r="N4101" s="18" t="str">
        <f t="shared" si="4"/>
        <v>VALID</v>
      </c>
    </row>
    <row r="4102" ht="15.75" customHeight="1">
      <c r="A4102" s="13" t="str">
        <f>Raw_Data!A4102</f>
        <v>EMP4331</v>
      </c>
      <c r="B4102" s="13" t="str">
        <f>TRIM(CLEAN(Raw_Data!B4102))</f>
        <v>IT</v>
      </c>
      <c r="C4102" s="18" t="s">
        <v>30</v>
      </c>
      <c r="D4102" s="14" t="str">
        <f>IF(ISBLANK(Raw_Data!D4102),AVERAGE(Raw_Data!D$2:D$5002),Raw_Data!D4102)</f>
        <v>95171.42</v>
      </c>
      <c r="E4102" s="15" t="str">
        <f>IF(ISBLANK(Raw_Data!E4102),AVERAGE(Raw_Data!E$2:E$5002),Raw_Data!E4102)</f>
        <v>33976.97</v>
      </c>
      <c r="F4102" s="15" t="str">
        <f>IF(ISBLANK(Raw_Data!F4102),AVERAGE(Raw_Data!F$2:F$5002),Raw_Data!F4102)</f>
        <v>33433.35</v>
      </c>
      <c r="G4102" s="14" t="str">
        <f>IF(ISBLANK(Raw_Data!G4102),AVERAGE(Raw_Data!G$2:G$5002),Raw_Data!G4102)</f>
        <v>21624.57</v>
      </c>
      <c r="H4102" s="15" t="str">
        <f t="shared" si="1"/>
        <v>162582.00</v>
      </c>
      <c r="I4102" s="14" t="str">
        <f t="shared" si="2"/>
        <v>140957.00</v>
      </c>
      <c r="J4102" s="16" t="str">
        <f>TEXT(Raw_Data!J4102,"MMM-YYY")</f>
        <v>Dec-2025</v>
      </c>
      <c r="K4102" s="13" t="str">
        <f>Raw_Data!K4102</f>
        <v>1</v>
      </c>
      <c r="L4102" s="17" t="str">
        <f>Raw_Data!L4102</f>
        <v>Delhi-North</v>
      </c>
      <c r="M4102" s="13" t="str">
        <f t="shared" si="3"/>
        <v>OK</v>
      </c>
      <c r="N4102" s="18" t="str">
        <f t="shared" si="4"/>
        <v>VALID</v>
      </c>
    </row>
    <row r="4103" ht="15.75" customHeight="1">
      <c r="A4103" s="13" t="str">
        <f>Raw_Data!A4103</f>
        <v>EMP4332</v>
      </c>
      <c r="B4103" s="13" t="str">
        <f>TRIM(CLEAN(Raw_Data!B4103))</f>
        <v>HR</v>
      </c>
      <c r="C4103" s="18" t="s">
        <v>30</v>
      </c>
      <c r="D4103" s="14" t="str">
        <f>IF(ISBLANK(Raw_Data!D4103),AVERAGE(Raw_Data!D$2:D$5002),Raw_Data!D4103)</f>
        <v>95182.31</v>
      </c>
      <c r="E4103" s="15" t="str">
        <f>IF(ISBLANK(Raw_Data!E4103),AVERAGE(Raw_Data!E$2:E$5002),Raw_Data!E4103)</f>
        <v>33981.58</v>
      </c>
      <c r="F4103" s="15" t="str">
        <f>IF(ISBLANK(Raw_Data!F4103),AVERAGE(Raw_Data!F$2:F$5002),Raw_Data!F4103)</f>
        <v>33441.03</v>
      </c>
      <c r="G4103" s="14" t="str">
        <f>IF(ISBLANK(Raw_Data!G4103),AVERAGE(Raw_Data!G$2:G$5002),Raw_Data!G4103)</f>
        <v>21627.97</v>
      </c>
      <c r="H4103" s="15" t="str">
        <f t="shared" si="1"/>
        <v>162605.00</v>
      </c>
      <c r="I4103" s="14" t="str">
        <f t="shared" si="2"/>
        <v>140977.00</v>
      </c>
      <c r="J4103" s="16" t="str">
        <f>TEXT(Raw_Data!J4103,"MMM-YYY")</f>
        <v>Feb-2025</v>
      </c>
      <c r="K4103" s="13" t="str">
        <f>Raw_Data!K4103</f>
        <v>9</v>
      </c>
      <c r="L4103" s="17" t="str">
        <f>Raw_Data!L4103</f>
        <v>Bangalore-South</v>
      </c>
      <c r="M4103" s="13" t="str">
        <f t="shared" si="3"/>
        <v>OK</v>
      </c>
      <c r="N4103" s="18" t="str">
        <f t="shared" si="4"/>
        <v>VALID</v>
      </c>
    </row>
    <row r="4104" ht="15.75" customHeight="1">
      <c r="A4104" s="13" t="str">
        <f>Raw_Data!A4104</f>
        <v>EMP4333</v>
      </c>
      <c r="B4104" s="13" t="str">
        <f>TRIM(CLEAN(Raw_Data!B4104))</f>
        <v>Operations</v>
      </c>
      <c r="C4104" s="18" t="s">
        <v>30</v>
      </c>
      <c r="D4104" s="14" t="str">
        <f>IF(ISBLANK(Raw_Data!D4104),AVERAGE(Raw_Data!D$2:D$5002),Raw_Data!D4104)</f>
        <v>95193.19</v>
      </c>
      <c r="E4104" s="15" t="str">
        <f>IF(ISBLANK(Raw_Data!E4104),AVERAGE(Raw_Data!E$2:E$5002),Raw_Data!E4104)</f>
        <v>33986.20</v>
      </c>
      <c r="F4104" s="15" t="str">
        <f>IF(ISBLANK(Raw_Data!F4104),AVERAGE(Raw_Data!F$2:F$5002),Raw_Data!F4104)</f>
        <v>33448.71</v>
      </c>
      <c r="G4104" s="14" t="str">
        <f>IF(ISBLANK(Raw_Data!G4104),AVERAGE(Raw_Data!G$2:G$5002),Raw_Data!G4104)</f>
        <v>21631.37</v>
      </c>
      <c r="H4104" s="15" t="str">
        <f t="shared" si="1"/>
        <v>162628.00</v>
      </c>
      <c r="I4104" s="14" t="str">
        <f t="shared" si="2"/>
        <v>140997.00</v>
      </c>
      <c r="J4104" s="16" t="str">
        <f>TEXT(Raw_Data!J4104,"MMM-YYY")</f>
        <v>Feb-2025</v>
      </c>
      <c r="K4104" s="13" t="str">
        <f>Raw_Data!K4104</f>
        <v>20</v>
      </c>
      <c r="L4104" s="17" t="str">
        <f>Raw_Data!L4104</f>
        <v>Chennai-South</v>
      </c>
      <c r="M4104" s="13" t="str">
        <f t="shared" si="3"/>
        <v>OK</v>
      </c>
      <c r="N4104" s="18" t="str">
        <f t="shared" si="4"/>
        <v>VALID</v>
      </c>
    </row>
    <row r="4105" ht="15.75" customHeight="1">
      <c r="A4105" s="13" t="str">
        <f>Raw_Data!A4105</f>
        <v>EMP4334</v>
      </c>
      <c r="B4105" s="13" t="str">
        <f>TRIM(CLEAN(Raw_Data!B4105))</f>
        <v>HR</v>
      </c>
      <c r="C4105" s="18" t="s">
        <v>30</v>
      </c>
      <c r="D4105" s="14" t="str">
        <f>IF(ISBLANK(Raw_Data!D4105),AVERAGE(Raw_Data!D$2:D$5002),Raw_Data!D4105)</f>
        <v>95204.07</v>
      </c>
      <c r="E4105" s="15" t="str">
        <f>IF(ISBLANK(Raw_Data!E4105),AVERAGE(Raw_Data!E$2:E$5002),Raw_Data!E4105)</f>
        <v>33990.81</v>
      </c>
      <c r="F4105" s="15" t="str">
        <f>IF(ISBLANK(Raw_Data!F4105),AVERAGE(Raw_Data!F$2:F$5002),Raw_Data!F4105)</f>
        <v>33456.39</v>
      </c>
      <c r="G4105" s="14" t="str">
        <f>IF(ISBLANK(Raw_Data!G4105),AVERAGE(Raw_Data!G$2:G$5002),Raw_Data!G4105)</f>
        <v>21634.76</v>
      </c>
      <c r="H4105" s="15" t="str">
        <f t="shared" si="1"/>
        <v>162651.00</v>
      </c>
      <c r="I4105" s="14" t="str">
        <f t="shared" si="2"/>
        <v>141016.00</v>
      </c>
      <c r="J4105" s="16" t="str">
        <f>TEXT(Raw_Data!J4105,"MMM-YYY")</f>
        <v>Oct-2025</v>
      </c>
      <c r="K4105" s="13" t="str">
        <f>Raw_Data!K4105</f>
        <v>15</v>
      </c>
      <c r="L4105" s="17" t="str">
        <f>Raw_Data!L4105</f>
        <v>Kolkata-East</v>
      </c>
      <c r="M4105" s="13" t="str">
        <f t="shared" si="3"/>
        <v>OK</v>
      </c>
      <c r="N4105" s="18" t="str">
        <f t="shared" si="4"/>
        <v>VALID</v>
      </c>
    </row>
    <row r="4106" ht="15.75" customHeight="1">
      <c r="A4106" s="13" t="str">
        <f>Raw_Data!A4106</f>
        <v>EMP4335</v>
      </c>
      <c r="B4106" s="13" t="str">
        <f>TRIM(CLEAN(Raw_Data!B4106))</f>
        <v>Customer Support</v>
      </c>
      <c r="C4106" s="18" t="s">
        <v>37</v>
      </c>
      <c r="D4106" s="14" t="str">
        <f>IF(ISBLANK(Raw_Data!D4106),AVERAGE(Raw_Data!D$2:D$5002),Raw_Data!D4106)</f>
        <v>95214.95</v>
      </c>
      <c r="E4106" s="15" t="str">
        <f>IF(ISBLANK(Raw_Data!E4106),AVERAGE(Raw_Data!E$2:E$5002),Raw_Data!E4106)</f>
        <v>33995.43</v>
      </c>
      <c r="F4106" s="15" t="str">
        <f>IF(ISBLANK(Raw_Data!F4106),AVERAGE(Raw_Data!F$2:F$5002),Raw_Data!F4106)</f>
        <v>33464.07</v>
      </c>
      <c r="G4106" s="14" t="str">
        <f>IF(ISBLANK(Raw_Data!G4106),AVERAGE(Raw_Data!G$2:G$5002),Raw_Data!G4106)</f>
        <v>21638.16</v>
      </c>
      <c r="H4106" s="15" t="str">
        <f t="shared" si="1"/>
        <v>162674.00</v>
      </c>
      <c r="I4106" s="14" t="str">
        <f t="shared" si="2"/>
        <v>141036.00</v>
      </c>
      <c r="J4106" s="16" t="str">
        <f>TEXT(Raw_Data!J4106,"MMM-YYY")</f>
        <v>Dec-2025</v>
      </c>
      <c r="K4106" s="13" t="str">
        <f>Raw_Data!K4106</f>
        <v>2</v>
      </c>
      <c r="L4106" s="17" t="str">
        <f>Raw_Data!L4106</f>
        <v>Pune-West</v>
      </c>
      <c r="M4106" s="13" t="str">
        <f t="shared" si="3"/>
        <v>OK</v>
      </c>
      <c r="N4106" s="18" t="str">
        <f t="shared" si="4"/>
        <v>VALID</v>
      </c>
    </row>
    <row r="4107" ht="15.75" customHeight="1">
      <c r="A4107" s="13" t="str">
        <f>Raw_Data!A4107</f>
        <v>EMP4336</v>
      </c>
      <c r="B4107" s="13" t="str">
        <f>TRIM(CLEAN(Raw_Data!B4107))</f>
        <v>Finance</v>
      </c>
      <c r="C4107" s="18" t="s">
        <v>54</v>
      </c>
      <c r="D4107" s="14" t="str">
        <f>IF(ISBLANK(Raw_Data!D4107),AVERAGE(Raw_Data!D$2:D$5002),Raw_Data!D4107)</f>
        <v>95225.84</v>
      </c>
      <c r="E4107" s="15" t="str">
        <f>IF(ISBLANK(Raw_Data!E4107),AVERAGE(Raw_Data!E$2:E$5002),Raw_Data!E4107)</f>
        <v>34000.04</v>
      </c>
      <c r="F4107" s="15" t="str">
        <f>IF(ISBLANK(Raw_Data!F4107),AVERAGE(Raw_Data!F$2:F$5002),Raw_Data!F4107)</f>
        <v>33471.75</v>
      </c>
      <c r="G4107" s="14" t="str">
        <f>IF(ISBLANK(Raw_Data!G4107),AVERAGE(Raw_Data!G$2:G$5002),Raw_Data!G4107)</f>
        <v>21641.56</v>
      </c>
      <c r="H4107" s="15" t="str">
        <f t="shared" si="1"/>
        <v>162698.00</v>
      </c>
      <c r="I4107" s="14" t="str">
        <f t="shared" si="2"/>
        <v>141056.00</v>
      </c>
      <c r="J4107" s="16" t="str">
        <f>TEXT(Raw_Data!J4107,"MMM-YYY")</f>
        <v>Jan-2025</v>
      </c>
      <c r="K4107" s="13" t="str">
        <f>Raw_Data!K4107</f>
        <v>13</v>
      </c>
      <c r="L4107" s="17" t="str">
        <f>Raw_Data!L4107</f>
        <v>Hyderabad-South</v>
      </c>
      <c r="M4107" s="13" t="str">
        <f t="shared" si="3"/>
        <v>OK</v>
      </c>
      <c r="N4107" s="18" t="str">
        <f t="shared" si="4"/>
        <v>VALID</v>
      </c>
    </row>
    <row r="4108" ht="15.75" customHeight="1">
      <c r="A4108" s="13" t="str">
        <f>Raw_Data!A4108</f>
        <v>EMP4337</v>
      </c>
      <c r="B4108" s="13" t="str">
        <f>TRIM(CLEAN(Raw_Data!B4108))</f>
        <v>Marketing</v>
      </c>
      <c r="C4108" s="18" t="s">
        <v>14</v>
      </c>
      <c r="D4108" s="14" t="str">
        <f>IF(ISBLANK(Raw_Data!D4108),AVERAGE(Raw_Data!D$2:D$5002),Raw_Data!D4108)</f>
        <v>95236.72</v>
      </c>
      <c r="E4108" s="15" t="str">
        <f>IF(ISBLANK(Raw_Data!E4108),AVERAGE(Raw_Data!E$2:E$5002),Raw_Data!E4108)</f>
        <v>34004.66</v>
      </c>
      <c r="F4108" s="15" t="str">
        <f>IF(ISBLANK(Raw_Data!F4108),AVERAGE(Raw_Data!F$2:F$5002),Raw_Data!F4108)</f>
        <v>33479.43</v>
      </c>
      <c r="G4108" s="14" t="str">
        <f>IF(ISBLANK(Raw_Data!G4108),AVERAGE(Raw_Data!G$2:G$5002),Raw_Data!G4108)</f>
        <v>21644.96</v>
      </c>
      <c r="H4108" s="15" t="str">
        <f t="shared" si="1"/>
        <v>162721.00</v>
      </c>
      <c r="I4108" s="14" t="str">
        <f t="shared" si="2"/>
        <v>141076.00</v>
      </c>
      <c r="J4108" s="16" t="str">
        <f>TEXT(Raw_Data!J4108,"MMM-YYY")</f>
        <v>Sep-2025</v>
      </c>
      <c r="K4108" s="13" t="str">
        <f>Raw_Data!K4108</f>
        <v>11</v>
      </c>
      <c r="L4108" s="17" t="str">
        <f>Raw_Data!L4108</f>
        <v>Chandigarh-North</v>
      </c>
      <c r="M4108" s="13" t="str">
        <f t="shared" si="3"/>
        <v>OK</v>
      </c>
      <c r="N4108" s="18" t="str">
        <f t="shared" si="4"/>
        <v>VALID</v>
      </c>
    </row>
    <row r="4109" ht="15.75" customHeight="1">
      <c r="A4109" s="13" t="str">
        <f>Raw_Data!A4109</f>
        <v>EMP4338</v>
      </c>
      <c r="B4109" s="13" t="str">
        <f>TRIM(CLEAN(Raw_Data!B4109))</f>
        <v>Marketing</v>
      </c>
      <c r="C4109" s="18" t="s">
        <v>30</v>
      </c>
      <c r="D4109" s="14" t="str">
        <f>IF(ISBLANK(Raw_Data!D4109),AVERAGE(Raw_Data!D$2:D$5002),Raw_Data!D4109)</f>
        <v>95247.60</v>
      </c>
      <c r="E4109" s="15" t="str">
        <f>IF(ISBLANK(Raw_Data!E4109),AVERAGE(Raw_Data!E$2:E$5002),Raw_Data!E4109)</f>
        <v>34009.27</v>
      </c>
      <c r="F4109" s="15" t="str">
        <f>IF(ISBLANK(Raw_Data!F4109),AVERAGE(Raw_Data!F$2:F$5002),Raw_Data!F4109)</f>
        <v>33487.11</v>
      </c>
      <c r="G4109" s="14" t="str">
        <f>IF(ISBLANK(Raw_Data!G4109),AVERAGE(Raw_Data!G$2:G$5002),Raw_Data!G4109)</f>
        <v>21648.35</v>
      </c>
      <c r="H4109" s="15" t="str">
        <f t="shared" si="1"/>
        <v>162744.00</v>
      </c>
      <c r="I4109" s="14" t="str">
        <f t="shared" si="2"/>
        <v>141096.00</v>
      </c>
      <c r="J4109" s="16" t="str">
        <f>TEXT(Raw_Data!J4109,"MMM-YYY")</f>
        <v>Nov-2025</v>
      </c>
      <c r="K4109" s="13" t="str">
        <f>Raw_Data!K4109</f>
        <v>18</v>
      </c>
      <c r="L4109" s="17" t="str">
        <f>Raw_Data!L4109</f>
        <v>Ahmedabad-West</v>
      </c>
      <c r="M4109" s="13" t="str">
        <f t="shared" si="3"/>
        <v>OK</v>
      </c>
      <c r="N4109" s="18" t="str">
        <f t="shared" si="4"/>
        <v>VALID</v>
      </c>
    </row>
    <row r="4110" ht="15.75" customHeight="1">
      <c r="A4110" s="13" t="str">
        <f>Raw_Data!A4110</f>
        <v>EMP4339</v>
      </c>
      <c r="B4110" s="13" t="str">
        <f>TRIM(CLEAN(Raw_Data!B4110))</f>
        <v>Finance</v>
      </c>
      <c r="C4110" s="18" t="s">
        <v>18</v>
      </c>
      <c r="D4110" s="14" t="str">
        <f>IF(ISBLANK(Raw_Data!D4110),AVERAGE(Raw_Data!D$2:D$5002),Raw_Data!D4110)</f>
        <v>95258.49</v>
      </c>
      <c r="E4110" s="15" t="str">
        <f>IF(ISBLANK(Raw_Data!E4110),AVERAGE(Raw_Data!E$2:E$5002),Raw_Data!E4110)</f>
        <v>34013.89</v>
      </c>
      <c r="F4110" s="15" t="str">
        <f>IF(ISBLANK(Raw_Data!F4110),AVERAGE(Raw_Data!F$2:F$5002),Raw_Data!F4110)</f>
        <v>33494.79</v>
      </c>
      <c r="G4110" s="14" t="str">
        <f>IF(ISBLANK(Raw_Data!G4110),AVERAGE(Raw_Data!G$2:G$5002),Raw_Data!G4110)</f>
        <v>21651.75</v>
      </c>
      <c r="H4110" s="15" t="str">
        <f t="shared" si="1"/>
        <v>162767.00</v>
      </c>
      <c r="I4110" s="14" t="str">
        <f t="shared" si="2"/>
        <v>141115.00</v>
      </c>
      <c r="J4110" s="16" t="str">
        <f>TEXT(Raw_Data!J4110,"MMM-YYY")</f>
        <v>Jul-2025</v>
      </c>
      <c r="K4110" s="13" t="str">
        <f>Raw_Data!K4110</f>
        <v>15</v>
      </c>
      <c r="L4110" s="17" t="str">
        <f>Raw_Data!L4110</f>
        <v>Jaipur-North</v>
      </c>
      <c r="M4110" s="13" t="str">
        <f t="shared" si="3"/>
        <v>OK</v>
      </c>
      <c r="N4110" s="18" t="str">
        <f t="shared" si="4"/>
        <v>VALID</v>
      </c>
    </row>
    <row r="4111" ht="15.75" customHeight="1">
      <c r="A4111" s="13" t="str">
        <f>Raw_Data!A4111</f>
        <v>EMP4340</v>
      </c>
      <c r="B4111" s="13" t="str">
        <f>TRIM(CLEAN(Raw_Data!B4111))</f>
        <v>HR</v>
      </c>
      <c r="C4111" s="18" t="s">
        <v>37</v>
      </c>
      <c r="D4111" s="14" t="str">
        <f>IF(ISBLANK(Raw_Data!D4111),AVERAGE(Raw_Data!D$2:D$5002),Raw_Data!D4111)</f>
        <v>95269.37</v>
      </c>
      <c r="E4111" s="15" t="str">
        <f>IF(ISBLANK(Raw_Data!E4111),AVERAGE(Raw_Data!E$2:E$5002),Raw_Data!E4111)</f>
        <v>34018.50</v>
      </c>
      <c r="F4111" s="15" t="str">
        <f>IF(ISBLANK(Raw_Data!F4111),AVERAGE(Raw_Data!F$2:F$5002),Raw_Data!F4111)</f>
        <v>33502.47</v>
      </c>
      <c r="G4111" s="14" t="str">
        <f>IF(ISBLANK(Raw_Data!G4111),AVERAGE(Raw_Data!G$2:G$5002),Raw_Data!G4111)</f>
        <v>21655.15</v>
      </c>
      <c r="H4111" s="15" t="str">
        <f t="shared" si="1"/>
        <v>162790.00</v>
      </c>
      <c r="I4111" s="14" t="str">
        <f t="shared" si="2"/>
        <v>141135.00</v>
      </c>
      <c r="J4111" s="16" t="str">
        <f>TEXT(Raw_Data!J4111,"MMM-YYY")</f>
        <v>Jul-2025</v>
      </c>
      <c r="K4111" s="13" t="str">
        <f>Raw_Data!K4111</f>
        <v>10</v>
      </c>
      <c r="L4111" s="17" t="str">
        <f>Raw_Data!L4111</f>
        <v>Mumbai-HO</v>
      </c>
      <c r="M4111" s="13" t="str">
        <f t="shared" si="3"/>
        <v>OK</v>
      </c>
      <c r="N4111" s="18" t="str">
        <f t="shared" si="4"/>
        <v>VALID</v>
      </c>
    </row>
    <row r="4112" ht="15.75" customHeight="1">
      <c r="A4112" s="13" t="str">
        <f>Raw_Data!A4112</f>
        <v>EMP4341</v>
      </c>
      <c r="B4112" s="13" t="str">
        <f>TRIM(CLEAN(Raw_Data!B4112))</f>
        <v>Customer Support</v>
      </c>
      <c r="C4112" s="18" t="s">
        <v>18</v>
      </c>
      <c r="D4112" s="14" t="str">
        <f>IF(ISBLANK(Raw_Data!D4112),AVERAGE(Raw_Data!D$2:D$5002),Raw_Data!D4112)</f>
        <v>95280.25</v>
      </c>
      <c r="E4112" s="15" t="str">
        <f>IF(ISBLANK(Raw_Data!E4112),AVERAGE(Raw_Data!E$2:E$5002),Raw_Data!E4112)</f>
        <v>34023.12</v>
      </c>
      <c r="F4112" s="15" t="str">
        <f>IF(ISBLANK(Raw_Data!F4112),AVERAGE(Raw_Data!F$2:F$5002),Raw_Data!F4112)</f>
        <v>33510.15</v>
      </c>
      <c r="G4112" s="14" t="str">
        <f>IF(ISBLANK(Raw_Data!G4112),AVERAGE(Raw_Data!G$2:G$5002),Raw_Data!G4112)</f>
        <v>21658.55</v>
      </c>
      <c r="H4112" s="15" t="str">
        <f t="shared" si="1"/>
        <v>162814.00</v>
      </c>
      <c r="I4112" s="14" t="str">
        <f t="shared" si="2"/>
        <v>141155.00</v>
      </c>
      <c r="J4112" s="16" t="str">
        <f>TEXT(Raw_Data!J4112,"MMM-YYY")</f>
        <v>Jan-2025</v>
      </c>
      <c r="K4112" s="13" t="str">
        <f>Raw_Data!K4112</f>
        <v>2</v>
      </c>
      <c r="L4112" s="17" t="str">
        <f>Raw_Data!L4112</f>
        <v>Delhi-North</v>
      </c>
      <c r="M4112" s="13" t="str">
        <f t="shared" si="3"/>
        <v>OK</v>
      </c>
      <c r="N4112" s="18" t="str">
        <f t="shared" si="4"/>
        <v>VALID</v>
      </c>
    </row>
    <row r="4113" ht="15.75" customHeight="1">
      <c r="A4113" s="13" t="str">
        <f>Raw_Data!A4113</f>
        <v>EMP4342</v>
      </c>
      <c r="B4113" s="13" t="str">
        <f>TRIM(CLEAN(Raw_Data!B4113))</f>
        <v>Customer Support</v>
      </c>
      <c r="C4113" s="18" t="s">
        <v>33</v>
      </c>
      <c r="D4113" s="14" t="str">
        <f>IF(ISBLANK(Raw_Data!D4113),AVERAGE(Raw_Data!D$2:D$5002),Raw_Data!D4113)</f>
        <v>95291.13</v>
      </c>
      <c r="E4113" s="15" t="str">
        <f>IF(ISBLANK(Raw_Data!E4113),AVERAGE(Raw_Data!E$2:E$5002),Raw_Data!E4113)</f>
        <v>34027.73</v>
      </c>
      <c r="F4113" s="15" t="str">
        <f>IF(ISBLANK(Raw_Data!F4113),AVERAGE(Raw_Data!F$2:F$5002),Raw_Data!F4113)</f>
        <v>33517.83</v>
      </c>
      <c r="G4113" s="14" t="str">
        <f>IF(ISBLANK(Raw_Data!G4113),AVERAGE(Raw_Data!G$2:G$5002),Raw_Data!G4113)</f>
        <v>21661.94</v>
      </c>
      <c r="H4113" s="15" t="str">
        <f t="shared" si="1"/>
        <v>162837.00</v>
      </c>
      <c r="I4113" s="14" t="str">
        <f t="shared" si="2"/>
        <v>141175.00</v>
      </c>
      <c r="J4113" s="16" t="str">
        <f>TEXT(Raw_Data!J4113,"MMM-YYY")</f>
        <v>Mar-2025</v>
      </c>
      <c r="K4113" s="13" t="str">
        <f>Raw_Data!K4113</f>
        <v>2</v>
      </c>
      <c r="L4113" s="17" t="str">
        <f>Raw_Data!L4113</f>
        <v>Bangalore-South</v>
      </c>
      <c r="M4113" s="13" t="str">
        <f t="shared" si="3"/>
        <v>OK</v>
      </c>
      <c r="N4113" s="18" t="str">
        <f t="shared" si="4"/>
        <v>VALID</v>
      </c>
    </row>
    <row r="4114" ht="15.75" customHeight="1">
      <c r="A4114" s="13" t="str">
        <f>Raw_Data!A4114</f>
        <v>EMP4343</v>
      </c>
      <c r="B4114" s="13" t="str">
        <f>TRIM(CLEAN(Raw_Data!B4114))</f>
        <v>Sales</v>
      </c>
      <c r="C4114" s="18" t="s">
        <v>33</v>
      </c>
      <c r="D4114" s="14" t="str">
        <f>IF(ISBLANK(Raw_Data!D4114),AVERAGE(Raw_Data!D$2:D$5002),Raw_Data!D4114)</f>
        <v>95302.02</v>
      </c>
      <c r="E4114" s="15" t="str">
        <f>IF(ISBLANK(Raw_Data!E4114),AVERAGE(Raw_Data!E$2:E$5002),Raw_Data!E4114)</f>
        <v>34032.35</v>
      </c>
      <c r="F4114" s="15" t="str">
        <f>IF(ISBLANK(Raw_Data!F4114),AVERAGE(Raw_Data!F$2:F$5002),Raw_Data!F4114)</f>
        <v>33525.51</v>
      </c>
      <c r="G4114" s="14" t="str">
        <f>IF(ISBLANK(Raw_Data!G4114),AVERAGE(Raw_Data!G$2:G$5002),Raw_Data!G4114)</f>
        <v>21665.34</v>
      </c>
      <c r="H4114" s="15" t="str">
        <f t="shared" si="1"/>
        <v>162860.00</v>
      </c>
      <c r="I4114" s="14" t="str">
        <f t="shared" si="2"/>
        <v>141195.00</v>
      </c>
      <c r="J4114" s="16" t="str">
        <f>TEXT(Raw_Data!J4114,"MMM-YYY")</f>
        <v>Jan-2025</v>
      </c>
      <c r="K4114" s="13" t="str">
        <f>Raw_Data!K4114</f>
        <v>19</v>
      </c>
      <c r="L4114" s="17" t="str">
        <f>Raw_Data!L4114</f>
        <v>Chennai-South</v>
      </c>
      <c r="M4114" s="13" t="str">
        <f t="shared" si="3"/>
        <v>OK</v>
      </c>
      <c r="N4114" s="18" t="str">
        <f t="shared" si="4"/>
        <v>VALID</v>
      </c>
    </row>
    <row r="4115" ht="15.75" customHeight="1">
      <c r="A4115" s="13" t="str">
        <f>Raw_Data!A4115</f>
        <v>EMP4344</v>
      </c>
      <c r="B4115" s="13" t="str">
        <f>TRIM(CLEAN(Raw_Data!B4115))</f>
        <v>Finance</v>
      </c>
      <c r="C4115" s="18" t="s">
        <v>14</v>
      </c>
      <c r="D4115" s="14" t="str">
        <f>IF(ISBLANK(Raw_Data!D4115),AVERAGE(Raw_Data!D$2:D$5002),Raw_Data!D4115)</f>
        <v>95312.90</v>
      </c>
      <c r="E4115" s="15" t="str">
        <f>IF(ISBLANK(Raw_Data!E4115),AVERAGE(Raw_Data!E$2:E$5002),Raw_Data!E4115)</f>
        <v>34036.96</v>
      </c>
      <c r="F4115" s="15" t="str">
        <f>IF(ISBLANK(Raw_Data!F4115),AVERAGE(Raw_Data!F$2:F$5002),Raw_Data!F4115)</f>
        <v>33533.19</v>
      </c>
      <c r="G4115" s="14" t="str">
        <f>IF(ISBLANK(Raw_Data!G4115),AVERAGE(Raw_Data!G$2:G$5002),Raw_Data!G4115)</f>
        <v>21668.74</v>
      </c>
      <c r="H4115" s="15" t="str">
        <f t="shared" si="1"/>
        <v>162883.00</v>
      </c>
      <c r="I4115" s="14" t="str">
        <f t="shared" si="2"/>
        <v>141214.00</v>
      </c>
      <c r="J4115" s="16" t="str">
        <f>TEXT(Raw_Data!J4115,"MMM-YYY")</f>
        <v>Feb-2025</v>
      </c>
      <c r="K4115" s="13" t="str">
        <f>Raw_Data!K4115</f>
        <v>23</v>
      </c>
      <c r="L4115" s="17" t="str">
        <f>Raw_Data!L4115</f>
        <v>Kolkata-East</v>
      </c>
      <c r="M4115" s="13" t="str">
        <f t="shared" si="3"/>
        <v>OK</v>
      </c>
      <c r="N4115" s="18" t="str">
        <f t="shared" si="4"/>
        <v>VALID</v>
      </c>
    </row>
    <row r="4116" ht="15.75" customHeight="1">
      <c r="A4116" s="13" t="str">
        <f>Raw_Data!A4116</f>
        <v>EMP4345</v>
      </c>
      <c r="B4116" s="13" t="str">
        <f>TRIM(CLEAN(Raw_Data!B4116))</f>
        <v>Sales</v>
      </c>
      <c r="C4116" s="18" t="s">
        <v>37</v>
      </c>
      <c r="D4116" s="14" t="str">
        <f>IF(ISBLANK(Raw_Data!D4116),AVERAGE(Raw_Data!D$2:D$5002),Raw_Data!D4116)</f>
        <v>95323.78</v>
      </c>
      <c r="E4116" s="15" t="str">
        <f>IF(ISBLANK(Raw_Data!E4116),AVERAGE(Raw_Data!E$2:E$5002),Raw_Data!E4116)</f>
        <v>34041.58</v>
      </c>
      <c r="F4116" s="15" t="str">
        <f>IF(ISBLANK(Raw_Data!F4116),AVERAGE(Raw_Data!F$2:F$5002),Raw_Data!F4116)</f>
        <v>33540.87</v>
      </c>
      <c r="G4116" s="14" t="str">
        <f>IF(ISBLANK(Raw_Data!G4116),AVERAGE(Raw_Data!G$2:G$5002),Raw_Data!G4116)</f>
        <v>21672.14</v>
      </c>
      <c r="H4116" s="15" t="str">
        <f t="shared" si="1"/>
        <v>162906.00</v>
      </c>
      <c r="I4116" s="14" t="str">
        <f t="shared" si="2"/>
        <v>141234.00</v>
      </c>
      <c r="J4116" s="16" t="str">
        <f>TEXT(Raw_Data!J4116,"MMM-YYY")</f>
        <v>Aug-2025</v>
      </c>
      <c r="K4116" s="13" t="str">
        <f>Raw_Data!K4116</f>
        <v>3</v>
      </c>
      <c r="L4116" s="17" t="str">
        <f>Raw_Data!L4116</f>
        <v>Pune-West</v>
      </c>
      <c r="M4116" s="13" t="str">
        <f t="shared" si="3"/>
        <v>OK</v>
      </c>
      <c r="N4116" s="18" t="str">
        <f t="shared" si="4"/>
        <v>VALID</v>
      </c>
    </row>
    <row r="4117" ht="15.75" customHeight="1">
      <c r="A4117" s="13" t="str">
        <f>Raw_Data!A4117</f>
        <v>EMP4347</v>
      </c>
      <c r="B4117" s="13" t="str">
        <f>TRIM(CLEAN(Raw_Data!B4117))</f>
        <v>Operations</v>
      </c>
      <c r="C4117" s="18" t="s">
        <v>26</v>
      </c>
      <c r="D4117" s="14" t="str">
        <f>IF(ISBLANK(Raw_Data!D4117),AVERAGE(Raw_Data!D$2:D$5002),Raw_Data!D4117)</f>
        <v>95345.55</v>
      </c>
      <c r="E4117" s="15" t="str">
        <f>IF(ISBLANK(Raw_Data!E4117),AVERAGE(Raw_Data!E$2:E$5002),Raw_Data!E4117)</f>
        <v>34050.80</v>
      </c>
      <c r="F4117" s="15" t="str">
        <f>IF(ISBLANK(Raw_Data!F4117),AVERAGE(Raw_Data!F$2:F$5002),Raw_Data!F4117)</f>
        <v>33556.23</v>
      </c>
      <c r="G4117" s="14" t="str">
        <f>IF(ISBLANK(Raw_Data!G4117),AVERAGE(Raw_Data!G$2:G$5002),Raw_Data!G4117)</f>
        <v>21678.93</v>
      </c>
      <c r="H4117" s="15" t="str">
        <f t="shared" si="1"/>
        <v>162953.00</v>
      </c>
      <c r="I4117" s="14" t="str">
        <f t="shared" si="2"/>
        <v>141274.00</v>
      </c>
      <c r="J4117" s="16" t="str">
        <f>TEXT(Raw_Data!J4117,"MMM-YYY")</f>
        <v>Oct-2025</v>
      </c>
      <c r="K4117" s="13" t="str">
        <f>Raw_Data!K4117</f>
        <v>6</v>
      </c>
      <c r="L4117" s="17" t="str">
        <f>Raw_Data!L4117</f>
        <v>Chandigarh-North</v>
      </c>
      <c r="M4117" s="13" t="str">
        <f t="shared" si="3"/>
        <v>OK</v>
      </c>
      <c r="N4117" s="18" t="str">
        <f t="shared" si="4"/>
        <v>VALID</v>
      </c>
    </row>
    <row r="4118" ht="15.75" customHeight="1">
      <c r="A4118" s="13" t="str">
        <f>Raw_Data!A4118</f>
        <v>EMP4348</v>
      </c>
      <c r="B4118" s="13" t="str">
        <f>TRIM(CLEAN(Raw_Data!B4118))</f>
        <v>Marketing</v>
      </c>
      <c r="C4118" s="18" t="s">
        <v>18</v>
      </c>
      <c r="D4118" s="14" t="str">
        <f>IF(ISBLANK(Raw_Data!D4118),AVERAGE(Raw_Data!D$2:D$5002),Raw_Data!D4118)</f>
        <v>95356.43</v>
      </c>
      <c r="E4118" s="15" t="str">
        <f>IF(ISBLANK(Raw_Data!E4118),AVERAGE(Raw_Data!E$2:E$5002),Raw_Data!E4118)</f>
        <v>34055.42</v>
      </c>
      <c r="F4118" s="15" t="str">
        <f>IF(ISBLANK(Raw_Data!F4118),AVERAGE(Raw_Data!F$2:F$5002),Raw_Data!F4118)</f>
        <v>33563.91</v>
      </c>
      <c r="G4118" s="14" t="str">
        <f>IF(ISBLANK(Raw_Data!G4118),AVERAGE(Raw_Data!G$2:G$5002),Raw_Data!G4118)</f>
        <v>21682.33</v>
      </c>
      <c r="H4118" s="15" t="str">
        <f t="shared" si="1"/>
        <v>162976.00</v>
      </c>
      <c r="I4118" s="14" t="str">
        <f t="shared" si="2"/>
        <v>141294.00</v>
      </c>
      <c r="J4118" s="16" t="str">
        <f>TEXT(Raw_Data!J4118,"MMM-YYY")</f>
        <v>Nov-2025</v>
      </c>
      <c r="K4118" s="13" t="str">
        <f>Raw_Data!K4118</f>
        <v>25</v>
      </c>
      <c r="L4118" s="17" t="str">
        <f>Raw_Data!L4118</f>
        <v>Ahmedabad-West</v>
      </c>
      <c r="M4118" s="13" t="str">
        <f t="shared" si="3"/>
        <v>OK</v>
      </c>
      <c r="N4118" s="18" t="str">
        <f t="shared" si="4"/>
        <v>VALID</v>
      </c>
    </row>
    <row r="4119" ht="15.75" customHeight="1">
      <c r="A4119" s="13" t="str">
        <f>Raw_Data!A4119</f>
        <v>EMP4349</v>
      </c>
      <c r="B4119" s="13" t="str">
        <f>TRIM(CLEAN(Raw_Data!B4119))</f>
        <v>IT</v>
      </c>
      <c r="C4119" s="18" t="s">
        <v>30</v>
      </c>
      <c r="D4119" s="14" t="str">
        <f>IF(ISBLANK(Raw_Data!D4119),AVERAGE(Raw_Data!D$2:D$5002),Raw_Data!D4119)</f>
        <v>95367.32</v>
      </c>
      <c r="E4119" s="15" t="str">
        <f>IF(ISBLANK(Raw_Data!E4119),AVERAGE(Raw_Data!E$2:E$5002),Raw_Data!E4119)</f>
        <v>34060.03</v>
      </c>
      <c r="F4119" s="15" t="str">
        <f>IF(ISBLANK(Raw_Data!F4119),AVERAGE(Raw_Data!F$2:F$5002),Raw_Data!F4119)</f>
        <v>33571.59</v>
      </c>
      <c r="G4119" s="14" t="str">
        <f>IF(ISBLANK(Raw_Data!G4119),AVERAGE(Raw_Data!G$2:G$5002),Raw_Data!G4119)</f>
        <v>21685.73</v>
      </c>
      <c r="H4119" s="15" t="str">
        <f t="shared" si="1"/>
        <v>162999.00</v>
      </c>
      <c r="I4119" s="14" t="str">
        <f t="shared" si="2"/>
        <v>141313.00</v>
      </c>
      <c r="J4119" s="16" t="str">
        <f>TEXT(Raw_Data!J4119,"MMM-YYY")</f>
        <v>Aug-2025</v>
      </c>
      <c r="K4119" s="13" t="str">
        <f>Raw_Data!K4119</f>
        <v>12</v>
      </c>
      <c r="L4119" s="17" t="str">
        <f>Raw_Data!L4119</f>
        <v>Jaipur-North</v>
      </c>
      <c r="M4119" s="13" t="str">
        <f t="shared" si="3"/>
        <v>OK</v>
      </c>
      <c r="N4119" s="18" t="str">
        <f t="shared" si="4"/>
        <v>VALID</v>
      </c>
    </row>
    <row r="4120" ht="15.75" customHeight="1">
      <c r="A4120" s="13" t="str">
        <f>Raw_Data!A4120</f>
        <v>EMP4350</v>
      </c>
      <c r="B4120" s="13" t="str">
        <f>TRIM(CLEAN(Raw_Data!B4120))</f>
        <v>Marketing</v>
      </c>
      <c r="C4120" s="18" t="s">
        <v>14</v>
      </c>
      <c r="D4120" s="14" t="str">
        <f>IF(ISBLANK(Raw_Data!D4120),AVERAGE(Raw_Data!D$2:D$5002),Raw_Data!D4120)</f>
        <v>95378.20</v>
      </c>
      <c r="E4120" s="15" t="str">
        <f>IF(ISBLANK(Raw_Data!E4120),AVERAGE(Raw_Data!E$2:E$5002),Raw_Data!E4120)</f>
        <v>34064.65</v>
      </c>
      <c r="F4120" s="15" t="str">
        <f>IF(ISBLANK(Raw_Data!F4120),AVERAGE(Raw_Data!F$2:F$5002),Raw_Data!F4120)</f>
        <v>33579.27</v>
      </c>
      <c r="G4120" s="14" t="str">
        <f>IF(ISBLANK(Raw_Data!G4120),AVERAGE(Raw_Data!G$2:G$5002),Raw_Data!G4120)</f>
        <v>21689.12</v>
      </c>
      <c r="H4120" s="15" t="str">
        <f t="shared" si="1"/>
        <v>163022.00</v>
      </c>
      <c r="I4120" s="14" t="str">
        <f t="shared" si="2"/>
        <v>141333.00</v>
      </c>
      <c r="J4120" s="16" t="str">
        <f>TEXT(Raw_Data!J4120,"MMM-YYY")</f>
        <v>Jun-2025</v>
      </c>
      <c r="K4120" s="13" t="str">
        <f>Raw_Data!K4120</f>
        <v>17</v>
      </c>
      <c r="L4120" s="17" t="str">
        <f>Raw_Data!L4120</f>
        <v>Mumbai-HO</v>
      </c>
      <c r="M4120" s="13" t="str">
        <f t="shared" si="3"/>
        <v>OK</v>
      </c>
      <c r="N4120" s="18" t="str">
        <f t="shared" si="4"/>
        <v>VALID</v>
      </c>
    </row>
    <row r="4121" ht="15.75" customHeight="1">
      <c r="A4121" s="13" t="str">
        <f>Raw_Data!A4121</f>
        <v>EMP4351</v>
      </c>
      <c r="B4121" s="13" t="str">
        <f>TRIM(CLEAN(Raw_Data!B4121))</f>
        <v>Operations</v>
      </c>
      <c r="C4121" s="18" t="s">
        <v>33</v>
      </c>
      <c r="D4121" s="14" t="str">
        <f>IF(ISBLANK(Raw_Data!D4121),AVERAGE(Raw_Data!D$2:D$5002),Raw_Data!D4121)</f>
        <v>95389.08</v>
      </c>
      <c r="E4121" s="15" t="str">
        <f>IF(ISBLANK(Raw_Data!E4121),AVERAGE(Raw_Data!E$2:E$5002),Raw_Data!E4121)</f>
        <v>34069.26</v>
      </c>
      <c r="F4121" s="15" t="str">
        <f>IF(ISBLANK(Raw_Data!F4121),AVERAGE(Raw_Data!F$2:F$5002),Raw_Data!F4121)</f>
        <v>33586.95</v>
      </c>
      <c r="G4121" s="14" t="str">
        <f>IF(ISBLANK(Raw_Data!G4121),AVERAGE(Raw_Data!G$2:G$5002),Raw_Data!G4121)</f>
        <v>21692.52</v>
      </c>
      <c r="H4121" s="15" t="str">
        <f t="shared" si="1"/>
        <v>163045.00</v>
      </c>
      <c r="I4121" s="14" t="str">
        <f t="shared" si="2"/>
        <v>141352.00</v>
      </c>
      <c r="J4121" s="16" t="str">
        <f>TEXT(Raw_Data!J4121,"MMM-YYY")</f>
        <v>Jun-2025</v>
      </c>
      <c r="K4121" s="13" t="str">
        <f>Raw_Data!K4121</f>
        <v>13</v>
      </c>
      <c r="L4121" s="17" t="str">
        <f>Raw_Data!L4121</f>
        <v>Delhi-North</v>
      </c>
      <c r="M4121" s="13" t="str">
        <f t="shared" si="3"/>
        <v>OK</v>
      </c>
      <c r="N4121" s="18" t="str">
        <f t="shared" si="4"/>
        <v>VALID</v>
      </c>
    </row>
    <row r="4122" ht="15.75" customHeight="1">
      <c r="A4122" s="13" t="str">
        <f>Raw_Data!A4122</f>
        <v>EMP4352</v>
      </c>
      <c r="B4122" s="13" t="str">
        <f>TRIM(CLEAN(Raw_Data!B4122))</f>
        <v>Marketing</v>
      </c>
      <c r="C4122" s="18" t="s">
        <v>54</v>
      </c>
      <c r="D4122" s="14" t="str">
        <f>IF(ISBLANK(Raw_Data!D4122),AVERAGE(Raw_Data!D$2:D$5002),Raw_Data!D4122)</f>
        <v>95399.96</v>
      </c>
      <c r="E4122" s="15" t="str">
        <f>IF(ISBLANK(Raw_Data!E4122),AVERAGE(Raw_Data!E$2:E$5002),Raw_Data!E4122)</f>
        <v>34073.88</v>
      </c>
      <c r="F4122" s="15" t="str">
        <f>IF(ISBLANK(Raw_Data!F4122),AVERAGE(Raw_Data!F$2:F$5002),Raw_Data!F4122)</f>
        <v>33594.63</v>
      </c>
      <c r="G4122" s="14" t="str">
        <f>IF(ISBLANK(Raw_Data!G4122),AVERAGE(Raw_Data!G$2:G$5002),Raw_Data!G4122)</f>
        <v>21695.92</v>
      </c>
      <c r="H4122" s="15" t="str">
        <f t="shared" si="1"/>
        <v>163068.00</v>
      </c>
      <c r="I4122" s="14" t="str">
        <f t="shared" si="2"/>
        <v>141372.00</v>
      </c>
      <c r="J4122" s="16" t="str">
        <f>TEXT(Raw_Data!J4122,"MMM-YYY")</f>
        <v>Jun-2025</v>
      </c>
      <c r="K4122" s="13" t="str">
        <f>Raw_Data!K4122</f>
        <v>11</v>
      </c>
      <c r="L4122" s="17" t="str">
        <f>Raw_Data!L4122</f>
        <v>Bangalore-South</v>
      </c>
      <c r="M4122" s="13" t="str">
        <f t="shared" si="3"/>
        <v>OK</v>
      </c>
      <c r="N4122" s="18" t="str">
        <f t="shared" si="4"/>
        <v>VALID</v>
      </c>
    </row>
    <row r="4123" ht="15.75" customHeight="1">
      <c r="A4123" s="13" t="str">
        <f>Raw_Data!A4123</f>
        <v>EMP4353</v>
      </c>
      <c r="B4123" s="13" t="str">
        <f>TRIM(CLEAN(Raw_Data!B4123))</f>
        <v>IT</v>
      </c>
      <c r="C4123" s="18" t="s">
        <v>30</v>
      </c>
      <c r="D4123" s="14" t="str">
        <f>IF(ISBLANK(Raw_Data!D4123),AVERAGE(Raw_Data!D$2:D$5002),Raw_Data!D4123)</f>
        <v>95410.85</v>
      </c>
      <c r="E4123" s="15" t="str">
        <f>IF(ISBLANK(Raw_Data!E4123),AVERAGE(Raw_Data!E$2:E$5002),Raw_Data!E4123)</f>
        <v>34078.49</v>
      </c>
      <c r="F4123" s="15" t="str">
        <f>IF(ISBLANK(Raw_Data!F4123),AVERAGE(Raw_Data!F$2:F$5002),Raw_Data!F4123)</f>
        <v>33602.31</v>
      </c>
      <c r="G4123" s="14" t="str">
        <f>IF(ISBLANK(Raw_Data!G4123),AVERAGE(Raw_Data!G$2:G$5002),Raw_Data!G4123)</f>
        <v>21699.32</v>
      </c>
      <c r="H4123" s="15" t="str">
        <f t="shared" si="1"/>
        <v>163092.00</v>
      </c>
      <c r="I4123" s="14" t="str">
        <f t="shared" si="2"/>
        <v>141393.00</v>
      </c>
      <c r="J4123" s="16" t="str">
        <f>TEXT(Raw_Data!J4123,"MMM-YYY")</f>
        <v>Dec-2025</v>
      </c>
      <c r="K4123" s="13" t="str">
        <f>Raw_Data!K4123</f>
        <v>21</v>
      </c>
      <c r="L4123" s="17" t="str">
        <f>Raw_Data!L4123</f>
        <v>Chennai-South</v>
      </c>
      <c r="M4123" s="13" t="str">
        <f t="shared" si="3"/>
        <v>OK</v>
      </c>
      <c r="N4123" s="18" t="str">
        <f t="shared" si="4"/>
        <v>VALID</v>
      </c>
    </row>
    <row r="4124" ht="15.75" customHeight="1">
      <c r="A4124" s="13" t="str">
        <f>Raw_Data!A4124</f>
        <v>EMP4354</v>
      </c>
      <c r="B4124" s="13" t="str">
        <f>TRIM(CLEAN(Raw_Data!B4124))</f>
        <v>Sales</v>
      </c>
      <c r="C4124" s="18" t="s">
        <v>26</v>
      </c>
      <c r="D4124" s="14" t="str">
        <f>IF(ISBLANK(Raw_Data!D4124),AVERAGE(Raw_Data!D$2:D$5002),Raw_Data!D4124)</f>
        <v>95421.73</v>
      </c>
      <c r="E4124" s="15" t="str">
        <f>IF(ISBLANK(Raw_Data!E4124),AVERAGE(Raw_Data!E$2:E$5002),Raw_Data!E4124)</f>
        <v>34083.11</v>
      </c>
      <c r="F4124" s="15" t="str">
        <f>IF(ISBLANK(Raw_Data!F4124),AVERAGE(Raw_Data!F$2:F$5002),Raw_Data!F4124)</f>
        <v>33609.99</v>
      </c>
      <c r="G4124" s="14" t="str">
        <f>IF(ISBLANK(Raw_Data!G4124),AVERAGE(Raw_Data!G$2:G$5002),Raw_Data!G4124)</f>
        <v>21702.71</v>
      </c>
      <c r="H4124" s="15" t="str">
        <f t="shared" si="1"/>
        <v>163115.00</v>
      </c>
      <c r="I4124" s="14" t="str">
        <f t="shared" si="2"/>
        <v>141412.00</v>
      </c>
      <c r="J4124" s="16" t="str">
        <f>TEXT(Raw_Data!J4124,"MMM-YYY")</f>
        <v>Feb-2025</v>
      </c>
      <c r="K4124" s="13" t="str">
        <f>Raw_Data!K4124</f>
        <v>25</v>
      </c>
      <c r="L4124" s="17" t="str">
        <f>Raw_Data!L4124</f>
        <v>Kolkata-East</v>
      </c>
      <c r="M4124" s="13" t="str">
        <f t="shared" si="3"/>
        <v>OK</v>
      </c>
      <c r="N4124" s="18" t="str">
        <f t="shared" si="4"/>
        <v>VALID</v>
      </c>
    </row>
    <row r="4125" ht="15.75" customHeight="1">
      <c r="A4125" s="13" t="str">
        <f>Raw_Data!A4125</f>
        <v>EMP4355</v>
      </c>
      <c r="B4125" s="13" t="str">
        <f>TRIM(CLEAN(Raw_Data!B4125))</f>
        <v>IT</v>
      </c>
      <c r="C4125" s="18" t="s">
        <v>37</v>
      </c>
      <c r="D4125" s="14" t="str">
        <f>IF(ISBLANK(Raw_Data!D4125),AVERAGE(Raw_Data!D$2:D$5002),Raw_Data!D4125)</f>
        <v>95432.61</v>
      </c>
      <c r="E4125" s="15" t="str">
        <f>IF(ISBLANK(Raw_Data!E4125),AVERAGE(Raw_Data!E$2:E$5002),Raw_Data!E4125)</f>
        <v>34087.72</v>
      </c>
      <c r="F4125" s="15" t="str">
        <f>IF(ISBLANK(Raw_Data!F4125),AVERAGE(Raw_Data!F$2:F$5002),Raw_Data!F4125)</f>
        <v>33617.67</v>
      </c>
      <c r="G4125" s="14" t="str">
        <f>IF(ISBLANK(Raw_Data!G4125),AVERAGE(Raw_Data!G$2:G$5002),Raw_Data!G4125)</f>
        <v>21706.11</v>
      </c>
      <c r="H4125" s="15" t="str">
        <f t="shared" si="1"/>
        <v>163138.00</v>
      </c>
      <c r="I4125" s="14" t="str">
        <f t="shared" si="2"/>
        <v>141432.00</v>
      </c>
      <c r="J4125" s="16" t="str">
        <f>TEXT(Raw_Data!J4125,"MMM-YYY")</f>
        <v>Jun-2025</v>
      </c>
      <c r="K4125" s="13" t="str">
        <f>Raw_Data!K4125</f>
        <v>2</v>
      </c>
      <c r="L4125" s="17" t="str">
        <f>Raw_Data!L4125</f>
        <v>Pune-West</v>
      </c>
      <c r="M4125" s="13" t="str">
        <f t="shared" si="3"/>
        <v>OK</v>
      </c>
      <c r="N4125" s="18" t="str">
        <f t="shared" si="4"/>
        <v>VALID</v>
      </c>
    </row>
    <row r="4126" ht="15.75" customHeight="1">
      <c r="A4126" s="13" t="str">
        <f>Raw_Data!A4126</f>
        <v>EMP4356</v>
      </c>
      <c r="B4126" s="13" t="str">
        <f>TRIM(CLEAN(Raw_Data!B4126))</f>
        <v>Sales</v>
      </c>
      <c r="C4126" s="18" t="s">
        <v>54</v>
      </c>
      <c r="D4126" s="14" t="str">
        <f>IF(ISBLANK(Raw_Data!D4126),AVERAGE(Raw_Data!D$2:D$5002),Raw_Data!D4126)</f>
        <v>95443.50</v>
      </c>
      <c r="E4126" s="15" t="str">
        <f>IF(ISBLANK(Raw_Data!E4126),AVERAGE(Raw_Data!E$2:E$5002),Raw_Data!E4126)</f>
        <v>34092.34</v>
      </c>
      <c r="F4126" s="15" t="str">
        <f>IF(ISBLANK(Raw_Data!F4126),AVERAGE(Raw_Data!F$2:F$5002),Raw_Data!F4126)</f>
        <v>33625.35</v>
      </c>
      <c r="G4126" s="14" t="str">
        <f>IF(ISBLANK(Raw_Data!G4126),AVERAGE(Raw_Data!G$2:G$5002),Raw_Data!G4126)</f>
        <v>21709.51</v>
      </c>
      <c r="H4126" s="15" t="str">
        <f t="shared" si="1"/>
        <v>163161.00</v>
      </c>
      <c r="I4126" s="14" t="str">
        <f t="shared" si="2"/>
        <v>141451.00</v>
      </c>
      <c r="J4126" s="16" t="str">
        <f>TEXT(Raw_Data!J4126,"MMM-YYY")</f>
        <v>Oct-2025</v>
      </c>
      <c r="K4126" s="13" t="str">
        <f>Raw_Data!K4126</f>
        <v>14</v>
      </c>
      <c r="L4126" s="17" t="str">
        <f>Raw_Data!L4126</f>
        <v>Hyderabad-South</v>
      </c>
      <c r="M4126" s="13" t="str">
        <f t="shared" si="3"/>
        <v>OK</v>
      </c>
      <c r="N4126" s="18" t="str">
        <f t="shared" si="4"/>
        <v>VALID</v>
      </c>
    </row>
    <row r="4127" ht="15.75" customHeight="1">
      <c r="A4127" s="13" t="str">
        <f>Raw_Data!A4127</f>
        <v>EMP4358</v>
      </c>
      <c r="B4127" s="13" t="str">
        <f>TRIM(CLEAN(Raw_Data!B4127))</f>
        <v>Customer Support</v>
      </c>
      <c r="C4127" s="18" t="s">
        <v>26</v>
      </c>
      <c r="D4127" s="14" t="str">
        <f>IF(ISBLANK(Raw_Data!D4127),AVERAGE(Raw_Data!D$2:D$5002),Raw_Data!D4127)</f>
        <v>95465.26</v>
      </c>
      <c r="E4127" s="15" t="str">
        <f>IF(ISBLANK(Raw_Data!E4127),AVERAGE(Raw_Data!E$2:E$5002),Raw_Data!E4127)</f>
        <v>34101.57</v>
      </c>
      <c r="F4127" s="15" t="str">
        <f>IF(ISBLANK(Raw_Data!F4127),AVERAGE(Raw_Data!F$2:F$5002),Raw_Data!F4127)</f>
        <v>33640.71</v>
      </c>
      <c r="G4127" s="14" t="str">
        <f>IF(ISBLANK(Raw_Data!G4127),AVERAGE(Raw_Data!G$2:G$5002),Raw_Data!G4127)</f>
        <v>21716.30</v>
      </c>
      <c r="H4127" s="15" t="str">
        <f t="shared" si="1"/>
        <v>163208.00</v>
      </c>
      <c r="I4127" s="14" t="str">
        <f t="shared" si="2"/>
        <v>141492.00</v>
      </c>
      <c r="J4127" s="16" t="str">
        <f>TEXT(Raw_Data!J4127,"MMM-YYY")</f>
        <v>Jul-2025</v>
      </c>
      <c r="K4127" s="13" t="str">
        <f>Raw_Data!K4127</f>
        <v>23</v>
      </c>
      <c r="L4127" s="17" t="str">
        <f>Raw_Data!L4127</f>
        <v>Ahmedabad-West</v>
      </c>
      <c r="M4127" s="13" t="str">
        <f t="shared" si="3"/>
        <v>OK</v>
      </c>
      <c r="N4127" s="18" t="str">
        <f t="shared" si="4"/>
        <v>VALID</v>
      </c>
    </row>
    <row r="4128" ht="15.75" customHeight="1">
      <c r="A4128" s="13" t="str">
        <f>Raw_Data!A4128</f>
        <v>EMP4359</v>
      </c>
      <c r="B4128" s="13" t="str">
        <f>TRIM(CLEAN(Raw_Data!B4128))</f>
        <v>HR</v>
      </c>
      <c r="C4128" s="18" t="s">
        <v>18</v>
      </c>
      <c r="D4128" s="14" t="str">
        <f>IF(ISBLANK(Raw_Data!D4128),AVERAGE(Raw_Data!D$2:D$5002),Raw_Data!D4128)</f>
        <v>95476.15</v>
      </c>
      <c r="E4128" s="15" t="str">
        <f>IF(ISBLANK(Raw_Data!E4128),AVERAGE(Raw_Data!E$2:E$5002),Raw_Data!E4128)</f>
        <v>34106.18</v>
      </c>
      <c r="F4128" s="15" t="str">
        <f>IF(ISBLANK(Raw_Data!F4128),AVERAGE(Raw_Data!F$2:F$5002),Raw_Data!F4128)</f>
        <v>33648.39</v>
      </c>
      <c r="G4128" s="14" t="str">
        <f>IF(ISBLANK(Raw_Data!G4128),AVERAGE(Raw_Data!G$2:G$5002),Raw_Data!G4128)</f>
        <v>21719.70</v>
      </c>
      <c r="H4128" s="15" t="str">
        <f t="shared" si="1"/>
        <v>163231.00</v>
      </c>
      <c r="I4128" s="14" t="str">
        <f t="shared" si="2"/>
        <v>141511.00</v>
      </c>
      <c r="J4128" s="16" t="str">
        <f>TEXT(Raw_Data!J4128,"MMM-YYY")</f>
        <v>Mar-2025</v>
      </c>
      <c r="K4128" s="13" t="str">
        <f>Raw_Data!K4128</f>
        <v>15</v>
      </c>
      <c r="L4128" s="17" t="str">
        <f>Raw_Data!L4128</f>
        <v>Jaipur-North</v>
      </c>
      <c r="M4128" s="13" t="str">
        <f t="shared" si="3"/>
        <v>OK</v>
      </c>
      <c r="N4128" s="18" t="str">
        <f t="shared" si="4"/>
        <v>VALID</v>
      </c>
    </row>
    <row r="4129" ht="15.75" customHeight="1">
      <c r="A4129" s="13" t="str">
        <f>Raw_Data!A4129</f>
        <v>EMP4360</v>
      </c>
      <c r="B4129" s="13" t="str">
        <f>TRIM(CLEAN(Raw_Data!B4129))</f>
        <v>HR</v>
      </c>
      <c r="C4129" s="18" t="s">
        <v>37</v>
      </c>
      <c r="D4129" s="14" t="str">
        <f>IF(ISBLANK(Raw_Data!D4129),AVERAGE(Raw_Data!D$2:D$5002),Raw_Data!D4129)</f>
        <v>95487.03</v>
      </c>
      <c r="E4129" s="15" t="str">
        <f>IF(ISBLANK(Raw_Data!E4129),AVERAGE(Raw_Data!E$2:E$5002),Raw_Data!E4129)</f>
        <v>34110.80</v>
      </c>
      <c r="F4129" s="15" t="str">
        <f>IF(ISBLANK(Raw_Data!F4129),AVERAGE(Raw_Data!F$2:F$5002),Raw_Data!F4129)</f>
        <v>33656.07</v>
      </c>
      <c r="G4129" s="14" t="str">
        <f>IF(ISBLANK(Raw_Data!G4129),AVERAGE(Raw_Data!G$2:G$5002),Raw_Data!G4129)</f>
        <v>21723.10</v>
      </c>
      <c r="H4129" s="15" t="str">
        <f t="shared" si="1"/>
        <v>163254.00</v>
      </c>
      <c r="I4129" s="14" t="str">
        <f t="shared" si="2"/>
        <v>141531.00</v>
      </c>
      <c r="J4129" s="16" t="str">
        <f>TEXT(Raw_Data!J4129,"MMM-YYY")</f>
        <v>Nov-2025</v>
      </c>
      <c r="K4129" s="13" t="str">
        <f>Raw_Data!K4129</f>
        <v>3</v>
      </c>
      <c r="L4129" s="17" t="str">
        <f>Raw_Data!L4129</f>
        <v>Mumbai-HO</v>
      </c>
      <c r="M4129" s="13" t="str">
        <f t="shared" si="3"/>
        <v>OK</v>
      </c>
      <c r="N4129" s="18" t="str">
        <f t="shared" si="4"/>
        <v>VALID</v>
      </c>
    </row>
    <row r="4130" ht="15.75" customHeight="1">
      <c r="A4130" s="13" t="str">
        <f>Raw_Data!A4130</f>
        <v>EMP4361</v>
      </c>
      <c r="B4130" s="13" t="str">
        <f>TRIM(CLEAN(Raw_Data!B4130))</f>
        <v>Finance</v>
      </c>
      <c r="C4130" s="18" t="s">
        <v>37</v>
      </c>
      <c r="D4130" s="14" t="str">
        <f>IF(ISBLANK(Raw_Data!D4130),AVERAGE(Raw_Data!D$2:D$5002),Raw_Data!D4130)</f>
        <v>95497.91</v>
      </c>
      <c r="E4130" s="15" t="str">
        <f>IF(ISBLANK(Raw_Data!E4130),AVERAGE(Raw_Data!E$2:E$5002),Raw_Data!E4130)</f>
        <v>34115.41</v>
      </c>
      <c r="F4130" s="15" t="str">
        <f>IF(ISBLANK(Raw_Data!F4130),AVERAGE(Raw_Data!F$2:F$5002),Raw_Data!F4130)</f>
        <v>33663.75</v>
      </c>
      <c r="G4130" s="14" t="str">
        <f>IF(ISBLANK(Raw_Data!G4130),AVERAGE(Raw_Data!G$2:G$5002),Raw_Data!G4130)</f>
        <v>21726.50</v>
      </c>
      <c r="H4130" s="15" t="str">
        <f t="shared" si="1"/>
        <v>163277.00</v>
      </c>
      <c r="I4130" s="14" t="str">
        <f t="shared" si="2"/>
        <v>141551.00</v>
      </c>
      <c r="J4130" s="16" t="str">
        <f>TEXT(Raw_Data!J4130,"MMM-YYY")</f>
        <v>Oct-2025</v>
      </c>
      <c r="K4130" s="13" t="str">
        <f>Raw_Data!K4130</f>
        <v>13</v>
      </c>
      <c r="L4130" s="17" t="str">
        <f>Raw_Data!L4130</f>
        <v>Delhi-North</v>
      </c>
      <c r="M4130" s="13" t="str">
        <f t="shared" si="3"/>
        <v>OK</v>
      </c>
      <c r="N4130" s="18" t="str">
        <f t="shared" si="4"/>
        <v>VALID</v>
      </c>
    </row>
    <row r="4131" ht="15.75" customHeight="1">
      <c r="A4131" s="13" t="str">
        <f>Raw_Data!A4131</f>
        <v>EMP4362</v>
      </c>
      <c r="B4131" s="13" t="str">
        <f>TRIM(CLEAN(Raw_Data!B4131))</f>
        <v>Customer Support</v>
      </c>
      <c r="C4131" s="18" t="s">
        <v>14</v>
      </c>
      <c r="D4131" s="14" t="str">
        <f>IF(ISBLANK(Raw_Data!D4131),AVERAGE(Raw_Data!D$2:D$5002),Raw_Data!D4131)</f>
        <v>95508.79</v>
      </c>
      <c r="E4131" s="15" t="str">
        <f>IF(ISBLANK(Raw_Data!E4131),AVERAGE(Raw_Data!E$2:E$5002),Raw_Data!E4131)</f>
        <v>34120.03</v>
      </c>
      <c r="F4131" s="15" t="str">
        <f>IF(ISBLANK(Raw_Data!F4131),AVERAGE(Raw_Data!F$2:F$5002),Raw_Data!F4131)</f>
        <v>33671.43</v>
      </c>
      <c r="G4131" s="14" t="str">
        <f>IF(ISBLANK(Raw_Data!G4131),AVERAGE(Raw_Data!G$2:G$5002),Raw_Data!G4131)</f>
        <v>21729.89</v>
      </c>
      <c r="H4131" s="15" t="str">
        <f t="shared" si="1"/>
        <v>163300.00</v>
      </c>
      <c r="I4131" s="14" t="str">
        <f t="shared" si="2"/>
        <v>141570.00</v>
      </c>
      <c r="J4131" s="16" t="str">
        <f>TEXT(Raw_Data!J4131,"MMM-YYY")</f>
        <v>May-2025</v>
      </c>
      <c r="K4131" s="13" t="str">
        <f>Raw_Data!K4131</f>
        <v>11</v>
      </c>
      <c r="L4131" s="17" t="str">
        <f>Raw_Data!L4131</f>
        <v>Bangalore-South</v>
      </c>
      <c r="M4131" s="13" t="str">
        <f t="shared" si="3"/>
        <v>OK</v>
      </c>
      <c r="N4131" s="18" t="str">
        <f t="shared" si="4"/>
        <v>VALID</v>
      </c>
    </row>
    <row r="4132" ht="15.75" customHeight="1">
      <c r="A4132" s="13" t="str">
        <f>Raw_Data!A4132</f>
        <v>EMP4363</v>
      </c>
      <c r="B4132" s="13" t="str">
        <f>TRIM(CLEAN(Raw_Data!B4132))</f>
        <v>Sales</v>
      </c>
      <c r="C4132" s="18" t="s">
        <v>18</v>
      </c>
      <c r="D4132" s="14" t="str">
        <f>IF(ISBLANK(Raw_Data!D4132),AVERAGE(Raw_Data!D$2:D$5002),Raw_Data!D4132)</f>
        <v>95519.68</v>
      </c>
      <c r="E4132" s="15" t="str">
        <f>IF(ISBLANK(Raw_Data!E4132),AVERAGE(Raw_Data!E$2:E$5002),Raw_Data!E4132)</f>
        <v>34124.64</v>
      </c>
      <c r="F4132" s="15" t="str">
        <f>IF(ISBLANK(Raw_Data!F4132),AVERAGE(Raw_Data!F$2:F$5002),Raw_Data!F4132)</f>
        <v>33679.11</v>
      </c>
      <c r="G4132" s="14" t="str">
        <f>IF(ISBLANK(Raw_Data!G4132),AVERAGE(Raw_Data!G$2:G$5002),Raw_Data!G4132)</f>
        <v>21733.29</v>
      </c>
      <c r="H4132" s="15" t="str">
        <f t="shared" si="1"/>
        <v>163323.00</v>
      </c>
      <c r="I4132" s="14" t="str">
        <f t="shared" si="2"/>
        <v>141590.00</v>
      </c>
      <c r="J4132" s="16" t="str">
        <f>TEXT(Raw_Data!J4132,"MMM-YYY")</f>
        <v>Dec-2025</v>
      </c>
      <c r="K4132" s="13" t="str">
        <f>Raw_Data!K4132</f>
        <v>2</v>
      </c>
      <c r="L4132" s="17" t="str">
        <f>Raw_Data!L4132</f>
        <v>Chennai-South</v>
      </c>
      <c r="M4132" s="13" t="str">
        <f t="shared" si="3"/>
        <v>OK</v>
      </c>
      <c r="N4132" s="18" t="str">
        <f t="shared" si="4"/>
        <v>VALID</v>
      </c>
    </row>
    <row r="4133" ht="15.75" customHeight="1">
      <c r="A4133" s="13" t="str">
        <f>Raw_Data!A4133</f>
        <v>EMP4364</v>
      </c>
      <c r="B4133" s="13" t="str">
        <f>TRIM(CLEAN(Raw_Data!B4133))</f>
        <v>Operations</v>
      </c>
      <c r="C4133" s="18" t="s">
        <v>33</v>
      </c>
      <c r="D4133" s="14" t="str">
        <f>IF(ISBLANK(Raw_Data!D4133),AVERAGE(Raw_Data!D$2:D$5002),Raw_Data!D4133)</f>
        <v>95530.56</v>
      </c>
      <c r="E4133" s="15" t="str">
        <f>IF(ISBLANK(Raw_Data!E4133),AVERAGE(Raw_Data!E$2:E$5002),Raw_Data!E4133)</f>
        <v>34129.25</v>
      </c>
      <c r="F4133" s="15" t="str">
        <f>IF(ISBLANK(Raw_Data!F4133),AVERAGE(Raw_Data!F$2:F$5002),Raw_Data!F4133)</f>
        <v>33686.79</v>
      </c>
      <c r="G4133" s="14" t="str">
        <f>IF(ISBLANK(Raw_Data!G4133),AVERAGE(Raw_Data!G$2:G$5002),Raw_Data!G4133)</f>
        <v>21736.69</v>
      </c>
      <c r="H4133" s="15" t="str">
        <f t="shared" si="1"/>
        <v>163347.00</v>
      </c>
      <c r="I4133" s="14" t="str">
        <f t="shared" si="2"/>
        <v>141610.00</v>
      </c>
      <c r="J4133" s="16" t="str">
        <f>TEXT(Raw_Data!J4133,"MMM-YYY")</f>
        <v>Dec-2025</v>
      </c>
      <c r="K4133" s="13" t="str">
        <f>Raw_Data!K4133</f>
        <v>2</v>
      </c>
      <c r="L4133" s="17" t="str">
        <f>Raw_Data!L4133</f>
        <v>Kolkata-East</v>
      </c>
      <c r="M4133" s="13" t="str">
        <f t="shared" si="3"/>
        <v>OK</v>
      </c>
      <c r="N4133" s="18" t="str">
        <f t="shared" si="4"/>
        <v>VALID</v>
      </c>
    </row>
    <row r="4134" ht="15.75" customHeight="1">
      <c r="A4134" s="13" t="str">
        <f>Raw_Data!A4134</f>
        <v>EMP4365</v>
      </c>
      <c r="B4134" s="13" t="str">
        <f>TRIM(CLEAN(Raw_Data!B4134))</f>
        <v>Sales</v>
      </c>
      <c r="C4134" s="18" t="s">
        <v>37</v>
      </c>
      <c r="D4134" s="14" t="str">
        <f>IF(ISBLANK(Raw_Data!D4134),AVERAGE(Raw_Data!D$2:D$5002),Raw_Data!D4134)</f>
        <v>95541.44</v>
      </c>
      <c r="E4134" s="15" t="str">
        <f>IF(ISBLANK(Raw_Data!E4134),AVERAGE(Raw_Data!E$2:E$5002),Raw_Data!E4134)</f>
        <v>34133.87</v>
      </c>
      <c r="F4134" s="15" t="str">
        <f>IF(ISBLANK(Raw_Data!F4134),AVERAGE(Raw_Data!F$2:F$5002),Raw_Data!F4134)</f>
        <v>33694.47</v>
      </c>
      <c r="G4134" s="14" t="str">
        <f>IF(ISBLANK(Raw_Data!G4134),AVERAGE(Raw_Data!G$2:G$5002),Raw_Data!G4134)</f>
        <v>21740.09</v>
      </c>
      <c r="H4134" s="15" t="str">
        <f t="shared" si="1"/>
        <v>163370.00</v>
      </c>
      <c r="I4134" s="14" t="str">
        <f t="shared" si="2"/>
        <v>141630.00</v>
      </c>
      <c r="J4134" s="16" t="str">
        <f>TEXT(Raw_Data!J4134,"MMM-YYY")</f>
        <v>Nov-2025</v>
      </c>
      <c r="K4134" s="13" t="str">
        <f>Raw_Data!K4134</f>
        <v>13</v>
      </c>
      <c r="L4134" s="17" t="str">
        <f>Raw_Data!L4134</f>
        <v>Pune-West</v>
      </c>
      <c r="M4134" s="13" t="str">
        <f t="shared" si="3"/>
        <v>OK</v>
      </c>
      <c r="N4134" s="18" t="str">
        <f t="shared" si="4"/>
        <v>VALID</v>
      </c>
    </row>
    <row r="4135" ht="15.75" customHeight="1">
      <c r="A4135" s="13" t="str">
        <f>Raw_Data!A4135</f>
        <v>EMP4366</v>
      </c>
      <c r="B4135" s="13" t="str">
        <f>TRIM(CLEAN(Raw_Data!B4135))</f>
        <v>Marketing</v>
      </c>
      <c r="C4135" s="18" t="s">
        <v>14</v>
      </c>
      <c r="D4135" s="14" t="str">
        <f>IF(ISBLANK(Raw_Data!D4135),AVERAGE(Raw_Data!D$2:D$5002),Raw_Data!D4135)</f>
        <v>95552.33</v>
      </c>
      <c r="E4135" s="15" t="str">
        <f>IF(ISBLANK(Raw_Data!E4135),AVERAGE(Raw_Data!E$2:E$5002),Raw_Data!E4135)</f>
        <v>34138.48</v>
      </c>
      <c r="F4135" s="15" t="str">
        <f>IF(ISBLANK(Raw_Data!F4135),AVERAGE(Raw_Data!F$2:F$5002),Raw_Data!F4135)</f>
        <v>33702.15</v>
      </c>
      <c r="G4135" s="14" t="str">
        <f>IF(ISBLANK(Raw_Data!G4135),AVERAGE(Raw_Data!G$2:G$5002),Raw_Data!G4135)</f>
        <v>21743.49</v>
      </c>
      <c r="H4135" s="15" t="str">
        <f t="shared" si="1"/>
        <v>163393.00</v>
      </c>
      <c r="I4135" s="14" t="str">
        <f t="shared" si="2"/>
        <v>141650.00</v>
      </c>
      <c r="J4135" s="16" t="str">
        <f>TEXT(Raw_Data!J4135,"MMM-YYY")</f>
        <v>Mar-2025</v>
      </c>
      <c r="K4135" s="13" t="str">
        <f>Raw_Data!K4135</f>
        <v>7</v>
      </c>
      <c r="L4135" s="17" t="str">
        <f>Raw_Data!L4135</f>
        <v>Hyderabad-South</v>
      </c>
      <c r="M4135" s="13" t="str">
        <f t="shared" si="3"/>
        <v>OK</v>
      </c>
      <c r="N4135" s="18" t="str">
        <f t="shared" si="4"/>
        <v>VALID</v>
      </c>
    </row>
    <row r="4136" ht="15.75" customHeight="1">
      <c r="A4136" s="13" t="str">
        <f>Raw_Data!A4136</f>
        <v>EMP4367</v>
      </c>
      <c r="B4136" s="13" t="str">
        <f>TRIM(CLEAN(Raw_Data!B4136))</f>
        <v>Operations</v>
      </c>
      <c r="C4136" s="18" t="s">
        <v>30</v>
      </c>
      <c r="D4136" s="14" t="str">
        <f>IF(ISBLANK(Raw_Data!D4136),AVERAGE(Raw_Data!D$2:D$5002),Raw_Data!D4136)</f>
        <v>95563.21</v>
      </c>
      <c r="E4136" s="15" t="str">
        <f>IF(ISBLANK(Raw_Data!E4136),AVERAGE(Raw_Data!E$2:E$5002),Raw_Data!E4136)</f>
        <v>34143.10</v>
      </c>
      <c r="F4136" s="15" t="str">
        <f>IF(ISBLANK(Raw_Data!F4136),AVERAGE(Raw_Data!F$2:F$5002),Raw_Data!F4136)</f>
        <v>33709.83</v>
      </c>
      <c r="G4136" s="14" t="str">
        <f>IF(ISBLANK(Raw_Data!G4136),AVERAGE(Raw_Data!G$2:G$5002),Raw_Data!G4136)</f>
        <v>21746.88</v>
      </c>
      <c r="H4136" s="15" t="str">
        <f t="shared" si="1"/>
        <v>163416.00</v>
      </c>
      <c r="I4136" s="14" t="str">
        <f t="shared" si="2"/>
        <v>141669.00</v>
      </c>
      <c r="J4136" s="16" t="str">
        <f>TEXT(Raw_Data!J4136,"MMM-YYY")</f>
        <v>Jun-2025</v>
      </c>
      <c r="K4136" s="13" t="str">
        <f>Raw_Data!K4136</f>
        <v>17</v>
      </c>
      <c r="L4136" s="17" t="str">
        <f>Raw_Data!L4136</f>
        <v>Chandigarh-North</v>
      </c>
      <c r="M4136" s="13" t="str">
        <f t="shared" si="3"/>
        <v>OK</v>
      </c>
      <c r="N4136" s="18" t="str">
        <f t="shared" si="4"/>
        <v>VALID</v>
      </c>
    </row>
    <row r="4137" ht="15.75" customHeight="1">
      <c r="A4137" s="13" t="str">
        <f>Raw_Data!A4137</f>
        <v>EMP4368</v>
      </c>
      <c r="B4137" s="13" t="str">
        <f>TRIM(CLEAN(Raw_Data!B4137))</f>
        <v>Operations</v>
      </c>
      <c r="C4137" s="18" t="s">
        <v>33</v>
      </c>
      <c r="D4137" s="14" t="str">
        <f>IF(ISBLANK(Raw_Data!D4137),AVERAGE(Raw_Data!D$2:D$5002),Raw_Data!D4137)</f>
        <v>95574.09</v>
      </c>
      <c r="E4137" s="15" t="str">
        <f>IF(ISBLANK(Raw_Data!E4137),AVERAGE(Raw_Data!E$2:E$5002),Raw_Data!E4137)</f>
        <v>34147.71</v>
      </c>
      <c r="F4137" s="15" t="str">
        <f>IF(ISBLANK(Raw_Data!F4137),AVERAGE(Raw_Data!F$2:F$5002),Raw_Data!F4137)</f>
        <v>33717.51</v>
      </c>
      <c r="G4137" s="14" t="str">
        <f>IF(ISBLANK(Raw_Data!G4137),AVERAGE(Raw_Data!G$2:G$5002),Raw_Data!G4137)</f>
        <v>21750.28</v>
      </c>
      <c r="H4137" s="15" t="str">
        <f t="shared" si="1"/>
        <v>163439.00</v>
      </c>
      <c r="I4137" s="14" t="str">
        <f t="shared" si="2"/>
        <v>141689.00</v>
      </c>
      <c r="J4137" s="16" t="str">
        <f>TEXT(Raw_Data!J4137,"MMM-YYY")</f>
        <v>Nov-2025</v>
      </c>
      <c r="K4137" s="13" t="str">
        <f>Raw_Data!K4137</f>
        <v>15</v>
      </c>
      <c r="L4137" s="17" t="str">
        <f>Raw_Data!L4137</f>
        <v>Ahmedabad-West</v>
      </c>
      <c r="M4137" s="13" t="str">
        <f t="shared" si="3"/>
        <v>OK</v>
      </c>
      <c r="N4137" s="18" t="str">
        <f t="shared" si="4"/>
        <v>VALID</v>
      </c>
    </row>
    <row r="4138" ht="15.75" customHeight="1">
      <c r="A4138" s="13" t="str">
        <f>Raw_Data!A4138</f>
        <v>EMP4369</v>
      </c>
      <c r="B4138" s="13" t="str">
        <f>TRIM(CLEAN(Raw_Data!B4138))</f>
        <v>IT</v>
      </c>
      <c r="C4138" s="18" t="s">
        <v>26</v>
      </c>
      <c r="D4138" s="14" t="str">
        <f>IF(ISBLANK(Raw_Data!D4138),AVERAGE(Raw_Data!D$2:D$5002),Raw_Data!D4138)</f>
        <v>71831.17</v>
      </c>
      <c r="E4138" s="15" t="str">
        <f>IF(ISBLANK(Raw_Data!E4138),AVERAGE(Raw_Data!E$2:E$5002),Raw_Data!E4138)</f>
        <v>34152.33</v>
      </c>
      <c r="F4138" s="15" t="str">
        <f>IF(ISBLANK(Raw_Data!F4138),AVERAGE(Raw_Data!F$2:F$5002),Raw_Data!F4138)</f>
        <v>33725.19</v>
      </c>
      <c r="G4138" s="14" t="str">
        <f>IF(ISBLANK(Raw_Data!G4138),AVERAGE(Raw_Data!G$2:G$5002),Raw_Data!G4138)</f>
        <v>21753.68</v>
      </c>
      <c r="H4138" s="15" t="str">
        <f t="shared" si="1"/>
        <v>139709.00</v>
      </c>
      <c r="I4138" s="14" t="str">
        <f t="shared" si="2"/>
        <v>117955.00</v>
      </c>
      <c r="J4138" s="16" t="str">
        <f>TEXT(Raw_Data!J4138,"MMM-YYY")</f>
        <v>Jan-2025</v>
      </c>
      <c r="K4138" s="13" t="str">
        <f>Raw_Data!K4138</f>
        <v>20</v>
      </c>
      <c r="L4138" s="17" t="str">
        <f>Raw_Data!L4138</f>
        <v>Jaipur-North</v>
      </c>
      <c r="M4138" s="13" t="str">
        <f t="shared" si="3"/>
        <v>OK</v>
      </c>
      <c r="N4138" s="18" t="str">
        <f t="shared" si="4"/>
        <v>VALID</v>
      </c>
    </row>
    <row r="4139" ht="15.75" customHeight="1">
      <c r="A4139" s="13" t="str">
        <f>Raw_Data!A4139</f>
        <v>EMP4370</v>
      </c>
      <c r="B4139" s="13" t="str">
        <f>TRIM(CLEAN(Raw_Data!B4139))</f>
        <v>Operations</v>
      </c>
      <c r="C4139" s="18" t="s">
        <v>18</v>
      </c>
      <c r="D4139" s="14" t="str">
        <f>IF(ISBLANK(Raw_Data!D4139),AVERAGE(Raw_Data!D$2:D$5002),Raw_Data!D4139)</f>
        <v>95595.86</v>
      </c>
      <c r="E4139" s="15" t="str">
        <f>IF(ISBLANK(Raw_Data!E4139),AVERAGE(Raw_Data!E$2:E$5002),Raw_Data!E4139)</f>
        <v>34156.94</v>
      </c>
      <c r="F4139" s="15" t="str">
        <f>IF(ISBLANK(Raw_Data!F4139),AVERAGE(Raw_Data!F$2:F$5002),Raw_Data!F4139)</f>
        <v>33732.87</v>
      </c>
      <c r="G4139" s="14" t="str">
        <f>IF(ISBLANK(Raw_Data!G4139),AVERAGE(Raw_Data!G$2:G$5002),Raw_Data!G4139)</f>
        <v>21757.08</v>
      </c>
      <c r="H4139" s="15" t="str">
        <f t="shared" si="1"/>
        <v>163486.00</v>
      </c>
      <c r="I4139" s="14" t="str">
        <f t="shared" si="2"/>
        <v>141729.00</v>
      </c>
      <c r="J4139" s="16" t="str">
        <f>TEXT(Raw_Data!J4139,"MMM-YYY")</f>
        <v>Apr-2025</v>
      </c>
      <c r="K4139" s="13" t="str">
        <f>Raw_Data!K4139</f>
        <v>2</v>
      </c>
      <c r="L4139" s="17" t="str">
        <f>Raw_Data!L4139</f>
        <v>Mumbai-HO</v>
      </c>
      <c r="M4139" s="13" t="str">
        <f t="shared" si="3"/>
        <v>OK</v>
      </c>
      <c r="N4139" s="18" t="str">
        <f t="shared" si="4"/>
        <v>VALID</v>
      </c>
    </row>
    <row r="4140" ht="15.75" customHeight="1">
      <c r="A4140" s="13" t="str">
        <f>Raw_Data!A4140</f>
        <v>EMP4371</v>
      </c>
      <c r="B4140" s="13" t="str">
        <f>TRIM(CLEAN(Raw_Data!B4140))</f>
        <v>Operations</v>
      </c>
      <c r="C4140" s="18" t="s">
        <v>33</v>
      </c>
      <c r="D4140" s="14" t="str">
        <f>IF(ISBLANK(Raw_Data!D4140),AVERAGE(Raw_Data!D$2:D$5002),Raw_Data!D4140)</f>
        <v>95606.74</v>
      </c>
      <c r="E4140" s="15" t="str">
        <f>IF(ISBLANK(Raw_Data!E4140),AVERAGE(Raw_Data!E$2:E$5002),Raw_Data!E4140)</f>
        <v>34161.56</v>
      </c>
      <c r="F4140" s="15" t="str">
        <f>IF(ISBLANK(Raw_Data!F4140),AVERAGE(Raw_Data!F$2:F$5002),Raw_Data!F4140)</f>
        <v>33740.55</v>
      </c>
      <c r="G4140" s="14" t="str">
        <f>IF(ISBLANK(Raw_Data!G4140),AVERAGE(Raw_Data!G$2:G$5002),Raw_Data!G4140)</f>
        <v>21760.47</v>
      </c>
      <c r="H4140" s="15" t="str">
        <f t="shared" si="1"/>
        <v>163509.00</v>
      </c>
      <c r="I4140" s="14" t="str">
        <f t="shared" si="2"/>
        <v>141749.00</v>
      </c>
      <c r="J4140" s="16" t="str">
        <f>TEXT(Raw_Data!J4140,"MMM-YYY")</f>
        <v>Mar-2025</v>
      </c>
      <c r="K4140" s="13" t="str">
        <f>Raw_Data!K4140</f>
        <v>24</v>
      </c>
      <c r="L4140" s="17" t="str">
        <f>Raw_Data!L4140</f>
        <v>Delhi-North</v>
      </c>
      <c r="M4140" s="13" t="str">
        <f t="shared" si="3"/>
        <v>OK</v>
      </c>
      <c r="N4140" s="18" t="str">
        <f t="shared" si="4"/>
        <v>VALID</v>
      </c>
    </row>
    <row r="4141" ht="15.75" customHeight="1">
      <c r="A4141" s="13" t="str">
        <f>Raw_Data!A4141</f>
        <v>EMP4372</v>
      </c>
      <c r="B4141" s="13" t="str">
        <f>TRIM(CLEAN(Raw_Data!B4141))</f>
        <v>Sales</v>
      </c>
      <c r="C4141" s="18" t="s">
        <v>18</v>
      </c>
      <c r="D4141" s="14" t="str">
        <f>IF(ISBLANK(Raw_Data!D4141),AVERAGE(Raw_Data!D$2:D$5002),Raw_Data!D4141)</f>
        <v>95617.62</v>
      </c>
      <c r="E4141" s="15" t="str">
        <f>IF(ISBLANK(Raw_Data!E4141),AVERAGE(Raw_Data!E$2:E$5002),Raw_Data!E4141)</f>
        <v>34166.17</v>
      </c>
      <c r="F4141" s="15" t="str">
        <f>IF(ISBLANK(Raw_Data!F4141),AVERAGE(Raw_Data!F$2:F$5002),Raw_Data!F4141)</f>
        <v>33748.23</v>
      </c>
      <c r="G4141" s="14" t="str">
        <f>IF(ISBLANK(Raw_Data!G4141),AVERAGE(Raw_Data!G$2:G$5002),Raw_Data!G4141)</f>
        <v>21763.87</v>
      </c>
      <c r="H4141" s="15" t="str">
        <f t="shared" si="1"/>
        <v>163532.00</v>
      </c>
      <c r="I4141" s="14" t="str">
        <f t="shared" si="2"/>
        <v>141768.00</v>
      </c>
      <c r="J4141" s="16" t="str">
        <f>TEXT(Raw_Data!J4141,"MMM-YYY")</f>
        <v>Jan-2025</v>
      </c>
      <c r="K4141" s="13" t="str">
        <f>Raw_Data!K4141</f>
        <v>7</v>
      </c>
      <c r="L4141" s="17" t="str">
        <f>Raw_Data!L4141</f>
        <v>Bangalore-South</v>
      </c>
      <c r="M4141" s="13" t="str">
        <f t="shared" si="3"/>
        <v>OK</v>
      </c>
      <c r="N4141" s="18" t="str">
        <f t="shared" si="4"/>
        <v>VALID</v>
      </c>
    </row>
    <row r="4142" ht="15.75" customHeight="1">
      <c r="A4142" s="13" t="str">
        <f>Raw_Data!A4142</f>
        <v>EMP4373</v>
      </c>
      <c r="B4142" s="13" t="str">
        <f>TRIM(CLEAN(Raw_Data!B4142))</f>
        <v>Operations</v>
      </c>
      <c r="C4142" s="18" t="s">
        <v>18</v>
      </c>
      <c r="D4142" s="14" t="str">
        <f>IF(ISBLANK(Raw_Data!D4142),AVERAGE(Raw_Data!D$2:D$5002),Raw_Data!D4142)</f>
        <v>95628.51</v>
      </c>
      <c r="E4142" s="15" t="str">
        <f>IF(ISBLANK(Raw_Data!E4142),AVERAGE(Raw_Data!E$2:E$5002),Raw_Data!E4142)</f>
        <v>34170.79</v>
      </c>
      <c r="F4142" s="15" t="str">
        <f>IF(ISBLANK(Raw_Data!F4142),AVERAGE(Raw_Data!F$2:F$5002),Raw_Data!F4142)</f>
        <v>33755.91</v>
      </c>
      <c r="G4142" s="14" t="str">
        <f>IF(ISBLANK(Raw_Data!G4142),AVERAGE(Raw_Data!G$2:G$5002),Raw_Data!G4142)</f>
        <v>21767.27</v>
      </c>
      <c r="H4142" s="15" t="str">
        <f t="shared" si="1"/>
        <v>163555.00</v>
      </c>
      <c r="I4142" s="14" t="str">
        <f t="shared" si="2"/>
        <v>141788.00</v>
      </c>
      <c r="J4142" s="16" t="str">
        <f>TEXT(Raw_Data!J4142,"MMM-YYY")</f>
        <v>Sep-2025</v>
      </c>
      <c r="K4142" s="13" t="str">
        <f>Raw_Data!K4142</f>
        <v>2</v>
      </c>
      <c r="L4142" s="17" t="str">
        <f>Raw_Data!L4142</f>
        <v>Chennai-South</v>
      </c>
      <c r="M4142" s="13" t="str">
        <f t="shared" si="3"/>
        <v>OK</v>
      </c>
      <c r="N4142" s="18" t="str">
        <f t="shared" si="4"/>
        <v>VALID</v>
      </c>
    </row>
    <row r="4143" ht="15.75" customHeight="1">
      <c r="A4143" s="13" t="str">
        <f>Raw_Data!A4143</f>
        <v>EMP4374</v>
      </c>
      <c r="B4143" s="13" t="str">
        <f>TRIM(CLEAN(Raw_Data!B4143))</f>
        <v>IT</v>
      </c>
      <c r="C4143" s="18" t="s">
        <v>54</v>
      </c>
      <c r="D4143" s="14" t="str">
        <f>IF(ISBLANK(Raw_Data!D4143),AVERAGE(Raw_Data!D$2:D$5002),Raw_Data!D4143)</f>
        <v>95639.39</v>
      </c>
      <c r="E4143" s="15" t="str">
        <f>IF(ISBLANK(Raw_Data!E4143),AVERAGE(Raw_Data!E$2:E$5002),Raw_Data!E4143)</f>
        <v>34175.40</v>
      </c>
      <c r="F4143" s="15" t="str">
        <f>IF(ISBLANK(Raw_Data!F4143),AVERAGE(Raw_Data!F$2:F$5002),Raw_Data!F4143)</f>
        <v>33763.59</v>
      </c>
      <c r="G4143" s="14" t="str">
        <f>IF(ISBLANK(Raw_Data!G4143),AVERAGE(Raw_Data!G$2:G$5002),Raw_Data!G4143)</f>
        <v>21770.67</v>
      </c>
      <c r="H4143" s="15" t="str">
        <f t="shared" si="1"/>
        <v>163578.00</v>
      </c>
      <c r="I4143" s="14" t="str">
        <f t="shared" si="2"/>
        <v>141807.00</v>
      </c>
      <c r="J4143" s="16" t="str">
        <f>TEXT(Raw_Data!J4143,"MMM-YYY")</f>
        <v>Dec-2025</v>
      </c>
      <c r="K4143" s="13" t="str">
        <f>Raw_Data!K4143</f>
        <v>22</v>
      </c>
      <c r="L4143" s="17" t="str">
        <f>Raw_Data!L4143</f>
        <v>Kolkata-East</v>
      </c>
      <c r="M4143" s="13" t="str">
        <f t="shared" si="3"/>
        <v>OK</v>
      </c>
      <c r="N4143" s="18" t="str">
        <f t="shared" si="4"/>
        <v>VALID</v>
      </c>
    </row>
    <row r="4144" ht="15.75" customHeight="1">
      <c r="A4144" s="13" t="str">
        <f>Raw_Data!A4144</f>
        <v>EMP4375</v>
      </c>
      <c r="B4144" s="13" t="str">
        <f>TRIM(CLEAN(Raw_Data!B4144))</f>
        <v>Customer Support</v>
      </c>
      <c r="C4144" s="18" t="s">
        <v>33</v>
      </c>
      <c r="D4144" s="14" t="str">
        <f>IF(ISBLANK(Raw_Data!D4144),AVERAGE(Raw_Data!D$2:D$5002),Raw_Data!D4144)</f>
        <v>95650.27</v>
      </c>
      <c r="E4144" s="15" t="str">
        <f>IF(ISBLANK(Raw_Data!E4144),AVERAGE(Raw_Data!E$2:E$5002),Raw_Data!E4144)</f>
        <v>34180.02</v>
      </c>
      <c r="F4144" s="15" t="str">
        <f>IF(ISBLANK(Raw_Data!F4144),AVERAGE(Raw_Data!F$2:F$5002),Raw_Data!F4144)</f>
        <v>33771.27</v>
      </c>
      <c r="G4144" s="14" t="str">
        <f>IF(ISBLANK(Raw_Data!G4144),AVERAGE(Raw_Data!G$2:G$5002),Raw_Data!G4144)</f>
        <v>21774.06</v>
      </c>
      <c r="H4144" s="15" t="str">
        <f t="shared" si="1"/>
        <v>163602.00</v>
      </c>
      <c r="I4144" s="14" t="str">
        <f t="shared" si="2"/>
        <v>141828.00</v>
      </c>
      <c r="J4144" s="16" t="str">
        <f>TEXT(Raw_Data!J4144,"MMM-YYY")</f>
        <v>Nov-2025</v>
      </c>
      <c r="K4144" s="13" t="str">
        <f>Raw_Data!K4144</f>
        <v>25</v>
      </c>
      <c r="L4144" s="17" t="str">
        <f>Raw_Data!L4144</f>
        <v>Pune-West</v>
      </c>
      <c r="M4144" s="13" t="str">
        <f t="shared" si="3"/>
        <v>OK</v>
      </c>
      <c r="N4144" s="18" t="str">
        <f t="shared" si="4"/>
        <v>VALID</v>
      </c>
    </row>
    <row r="4145" ht="15.75" customHeight="1">
      <c r="A4145" s="13" t="str">
        <f>Raw_Data!A4145</f>
        <v>EMP4376</v>
      </c>
      <c r="B4145" s="13" t="str">
        <f>TRIM(CLEAN(Raw_Data!B4145))</f>
        <v>IT</v>
      </c>
      <c r="C4145" s="18" t="s">
        <v>33</v>
      </c>
      <c r="D4145" s="14" t="str">
        <f>IF(ISBLANK(Raw_Data!D4145),AVERAGE(Raw_Data!D$2:D$5002),Raw_Data!D4145)</f>
        <v>95661.16</v>
      </c>
      <c r="E4145" s="15" t="str">
        <f>IF(ISBLANK(Raw_Data!E4145),AVERAGE(Raw_Data!E$2:E$5002),Raw_Data!E4145)</f>
        <v>34184.63</v>
      </c>
      <c r="F4145" s="15" t="str">
        <f>IF(ISBLANK(Raw_Data!F4145),AVERAGE(Raw_Data!F$2:F$5002),Raw_Data!F4145)</f>
        <v>33778.95</v>
      </c>
      <c r="G4145" s="14" t="str">
        <f>IF(ISBLANK(Raw_Data!G4145),AVERAGE(Raw_Data!G$2:G$5002),Raw_Data!G4145)</f>
        <v>21777.46</v>
      </c>
      <c r="H4145" s="15" t="str">
        <f t="shared" si="1"/>
        <v>163625.00</v>
      </c>
      <c r="I4145" s="14" t="str">
        <f t="shared" si="2"/>
        <v>141848.00</v>
      </c>
      <c r="J4145" s="16" t="str">
        <f>TEXT(Raw_Data!J4145,"MMM-YYY")</f>
        <v>Aug-2025</v>
      </c>
      <c r="K4145" s="13" t="str">
        <f>Raw_Data!K4145</f>
        <v>14</v>
      </c>
      <c r="L4145" s="17" t="str">
        <f>Raw_Data!L4145</f>
        <v>Hyderabad-South</v>
      </c>
      <c r="M4145" s="13" t="str">
        <f t="shared" si="3"/>
        <v>OK</v>
      </c>
      <c r="N4145" s="18" t="str">
        <f t="shared" si="4"/>
        <v>VALID</v>
      </c>
    </row>
    <row r="4146" ht="15.75" customHeight="1">
      <c r="A4146" s="13" t="str">
        <f>Raw_Data!A4146</f>
        <v>EMP4377</v>
      </c>
      <c r="B4146" s="13" t="str">
        <f>TRIM(CLEAN(Raw_Data!B4146))</f>
        <v>Customer Support</v>
      </c>
      <c r="C4146" s="18" t="s">
        <v>18</v>
      </c>
      <c r="D4146" s="14" t="str">
        <f>IF(ISBLANK(Raw_Data!D4146),AVERAGE(Raw_Data!D$2:D$5002),Raw_Data!D4146)</f>
        <v>95672.04</v>
      </c>
      <c r="E4146" s="15" t="str">
        <f>IF(ISBLANK(Raw_Data!E4146),AVERAGE(Raw_Data!E$2:E$5002),Raw_Data!E4146)</f>
        <v>34189.25</v>
      </c>
      <c r="F4146" s="15" t="str">
        <f>IF(ISBLANK(Raw_Data!F4146),AVERAGE(Raw_Data!F$2:F$5002),Raw_Data!F4146)</f>
        <v>33786.63</v>
      </c>
      <c r="G4146" s="14" t="str">
        <f>IF(ISBLANK(Raw_Data!G4146),AVERAGE(Raw_Data!G$2:G$5002),Raw_Data!G4146)</f>
        <v>21780.86</v>
      </c>
      <c r="H4146" s="15" t="str">
        <f t="shared" si="1"/>
        <v>163648.00</v>
      </c>
      <c r="I4146" s="14" t="str">
        <f t="shared" si="2"/>
        <v>141867.00</v>
      </c>
      <c r="J4146" s="16" t="str">
        <f>TEXT(Raw_Data!J4146,"MMM-YYY")</f>
        <v>Oct-2025</v>
      </c>
      <c r="K4146" s="13" t="str">
        <f>Raw_Data!K4146</f>
        <v>16</v>
      </c>
      <c r="L4146" s="17" t="str">
        <f>Raw_Data!L4146</f>
        <v>Chandigarh-North</v>
      </c>
      <c r="M4146" s="13" t="str">
        <f t="shared" si="3"/>
        <v>OK</v>
      </c>
      <c r="N4146" s="18" t="str">
        <f t="shared" si="4"/>
        <v>VALID</v>
      </c>
    </row>
    <row r="4147" ht="15.75" customHeight="1">
      <c r="A4147" s="13" t="str">
        <f>Raw_Data!A4147</f>
        <v>EMP4378</v>
      </c>
      <c r="B4147" s="13" t="str">
        <f>TRIM(CLEAN(Raw_Data!B4147))</f>
        <v>IT</v>
      </c>
      <c r="C4147" s="18" t="s">
        <v>26</v>
      </c>
      <c r="D4147" s="14" t="str">
        <f>IF(ISBLANK(Raw_Data!D4147),AVERAGE(Raw_Data!D$2:D$5002),Raw_Data!D4147)</f>
        <v>95682.92</v>
      </c>
      <c r="E4147" s="15" t="str">
        <f>IF(ISBLANK(Raw_Data!E4147),AVERAGE(Raw_Data!E$2:E$5002),Raw_Data!E4147)</f>
        <v>34193.86</v>
      </c>
      <c r="F4147" s="15" t="str">
        <f>IF(ISBLANK(Raw_Data!F4147),AVERAGE(Raw_Data!F$2:F$5002),Raw_Data!F4147)</f>
        <v>33794.31</v>
      </c>
      <c r="G4147" s="14" t="str">
        <f>IF(ISBLANK(Raw_Data!G4147),AVERAGE(Raw_Data!G$2:G$5002),Raw_Data!G4147)</f>
        <v>21784.26</v>
      </c>
      <c r="H4147" s="15" t="str">
        <f t="shared" si="1"/>
        <v>163671.00</v>
      </c>
      <c r="I4147" s="14" t="str">
        <f t="shared" si="2"/>
        <v>141887.00</v>
      </c>
      <c r="J4147" s="16" t="str">
        <f>TEXT(Raw_Data!J4147,"MMM-YYY")</f>
        <v>May-2025</v>
      </c>
      <c r="K4147" s="13" t="str">
        <f>Raw_Data!K4147</f>
        <v>18</v>
      </c>
      <c r="L4147" s="17" t="str">
        <f>Raw_Data!L4147</f>
        <v>Ahmedabad-West</v>
      </c>
      <c r="M4147" s="13" t="str">
        <f t="shared" si="3"/>
        <v>OK</v>
      </c>
      <c r="N4147" s="18" t="str">
        <f t="shared" si="4"/>
        <v>VALID</v>
      </c>
    </row>
    <row r="4148" ht="15.75" customHeight="1">
      <c r="A4148" s="13" t="str">
        <f>Raw_Data!A4148</f>
        <v>EMP4379</v>
      </c>
      <c r="B4148" s="13" t="str">
        <f>TRIM(CLEAN(Raw_Data!B4148))</f>
        <v>IT</v>
      </c>
      <c r="C4148" s="18" t="s">
        <v>18</v>
      </c>
      <c r="D4148" s="14" t="str">
        <f>IF(ISBLANK(Raw_Data!D4148),AVERAGE(Raw_Data!D$2:D$5002),Raw_Data!D4148)</f>
        <v>95693.80</v>
      </c>
      <c r="E4148" s="15" t="str">
        <f>IF(ISBLANK(Raw_Data!E4148),AVERAGE(Raw_Data!E$2:E$5002),Raw_Data!E4148)</f>
        <v>34198.48</v>
      </c>
      <c r="F4148" s="15" t="str">
        <f>IF(ISBLANK(Raw_Data!F4148),AVERAGE(Raw_Data!F$2:F$5002),Raw_Data!F4148)</f>
        <v>33801.99</v>
      </c>
      <c r="G4148" s="14" t="str">
        <f>IF(ISBLANK(Raw_Data!G4148),AVERAGE(Raw_Data!G$2:G$5002),Raw_Data!G4148)</f>
        <v>21787.65</v>
      </c>
      <c r="H4148" s="15" t="str">
        <f t="shared" si="1"/>
        <v>163694.00</v>
      </c>
      <c r="I4148" s="14" t="str">
        <f t="shared" si="2"/>
        <v>141906.00</v>
      </c>
      <c r="J4148" s="16" t="str">
        <f>TEXT(Raw_Data!J4148,"MMM-YYY")</f>
        <v>Dec-2025</v>
      </c>
      <c r="K4148" s="13" t="str">
        <f>Raw_Data!K4148</f>
        <v>11</v>
      </c>
      <c r="L4148" s="17" t="str">
        <f>Raw_Data!L4148</f>
        <v>Jaipur-North</v>
      </c>
      <c r="M4148" s="13" t="str">
        <f t="shared" si="3"/>
        <v>OK</v>
      </c>
      <c r="N4148" s="18" t="str">
        <f t="shared" si="4"/>
        <v>VALID</v>
      </c>
    </row>
    <row r="4149" ht="15.75" customHeight="1">
      <c r="A4149" s="13" t="str">
        <f>Raw_Data!A4149</f>
        <v>EMP4380</v>
      </c>
      <c r="B4149" s="13" t="str">
        <f>TRIM(CLEAN(Raw_Data!B4149))</f>
        <v>Customer Support</v>
      </c>
      <c r="C4149" s="18" t="s">
        <v>18</v>
      </c>
      <c r="D4149" s="14" t="str">
        <f>IF(ISBLANK(Raw_Data!D4149),AVERAGE(Raw_Data!D$2:D$5002),Raw_Data!D4149)</f>
        <v>95704.69</v>
      </c>
      <c r="E4149" s="15" t="str">
        <f>IF(ISBLANK(Raw_Data!E4149),AVERAGE(Raw_Data!E$2:E$5002),Raw_Data!E4149)</f>
        <v>34203.09</v>
      </c>
      <c r="F4149" s="15" t="str">
        <f>IF(ISBLANK(Raw_Data!F4149),AVERAGE(Raw_Data!F$2:F$5002),Raw_Data!F4149)</f>
        <v>33809.67</v>
      </c>
      <c r="G4149" s="14" t="str">
        <f>IF(ISBLANK(Raw_Data!G4149),AVERAGE(Raw_Data!G$2:G$5002),Raw_Data!G4149)</f>
        <v>21791.05</v>
      </c>
      <c r="H4149" s="15" t="str">
        <f t="shared" si="1"/>
        <v>163717.00</v>
      </c>
      <c r="I4149" s="14" t="str">
        <f t="shared" si="2"/>
        <v>141926.00</v>
      </c>
      <c r="J4149" s="16" t="str">
        <f>TEXT(Raw_Data!J4149,"MMM-YYY")</f>
        <v>Mar-2025</v>
      </c>
      <c r="K4149" s="13" t="str">
        <f>Raw_Data!K4149</f>
        <v>8</v>
      </c>
      <c r="L4149" s="17" t="str">
        <f>Raw_Data!L4149</f>
        <v>Mumbai-HO</v>
      </c>
      <c r="M4149" s="13" t="str">
        <f t="shared" si="3"/>
        <v>OK</v>
      </c>
      <c r="N4149" s="18" t="str">
        <f t="shared" si="4"/>
        <v>VALID</v>
      </c>
    </row>
    <row r="4150" ht="15.75" customHeight="1">
      <c r="A4150" s="13" t="str">
        <f>Raw_Data!A4150</f>
        <v>EMP4381</v>
      </c>
      <c r="B4150" s="13" t="str">
        <f>TRIM(CLEAN(Raw_Data!B4150))</f>
        <v>Operations</v>
      </c>
      <c r="C4150" s="18" t="s">
        <v>30</v>
      </c>
      <c r="D4150" s="14" t="str">
        <f>IF(ISBLANK(Raw_Data!D4150),AVERAGE(Raw_Data!D$2:D$5002),Raw_Data!D4150)</f>
        <v>95715.57</v>
      </c>
      <c r="E4150" s="15" t="str">
        <f>IF(ISBLANK(Raw_Data!E4150),AVERAGE(Raw_Data!E$2:E$5002),Raw_Data!E4150)</f>
        <v>34207.71</v>
      </c>
      <c r="F4150" s="15" t="str">
        <f>IF(ISBLANK(Raw_Data!F4150),AVERAGE(Raw_Data!F$2:F$5002),Raw_Data!F4150)</f>
        <v>33817.35</v>
      </c>
      <c r="G4150" s="14" t="str">
        <f>IF(ISBLANK(Raw_Data!G4150),AVERAGE(Raw_Data!G$2:G$5002),Raw_Data!G4150)</f>
        <v>21794.45</v>
      </c>
      <c r="H4150" s="15" t="str">
        <f t="shared" si="1"/>
        <v>163741.00</v>
      </c>
      <c r="I4150" s="14" t="str">
        <f t="shared" si="2"/>
        <v>141947.00</v>
      </c>
      <c r="J4150" s="16" t="str">
        <f>TEXT(Raw_Data!J4150,"MMM-YYY")</f>
        <v>Mar-2025</v>
      </c>
      <c r="K4150" s="13" t="str">
        <f>Raw_Data!K4150</f>
        <v>24</v>
      </c>
      <c r="L4150" s="17" t="str">
        <f>Raw_Data!L4150</f>
        <v>Delhi-North</v>
      </c>
      <c r="M4150" s="13" t="str">
        <f t="shared" si="3"/>
        <v>OK</v>
      </c>
      <c r="N4150" s="18" t="str">
        <f t="shared" si="4"/>
        <v>VALID</v>
      </c>
    </row>
    <row r="4151" ht="15.75" customHeight="1">
      <c r="A4151" s="13" t="str">
        <f>Raw_Data!A4151</f>
        <v>EMP4382</v>
      </c>
      <c r="B4151" s="13" t="str">
        <f>TRIM(CLEAN(Raw_Data!B4151))</f>
        <v>Marketing</v>
      </c>
      <c r="C4151" s="18" t="s">
        <v>30</v>
      </c>
      <c r="D4151" s="14" t="str">
        <f>IF(ISBLANK(Raw_Data!D4151),AVERAGE(Raw_Data!D$2:D$5002),Raw_Data!D4151)</f>
        <v>95726.45</v>
      </c>
      <c r="E4151" s="15" t="str">
        <f>IF(ISBLANK(Raw_Data!E4151),AVERAGE(Raw_Data!E$2:E$5002),Raw_Data!E4151)</f>
        <v>34212.32</v>
      </c>
      <c r="F4151" s="15" t="str">
        <f>IF(ISBLANK(Raw_Data!F4151),AVERAGE(Raw_Data!F$2:F$5002),Raw_Data!F4151)</f>
        <v>33825.03</v>
      </c>
      <c r="G4151" s="14" t="str">
        <f>IF(ISBLANK(Raw_Data!G4151),AVERAGE(Raw_Data!G$2:G$5002),Raw_Data!G4151)</f>
        <v>21797.85</v>
      </c>
      <c r="H4151" s="15" t="str">
        <f t="shared" si="1"/>
        <v>163764.00</v>
      </c>
      <c r="I4151" s="14" t="str">
        <f t="shared" si="2"/>
        <v>141966.00</v>
      </c>
      <c r="J4151" s="16" t="str">
        <f>TEXT(Raw_Data!J4151,"MMM-YYY")</f>
        <v>Nov-2025</v>
      </c>
      <c r="K4151" s="13" t="str">
        <f>Raw_Data!K4151</f>
        <v>5</v>
      </c>
      <c r="L4151" s="17" t="str">
        <f>Raw_Data!L4151</f>
        <v>Bangalore-South</v>
      </c>
      <c r="M4151" s="13" t="str">
        <f t="shared" si="3"/>
        <v>OK</v>
      </c>
      <c r="N4151" s="18" t="str">
        <f t="shared" si="4"/>
        <v>VALID</v>
      </c>
    </row>
    <row r="4152" ht="15.75" customHeight="1">
      <c r="A4152" s="13" t="str">
        <f>Raw_Data!A4152</f>
        <v>EMP4383</v>
      </c>
      <c r="B4152" s="13" t="str">
        <f>TRIM(CLEAN(Raw_Data!B4152))</f>
        <v>Operations</v>
      </c>
      <c r="C4152" s="18" t="s">
        <v>26</v>
      </c>
      <c r="D4152" s="14" t="str">
        <f>IF(ISBLANK(Raw_Data!D4152),AVERAGE(Raw_Data!D$2:D$5002),Raw_Data!D4152)</f>
        <v>95737.34</v>
      </c>
      <c r="E4152" s="15" t="str">
        <f>IF(ISBLANK(Raw_Data!E4152),AVERAGE(Raw_Data!E$2:E$5002),Raw_Data!E4152)</f>
        <v>34216.93</v>
      </c>
      <c r="F4152" s="15" t="str">
        <f>IF(ISBLANK(Raw_Data!F4152),AVERAGE(Raw_Data!F$2:F$5002),Raw_Data!F4152)</f>
        <v>33832.71</v>
      </c>
      <c r="G4152" s="14" t="str">
        <f>IF(ISBLANK(Raw_Data!G4152),AVERAGE(Raw_Data!G$2:G$5002),Raw_Data!G4152)</f>
        <v>21801.24</v>
      </c>
      <c r="H4152" s="15" t="str">
        <f t="shared" si="1"/>
        <v>163787.00</v>
      </c>
      <c r="I4152" s="14" t="str">
        <f t="shared" si="2"/>
        <v>141986.00</v>
      </c>
      <c r="J4152" s="16" t="str">
        <f>TEXT(Raw_Data!J4152,"MMM-YYY")</f>
        <v>Jun-2025</v>
      </c>
      <c r="K4152" s="13" t="str">
        <f>Raw_Data!K4152</f>
        <v>25</v>
      </c>
      <c r="L4152" s="17" t="str">
        <f>Raw_Data!L4152</f>
        <v>Chennai-South</v>
      </c>
      <c r="M4152" s="13" t="str">
        <f t="shared" si="3"/>
        <v>OK</v>
      </c>
      <c r="N4152" s="18" t="str">
        <f t="shared" si="4"/>
        <v>VALID</v>
      </c>
    </row>
    <row r="4153" ht="15.75" customHeight="1">
      <c r="A4153" s="13" t="str">
        <f>Raw_Data!A4153</f>
        <v>EMP4384</v>
      </c>
      <c r="B4153" s="13" t="str">
        <f>TRIM(CLEAN(Raw_Data!B4153))</f>
        <v>Finance</v>
      </c>
      <c r="C4153" s="18" t="s">
        <v>26</v>
      </c>
      <c r="D4153" s="14" t="str">
        <f>IF(ISBLANK(Raw_Data!D4153),AVERAGE(Raw_Data!D$2:D$5002),Raw_Data!D4153)</f>
        <v>95748.22</v>
      </c>
      <c r="E4153" s="15" t="str">
        <f>IF(ISBLANK(Raw_Data!E4153),AVERAGE(Raw_Data!E$2:E$5002),Raw_Data!E4153)</f>
        <v>34221.55</v>
      </c>
      <c r="F4153" s="15" t="str">
        <f>IF(ISBLANK(Raw_Data!F4153),AVERAGE(Raw_Data!F$2:F$5002),Raw_Data!F4153)</f>
        <v>33840.39</v>
      </c>
      <c r="G4153" s="14" t="str">
        <f>IF(ISBLANK(Raw_Data!G4153),AVERAGE(Raw_Data!G$2:G$5002),Raw_Data!G4153)</f>
        <v>21804.64</v>
      </c>
      <c r="H4153" s="15" t="str">
        <f t="shared" si="1"/>
        <v>163810.00</v>
      </c>
      <c r="I4153" s="14" t="str">
        <f t="shared" si="2"/>
        <v>142005.00</v>
      </c>
      <c r="J4153" s="16" t="str">
        <f>TEXT(Raw_Data!J4153,"MMM-YYY")</f>
        <v>Sep-2025</v>
      </c>
      <c r="K4153" s="13" t="str">
        <f>Raw_Data!K4153</f>
        <v>10</v>
      </c>
      <c r="L4153" s="17" t="str">
        <f>Raw_Data!L4153</f>
        <v>Kolkata-East</v>
      </c>
      <c r="M4153" s="13" t="str">
        <f t="shared" si="3"/>
        <v>OK</v>
      </c>
      <c r="N4153" s="18" t="str">
        <f t="shared" si="4"/>
        <v>VALID</v>
      </c>
    </row>
    <row r="4154" ht="15.75" customHeight="1">
      <c r="A4154" s="13" t="str">
        <f>Raw_Data!A4154</f>
        <v>EMP4385</v>
      </c>
      <c r="B4154" s="13" t="str">
        <f>TRIM(CLEAN(Raw_Data!B4154))</f>
        <v>HR</v>
      </c>
      <c r="C4154" s="18" t="s">
        <v>30</v>
      </c>
      <c r="D4154" s="14" t="str">
        <f>IF(ISBLANK(Raw_Data!D4154),AVERAGE(Raw_Data!D$2:D$5002),Raw_Data!D4154)</f>
        <v>95759.10</v>
      </c>
      <c r="E4154" s="15" t="str">
        <f>IF(ISBLANK(Raw_Data!E4154),AVERAGE(Raw_Data!E$2:E$5002),Raw_Data!E4154)</f>
        <v>34226.16</v>
      </c>
      <c r="F4154" s="15" t="str">
        <f>IF(ISBLANK(Raw_Data!F4154),AVERAGE(Raw_Data!F$2:F$5002),Raw_Data!F4154)</f>
        <v>33848.07</v>
      </c>
      <c r="G4154" s="14" t="str">
        <f>IF(ISBLANK(Raw_Data!G4154),AVERAGE(Raw_Data!G$2:G$5002),Raw_Data!G4154)</f>
        <v>21808.04</v>
      </c>
      <c r="H4154" s="15" t="str">
        <f t="shared" si="1"/>
        <v>163833.00</v>
      </c>
      <c r="I4154" s="14" t="str">
        <f t="shared" si="2"/>
        <v>142025.00</v>
      </c>
      <c r="J4154" s="16" t="str">
        <f>TEXT(Raw_Data!J4154,"MMM-YYY")</f>
        <v>Feb-2025</v>
      </c>
      <c r="K4154" s="13" t="str">
        <f>Raw_Data!K4154</f>
        <v>13</v>
      </c>
      <c r="L4154" s="17" t="str">
        <f>Raw_Data!L4154</f>
        <v>Pune-West</v>
      </c>
      <c r="M4154" s="13" t="str">
        <f t="shared" si="3"/>
        <v>OK</v>
      </c>
      <c r="N4154" s="18" t="str">
        <f t="shared" si="4"/>
        <v>VALID</v>
      </c>
    </row>
    <row r="4155" ht="15.75" customHeight="1">
      <c r="A4155" s="13" t="str">
        <f>Raw_Data!A4155</f>
        <v>EMP4386</v>
      </c>
      <c r="B4155" s="13" t="str">
        <f>TRIM(CLEAN(Raw_Data!B4155))</f>
        <v>Operations</v>
      </c>
      <c r="C4155" s="18" t="s">
        <v>14</v>
      </c>
      <c r="D4155" s="14" t="str">
        <f>IF(ISBLANK(Raw_Data!D4155),AVERAGE(Raw_Data!D$2:D$5002),Raw_Data!D4155)</f>
        <v>95769.99</v>
      </c>
      <c r="E4155" s="15" t="str">
        <f>IF(ISBLANK(Raw_Data!E4155),AVERAGE(Raw_Data!E$2:E$5002),Raw_Data!E4155)</f>
        <v>34230.78</v>
      </c>
      <c r="F4155" s="15" t="str">
        <f>IF(ISBLANK(Raw_Data!F4155),AVERAGE(Raw_Data!F$2:F$5002),Raw_Data!F4155)</f>
        <v>33855.75</v>
      </c>
      <c r="G4155" s="14" t="str">
        <f>IF(ISBLANK(Raw_Data!G4155),AVERAGE(Raw_Data!G$2:G$5002),Raw_Data!G4155)</f>
        <v>21811.44</v>
      </c>
      <c r="H4155" s="15" t="str">
        <f t="shared" si="1"/>
        <v>163857.00</v>
      </c>
      <c r="I4155" s="14" t="str">
        <f t="shared" si="2"/>
        <v>142046.00</v>
      </c>
      <c r="J4155" s="16" t="str">
        <f>TEXT(Raw_Data!J4155,"MMM-YYY")</f>
        <v>May-2025</v>
      </c>
      <c r="K4155" s="13" t="str">
        <f>Raw_Data!K4155</f>
        <v>22</v>
      </c>
      <c r="L4155" s="17" t="str">
        <f>Raw_Data!L4155</f>
        <v>Hyderabad-South</v>
      </c>
      <c r="M4155" s="13" t="str">
        <f t="shared" si="3"/>
        <v>OK</v>
      </c>
      <c r="N4155" s="18" t="str">
        <f t="shared" si="4"/>
        <v>VALID</v>
      </c>
    </row>
    <row r="4156" ht="15.75" customHeight="1">
      <c r="A4156" s="13" t="str">
        <f>Raw_Data!A4156</f>
        <v>EMP4387</v>
      </c>
      <c r="B4156" s="13" t="str">
        <f>TRIM(CLEAN(Raw_Data!B4156))</f>
        <v>HR</v>
      </c>
      <c r="C4156" s="18" t="s">
        <v>18</v>
      </c>
      <c r="D4156" s="14" t="str">
        <f>IF(ISBLANK(Raw_Data!D4156),AVERAGE(Raw_Data!D$2:D$5002),Raw_Data!D4156)</f>
        <v>95780.87</v>
      </c>
      <c r="E4156" s="15" t="str">
        <f>IF(ISBLANK(Raw_Data!E4156),AVERAGE(Raw_Data!E$2:E$5002),Raw_Data!E4156)</f>
        <v>34235.39</v>
      </c>
      <c r="F4156" s="15" t="str">
        <f>IF(ISBLANK(Raw_Data!F4156),AVERAGE(Raw_Data!F$2:F$5002),Raw_Data!F4156)</f>
        <v>33863.43</v>
      </c>
      <c r="G4156" s="14" t="str">
        <f>IF(ISBLANK(Raw_Data!G4156),AVERAGE(Raw_Data!G$2:G$5002),Raw_Data!G4156)</f>
        <v>21814.83</v>
      </c>
      <c r="H4156" s="15" t="str">
        <f t="shared" si="1"/>
        <v>163880.00</v>
      </c>
      <c r="I4156" s="14" t="str">
        <f t="shared" si="2"/>
        <v>142065.00</v>
      </c>
      <c r="J4156" s="16" t="str">
        <f>TEXT(Raw_Data!J4156,"MMM-YYY")</f>
        <v>Nov-2025</v>
      </c>
      <c r="K4156" s="13" t="str">
        <f>Raw_Data!K4156</f>
        <v>11</v>
      </c>
      <c r="L4156" s="17" t="str">
        <f>Raw_Data!L4156</f>
        <v>Chandigarh-North</v>
      </c>
      <c r="M4156" s="13" t="str">
        <f t="shared" si="3"/>
        <v>OK</v>
      </c>
      <c r="N4156" s="18" t="str">
        <f t="shared" si="4"/>
        <v>VALID</v>
      </c>
    </row>
    <row r="4157" ht="15.75" customHeight="1">
      <c r="A4157" s="13" t="str">
        <f>Raw_Data!A4157</f>
        <v>EMP4388</v>
      </c>
      <c r="B4157" s="13" t="str">
        <f>TRIM(CLEAN(Raw_Data!B4157))</f>
        <v>HR</v>
      </c>
      <c r="C4157" s="18" t="s">
        <v>14</v>
      </c>
      <c r="D4157" s="14" t="str">
        <f>IF(ISBLANK(Raw_Data!D4157),AVERAGE(Raw_Data!D$2:D$5002),Raw_Data!D4157)</f>
        <v>71831.17</v>
      </c>
      <c r="E4157" s="15" t="str">
        <f>IF(ISBLANK(Raw_Data!E4157),AVERAGE(Raw_Data!E$2:E$5002),Raw_Data!E4157)</f>
        <v>34240.01</v>
      </c>
      <c r="F4157" s="15" t="str">
        <f>IF(ISBLANK(Raw_Data!F4157),AVERAGE(Raw_Data!F$2:F$5002),Raw_Data!F4157)</f>
        <v>33871.11</v>
      </c>
      <c r="G4157" s="14" t="str">
        <f>IF(ISBLANK(Raw_Data!G4157),AVERAGE(Raw_Data!G$2:G$5002),Raw_Data!G4157)</f>
        <v>21818.23</v>
      </c>
      <c r="H4157" s="15" t="str">
        <f t="shared" si="1"/>
        <v>139942.00</v>
      </c>
      <c r="I4157" s="14" t="str">
        <f t="shared" si="2"/>
        <v>118124.00</v>
      </c>
      <c r="J4157" s="16" t="str">
        <f>TEXT(Raw_Data!J4157,"MMM-YYY")</f>
        <v>Oct-2025</v>
      </c>
      <c r="K4157" s="13" t="str">
        <f>Raw_Data!K4157</f>
        <v>11</v>
      </c>
      <c r="L4157" s="17" t="str">
        <f>Raw_Data!L4157</f>
        <v>Ahmedabad-West</v>
      </c>
      <c r="M4157" s="13" t="str">
        <f t="shared" si="3"/>
        <v>OK</v>
      </c>
      <c r="N4157" s="18" t="str">
        <f t="shared" si="4"/>
        <v>VALID</v>
      </c>
    </row>
    <row r="4158" ht="15.75" customHeight="1">
      <c r="A4158" s="13" t="str">
        <f>Raw_Data!A4158</f>
        <v>EMP4389</v>
      </c>
      <c r="B4158" s="13" t="str">
        <f>TRIM(CLEAN(Raw_Data!B4158))</f>
        <v>IT</v>
      </c>
      <c r="C4158" s="18" t="s">
        <v>37</v>
      </c>
      <c r="D4158" s="14" t="str">
        <f>IF(ISBLANK(Raw_Data!D4158),AVERAGE(Raw_Data!D$2:D$5002),Raw_Data!D4158)</f>
        <v>95802.63</v>
      </c>
      <c r="E4158" s="15" t="str">
        <f>IF(ISBLANK(Raw_Data!E4158),AVERAGE(Raw_Data!E$2:E$5002),Raw_Data!E4158)</f>
        <v>34244.62</v>
      </c>
      <c r="F4158" s="15" t="str">
        <f>IF(ISBLANK(Raw_Data!F4158),AVERAGE(Raw_Data!F$2:F$5002),Raw_Data!F4158)</f>
        <v>33878.79</v>
      </c>
      <c r="G4158" s="14" t="str">
        <f>IF(ISBLANK(Raw_Data!G4158),AVERAGE(Raw_Data!G$2:G$5002),Raw_Data!G4158)</f>
        <v>21821.63</v>
      </c>
      <c r="H4158" s="15" t="str">
        <f t="shared" si="1"/>
        <v>163926.00</v>
      </c>
      <c r="I4158" s="14" t="str">
        <f t="shared" si="2"/>
        <v>142104.00</v>
      </c>
      <c r="J4158" s="16" t="str">
        <f>TEXT(Raw_Data!J4158,"MMM-YYY")</f>
        <v>Feb-2025</v>
      </c>
      <c r="K4158" s="13" t="str">
        <f>Raw_Data!K4158</f>
        <v>9</v>
      </c>
      <c r="L4158" s="17" t="str">
        <f>Raw_Data!L4158</f>
        <v>Jaipur-North</v>
      </c>
      <c r="M4158" s="13" t="str">
        <f t="shared" si="3"/>
        <v>OK</v>
      </c>
      <c r="N4158" s="18" t="str">
        <f t="shared" si="4"/>
        <v>VALID</v>
      </c>
    </row>
    <row r="4159" ht="15.75" customHeight="1">
      <c r="A4159" s="13" t="str">
        <f>Raw_Data!A4159</f>
        <v>EMP4390</v>
      </c>
      <c r="B4159" s="13" t="str">
        <f>TRIM(CLEAN(Raw_Data!B4159))</f>
        <v>Finance</v>
      </c>
      <c r="C4159" s="18" t="s">
        <v>18</v>
      </c>
      <c r="D4159" s="14" t="str">
        <f>IF(ISBLANK(Raw_Data!D4159),AVERAGE(Raw_Data!D$2:D$5002),Raw_Data!D4159)</f>
        <v>95813.52</v>
      </c>
      <c r="E4159" s="15" t="str">
        <f>IF(ISBLANK(Raw_Data!E4159),AVERAGE(Raw_Data!E$2:E$5002),Raw_Data!E4159)</f>
        <v>34249.24</v>
      </c>
      <c r="F4159" s="15" t="str">
        <f>IF(ISBLANK(Raw_Data!F4159),AVERAGE(Raw_Data!F$2:F$5002),Raw_Data!F4159)</f>
        <v>33886.47</v>
      </c>
      <c r="G4159" s="14" t="str">
        <f>IF(ISBLANK(Raw_Data!G4159),AVERAGE(Raw_Data!G$2:G$5002),Raw_Data!G4159)</f>
        <v>21825.03</v>
      </c>
      <c r="H4159" s="15" t="str">
        <f t="shared" si="1"/>
        <v>163949.00</v>
      </c>
      <c r="I4159" s="14" t="str">
        <f t="shared" si="2"/>
        <v>142124.00</v>
      </c>
      <c r="J4159" s="16" t="str">
        <f>TEXT(Raw_Data!J4159,"MMM-YYY")</f>
        <v>Jun-2025</v>
      </c>
      <c r="K4159" s="13" t="str">
        <f>Raw_Data!K4159</f>
        <v>1</v>
      </c>
      <c r="L4159" s="17" t="str">
        <f>Raw_Data!L4159</f>
        <v>Mumbai-HO</v>
      </c>
      <c r="M4159" s="13" t="str">
        <f t="shared" si="3"/>
        <v>OK</v>
      </c>
      <c r="N4159" s="18" t="str">
        <f t="shared" si="4"/>
        <v>VALID</v>
      </c>
    </row>
    <row r="4160" ht="15.75" customHeight="1">
      <c r="A4160" s="13" t="str">
        <f>Raw_Data!A4160</f>
        <v>EMP4391</v>
      </c>
      <c r="B4160" s="13" t="str">
        <f>TRIM(CLEAN(Raw_Data!B4160))</f>
        <v>HR</v>
      </c>
      <c r="C4160" s="18" t="s">
        <v>14</v>
      </c>
      <c r="D4160" s="14" t="str">
        <f>IF(ISBLANK(Raw_Data!D4160),AVERAGE(Raw_Data!D$2:D$5002),Raw_Data!D4160)</f>
        <v>95824.40</v>
      </c>
      <c r="E4160" s="15" t="str">
        <f>IF(ISBLANK(Raw_Data!E4160),AVERAGE(Raw_Data!E$2:E$5002),Raw_Data!E4160)</f>
        <v>34253.85</v>
      </c>
      <c r="F4160" s="15" t="str">
        <f>IF(ISBLANK(Raw_Data!F4160),AVERAGE(Raw_Data!F$2:F$5002),Raw_Data!F4160)</f>
        <v>33894.15</v>
      </c>
      <c r="G4160" s="14" t="str">
        <f>IF(ISBLANK(Raw_Data!G4160),AVERAGE(Raw_Data!G$2:G$5002),Raw_Data!G4160)</f>
        <v>21828.42</v>
      </c>
      <c r="H4160" s="15" t="str">
        <f t="shared" si="1"/>
        <v>163972.00</v>
      </c>
      <c r="I4160" s="14" t="str">
        <f t="shared" si="2"/>
        <v>142144.00</v>
      </c>
      <c r="J4160" s="16" t="str">
        <f>TEXT(Raw_Data!J4160,"MMM-YYY")</f>
        <v>Nov-2025</v>
      </c>
      <c r="K4160" s="13" t="str">
        <f>Raw_Data!K4160</f>
        <v>19</v>
      </c>
      <c r="L4160" s="17" t="str">
        <f>Raw_Data!L4160</f>
        <v>Delhi-North</v>
      </c>
      <c r="M4160" s="13" t="str">
        <f t="shared" si="3"/>
        <v>OK</v>
      </c>
      <c r="N4160" s="18" t="str">
        <f t="shared" si="4"/>
        <v>VALID</v>
      </c>
    </row>
    <row r="4161" ht="15.75" customHeight="1">
      <c r="A4161" s="13" t="str">
        <f>Raw_Data!A4161</f>
        <v>EMP4392</v>
      </c>
      <c r="B4161" s="13" t="str">
        <f>TRIM(CLEAN(Raw_Data!B4161))</f>
        <v>Operations</v>
      </c>
      <c r="C4161" s="18" t="s">
        <v>18</v>
      </c>
      <c r="D4161" s="14" t="str">
        <f>IF(ISBLANK(Raw_Data!D4161),AVERAGE(Raw_Data!D$2:D$5002),Raw_Data!D4161)</f>
        <v>95835.28</v>
      </c>
      <c r="E4161" s="15" t="str">
        <f>IF(ISBLANK(Raw_Data!E4161),AVERAGE(Raw_Data!E$2:E$5002),Raw_Data!E4161)</f>
        <v>34258.47</v>
      </c>
      <c r="F4161" s="15" t="str">
        <f>IF(ISBLANK(Raw_Data!F4161),AVERAGE(Raw_Data!F$2:F$5002),Raw_Data!F4161)</f>
        <v>33901.83</v>
      </c>
      <c r="G4161" s="14" t="str">
        <f>IF(ISBLANK(Raw_Data!G4161),AVERAGE(Raw_Data!G$2:G$5002),Raw_Data!G4161)</f>
        <v>21831.82</v>
      </c>
      <c r="H4161" s="15" t="str">
        <f t="shared" si="1"/>
        <v>163996.00</v>
      </c>
      <c r="I4161" s="14" t="str">
        <f t="shared" si="2"/>
        <v>142164.00</v>
      </c>
      <c r="J4161" s="16" t="str">
        <f>TEXT(Raw_Data!J4161,"MMM-YYY")</f>
        <v>Sep-2025</v>
      </c>
      <c r="K4161" s="13" t="str">
        <f>Raw_Data!K4161</f>
        <v>11</v>
      </c>
      <c r="L4161" s="17" t="str">
        <f>Raw_Data!L4161</f>
        <v>Bangalore-South</v>
      </c>
      <c r="M4161" s="13" t="str">
        <f t="shared" si="3"/>
        <v>OK</v>
      </c>
      <c r="N4161" s="18" t="str">
        <f t="shared" si="4"/>
        <v>VALID</v>
      </c>
    </row>
    <row r="4162" ht="15.75" customHeight="1">
      <c r="A4162" s="13" t="str">
        <f>Raw_Data!A4162</f>
        <v>EMP4393</v>
      </c>
      <c r="B4162" s="13" t="str">
        <f>TRIM(CLEAN(Raw_Data!B4162))</f>
        <v>Marketing</v>
      </c>
      <c r="C4162" s="18" t="s">
        <v>18</v>
      </c>
      <c r="D4162" s="14" t="str">
        <f>IF(ISBLANK(Raw_Data!D4162),AVERAGE(Raw_Data!D$2:D$5002),Raw_Data!D4162)</f>
        <v>95846.17</v>
      </c>
      <c r="E4162" s="15" t="str">
        <f>IF(ISBLANK(Raw_Data!E4162),AVERAGE(Raw_Data!E$2:E$5002),Raw_Data!E4162)</f>
        <v>34263.08</v>
      </c>
      <c r="F4162" s="15" t="str">
        <f>IF(ISBLANK(Raw_Data!F4162),AVERAGE(Raw_Data!F$2:F$5002),Raw_Data!F4162)</f>
        <v>33909.51</v>
      </c>
      <c r="G4162" s="14" t="str">
        <f>IF(ISBLANK(Raw_Data!G4162),AVERAGE(Raw_Data!G$2:G$5002),Raw_Data!G4162)</f>
        <v>21835.22</v>
      </c>
      <c r="H4162" s="15" t="str">
        <f t="shared" si="1"/>
        <v>164019.00</v>
      </c>
      <c r="I4162" s="14" t="str">
        <f t="shared" si="2"/>
        <v>142184.00</v>
      </c>
      <c r="J4162" s="16" t="str">
        <f>TEXT(Raw_Data!J4162,"MMM-YYY")</f>
        <v>Apr-2025</v>
      </c>
      <c r="K4162" s="13" t="str">
        <f>Raw_Data!K4162</f>
        <v>12</v>
      </c>
      <c r="L4162" s="17" t="str">
        <f>Raw_Data!L4162</f>
        <v>Chennai-South</v>
      </c>
      <c r="M4162" s="13" t="str">
        <f t="shared" si="3"/>
        <v>OK</v>
      </c>
      <c r="N4162" s="18" t="str">
        <f t="shared" si="4"/>
        <v>VALID</v>
      </c>
    </row>
    <row r="4163" ht="15.75" customHeight="1">
      <c r="A4163" s="13" t="str">
        <f>Raw_Data!A4163</f>
        <v>EMP4394</v>
      </c>
      <c r="B4163" s="13" t="str">
        <f>TRIM(CLEAN(Raw_Data!B4163))</f>
        <v>Operations</v>
      </c>
      <c r="C4163" s="18" t="s">
        <v>54</v>
      </c>
      <c r="D4163" s="14" t="str">
        <f>IF(ISBLANK(Raw_Data!D4163),AVERAGE(Raw_Data!D$2:D$5002),Raw_Data!D4163)</f>
        <v>95857.05</v>
      </c>
      <c r="E4163" s="15" t="str">
        <f>IF(ISBLANK(Raw_Data!E4163),AVERAGE(Raw_Data!E$2:E$5002),Raw_Data!E4163)</f>
        <v>34267.70</v>
      </c>
      <c r="F4163" s="15" t="str">
        <f>IF(ISBLANK(Raw_Data!F4163),AVERAGE(Raw_Data!F$2:F$5002),Raw_Data!F4163)</f>
        <v>33917.19</v>
      </c>
      <c r="G4163" s="14" t="str">
        <f>IF(ISBLANK(Raw_Data!G4163),AVERAGE(Raw_Data!G$2:G$5002),Raw_Data!G4163)</f>
        <v>21838.62</v>
      </c>
      <c r="H4163" s="15" t="str">
        <f t="shared" si="1"/>
        <v>164042.00</v>
      </c>
      <c r="I4163" s="14" t="str">
        <f t="shared" si="2"/>
        <v>142203.00</v>
      </c>
      <c r="J4163" s="16" t="str">
        <f>TEXT(Raw_Data!J4163,"MMM-YYY")</f>
        <v>Dec-2025</v>
      </c>
      <c r="K4163" s="13" t="str">
        <f>Raw_Data!K4163</f>
        <v>5</v>
      </c>
      <c r="L4163" s="17" t="str">
        <f>Raw_Data!L4163</f>
        <v>Kolkata-East</v>
      </c>
      <c r="M4163" s="13" t="str">
        <f t="shared" si="3"/>
        <v>OK</v>
      </c>
      <c r="N4163" s="18" t="str">
        <f t="shared" si="4"/>
        <v>VALID</v>
      </c>
    </row>
    <row r="4164" ht="15.75" customHeight="1">
      <c r="A4164" s="13" t="str">
        <f>Raw_Data!A4164</f>
        <v>EMP4395</v>
      </c>
      <c r="B4164" s="13" t="str">
        <f>TRIM(CLEAN(Raw_Data!B4164))</f>
        <v>Finance</v>
      </c>
      <c r="C4164" s="18" t="s">
        <v>54</v>
      </c>
      <c r="D4164" s="14" t="str">
        <f>IF(ISBLANK(Raw_Data!D4164),AVERAGE(Raw_Data!D$2:D$5002),Raw_Data!D4164)</f>
        <v>95867.93</v>
      </c>
      <c r="E4164" s="15" t="str">
        <f>IF(ISBLANK(Raw_Data!E4164),AVERAGE(Raw_Data!E$2:E$5002),Raw_Data!E4164)</f>
        <v>34272.31</v>
      </c>
      <c r="F4164" s="15" t="str">
        <f>IF(ISBLANK(Raw_Data!F4164),AVERAGE(Raw_Data!F$2:F$5002),Raw_Data!F4164)</f>
        <v>33924.87</v>
      </c>
      <c r="G4164" s="14" t="str">
        <f>IF(ISBLANK(Raw_Data!G4164),AVERAGE(Raw_Data!G$2:G$5002),Raw_Data!G4164)</f>
        <v>21842.01</v>
      </c>
      <c r="H4164" s="15" t="str">
        <f t="shared" si="1"/>
        <v>164065.00</v>
      </c>
      <c r="I4164" s="14" t="str">
        <f t="shared" si="2"/>
        <v>142223.00</v>
      </c>
      <c r="J4164" s="16" t="str">
        <f>TEXT(Raw_Data!J4164,"MMM-YYY")</f>
        <v>Nov-2025</v>
      </c>
      <c r="K4164" s="13" t="str">
        <f>Raw_Data!K4164</f>
        <v>7</v>
      </c>
      <c r="L4164" s="17" t="str">
        <f>Raw_Data!L4164</f>
        <v>Pune-West</v>
      </c>
      <c r="M4164" s="13" t="str">
        <f t="shared" si="3"/>
        <v>OK</v>
      </c>
      <c r="N4164" s="18" t="str">
        <f t="shared" si="4"/>
        <v>VALID</v>
      </c>
    </row>
    <row r="4165" ht="15.75" customHeight="1">
      <c r="A4165" s="13" t="str">
        <f>Raw_Data!A4165</f>
        <v>EMP4396</v>
      </c>
      <c r="B4165" s="13" t="str">
        <f>TRIM(CLEAN(Raw_Data!B4165))</f>
        <v>Operations</v>
      </c>
      <c r="C4165" s="18" t="s">
        <v>37</v>
      </c>
      <c r="D4165" s="14" t="str">
        <f>IF(ISBLANK(Raw_Data!D4165),AVERAGE(Raw_Data!D$2:D$5002),Raw_Data!D4165)</f>
        <v>95878.82</v>
      </c>
      <c r="E4165" s="15" t="str">
        <f>IF(ISBLANK(Raw_Data!E4165),AVERAGE(Raw_Data!E$2:E$5002),Raw_Data!E4165)</f>
        <v>34276.93</v>
      </c>
      <c r="F4165" s="15" t="str">
        <f>IF(ISBLANK(Raw_Data!F4165),AVERAGE(Raw_Data!F$2:F$5002),Raw_Data!F4165)</f>
        <v>33932.55</v>
      </c>
      <c r="G4165" s="14" t="str">
        <f>IF(ISBLANK(Raw_Data!G4165),AVERAGE(Raw_Data!G$2:G$5002),Raw_Data!G4165)</f>
        <v>21845.41</v>
      </c>
      <c r="H4165" s="15" t="str">
        <f t="shared" si="1"/>
        <v>164088.00</v>
      </c>
      <c r="I4165" s="14" t="str">
        <f t="shared" si="2"/>
        <v>142243.00</v>
      </c>
      <c r="J4165" s="16" t="str">
        <f>TEXT(Raw_Data!J4165,"MMM-YYY")</f>
        <v>Jan-2025</v>
      </c>
      <c r="K4165" s="13" t="str">
        <f>Raw_Data!K4165</f>
        <v>15</v>
      </c>
      <c r="L4165" s="17" t="str">
        <f>Raw_Data!L4165</f>
        <v>Hyderabad-South</v>
      </c>
      <c r="M4165" s="13" t="str">
        <f t="shared" si="3"/>
        <v>OK</v>
      </c>
      <c r="N4165" s="18" t="str">
        <f t="shared" si="4"/>
        <v>VALID</v>
      </c>
    </row>
    <row r="4166" ht="15.75" customHeight="1">
      <c r="A4166" s="13" t="str">
        <f>Raw_Data!A4166</f>
        <v>EMP4397</v>
      </c>
      <c r="B4166" s="13" t="str">
        <f>TRIM(CLEAN(Raw_Data!B4166))</f>
        <v>Customer Support</v>
      </c>
      <c r="C4166" s="18" t="s">
        <v>14</v>
      </c>
      <c r="D4166" s="14" t="str">
        <f>IF(ISBLANK(Raw_Data!D4166),AVERAGE(Raw_Data!D$2:D$5002),Raw_Data!D4166)</f>
        <v>95889.70</v>
      </c>
      <c r="E4166" s="15" t="str">
        <f>IF(ISBLANK(Raw_Data!E4166),AVERAGE(Raw_Data!E$2:E$5002),Raw_Data!E4166)</f>
        <v>34281.54</v>
      </c>
      <c r="F4166" s="15" t="str">
        <f>IF(ISBLANK(Raw_Data!F4166),AVERAGE(Raw_Data!F$2:F$5002),Raw_Data!F4166)</f>
        <v>33940.23</v>
      </c>
      <c r="G4166" s="14" t="str">
        <f>IF(ISBLANK(Raw_Data!G4166),AVERAGE(Raw_Data!G$2:G$5002),Raw_Data!G4166)</f>
        <v>21848.81</v>
      </c>
      <c r="H4166" s="15" t="str">
        <f t="shared" si="1"/>
        <v>164111.00</v>
      </c>
      <c r="I4166" s="14" t="str">
        <f t="shared" si="2"/>
        <v>142262.00</v>
      </c>
      <c r="J4166" s="16" t="str">
        <f>TEXT(Raw_Data!J4166,"MMM-YYY")</f>
        <v>May-2025</v>
      </c>
      <c r="K4166" s="13" t="str">
        <f>Raw_Data!K4166</f>
        <v>11</v>
      </c>
      <c r="L4166" s="17" t="str">
        <f>Raw_Data!L4166</f>
        <v>Chandigarh-North</v>
      </c>
      <c r="M4166" s="13" t="str">
        <f t="shared" si="3"/>
        <v>OK</v>
      </c>
      <c r="N4166" s="18" t="str">
        <f t="shared" si="4"/>
        <v>VALID</v>
      </c>
    </row>
    <row r="4167" ht="15.75" customHeight="1">
      <c r="A4167" s="13" t="str">
        <f>Raw_Data!A4167</f>
        <v>EMP4398</v>
      </c>
      <c r="B4167" s="13" t="str">
        <f>TRIM(CLEAN(Raw_Data!B4167))</f>
        <v>Sales</v>
      </c>
      <c r="C4167" s="18" t="s">
        <v>18</v>
      </c>
      <c r="D4167" s="14" t="str">
        <f>IF(ISBLANK(Raw_Data!D4167),AVERAGE(Raw_Data!D$2:D$5002),Raw_Data!D4167)</f>
        <v>71831.17</v>
      </c>
      <c r="E4167" s="15" t="str">
        <f>IF(ISBLANK(Raw_Data!E4167),AVERAGE(Raw_Data!E$2:E$5002),Raw_Data!E4167)</f>
        <v>34286.16</v>
      </c>
      <c r="F4167" s="15" t="str">
        <f>IF(ISBLANK(Raw_Data!F4167),AVERAGE(Raw_Data!F$2:F$5002),Raw_Data!F4167)</f>
        <v>33947.91</v>
      </c>
      <c r="G4167" s="14" t="str">
        <f>IF(ISBLANK(Raw_Data!G4167),AVERAGE(Raw_Data!G$2:G$5002),Raw_Data!G4167)</f>
        <v>21852.21</v>
      </c>
      <c r="H4167" s="15" t="str">
        <f t="shared" si="1"/>
        <v>140065.00</v>
      </c>
      <c r="I4167" s="14" t="str">
        <f t="shared" si="2"/>
        <v>118213.00</v>
      </c>
      <c r="J4167" s="16" t="str">
        <f>TEXT(Raw_Data!J4167,"MMM-YYY")</f>
        <v>Jul-2025</v>
      </c>
      <c r="K4167" s="13" t="str">
        <f>Raw_Data!K4167</f>
        <v>14</v>
      </c>
      <c r="L4167" s="17" t="str">
        <f>Raw_Data!L4167</f>
        <v>Ahmedabad-West</v>
      </c>
      <c r="M4167" s="13" t="str">
        <f t="shared" si="3"/>
        <v>OK</v>
      </c>
      <c r="N4167" s="18" t="str">
        <f t="shared" si="4"/>
        <v>VALID</v>
      </c>
    </row>
    <row r="4168" ht="15.75" customHeight="1">
      <c r="A4168" s="13" t="str">
        <f>Raw_Data!A4168</f>
        <v>EMP4399</v>
      </c>
      <c r="B4168" s="13" t="str">
        <f>TRIM(CLEAN(Raw_Data!B4168))</f>
        <v>Finance</v>
      </c>
      <c r="C4168" s="18" t="s">
        <v>26</v>
      </c>
      <c r="D4168" s="14" t="str">
        <f>IF(ISBLANK(Raw_Data!D4168),AVERAGE(Raw_Data!D$2:D$5002),Raw_Data!D4168)</f>
        <v>95911.46</v>
      </c>
      <c r="E4168" s="15" t="str">
        <f>IF(ISBLANK(Raw_Data!E4168),AVERAGE(Raw_Data!E$2:E$5002),Raw_Data!E4168)</f>
        <v>34290.77</v>
      </c>
      <c r="F4168" s="15" t="str">
        <f>IF(ISBLANK(Raw_Data!F4168),AVERAGE(Raw_Data!F$2:F$5002),Raw_Data!F4168)</f>
        <v>33955.59</v>
      </c>
      <c r="G4168" s="14" t="str">
        <f>IF(ISBLANK(Raw_Data!G4168),AVERAGE(Raw_Data!G$2:G$5002),Raw_Data!G4168)</f>
        <v>21855.60</v>
      </c>
      <c r="H4168" s="15" t="str">
        <f t="shared" si="1"/>
        <v>164158.00</v>
      </c>
      <c r="I4168" s="14" t="str">
        <f t="shared" si="2"/>
        <v>142302.00</v>
      </c>
      <c r="J4168" s="16" t="str">
        <f>TEXT(Raw_Data!J4168,"MMM-YYY")</f>
        <v>Dec-2025</v>
      </c>
      <c r="K4168" s="13" t="str">
        <f>Raw_Data!K4168</f>
        <v>5</v>
      </c>
      <c r="L4168" s="17" t="str">
        <f>Raw_Data!L4168</f>
        <v>Jaipur-North</v>
      </c>
      <c r="M4168" s="13" t="str">
        <f t="shared" si="3"/>
        <v>OK</v>
      </c>
      <c r="N4168" s="18" t="str">
        <f t="shared" si="4"/>
        <v>VALID</v>
      </c>
    </row>
    <row r="4169" ht="15.75" customHeight="1">
      <c r="A4169" s="13" t="str">
        <f>Raw_Data!A4169</f>
        <v>EMP4400</v>
      </c>
      <c r="B4169" s="13" t="str">
        <f>TRIM(CLEAN(Raw_Data!B4169))</f>
        <v>Finance</v>
      </c>
      <c r="C4169" s="18" t="s">
        <v>30</v>
      </c>
      <c r="D4169" s="14" t="str">
        <f>IF(ISBLANK(Raw_Data!D4169),AVERAGE(Raw_Data!D$2:D$5002),Raw_Data!D4169)</f>
        <v>95922.35</v>
      </c>
      <c r="E4169" s="15" t="str">
        <f>IF(ISBLANK(Raw_Data!E4169),AVERAGE(Raw_Data!E$2:E$5002),Raw_Data!E4169)</f>
        <v>34295.38</v>
      </c>
      <c r="F4169" s="15" t="str">
        <f>IF(ISBLANK(Raw_Data!F4169),AVERAGE(Raw_Data!F$2:F$5002),Raw_Data!F4169)</f>
        <v>33963.27</v>
      </c>
      <c r="G4169" s="14" t="str">
        <f>IF(ISBLANK(Raw_Data!G4169),AVERAGE(Raw_Data!G$2:G$5002),Raw_Data!G4169)</f>
        <v>21859.00</v>
      </c>
      <c r="H4169" s="15" t="str">
        <f t="shared" si="1"/>
        <v>164181.00</v>
      </c>
      <c r="I4169" s="14" t="str">
        <f t="shared" si="2"/>
        <v>142322.00</v>
      </c>
      <c r="J4169" s="16" t="str">
        <f>TEXT(Raw_Data!J4169,"MMM-YYY")</f>
        <v>Feb-2025</v>
      </c>
      <c r="K4169" s="13" t="str">
        <f>Raw_Data!K4169</f>
        <v>22</v>
      </c>
      <c r="L4169" s="17" t="str">
        <f>Raw_Data!L4169</f>
        <v>Mumbai-HO</v>
      </c>
      <c r="M4169" s="13" t="str">
        <f t="shared" si="3"/>
        <v>OK</v>
      </c>
      <c r="N4169" s="18" t="str">
        <f t="shared" si="4"/>
        <v>VALID</v>
      </c>
    </row>
    <row r="4170" ht="15.75" customHeight="1">
      <c r="A4170" s="13" t="str">
        <f>Raw_Data!A4170</f>
        <v>EMP4401</v>
      </c>
      <c r="B4170" s="13" t="str">
        <f>TRIM(CLEAN(Raw_Data!B4170))</f>
        <v>Marketing</v>
      </c>
      <c r="C4170" s="18" t="s">
        <v>33</v>
      </c>
      <c r="D4170" s="14" t="str">
        <f>IF(ISBLANK(Raw_Data!D4170),AVERAGE(Raw_Data!D$2:D$5002),Raw_Data!D4170)</f>
        <v>95933.23</v>
      </c>
      <c r="E4170" s="15" t="str">
        <f>IF(ISBLANK(Raw_Data!E4170),AVERAGE(Raw_Data!E$2:E$5002),Raw_Data!E4170)</f>
        <v>34300.00</v>
      </c>
      <c r="F4170" s="15" t="str">
        <f>IF(ISBLANK(Raw_Data!F4170),AVERAGE(Raw_Data!F$2:F$5002),Raw_Data!F4170)</f>
        <v>33970.95</v>
      </c>
      <c r="G4170" s="14" t="str">
        <f>IF(ISBLANK(Raw_Data!G4170),AVERAGE(Raw_Data!G$2:G$5002),Raw_Data!G4170)</f>
        <v>21862.40</v>
      </c>
      <c r="H4170" s="15" t="str">
        <f t="shared" si="1"/>
        <v>164204.00</v>
      </c>
      <c r="I4170" s="14" t="str">
        <f t="shared" si="2"/>
        <v>142342.00</v>
      </c>
      <c r="J4170" s="16" t="str">
        <f>TEXT(Raw_Data!J4170,"MMM-YYY")</f>
        <v>Aug-2025</v>
      </c>
      <c r="K4170" s="13" t="str">
        <f>Raw_Data!K4170</f>
        <v>10</v>
      </c>
      <c r="L4170" s="17" t="str">
        <f>Raw_Data!L4170</f>
        <v>Delhi-North</v>
      </c>
      <c r="M4170" s="13" t="str">
        <f t="shared" si="3"/>
        <v>OK</v>
      </c>
      <c r="N4170" s="18" t="str">
        <f t="shared" si="4"/>
        <v>VALID</v>
      </c>
    </row>
    <row r="4171" ht="15.75" customHeight="1">
      <c r="A4171" s="13" t="str">
        <f>Raw_Data!A4171</f>
        <v>EMP4402</v>
      </c>
      <c r="B4171" s="13" t="str">
        <f>TRIM(CLEAN(Raw_Data!B4171))</f>
        <v>Sales</v>
      </c>
      <c r="C4171" s="18" t="s">
        <v>30</v>
      </c>
      <c r="D4171" s="14" t="str">
        <f>IF(ISBLANK(Raw_Data!D4171),AVERAGE(Raw_Data!D$2:D$5002),Raw_Data!D4171)</f>
        <v>95944.11</v>
      </c>
      <c r="E4171" s="15" t="str">
        <f>IF(ISBLANK(Raw_Data!E4171),AVERAGE(Raw_Data!E$2:E$5002),Raw_Data!E4171)</f>
        <v>34304.61</v>
      </c>
      <c r="F4171" s="15" t="str">
        <f>IF(ISBLANK(Raw_Data!F4171),AVERAGE(Raw_Data!F$2:F$5002),Raw_Data!F4171)</f>
        <v>33978.63</v>
      </c>
      <c r="G4171" s="14" t="str">
        <f>IF(ISBLANK(Raw_Data!G4171),AVERAGE(Raw_Data!G$2:G$5002),Raw_Data!G4171)</f>
        <v>21865.80</v>
      </c>
      <c r="H4171" s="15" t="str">
        <f t="shared" si="1"/>
        <v>164227.00</v>
      </c>
      <c r="I4171" s="14" t="str">
        <f t="shared" si="2"/>
        <v>142361.00</v>
      </c>
      <c r="J4171" s="16" t="str">
        <f>TEXT(Raw_Data!J4171,"MMM-YYY")</f>
        <v>Apr-2025</v>
      </c>
      <c r="K4171" s="13" t="str">
        <f>Raw_Data!K4171</f>
        <v>3</v>
      </c>
      <c r="L4171" s="17" t="str">
        <f>Raw_Data!L4171</f>
        <v>Bangalore-South</v>
      </c>
      <c r="M4171" s="13" t="str">
        <f t="shared" si="3"/>
        <v>OK</v>
      </c>
      <c r="N4171" s="18" t="str">
        <f t="shared" si="4"/>
        <v>VALID</v>
      </c>
    </row>
    <row r="4172" ht="15.75" customHeight="1">
      <c r="A4172" s="13" t="str">
        <f>Raw_Data!A4172</f>
        <v>EMP4403</v>
      </c>
      <c r="B4172" s="13" t="str">
        <f>TRIM(CLEAN(Raw_Data!B4172))</f>
        <v>Operations</v>
      </c>
      <c r="C4172" s="18" t="s">
        <v>26</v>
      </c>
      <c r="D4172" s="14" t="str">
        <f>IF(ISBLANK(Raw_Data!D4172),AVERAGE(Raw_Data!D$2:D$5002),Raw_Data!D4172)</f>
        <v>95955.00</v>
      </c>
      <c r="E4172" s="15" t="str">
        <f>IF(ISBLANK(Raw_Data!E4172),AVERAGE(Raw_Data!E$2:E$5002),Raw_Data!E4172)</f>
        <v>34309.23</v>
      </c>
      <c r="F4172" s="15" t="str">
        <f>IF(ISBLANK(Raw_Data!F4172),AVERAGE(Raw_Data!F$2:F$5002),Raw_Data!F4172)</f>
        <v>33986.31</v>
      </c>
      <c r="G4172" s="14" t="str">
        <f>IF(ISBLANK(Raw_Data!G4172),AVERAGE(Raw_Data!G$2:G$5002),Raw_Data!G4172)</f>
        <v>21869.19</v>
      </c>
      <c r="H4172" s="15" t="str">
        <f t="shared" si="1"/>
        <v>164251.00</v>
      </c>
      <c r="I4172" s="14" t="str">
        <f t="shared" si="2"/>
        <v>142382.00</v>
      </c>
      <c r="J4172" s="16" t="str">
        <f>TEXT(Raw_Data!J4172,"MMM-YYY")</f>
        <v>Nov-2025</v>
      </c>
      <c r="K4172" s="13" t="str">
        <f>Raw_Data!K4172</f>
        <v>2</v>
      </c>
      <c r="L4172" s="17" t="str">
        <f>Raw_Data!L4172</f>
        <v>Chennai-South</v>
      </c>
      <c r="M4172" s="13" t="str">
        <f t="shared" si="3"/>
        <v>OK</v>
      </c>
      <c r="N4172" s="18" t="str">
        <f t="shared" si="4"/>
        <v>VALID</v>
      </c>
    </row>
    <row r="4173" ht="15.75" customHeight="1">
      <c r="A4173" s="13" t="str">
        <f>Raw_Data!A4173</f>
        <v>EMP4404</v>
      </c>
      <c r="B4173" s="13" t="str">
        <f>TRIM(CLEAN(Raw_Data!B4173))</f>
        <v>IT</v>
      </c>
      <c r="C4173" s="18" t="s">
        <v>18</v>
      </c>
      <c r="D4173" s="14" t="str">
        <f>IF(ISBLANK(Raw_Data!D4173),AVERAGE(Raw_Data!D$2:D$5002),Raw_Data!D4173)</f>
        <v>95965.88</v>
      </c>
      <c r="E4173" s="15" t="str">
        <f>IF(ISBLANK(Raw_Data!E4173),AVERAGE(Raw_Data!E$2:E$5002),Raw_Data!E4173)</f>
        <v>34313.84</v>
      </c>
      <c r="F4173" s="15" t="str">
        <f>IF(ISBLANK(Raw_Data!F4173),AVERAGE(Raw_Data!F$2:F$5002),Raw_Data!F4173)</f>
        <v>33993.99</v>
      </c>
      <c r="G4173" s="14" t="str">
        <f>IF(ISBLANK(Raw_Data!G4173),AVERAGE(Raw_Data!G$2:G$5002),Raw_Data!G4173)</f>
        <v>21872.59</v>
      </c>
      <c r="H4173" s="15" t="str">
        <f t="shared" si="1"/>
        <v>164274.00</v>
      </c>
      <c r="I4173" s="14" t="str">
        <f t="shared" si="2"/>
        <v>142401.00</v>
      </c>
      <c r="J4173" s="16" t="str">
        <f>TEXT(Raw_Data!J4173,"MMM-YYY")</f>
        <v>Dec-2025</v>
      </c>
      <c r="K4173" s="13" t="str">
        <f>Raw_Data!K4173</f>
        <v>20</v>
      </c>
      <c r="L4173" s="17" t="str">
        <f>Raw_Data!L4173</f>
        <v>Kolkata-East</v>
      </c>
      <c r="M4173" s="13" t="str">
        <f t="shared" si="3"/>
        <v>OK</v>
      </c>
      <c r="N4173" s="18" t="str">
        <f t="shared" si="4"/>
        <v>VALID</v>
      </c>
    </row>
    <row r="4174" ht="15.75" customHeight="1">
      <c r="A4174" s="13" t="str">
        <f>Raw_Data!A4174</f>
        <v>EMP4405</v>
      </c>
      <c r="B4174" s="13" t="str">
        <f>TRIM(CLEAN(Raw_Data!B4174))</f>
        <v>Marketing</v>
      </c>
      <c r="C4174" s="18" t="s">
        <v>33</v>
      </c>
      <c r="D4174" s="14" t="str">
        <f>IF(ISBLANK(Raw_Data!D4174),AVERAGE(Raw_Data!D$2:D$5002),Raw_Data!D4174)</f>
        <v>95976.76</v>
      </c>
      <c r="E4174" s="15" t="str">
        <f>IF(ISBLANK(Raw_Data!E4174),AVERAGE(Raw_Data!E$2:E$5002),Raw_Data!E4174)</f>
        <v>34318.46</v>
      </c>
      <c r="F4174" s="15" t="str">
        <f>IF(ISBLANK(Raw_Data!F4174),AVERAGE(Raw_Data!F$2:F$5002),Raw_Data!F4174)</f>
        <v>34001.67</v>
      </c>
      <c r="G4174" s="14" t="str">
        <f>IF(ISBLANK(Raw_Data!G4174),AVERAGE(Raw_Data!G$2:G$5002),Raw_Data!G4174)</f>
        <v>21875.99</v>
      </c>
      <c r="H4174" s="15" t="str">
        <f t="shared" si="1"/>
        <v>164297.00</v>
      </c>
      <c r="I4174" s="14" t="str">
        <f t="shared" si="2"/>
        <v>142421.00</v>
      </c>
      <c r="J4174" s="16" t="str">
        <f>TEXT(Raw_Data!J4174,"MMM-YYY")</f>
        <v>Mar-2025</v>
      </c>
      <c r="K4174" s="13" t="str">
        <f>Raw_Data!K4174</f>
        <v>3</v>
      </c>
      <c r="L4174" s="17" t="str">
        <f>Raw_Data!L4174</f>
        <v>Pune-West</v>
      </c>
      <c r="M4174" s="13" t="str">
        <f t="shared" si="3"/>
        <v>OK</v>
      </c>
      <c r="N4174" s="18" t="str">
        <f t="shared" si="4"/>
        <v>VALID</v>
      </c>
    </row>
    <row r="4175" ht="15.75" customHeight="1">
      <c r="A4175" s="13" t="str">
        <f>Raw_Data!A4175</f>
        <v>EMP4406</v>
      </c>
      <c r="B4175" s="13" t="str">
        <f>TRIM(CLEAN(Raw_Data!B4175))</f>
        <v>Finance</v>
      </c>
      <c r="C4175" s="18" t="s">
        <v>18</v>
      </c>
      <c r="D4175" s="14" t="str">
        <f>IF(ISBLANK(Raw_Data!D4175),AVERAGE(Raw_Data!D$2:D$5002),Raw_Data!D4175)</f>
        <v>95987.64</v>
      </c>
      <c r="E4175" s="15" t="str">
        <f>IF(ISBLANK(Raw_Data!E4175),AVERAGE(Raw_Data!E$2:E$5002),Raw_Data!E4175)</f>
        <v>34323.07</v>
      </c>
      <c r="F4175" s="15" t="str">
        <f>IF(ISBLANK(Raw_Data!F4175),AVERAGE(Raw_Data!F$2:F$5002),Raw_Data!F4175)</f>
        <v>34009.35</v>
      </c>
      <c r="G4175" s="14" t="str">
        <f>IF(ISBLANK(Raw_Data!G4175),AVERAGE(Raw_Data!G$2:G$5002),Raw_Data!G4175)</f>
        <v>21879.39</v>
      </c>
      <c r="H4175" s="15" t="str">
        <f t="shared" si="1"/>
        <v>164320.00</v>
      </c>
      <c r="I4175" s="14" t="str">
        <f t="shared" si="2"/>
        <v>142441.00</v>
      </c>
      <c r="J4175" s="16" t="str">
        <f>TEXT(Raw_Data!J4175,"MMM-YYY")</f>
        <v>Feb-2025</v>
      </c>
      <c r="K4175" s="13" t="str">
        <f>Raw_Data!K4175</f>
        <v>25</v>
      </c>
      <c r="L4175" s="17" t="str">
        <f>Raw_Data!L4175</f>
        <v>Hyderabad-South</v>
      </c>
      <c r="M4175" s="13" t="str">
        <f t="shared" si="3"/>
        <v>OK</v>
      </c>
      <c r="N4175" s="18" t="str">
        <f t="shared" si="4"/>
        <v>VALID</v>
      </c>
    </row>
    <row r="4176" ht="15.75" customHeight="1">
      <c r="A4176" s="13" t="str">
        <f>Raw_Data!A4176</f>
        <v>EMP4407</v>
      </c>
      <c r="B4176" s="13" t="str">
        <f>TRIM(CLEAN(Raw_Data!B4176))</f>
        <v>Finance</v>
      </c>
      <c r="C4176" s="18" t="s">
        <v>14</v>
      </c>
      <c r="D4176" s="14" t="str">
        <f>IF(ISBLANK(Raw_Data!D4176),AVERAGE(Raw_Data!D$2:D$5002),Raw_Data!D4176)</f>
        <v>71831.17</v>
      </c>
      <c r="E4176" s="15" t="str">
        <f>IF(ISBLANK(Raw_Data!E4176),AVERAGE(Raw_Data!E$2:E$5002),Raw_Data!E4176)</f>
        <v>34327.69</v>
      </c>
      <c r="F4176" s="15" t="str">
        <f>IF(ISBLANK(Raw_Data!F4176),AVERAGE(Raw_Data!F$2:F$5002),Raw_Data!F4176)</f>
        <v>34017.03</v>
      </c>
      <c r="G4176" s="14" t="str">
        <f>IF(ISBLANK(Raw_Data!G4176),AVERAGE(Raw_Data!G$2:G$5002),Raw_Data!G4176)</f>
        <v>21882.78</v>
      </c>
      <c r="H4176" s="15" t="str">
        <f t="shared" si="1"/>
        <v>140176.00</v>
      </c>
      <c r="I4176" s="14" t="str">
        <f t="shared" si="2"/>
        <v>118293.00</v>
      </c>
      <c r="J4176" s="16" t="str">
        <f>TEXT(Raw_Data!J4176,"MMM-YYY")</f>
        <v>Jul-2025</v>
      </c>
      <c r="K4176" s="13" t="str">
        <f>Raw_Data!K4176</f>
        <v>5</v>
      </c>
      <c r="L4176" s="17" t="str">
        <f>Raw_Data!L4176</f>
        <v>Chandigarh-North</v>
      </c>
      <c r="M4176" s="13" t="str">
        <f t="shared" si="3"/>
        <v>OK</v>
      </c>
      <c r="N4176" s="18" t="str">
        <f t="shared" si="4"/>
        <v>VALID</v>
      </c>
    </row>
    <row r="4177" ht="15.75" customHeight="1">
      <c r="A4177" s="13" t="str">
        <f>Raw_Data!A4177</f>
        <v>EMP4408</v>
      </c>
      <c r="B4177" s="13" t="str">
        <f>TRIM(CLEAN(Raw_Data!B4177))</f>
        <v>Sales</v>
      </c>
      <c r="C4177" s="18" t="s">
        <v>54</v>
      </c>
      <c r="D4177" s="14" t="str">
        <f>IF(ISBLANK(Raw_Data!D4177),AVERAGE(Raw_Data!D$2:D$5002),Raw_Data!D4177)</f>
        <v>96009.41</v>
      </c>
      <c r="E4177" s="15" t="str">
        <f>IF(ISBLANK(Raw_Data!E4177),AVERAGE(Raw_Data!E$2:E$5002),Raw_Data!E4177)</f>
        <v>34332.30</v>
      </c>
      <c r="F4177" s="15" t="str">
        <f>IF(ISBLANK(Raw_Data!F4177),AVERAGE(Raw_Data!F$2:F$5002),Raw_Data!F4177)</f>
        <v>34024.71</v>
      </c>
      <c r="G4177" s="14" t="str">
        <f>IF(ISBLANK(Raw_Data!G4177),AVERAGE(Raw_Data!G$2:G$5002),Raw_Data!G4177)</f>
        <v>21886.18</v>
      </c>
      <c r="H4177" s="15" t="str">
        <f t="shared" si="1"/>
        <v>164366.00</v>
      </c>
      <c r="I4177" s="14" t="str">
        <f t="shared" si="2"/>
        <v>142480.00</v>
      </c>
      <c r="J4177" s="16" t="str">
        <f>TEXT(Raw_Data!J4177,"MMM-YYY")</f>
        <v>May-2025</v>
      </c>
      <c r="K4177" s="13" t="str">
        <f>Raw_Data!K4177</f>
        <v>3</v>
      </c>
      <c r="L4177" s="17" t="str">
        <f>Raw_Data!L4177</f>
        <v>Ahmedabad-West</v>
      </c>
      <c r="M4177" s="13" t="str">
        <f t="shared" si="3"/>
        <v>OK</v>
      </c>
      <c r="N4177" s="18" t="str">
        <f t="shared" si="4"/>
        <v>VALID</v>
      </c>
    </row>
    <row r="4178" ht="15.75" customHeight="1">
      <c r="A4178" s="13" t="str">
        <f>Raw_Data!A4178</f>
        <v>EMP4409</v>
      </c>
      <c r="B4178" s="13" t="str">
        <f>TRIM(CLEAN(Raw_Data!B4178))</f>
        <v>HR</v>
      </c>
      <c r="C4178" s="18" t="s">
        <v>30</v>
      </c>
      <c r="D4178" s="14" t="str">
        <f>IF(ISBLANK(Raw_Data!D4178),AVERAGE(Raw_Data!D$2:D$5002),Raw_Data!D4178)</f>
        <v>96020.29</v>
      </c>
      <c r="E4178" s="15" t="str">
        <f>IF(ISBLANK(Raw_Data!E4178),AVERAGE(Raw_Data!E$2:E$5002),Raw_Data!E4178)</f>
        <v>34336.92</v>
      </c>
      <c r="F4178" s="15" t="str">
        <f>IF(ISBLANK(Raw_Data!F4178),AVERAGE(Raw_Data!F$2:F$5002),Raw_Data!F4178)</f>
        <v>34032.39</v>
      </c>
      <c r="G4178" s="14" t="str">
        <f>IF(ISBLANK(Raw_Data!G4178),AVERAGE(Raw_Data!G$2:G$5002),Raw_Data!G4178)</f>
        <v>21889.58</v>
      </c>
      <c r="H4178" s="15" t="str">
        <f t="shared" si="1"/>
        <v>164390.00</v>
      </c>
      <c r="I4178" s="14" t="str">
        <f t="shared" si="2"/>
        <v>142500.00</v>
      </c>
      <c r="J4178" s="16" t="str">
        <f>TEXT(Raw_Data!J4178,"MMM-YYY")</f>
        <v>Sep-2025</v>
      </c>
      <c r="K4178" s="13" t="str">
        <f>Raw_Data!K4178</f>
        <v>18</v>
      </c>
      <c r="L4178" s="17" t="str">
        <f>Raw_Data!L4178</f>
        <v>Jaipur-North</v>
      </c>
      <c r="M4178" s="13" t="str">
        <f t="shared" si="3"/>
        <v>OK</v>
      </c>
      <c r="N4178" s="18" t="str">
        <f t="shared" si="4"/>
        <v>VALID</v>
      </c>
    </row>
    <row r="4179" ht="15.75" customHeight="1">
      <c r="A4179" s="13" t="str">
        <f>Raw_Data!A4179</f>
        <v>EMP4410</v>
      </c>
      <c r="B4179" s="13" t="str">
        <f>TRIM(CLEAN(Raw_Data!B4179))</f>
        <v>IT</v>
      </c>
      <c r="C4179" s="18" t="s">
        <v>33</v>
      </c>
      <c r="D4179" s="14" t="str">
        <f>IF(ISBLANK(Raw_Data!D4179),AVERAGE(Raw_Data!D$2:D$5002),Raw_Data!D4179)</f>
        <v>96031.18</v>
      </c>
      <c r="E4179" s="15" t="str">
        <f>IF(ISBLANK(Raw_Data!E4179),AVERAGE(Raw_Data!E$2:E$5002),Raw_Data!E4179)</f>
        <v>34341.53</v>
      </c>
      <c r="F4179" s="15" t="str">
        <f>IF(ISBLANK(Raw_Data!F4179),AVERAGE(Raw_Data!F$2:F$5002),Raw_Data!F4179)</f>
        <v>34040.07</v>
      </c>
      <c r="G4179" s="14" t="str">
        <f>IF(ISBLANK(Raw_Data!G4179),AVERAGE(Raw_Data!G$2:G$5002),Raw_Data!G4179)</f>
        <v>21892.98</v>
      </c>
      <c r="H4179" s="15" t="str">
        <f t="shared" si="1"/>
        <v>164413.00</v>
      </c>
      <c r="I4179" s="14" t="str">
        <f t="shared" si="2"/>
        <v>142520.00</v>
      </c>
      <c r="J4179" s="16" t="str">
        <f>TEXT(Raw_Data!J4179,"MMM-YYY")</f>
        <v>Feb-2025</v>
      </c>
      <c r="K4179" s="13" t="str">
        <f>Raw_Data!K4179</f>
        <v>14</v>
      </c>
      <c r="L4179" s="17" t="str">
        <f>Raw_Data!L4179</f>
        <v>Mumbai-HO</v>
      </c>
      <c r="M4179" s="13" t="str">
        <f t="shared" si="3"/>
        <v>OK</v>
      </c>
      <c r="N4179" s="18" t="str">
        <f t="shared" si="4"/>
        <v>VALID</v>
      </c>
    </row>
    <row r="4180" ht="15.75" customHeight="1">
      <c r="A4180" s="13" t="str">
        <f>Raw_Data!A4180</f>
        <v>EMP4411</v>
      </c>
      <c r="B4180" s="13" t="str">
        <f>TRIM(CLEAN(Raw_Data!B4180))</f>
        <v>Sales</v>
      </c>
      <c r="C4180" s="18" t="s">
        <v>54</v>
      </c>
      <c r="D4180" s="14" t="str">
        <f>IF(ISBLANK(Raw_Data!D4180),AVERAGE(Raw_Data!D$2:D$5002),Raw_Data!D4180)</f>
        <v>96042.06</v>
      </c>
      <c r="E4180" s="15" t="str">
        <f>IF(ISBLANK(Raw_Data!E4180),AVERAGE(Raw_Data!E$2:E$5002),Raw_Data!E4180)</f>
        <v>34346.15</v>
      </c>
      <c r="F4180" s="15" t="str">
        <f>IF(ISBLANK(Raw_Data!F4180),AVERAGE(Raw_Data!F$2:F$5002),Raw_Data!F4180)</f>
        <v>34047.75</v>
      </c>
      <c r="G4180" s="14" t="str">
        <f>IF(ISBLANK(Raw_Data!G4180),AVERAGE(Raw_Data!G$2:G$5002),Raw_Data!G4180)</f>
        <v>21896.37</v>
      </c>
      <c r="H4180" s="15" t="str">
        <f t="shared" si="1"/>
        <v>164436.00</v>
      </c>
      <c r="I4180" s="14" t="str">
        <f t="shared" si="2"/>
        <v>142540.00</v>
      </c>
      <c r="J4180" s="16" t="str">
        <f>TEXT(Raw_Data!J4180,"MMM-YYY")</f>
        <v>Nov-2025</v>
      </c>
      <c r="K4180" s="13" t="str">
        <f>Raw_Data!K4180</f>
        <v>15</v>
      </c>
      <c r="L4180" s="17" t="str">
        <f>Raw_Data!L4180</f>
        <v>Delhi-North</v>
      </c>
      <c r="M4180" s="13" t="str">
        <f t="shared" si="3"/>
        <v>OK</v>
      </c>
      <c r="N4180" s="18" t="str">
        <f t="shared" si="4"/>
        <v>VALID</v>
      </c>
    </row>
    <row r="4181" ht="15.75" customHeight="1">
      <c r="A4181" s="13" t="str">
        <f>Raw_Data!A4181</f>
        <v>EMP4412</v>
      </c>
      <c r="B4181" s="13" t="str">
        <f>TRIM(CLEAN(Raw_Data!B4181))</f>
        <v>Finance</v>
      </c>
      <c r="C4181" s="18" t="s">
        <v>37</v>
      </c>
      <c r="D4181" s="14" t="str">
        <f>IF(ISBLANK(Raw_Data!D4181),AVERAGE(Raw_Data!D$2:D$5002),Raw_Data!D4181)</f>
        <v>96052.94</v>
      </c>
      <c r="E4181" s="15" t="str">
        <f>IF(ISBLANK(Raw_Data!E4181),AVERAGE(Raw_Data!E$2:E$5002),Raw_Data!E4181)</f>
        <v>34350.76</v>
      </c>
      <c r="F4181" s="15" t="str">
        <f>IF(ISBLANK(Raw_Data!F4181),AVERAGE(Raw_Data!F$2:F$5002),Raw_Data!F4181)</f>
        <v>34055.43</v>
      </c>
      <c r="G4181" s="14" t="str">
        <f>IF(ISBLANK(Raw_Data!G4181),AVERAGE(Raw_Data!G$2:G$5002),Raw_Data!G4181)</f>
        <v>21899.77</v>
      </c>
      <c r="H4181" s="15" t="str">
        <f t="shared" si="1"/>
        <v>164459.00</v>
      </c>
      <c r="I4181" s="14" t="str">
        <f t="shared" si="2"/>
        <v>142559.00</v>
      </c>
      <c r="J4181" s="16" t="str">
        <f>TEXT(Raw_Data!J4181,"MMM-YYY")</f>
        <v>Jun-2025</v>
      </c>
      <c r="K4181" s="13" t="str">
        <f>Raw_Data!K4181</f>
        <v>11</v>
      </c>
      <c r="L4181" s="17" t="str">
        <f>Raw_Data!L4181</f>
        <v>Bangalore-South</v>
      </c>
      <c r="M4181" s="13" t="str">
        <f t="shared" si="3"/>
        <v>OK</v>
      </c>
      <c r="N4181" s="18" t="str">
        <f t="shared" si="4"/>
        <v>VALID</v>
      </c>
    </row>
    <row r="4182" ht="15.75" customHeight="1">
      <c r="A4182" s="13" t="str">
        <f>Raw_Data!A4182</f>
        <v>EMP4413</v>
      </c>
      <c r="B4182" s="13" t="str">
        <f>TRIM(CLEAN(Raw_Data!B4182))</f>
        <v>Marketing</v>
      </c>
      <c r="C4182" s="18" t="s">
        <v>33</v>
      </c>
      <c r="D4182" s="14" t="str">
        <f>IF(ISBLANK(Raw_Data!D4182),AVERAGE(Raw_Data!D$2:D$5002),Raw_Data!D4182)</f>
        <v>96063.83</v>
      </c>
      <c r="E4182" s="15" t="str">
        <f>IF(ISBLANK(Raw_Data!E4182),AVERAGE(Raw_Data!E$2:E$5002),Raw_Data!E4182)</f>
        <v>34355.38</v>
      </c>
      <c r="F4182" s="15" t="str">
        <f>IF(ISBLANK(Raw_Data!F4182),AVERAGE(Raw_Data!F$2:F$5002),Raw_Data!F4182)</f>
        <v>34063.11</v>
      </c>
      <c r="G4182" s="14" t="str">
        <f>IF(ISBLANK(Raw_Data!G4182),AVERAGE(Raw_Data!G$2:G$5002),Raw_Data!G4182)</f>
        <v>21903.17</v>
      </c>
      <c r="H4182" s="15" t="str">
        <f t="shared" si="1"/>
        <v>164482.00</v>
      </c>
      <c r="I4182" s="14" t="str">
        <f t="shared" si="2"/>
        <v>142579.00</v>
      </c>
      <c r="J4182" s="16" t="str">
        <f>TEXT(Raw_Data!J4182,"MMM-YYY")</f>
        <v>Mar-2025</v>
      </c>
      <c r="K4182" s="13" t="str">
        <f>Raw_Data!K4182</f>
        <v>18</v>
      </c>
      <c r="L4182" s="17" t="str">
        <f>Raw_Data!L4182</f>
        <v>Chennai-South</v>
      </c>
      <c r="M4182" s="13" t="str">
        <f t="shared" si="3"/>
        <v>OK</v>
      </c>
      <c r="N4182" s="18" t="str">
        <f t="shared" si="4"/>
        <v>VALID</v>
      </c>
    </row>
    <row r="4183" ht="15.75" customHeight="1">
      <c r="A4183" s="13" t="str">
        <f>Raw_Data!A4183</f>
        <v>EMP4414</v>
      </c>
      <c r="B4183" s="13" t="str">
        <f>TRIM(CLEAN(Raw_Data!B4183))</f>
        <v>Finance</v>
      </c>
      <c r="C4183" s="18" t="s">
        <v>33</v>
      </c>
      <c r="D4183" s="14" t="str">
        <f>IF(ISBLANK(Raw_Data!D4183),AVERAGE(Raw_Data!D$2:D$5002),Raw_Data!D4183)</f>
        <v>96074.71</v>
      </c>
      <c r="E4183" s="15" t="str">
        <f>IF(ISBLANK(Raw_Data!E4183),AVERAGE(Raw_Data!E$2:E$5002),Raw_Data!E4183)</f>
        <v>34359.99</v>
      </c>
      <c r="F4183" s="15" t="str">
        <f>IF(ISBLANK(Raw_Data!F4183),AVERAGE(Raw_Data!F$2:F$5002),Raw_Data!F4183)</f>
        <v>34070.79</v>
      </c>
      <c r="G4183" s="14" t="str">
        <f>IF(ISBLANK(Raw_Data!G4183),AVERAGE(Raw_Data!G$2:G$5002),Raw_Data!G4183)</f>
        <v>21906.57</v>
      </c>
      <c r="H4183" s="15" t="str">
        <f t="shared" si="1"/>
        <v>164505.00</v>
      </c>
      <c r="I4183" s="14" t="str">
        <f t="shared" si="2"/>
        <v>142598.00</v>
      </c>
      <c r="J4183" s="16" t="str">
        <f>TEXT(Raw_Data!J4183,"MMM-YYY")</f>
        <v>Jan-2025</v>
      </c>
      <c r="K4183" s="13" t="str">
        <f>Raw_Data!K4183</f>
        <v>16</v>
      </c>
      <c r="L4183" s="17" t="str">
        <f>Raw_Data!L4183</f>
        <v>Kolkata-East</v>
      </c>
      <c r="M4183" s="13" t="str">
        <f t="shared" si="3"/>
        <v>OK</v>
      </c>
      <c r="N4183" s="18" t="str">
        <f t="shared" si="4"/>
        <v>VALID</v>
      </c>
    </row>
    <row r="4184" ht="15.75" customHeight="1">
      <c r="A4184" s="13" t="str">
        <f>Raw_Data!A4184</f>
        <v>EMP4415</v>
      </c>
      <c r="B4184" s="13" t="str">
        <f>TRIM(CLEAN(Raw_Data!B4184))</f>
        <v>Sales</v>
      </c>
      <c r="C4184" s="18" t="s">
        <v>14</v>
      </c>
      <c r="D4184" s="14" t="str">
        <f>IF(ISBLANK(Raw_Data!D4184),AVERAGE(Raw_Data!D$2:D$5002),Raw_Data!D4184)</f>
        <v>96085.59</v>
      </c>
      <c r="E4184" s="15" t="str">
        <f>IF(ISBLANK(Raw_Data!E4184),AVERAGE(Raw_Data!E$2:E$5002),Raw_Data!E4184)</f>
        <v>34364.61</v>
      </c>
      <c r="F4184" s="15" t="str">
        <f>IF(ISBLANK(Raw_Data!F4184),AVERAGE(Raw_Data!F$2:F$5002),Raw_Data!F4184)</f>
        <v>34078.47</v>
      </c>
      <c r="G4184" s="14" t="str">
        <f>IF(ISBLANK(Raw_Data!G4184),AVERAGE(Raw_Data!G$2:G$5002),Raw_Data!G4184)</f>
        <v>21909.97</v>
      </c>
      <c r="H4184" s="15" t="str">
        <f t="shared" si="1"/>
        <v>164529.00</v>
      </c>
      <c r="I4184" s="14" t="str">
        <f t="shared" si="2"/>
        <v>142619.00</v>
      </c>
      <c r="J4184" s="16" t="str">
        <f>TEXT(Raw_Data!J4184,"MMM-YYY")</f>
        <v>May-2025</v>
      </c>
      <c r="K4184" s="13" t="str">
        <f>Raw_Data!K4184</f>
        <v>25</v>
      </c>
      <c r="L4184" s="17" t="str">
        <f>Raw_Data!L4184</f>
        <v>Pune-West</v>
      </c>
      <c r="M4184" s="13" t="str">
        <f t="shared" si="3"/>
        <v>OK</v>
      </c>
      <c r="N4184" s="18" t="str">
        <f t="shared" si="4"/>
        <v>VALID</v>
      </c>
    </row>
    <row r="4185" ht="15.75" customHeight="1">
      <c r="A4185" s="13" t="str">
        <f>Raw_Data!A4185</f>
        <v>EMP4416</v>
      </c>
      <c r="B4185" s="13" t="str">
        <f>TRIM(CLEAN(Raw_Data!B4185))</f>
        <v>Marketing</v>
      </c>
      <c r="C4185" s="18" t="s">
        <v>26</v>
      </c>
      <c r="D4185" s="14" t="str">
        <f>IF(ISBLANK(Raw_Data!D4185),AVERAGE(Raw_Data!D$2:D$5002),Raw_Data!D4185)</f>
        <v>96096.47</v>
      </c>
      <c r="E4185" s="15" t="str">
        <f>IF(ISBLANK(Raw_Data!E4185),AVERAGE(Raw_Data!E$2:E$5002),Raw_Data!E4185)</f>
        <v>34369.22</v>
      </c>
      <c r="F4185" s="15" t="str">
        <f>IF(ISBLANK(Raw_Data!F4185),AVERAGE(Raw_Data!F$2:F$5002),Raw_Data!F4185)</f>
        <v>34086.15</v>
      </c>
      <c r="G4185" s="14" t="str">
        <f>IF(ISBLANK(Raw_Data!G4185),AVERAGE(Raw_Data!G$2:G$5002),Raw_Data!G4185)</f>
        <v>21913.36</v>
      </c>
      <c r="H4185" s="15" t="str">
        <f t="shared" si="1"/>
        <v>164552.00</v>
      </c>
      <c r="I4185" s="14" t="str">
        <f t="shared" si="2"/>
        <v>142639.00</v>
      </c>
      <c r="J4185" s="16" t="str">
        <f>TEXT(Raw_Data!J4185,"MMM-YYY")</f>
        <v>Aug-2025</v>
      </c>
      <c r="K4185" s="13" t="str">
        <f>Raw_Data!K4185</f>
        <v>6</v>
      </c>
      <c r="L4185" s="17" t="str">
        <f>Raw_Data!L4185</f>
        <v>Hyderabad-South</v>
      </c>
      <c r="M4185" s="13" t="str">
        <f t="shared" si="3"/>
        <v>OK</v>
      </c>
      <c r="N4185" s="18" t="str">
        <f t="shared" si="4"/>
        <v>VALID</v>
      </c>
    </row>
    <row r="4186" ht="15.75" customHeight="1">
      <c r="A4186" s="13" t="str">
        <f>Raw_Data!A4186</f>
        <v>EMP4417</v>
      </c>
      <c r="B4186" s="13" t="str">
        <f>TRIM(CLEAN(Raw_Data!B4186))</f>
        <v>Operations</v>
      </c>
      <c r="C4186" s="18" t="s">
        <v>18</v>
      </c>
      <c r="D4186" s="14" t="str">
        <f>IF(ISBLANK(Raw_Data!D4186),AVERAGE(Raw_Data!D$2:D$5002),Raw_Data!D4186)</f>
        <v>96107.36</v>
      </c>
      <c r="E4186" s="15" t="str">
        <f>IF(ISBLANK(Raw_Data!E4186),AVERAGE(Raw_Data!E$2:E$5002),Raw_Data!E4186)</f>
        <v>34373.84</v>
      </c>
      <c r="F4186" s="15" t="str">
        <f>IF(ISBLANK(Raw_Data!F4186),AVERAGE(Raw_Data!F$2:F$5002),Raw_Data!F4186)</f>
        <v>34093.83</v>
      </c>
      <c r="G4186" s="14" t="str">
        <f>IF(ISBLANK(Raw_Data!G4186),AVERAGE(Raw_Data!G$2:G$5002),Raw_Data!G4186)</f>
        <v>21916.76</v>
      </c>
      <c r="H4186" s="15" t="str">
        <f t="shared" si="1"/>
        <v>164575.00</v>
      </c>
      <c r="I4186" s="14" t="str">
        <f t="shared" si="2"/>
        <v>142658.00</v>
      </c>
      <c r="J4186" s="16" t="str">
        <f>TEXT(Raw_Data!J4186,"MMM-YYY")</f>
        <v>Nov-2025</v>
      </c>
      <c r="K4186" s="13" t="str">
        <f>Raw_Data!K4186</f>
        <v>25</v>
      </c>
      <c r="L4186" s="17" t="str">
        <f>Raw_Data!L4186</f>
        <v>Chandigarh-North</v>
      </c>
      <c r="M4186" s="13" t="str">
        <f t="shared" si="3"/>
        <v>OK</v>
      </c>
      <c r="N4186" s="18" t="str">
        <f t="shared" si="4"/>
        <v>VALID</v>
      </c>
    </row>
    <row r="4187" ht="15.75" customHeight="1">
      <c r="A4187" s="13" t="str">
        <f>Raw_Data!A4187</f>
        <v>EMP4418</v>
      </c>
      <c r="B4187" s="13" t="str">
        <f>TRIM(CLEAN(Raw_Data!B4187))</f>
        <v>IT</v>
      </c>
      <c r="C4187" s="18" t="s">
        <v>18</v>
      </c>
      <c r="D4187" s="14" t="str">
        <f>IF(ISBLANK(Raw_Data!D4187),AVERAGE(Raw_Data!D$2:D$5002),Raw_Data!D4187)</f>
        <v>96118.24</v>
      </c>
      <c r="E4187" s="15" t="str">
        <f>IF(ISBLANK(Raw_Data!E4187),AVERAGE(Raw_Data!E$2:E$5002),Raw_Data!E4187)</f>
        <v>34378.45</v>
      </c>
      <c r="F4187" s="15" t="str">
        <f>IF(ISBLANK(Raw_Data!F4187),AVERAGE(Raw_Data!F$2:F$5002),Raw_Data!F4187)</f>
        <v>34101.51</v>
      </c>
      <c r="G4187" s="14" t="str">
        <f>IF(ISBLANK(Raw_Data!G4187),AVERAGE(Raw_Data!G$2:G$5002),Raw_Data!G4187)</f>
        <v>21920.16</v>
      </c>
      <c r="H4187" s="15" t="str">
        <f t="shared" si="1"/>
        <v>164598.00</v>
      </c>
      <c r="I4187" s="14" t="str">
        <f t="shared" si="2"/>
        <v>142678.00</v>
      </c>
      <c r="J4187" s="16" t="str">
        <f>TEXT(Raw_Data!J4187,"MMM-YYY")</f>
        <v>Sep-2025</v>
      </c>
      <c r="K4187" s="13" t="str">
        <f>Raw_Data!K4187</f>
        <v>5</v>
      </c>
      <c r="L4187" s="17" t="str">
        <f>Raw_Data!L4187</f>
        <v>Ahmedabad-West</v>
      </c>
      <c r="M4187" s="13" t="str">
        <f t="shared" si="3"/>
        <v>OK</v>
      </c>
      <c r="N4187" s="18" t="str">
        <f t="shared" si="4"/>
        <v>VALID</v>
      </c>
    </row>
    <row r="4188" ht="15.75" customHeight="1">
      <c r="A4188" s="13" t="str">
        <f>Raw_Data!A4188</f>
        <v>EMP4420</v>
      </c>
      <c r="B4188" s="13" t="str">
        <f>TRIM(CLEAN(Raw_Data!B4188))</f>
        <v>Marketing</v>
      </c>
      <c r="C4188" s="18" t="s">
        <v>26</v>
      </c>
      <c r="D4188" s="14" t="str">
        <f>IF(ISBLANK(Raw_Data!D4188),AVERAGE(Raw_Data!D$2:D$5002),Raw_Data!D4188)</f>
        <v>96140.01</v>
      </c>
      <c r="E4188" s="15" t="str">
        <f>IF(ISBLANK(Raw_Data!E4188),AVERAGE(Raw_Data!E$2:E$5002),Raw_Data!E4188)</f>
        <v>34387.68</v>
      </c>
      <c r="F4188" s="15" t="str">
        <f>IF(ISBLANK(Raw_Data!F4188),AVERAGE(Raw_Data!F$2:F$5002),Raw_Data!F4188)</f>
        <v>34116.87</v>
      </c>
      <c r="G4188" s="14" t="str">
        <f>IF(ISBLANK(Raw_Data!G4188),AVERAGE(Raw_Data!G$2:G$5002),Raw_Data!G4188)</f>
        <v>21926.95</v>
      </c>
      <c r="H4188" s="15" t="str">
        <f t="shared" si="1"/>
        <v>164645.00</v>
      </c>
      <c r="I4188" s="14" t="str">
        <f t="shared" si="2"/>
        <v>142718.00</v>
      </c>
      <c r="J4188" s="16" t="str">
        <f>TEXT(Raw_Data!J4188,"MMM-YYY")</f>
        <v>Oct-2025</v>
      </c>
      <c r="K4188" s="13" t="str">
        <f>Raw_Data!K4188</f>
        <v>5</v>
      </c>
      <c r="L4188" s="17" t="str">
        <f>Raw_Data!L4188</f>
        <v>Mumbai-HO</v>
      </c>
      <c r="M4188" s="13" t="str">
        <f t="shared" si="3"/>
        <v>OK</v>
      </c>
      <c r="N4188" s="18" t="str">
        <f t="shared" si="4"/>
        <v>VALID</v>
      </c>
    </row>
    <row r="4189" ht="15.75" customHeight="1">
      <c r="A4189" s="13" t="str">
        <f>Raw_Data!A4189</f>
        <v>EMP4421</v>
      </c>
      <c r="B4189" s="13" t="str">
        <f>TRIM(CLEAN(Raw_Data!B4189))</f>
        <v>Operations</v>
      </c>
      <c r="C4189" s="18" t="s">
        <v>54</v>
      </c>
      <c r="D4189" s="14" t="str">
        <f>IF(ISBLANK(Raw_Data!D4189),AVERAGE(Raw_Data!D$2:D$5002),Raw_Data!D4189)</f>
        <v>96150.89</v>
      </c>
      <c r="E4189" s="15" t="str">
        <f>IF(ISBLANK(Raw_Data!E4189),AVERAGE(Raw_Data!E$2:E$5002),Raw_Data!E4189)</f>
        <v>34392.29</v>
      </c>
      <c r="F4189" s="15" t="str">
        <f>IF(ISBLANK(Raw_Data!F4189),AVERAGE(Raw_Data!F$2:F$5002),Raw_Data!F4189)</f>
        <v>34124.55</v>
      </c>
      <c r="G4189" s="14" t="str">
        <f>IF(ISBLANK(Raw_Data!G4189),AVERAGE(Raw_Data!G$2:G$5002),Raw_Data!G4189)</f>
        <v>21930.35</v>
      </c>
      <c r="H4189" s="15" t="str">
        <f t="shared" si="1"/>
        <v>164668.00</v>
      </c>
      <c r="I4189" s="14" t="str">
        <f t="shared" si="2"/>
        <v>142738.00</v>
      </c>
      <c r="J4189" s="16" t="str">
        <f>TEXT(Raw_Data!J4189,"MMM-YYY")</f>
        <v>Aug-2025</v>
      </c>
      <c r="K4189" s="13" t="str">
        <f>Raw_Data!K4189</f>
        <v>14</v>
      </c>
      <c r="L4189" s="17" t="str">
        <f>Raw_Data!L4189</f>
        <v>Delhi-North</v>
      </c>
      <c r="M4189" s="13" t="str">
        <f t="shared" si="3"/>
        <v>OK</v>
      </c>
      <c r="N4189" s="18" t="str">
        <f t="shared" si="4"/>
        <v>VALID</v>
      </c>
    </row>
    <row r="4190" ht="15.75" customHeight="1">
      <c r="A4190" s="13" t="str">
        <f>Raw_Data!A4190</f>
        <v>EMP4422</v>
      </c>
      <c r="B4190" s="13" t="str">
        <f>TRIM(CLEAN(Raw_Data!B4190))</f>
        <v>Finance</v>
      </c>
      <c r="C4190" s="18" t="s">
        <v>18</v>
      </c>
      <c r="D4190" s="14" t="str">
        <f>IF(ISBLANK(Raw_Data!D4190),AVERAGE(Raw_Data!D$2:D$5002),Raw_Data!D4190)</f>
        <v>96161.77</v>
      </c>
      <c r="E4190" s="15" t="str">
        <f>IF(ISBLANK(Raw_Data!E4190),AVERAGE(Raw_Data!E$2:E$5002),Raw_Data!E4190)</f>
        <v>34396.91</v>
      </c>
      <c r="F4190" s="15" t="str">
        <f>IF(ISBLANK(Raw_Data!F4190),AVERAGE(Raw_Data!F$2:F$5002),Raw_Data!F4190)</f>
        <v>34132.23</v>
      </c>
      <c r="G4190" s="14" t="str">
        <f>IF(ISBLANK(Raw_Data!G4190),AVERAGE(Raw_Data!G$2:G$5002),Raw_Data!G4190)</f>
        <v>21933.75</v>
      </c>
      <c r="H4190" s="15" t="str">
        <f t="shared" si="1"/>
        <v>164691.00</v>
      </c>
      <c r="I4190" s="14" t="str">
        <f t="shared" si="2"/>
        <v>142757.00</v>
      </c>
      <c r="J4190" s="16" t="str">
        <f>TEXT(Raw_Data!J4190,"MMM-YYY")</f>
        <v>Oct-2025</v>
      </c>
      <c r="K4190" s="13" t="str">
        <f>Raw_Data!K4190</f>
        <v>25</v>
      </c>
      <c r="L4190" s="17" t="str">
        <f>Raw_Data!L4190</f>
        <v>Bangalore-South</v>
      </c>
      <c r="M4190" s="13" t="str">
        <f t="shared" si="3"/>
        <v>OK</v>
      </c>
      <c r="N4190" s="18" t="str">
        <f t="shared" si="4"/>
        <v>VALID</v>
      </c>
    </row>
    <row r="4191" ht="15.75" customHeight="1">
      <c r="A4191" s="13" t="str">
        <f>Raw_Data!A4191</f>
        <v>EMP4423</v>
      </c>
      <c r="B4191" s="13" t="str">
        <f>TRIM(CLEAN(Raw_Data!B4191))</f>
        <v>Customer Support</v>
      </c>
      <c r="C4191" s="18" t="s">
        <v>14</v>
      </c>
      <c r="D4191" s="14" t="str">
        <f>IF(ISBLANK(Raw_Data!D4191),AVERAGE(Raw_Data!D$2:D$5002),Raw_Data!D4191)</f>
        <v>96172.66</v>
      </c>
      <c r="E4191" s="15" t="str">
        <f>IF(ISBLANK(Raw_Data!E4191),AVERAGE(Raw_Data!E$2:E$5002),Raw_Data!E4191)</f>
        <v>34401.52</v>
      </c>
      <c r="F4191" s="15" t="str">
        <f>IF(ISBLANK(Raw_Data!F4191),AVERAGE(Raw_Data!F$2:F$5002),Raw_Data!F4191)</f>
        <v>34139.91</v>
      </c>
      <c r="G4191" s="14" t="str">
        <f>IF(ISBLANK(Raw_Data!G4191),AVERAGE(Raw_Data!G$2:G$5002),Raw_Data!G4191)</f>
        <v>21937.15</v>
      </c>
      <c r="H4191" s="15" t="str">
        <f t="shared" si="1"/>
        <v>164714.00</v>
      </c>
      <c r="I4191" s="14" t="str">
        <f t="shared" si="2"/>
        <v>142777.00</v>
      </c>
      <c r="J4191" s="16" t="str">
        <f>TEXT(Raw_Data!J4191,"MMM-YYY")</f>
        <v>Jul-2025</v>
      </c>
      <c r="K4191" s="13" t="str">
        <f>Raw_Data!K4191</f>
        <v>13</v>
      </c>
      <c r="L4191" s="17" t="str">
        <f>Raw_Data!L4191</f>
        <v>Chennai-South</v>
      </c>
      <c r="M4191" s="13" t="str">
        <f t="shared" si="3"/>
        <v>OK</v>
      </c>
      <c r="N4191" s="18" t="str">
        <f t="shared" si="4"/>
        <v>VALID</v>
      </c>
    </row>
    <row r="4192" ht="15.75" customHeight="1">
      <c r="A4192" s="13" t="str">
        <f>Raw_Data!A4192</f>
        <v>EMP4424</v>
      </c>
      <c r="B4192" s="13" t="str">
        <f>TRIM(CLEAN(Raw_Data!B4192))</f>
        <v>Finance</v>
      </c>
      <c r="C4192" s="18" t="s">
        <v>14</v>
      </c>
      <c r="D4192" s="14" t="str">
        <f>IF(ISBLANK(Raw_Data!D4192),AVERAGE(Raw_Data!D$2:D$5002),Raw_Data!D4192)</f>
        <v>96183.54</v>
      </c>
      <c r="E4192" s="15" t="str">
        <f>IF(ISBLANK(Raw_Data!E4192),AVERAGE(Raw_Data!E$2:E$5002),Raw_Data!E4192)</f>
        <v>34406.14</v>
      </c>
      <c r="F4192" s="15" t="str">
        <f>IF(ISBLANK(Raw_Data!F4192),AVERAGE(Raw_Data!F$2:F$5002),Raw_Data!F4192)</f>
        <v>34147.59</v>
      </c>
      <c r="G4192" s="14" t="str">
        <f>IF(ISBLANK(Raw_Data!G4192),AVERAGE(Raw_Data!G$2:G$5002),Raw_Data!G4192)</f>
        <v>21940.54</v>
      </c>
      <c r="H4192" s="15" t="str">
        <f t="shared" si="1"/>
        <v>164737.00</v>
      </c>
      <c r="I4192" s="14" t="str">
        <f t="shared" si="2"/>
        <v>142796.00</v>
      </c>
      <c r="J4192" s="16" t="str">
        <f>TEXT(Raw_Data!J4192,"MMM-YYY")</f>
        <v>Oct-2025</v>
      </c>
      <c r="K4192" s="13" t="str">
        <f>Raw_Data!K4192</f>
        <v>2</v>
      </c>
      <c r="L4192" s="17" t="str">
        <f>Raw_Data!L4192</f>
        <v>Kolkata-East</v>
      </c>
      <c r="M4192" s="13" t="str">
        <f t="shared" si="3"/>
        <v>OK</v>
      </c>
      <c r="N4192" s="18" t="str">
        <f t="shared" si="4"/>
        <v>VALID</v>
      </c>
    </row>
    <row r="4193" ht="15.75" customHeight="1">
      <c r="A4193" s="13" t="str">
        <f>Raw_Data!A4193</f>
        <v>EMP4425</v>
      </c>
      <c r="B4193" s="13" t="str">
        <f>TRIM(CLEAN(Raw_Data!B4193))</f>
        <v>Sales</v>
      </c>
      <c r="C4193" s="18" t="s">
        <v>18</v>
      </c>
      <c r="D4193" s="14" t="str">
        <f>IF(ISBLANK(Raw_Data!D4193),AVERAGE(Raw_Data!D$2:D$5002),Raw_Data!D4193)</f>
        <v>96194.42</v>
      </c>
      <c r="E4193" s="15" t="str">
        <f>IF(ISBLANK(Raw_Data!E4193),AVERAGE(Raw_Data!E$2:E$5002),Raw_Data!E4193)</f>
        <v>34410.75</v>
      </c>
      <c r="F4193" s="15" t="str">
        <f>IF(ISBLANK(Raw_Data!F4193),AVERAGE(Raw_Data!F$2:F$5002),Raw_Data!F4193)</f>
        <v>34155.27</v>
      </c>
      <c r="G4193" s="14" t="str">
        <f>IF(ISBLANK(Raw_Data!G4193),AVERAGE(Raw_Data!G$2:G$5002),Raw_Data!G4193)</f>
        <v>21943.94</v>
      </c>
      <c r="H4193" s="15" t="str">
        <f t="shared" si="1"/>
        <v>164760.00</v>
      </c>
      <c r="I4193" s="14" t="str">
        <f t="shared" si="2"/>
        <v>142816.00</v>
      </c>
      <c r="J4193" s="16" t="str">
        <f>TEXT(Raw_Data!J4193,"MMM-YYY")</f>
        <v>Oct-2025</v>
      </c>
      <c r="K4193" s="13" t="str">
        <f>Raw_Data!K4193</f>
        <v>9</v>
      </c>
      <c r="L4193" s="17" t="str">
        <f>Raw_Data!L4193</f>
        <v>Pune-West</v>
      </c>
      <c r="M4193" s="13" t="str">
        <f t="shared" si="3"/>
        <v>OK</v>
      </c>
      <c r="N4193" s="18" t="str">
        <f t="shared" si="4"/>
        <v>VALID</v>
      </c>
    </row>
    <row r="4194" ht="15.75" customHeight="1">
      <c r="A4194" s="13" t="str">
        <f>Raw_Data!A4194</f>
        <v>EMP4426</v>
      </c>
      <c r="B4194" s="13" t="str">
        <f>TRIM(CLEAN(Raw_Data!B4194))</f>
        <v>Sales</v>
      </c>
      <c r="C4194" s="18" t="s">
        <v>54</v>
      </c>
      <c r="D4194" s="14" t="str">
        <f>IF(ISBLANK(Raw_Data!D4194),AVERAGE(Raw_Data!D$2:D$5002),Raw_Data!D4194)</f>
        <v>96205.30</v>
      </c>
      <c r="E4194" s="15" t="str">
        <f>IF(ISBLANK(Raw_Data!E4194),AVERAGE(Raw_Data!E$2:E$5002),Raw_Data!E4194)</f>
        <v>34415.37</v>
      </c>
      <c r="F4194" s="15" t="str">
        <f>IF(ISBLANK(Raw_Data!F4194),AVERAGE(Raw_Data!F$2:F$5002),Raw_Data!F4194)</f>
        <v>34162.95</v>
      </c>
      <c r="G4194" s="14" t="str">
        <f>IF(ISBLANK(Raw_Data!G4194),AVERAGE(Raw_Data!G$2:G$5002),Raw_Data!G4194)</f>
        <v>21947.34</v>
      </c>
      <c r="H4194" s="15" t="str">
        <f t="shared" si="1"/>
        <v>164784.00</v>
      </c>
      <c r="I4194" s="14" t="str">
        <f t="shared" si="2"/>
        <v>142837.00</v>
      </c>
      <c r="J4194" s="16" t="str">
        <f>TEXT(Raw_Data!J4194,"MMM-YYY")</f>
        <v>Jun-2025</v>
      </c>
      <c r="K4194" s="13" t="str">
        <f>Raw_Data!K4194</f>
        <v>5</v>
      </c>
      <c r="L4194" s="17" t="str">
        <f>Raw_Data!L4194</f>
        <v>Hyderabad-South</v>
      </c>
      <c r="M4194" s="13" t="str">
        <f t="shared" si="3"/>
        <v>OK</v>
      </c>
      <c r="N4194" s="18" t="str">
        <f t="shared" si="4"/>
        <v>VALID</v>
      </c>
    </row>
    <row r="4195" ht="15.75" customHeight="1">
      <c r="A4195" s="13" t="str">
        <f>Raw_Data!A4195</f>
        <v>EMP4427</v>
      </c>
      <c r="B4195" s="13" t="str">
        <f>TRIM(CLEAN(Raw_Data!B4195))</f>
        <v>IT</v>
      </c>
      <c r="C4195" s="18" t="s">
        <v>37</v>
      </c>
      <c r="D4195" s="14" t="str">
        <f>IF(ISBLANK(Raw_Data!D4195),AVERAGE(Raw_Data!D$2:D$5002),Raw_Data!D4195)</f>
        <v>96216.19</v>
      </c>
      <c r="E4195" s="15" t="str">
        <f>IF(ISBLANK(Raw_Data!E4195),AVERAGE(Raw_Data!E$2:E$5002),Raw_Data!E4195)</f>
        <v>34419.98</v>
      </c>
      <c r="F4195" s="15" t="str">
        <f>IF(ISBLANK(Raw_Data!F4195),AVERAGE(Raw_Data!F$2:F$5002),Raw_Data!F4195)</f>
        <v>34170.63</v>
      </c>
      <c r="G4195" s="14" t="str">
        <f>IF(ISBLANK(Raw_Data!G4195),AVERAGE(Raw_Data!G$2:G$5002),Raw_Data!G4195)</f>
        <v>21950.74</v>
      </c>
      <c r="H4195" s="15" t="str">
        <f t="shared" si="1"/>
        <v>164807.00</v>
      </c>
      <c r="I4195" s="14" t="str">
        <f t="shared" si="2"/>
        <v>142856.00</v>
      </c>
      <c r="J4195" s="16" t="str">
        <f>TEXT(Raw_Data!J4195,"MMM-YYY")</f>
        <v>Apr-2025</v>
      </c>
      <c r="K4195" s="13" t="str">
        <f>Raw_Data!K4195</f>
        <v>19</v>
      </c>
      <c r="L4195" s="17" t="str">
        <f>Raw_Data!L4195</f>
        <v>Chandigarh-North</v>
      </c>
      <c r="M4195" s="13" t="str">
        <f t="shared" si="3"/>
        <v>OK</v>
      </c>
      <c r="N4195" s="18" t="str">
        <f t="shared" si="4"/>
        <v>VALID</v>
      </c>
    </row>
    <row r="4196" ht="15.75" customHeight="1">
      <c r="A4196" s="13" t="str">
        <f>Raw_Data!A4196</f>
        <v>EMP4428</v>
      </c>
      <c r="B4196" s="13" t="str">
        <f>TRIM(CLEAN(Raw_Data!B4196))</f>
        <v>Sales</v>
      </c>
      <c r="C4196" s="18" t="s">
        <v>18</v>
      </c>
      <c r="D4196" s="14" t="str">
        <f>IF(ISBLANK(Raw_Data!D4196),AVERAGE(Raw_Data!D$2:D$5002),Raw_Data!D4196)</f>
        <v>96227.07</v>
      </c>
      <c r="E4196" s="15" t="str">
        <f>IF(ISBLANK(Raw_Data!E4196),AVERAGE(Raw_Data!E$2:E$5002),Raw_Data!E4196)</f>
        <v>34424.60</v>
      </c>
      <c r="F4196" s="15" t="str">
        <f>IF(ISBLANK(Raw_Data!F4196),AVERAGE(Raw_Data!F$2:F$5002),Raw_Data!F4196)</f>
        <v>34178.31</v>
      </c>
      <c r="G4196" s="14" t="str">
        <f>IF(ISBLANK(Raw_Data!G4196),AVERAGE(Raw_Data!G$2:G$5002),Raw_Data!G4196)</f>
        <v>21954.13</v>
      </c>
      <c r="H4196" s="15" t="str">
        <f t="shared" si="1"/>
        <v>164830.00</v>
      </c>
      <c r="I4196" s="14" t="str">
        <f t="shared" si="2"/>
        <v>142876.00</v>
      </c>
      <c r="J4196" s="16" t="str">
        <f>TEXT(Raw_Data!J4196,"MMM-YYY")</f>
        <v>Aug-2025</v>
      </c>
      <c r="K4196" s="13" t="str">
        <f>Raw_Data!K4196</f>
        <v>12</v>
      </c>
      <c r="L4196" s="17" t="str">
        <f>Raw_Data!L4196</f>
        <v>Ahmedabad-West</v>
      </c>
      <c r="M4196" s="13" t="str">
        <f t="shared" si="3"/>
        <v>OK</v>
      </c>
      <c r="N4196" s="18" t="str">
        <f t="shared" si="4"/>
        <v>VALID</v>
      </c>
    </row>
    <row r="4197" ht="15.75" customHeight="1">
      <c r="A4197" s="13" t="str">
        <f>Raw_Data!A4197</f>
        <v>EMP4429</v>
      </c>
      <c r="B4197" s="13" t="str">
        <f>TRIM(CLEAN(Raw_Data!B4197))</f>
        <v>Operations</v>
      </c>
      <c r="C4197" s="18" t="s">
        <v>54</v>
      </c>
      <c r="D4197" s="14" t="str">
        <f>IF(ISBLANK(Raw_Data!D4197),AVERAGE(Raw_Data!D$2:D$5002),Raw_Data!D4197)</f>
        <v>96237.95</v>
      </c>
      <c r="E4197" s="15" t="str">
        <f>IF(ISBLANK(Raw_Data!E4197),AVERAGE(Raw_Data!E$2:E$5002),Raw_Data!E4197)</f>
        <v>34429.21</v>
      </c>
      <c r="F4197" s="15" t="str">
        <f>IF(ISBLANK(Raw_Data!F4197),AVERAGE(Raw_Data!F$2:F$5002),Raw_Data!F4197)</f>
        <v>34185.99</v>
      </c>
      <c r="G4197" s="14" t="str">
        <f>IF(ISBLANK(Raw_Data!G4197),AVERAGE(Raw_Data!G$2:G$5002),Raw_Data!G4197)</f>
        <v>21957.53</v>
      </c>
      <c r="H4197" s="15" t="str">
        <f t="shared" si="1"/>
        <v>164853.00</v>
      </c>
      <c r="I4197" s="14" t="str">
        <f t="shared" si="2"/>
        <v>142895.00</v>
      </c>
      <c r="J4197" s="16" t="str">
        <f>TEXT(Raw_Data!J4197,"MMM-YYY")</f>
        <v>Sep-2025</v>
      </c>
      <c r="K4197" s="13" t="str">
        <f>Raw_Data!K4197</f>
        <v>20</v>
      </c>
      <c r="L4197" s="17" t="str">
        <f>Raw_Data!L4197</f>
        <v>Jaipur-North</v>
      </c>
      <c r="M4197" s="13" t="str">
        <f t="shared" si="3"/>
        <v>OK</v>
      </c>
      <c r="N4197" s="18" t="str">
        <f t="shared" si="4"/>
        <v>VALID</v>
      </c>
    </row>
    <row r="4198" ht="15.75" customHeight="1">
      <c r="A4198" s="13" t="str">
        <f>Raw_Data!A4198</f>
        <v>EMP4430</v>
      </c>
      <c r="B4198" s="13" t="str">
        <f>TRIM(CLEAN(Raw_Data!B4198))</f>
        <v>HR</v>
      </c>
      <c r="C4198" s="18" t="s">
        <v>33</v>
      </c>
      <c r="D4198" s="14" t="str">
        <f>IF(ISBLANK(Raw_Data!D4198),AVERAGE(Raw_Data!D$2:D$5002),Raw_Data!D4198)</f>
        <v>96248.84</v>
      </c>
      <c r="E4198" s="15" t="str">
        <f>IF(ISBLANK(Raw_Data!E4198),AVERAGE(Raw_Data!E$2:E$5002),Raw_Data!E4198)</f>
        <v>34433.83</v>
      </c>
      <c r="F4198" s="15" t="str">
        <f>IF(ISBLANK(Raw_Data!F4198),AVERAGE(Raw_Data!F$2:F$5002),Raw_Data!F4198)</f>
        <v>34193.67</v>
      </c>
      <c r="G4198" s="14" t="str">
        <f>IF(ISBLANK(Raw_Data!G4198),AVERAGE(Raw_Data!G$2:G$5002),Raw_Data!G4198)</f>
        <v>21960.93</v>
      </c>
      <c r="H4198" s="15" t="str">
        <f t="shared" si="1"/>
        <v>164876.00</v>
      </c>
      <c r="I4198" s="14" t="str">
        <f t="shared" si="2"/>
        <v>142915.00</v>
      </c>
      <c r="J4198" s="16" t="str">
        <f>TEXT(Raw_Data!J4198,"MMM-YYY")</f>
        <v>Oct-2025</v>
      </c>
      <c r="K4198" s="13" t="str">
        <f>Raw_Data!K4198</f>
        <v>4</v>
      </c>
      <c r="L4198" s="17" t="str">
        <f>Raw_Data!L4198</f>
        <v>Mumbai-HO</v>
      </c>
      <c r="M4198" s="13" t="str">
        <f t="shared" si="3"/>
        <v>OK</v>
      </c>
      <c r="N4198" s="18" t="str">
        <f t="shared" si="4"/>
        <v>VALID</v>
      </c>
    </row>
    <row r="4199" ht="15.75" customHeight="1">
      <c r="A4199" s="13" t="str">
        <f>Raw_Data!A4199</f>
        <v>EMP4431</v>
      </c>
      <c r="B4199" s="13" t="str">
        <f>TRIM(CLEAN(Raw_Data!B4199))</f>
        <v>HR</v>
      </c>
      <c r="C4199" s="18" t="s">
        <v>30</v>
      </c>
      <c r="D4199" s="14" t="str">
        <f>IF(ISBLANK(Raw_Data!D4199),AVERAGE(Raw_Data!D$2:D$5002),Raw_Data!D4199)</f>
        <v>96259.72</v>
      </c>
      <c r="E4199" s="15" t="str">
        <f>IF(ISBLANK(Raw_Data!E4199),AVERAGE(Raw_Data!E$2:E$5002),Raw_Data!E4199)</f>
        <v>34438.44</v>
      </c>
      <c r="F4199" s="15" t="str">
        <f>IF(ISBLANK(Raw_Data!F4199),AVERAGE(Raw_Data!F$2:F$5002),Raw_Data!F4199)</f>
        <v>34201.35</v>
      </c>
      <c r="G4199" s="14" t="str">
        <f>IF(ISBLANK(Raw_Data!G4199),AVERAGE(Raw_Data!G$2:G$5002),Raw_Data!G4199)</f>
        <v>21964.33</v>
      </c>
      <c r="H4199" s="15" t="str">
        <f t="shared" si="1"/>
        <v>164900.00</v>
      </c>
      <c r="I4199" s="14" t="str">
        <f t="shared" si="2"/>
        <v>142936.00</v>
      </c>
      <c r="J4199" s="16" t="str">
        <f>TEXT(Raw_Data!J4199,"MMM-YYY")</f>
        <v>Feb-2025</v>
      </c>
      <c r="K4199" s="13" t="str">
        <f>Raw_Data!K4199</f>
        <v>18</v>
      </c>
      <c r="L4199" s="17" t="str">
        <f>Raw_Data!L4199</f>
        <v>Delhi-North</v>
      </c>
      <c r="M4199" s="13" t="str">
        <f t="shared" si="3"/>
        <v>OK</v>
      </c>
      <c r="N4199" s="18" t="str">
        <f t="shared" si="4"/>
        <v>VALID</v>
      </c>
    </row>
    <row r="4200" ht="15.75" customHeight="1">
      <c r="A4200" s="13" t="str">
        <f>Raw_Data!A4200</f>
        <v>EMP4432</v>
      </c>
      <c r="B4200" s="13" t="str">
        <f>TRIM(CLEAN(Raw_Data!B4200))</f>
        <v>Marketing</v>
      </c>
      <c r="C4200" s="18" t="s">
        <v>26</v>
      </c>
      <c r="D4200" s="14" t="str">
        <f>IF(ISBLANK(Raw_Data!D4200),AVERAGE(Raw_Data!D$2:D$5002),Raw_Data!D4200)</f>
        <v>96270.60</v>
      </c>
      <c r="E4200" s="15" t="str">
        <f>IF(ISBLANK(Raw_Data!E4200),AVERAGE(Raw_Data!E$2:E$5002),Raw_Data!E4200)</f>
        <v>34443.06</v>
      </c>
      <c r="F4200" s="15" t="str">
        <f>IF(ISBLANK(Raw_Data!F4200),AVERAGE(Raw_Data!F$2:F$5002),Raw_Data!F4200)</f>
        <v>34209.03</v>
      </c>
      <c r="G4200" s="14" t="str">
        <f>IF(ISBLANK(Raw_Data!G4200),AVERAGE(Raw_Data!G$2:G$5002),Raw_Data!G4200)</f>
        <v>21967.72</v>
      </c>
      <c r="H4200" s="15" t="str">
        <f t="shared" si="1"/>
        <v>164923.00</v>
      </c>
      <c r="I4200" s="14" t="str">
        <f t="shared" si="2"/>
        <v>142955.00</v>
      </c>
      <c r="J4200" s="16" t="str">
        <f>TEXT(Raw_Data!J4200,"MMM-YYY")</f>
        <v>Jun-2025</v>
      </c>
      <c r="K4200" s="13" t="str">
        <f>Raw_Data!K4200</f>
        <v>4</v>
      </c>
      <c r="L4200" s="17" t="str">
        <f>Raw_Data!L4200</f>
        <v>Bangalore-South</v>
      </c>
      <c r="M4200" s="13" t="str">
        <f t="shared" si="3"/>
        <v>OK</v>
      </c>
      <c r="N4200" s="18" t="str">
        <f t="shared" si="4"/>
        <v>VALID</v>
      </c>
    </row>
    <row r="4201" ht="15.75" customHeight="1">
      <c r="A4201" s="13" t="str">
        <f>Raw_Data!A4201</f>
        <v>EMP4435</v>
      </c>
      <c r="B4201" s="13" t="str">
        <f>TRIM(CLEAN(Raw_Data!B4201))</f>
        <v>Operations</v>
      </c>
      <c r="C4201" s="18" t="s">
        <v>54</v>
      </c>
      <c r="D4201" s="14" t="str">
        <f>IF(ISBLANK(Raw_Data!D4201),AVERAGE(Raw_Data!D$2:D$5002),Raw_Data!D4201)</f>
        <v>71831.17</v>
      </c>
      <c r="E4201" s="15" t="str">
        <f>IF(ISBLANK(Raw_Data!E4201),AVERAGE(Raw_Data!E$2:E$5002),Raw_Data!E4201)</f>
        <v>34456.90</v>
      </c>
      <c r="F4201" s="15" t="str">
        <f>IF(ISBLANK(Raw_Data!F4201),AVERAGE(Raw_Data!F$2:F$5002),Raw_Data!F4201)</f>
        <v>34232.07</v>
      </c>
      <c r="G4201" s="14" t="str">
        <f>IF(ISBLANK(Raw_Data!G4201),AVERAGE(Raw_Data!G$2:G$5002),Raw_Data!G4201)</f>
        <v>21977.92</v>
      </c>
      <c r="H4201" s="15" t="str">
        <f t="shared" si="1"/>
        <v>140520.00</v>
      </c>
      <c r="I4201" s="14" t="str">
        <f t="shared" si="2"/>
        <v>118542.00</v>
      </c>
      <c r="J4201" s="16" t="str">
        <f>TEXT(Raw_Data!J4201,"MMM-YYY")</f>
        <v>Feb-2025</v>
      </c>
      <c r="K4201" s="13" t="str">
        <f>Raw_Data!K4201</f>
        <v>2</v>
      </c>
      <c r="L4201" s="17" t="str">
        <f>Raw_Data!L4201</f>
        <v>Pune-West</v>
      </c>
      <c r="M4201" s="13" t="str">
        <f t="shared" si="3"/>
        <v>OK</v>
      </c>
      <c r="N4201" s="18" t="str">
        <f t="shared" si="4"/>
        <v>VALID</v>
      </c>
    </row>
    <row r="4202" ht="15.75" customHeight="1">
      <c r="A4202" s="13" t="str">
        <f>Raw_Data!A4202</f>
        <v>EMP4436</v>
      </c>
      <c r="B4202" s="13" t="str">
        <f>TRIM(CLEAN(Raw_Data!B4202))</f>
        <v>Customer Support</v>
      </c>
      <c r="C4202" s="18" t="s">
        <v>37</v>
      </c>
      <c r="D4202" s="14" t="str">
        <f>IF(ISBLANK(Raw_Data!D4202),AVERAGE(Raw_Data!D$2:D$5002),Raw_Data!D4202)</f>
        <v>96314.13</v>
      </c>
      <c r="E4202" s="15" t="str">
        <f>IF(ISBLANK(Raw_Data!E4202),AVERAGE(Raw_Data!E$2:E$5002),Raw_Data!E4202)</f>
        <v>34461.51</v>
      </c>
      <c r="F4202" s="15" t="str">
        <f>IF(ISBLANK(Raw_Data!F4202),AVERAGE(Raw_Data!F$2:F$5002),Raw_Data!F4202)</f>
        <v>34239.75</v>
      </c>
      <c r="G4202" s="14" t="str">
        <f>IF(ISBLANK(Raw_Data!G4202),AVERAGE(Raw_Data!G$2:G$5002),Raw_Data!G4202)</f>
        <v>21981.31</v>
      </c>
      <c r="H4202" s="15" t="str">
        <f t="shared" si="1"/>
        <v>165015.00</v>
      </c>
      <c r="I4202" s="14" t="str">
        <f t="shared" si="2"/>
        <v>143034.00</v>
      </c>
      <c r="J4202" s="16" t="str">
        <f>TEXT(Raw_Data!J4202,"MMM-YYY")</f>
        <v>Nov-2025</v>
      </c>
      <c r="K4202" s="13" t="str">
        <f>Raw_Data!K4202</f>
        <v>22</v>
      </c>
      <c r="L4202" s="17" t="str">
        <f>Raw_Data!L4202</f>
        <v>Hyderabad-South</v>
      </c>
      <c r="M4202" s="13" t="str">
        <f t="shared" si="3"/>
        <v>OK</v>
      </c>
      <c r="N4202" s="18" t="str">
        <f t="shared" si="4"/>
        <v>VALID</v>
      </c>
    </row>
    <row r="4203" ht="15.75" customHeight="1">
      <c r="A4203" s="13" t="str">
        <f>Raw_Data!A4203</f>
        <v>EMP4437</v>
      </c>
      <c r="B4203" s="13" t="str">
        <f>TRIM(CLEAN(Raw_Data!B4203))</f>
        <v>Operations</v>
      </c>
      <c r="C4203" s="18" t="s">
        <v>33</v>
      </c>
      <c r="D4203" s="14" t="str">
        <f>IF(ISBLANK(Raw_Data!D4203),AVERAGE(Raw_Data!D$2:D$5002),Raw_Data!D4203)</f>
        <v>96325.02</v>
      </c>
      <c r="E4203" s="15" t="str">
        <f>IF(ISBLANK(Raw_Data!E4203),AVERAGE(Raw_Data!E$2:E$5002),Raw_Data!E4203)</f>
        <v>34466.13</v>
      </c>
      <c r="F4203" s="15" t="str">
        <f>IF(ISBLANK(Raw_Data!F4203),AVERAGE(Raw_Data!F$2:F$5002),Raw_Data!F4203)</f>
        <v>34247.43</v>
      </c>
      <c r="G4203" s="14" t="str">
        <f>IF(ISBLANK(Raw_Data!G4203),AVERAGE(Raw_Data!G$2:G$5002),Raw_Data!G4203)</f>
        <v>21984.71</v>
      </c>
      <c r="H4203" s="15" t="str">
        <f t="shared" si="1"/>
        <v>165039.00</v>
      </c>
      <c r="I4203" s="14" t="str">
        <f t="shared" si="2"/>
        <v>143054.00</v>
      </c>
      <c r="J4203" s="16" t="str">
        <f>TEXT(Raw_Data!J4203,"MMM-YYY")</f>
        <v>Jan-2025</v>
      </c>
      <c r="K4203" s="13" t="str">
        <f>Raw_Data!K4203</f>
        <v>13</v>
      </c>
      <c r="L4203" s="17" t="str">
        <f>Raw_Data!L4203</f>
        <v>Chandigarh-North</v>
      </c>
      <c r="M4203" s="13" t="str">
        <f t="shared" si="3"/>
        <v>OK</v>
      </c>
      <c r="N4203" s="18" t="str">
        <f t="shared" si="4"/>
        <v>VALID</v>
      </c>
    </row>
    <row r="4204" ht="15.75" customHeight="1">
      <c r="A4204" s="13" t="str">
        <f>Raw_Data!A4204</f>
        <v>EMP4438</v>
      </c>
      <c r="B4204" s="13" t="str">
        <f>TRIM(CLEAN(Raw_Data!B4204))</f>
        <v>Finance</v>
      </c>
      <c r="C4204" s="18" t="s">
        <v>14</v>
      </c>
      <c r="D4204" s="14" t="str">
        <f>IF(ISBLANK(Raw_Data!D4204),AVERAGE(Raw_Data!D$2:D$5002),Raw_Data!D4204)</f>
        <v>96335.90</v>
      </c>
      <c r="E4204" s="15" t="str">
        <f>IF(ISBLANK(Raw_Data!E4204),AVERAGE(Raw_Data!E$2:E$5002),Raw_Data!E4204)</f>
        <v>34470.74</v>
      </c>
      <c r="F4204" s="15" t="str">
        <f>IF(ISBLANK(Raw_Data!F4204),AVERAGE(Raw_Data!F$2:F$5002),Raw_Data!F4204)</f>
        <v>34255.11</v>
      </c>
      <c r="G4204" s="14" t="str">
        <f>IF(ISBLANK(Raw_Data!G4204),AVERAGE(Raw_Data!G$2:G$5002),Raw_Data!G4204)</f>
        <v>21988.11</v>
      </c>
      <c r="H4204" s="15" t="str">
        <f t="shared" si="1"/>
        <v>165062.00</v>
      </c>
      <c r="I4204" s="14" t="str">
        <f t="shared" si="2"/>
        <v>143074.00</v>
      </c>
      <c r="J4204" s="16" t="str">
        <f>TEXT(Raw_Data!J4204,"MMM-YYY")</f>
        <v>Sep-2025</v>
      </c>
      <c r="K4204" s="13" t="str">
        <f>Raw_Data!K4204</f>
        <v>24</v>
      </c>
      <c r="L4204" s="17" t="str">
        <f>Raw_Data!L4204</f>
        <v>Ahmedabad-West</v>
      </c>
      <c r="M4204" s="13" t="str">
        <f t="shared" si="3"/>
        <v>OK</v>
      </c>
      <c r="N4204" s="18" t="str">
        <f t="shared" si="4"/>
        <v>VALID</v>
      </c>
    </row>
    <row r="4205" ht="15.75" customHeight="1">
      <c r="A4205" s="13" t="str">
        <f>Raw_Data!A4205</f>
        <v>EMP4439</v>
      </c>
      <c r="B4205" s="13" t="str">
        <f>TRIM(CLEAN(Raw_Data!B4205))</f>
        <v>Sales</v>
      </c>
      <c r="C4205" s="18" t="s">
        <v>14</v>
      </c>
      <c r="D4205" s="14" t="str">
        <f>IF(ISBLANK(Raw_Data!D4205),AVERAGE(Raw_Data!D$2:D$5002),Raw_Data!D4205)</f>
        <v>96346.78</v>
      </c>
      <c r="E4205" s="15" t="str">
        <f>IF(ISBLANK(Raw_Data!E4205),AVERAGE(Raw_Data!E$2:E$5002),Raw_Data!E4205)</f>
        <v>34475.36</v>
      </c>
      <c r="F4205" s="15" t="str">
        <f>IF(ISBLANK(Raw_Data!F4205),AVERAGE(Raw_Data!F$2:F$5002),Raw_Data!F4205)</f>
        <v>34262.79</v>
      </c>
      <c r="G4205" s="14" t="str">
        <f>IF(ISBLANK(Raw_Data!G4205),AVERAGE(Raw_Data!G$2:G$5002),Raw_Data!G4205)</f>
        <v>21991.51</v>
      </c>
      <c r="H4205" s="15" t="str">
        <f t="shared" si="1"/>
        <v>165085.00</v>
      </c>
      <c r="I4205" s="14" t="str">
        <f t="shared" si="2"/>
        <v>143093.00</v>
      </c>
      <c r="J4205" s="16" t="str">
        <f>TEXT(Raw_Data!J4205,"MMM-YYY")</f>
        <v>Sep-2025</v>
      </c>
      <c r="K4205" s="13" t="str">
        <f>Raw_Data!K4205</f>
        <v>16</v>
      </c>
      <c r="L4205" s="17" t="str">
        <f>Raw_Data!L4205</f>
        <v>Jaipur-North</v>
      </c>
      <c r="M4205" s="13" t="str">
        <f t="shared" si="3"/>
        <v>OK</v>
      </c>
      <c r="N4205" s="18" t="str">
        <f t="shared" si="4"/>
        <v>VALID</v>
      </c>
    </row>
    <row r="4206" ht="15.75" customHeight="1">
      <c r="A4206" s="13" t="str">
        <f>Raw_Data!A4206</f>
        <v>EMP4440</v>
      </c>
      <c r="B4206" s="13" t="str">
        <f>TRIM(CLEAN(Raw_Data!B4206))</f>
        <v>Marketing</v>
      </c>
      <c r="C4206" s="18" t="s">
        <v>30</v>
      </c>
      <c r="D4206" s="14" t="str">
        <f>IF(ISBLANK(Raw_Data!D4206),AVERAGE(Raw_Data!D$2:D$5002),Raw_Data!D4206)</f>
        <v>96357.67</v>
      </c>
      <c r="E4206" s="15" t="str">
        <f>IF(ISBLANK(Raw_Data!E4206),AVERAGE(Raw_Data!E$2:E$5002),Raw_Data!E4206)</f>
        <v>34479.97</v>
      </c>
      <c r="F4206" s="15" t="str">
        <f>IF(ISBLANK(Raw_Data!F4206),AVERAGE(Raw_Data!F$2:F$5002),Raw_Data!F4206)</f>
        <v>34270.47</v>
      </c>
      <c r="G4206" s="14" t="str">
        <f>IF(ISBLANK(Raw_Data!G4206),AVERAGE(Raw_Data!G$2:G$5002),Raw_Data!G4206)</f>
        <v>21994.90</v>
      </c>
      <c r="H4206" s="15" t="str">
        <f t="shared" si="1"/>
        <v>165108.00</v>
      </c>
      <c r="I4206" s="14" t="str">
        <f t="shared" si="2"/>
        <v>143113.00</v>
      </c>
      <c r="J4206" s="16" t="str">
        <f>TEXT(Raw_Data!J4206,"MMM-YYY")</f>
        <v>Dec-2025</v>
      </c>
      <c r="K4206" s="13" t="str">
        <f>Raw_Data!K4206</f>
        <v>14</v>
      </c>
      <c r="L4206" s="17" t="str">
        <f>Raw_Data!L4206</f>
        <v>Mumbai-HO</v>
      </c>
      <c r="M4206" s="13" t="str">
        <f t="shared" si="3"/>
        <v>OK</v>
      </c>
      <c r="N4206" s="18" t="str">
        <f t="shared" si="4"/>
        <v>VALID</v>
      </c>
    </row>
    <row r="4207" ht="15.75" customHeight="1">
      <c r="A4207" s="13" t="str">
        <f>Raw_Data!A4207</f>
        <v>EMP4441</v>
      </c>
      <c r="B4207" s="13" t="str">
        <f>TRIM(CLEAN(Raw_Data!B4207))</f>
        <v>Finance</v>
      </c>
      <c r="C4207" s="18" t="s">
        <v>33</v>
      </c>
      <c r="D4207" s="14" t="str">
        <f>IF(ISBLANK(Raw_Data!D4207),AVERAGE(Raw_Data!D$2:D$5002),Raw_Data!D4207)</f>
        <v>96368.55</v>
      </c>
      <c r="E4207" s="15" t="str">
        <f>IF(ISBLANK(Raw_Data!E4207),AVERAGE(Raw_Data!E$2:E$5002),Raw_Data!E4207)</f>
        <v>34484.59</v>
      </c>
      <c r="F4207" s="15" t="str">
        <f>IF(ISBLANK(Raw_Data!F4207),AVERAGE(Raw_Data!F$2:F$5002),Raw_Data!F4207)</f>
        <v>34278.15</v>
      </c>
      <c r="G4207" s="14" t="str">
        <f>IF(ISBLANK(Raw_Data!G4207),AVERAGE(Raw_Data!G$2:G$5002),Raw_Data!G4207)</f>
        <v>21998.30</v>
      </c>
      <c r="H4207" s="15" t="str">
        <f t="shared" si="1"/>
        <v>165131.00</v>
      </c>
      <c r="I4207" s="14" t="str">
        <f t="shared" si="2"/>
        <v>143133.00</v>
      </c>
      <c r="J4207" s="16" t="str">
        <f>TEXT(Raw_Data!J4207,"MMM-YYY")</f>
        <v>Jan-2025</v>
      </c>
      <c r="K4207" s="13" t="str">
        <f>Raw_Data!K4207</f>
        <v>8</v>
      </c>
      <c r="L4207" s="17" t="str">
        <f>Raw_Data!L4207</f>
        <v>Delhi-North</v>
      </c>
      <c r="M4207" s="13" t="str">
        <f t="shared" si="3"/>
        <v>OK</v>
      </c>
      <c r="N4207" s="18" t="str">
        <f t="shared" si="4"/>
        <v>VALID</v>
      </c>
    </row>
    <row r="4208" ht="15.75" customHeight="1">
      <c r="A4208" s="13" t="str">
        <f>Raw_Data!A4208</f>
        <v>EMP4442</v>
      </c>
      <c r="B4208" s="13" t="str">
        <f>TRIM(CLEAN(Raw_Data!B4208))</f>
        <v>HR</v>
      </c>
      <c r="C4208" s="18" t="s">
        <v>14</v>
      </c>
      <c r="D4208" s="14" t="str">
        <f>IF(ISBLANK(Raw_Data!D4208),AVERAGE(Raw_Data!D$2:D$5002),Raw_Data!D4208)</f>
        <v>96379.43</v>
      </c>
      <c r="E4208" s="15" t="str">
        <f>IF(ISBLANK(Raw_Data!E4208),AVERAGE(Raw_Data!E$2:E$5002),Raw_Data!E4208)</f>
        <v>34489.20</v>
      </c>
      <c r="F4208" s="15" t="str">
        <f>IF(ISBLANK(Raw_Data!F4208),AVERAGE(Raw_Data!F$2:F$5002),Raw_Data!F4208)</f>
        <v>34285.83</v>
      </c>
      <c r="G4208" s="14" t="str">
        <f>IF(ISBLANK(Raw_Data!G4208),AVERAGE(Raw_Data!G$2:G$5002),Raw_Data!G4208)</f>
        <v>22001.70</v>
      </c>
      <c r="H4208" s="15" t="str">
        <f t="shared" si="1"/>
        <v>165154.00</v>
      </c>
      <c r="I4208" s="14" t="str">
        <f t="shared" si="2"/>
        <v>143152.00</v>
      </c>
      <c r="J4208" s="16" t="str">
        <f>TEXT(Raw_Data!J4208,"MMM-YYY")</f>
        <v>Oct-2025</v>
      </c>
      <c r="K4208" s="13" t="str">
        <f>Raw_Data!K4208</f>
        <v>12</v>
      </c>
      <c r="L4208" s="17" t="str">
        <f>Raw_Data!L4208</f>
        <v>Bangalore-South</v>
      </c>
      <c r="M4208" s="13" t="str">
        <f t="shared" si="3"/>
        <v>OK</v>
      </c>
      <c r="N4208" s="18" t="str">
        <f t="shared" si="4"/>
        <v>VALID</v>
      </c>
    </row>
    <row r="4209" ht="15.75" customHeight="1">
      <c r="A4209" s="13" t="str">
        <f>Raw_Data!A4209</f>
        <v>EMP4443</v>
      </c>
      <c r="B4209" s="13" t="str">
        <f>TRIM(CLEAN(Raw_Data!B4209))</f>
        <v>Marketing</v>
      </c>
      <c r="C4209" s="18" t="s">
        <v>30</v>
      </c>
      <c r="D4209" s="14" t="str">
        <f>IF(ISBLANK(Raw_Data!D4209),AVERAGE(Raw_Data!D$2:D$5002),Raw_Data!D4209)</f>
        <v>96390.31</v>
      </c>
      <c r="E4209" s="15" t="str">
        <f>IF(ISBLANK(Raw_Data!E4209),AVERAGE(Raw_Data!E$2:E$5002),Raw_Data!E4209)</f>
        <v>34493.82</v>
      </c>
      <c r="F4209" s="15" t="str">
        <f>IF(ISBLANK(Raw_Data!F4209),AVERAGE(Raw_Data!F$2:F$5002),Raw_Data!F4209)</f>
        <v>34293.51</v>
      </c>
      <c r="G4209" s="14" t="str">
        <f>IF(ISBLANK(Raw_Data!G4209),AVERAGE(Raw_Data!G$2:G$5002),Raw_Data!G4209)</f>
        <v>22005.10</v>
      </c>
      <c r="H4209" s="15" t="str">
        <f t="shared" si="1"/>
        <v>165178.00</v>
      </c>
      <c r="I4209" s="14" t="str">
        <f t="shared" si="2"/>
        <v>143173.00</v>
      </c>
      <c r="J4209" s="16" t="str">
        <f>TEXT(Raw_Data!J4209,"MMM-YYY")</f>
        <v>Dec-2025</v>
      </c>
      <c r="K4209" s="13" t="str">
        <f>Raw_Data!K4209</f>
        <v>20</v>
      </c>
      <c r="L4209" s="17" t="str">
        <f>Raw_Data!L4209</f>
        <v>Chennai-South</v>
      </c>
      <c r="M4209" s="13" t="str">
        <f t="shared" si="3"/>
        <v>OK</v>
      </c>
      <c r="N4209" s="18" t="str">
        <f t="shared" si="4"/>
        <v>VALID</v>
      </c>
    </row>
    <row r="4210" ht="15.75" customHeight="1">
      <c r="A4210" s="13" t="str">
        <f>Raw_Data!A4210</f>
        <v>EMP4444</v>
      </c>
      <c r="B4210" s="13" t="str">
        <f>TRIM(CLEAN(Raw_Data!B4210))</f>
        <v>Sales</v>
      </c>
      <c r="C4210" s="18" t="s">
        <v>37</v>
      </c>
      <c r="D4210" s="14" t="str">
        <f>IF(ISBLANK(Raw_Data!D4210),AVERAGE(Raw_Data!D$2:D$5002),Raw_Data!D4210)</f>
        <v>96401.20</v>
      </c>
      <c r="E4210" s="15" t="str">
        <f>IF(ISBLANK(Raw_Data!E4210),AVERAGE(Raw_Data!E$2:E$5002),Raw_Data!E4210)</f>
        <v>34498.43</v>
      </c>
      <c r="F4210" s="15" t="str">
        <f>IF(ISBLANK(Raw_Data!F4210),AVERAGE(Raw_Data!F$2:F$5002),Raw_Data!F4210)</f>
        <v>34301.19</v>
      </c>
      <c r="G4210" s="14" t="str">
        <f>IF(ISBLANK(Raw_Data!G4210),AVERAGE(Raw_Data!G$2:G$5002),Raw_Data!G4210)</f>
        <v>22008.49</v>
      </c>
      <c r="H4210" s="15" t="str">
        <f t="shared" si="1"/>
        <v>165201.00</v>
      </c>
      <c r="I4210" s="14" t="str">
        <f t="shared" si="2"/>
        <v>143193.00</v>
      </c>
      <c r="J4210" s="16" t="str">
        <f>TEXT(Raw_Data!J4210,"MMM-YYY")</f>
        <v>Jul-2025</v>
      </c>
      <c r="K4210" s="13" t="str">
        <f>Raw_Data!K4210</f>
        <v>11</v>
      </c>
      <c r="L4210" s="17" t="str">
        <f>Raw_Data!L4210</f>
        <v>Kolkata-East</v>
      </c>
      <c r="M4210" s="13" t="str">
        <f t="shared" si="3"/>
        <v>OK</v>
      </c>
      <c r="N4210" s="18" t="str">
        <f t="shared" si="4"/>
        <v>VALID</v>
      </c>
    </row>
    <row r="4211" ht="15.75" customHeight="1">
      <c r="A4211" s="13" t="str">
        <f>Raw_Data!A4211</f>
        <v>EMP4445</v>
      </c>
      <c r="B4211" s="13" t="str">
        <f>TRIM(CLEAN(Raw_Data!B4211))</f>
        <v>Customer Support</v>
      </c>
      <c r="C4211" s="18" t="s">
        <v>33</v>
      </c>
      <c r="D4211" s="14" t="str">
        <f>IF(ISBLANK(Raw_Data!D4211),AVERAGE(Raw_Data!D$2:D$5002),Raw_Data!D4211)</f>
        <v>96412.08</v>
      </c>
      <c r="E4211" s="15" t="str">
        <f>IF(ISBLANK(Raw_Data!E4211),AVERAGE(Raw_Data!E$2:E$5002),Raw_Data!E4211)</f>
        <v>34503.05</v>
      </c>
      <c r="F4211" s="15" t="str">
        <f>IF(ISBLANK(Raw_Data!F4211),AVERAGE(Raw_Data!F$2:F$5002),Raw_Data!F4211)</f>
        <v>34308.87</v>
      </c>
      <c r="G4211" s="14" t="str">
        <f>IF(ISBLANK(Raw_Data!G4211),AVERAGE(Raw_Data!G$2:G$5002),Raw_Data!G4211)</f>
        <v>22011.89</v>
      </c>
      <c r="H4211" s="15" t="str">
        <f t="shared" si="1"/>
        <v>165224.00</v>
      </c>
      <c r="I4211" s="14" t="str">
        <f t="shared" si="2"/>
        <v>143212.00</v>
      </c>
      <c r="J4211" s="16" t="str">
        <f>TEXT(Raw_Data!J4211,"MMM-YYY")</f>
        <v>Sep-2025</v>
      </c>
      <c r="K4211" s="13" t="str">
        <f>Raw_Data!K4211</f>
        <v>6</v>
      </c>
      <c r="L4211" s="17" t="str">
        <f>Raw_Data!L4211</f>
        <v>Pune-West</v>
      </c>
      <c r="M4211" s="13" t="str">
        <f t="shared" si="3"/>
        <v>OK</v>
      </c>
      <c r="N4211" s="18" t="str">
        <f t="shared" si="4"/>
        <v>VALID</v>
      </c>
    </row>
    <row r="4212" ht="15.75" customHeight="1">
      <c r="A4212" s="13" t="str">
        <f>Raw_Data!A4212</f>
        <v>EMP4446</v>
      </c>
      <c r="B4212" s="13" t="str">
        <f>TRIM(CLEAN(Raw_Data!B4212))</f>
        <v>Customer Support</v>
      </c>
      <c r="C4212" s="18" t="s">
        <v>54</v>
      </c>
      <c r="D4212" s="14" t="str">
        <f>IF(ISBLANK(Raw_Data!D4212),AVERAGE(Raw_Data!D$2:D$5002),Raw_Data!D4212)</f>
        <v>96422.96</v>
      </c>
      <c r="E4212" s="15" t="str">
        <f>IF(ISBLANK(Raw_Data!E4212),AVERAGE(Raw_Data!E$2:E$5002),Raw_Data!E4212)</f>
        <v>34507.66</v>
      </c>
      <c r="F4212" s="15" t="str">
        <f>IF(ISBLANK(Raw_Data!F4212),AVERAGE(Raw_Data!F$2:F$5002),Raw_Data!F4212)</f>
        <v>34316.55</v>
      </c>
      <c r="G4212" s="14" t="str">
        <f>IF(ISBLANK(Raw_Data!G4212),AVERAGE(Raw_Data!G$2:G$5002),Raw_Data!G4212)</f>
        <v>22015.29</v>
      </c>
      <c r="H4212" s="15" t="str">
        <f t="shared" si="1"/>
        <v>165247.00</v>
      </c>
      <c r="I4212" s="14" t="str">
        <f t="shared" si="2"/>
        <v>143232.00</v>
      </c>
      <c r="J4212" s="16" t="str">
        <f>TEXT(Raw_Data!J4212,"MMM-YYY")</f>
        <v>Oct-2025</v>
      </c>
      <c r="K4212" s="13" t="str">
        <f>Raw_Data!K4212</f>
        <v>16</v>
      </c>
      <c r="L4212" s="17" t="str">
        <f>Raw_Data!L4212</f>
        <v>Hyderabad-South</v>
      </c>
      <c r="M4212" s="13" t="str">
        <f t="shared" si="3"/>
        <v>OK</v>
      </c>
      <c r="N4212" s="18" t="str">
        <f t="shared" si="4"/>
        <v>VALID</v>
      </c>
    </row>
    <row r="4213" ht="15.75" customHeight="1">
      <c r="A4213" s="13" t="str">
        <f>Raw_Data!A4213</f>
        <v>EMP4447</v>
      </c>
      <c r="B4213" s="13" t="str">
        <f>TRIM(CLEAN(Raw_Data!B4213))</f>
        <v>Sales</v>
      </c>
      <c r="C4213" s="18" t="s">
        <v>14</v>
      </c>
      <c r="D4213" s="14" t="str">
        <f>IF(ISBLANK(Raw_Data!D4213),AVERAGE(Raw_Data!D$2:D$5002),Raw_Data!D4213)</f>
        <v>96433.85</v>
      </c>
      <c r="E4213" s="15" t="str">
        <f>IF(ISBLANK(Raw_Data!E4213),AVERAGE(Raw_Data!E$2:E$5002),Raw_Data!E4213)</f>
        <v>34512.28</v>
      </c>
      <c r="F4213" s="15" t="str">
        <f>IF(ISBLANK(Raw_Data!F4213),AVERAGE(Raw_Data!F$2:F$5002),Raw_Data!F4213)</f>
        <v>34324.23</v>
      </c>
      <c r="G4213" s="14" t="str">
        <f>IF(ISBLANK(Raw_Data!G4213),AVERAGE(Raw_Data!G$2:G$5002),Raw_Data!G4213)</f>
        <v>22018.69</v>
      </c>
      <c r="H4213" s="15" t="str">
        <f t="shared" si="1"/>
        <v>165270.00</v>
      </c>
      <c r="I4213" s="14" t="str">
        <f t="shared" si="2"/>
        <v>143251.00</v>
      </c>
      <c r="J4213" s="16" t="str">
        <f>TEXT(Raw_Data!J4213,"MMM-YYY")</f>
        <v>Feb-2025</v>
      </c>
      <c r="K4213" s="13" t="str">
        <f>Raw_Data!K4213</f>
        <v>20</v>
      </c>
      <c r="L4213" s="17" t="str">
        <f>Raw_Data!L4213</f>
        <v>Chandigarh-North</v>
      </c>
      <c r="M4213" s="13" t="str">
        <f t="shared" si="3"/>
        <v>OK</v>
      </c>
      <c r="N4213" s="18" t="str">
        <f t="shared" si="4"/>
        <v>VALID</v>
      </c>
    </row>
    <row r="4214" ht="15.75" customHeight="1">
      <c r="A4214" s="13" t="str">
        <f>Raw_Data!A4214</f>
        <v>EMP4448</v>
      </c>
      <c r="B4214" s="13" t="str">
        <f>TRIM(CLEAN(Raw_Data!B4214))</f>
        <v>Marketing</v>
      </c>
      <c r="C4214" s="18" t="s">
        <v>18</v>
      </c>
      <c r="D4214" s="14" t="str">
        <f>IF(ISBLANK(Raw_Data!D4214),AVERAGE(Raw_Data!D$2:D$5002),Raw_Data!D4214)</f>
        <v>96444.73</v>
      </c>
      <c r="E4214" s="15" t="str">
        <f>IF(ISBLANK(Raw_Data!E4214),AVERAGE(Raw_Data!E$2:E$5002),Raw_Data!E4214)</f>
        <v>34516.89</v>
      </c>
      <c r="F4214" s="15" t="str">
        <f>IF(ISBLANK(Raw_Data!F4214),AVERAGE(Raw_Data!F$2:F$5002),Raw_Data!F4214)</f>
        <v>34331.91</v>
      </c>
      <c r="G4214" s="14" t="str">
        <f>IF(ISBLANK(Raw_Data!G4214),AVERAGE(Raw_Data!G$2:G$5002),Raw_Data!G4214)</f>
        <v>22022.08</v>
      </c>
      <c r="H4214" s="15" t="str">
        <f t="shared" si="1"/>
        <v>165294.00</v>
      </c>
      <c r="I4214" s="14" t="str">
        <f t="shared" si="2"/>
        <v>143272.00</v>
      </c>
      <c r="J4214" s="16" t="str">
        <f>TEXT(Raw_Data!J4214,"MMM-YYY")</f>
        <v>Nov-2025</v>
      </c>
      <c r="K4214" s="13" t="str">
        <f>Raw_Data!K4214</f>
        <v>22</v>
      </c>
      <c r="L4214" s="17" t="str">
        <f>Raw_Data!L4214</f>
        <v>Ahmedabad-West</v>
      </c>
      <c r="M4214" s="13" t="str">
        <f t="shared" si="3"/>
        <v>OK</v>
      </c>
      <c r="N4214" s="18" t="str">
        <f t="shared" si="4"/>
        <v>VALID</v>
      </c>
    </row>
    <row r="4215" ht="15.75" customHeight="1">
      <c r="A4215" s="13" t="str">
        <f>Raw_Data!A4215</f>
        <v>EMP4449</v>
      </c>
      <c r="B4215" s="13" t="str">
        <f>TRIM(CLEAN(Raw_Data!B4215))</f>
        <v>Sales</v>
      </c>
      <c r="C4215" s="18" t="s">
        <v>54</v>
      </c>
      <c r="D4215" s="14" t="str">
        <f>IF(ISBLANK(Raw_Data!D4215),AVERAGE(Raw_Data!D$2:D$5002),Raw_Data!D4215)</f>
        <v>96455.61</v>
      </c>
      <c r="E4215" s="15" t="str">
        <f>IF(ISBLANK(Raw_Data!E4215),AVERAGE(Raw_Data!E$2:E$5002),Raw_Data!E4215)</f>
        <v>34521.51</v>
      </c>
      <c r="F4215" s="15" t="str">
        <f>IF(ISBLANK(Raw_Data!F4215),AVERAGE(Raw_Data!F$2:F$5002),Raw_Data!F4215)</f>
        <v>34339.59</v>
      </c>
      <c r="G4215" s="14" t="str">
        <f>IF(ISBLANK(Raw_Data!G4215),AVERAGE(Raw_Data!G$2:G$5002),Raw_Data!G4215)</f>
        <v>22025.48</v>
      </c>
      <c r="H4215" s="15" t="str">
        <f t="shared" si="1"/>
        <v>165317.00</v>
      </c>
      <c r="I4215" s="14" t="str">
        <f t="shared" si="2"/>
        <v>143292.00</v>
      </c>
      <c r="J4215" s="16" t="str">
        <f>TEXT(Raw_Data!J4215,"MMM-YYY")</f>
        <v>Sep-2025</v>
      </c>
      <c r="K4215" s="13" t="str">
        <f>Raw_Data!K4215</f>
        <v>24</v>
      </c>
      <c r="L4215" s="17" t="str">
        <f>Raw_Data!L4215</f>
        <v>Jaipur-North</v>
      </c>
      <c r="M4215" s="13" t="str">
        <f t="shared" si="3"/>
        <v>OK</v>
      </c>
      <c r="N4215" s="18" t="str">
        <f t="shared" si="4"/>
        <v>VALID</v>
      </c>
    </row>
    <row r="4216" ht="15.75" customHeight="1">
      <c r="A4216" s="13" t="str">
        <f>Raw_Data!A4216</f>
        <v>EMP4450</v>
      </c>
      <c r="B4216" s="13" t="str">
        <f>TRIM(CLEAN(Raw_Data!B4216))</f>
        <v>Operations</v>
      </c>
      <c r="C4216" s="18" t="s">
        <v>26</v>
      </c>
      <c r="D4216" s="14" t="str">
        <f>IF(ISBLANK(Raw_Data!D4216),AVERAGE(Raw_Data!D$2:D$5002),Raw_Data!D4216)</f>
        <v>96466.50</v>
      </c>
      <c r="E4216" s="15" t="str">
        <f>IF(ISBLANK(Raw_Data!E4216),AVERAGE(Raw_Data!E$2:E$5002),Raw_Data!E4216)</f>
        <v>34526.12</v>
      </c>
      <c r="F4216" s="15" t="str">
        <f>IF(ISBLANK(Raw_Data!F4216),AVERAGE(Raw_Data!F$2:F$5002),Raw_Data!F4216)</f>
        <v>34347.27</v>
      </c>
      <c r="G4216" s="14" t="str">
        <f>IF(ISBLANK(Raw_Data!G4216),AVERAGE(Raw_Data!G$2:G$5002),Raw_Data!G4216)</f>
        <v>22028.88</v>
      </c>
      <c r="H4216" s="15" t="str">
        <f t="shared" si="1"/>
        <v>165340.00</v>
      </c>
      <c r="I4216" s="14" t="str">
        <f t="shared" si="2"/>
        <v>143311.00</v>
      </c>
      <c r="J4216" s="16" t="str">
        <f>TEXT(Raw_Data!J4216,"MMM-YYY")</f>
        <v>Jun-2025</v>
      </c>
      <c r="K4216" s="13" t="str">
        <f>Raw_Data!K4216</f>
        <v>9</v>
      </c>
      <c r="L4216" s="17" t="str">
        <f>Raw_Data!L4216</f>
        <v>Mumbai-HO</v>
      </c>
      <c r="M4216" s="13" t="str">
        <f t="shared" si="3"/>
        <v>OK</v>
      </c>
      <c r="N4216" s="18" t="str">
        <f t="shared" si="4"/>
        <v>VALID</v>
      </c>
    </row>
    <row r="4217" ht="15.75" customHeight="1">
      <c r="A4217" s="13" t="str">
        <f>Raw_Data!A4217</f>
        <v>EMP4451</v>
      </c>
      <c r="B4217" s="13" t="str">
        <f>TRIM(CLEAN(Raw_Data!B4217))</f>
        <v>Marketing</v>
      </c>
      <c r="C4217" s="18" t="s">
        <v>14</v>
      </c>
      <c r="D4217" s="14" t="str">
        <f>IF(ISBLANK(Raw_Data!D4217),AVERAGE(Raw_Data!D$2:D$5002),Raw_Data!D4217)</f>
        <v>96477.38</v>
      </c>
      <c r="E4217" s="15" t="str">
        <f>IF(ISBLANK(Raw_Data!E4217),AVERAGE(Raw_Data!E$2:E$5002),Raw_Data!E4217)</f>
        <v>34530.74</v>
      </c>
      <c r="F4217" s="15" t="str">
        <f>IF(ISBLANK(Raw_Data!F4217),AVERAGE(Raw_Data!F$2:F$5002),Raw_Data!F4217)</f>
        <v>34354.95</v>
      </c>
      <c r="G4217" s="14" t="str">
        <f>IF(ISBLANK(Raw_Data!G4217),AVERAGE(Raw_Data!G$2:G$5002),Raw_Data!G4217)</f>
        <v>22032.28</v>
      </c>
      <c r="H4217" s="15" t="str">
        <f t="shared" si="1"/>
        <v>165363.00</v>
      </c>
      <c r="I4217" s="14" t="str">
        <f t="shared" si="2"/>
        <v>143331.00</v>
      </c>
      <c r="J4217" s="16" t="str">
        <f>TEXT(Raw_Data!J4217,"MMM-YYY")</f>
        <v>Feb-2025</v>
      </c>
      <c r="K4217" s="13" t="str">
        <f>Raw_Data!K4217</f>
        <v>19</v>
      </c>
      <c r="L4217" s="17" t="str">
        <f>Raw_Data!L4217</f>
        <v>Delhi-North</v>
      </c>
      <c r="M4217" s="13" t="str">
        <f t="shared" si="3"/>
        <v>OK</v>
      </c>
      <c r="N4217" s="18" t="str">
        <f t="shared" si="4"/>
        <v>VALID</v>
      </c>
    </row>
    <row r="4218" ht="15.75" customHeight="1">
      <c r="A4218" s="13" t="str">
        <f>Raw_Data!A4218</f>
        <v>EMP4452</v>
      </c>
      <c r="B4218" s="13" t="str">
        <f>TRIM(CLEAN(Raw_Data!B4218))</f>
        <v>Sales</v>
      </c>
      <c r="C4218" s="18" t="s">
        <v>37</v>
      </c>
      <c r="D4218" s="14" t="str">
        <f>IF(ISBLANK(Raw_Data!D4218),AVERAGE(Raw_Data!D$2:D$5002),Raw_Data!D4218)</f>
        <v>96488.26</v>
      </c>
      <c r="E4218" s="15" t="str">
        <f>IF(ISBLANK(Raw_Data!E4218),AVERAGE(Raw_Data!E$2:E$5002),Raw_Data!E4218)</f>
        <v>34535.35</v>
      </c>
      <c r="F4218" s="15" t="str">
        <f>IF(ISBLANK(Raw_Data!F4218),AVERAGE(Raw_Data!F$2:F$5002),Raw_Data!F4218)</f>
        <v>34362.63</v>
      </c>
      <c r="G4218" s="14" t="str">
        <f>IF(ISBLANK(Raw_Data!G4218),AVERAGE(Raw_Data!G$2:G$5002),Raw_Data!G4218)</f>
        <v>22035.67</v>
      </c>
      <c r="H4218" s="15" t="str">
        <f t="shared" si="1"/>
        <v>165386.00</v>
      </c>
      <c r="I4218" s="14" t="str">
        <f t="shared" si="2"/>
        <v>143350.00</v>
      </c>
      <c r="J4218" s="16" t="str">
        <f>TEXT(Raw_Data!J4218,"MMM-YYY")</f>
        <v>Feb-2025</v>
      </c>
      <c r="K4218" s="13" t="str">
        <f>Raw_Data!K4218</f>
        <v>20</v>
      </c>
      <c r="L4218" s="17" t="str">
        <f>Raw_Data!L4218</f>
        <v>Bangalore-South</v>
      </c>
      <c r="M4218" s="13" t="str">
        <f t="shared" si="3"/>
        <v>OK</v>
      </c>
      <c r="N4218" s="18" t="str">
        <f t="shared" si="4"/>
        <v>VALID</v>
      </c>
    </row>
    <row r="4219" ht="15.75" customHeight="1">
      <c r="A4219" s="13" t="str">
        <f>Raw_Data!A4219</f>
        <v>EMP4453</v>
      </c>
      <c r="B4219" s="13" t="str">
        <f>TRIM(CLEAN(Raw_Data!B4219))</f>
        <v>Marketing</v>
      </c>
      <c r="C4219" s="18" t="s">
        <v>37</v>
      </c>
      <c r="D4219" s="14" t="str">
        <f>IF(ISBLANK(Raw_Data!D4219),AVERAGE(Raw_Data!D$2:D$5002),Raw_Data!D4219)</f>
        <v>96499.14</v>
      </c>
      <c r="E4219" s="15" t="str">
        <f>IF(ISBLANK(Raw_Data!E4219),AVERAGE(Raw_Data!E$2:E$5002),Raw_Data!E4219)</f>
        <v>34539.96</v>
      </c>
      <c r="F4219" s="15" t="str">
        <f>IF(ISBLANK(Raw_Data!F4219),AVERAGE(Raw_Data!F$2:F$5002),Raw_Data!F4219)</f>
        <v>34370.31</v>
      </c>
      <c r="G4219" s="14" t="str">
        <f>IF(ISBLANK(Raw_Data!G4219),AVERAGE(Raw_Data!G$2:G$5002),Raw_Data!G4219)</f>
        <v>22039.07</v>
      </c>
      <c r="H4219" s="15" t="str">
        <f t="shared" si="1"/>
        <v>165409.00</v>
      </c>
      <c r="I4219" s="14" t="str">
        <f t="shared" si="2"/>
        <v>143370.00</v>
      </c>
      <c r="J4219" s="16" t="str">
        <f>TEXT(Raw_Data!J4219,"MMM-YYY")</f>
        <v>Dec-2025</v>
      </c>
      <c r="K4219" s="13" t="str">
        <f>Raw_Data!K4219</f>
        <v>6</v>
      </c>
      <c r="L4219" s="17" t="str">
        <f>Raw_Data!L4219</f>
        <v>Chennai-South</v>
      </c>
      <c r="M4219" s="13" t="str">
        <f t="shared" si="3"/>
        <v>OK</v>
      </c>
      <c r="N4219" s="18" t="str">
        <f t="shared" si="4"/>
        <v>VALID</v>
      </c>
    </row>
    <row r="4220" ht="15.75" customHeight="1">
      <c r="A4220" s="13" t="str">
        <f>Raw_Data!A4220</f>
        <v>EMP4454</v>
      </c>
      <c r="B4220" s="13" t="str">
        <f>TRIM(CLEAN(Raw_Data!B4220))</f>
        <v>Operations</v>
      </c>
      <c r="C4220" s="18" t="s">
        <v>26</v>
      </c>
      <c r="D4220" s="14" t="str">
        <f>IF(ISBLANK(Raw_Data!D4220),AVERAGE(Raw_Data!D$2:D$5002),Raw_Data!D4220)</f>
        <v>96510.03</v>
      </c>
      <c r="E4220" s="15" t="str">
        <f>IF(ISBLANK(Raw_Data!E4220),AVERAGE(Raw_Data!E$2:E$5002),Raw_Data!E4220)</f>
        <v>34544.58</v>
      </c>
      <c r="F4220" s="15" t="str">
        <f>IF(ISBLANK(Raw_Data!F4220),AVERAGE(Raw_Data!F$2:F$5002),Raw_Data!F4220)</f>
        <v>34377.99</v>
      </c>
      <c r="G4220" s="14" t="str">
        <f>IF(ISBLANK(Raw_Data!G4220),AVERAGE(Raw_Data!G$2:G$5002),Raw_Data!G4220)</f>
        <v>22042.47</v>
      </c>
      <c r="H4220" s="15" t="str">
        <f t="shared" si="1"/>
        <v>165433.00</v>
      </c>
      <c r="I4220" s="14" t="str">
        <f t="shared" si="2"/>
        <v>143391.00</v>
      </c>
      <c r="J4220" s="16" t="str">
        <f>TEXT(Raw_Data!J4220,"MMM-YYY")</f>
        <v>Jul-2025</v>
      </c>
      <c r="K4220" s="13" t="str">
        <f>Raw_Data!K4220</f>
        <v>13</v>
      </c>
      <c r="L4220" s="17" t="str">
        <f>Raw_Data!L4220</f>
        <v>Kolkata-East</v>
      </c>
      <c r="M4220" s="13" t="str">
        <f t="shared" si="3"/>
        <v>OK</v>
      </c>
      <c r="N4220" s="18" t="str">
        <f t="shared" si="4"/>
        <v>VALID</v>
      </c>
    </row>
    <row r="4221" ht="15.75" customHeight="1">
      <c r="A4221" s="13" t="str">
        <f>Raw_Data!A4221</f>
        <v>EMP4455</v>
      </c>
      <c r="B4221" s="13" t="str">
        <f>TRIM(CLEAN(Raw_Data!B4221))</f>
        <v>Marketing</v>
      </c>
      <c r="C4221" s="18" t="s">
        <v>14</v>
      </c>
      <c r="D4221" s="14" t="str">
        <f>IF(ISBLANK(Raw_Data!D4221),AVERAGE(Raw_Data!D$2:D$5002),Raw_Data!D4221)</f>
        <v>96520.91</v>
      </c>
      <c r="E4221" s="15" t="str">
        <f>IF(ISBLANK(Raw_Data!E4221),AVERAGE(Raw_Data!E$2:E$5002),Raw_Data!E4221)</f>
        <v>34549.19</v>
      </c>
      <c r="F4221" s="15" t="str">
        <f>IF(ISBLANK(Raw_Data!F4221),AVERAGE(Raw_Data!F$2:F$5002),Raw_Data!F4221)</f>
        <v>34385.67</v>
      </c>
      <c r="G4221" s="14" t="str">
        <f>IF(ISBLANK(Raw_Data!G4221),AVERAGE(Raw_Data!G$2:G$5002),Raw_Data!G4221)</f>
        <v>22045.87</v>
      </c>
      <c r="H4221" s="15" t="str">
        <f t="shared" si="1"/>
        <v>165456.00</v>
      </c>
      <c r="I4221" s="14" t="str">
        <f t="shared" si="2"/>
        <v>143410.00</v>
      </c>
      <c r="J4221" s="16" t="str">
        <f>TEXT(Raw_Data!J4221,"MMM-YYY")</f>
        <v>Mar-2025</v>
      </c>
      <c r="K4221" s="13" t="str">
        <f>Raw_Data!K4221</f>
        <v>23</v>
      </c>
      <c r="L4221" s="17" t="str">
        <f>Raw_Data!L4221</f>
        <v>Pune-West</v>
      </c>
      <c r="M4221" s="13" t="str">
        <f t="shared" si="3"/>
        <v>OK</v>
      </c>
      <c r="N4221" s="18" t="str">
        <f t="shared" si="4"/>
        <v>VALID</v>
      </c>
    </row>
    <row r="4222" ht="15.75" customHeight="1">
      <c r="A4222" s="13" t="str">
        <f>Raw_Data!A4222</f>
        <v>EMP4456</v>
      </c>
      <c r="B4222" s="13" t="str">
        <f>TRIM(CLEAN(Raw_Data!B4222))</f>
        <v>IT</v>
      </c>
      <c r="C4222" s="18" t="s">
        <v>26</v>
      </c>
      <c r="D4222" s="14" t="str">
        <f>IF(ISBLANK(Raw_Data!D4222),AVERAGE(Raw_Data!D$2:D$5002),Raw_Data!D4222)</f>
        <v>96531.79</v>
      </c>
      <c r="E4222" s="15" t="str">
        <f>IF(ISBLANK(Raw_Data!E4222),AVERAGE(Raw_Data!E$2:E$5002),Raw_Data!E4222)</f>
        <v>34553.81</v>
      </c>
      <c r="F4222" s="15" t="str">
        <f>IF(ISBLANK(Raw_Data!F4222),AVERAGE(Raw_Data!F$2:F$5002),Raw_Data!F4222)</f>
        <v>34393.35</v>
      </c>
      <c r="G4222" s="14" t="str">
        <f>IF(ISBLANK(Raw_Data!G4222),AVERAGE(Raw_Data!G$2:G$5002),Raw_Data!G4222)</f>
        <v>22049.26</v>
      </c>
      <c r="H4222" s="15" t="str">
        <f t="shared" si="1"/>
        <v>165479.00</v>
      </c>
      <c r="I4222" s="14" t="str">
        <f t="shared" si="2"/>
        <v>143430.00</v>
      </c>
      <c r="J4222" s="16" t="str">
        <f>TEXT(Raw_Data!J4222,"MMM-YYY")</f>
        <v>Oct-2025</v>
      </c>
      <c r="K4222" s="13" t="str">
        <f>Raw_Data!K4222</f>
        <v>16</v>
      </c>
      <c r="L4222" s="17" t="str">
        <f>Raw_Data!L4222</f>
        <v>Hyderabad-South</v>
      </c>
      <c r="M4222" s="13" t="str">
        <f t="shared" si="3"/>
        <v>OK</v>
      </c>
      <c r="N4222" s="18" t="str">
        <f t="shared" si="4"/>
        <v>VALID</v>
      </c>
    </row>
    <row r="4223" ht="15.75" customHeight="1">
      <c r="A4223" s="13" t="str">
        <f>Raw_Data!A4223</f>
        <v>EMP4457</v>
      </c>
      <c r="B4223" s="13" t="str">
        <f>TRIM(CLEAN(Raw_Data!B4223))</f>
        <v>Sales</v>
      </c>
      <c r="C4223" s="18" t="s">
        <v>37</v>
      </c>
      <c r="D4223" s="14" t="str">
        <f>IF(ISBLANK(Raw_Data!D4223),AVERAGE(Raw_Data!D$2:D$5002),Raw_Data!D4223)</f>
        <v>96542.68</v>
      </c>
      <c r="E4223" s="15" t="str">
        <f>IF(ISBLANK(Raw_Data!E4223),AVERAGE(Raw_Data!E$2:E$5002),Raw_Data!E4223)</f>
        <v>34558.42</v>
      </c>
      <c r="F4223" s="15" t="str">
        <f>IF(ISBLANK(Raw_Data!F4223),AVERAGE(Raw_Data!F$2:F$5002),Raw_Data!F4223)</f>
        <v>34401.03</v>
      </c>
      <c r="G4223" s="14" t="str">
        <f>IF(ISBLANK(Raw_Data!G4223),AVERAGE(Raw_Data!G$2:G$5002),Raw_Data!G4223)</f>
        <v>22052.66</v>
      </c>
      <c r="H4223" s="15" t="str">
        <f t="shared" si="1"/>
        <v>165502.00</v>
      </c>
      <c r="I4223" s="14" t="str">
        <f t="shared" si="2"/>
        <v>143449.00</v>
      </c>
      <c r="J4223" s="16" t="str">
        <f>TEXT(Raw_Data!J4223,"MMM-YYY")</f>
        <v>Jul-2025</v>
      </c>
      <c r="K4223" s="13" t="str">
        <f>Raw_Data!K4223</f>
        <v>15</v>
      </c>
      <c r="L4223" s="17" t="str">
        <f>Raw_Data!L4223</f>
        <v>Chandigarh-North</v>
      </c>
      <c r="M4223" s="13" t="str">
        <f t="shared" si="3"/>
        <v>OK</v>
      </c>
      <c r="N4223" s="18" t="str">
        <f t="shared" si="4"/>
        <v>VALID</v>
      </c>
    </row>
    <row r="4224" ht="15.75" customHeight="1">
      <c r="A4224" s="13" t="str">
        <f>Raw_Data!A4224</f>
        <v>EMP4458</v>
      </c>
      <c r="B4224" s="13" t="str">
        <f>TRIM(CLEAN(Raw_Data!B4224))</f>
        <v>Sales</v>
      </c>
      <c r="C4224" s="18" t="s">
        <v>18</v>
      </c>
      <c r="D4224" s="14" t="str">
        <f>IF(ISBLANK(Raw_Data!D4224),AVERAGE(Raw_Data!D$2:D$5002),Raw_Data!D4224)</f>
        <v>96553.56</v>
      </c>
      <c r="E4224" s="15" t="str">
        <f>IF(ISBLANK(Raw_Data!E4224),AVERAGE(Raw_Data!E$2:E$5002),Raw_Data!E4224)</f>
        <v>34563.04</v>
      </c>
      <c r="F4224" s="15" t="str">
        <f>IF(ISBLANK(Raw_Data!F4224),AVERAGE(Raw_Data!F$2:F$5002),Raw_Data!F4224)</f>
        <v>34408.71</v>
      </c>
      <c r="G4224" s="14" t="str">
        <f>IF(ISBLANK(Raw_Data!G4224),AVERAGE(Raw_Data!G$2:G$5002),Raw_Data!G4224)</f>
        <v>22056.06</v>
      </c>
      <c r="H4224" s="15" t="str">
        <f t="shared" si="1"/>
        <v>165525.00</v>
      </c>
      <c r="I4224" s="14" t="str">
        <f t="shared" si="2"/>
        <v>143469.00</v>
      </c>
      <c r="J4224" s="16" t="str">
        <f>TEXT(Raw_Data!J4224,"MMM-YYY")</f>
        <v>Aug-2025</v>
      </c>
      <c r="K4224" s="13" t="str">
        <f>Raw_Data!K4224</f>
        <v>15</v>
      </c>
      <c r="L4224" s="17" t="str">
        <f>Raw_Data!L4224</f>
        <v>Ahmedabad-West</v>
      </c>
      <c r="M4224" s="13" t="str">
        <f t="shared" si="3"/>
        <v>OK</v>
      </c>
      <c r="N4224" s="18" t="str">
        <f t="shared" si="4"/>
        <v>VALID</v>
      </c>
    </row>
    <row r="4225" ht="15.75" customHeight="1">
      <c r="A4225" s="13" t="str">
        <f>Raw_Data!A4225</f>
        <v>EMP4459</v>
      </c>
      <c r="B4225" s="13" t="str">
        <f>TRIM(CLEAN(Raw_Data!B4225))</f>
        <v>Marketing</v>
      </c>
      <c r="C4225" s="18" t="s">
        <v>54</v>
      </c>
      <c r="D4225" s="14" t="str">
        <f>IF(ISBLANK(Raw_Data!D4225),AVERAGE(Raw_Data!D$2:D$5002),Raw_Data!D4225)</f>
        <v>71831.17</v>
      </c>
      <c r="E4225" s="15" t="str">
        <f>IF(ISBLANK(Raw_Data!E4225),AVERAGE(Raw_Data!E$2:E$5002),Raw_Data!E4225)</f>
        <v>34567.65</v>
      </c>
      <c r="F4225" s="15" t="str">
        <f>IF(ISBLANK(Raw_Data!F4225),AVERAGE(Raw_Data!F$2:F$5002),Raw_Data!F4225)</f>
        <v>34416.39</v>
      </c>
      <c r="G4225" s="14" t="str">
        <f>IF(ISBLANK(Raw_Data!G4225),AVERAGE(Raw_Data!G$2:G$5002),Raw_Data!G4225)</f>
        <v>22059.46</v>
      </c>
      <c r="H4225" s="15" t="str">
        <f t="shared" si="1"/>
        <v>140815.00</v>
      </c>
      <c r="I4225" s="14" t="str">
        <f t="shared" si="2"/>
        <v>118756.00</v>
      </c>
      <c r="J4225" s="16" t="str">
        <f>TEXT(Raw_Data!J4225,"MMM-YYY")</f>
        <v>Mar-2025</v>
      </c>
      <c r="K4225" s="13" t="str">
        <f>Raw_Data!K4225</f>
        <v>19</v>
      </c>
      <c r="L4225" s="17" t="str">
        <f>Raw_Data!L4225</f>
        <v>Jaipur-North</v>
      </c>
      <c r="M4225" s="13" t="str">
        <f t="shared" si="3"/>
        <v>OK</v>
      </c>
      <c r="N4225" s="18" t="str">
        <f t="shared" si="4"/>
        <v>VALID</v>
      </c>
    </row>
    <row r="4226" ht="15.75" customHeight="1">
      <c r="A4226" s="13" t="str">
        <f>Raw_Data!A4226</f>
        <v>EMP4460</v>
      </c>
      <c r="B4226" s="13" t="str">
        <f>TRIM(CLEAN(Raw_Data!B4226))</f>
        <v>IT</v>
      </c>
      <c r="C4226" s="18" t="s">
        <v>18</v>
      </c>
      <c r="D4226" s="14" t="str">
        <f>IF(ISBLANK(Raw_Data!D4226),AVERAGE(Raw_Data!D$2:D$5002),Raw_Data!D4226)</f>
        <v>96575.33</v>
      </c>
      <c r="E4226" s="15" t="str">
        <f>IF(ISBLANK(Raw_Data!E4226),AVERAGE(Raw_Data!E$2:E$5002),Raw_Data!E4226)</f>
        <v>34572.27</v>
      </c>
      <c r="F4226" s="15" t="str">
        <f>IF(ISBLANK(Raw_Data!F4226),AVERAGE(Raw_Data!F$2:F$5002),Raw_Data!F4226)</f>
        <v>34424.07</v>
      </c>
      <c r="G4226" s="14" t="str">
        <f>IF(ISBLANK(Raw_Data!G4226),AVERAGE(Raw_Data!G$2:G$5002),Raw_Data!G4226)</f>
        <v>22062.85</v>
      </c>
      <c r="H4226" s="15" t="str">
        <f t="shared" si="1"/>
        <v>165572.00</v>
      </c>
      <c r="I4226" s="14" t="str">
        <f t="shared" si="2"/>
        <v>143509.00</v>
      </c>
      <c r="J4226" s="16" t="str">
        <f>TEXT(Raw_Data!J4226,"MMM-YYY")</f>
        <v>Dec-2025</v>
      </c>
      <c r="K4226" s="13" t="str">
        <f>Raw_Data!K4226</f>
        <v>7</v>
      </c>
      <c r="L4226" s="17" t="str">
        <f>Raw_Data!L4226</f>
        <v>Mumbai-HO</v>
      </c>
      <c r="M4226" s="13" t="str">
        <f t="shared" si="3"/>
        <v>OK</v>
      </c>
      <c r="N4226" s="18" t="str">
        <f t="shared" si="4"/>
        <v>VALID</v>
      </c>
    </row>
    <row r="4227" ht="15.75" customHeight="1">
      <c r="A4227" s="13" t="str">
        <f>Raw_Data!A4227</f>
        <v>EMP4461</v>
      </c>
      <c r="B4227" s="13" t="str">
        <f>TRIM(CLEAN(Raw_Data!B4227))</f>
        <v>Operations</v>
      </c>
      <c r="C4227" s="18" t="s">
        <v>37</v>
      </c>
      <c r="D4227" s="14" t="str">
        <f>IF(ISBLANK(Raw_Data!D4227),AVERAGE(Raw_Data!D$2:D$5002),Raw_Data!D4227)</f>
        <v>96586.21</v>
      </c>
      <c r="E4227" s="15" t="str">
        <f>IF(ISBLANK(Raw_Data!E4227),AVERAGE(Raw_Data!E$2:E$5002),Raw_Data!E4227)</f>
        <v>34576.88</v>
      </c>
      <c r="F4227" s="15" t="str">
        <f>IF(ISBLANK(Raw_Data!F4227),AVERAGE(Raw_Data!F$2:F$5002),Raw_Data!F4227)</f>
        <v>34431.75</v>
      </c>
      <c r="G4227" s="14" t="str">
        <f>IF(ISBLANK(Raw_Data!G4227),AVERAGE(Raw_Data!G$2:G$5002),Raw_Data!G4227)</f>
        <v>22066.25</v>
      </c>
      <c r="H4227" s="15" t="str">
        <f t="shared" si="1"/>
        <v>165595.00</v>
      </c>
      <c r="I4227" s="14" t="str">
        <f t="shared" si="2"/>
        <v>143529.00</v>
      </c>
      <c r="J4227" s="16" t="str">
        <f>TEXT(Raw_Data!J4227,"MMM-YYY")</f>
        <v>Sep-2025</v>
      </c>
      <c r="K4227" s="13" t="str">
        <f>Raw_Data!K4227</f>
        <v>4</v>
      </c>
      <c r="L4227" s="17" t="str">
        <f>Raw_Data!L4227</f>
        <v>Delhi-North</v>
      </c>
      <c r="M4227" s="13" t="str">
        <f t="shared" si="3"/>
        <v>OK</v>
      </c>
      <c r="N4227" s="18" t="str">
        <f t="shared" si="4"/>
        <v>VALID</v>
      </c>
    </row>
    <row r="4228" ht="15.75" customHeight="1">
      <c r="A4228" s="13" t="str">
        <f>Raw_Data!A4228</f>
        <v>EMP4462</v>
      </c>
      <c r="B4228" s="13" t="str">
        <f>TRIM(CLEAN(Raw_Data!B4228))</f>
        <v>IT</v>
      </c>
      <c r="C4228" s="18" t="s">
        <v>26</v>
      </c>
      <c r="D4228" s="14" t="str">
        <f>IF(ISBLANK(Raw_Data!D4228),AVERAGE(Raw_Data!D$2:D$5002),Raw_Data!D4228)</f>
        <v>96597.09</v>
      </c>
      <c r="E4228" s="15" t="str">
        <f>IF(ISBLANK(Raw_Data!E4228),AVERAGE(Raw_Data!E$2:E$5002),Raw_Data!E4228)</f>
        <v>34581.50</v>
      </c>
      <c r="F4228" s="15" t="str">
        <f>IF(ISBLANK(Raw_Data!F4228),AVERAGE(Raw_Data!F$2:F$5002),Raw_Data!F4228)</f>
        <v>34439.43</v>
      </c>
      <c r="G4228" s="14" t="str">
        <f>IF(ISBLANK(Raw_Data!G4228),AVERAGE(Raw_Data!G$2:G$5002),Raw_Data!G4228)</f>
        <v>22069.65</v>
      </c>
      <c r="H4228" s="15" t="str">
        <f t="shared" si="1"/>
        <v>165618.00</v>
      </c>
      <c r="I4228" s="14" t="str">
        <f t="shared" si="2"/>
        <v>143548.00</v>
      </c>
      <c r="J4228" s="16" t="str">
        <f>TEXT(Raw_Data!J4228,"MMM-YYY")</f>
        <v>Nov-2025</v>
      </c>
      <c r="K4228" s="13" t="str">
        <f>Raw_Data!K4228</f>
        <v>4</v>
      </c>
      <c r="L4228" s="17" t="str">
        <f>Raw_Data!L4228</f>
        <v>Bangalore-South</v>
      </c>
      <c r="M4228" s="13" t="str">
        <f t="shared" si="3"/>
        <v>OK</v>
      </c>
      <c r="N4228" s="18" t="str">
        <f t="shared" si="4"/>
        <v>VALID</v>
      </c>
    </row>
    <row r="4229" ht="15.75" customHeight="1">
      <c r="A4229" s="13" t="str">
        <f>Raw_Data!A4229</f>
        <v>EMP4463</v>
      </c>
      <c r="B4229" s="13" t="str">
        <f>TRIM(CLEAN(Raw_Data!B4229))</f>
        <v>Customer Support</v>
      </c>
      <c r="C4229" s="18" t="s">
        <v>26</v>
      </c>
      <c r="D4229" s="14" t="str">
        <f>IF(ISBLANK(Raw_Data!D4229),AVERAGE(Raw_Data!D$2:D$5002),Raw_Data!D4229)</f>
        <v>96607.97</v>
      </c>
      <c r="E4229" s="15" t="str">
        <f>IF(ISBLANK(Raw_Data!E4229),AVERAGE(Raw_Data!E$2:E$5002),Raw_Data!E4229)</f>
        <v>34586.11</v>
      </c>
      <c r="F4229" s="15" t="str">
        <f>IF(ISBLANK(Raw_Data!F4229),AVERAGE(Raw_Data!F$2:F$5002),Raw_Data!F4229)</f>
        <v>34447.11</v>
      </c>
      <c r="G4229" s="14" t="str">
        <f>IF(ISBLANK(Raw_Data!G4229),AVERAGE(Raw_Data!G$2:G$5002),Raw_Data!G4229)</f>
        <v>22073.05</v>
      </c>
      <c r="H4229" s="15" t="str">
        <f t="shared" si="1"/>
        <v>165641.00</v>
      </c>
      <c r="I4229" s="14" t="str">
        <f t="shared" si="2"/>
        <v>143568.00</v>
      </c>
      <c r="J4229" s="16" t="str">
        <f>TEXT(Raw_Data!J4229,"MMM-YYY")</f>
        <v>Jul-2025</v>
      </c>
      <c r="K4229" s="13" t="str">
        <f>Raw_Data!K4229</f>
        <v>10</v>
      </c>
      <c r="L4229" s="17" t="str">
        <f>Raw_Data!L4229</f>
        <v>Chennai-South</v>
      </c>
      <c r="M4229" s="13" t="str">
        <f t="shared" si="3"/>
        <v>OK</v>
      </c>
      <c r="N4229" s="18" t="str">
        <f t="shared" si="4"/>
        <v>VALID</v>
      </c>
    </row>
    <row r="4230" ht="15.75" customHeight="1">
      <c r="A4230" s="13" t="str">
        <f>Raw_Data!A4230</f>
        <v>EMP4464</v>
      </c>
      <c r="B4230" s="13" t="str">
        <f>TRIM(CLEAN(Raw_Data!B4230))</f>
        <v>Finance</v>
      </c>
      <c r="C4230" s="18" t="s">
        <v>14</v>
      </c>
      <c r="D4230" s="14" t="str">
        <f>IF(ISBLANK(Raw_Data!D4230),AVERAGE(Raw_Data!D$2:D$5002),Raw_Data!D4230)</f>
        <v>96618.86</v>
      </c>
      <c r="E4230" s="15" t="str">
        <f>IF(ISBLANK(Raw_Data!E4230),AVERAGE(Raw_Data!E$2:E$5002),Raw_Data!E4230)</f>
        <v>34590.73</v>
      </c>
      <c r="F4230" s="15" t="str">
        <f>IF(ISBLANK(Raw_Data!F4230),AVERAGE(Raw_Data!F$2:F$5002),Raw_Data!F4230)</f>
        <v>34454.79</v>
      </c>
      <c r="G4230" s="14" t="str">
        <f>IF(ISBLANK(Raw_Data!G4230),AVERAGE(Raw_Data!G$2:G$5002),Raw_Data!G4230)</f>
        <v>22076.45</v>
      </c>
      <c r="H4230" s="15" t="str">
        <f t="shared" si="1"/>
        <v>165664.00</v>
      </c>
      <c r="I4230" s="14" t="str">
        <f t="shared" si="2"/>
        <v>143588.00</v>
      </c>
      <c r="J4230" s="16" t="str">
        <f>TEXT(Raw_Data!J4230,"MMM-YYY")</f>
        <v>Dec-2025</v>
      </c>
      <c r="K4230" s="13" t="str">
        <f>Raw_Data!K4230</f>
        <v>13</v>
      </c>
      <c r="L4230" s="17" t="str">
        <f>Raw_Data!L4230</f>
        <v>Kolkata-East</v>
      </c>
      <c r="M4230" s="13" t="str">
        <f t="shared" si="3"/>
        <v>OK</v>
      </c>
      <c r="N4230" s="18" t="str">
        <f t="shared" si="4"/>
        <v>VALID</v>
      </c>
    </row>
    <row r="4231" ht="15.75" customHeight="1">
      <c r="A4231" s="13" t="str">
        <f>Raw_Data!A4231</f>
        <v>EMP4465</v>
      </c>
      <c r="B4231" s="13" t="str">
        <f>TRIM(CLEAN(Raw_Data!B4231))</f>
        <v>Operations</v>
      </c>
      <c r="C4231" s="18" t="s">
        <v>30</v>
      </c>
      <c r="D4231" s="14" t="str">
        <f>IF(ISBLANK(Raw_Data!D4231),AVERAGE(Raw_Data!D$2:D$5002),Raw_Data!D4231)</f>
        <v>96629.74</v>
      </c>
      <c r="E4231" s="15" t="str">
        <f>IF(ISBLANK(Raw_Data!E4231),AVERAGE(Raw_Data!E$2:E$5002),Raw_Data!E4231)</f>
        <v>34595.34</v>
      </c>
      <c r="F4231" s="15" t="str">
        <f>IF(ISBLANK(Raw_Data!F4231),AVERAGE(Raw_Data!F$2:F$5002),Raw_Data!F4231)</f>
        <v>34462.47</v>
      </c>
      <c r="G4231" s="14" t="str">
        <f>IF(ISBLANK(Raw_Data!G4231),AVERAGE(Raw_Data!G$2:G$5002),Raw_Data!G4231)</f>
        <v>22079.84</v>
      </c>
      <c r="H4231" s="15" t="str">
        <f t="shared" si="1"/>
        <v>165688.00</v>
      </c>
      <c r="I4231" s="14" t="str">
        <f t="shared" si="2"/>
        <v>143608.00</v>
      </c>
      <c r="J4231" s="16" t="str">
        <f>TEXT(Raw_Data!J4231,"MMM-YYY")</f>
        <v>Oct-2025</v>
      </c>
      <c r="K4231" s="13" t="str">
        <f>Raw_Data!K4231</f>
        <v>4</v>
      </c>
      <c r="L4231" s="17" t="str">
        <f>Raw_Data!L4231</f>
        <v>Pune-West</v>
      </c>
      <c r="M4231" s="13" t="str">
        <f t="shared" si="3"/>
        <v>OK</v>
      </c>
      <c r="N4231" s="18" t="str">
        <f t="shared" si="4"/>
        <v>VALID</v>
      </c>
    </row>
    <row r="4232" ht="15.75" customHeight="1">
      <c r="A4232" s="13" t="str">
        <f>Raw_Data!A4232</f>
        <v>EMP4466</v>
      </c>
      <c r="B4232" s="13" t="str">
        <f>TRIM(CLEAN(Raw_Data!B4232))</f>
        <v>HR</v>
      </c>
      <c r="C4232" s="18" t="s">
        <v>54</v>
      </c>
      <c r="D4232" s="14" t="str">
        <f>IF(ISBLANK(Raw_Data!D4232),AVERAGE(Raw_Data!D$2:D$5002),Raw_Data!D4232)</f>
        <v>96640.62</v>
      </c>
      <c r="E4232" s="15" t="str">
        <f>IF(ISBLANK(Raw_Data!E4232),AVERAGE(Raw_Data!E$2:E$5002),Raw_Data!E4232)</f>
        <v>34599.96</v>
      </c>
      <c r="F4232" s="15" t="str">
        <f>IF(ISBLANK(Raw_Data!F4232),AVERAGE(Raw_Data!F$2:F$5002),Raw_Data!F4232)</f>
        <v>34470.15</v>
      </c>
      <c r="G4232" s="14" t="str">
        <f>IF(ISBLANK(Raw_Data!G4232),AVERAGE(Raw_Data!G$2:G$5002),Raw_Data!G4232)</f>
        <v>22083.24</v>
      </c>
      <c r="H4232" s="15" t="str">
        <f t="shared" si="1"/>
        <v>165711.00</v>
      </c>
      <c r="I4232" s="14" t="str">
        <f t="shared" si="2"/>
        <v>143628.00</v>
      </c>
      <c r="J4232" s="16" t="str">
        <f>TEXT(Raw_Data!J4232,"MMM-YYY")</f>
        <v>Apr-2025</v>
      </c>
      <c r="K4232" s="13" t="str">
        <f>Raw_Data!K4232</f>
        <v>22</v>
      </c>
      <c r="L4232" s="17" t="str">
        <f>Raw_Data!L4232</f>
        <v>Hyderabad-South</v>
      </c>
      <c r="M4232" s="13" t="str">
        <f t="shared" si="3"/>
        <v>OK</v>
      </c>
      <c r="N4232" s="18" t="str">
        <f t="shared" si="4"/>
        <v>VALID</v>
      </c>
    </row>
    <row r="4233" ht="15.75" customHeight="1">
      <c r="A4233" s="13" t="str">
        <f>Raw_Data!A4233</f>
        <v>EMP4467</v>
      </c>
      <c r="B4233" s="13" t="str">
        <f>TRIM(CLEAN(Raw_Data!B4233))</f>
        <v>HR</v>
      </c>
      <c r="C4233" s="18" t="s">
        <v>33</v>
      </c>
      <c r="D4233" s="14" t="str">
        <f>IF(ISBLANK(Raw_Data!D4233),AVERAGE(Raw_Data!D$2:D$5002),Raw_Data!D4233)</f>
        <v>96651.51</v>
      </c>
      <c r="E4233" s="15" t="str">
        <f>IF(ISBLANK(Raw_Data!E4233),AVERAGE(Raw_Data!E$2:E$5002),Raw_Data!E4233)</f>
        <v>34604.57</v>
      </c>
      <c r="F4233" s="15" t="str">
        <f>IF(ISBLANK(Raw_Data!F4233),AVERAGE(Raw_Data!F$2:F$5002),Raw_Data!F4233)</f>
        <v>34477.83</v>
      </c>
      <c r="G4233" s="14" t="str">
        <f>IF(ISBLANK(Raw_Data!G4233),AVERAGE(Raw_Data!G$2:G$5002),Raw_Data!G4233)</f>
        <v>22086.64</v>
      </c>
      <c r="H4233" s="15" t="str">
        <f t="shared" si="1"/>
        <v>165734.00</v>
      </c>
      <c r="I4233" s="14" t="str">
        <f t="shared" si="2"/>
        <v>143647.00</v>
      </c>
      <c r="J4233" s="16" t="str">
        <f>TEXT(Raw_Data!J4233,"MMM-YYY")</f>
        <v>Oct-2025</v>
      </c>
      <c r="K4233" s="13" t="str">
        <f>Raw_Data!K4233</f>
        <v>11</v>
      </c>
      <c r="L4233" s="17" t="str">
        <f>Raw_Data!L4233</f>
        <v>Chandigarh-North</v>
      </c>
      <c r="M4233" s="13" t="str">
        <f t="shared" si="3"/>
        <v>OK</v>
      </c>
      <c r="N4233" s="18" t="str">
        <f t="shared" si="4"/>
        <v>VALID</v>
      </c>
    </row>
    <row r="4234" ht="15.75" customHeight="1">
      <c r="A4234" s="13" t="str">
        <f>Raw_Data!A4234</f>
        <v>EMP4468</v>
      </c>
      <c r="B4234" s="13" t="str">
        <f>TRIM(CLEAN(Raw_Data!B4234))</f>
        <v>Marketing</v>
      </c>
      <c r="C4234" s="18" t="s">
        <v>26</v>
      </c>
      <c r="D4234" s="14" t="str">
        <f>IF(ISBLANK(Raw_Data!D4234),AVERAGE(Raw_Data!D$2:D$5002),Raw_Data!D4234)</f>
        <v>96662.39</v>
      </c>
      <c r="E4234" s="15" t="str">
        <f>IF(ISBLANK(Raw_Data!E4234),AVERAGE(Raw_Data!E$2:E$5002),Raw_Data!E4234)</f>
        <v>34609.19</v>
      </c>
      <c r="F4234" s="15" t="str">
        <f>IF(ISBLANK(Raw_Data!F4234),AVERAGE(Raw_Data!F$2:F$5002),Raw_Data!F4234)</f>
        <v>34485.51</v>
      </c>
      <c r="G4234" s="14" t="str">
        <f>IF(ISBLANK(Raw_Data!G4234),AVERAGE(Raw_Data!G$2:G$5002),Raw_Data!G4234)</f>
        <v>22090.04</v>
      </c>
      <c r="H4234" s="15" t="str">
        <f t="shared" si="1"/>
        <v>165757.00</v>
      </c>
      <c r="I4234" s="14" t="str">
        <f t="shared" si="2"/>
        <v>143667.00</v>
      </c>
      <c r="J4234" s="16" t="str">
        <f>TEXT(Raw_Data!J4234,"MMM-YYY")</f>
        <v>Jun-2025</v>
      </c>
      <c r="K4234" s="13" t="str">
        <f>Raw_Data!K4234</f>
        <v>24</v>
      </c>
      <c r="L4234" s="17" t="str">
        <f>Raw_Data!L4234</f>
        <v>Ahmedabad-West</v>
      </c>
      <c r="M4234" s="13" t="str">
        <f t="shared" si="3"/>
        <v>OK</v>
      </c>
      <c r="N4234" s="18" t="str">
        <f t="shared" si="4"/>
        <v>VALID</v>
      </c>
    </row>
    <row r="4235" ht="15.75" customHeight="1">
      <c r="A4235" s="13" t="str">
        <f>Raw_Data!A4235</f>
        <v>EMP4469</v>
      </c>
      <c r="B4235" s="13" t="str">
        <f>TRIM(CLEAN(Raw_Data!B4235))</f>
        <v>HR</v>
      </c>
      <c r="C4235" s="18" t="s">
        <v>54</v>
      </c>
      <c r="D4235" s="14" t="str">
        <f>IF(ISBLANK(Raw_Data!D4235),AVERAGE(Raw_Data!D$2:D$5002),Raw_Data!D4235)</f>
        <v>96673.27</v>
      </c>
      <c r="E4235" s="15" t="str">
        <f>IF(ISBLANK(Raw_Data!E4235),AVERAGE(Raw_Data!E$2:E$5002),Raw_Data!E4235)</f>
        <v>34613.80</v>
      </c>
      <c r="F4235" s="15" t="str">
        <f>IF(ISBLANK(Raw_Data!F4235),AVERAGE(Raw_Data!F$2:F$5002),Raw_Data!F4235)</f>
        <v>34493.19</v>
      </c>
      <c r="G4235" s="14" t="str">
        <f>IF(ISBLANK(Raw_Data!G4235),AVERAGE(Raw_Data!G$2:G$5002),Raw_Data!G4235)</f>
        <v>22093.43</v>
      </c>
      <c r="H4235" s="15" t="str">
        <f t="shared" si="1"/>
        <v>165780.00</v>
      </c>
      <c r="I4235" s="14" t="str">
        <f t="shared" si="2"/>
        <v>143687.00</v>
      </c>
      <c r="J4235" s="16" t="str">
        <f>TEXT(Raw_Data!J4235,"MMM-YYY")</f>
        <v>Jul-2025</v>
      </c>
      <c r="K4235" s="13" t="str">
        <f>Raw_Data!K4235</f>
        <v>13</v>
      </c>
      <c r="L4235" s="17" t="str">
        <f>Raw_Data!L4235</f>
        <v>Jaipur-North</v>
      </c>
      <c r="M4235" s="13" t="str">
        <f t="shared" si="3"/>
        <v>OK</v>
      </c>
      <c r="N4235" s="18" t="str">
        <f t="shared" si="4"/>
        <v>VALID</v>
      </c>
    </row>
    <row r="4236" ht="15.75" customHeight="1">
      <c r="A4236" s="13" t="str">
        <f>Raw_Data!A4236</f>
        <v>EMP4470</v>
      </c>
      <c r="B4236" s="13" t="str">
        <f>TRIM(CLEAN(Raw_Data!B4236))</f>
        <v>Customer Support</v>
      </c>
      <c r="C4236" s="18" t="s">
        <v>30</v>
      </c>
      <c r="D4236" s="14" t="str">
        <f>IF(ISBLANK(Raw_Data!D4236),AVERAGE(Raw_Data!D$2:D$5002),Raw_Data!D4236)</f>
        <v>96684.15</v>
      </c>
      <c r="E4236" s="15" t="str">
        <f>IF(ISBLANK(Raw_Data!E4236),AVERAGE(Raw_Data!E$2:E$5002),Raw_Data!E4236)</f>
        <v>34618.42</v>
      </c>
      <c r="F4236" s="15" t="str">
        <f>IF(ISBLANK(Raw_Data!F4236),AVERAGE(Raw_Data!F$2:F$5002),Raw_Data!F4236)</f>
        <v>34500.87</v>
      </c>
      <c r="G4236" s="14" t="str">
        <f>IF(ISBLANK(Raw_Data!G4236),AVERAGE(Raw_Data!G$2:G$5002),Raw_Data!G4236)</f>
        <v>22096.83</v>
      </c>
      <c r="H4236" s="15" t="str">
        <f t="shared" si="1"/>
        <v>165803.00</v>
      </c>
      <c r="I4236" s="14" t="str">
        <f t="shared" si="2"/>
        <v>143706.00</v>
      </c>
      <c r="J4236" s="16" t="str">
        <f>TEXT(Raw_Data!J4236,"MMM-YYY")</f>
        <v>Dec-2025</v>
      </c>
      <c r="K4236" s="13" t="str">
        <f>Raw_Data!K4236</f>
        <v>14</v>
      </c>
      <c r="L4236" s="17" t="str">
        <f>Raw_Data!L4236</f>
        <v>Mumbai-HO</v>
      </c>
      <c r="M4236" s="13" t="str">
        <f t="shared" si="3"/>
        <v>OK</v>
      </c>
      <c r="N4236" s="18" t="str">
        <f t="shared" si="4"/>
        <v>VALID</v>
      </c>
    </row>
    <row r="4237" ht="15.75" customHeight="1">
      <c r="A4237" s="13" t="str">
        <f>Raw_Data!A4237</f>
        <v>EMP4471</v>
      </c>
      <c r="B4237" s="13" t="str">
        <f>TRIM(CLEAN(Raw_Data!B4237))</f>
        <v>Operations</v>
      </c>
      <c r="C4237" s="18" t="s">
        <v>18</v>
      </c>
      <c r="D4237" s="14" t="str">
        <f>IF(ISBLANK(Raw_Data!D4237),AVERAGE(Raw_Data!D$2:D$5002),Raw_Data!D4237)</f>
        <v>96695.04</v>
      </c>
      <c r="E4237" s="15" t="str">
        <f>IF(ISBLANK(Raw_Data!E4237),AVERAGE(Raw_Data!E$2:E$5002),Raw_Data!E4237)</f>
        <v>34623.03</v>
      </c>
      <c r="F4237" s="15" t="str">
        <f>IF(ISBLANK(Raw_Data!F4237),AVERAGE(Raw_Data!F$2:F$5002),Raw_Data!F4237)</f>
        <v>34508.55</v>
      </c>
      <c r="G4237" s="14" t="str">
        <f>IF(ISBLANK(Raw_Data!G4237),AVERAGE(Raw_Data!G$2:G$5002),Raw_Data!G4237)</f>
        <v>22100.23</v>
      </c>
      <c r="H4237" s="15" t="str">
        <f t="shared" si="1"/>
        <v>165827.00</v>
      </c>
      <c r="I4237" s="14" t="str">
        <f t="shared" si="2"/>
        <v>143727.00</v>
      </c>
      <c r="J4237" s="16" t="str">
        <f>TEXT(Raw_Data!J4237,"MMM-YYY")</f>
        <v>Sep-2025</v>
      </c>
      <c r="K4237" s="13" t="str">
        <f>Raw_Data!K4237</f>
        <v>7</v>
      </c>
      <c r="L4237" s="17" t="str">
        <f>Raw_Data!L4237</f>
        <v>Delhi-North</v>
      </c>
      <c r="M4237" s="13" t="str">
        <f t="shared" si="3"/>
        <v>OK</v>
      </c>
      <c r="N4237" s="18" t="str">
        <f t="shared" si="4"/>
        <v>VALID</v>
      </c>
    </row>
    <row r="4238" ht="15.75" customHeight="1">
      <c r="A4238" s="13" t="str">
        <f>Raw_Data!A4238</f>
        <v>EMP4472</v>
      </c>
      <c r="B4238" s="13" t="str">
        <f>TRIM(CLEAN(Raw_Data!B4238))</f>
        <v>Finance</v>
      </c>
      <c r="C4238" s="18" t="s">
        <v>37</v>
      </c>
      <c r="D4238" s="14" t="str">
        <f>IF(ISBLANK(Raw_Data!D4238),AVERAGE(Raw_Data!D$2:D$5002),Raw_Data!D4238)</f>
        <v>96705.92</v>
      </c>
      <c r="E4238" s="15" t="str">
        <f>IF(ISBLANK(Raw_Data!E4238),AVERAGE(Raw_Data!E$2:E$5002),Raw_Data!E4238)</f>
        <v>34627.64</v>
      </c>
      <c r="F4238" s="15" t="str">
        <f>IF(ISBLANK(Raw_Data!F4238),AVERAGE(Raw_Data!F$2:F$5002),Raw_Data!F4238)</f>
        <v>34516.23</v>
      </c>
      <c r="G4238" s="14" t="str">
        <f>IF(ISBLANK(Raw_Data!G4238),AVERAGE(Raw_Data!G$2:G$5002),Raw_Data!G4238)</f>
        <v>22103.63</v>
      </c>
      <c r="H4238" s="15" t="str">
        <f t="shared" si="1"/>
        <v>165850.00</v>
      </c>
      <c r="I4238" s="14" t="str">
        <f t="shared" si="2"/>
        <v>143746.00</v>
      </c>
      <c r="J4238" s="16" t="str">
        <f>TEXT(Raw_Data!J4238,"MMM-YYY")</f>
        <v>Apr-2025</v>
      </c>
      <c r="K4238" s="13" t="str">
        <f>Raw_Data!K4238</f>
        <v>1</v>
      </c>
      <c r="L4238" s="17" t="str">
        <f>Raw_Data!L4238</f>
        <v>Bangalore-South</v>
      </c>
      <c r="M4238" s="13" t="str">
        <f t="shared" si="3"/>
        <v>OK</v>
      </c>
      <c r="N4238" s="18" t="str">
        <f t="shared" si="4"/>
        <v>VALID</v>
      </c>
    </row>
    <row r="4239" ht="15.75" customHeight="1">
      <c r="A4239" s="13" t="str">
        <f>Raw_Data!A4239</f>
        <v>EMP4473</v>
      </c>
      <c r="B4239" s="13" t="str">
        <f>TRIM(CLEAN(Raw_Data!B4239))</f>
        <v>IT</v>
      </c>
      <c r="C4239" s="18" t="s">
        <v>37</v>
      </c>
      <c r="D4239" s="14" t="str">
        <f>IF(ISBLANK(Raw_Data!D4239),AVERAGE(Raw_Data!D$2:D$5002),Raw_Data!D4239)</f>
        <v>96716.80</v>
      </c>
      <c r="E4239" s="15" t="str">
        <f>IF(ISBLANK(Raw_Data!E4239),AVERAGE(Raw_Data!E$2:E$5002),Raw_Data!E4239)</f>
        <v>34632.26</v>
      </c>
      <c r="F4239" s="15" t="str">
        <f>IF(ISBLANK(Raw_Data!F4239),AVERAGE(Raw_Data!F$2:F$5002),Raw_Data!F4239)</f>
        <v>34523.91</v>
      </c>
      <c r="G4239" s="14" t="str">
        <f>IF(ISBLANK(Raw_Data!G4239),AVERAGE(Raw_Data!G$2:G$5002),Raw_Data!G4239)</f>
        <v>22107.02</v>
      </c>
      <c r="H4239" s="15" t="str">
        <f t="shared" si="1"/>
        <v>165873.00</v>
      </c>
      <c r="I4239" s="14" t="str">
        <f t="shared" si="2"/>
        <v>143766.00</v>
      </c>
      <c r="J4239" s="16" t="str">
        <f>TEXT(Raw_Data!J4239,"MMM-YYY")</f>
        <v>Feb-2025</v>
      </c>
      <c r="K4239" s="13" t="str">
        <f>Raw_Data!K4239</f>
        <v>5</v>
      </c>
      <c r="L4239" s="17" t="str">
        <f>Raw_Data!L4239</f>
        <v>Chennai-South</v>
      </c>
      <c r="M4239" s="13" t="str">
        <f t="shared" si="3"/>
        <v>OK</v>
      </c>
      <c r="N4239" s="18" t="str">
        <f t="shared" si="4"/>
        <v>VALID</v>
      </c>
    </row>
    <row r="4240" ht="15.75" customHeight="1">
      <c r="A4240" s="13" t="str">
        <f>Raw_Data!A4240</f>
        <v>EMP4474</v>
      </c>
      <c r="B4240" s="13" t="str">
        <f>TRIM(CLEAN(Raw_Data!B4240))</f>
        <v>Sales</v>
      </c>
      <c r="C4240" s="18" t="s">
        <v>54</v>
      </c>
      <c r="D4240" s="14" t="str">
        <f>IF(ISBLANK(Raw_Data!D4240),AVERAGE(Raw_Data!D$2:D$5002),Raw_Data!D4240)</f>
        <v>96727.69</v>
      </c>
      <c r="E4240" s="15" t="str">
        <f>IF(ISBLANK(Raw_Data!E4240),AVERAGE(Raw_Data!E$2:E$5002),Raw_Data!E4240)</f>
        <v>34636.87</v>
      </c>
      <c r="F4240" s="15" t="str">
        <f>IF(ISBLANK(Raw_Data!F4240),AVERAGE(Raw_Data!F$2:F$5002),Raw_Data!F4240)</f>
        <v>34531.59</v>
      </c>
      <c r="G4240" s="14" t="str">
        <f>IF(ISBLANK(Raw_Data!G4240),AVERAGE(Raw_Data!G$2:G$5002),Raw_Data!G4240)</f>
        <v>22110.42</v>
      </c>
      <c r="H4240" s="15" t="str">
        <f t="shared" si="1"/>
        <v>165896.00</v>
      </c>
      <c r="I4240" s="14" t="str">
        <f t="shared" si="2"/>
        <v>143786.00</v>
      </c>
      <c r="J4240" s="16" t="str">
        <f>TEXT(Raw_Data!J4240,"MMM-YYY")</f>
        <v>Sep-2025</v>
      </c>
      <c r="K4240" s="13" t="str">
        <f>Raw_Data!K4240</f>
        <v>6</v>
      </c>
      <c r="L4240" s="17" t="str">
        <f>Raw_Data!L4240</f>
        <v>Kolkata-East</v>
      </c>
      <c r="M4240" s="13" t="str">
        <f t="shared" si="3"/>
        <v>OK</v>
      </c>
      <c r="N4240" s="18" t="str">
        <f t="shared" si="4"/>
        <v>VALID</v>
      </c>
    </row>
    <row r="4241" ht="15.75" customHeight="1">
      <c r="A4241" s="13" t="str">
        <f>Raw_Data!A4241</f>
        <v>EMP4475</v>
      </c>
      <c r="B4241" s="13" t="str">
        <f>TRIM(CLEAN(Raw_Data!B4241))</f>
        <v>Operations</v>
      </c>
      <c r="C4241" s="18" t="s">
        <v>33</v>
      </c>
      <c r="D4241" s="14" t="str">
        <f>IF(ISBLANK(Raw_Data!D4241),AVERAGE(Raw_Data!D$2:D$5002),Raw_Data!D4241)</f>
        <v>96738.57</v>
      </c>
      <c r="E4241" s="15" t="str">
        <f>IF(ISBLANK(Raw_Data!E4241),AVERAGE(Raw_Data!E$2:E$5002),Raw_Data!E4241)</f>
        <v>34641.49</v>
      </c>
      <c r="F4241" s="15" t="str">
        <f>IF(ISBLANK(Raw_Data!F4241),AVERAGE(Raw_Data!F$2:F$5002),Raw_Data!F4241)</f>
        <v>34539.27</v>
      </c>
      <c r="G4241" s="14" t="str">
        <f>IF(ISBLANK(Raw_Data!G4241),AVERAGE(Raw_Data!G$2:G$5002),Raw_Data!G4241)</f>
        <v>22113.82</v>
      </c>
      <c r="H4241" s="15" t="str">
        <f t="shared" si="1"/>
        <v>165919.00</v>
      </c>
      <c r="I4241" s="14" t="str">
        <f t="shared" si="2"/>
        <v>143805.00</v>
      </c>
      <c r="J4241" s="16" t="str">
        <f>TEXT(Raw_Data!J4241,"MMM-YYY")</f>
        <v>Jul-2025</v>
      </c>
      <c r="K4241" s="13" t="str">
        <f>Raw_Data!K4241</f>
        <v>12</v>
      </c>
      <c r="L4241" s="17" t="str">
        <f>Raw_Data!L4241</f>
        <v>Pune-West</v>
      </c>
      <c r="M4241" s="13" t="str">
        <f t="shared" si="3"/>
        <v>OK</v>
      </c>
      <c r="N4241" s="18" t="str">
        <f t="shared" si="4"/>
        <v>VALID</v>
      </c>
    </row>
    <row r="4242" ht="15.75" customHeight="1">
      <c r="A4242" s="13" t="str">
        <f>Raw_Data!A4242</f>
        <v>EMP4476</v>
      </c>
      <c r="B4242" s="13" t="str">
        <f>TRIM(CLEAN(Raw_Data!B4242))</f>
        <v>Marketing</v>
      </c>
      <c r="C4242" s="18" t="s">
        <v>14</v>
      </c>
      <c r="D4242" s="14" t="str">
        <f>IF(ISBLANK(Raw_Data!D4242),AVERAGE(Raw_Data!D$2:D$5002),Raw_Data!D4242)</f>
        <v>96749.45</v>
      </c>
      <c r="E4242" s="15" t="str">
        <f>IF(ISBLANK(Raw_Data!E4242),AVERAGE(Raw_Data!E$2:E$5002),Raw_Data!E4242)</f>
        <v>34646.10</v>
      </c>
      <c r="F4242" s="15" t="str">
        <f>IF(ISBLANK(Raw_Data!F4242),AVERAGE(Raw_Data!F$2:F$5002),Raw_Data!F4242)</f>
        <v>34546.95</v>
      </c>
      <c r="G4242" s="14" t="str">
        <f>IF(ISBLANK(Raw_Data!G4242),AVERAGE(Raw_Data!G$2:G$5002),Raw_Data!G4242)</f>
        <v>22117.22</v>
      </c>
      <c r="H4242" s="15" t="str">
        <f t="shared" si="1"/>
        <v>165943.00</v>
      </c>
      <c r="I4242" s="14" t="str">
        <f t="shared" si="2"/>
        <v>143826.00</v>
      </c>
      <c r="J4242" s="16" t="str">
        <f>TEXT(Raw_Data!J4242,"MMM-YYY")</f>
        <v>Aug-2025</v>
      </c>
      <c r="K4242" s="13" t="str">
        <f>Raw_Data!K4242</f>
        <v>9</v>
      </c>
      <c r="L4242" s="17" t="str">
        <f>Raw_Data!L4242</f>
        <v>Hyderabad-South</v>
      </c>
      <c r="M4242" s="13" t="str">
        <f t="shared" si="3"/>
        <v>OK</v>
      </c>
      <c r="N4242" s="18" t="str">
        <f t="shared" si="4"/>
        <v>VALID</v>
      </c>
    </row>
    <row r="4243" ht="15.75" customHeight="1">
      <c r="A4243" s="13" t="str">
        <f>Raw_Data!A4243</f>
        <v>EMP4477</v>
      </c>
      <c r="B4243" s="13" t="str">
        <f>TRIM(CLEAN(Raw_Data!B4243))</f>
        <v>Operations</v>
      </c>
      <c r="C4243" s="18" t="s">
        <v>33</v>
      </c>
      <c r="D4243" s="14" t="str">
        <f>IF(ISBLANK(Raw_Data!D4243),AVERAGE(Raw_Data!D$2:D$5002),Raw_Data!D4243)</f>
        <v>96760.34</v>
      </c>
      <c r="E4243" s="15" t="str">
        <f>IF(ISBLANK(Raw_Data!E4243),AVERAGE(Raw_Data!E$2:E$5002),Raw_Data!E4243)</f>
        <v>34650.72</v>
      </c>
      <c r="F4243" s="15" t="str">
        <f>IF(ISBLANK(Raw_Data!F4243),AVERAGE(Raw_Data!F$2:F$5002),Raw_Data!F4243)</f>
        <v>34554.63</v>
      </c>
      <c r="G4243" s="14" t="str">
        <f>IF(ISBLANK(Raw_Data!G4243),AVERAGE(Raw_Data!G$2:G$5002),Raw_Data!G4243)</f>
        <v>22120.61</v>
      </c>
      <c r="H4243" s="15" t="str">
        <f t="shared" si="1"/>
        <v>165966.00</v>
      </c>
      <c r="I4243" s="14" t="str">
        <f t="shared" si="2"/>
        <v>143845.00</v>
      </c>
      <c r="J4243" s="16" t="str">
        <f>TEXT(Raw_Data!J4243,"MMM-YYY")</f>
        <v>May-2025</v>
      </c>
      <c r="K4243" s="13" t="str">
        <f>Raw_Data!K4243</f>
        <v>2</v>
      </c>
      <c r="L4243" s="17" t="str">
        <f>Raw_Data!L4243</f>
        <v>Chandigarh-North</v>
      </c>
      <c r="M4243" s="13" t="str">
        <f t="shared" si="3"/>
        <v>OK</v>
      </c>
      <c r="N4243" s="18" t="str">
        <f t="shared" si="4"/>
        <v>VALID</v>
      </c>
    </row>
    <row r="4244" ht="15.75" customHeight="1">
      <c r="A4244" s="13" t="str">
        <f>Raw_Data!A4244</f>
        <v>EMP4478</v>
      </c>
      <c r="B4244" s="13" t="str">
        <f>TRIM(CLEAN(Raw_Data!B4244))</f>
        <v>IT</v>
      </c>
      <c r="C4244" s="18" t="s">
        <v>54</v>
      </c>
      <c r="D4244" s="14" t="str">
        <f>IF(ISBLANK(Raw_Data!D4244),AVERAGE(Raw_Data!D$2:D$5002),Raw_Data!D4244)</f>
        <v>96771.22</v>
      </c>
      <c r="E4244" s="15" t="str">
        <f>IF(ISBLANK(Raw_Data!E4244),AVERAGE(Raw_Data!E$2:E$5002),Raw_Data!E4244)</f>
        <v>34655.33</v>
      </c>
      <c r="F4244" s="15" t="str">
        <f>IF(ISBLANK(Raw_Data!F4244),AVERAGE(Raw_Data!F$2:F$5002),Raw_Data!F4244)</f>
        <v>34562.31</v>
      </c>
      <c r="G4244" s="14" t="str">
        <f>IF(ISBLANK(Raw_Data!G4244),AVERAGE(Raw_Data!G$2:G$5002),Raw_Data!G4244)</f>
        <v>22124.01</v>
      </c>
      <c r="H4244" s="15" t="str">
        <f t="shared" si="1"/>
        <v>165989.00</v>
      </c>
      <c r="I4244" s="14" t="str">
        <f t="shared" si="2"/>
        <v>143865.00</v>
      </c>
      <c r="J4244" s="16" t="str">
        <f>TEXT(Raw_Data!J4244,"MMM-YYY")</f>
        <v>Apr-2025</v>
      </c>
      <c r="K4244" s="13" t="str">
        <f>Raw_Data!K4244</f>
        <v>11</v>
      </c>
      <c r="L4244" s="17" t="str">
        <f>Raw_Data!L4244</f>
        <v>Ahmedabad-West</v>
      </c>
      <c r="M4244" s="13" t="str">
        <f t="shared" si="3"/>
        <v>OK</v>
      </c>
      <c r="N4244" s="18" t="str">
        <f t="shared" si="4"/>
        <v>VALID</v>
      </c>
    </row>
    <row r="4245" ht="15.75" customHeight="1">
      <c r="A4245" s="13" t="str">
        <f>Raw_Data!A4245</f>
        <v>EMP4479</v>
      </c>
      <c r="B4245" s="13" t="str">
        <f>TRIM(CLEAN(Raw_Data!B4245))</f>
        <v>Operations</v>
      </c>
      <c r="C4245" s="18" t="s">
        <v>30</v>
      </c>
      <c r="D4245" s="14" t="str">
        <f>IF(ISBLANK(Raw_Data!D4245),AVERAGE(Raw_Data!D$2:D$5002),Raw_Data!D4245)</f>
        <v>96782.10</v>
      </c>
      <c r="E4245" s="15" t="str">
        <f>IF(ISBLANK(Raw_Data!E4245),AVERAGE(Raw_Data!E$2:E$5002),Raw_Data!E4245)</f>
        <v>34659.95</v>
      </c>
      <c r="F4245" s="15" t="str">
        <f>IF(ISBLANK(Raw_Data!F4245),AVERAGE(Raw_Data!F$2:F$5002),Raw_Data!F4245)</f>
        <v>34569.99</v>
      </c>
      <c r="G4245" s="14" t="str">
        <f>IF(ISBLANK(Raw_Data!G4245),AVERAGE(Raw_Data!G$2:G$5002),Raw_Data!G4245)</f>
        <v>22127.41</v>
      </c>
      <c r="H4245" s="15" t="str">
        <f t="shared" si="1"/>
        <v>166012.00</v>
      </c>
      <c r="I4245" s="14" t="str">
        <f t="shared" si="2"/>
        <v>143885.00</v>
      </c>
      <c r="J4245" s="16" t="str">
        <f>TEXT(Raw_Data!J4245,"MMM-YYY")</f>
        <v>Dec-2025</v>
      </c>
      <c r="K4245" s="13" t="str">
        <f>Raw_Data!K4245</f>
        <v>17</v>
      </c>
      <c r="L4245" s="17" t="str">
        <f>Raw_Data!L4245</f>
        <v>Jaipur-North</v>
      </c>
      <c r="M4245" s="13" t="str">
        <f t="shared" si="3"/>
        <v>OK</v>
      </c>
      <c r="N4245" s="18" t="str">
        <f t="shared" si="4"/>
        <v>VALID</v>
      </c>
    </row>
    <row r="4246" ht="15.75" customHeight="1">
      <c r="A4246" s="13" t="str">
        <f>Raw_Data!A4246</f>
        <v>EMP4480</v>
      </c>
      <c r="B4246" s="13" t="str">
        <f>TRIM(CLEAN(Raw_Data!B4246))</f>
        <v>Sales</v>
      </c>
      <c r="C4246" s="18" t="s">
        <v>33</v>
      </c>
      <c r="D4246" s="14" t="str">
        <f>IF(ISBLANK(Raw_Data!D4246),AVERAGE(Raw_Data!D$2:D$5002),Raw_Data!D4246)</f>
        <v>96792.98</v>
      </c>
      <c r="E4246" s="15" t="str">
        <f>IF(ISBLANK(Raw_Data!E4246),AVERAGE(Raw_Data!E$2:E$5002),Raw_Data!E4246)</f>
        <v>34664.56</v>
      </c>
      <c r="F4246" s="15" t="str">
        <f>IF(ISBLANK(Raw_Data!F4246),AVERAGE(Raw_Data!F$2:F$5002),Raw_Data!F4246)</f>
        <v>34577.67</v>
      </c>
      <c r="G4246" s="14" t="str">
        <f>IF(ISBLANK(Raw_Data!G4246),AVERAGE(Raw_Data!G$2:G$5002),Raw_Data!G4246)</f>
        <v>22130.81</v>
      </c>
      <c r="H4246" s="15" t="str">
        <f t="shared" si="1"/>
        <v>166035.00</v>
      </c>
      <c r="I4246" s="14" t="str">
        <f t="shared" si="2"/>
        <v>143904.00</v>
      </c>
      <c r="J4246" s="16" t="str">
        <f>TEXT(Raw_Data!J4246,"MMM-YYY")</f>
        <v>Jun-2025</v>
      </c>
      <c r="K4246" s="13" t="str">
        <f>Raw_Data!K4246</f>
        <v>13</v>
      </c>
      <c r="L4246" s="17" t="str">
        <f>Raw_Data!L4246</f>
        <v>Mumbai-HO</v>
      </c>
      <c r="M4246" s="13" t="str">
        <f t="shared" si="3"/>
        <v>OK</v>
      </c>
      <c r="N4246" s="18" t="str">
        <f t="shared" si="4"/>
        <v>VALID</v>
      </c>
    </row>
    <row r="4247" ht="15.75" customHeight="1">
      <c r="A4247" s="13" t="str">
        <f>Raw_Data!A4247</f>
        <v>EMP4482</v>
      </c>
      <c r="B4247" s="13" t="str">
        <f>TRIM(CLEAN(Raw_Data!B4247))</f>
        <v>Customer Support</v>
      </c>
      <c r="C4247" s="18" t="s">
        <v>14</v>
      </c>
      <c r="D4247" s="14" t="str">
        <f>IF(ISBLANK(Raw_Data!D4247),AVERAGE(Raw_Data!D$2:D$5002),Raw_Data!D4247)</f>
        <v>96814.75</v>
      </c>
      <c r="E4247" s="15" t="str">
        <f>IF(ISBLANK(Raw_Data!E4247),AVERAGE(Raw_Data!E$2:E$5002),Raw_Data!E4247)</f>
        <v>34673.79</v>
      </c>
      <c r="F4247" s="15" t="str">
        <f>IF(ISBLANK(Raw_Data!F4247),AVERAGE(Raw_Data!F$2:F$5002),Raw_Data!F4247)</f>
        <v>34593.03</v>
      </c>
      <c r="G4247" s="14" t="str">
        <f>IF(ISBLANK(Raw_Data!G4247),AVERAGE(Raw_Data!G$2:G$5002),Raw_Data!G4247)</f>
        <v>22137.60</v>
      </c>
      <c r="H4247" s="15" t="str">
        <f t="shared" si="1"/>
        <v>166082.00</v>
      </c>
      <c r="I4247" s="14" t="str">
        <f t="shared" si="2"/>
        <v>143944.00</v>
      </c>
      <c r="J4247" s="16" t="str">
        <f>TEXT(Raw_Data!J4247,"MMM-YYY")</f>
        <v>Aug-2025</v>
      </c>
      <c r="K4247" s="13" t="str">
        <f>Raw_Data!K4247</f>
        <v>8</v>
      </c>
      <c r="L4247" s="17" t="str">
        <f>Raw_Data!L4247</f>
        <v>Bangalore-South</v>
      </c>
      <c r="M4247" s="13" t="str">
        <f t="shared" si="3"/>
        <v>OK</v>
      </c>
      <c r="N4247" s="18" t="str">
        <f t="shared" si="4"/>
        <v>VALID</v>
      </c>
    </row>
    <row r="4248" ht="15.75" customHeight="1">
      <c r="A4248" s="13" t="str">
        <f>Raw_Data!A4248</f>
        <v>EMP4483</v>
      </c>
      <c r="B4248" s="13" t="str">
        <f>TRIM(CLEAN(Raw_Data!B4248))</f>
        <v>Customer Support</v>
      </c>
      <c r="C4248" s="18" t="s">
        <v>14</v>
      </c>
      <c r="D4248" s="14" t="str">
        <f>IF(ISBLANK(Raw_Data!D4248),AVERAGE(Raw_Data!D$2:D$5002),Raw_Data!D4248)</f>
        <v>96825.63</v>
      </c>
      <c r="E4248" s="15" t="str">
        <f>IF(ISBLANK(Raw_Data!E4248),AVERAGE(Raw_Data!E$2:E$5002),Raw_Data!E4248)</f>
        <v>34678.41</v>
      </c>
      <c r="F4248" s="15" t="str">
        <f>IF(ISBLANK(Raw_Data!F4248),AVERAGE(Raw_Data!F$2:F$5002),Raw_Data!F4248)</f>
        <v>34600.71</v>
      </c>
      <c r="G4248" s="14" t="str">
        <f>IF(ISBLANK(Raw_Data!G4248),AVERAGE(Raw_Data!G$2:G$5002),Raw_Data!G4248)</f>
        <v>22141.00</v>
      </c>
      <c r="H4248" s="15" t="str">
        <f t="shared" si="1"/>
        <v>166105.00</v>
      </c>
      <c r="I4248" s="14" t="str">
        <f t="shared" si="2"/>
        <v>143964.00</v>
      </c>
      <c r="J4248" s="16" t="str">
        <f>TEXT(Raw_Data!J4248,"MMM-YYY")</f>
        <v>Apr-2025</v>
      </c>
      <c r="K4248" s="13" t="str">
        <f>Raw_Data!K4248</f>
        <v>9</v>
      </c>
      <c r="L4248" s="17" t="str">
        <f>Raw_Data!L4248</f>
        <v>Chennai-South</v>
      </c>
      <c r="M4248" s="13" t="str">
        <f t="shared" si="3"/>
        <v>OK</v>
      </c>
      <c r="N4248" s="18" t="str">
        <f t="shared" si="4"/>
        <v>VALID</v>
      </c>
    </row>
    <row r="4249" ht="15.75" customHeight="1">
      <c r="A4249" s="13" t="str">
        <f>Raw_Data!A4249</f>
        <v>EMP4484</v>
      </c>
      <c r="B4249" s="13" t="str">
        <f>TRIM(CLEAN(Raw_Data!B4249))</f>
        <v>HR</v>
      </c>
      <c r="C4249" s="18" t="s">
        <v>14</v>
      </c>
      <c r="D4249" s="14" t="str">
        <f>IF(ISBLANK(Raw_Data!D4249),AVERAGE(Raw_Data!D$2:D$5002),Raw_Data!D4249)</f>
        <v>96836.52</v>
      </c>
      <c r="E4249" s="15" t="str">
        <f>IF(ISBLANK(Raw_Data!E4249),AVERAGE(Raw_Data!E$2:E$5002),Raw_Data!E4249)</f>
        <v>34683.02</v>
      </c>
      <c r="F4249" s="15" t="str">
        <f>IF(ISBLANK(Raw_Data!F4249),AVERAGE(Raw_Data!F$2:F$5002),Raw_Data!F4249)</f>
        <v>34608.39</v>
      </c>
      <c r="G4249" s="14" t="str">
        <f>IF(ISBLANK(Raw_Data!G4249),AVERAGE(Raw_Data!G$2:G$5002),Raw_Data!G4249)</f>
        <v>22144.40</v>
      </c>
      <c r="H4249" s="15" t="str">
        <f t="shared" si="1"/>
        <v>166128.00</v>
      </c>
      <c r="I4249" s="14" t="str">
        <f t="shared" si="2"/>
        <v>143984.00</v>
      </c>
      <c r="J4249" s="16" t="str">
        <f>TEXT(Raw_Data!J4249,"MMM-YYY")</f>
        <v>Feb-2025</v>
      </c>
      <c r="K4249" s="13" t="str">
        <f>Raw_Data!K4249</f>
        <v>9</v>
      </c>
      <c r="L4249" s="17" t="str">
        <f>Raw_Data!L4249</f>
        <v>Kolkata-East</v>
      </c>
      <c r="M4249" s="13" t="str">
        <f t="shared" si="3"/>
        <v>OK</v>
      </c>
      <c r="N4249" s="18" t="str">
        <f t="shared" si="4"/>
        <v>VALID</v>
      </c>
    </row>
    <row r="4250" ht="15.75" customHeight="1">
      <c r="A4250" s="13" t="str">
        <f>Raw_Data!A4250</f>
        <v>EMP4485</v>
      </c>
      <c r="B4250" s="13" t="str">
        <f>TRIM(CLEAN(Raw_Data!B4250))</f>
        <v>IT</v>
      </c>
      <c r="C4250" s="18" t="s">
        <v>26</v>
      </c>
      <c r="D4250" s="14" t="str">
        <f>IF(ISBLANK(Raw_Data!D4250),AVERAGE(Raw_Data!D$2:D$5002),Raw_Data!D4250)</f>
        <v>96847.40</v>
      </c>
      <c r="E4250" s="15" t="str">
        <f>IF(ISBLANK(Raw_Data!E4250),AVERAGE(Raw_Data!E$2:E$5002),Raw_Data!E4250)</f>
        <v>34687.64</v>
      </c>
      <c r="F4250" s="15" t="str">
        <f>IF(ISBLANK(Raw_Data!F4250),AVERAGE(Raw_Data!F$2:F$5002),Raw_Data!F4250)</f>
        <v>34616.07</v>
      </c>
      <c r="G4250" s="14" t="str">
        <f>IF(ISBLANK(Raw_Data!G4250),AVERAGE(Raw_Data!G$2:G$5002),Raw_Data!G4250)</f>
        <v>22147.79</v>
      </c>
      <c r="H4250" s="15" t="str">
        <f t="shared" si="1"/>
        <v>166151.00</v>
      </c>
      <c r="I4250" s="14" t="str">
        <f t="shared" si="2"/>
        <v>144003.00</v>
      </c>
      <c r="J4250" s="16" t="str">
        <f>TEXT(Raw_Data!J4250,"MMM-YYY")</f>
        <v>Sep-2025</v>
      </c>
      <c r="K4250" s="13" t="str">
        <f>Raw_Data!K4250</f>
        <v>19</v>
      </c>
      <c r="L4250" s="17" t="str">
        <f>Raw_Data!L4250</f>
        <v>Pune-West</v>
      </c>
      <c r="M4250" s="13" t="str">
        <f t="shared" si="3"/>
        <v>OK</v>
      </c>
      <c r="N4250" s="18" t="str">
        <f t="shared" si="4"/>
        <v>VALID</v>
      </c>
    </row>
    <row r="4251" ht="15.75" customHeight="1">
      <c r="A4251" s="13" t="str">
        <f>Raw_Data!A4251</f>
        <v>EMP4486</v>
      </c>
      <c r="B4251" s="13" t="str">
        <f>TRIM(CLEAN(Raw_Data!B4251))</f>
        <v>Sales</v>
      </c>
      <c r="C4251" s="18" t="s">
        <v>18</v>
      </c>
      <c r="D4251" s="14" t="str">
        <f>IF(ISBLANK(Raw_Data!D4251),AVERAGE(Raw_Data!D$2:D$5002),Raw_Data!D4251)</f>
        <v>96858.28</v>
      </c>
      <c r="E4251" s="15" t="str">
        <f>IF(ISBLANK(Raw_Data!E4251),AVERAGE(Raw_Data!E$2:E$5002),Raw_Data!E4251)</f>
        <v>34692.25</v>
      </c>
      <c r="F4251" s="15" t="str">
        <f>IF(ISBLANK(Raw_Data!F4251),AVERAGE(Raw_Data!F$2:F$5002),Raw_Data!F4251)</f>
        <v>34623.75</v>
      </c>
      <c r="G4251" s="14" t="str">
        <f>IF(ISBLANK(Raw_Data!G4251),AVERAGE(Raw_Data!G$2:G$5002),Raw_Data!G4251)</f>
        <v>22151.19</v>
      </c>
      <c r="H4251" s="15" t="str">
        <f t="shared" si="1"/>
        <v>166174.00</v>
      </c>
      <c r="I4251" s="14" t="str">
        <f t="shared" si="2"/>
        <v>144023.00</v>
      </c>
      <c r="J4251" s="16" t="str">
        <f>TEXT(Raw_Data!J4251,"MMM-YYY")</f>
        <v>Oct-2025</v>
      </c>
      <c r="K4251" s="13" t="str">
        <f>Raw_Data!K4251</f>
        <v>3</v>
      </c>
      <c r="L4251" s="17" t="str">
        <f>Raw_Data!L4251</f>
        <v>Hyderabad-South</v>
      </c>
      <c r="M4251" s="13" t="str">
        <f t="shared" si="3"/>
        <v>OK</v>
      </c>
      <c r="N4251" s="18" t="str">
        <f t="shared" si="4"/>
        <v>VALID</v>
      </c>
    </row>
    <row r="4252" ht="15.75" customHeight="1">
      <c r="A4252" s="13" t="str">
        <f>Raw_Data!A4252</f>
        <v>EMP4487</v>
      </c>
      <c r="B4252" s="13" t="str">
        <f>TRIM(CLEAN(Raw_Data!B4252))</f>
        <v>Finance</v>
      </c>
      <c r="C4252" s="18" t="s">
        <v>14</v>
      </c>
      <c r="D4252" s="14" t="str">
        <f>IF(ISBLANK(Raw_Data!D4252),AVERAGE(Raw_Data!D$2:D$5002),Raw_Data!D4252)</f>
        <v>96869.17</v>
      </c>
      <c r="E4252" s="15" t="str">
        <f>IF(ISBLANK(Raw_Data!E4252),AVERAGE(Raw_Data!E$2:E$5002),Raw_Data!E4252)</f>
        <v>34696.87</v>
      </c>
      <c r="F4252" s="15" t="str">
        <f>IF(ISBLANK(Raw_Data!F4252),AVERAGE(Raw_Data!F$2:F$5002),Raw_Data!F4252)</f>
        <v>34631.43</v>
      </c>
      <c r="G4252" s="14" t="str">
        <f>IF(ISBLANK(Raw_Data!G4252),AVERAGE(Raw_Data!G$2:G$5002),Raw_Data!G4252)</f>
        <v>22154.59</v>
      </c>
      <c r="H4252" s="15" t="str">
        <f t="shared" si="1"/>
        <v>166197.00</v>
      </c>
      <c r="I4252" s="14" t="str">
        <f t="shared" si="2"/>
        <v>144042.00</v>
      </c>
      <c r="J4252" s="16" t="str">
        <f>TEXT(Raw_Data!J4252,"MMM-YYY")</f>
        <v>May-2025</v>
      </c>
      <c r="K4252" s="13" t="str">
        <f>Raw_Data!K4252</f>
        <v>8</v>
      </c>
      <c r="L4252" s="17" t="str">
        <f>Raw_Data!L4252</f>
        <v>Chandigarh-North</v>
      </c>
      <c r="M4252" s="13" t="str">
        <f t="shared" si="3"/>
        <v>OK</v>
      </c>
      <c r="N4252" s="18" t="str">
        <f t="shared" si="4"/>
        <v>VALID</v>
      </c>
    </row>
    <row r="4253" ht="15.75" customHeight="1">
      <c r="A4253" s="13" t="str">
        <f>Raw_Data!A4253</f>
        <v>EMP4488</v>
      </c>
      <c r="B4253" s="13" t="str">
        <f>TRIM(CLEAN(Raw_Data!B4253))</f>
        <v>HR</v>
      </c>
      <c r="C4253" s="18" t="s">
        <v>26</v>
      </c>
      <c r="D4253" s="14" t="str">
        <f>IF(ISBLANK(Raw_Data!D4253),AVERAGE(Raw_Data!D$2:D$5002),Raw_Data!D4253)</f>
        <v>96880.05</v>
      </c>
      <c r="E4253" s="15" t="str">
        <f>IF(ISBLANK(Raw_Data!E4253),AVERAGE(Raw_Data!E$2:E$5002),Raw_Data!E4253)</f>
        <v>34701.48</v>
      </c>
      <c r="F4253" s="15" t="str">
        <f>IF(ISBLANK(Raw_Data!F4253),AVERAGE(Raw_Data!F$2:F$5002),Raw_Data!F4253)</f>
        <v>34639.11</v>
      </c>
      <c r="G4253" s="14" t="str">
        <f>IF(ISBLANK(Raw_Data!G4253),AVERAGE(Raw_Data!G$2:G$5002),Raw_Data!G4253)</f>
        <v>22157.99</v>
      </c>
      <c r="H4253" s="15" t="str">
        <f t="shared" si="1"/>
        <v>166221.00</v>
      </c>
      <c r="I4253" s="14" t="str">
        <f t="shared" si="2"/>
        <v>144063.00</v>
      </c>
      <c r="J4253" s="16" t="str">
        <f>TEXT(Raw_Data!J4253,"MMM-YYY")</f>
        <v>Jul-2025</v>
      </c>
      <c r="K4253" s="13" t="str">
        <f>Raw_Data!K4253</f>
        <v>12</v>
      </c>
      <c r="L4253" s="17" t="str">
        <f>Raw_Data!L4253</f>
        <v>Ahmedabad-West</v>
      </c>
      <c r="M4253" s="13" t="str">
        <f t="shared" si="3"/>
        <v>OK</v>
      </c>
      <c r="N4253" s="18" t="str">
        <f t="shared" si="4"/>
        <v>VALID</v>
      </c>
    </row>
    <row r="4254" ht="15.75" customHeight="1">
      <c r="A4254" s="13" t="str">
        <f>Raw_Data!A4254</f>
        <v>EMP4489</v>
      </c>
      <c r="B4254" s="13" t="str">
        <f>TRIM(CLEAN(Raw_Data!B4254))</f>
        <v>HR</v>
      </c>
      <c r="C4254" s="18" t="s">
        <v>26</v>
      </c>
      <c r="D4254" s="14" t="str">
        <f>IF(ISBLANK(Raw_Data!D4254),AVERAGE(Raw_Data!D$2:D$5002),Raw_Data!D4254)</f>
        <v>96890.93</v>
      </c>
      <c r="E4254" s="15" t="str">
        <f>IF(ISBLANK(Raw_Data!E4254),AVERAGE(Raw_Data!E$2:E$5002),Raw_Data!E4254)</f>
        <v>34706.09</v>
      </c>
      <c r="F4254" s="15" t="str">
        <f>IF(ISBLANK(Raw_Data!F4254),AVERAGE(Raw_Data!F$2:F$5002),Raw_Data!F4254)</f>
        <v>34646.79</v>
      </c>
      <c r="G4254" s="14" t="str">
        <f>IF(ISBLANK(Raw_Data!G4254),AVERAGE(Raw_Data!G$2:G$5002),Raw_Data!G4254)</f>
        <v>22161.38</v>
      </c>
      <c r="H4254" s="15" t="str">
        <f t="shared" si="1"/>
        <v>166244.00</v>
      </c>
      <c r="I4254" s="14" t="str">
        <f t="shared" si="2"/>
        <v>144083.00</v>
      </c>
      <c r="J4254" s="16" t="str">
        <f>TEXT(Raw_Data!J4254,"MMM-YYY")</f>
        <v>Mar-2025</v>
      </c>
      <c r="K4254" s="13" t="str">
        <f>Raw_Data!K4254</f>
        <v>21</v>
      </c>
      <c r="L4254" s="17" t="str">
        <f>Raw_Data!L4254</f>
        <v>Jaipur-North</v>
      </c>
      <c r="M4254" s="13" t="str">
        <f t="shared" si="3"/>
        <v>OK</v>
      </c>
      <c r="N4254" s="18" t="str">
        <f t="shared" si="4"/>
        <v>VALID</v>
      </c>
    </row>
    <row r="4255" ht="15.75" customHeight="1">
      <c r="A4255" s="13" t="str">
        <f>Raw_Data!A4255</f>
        <v>EMP4490</v>
      </c>
      <c r="B4255" s="13" t="str">
        <f>TRIM(CLEAN(Raw_Data!B4255))</f>
        <v>Customer Support</v>
      </c>
      <c r="C4255" s="18" t="s">
        <v>26</v>
      </c>
      <c r="D4255" s="14" t="str">
        <f>IF(ISBLANK(Raw_Data!D4255),AVERAGE(Raw_Data!D$2:D$5002),Raw_Data!D4255)</f>
        <v>96901.81</v>
      </c>
      <c r="E4255" s="15" t="str">
        <f>IF(ISBLANK(Raw_Data!E4255),AVERAGE(Raw_Data!E$2:E$5002),Raw_Data!E4255)</f>
        <v>34710.71</v>
      </c>
      <c r="F4255" s="15" t="str">
        <f>IF(ISBLANK(Raw_Data!F4255),AVERAGE(Raw_Data!F$2:F$5002),Raw_Data!F4255)</f>
        <v>34654.47</v>
      </c>
      <c r="G4255" s="14" t="str">
        <f>IF(ISBLANK(Raw_Data!G4255),AVERAGE(Raw_Data!G$2:G$5002),Raw_Data!G4255)</f>
        <v>22164.78</v>
      </c>
      <c r="H4255" s="15" t="str">
        <f t="shared" si="1"/>
        <v>166267.00</v>
      </c>
      <c r="I4255" s="14" t="str">
        <f t="shared" si="2"/>
        <v>144102.00</v>
      </c>
      <c r="J4255" s="16" t="str">
        <f>TEXT(Raw_Data!J4255,"MMM-YYY")</f>
        <v>Jan-2025</v>
      </c>
      <c r="K4255" s="13" t="str">
        <f>Raw_Data!K4255</f>
        <v>23</v>
      </c>
      <c r="L4255" s="17" t="str">
        <f>Raw_Data!L4255</f>
        <v>Mumbai-HO</v>
      </c>
      <c r="M4255" s="13" t="str">
        <f t="shared" si="3"/>
        <v>OK</v>
      </c>
      <c r="N4255" s="18" t="str">
        <f t="shared" si="4"/>
        <v>VALID</v>
      </c>
    </row>
    <row r="4256" ht="15.75" customHeight="1">
      <c r="A4256" s="13" t="str">
        <f>Raw_Data!A4256</f>
        <v>EMP4491</v>
      </c>
      <c r="B4256" s="13" t="str">
        <f>TRIM(CLEAN(Raw_Data!B4256))</f>
        <v>Marketing</v>
      </c>
      <c r="C4256" s="18" t="s">
        <v>30</v>
      </c>
      <c r="D4256" s="14" t="str">
        <f>IF(ISBLANK(Raw_Data!D4256),AVERAGE(Raw_Data!D$2:D$5002),Raw_Data!D4256)</f>
        <v>96912.70</v>
      </c>
      <c r="E4256" s="15" t="str">
        <f>IF(ISBLANK(Raw_Data!E4256),AVERAGE(Raw_Data!E$2:E$5002),Raw_Data!E4256)</f>
        <v>34715.32</v>
      </c>
      <c r="F4256" s="15" t="str">
        <f>IF(ISBLANK(Raw_Data!F4256),AVERAGE(Raw_Data!F$2:F$5002),Raw_Data!F4256)</f>
        <v>34662.15</v>
      </c>
      <c r="G4256" s="14" t="str">
        <f>IF(ISBLANK(Raw_Data!G4256),AVERAGE(Raw_Data!G$2:G$5002),Raw_Data!G4256)</f>
        <v>22168.18</v>
      </c>
      <c r="H4256" s="15" t="str">
        <f t="shared" si="1"/>
        <v>166290.00</v>
      </c>
      <c r="I4256" s="14" t="str">
        <f t="shared" si="2"/>
        <v>144122.00</v>
      </c>
      <c r="J4256" s="16" t="str">
        <f>TEXT(Raw_Data!J4256,"MMM-YYY")</f>
        <v>May-2025</v>
      </c>
      <c r="K4256" s="13" t="str">
        <f>Raw_Data!K4256</f>
        <v>13</v>
      </c>
      <c r="L4256" s="17" t="str">
        <f>Raw_Data!L4256</f>
        <v>Delhi-North</v>
      </c>
      <c r="M4256" s="13" t="str">
        <f t="shared" si="3"/>
        <v>OK</v>
      </c>
      <c r="N4256" s="18" t="str">
        <f t="shared" si="4"/>
        <v>VALID</v>
      </c>
    </row>
    <row r="4257" ht="15.75" customHeight="1">
      <c r="A4257" s="13" t="str">
        <f>Raw_Data!A4257</f>
        <v>EMP4492</v>
      </c>
      <c r="B4257" s="13" t="str">
        <f>TRIM(CLEAN(Raw_Data!B4257))</f>
        <v>Marketing</v>
      </c>
      <c r="C4257" s="18" t="s">
        <v>54</v>
      </c>
      <c r="D4257" s="14" t="str">
        <f>IF(ISBLANK(Raw_Data!D4257),AVERAGE(Raw_Data!D$2:D$5002),Raw_Data!D4257)</f>
        <v>96923.58</v>
      </c>
      <c r="E4257" s="15" t="str">
        <f>IF(ISBLANK(Raw_Data!E4257),AVERAGE(Raw_Data!E$2:E$5002),Raw_Data!E4257)</f>
        <v>34719.94</v>
      </c>
      <c r="F4257" s="15" t="str">
        <f>IF(ISBLANK(Raw_Data!F4257),AVERAGE(Raw_Data!F$2:F$5002),Raw_Data!F4257)</f>
        <v>34669.83</v>
      </c>
      <c r="G4257" s="14" t="str">
        <f>IF(ISBLANK(Raw_Data!G4257),AVERAGE(Raw_Data!G$2:G$5002),Raw_Data!G4257)</f>
        <v>22171.58</v>
      </c>
      <c r="H4257" s="15" t="str">
        <f t="shared" si="1"/>
        <v>166313.00</v>
      </c>
      <c r="I4257" s="14" t="str">
        <f t="shared" si="2"/>
        <v>144141.00</v>
      </c>
      <c r="J4257" s="16" t="str">
        <f>TEXT(Raw_Data!J4257,"MMM-YYY")</f>
        <v>Jun-2025</v>
      </c>
      <c r="K4257" s="13" t="str">
        <f>Raw_Data!K4257</f>
        <v>25</v>
      </c>
      <c r="L4257" s="17" t="str">
        <f>Raw_Data!L4257</f>
        <v>Bangalore-South</v>
      </c>
      <c r="M4257" s="13" t="str">
        <f t="shared" si="3"/>
        <v>OK</v>
      </c>
      <c r="N4257" s="18" t="str">
        <f t="shared" si="4"/>
        <v>VALID</v>
      </c>
    </row>
    <row r="4258" ht="15.75" customHeight="1">
      <c r="A4258" s="13" t="str">
        <f>Raw_Data!A4258</f>
        <v>EMP4493</v>
      </c>
      <c r="B4258" s="13" t="str">
        <f>TRIM(CLEAN(Raw_Data!B4258))</f>
        <v>Marketing</v>
      </c>
      <c r="C4258" s="18" t="s">
        <v>33</v>
      </c>
      <c r="D4258" s="14" t="str">
        <f>IF(ISBLANK(Raw_Data!D4258),AVERAGE(Raw_Data!D$2:D$5002),Raw_Data!D4258)</f>
        <v>96934.46</v>
      </c>
      <c r="E4258" s="15" t="str">
        <f>IF(ISBLANK(Raw_Data!E4258),AVERAGE(Raw_Data!E$2:E$5002),Raw_Data!E4258)</f>
        <v>34724.55</v>
      </c>
      <c r="F4258" s="15" t="str">
        <f>IF(ISBLANK(Raw_Data!F4258),AVERAGE(Raw_Data!F$2:F$5002),Raw_Data!F4258)</f>
        <v>34677.51</v>
      </c>
      <c r="G4258" s="14" t="str">
        <f>IF(ISBLANK(Raw_Data!G4258),AVERAGE(Raw_Data!G$2:G$5002),Raw_Data!G4258)</f>
        <v>22174.97</v>
      </c>
      <c r="H4258" s="15" t="str">
        <f t="shared" si="1"/>
        <v>166337.00</v>
      </c>
      <c r="I4258" s="14" t="str">
        <f t="shared" si="2"/>
        <v>144162.00</v>
      </c>
      <c r="J4258" s="16" t="str">
        <f>TEXT(Raw_Data!J4258,"MMM-YYY")</f>
        <v>Jun-2025</v>
      </c>
      <c r="K4258" s="13" t="str">
        <f>Raw_Data!K4258</f>
        <v>19</v>
      </c>
      <c r="L4258" s="17" t="str">
        <f>Raw_Data!L4258</f>
        <v>Chennai-South</v>
      </c>
      <c r="M4258" s="13" t="str">
        <f t="shared" si="3"/>
        <v>OK</v>
      </c>
      <c r="N4258" s="18" t="str">
        <f t="shared" si="4"/>
        <v>VALID</v>
      </c>
    </row>
    <row r="4259" ht="15.75" customHeight="1">
      <c r="A4259" s="13" t="str">
        <f>Raw_Data!A4259</f>
        <v>EMP4495</v>
      </c>
      <c r="B4259" s="13" t="str">
        <f>TRIM(CLEAN(Raw_Data!B4259))</f>
        <v>Finance</v>
      </c>
      <c r="C4259" s="18" t="s">
        <v>33</v>
      </c>
      <c r="D4259" s="14" t="str">
        <f>IF(ISBLANK(Raw_Data!D4259),AVERAGE(Raw_Data!D$2:D$5002),Raw_Data!D4259)</f>
        <v>96956.23</v>
      </c>
      <c r="E4259" s="15" t="str">
        <f>IF(ISBLANK(Raw_Data!E4259),AVERAGE(Raw_Data!E$2:E$5002),Raw_Data!E4259)</f>
        <v>34733.78</v>
      </c>
      <c r="F4259" s="15" t="str">
        <f>IF(ISBLANK(Raw_Data!F4259),AVERAGE(Raw_Data!F$2:F$5002),Raw_Data!F4259)</f>
        <v>34692.87</v>
      </c>
      <c r="G4259" s="14" t="str">
        <f>IF(ISBLANK(Raw_Data!G4259),AVERAGE(Raw_Data!G$2:G$5002),Raw_Data!G4259)</f>
        <v>22181.77</v>
      </c>
      <c r="H4259" s="15" t="str">
        <f t="shared" si="1"/>
        <v>166383.00</v>
      </c>
      <c r="I4259" s="14" t="str">
        <f t="shared" si="2"/>
        <v>144201.00</v>
      </c>
      <c r="J4259" s="16" t="str">
        <f>TEXT(Raw_Data!J4259,"MMM-YYY")</f>
        <v>Sep-2025</v>
      </c>
      <c r="K4259" s="13" t="str">
        <f>Raw_Data!K4259</f>
        <v>10</v>
      </c>
      <c r="L4259" s="17" t="str">
        <f>Raw_Data!L4259</f>
        <v>Pune-West</v>
      </c>
      <c r="M4259" s="13" t="str">
        <f t="shared" si="3"/>
        <v>OK</v>
      </c>
      <c r="N4259" s="18" t="str">
        <f t="shared" si="4"/>
        <v>VALID</v>
      </c>
    </row>
    <row r="4260" ht="15.75" customHeight="1">
      <c r="A4260" s="13" t="str">
        <f>Raw_Data!A4260</f>
        <v>EMP4496</v>
      </c>
      <c r="B4260" s="13" t="str">
        <f>TRIM(CLEAN(Raw_Data!B4260))</f>
        <v>IT</v>
      </c>
      <c r="C4260" s="18" t="s">
        <v>26</v>
      </c>
      <c r="D4260" s="14" t="str">
        <f>IF(ISBLANK(Raw_Data!D4260),AVERAGE(Raw_Data!D$2:D$5002),Raw_Data!D4260)</f>
        <v>96967.11</v>
      </c>
      <c r="E4260" s="15" t="str">
        <f>IF(ISBLANK(Raw_Data!E4260),AVERAGE(Raw_Data!E$2:E$5002),Raw_Data!E4260)</f>
        <v>34738.40</v>
      </c>
      <c r="F4260" s="15" t="str">
        <f>IF(ISBLANK(Raw_Data!F4260),AVERAGE(Raw_Data!F$2:F$5002),Raw_Data!F4260)</f>
        <v>34700.55</v>
      </c>
      <c r="G4260" s="14" t="str">
        <f>IF(ISBLANK(Raw_Data!G4260),AVERAGE(Raw_Data!G$2:G$5002),Raw_Data!G4260)</f>
        <v>22185.17</v>
      </c>
      <c r="H4260" s="15" t="str">
        <f t="shared" si="1"/>
        <v>166406.00</v>
      </c>
      <c r="I4260" s="14" t="str">
        <f t="shared" si="2"/>
        <v>144221.00</v>
      </c>
      <c r="J4260" s="16" t="str">
        <f>TEXT(Raw_Data!J4260,"MMM-YYY")</f>
        <v>Mar-2025</v>
      </c>
      <c r="K4260" s="13" t="str">
        <f>Raw_Data!K4260</f>
        <v>20</v>
      </c>
      <c r="L4260" s="17" t="str">
        <f>Raw_Data!L4260</f>
        <v>Hyderabad-South</v>
      </c>
      <c r="M4260" s="13" t="str">
        <f t="shared" si="3"/>
        <v>OK</v>
      </c>
      <c r="N4260" s="18" t="str">
        <f t="shared" si="4"/>
        <v>VALID</v>
      </c>
    </row>
    <row r="4261" ht="15.75" customHeight="1">
      <c r="A4261" s="13" t="str">
        <f>Raw_Data!A4261</f>
        <v>EMP4497</v>
      </c>
      <c r="B4261" s="13" t="str">
        <f>TRIM(CLEAN(Raw_Data!B4261))</f>
        <v>IT</v>
      </c>
      <c r="C4261" s="18" t="s">
        <v>33</v>
      </c>
      <c r="D4261" s="14" t="str">
        <f>IF(ISBLANK(Raw_Data!D4261),AVERAGE(Raw_Data!D$2:D$5002),Raw_Data!D4261)</f>
        <v>96978.00</v>
      </c>
      <c r="E4261" s="15" t="str">
        <f>IF(ISBLANK(Raw_Data!E4261),AVERAGE(Raw_Data!E$2:E$5002),Raw_Data!E4261)</f>
        <v>34743.01</v>
      </c>
      <c r="F4261" s="15" t="str">
        <f>IF(ISBLANK(Raw_Data!F4261),AVERAGE(Raw_Data!F$2:F$5002),Raw_Data!F4261)</f>
        <v>34708.23</v>
      </c>
      <c r="G4261" s="14" t="str">
        <f>IF(ISBLANK(Raw_Data!G4261),AVERAGE(Raw_Data!G$2:G$5002),Raw_Data!G4261)</f>
        <v>22188.56</v>
      </c>
      <c r="H4261" s="15" t="str">
        <f t="shared" si="1"/>
        <v>166429.00</v>
      </c>
      <c r="I4261" s="14" t="str">
        <f t="shared" si="2"/>
        <v>144240.00</v>
      </c>
      <c r="J4261" s="16" t="str">
        <f>TEXT(Raw_Data!J4261,"MMM-YYY")</f>
        <v>Nov-2025</v>
      </c>
      <c r="K4261" s="13" t="str">
        <f>Raw_Data!K4261</f>
        <v>22</v>
      </c>
      <c r="L4261" s="17" t="str">
        <f>Raw_Data!L4261</f>
        <v>Chandigarh-North</v>
      </c>
      <c r="M4261" s="13" t="str">
        <f t="shared" si="3"/>
        <v>OK</v>
      </c>
      <c r="N4261" s="18" t="str">
        <f t="shared" si="4"/>
        <v>VALID</v>
      </c>
    </row>
    <row r="4262" ht="15.75" customHeight="1">
      <c r="A4262" s="13" t="str">
        <f>Raw_Data!A4262</f>
        <v>EMP4498</v>
      </c>
      <c r="B4262" s="13" t="str">
        <f>TRIM(CLEAN(Raw_Data!B4262))</f>
        <v>Sales</v>
      </c>
      <c r="C4262" s="18" t="s">
        <v>37</v>
      </c>
      <c r="D4262" s="14" t="str">
        <f>IF(ISBLANK(Raw_Data!D4262),AVERAGE(Raw_Data!D$2:D$5002),Raw_Data!D4262)</f>
        <v>96988.88</v>
      </c>
      <c r="E4262" s="15" t="str">
        <f>IF(ISBLANK(Raw_Data!E4262),AVERAGE(Raw_Data!E$2:E$5002),Raw_Data!E4262)</f>
        <v>34747.63</v>
      </c>
      <c r="F4262" s="15" t="str">
        <f>IF(ISBLANK(Raw_Data!F4262),AVERAGE(Raw_Data!F$2:F$5002),Raw_Data!F4262)</f>
        <v>34715.91</v>
      </c>
      <c r="G4262" s="14" t="str">
        <f>IF(ISBLANK(Raw_Data!G4262),AVERAGE(Raw_Data!G$2:G$5002),Raw_Data!G4262)</f>
        <v>22191.96</v>
      </c>
      <c r="H4262" s="15" t="str">
        <f t="shared" si="1"/>
        <v>166452.00</v>
      </c>
      <c r="I4262" s="14" t="str">
        <f t="shared" si="2"/>
        <v>144260.00</v>
      </c>
      <c r="J4262" s="16" t="str">
        <f>TEXT(Raw_Data!J4262,"MMM-YYY")</f>
        <v>Sep-2025</v>
      </c>
      <c r="K4262" s="13" t="str">
        <f>Raw_Data!K4262</f>
        <v>23</v>
      </c>
      <c r="L4262" s="17" t="str">
        <f>Raw_Data!L4262</f>
        <v>Ahmedabad-West</v>
      </c>
      <c r="M4262" s="13" t="str">
        <f t="shared" si="3"/>
        <v>OK</v>
      </c>
      <c r="N4262" s="18" t="str">
        <f t="shared" si="4"/>
        <v>VALID</v>
      </c>
    </row>
    <row r="4263" ht="15.75" customHeight="1">
      <c r="A4263" s="13" t="str">
        <f>Raw_Data!A4263</f>
        <v>EMP4499</v>
      </c>
      <c r="B4263" s="13" t="str">
        <f>TRIM(CLEAN(Raw_Data!B4263))</f>
        <v>Marketing</v>
      </c>
      <c r="C4263" s="18" t="s">
        <v>18</v>
      </c>
      <c r="D4263" s="14" t="str">
        <f>IF(ISBLANK(Raw_Data!D4263),AVERAGE(Raw_Data!D$2:D$5002),Raw_Data!D4263)</f>
        <v>96999.76</v>
      </c>
      <c r="E4263" s="15" t="str">
        <f>IF(ISBLANK(Raw_Data!E4263),AVERAGE(Raw_Data!E$2:E$5002),Raw_Data!E4263)</f>
        <v>34752.24</v>
      </c>
      <c r="F4263" s="15" t="str">
        <f>IF(ISBLANK(Raw_Data!F4263),AVERAGE(Raw_Data!F$2:F$5002),Raw_Data!F4263)</f>
        <v>34723.59</v>
      </c>
      <c r="G4263" s="14" t="str">
        <f>IF(ISBLANK(Raw_Data!G4263),AVERAGE(Raw_Data!G$2:G$5002),Raw_Data!G4263)</f>
        <v>22195.36</v>
      </c>
      <c r="H4263" s="15" t="str">
        <f t="shared" si="1"/>
        <v>166476.00</v>
      </c>
      <c r="I4263" s="14" t="str">
        <f t="shared" si="2"/>
        <v>144281.00</v>
      </c>
      <c r="J4263" s="16" t="str">
        <f>TEXT(Raw_Data!J4263,"MMM-YYY")</f>
        <v>Apr-2025</v>
      </c>
      <c r="K4263" s="13" t="str">
        <f>Raw_Data!K4263</f>
        <v>19</v>
      </c>
      <c r="L4263" s="17" t="str">
        <f>Raw_Data!L4263</f>
        <v>Jaipur-North</v>
      </c>
      <c r="M4263" s="13" t="str">
        <f t="shared" si="3"/>
        <v>OK</v>
      </c>
      <c r="N4263" s="18" t="str">
        <f t="shared" si="4"/>
        <v>VALID</v>
      </c>
    </row>
    <row r="4264" ht="15.75" customHeight="1">
      <c r="A4264" s="13" t="str">
        <f>Raw_Data!A4264</f>
        <v>EMP4500</v>
      </c>
      <c r="B4264" s="13" t="str">
        <f>TRIM(CLEAN(Raw_Data!B4264))</f>
        <v>Marketing</v>
      </c>
      <c r="C4264" s="18" t="s">
        <v>26</v>
      </c>
      <c r="D4264" s="14" t="str">
        <f>IF(ISBLANK(Raw_Data!D4264),AVERAGE(Raw_Data!D$2:D$5002),Raw_Data!D4264)</f>
        <v>97010.64</v>
      </c>
      <c r="E4264" s="15" t="str">
        <f>IF(ISBLANK(Raw_Data!E4264),AVERAGE(Raw_Data!E$2:E$5002),Raw_Data!E4264)</f>
        <v>34756.86</v>
      </c>
      <c r="F4264" s="15" t="str">
        <f>IF(ISBLANK(Raw_Data!F4264),AVERAGE(Raw_Data!F$2:F$5002),Raw_Data!F4264)</f>
        <v>34731.27</v>
      </c>
      <c r="G4264" s="14" t="str">
        <f>IF(ISBLANK(Raw_Data!G4264),AVERAGE(Raw_Data!G$2:G$5002),Raw_Data!G4264)</f>
        <v>14562.73</v>
      </c>
      <c r="H4264" s="15" t="str">
        <f t="shared" si="1"/>
        <v>166499.00</v>
      </c>
      <c r="I4264" s="14" t="str">
        <f t="shared" si="2"/>
        <v>151936.00</v>
      </c>
      <c r="J4264" s="16" t="str">
        <f>TEXT(Raw_Data!J4264,"MMM-YYY")</f>
        <v>Jun-2025</v>
      </c>
      <c r="K4264" s="13" t="str">
        <f>Raw_Data!K4264</f>
        <v>17</v>
      </c>
      <c r="L4264" s="17" t="str">
        <f>Raw_Data!L4264</f>
        <v>Mumbai-HO</v>
      </c>
      <c r="M4264" s="13" t="str">
        <f t="shared" si="3"/>
        <v>OK</v>
      </c>
      <c r="N4264" s="18" t="str">
        <f t="shared" si="4"/>
        <v>VALID</v>
      </c>
    </row>
    <row r="4265" ht="15.75" customHeight="1">
      <c r="A4265" s="13" t="str">
        <f>Raw_Data!A4265</f>
        <v>EMP4501</v>
      </c>
      <c r="B4265" s="13" t="str">
        <f>TRIM(CLEAN(Raw_Data!B4265))</f>
        <v>Operations</v>
      </c>
      <c r="C4265" s="18" t="s">
        <v>26</v>
      </c>
      <c r="D4265" s="14" t="str">
        <f>IF(ISBLANK(Raw_Data!D4265),AVERAGE(Raw_Data!D$2:D$5002),Raw_Data!D4265)</f>
        <v>97021.53</v>
      </c>
      <c r="E4265" s="15" t="str">
        <f>IF(ISBLANK(Raw_Data!E4265),AVERAGE(Raw_Data!E$2:E$5002),Raw_Data!E4265)</f>
        <v>34761.47</v>
      </c>
      <c r="F4265" s="15" t="str">
        <f>IF(ISBLANK(Raw_Data!F4265),AVERAGE(Raw_Data!F$2:F$5002),Raw_Data!F4265)</f>
        <v>34738.95</v>
      </c>
      <c r="G4265" s="14" t="str">
        <f>IF(ISBLANK(Raw_Data!G4265),AVERAGE(Raw_Data!G$2:G$5002),Raw_Data!G4265)</f>
        <v>22202.15</v>
      </c>
      <c r="H4265" s="15" t="str">
        <f t="shared" si="1"/>
        <v>166522.00</v>
      </c>
      <c r="I4265" s="14" t="str">
        <f t="shared" si="2"/>
        <v>144320.00</v>
      </c>
      <c r="J4265" s="16" t="str">
        <f>TEXT(Raw_Data!J4265,"MMM-YYY")</f>
        <v>Jun-2025</v>
      </c>
      <c r="K4265" s="13" t="str">
        <f>Raw_Data!K4265</f>
        <v>13</v>
      </c>
      <c r="L4265" s="17" t="str">
        <f>Raw_Data!L4265</f>
        <v>Delhi-North</v>
      </c>
      <c r="M4265" s="13" t="str">
        <f t="shared" si="3"/>
        <v>OK</v>
      </c>
      <c r="N4265" s="18" t="str">
        <f t="shared" si="4"/>
        <v>VALID</v>
      </c>
    </row>
    <row r="4266" ht="15.75" customHeight="1">
      <c r="A4266" s="13" t="str">
        <f>Raw_Data!A4266</f>
        <v>EMP4502</v>
      </c>
      <c r="B4266" s="13" t="str">
        <f>TRIM(CLEAN(Raw_Data!B4266))</f>
        <v>Customer Support</v>
      </c>
      <c r="C4266" s="18" t="s">
        <v>26</v>
      </c>
      <c r="D4266" s="14" t="str">
        <f>IF(ISBLANK(Raw_Data!D4266),AVERAGE(Raw_Data!D$2:D$5002),Raw_Data!D4266)</f>
        <v>97032.41</v>
      </c>
      <c r="E4266" s="15" t="str">
        <f>IF(ISBLANK(Raw_Data!E4266),AVERAGE(Raw_Data!E$2:E$5002),Raw_Data!E4266)</f>
        <v>34766.09</v>
      </c>
      <c r="F4266" s="15" t="str">
        <f>IF(ISBLANK(Raw_Data!F4266),AVERAGE(Raw_Data!F$2:F$5002),Raw_Data!F4266)</f>
        <v>34746.63</v>
      </c>
      <c r="G4266" s="14" t="str">
        <f>IF(ISBLANK(Raw_Data!G4266),AVERAGE(Raw_Data!G$2:G$5002),Raw_Data!G4266)</f>
        <v>22205.55</v>
      </c>
      <c r="H4266" s="15" t="str">
        <f t="shared" si="1"/>
        <v>166545.00</v>
      </c>
      <c r="I4266" s="14" t="str">
        <f t="shared" si="2"/>
        <v>144339.00</v>
      </c>
      <c r="J4266" s="16" t="str">
        <f>TEXT(Raw_Data!J4266,"MMM-YYY")</f>
        <v>Apr-2025</v>
      </c>
      <c r="K4266" s="13" t="str">
        <f>Raw_Data!K4266</f>
        <v>19</v>
      </c>
      <c r="L4266" s="17" t="str">
        <f>Raw_Data!L4266</f>
        <v>Bangalore-South</v>
      </c>
      <c r="M4266" s="13" t="str">
        <f t="shared" si="3"/>
        <v>OK</v>
      </c>
      <c r="N4266" s="18" t="str">
        <f t="shared" si="4"/>
        <v>VALID</v>
      </c>
    </row>
    <row r="4267" ht="15.75" customHeight="1">
      <c r="A4267" s="13" t="str">
        <f>Raw_Data!A4267</f>
        <v>EMP4503</v>
      </c>
      <c r="B4267" s="13" t="str">
        <f>TRIM(CLEAN(Raw_Data!B4267))</f>
        <v>Customer Support</v>
      </c>
      <c r="C4267" s="18" t="s">
        <v>33</v>
      </c>
      <c r="D4267" s="14" t="str">
        <f>IF(ISBLANK(Raw_Data!D4267),AVERAGE(Raw_Data!D$2:D$5002),Raw_Data!D4267)</f>
        <v>97043.29</v>
      </c>
      <c r="E4267" s="15" t="str">
        <f>IF(ISBLANK(Raw_Data!E4267),AVERAGE(Raw_Data!E$2:E$5002),Raw_Data!E4267)</f>
        <v>34770.70</v>
      </c>
      <c r="F4267" s="15" t="str">
        <f>IF(ISBLANK(Raw_Data!F4267),AVERAGE(Raw_Data!F$2:F$5002),Raw_Data!F4267)</f>
        <v>34754.31</v>
      </c>
      <c r="G4267" s="14" t="str">
        <f>IF(ISBLANK(Raw_Data!G4267),AVERAGE(Raw_Data!G$2:G$5002),Raw_Data!G4267)</f>
        <v>22208.95</v>
      </c>
      <c r="H4267" s="15" t="str">
        <f t="shared" si="1"/>
        <v>166568.00</v>
      </c>
      <c r="I4267" s="14" t="str">
        <f t="shared" si="2"/>
        <v>144359.00</v>
      </c>
      <c r="J4267" s="16" t="str">
        <f>TEXT(Raw_Data!J4267,"MMM-YYY")</f>
        <v>May-2025</v>
      </c>
      <c r="K4267" s="13" t="str">
        <f>Raw_Data!K4267</f>
        <v>18</v>
      </c>
      <c r="L4267" s="17" t="str">
        <f>Raw_Data!L4267</f>
        <v>Chennai-South</v>
      </c>
      <c r="M4267" s="13" t="str">
        <f t="shared" si="3"/>
        <v>OK</v>
      </c>
      <c r="N4267" s="18" t="str">
        <f t="shared" si="4"/>
        <v>VALID</v>
      </c>
    </row>
    <row r="4268" ht="15.75" customHeight="1">
      <c r="A4268" s="13" t="str">
        <f>Raw_Data!A4268</f>
        <v>EMP4504</v>
      </c>
      <c r="B4268" s="13" t="str">
        <f>TRIM(CLEAN(Raw_Data!B4268))</f>
        <v>IT</v>
      </c>
      <c r="C4268" s="18" t="s">
        <v>33</v>
      </c>
      <c r="D4268" s="14" t="str">
        <f>IF(ISBLANK(Raw_Data!D4268),AVERAGE(Raw_Data!D$2:D$5002),Raw_Data!D4268)</f>
        <v>71831.17</v>
      </c>
      <c r="E4268" s="15" t="str">
        <f>IF(ISBLANK(Raw_Data!E4268),AVERAGE(Raw_Data!E$2:E$5002),Raw_Data!E4268)</f>
        <v>34775.32</v>
      </c>
      <c r="F4268" s="15" t="str">
        <f>IF(ISBLANK(Raw_Data!F4268),AVERAGE(Raw_Data!F$2:F$5002),Raw_Data!F4268)</f>
        <v>34761.99</v>
      </c>
      <c r="G4268" s="14" t="str">
        <f>IF(ISBLANK(Raw_Data!G4268),AVERAGE(Raw_Data!G$2:G$5002),Raw_Data!G4268)</f>
        <v>22212.35</v>
      </c>
      <c r="H4268" s="15" t="str">
        <f t="shared" si="1"/>
        <v>141368.00</v>
      </c>
      <c r="I4268" s="14" t="str">
        <f t="shared" si="2"/>
        <v>119156.00</v>
      </c>
      <c r="J4268" s="16" t="str">
        <f>TEXT(Raw_Data!J4268,"MMM-YYY")</f>
        <v>Feb-2025</v>
      </c>
      <c r="K4268" s="13" t="str">
        <f>Raw_Data!K4268</f>
        <v>15</v>
      </c>
      <c r="L4268" s="17" t="str">
        <f>Raw_Data!L4268</f>
        <v>Kolkata-East</v>
      </c>
      <c r="M4268" s="13" t="str">
        <f t="shared" si="3"/>
        <v>OK</v>
      </c>
      <c r="N4268" s="18" t="str">
        <f t="shared" si="4"/>
        <v>VALID</v>
      </c>
    </row>
    <row r="4269" ht="15.75" customHeight="1">
      <c r="A4269" s="13" t="str">
        <f>Raw_Data!A4269</f>
        <v>EMP4505</v>
      </c>
      <c r="B4269" s="13" t="str">
        <f>TRIM(CLEAN(Raw_Data!B4269))</f>
        <v>HR</v>
      </c>
      <c r="C4269" s="18" t="s">
        <v>54</v>
      </c>
      <c r="D4269" s="14" t="str">
        <f>IF(ISBLANK(Raw_Data!D4269),AVERAGE(Raw_Data!D$2:D$5002),Raw_Data!D4269)</f>
        <v>97065.06</v>
      </c>
      <c r="E4269" s="15" t="str">
        <f>IF(ISBLANK(Raw_Data!E4269),AVERAGE(Raw_Data!E$2:E$5002),Raw_Data!E4269)</f>
        <v>34779.93</v>
      </c>
      <c r="F4269" s="15" t="str">
        <f>IF(ISBLANK(Raw_Data!F4269),AVERAGE(Raw_Data!F$2:F$5002),Raw_Data!F4269)</f>
        <v>34769.67</v>
      </c>
      <c r="G4269" s="14" t="str">
        <f>IF(ISBLANK(Raw_Data!G4269),AVERAGE(Raw_Data!G$2:G$5002),Raw_Data!G4269)</f>
        <v>22215.74</v>
      </c>
      <c r="H4269" s="15" t="str">
        <f t="shared" si="1"/>
        <v>166615.00</v>
      </c>
      <c r="I4269" s="14" t="str">
        <f t="shared" si="2"/>
        <v>144399.00</v>
      </c>
      <c r="J4269" s="16" t="str">
        <f>TEXT(Raw_Data!J4269,"MMM-YYY")</f>
        <v>Mar-2025</v>
      </c>
      <c r="K4269" s="13" t="str">
        <f>Raw_Data!K4269</f>
        <v>14</v>
      </c>
      <c r="L4269" s="17" t="str">
        <f>Raw_Data!L4269</f>
        <v>Pune-West</v>
      </c>
      <c r="M4269" s="13" t="str">
        <f t="shared" si="3"/>
        <v>OK</v>
      </c>
      <c r="N4269" s="18" t="str">
        <f t="shared" si="4"/>
        <v>VALID</v>
      </c>
    </row>
    <row r="4270" ht="15.75" customHeight="1">
      <c r="A4270" s="13" t="str">
        <f>Raw_Data!A4270</f>
        <v>EMP4506</v>
      </c>
      <c r="B4270" s="13" t="str">
        <f>TRIM(CLEAN(Raw_Data!B4270))</f>
        <v>Operations</v>
      </c>
      <c r="C4270" s="18" t="s">
        <v>30</v>
      </c>
      <c r="D4270" s="14" t="str">
        <f>IF(ISBLANK(Raw_Data!D4270),AVERAGE(Raw_Data!D$2:D$5002),Raw_Data!D4270)</f>
        <v>97075.94</v>
      </c>
      <c r="E4270" s="15" t="str">
        <f>IF(ISBLANK(Raw_Data!E4270),AVERAGE(Raw_Data!E$2:E$5002),Raw_Data!E4270)</f>
        <v>34784.54</v>
      </c>
      <c r="F4270" s="15" t="str">
        <f>IF(ISBLANK(Raw_Data!F4270),AVERAGE(Raw_Data!F$2:F$5002),Raw_Data!F4270)</f>
        <v>34777.35</v>
      </c>
      <c r="G4270" s="14" t="str">
        <f>IF(ISBLANK(Raw_Data!G4270),AVERAGE(Raw_Data!G$2:G$5002),Raw_Data!G4270)</f>
        <v>22219.14</v>
      </c>
      <c r="H4270" s="15" t="str">
        <f t="shared" si="1"/>
        <v>166638.00</v>
      </c>
      <c r="I4270" s="14" t="str">
        <f t="shared" si="2"/>
        <v>144419.00</v>
      </c>
      <c r="J4270" s="16" t="str">
        <f>TEXT(Raw_Data!J4270,"MMM-YYY")</f>
        <v>Jul-2025</v>
      </c>
      <c r="K4270" s="13" t="str">
        <f>Raw_Data!K4270</f>
        <v>15</v>
      </c>
      <c r="L4270" s="17" t="str">
        <f>Raw_Data!L4270</f>
        <v>Hyderabad-South</v>
      </c>
      <c r="M4270" s="13" t="str">
        <f t="shared" si="3"/>
        <v>OK</v>
      </c>
      <c r="N4270" s="18" t="str">
        <f t="shared" si="4"/>
        <v>VALID</v>
      </c>
    </row>
    <row r="4271" ht="15.75" customHeight="1">
      <c r="A4271" s="13" t="str">
        <f>Raw_Data!A4271</f>
        <v>EMP4507</v>
      </c>
      <c r="B4271" s="13" t="str">
        <f>TRIM(CLEAN(Raw_Data!B4271))</f>
        <v>HR</v>
      </c>
      <c r="C4271" s="18" t="s">
        <v>26</v>
      </c>
      <c r="D4271" s="14" t="str">
        <f>IF(ISBLANK(Raw_Data!D4271),AVERAGE(Raw_Data!D$2:D$5002),Raw_Data!D4271)</f>
        <v>54326.71</v>
      </c>
      <c r="E4271" s="15" t="str">
        <f>IF(ISBLANK(Raw_Data!E4271),AVERAGE(Raw_Data!E$2:E$5002),Raw_Data!E4271)</f>
        <v>24591.85</v>
      </c>
      <c r="F4271" s="15" t="str">
        <f>IF(ISBLANK(Raw_Data!F4271),AVERAGE(Raw_Data!F$2:F$5002),Raw_Data!F4271)</f>
        <v>34785.03</v>
      </c>
      <c r="G4271" s="14" t="str">
        <f>IF(ISBLANK(Raw_Data!G4271),AVERAGE(Raw_Data!G$2:G$5002),Raw_Data!G4271)</f>
        <v>14562.73</v>
      </c>
      <c r="H4271" s="15" t="str">
        <f t="shared" si="1"/>
        <v>113704.00</v>
      </c>
      <c r="I4271" s="14" t="str">
        <f t="shared" si="2"/>
        <v>99141.00</v>
      </c>
      <c r="J4271" s="16" t="str">
        <f>TEXT(Raw_Data!J4271,"MMM-YYY")</f>
        <v>Dec-2025</v>
      </c>
      <c r="K4271" s="13" t="str">
        <f>Raw_Data!K4271</f>
        <v>17</v>
      </c>
      <c r="L4271" s="17" t="str">
        <f>Raw_Data!L4271</f>
        <v>Chandigarh-North</v>
      </c>
      <c r="M4271" s="13" t="str">
        <f t="shared" si="3"/>
        <v>OK</v>
      </c>
      <c r="N4271" s="18" t="str">
        <f t="shared" si="4"/>
        <v>VALID</v>
      </c>
    </row>
    <row r="4272" ht="15.75" customHeight="1">
      <c r="A4272" s="13" t="str">
        <f>Raw_Data!A4272</f>
        <v>EMP4508</v>
      </c>
      <c r="B4272" s="13" t="str">
        <f>TRIM(CLEAN(Raw_Data!B4272))</f>
        <v>Finance</v>
      </c>
      <c r="C4272" s="18" t="s">
        <v>37</v>
      </c>
      <c r="D4272" s="14" t="str">
        <f>IF(ISBLANK(Raw_Data!D4272),AVERAGE(Raw_Data!D$2:D$5002),Raw_Data!D4272)</f>
        <v>114825.00</v>
      </c>
      <c r="E4272" s="15" t="str">
        <f>IF(ISBLANK(Raw_Data!E4272),AVERAGE(Raw_Data!E$2:E$5002),Raw_Data!E4272)</f>
        <v>32995.56</v>
      </c>
      <c r="F4272" s="15" t="str">
        <f>IF(ISBLANK(Raw_Data!F4272),AVERAGE(Raw_Data!F$2:F$5002),Raw_Data!F4272)</f>
        <v>34792.71</v>
      </c>
      <c r="G4272" s="14" t="str">
        <f>IF(ISBLANK(Raw_Data!G4272),AVERAGE(Raw_Data!G$2:G$5002),Raw_Data!G4272)</f>
        <v>2460.80</v>
      </c>
      <c r="H4272" s="15" t="str">
        <f t="shared" si="1"/>
        <v>182613.00</v>
      </c>
      <c r="I4272" s="14" t="str">
        <f t="shared" si="2"/>
        <v>180152.00</v>
      </c>
      <c r="J4272" s="16" t="str">
        <f>TEXT(Raw_Data!J4272,"MMM-YYY")</f>
        <v>Jan-2025</v>
      </c>
      <c r="K4272" s="13" t="str">
        <f>Raw_Data!K4272</f>
        <v>6</v>
      </c>
      <c r="L4272" s="17" t="str">
        <f>Raw_Data!L4272</f>
        <v>Ahmedabad-West</v>
      </c>
      <c r="M4272" s="13" t="str">
        <f t="shared" si="3"/>
        <v>OK</v>
      </c>
      <c r="N4272" s="18" t="str">
        <f t="shared" si="4"/>
        <v>VALID</v>
      </c>
    </row>
    <row r="4273" ht="15.75" customHeight="1">
      <c r="A4273" s="13" t="str">
        <f>Raw_Data!A4273</f>
        <v>EMP4509</v>
      </c>
      <c r="B4273" s="13" t="str">
        <f>TRIM(CLEAN(Raw_Data!B4273))</f>
        <v>Sales</v>
      </c>
      <c r="C4273" s="18" t="s">
        <v>26</v>
      </c>
      <c r="D4273" s="14" t="str">
        <f>IF(ISBLANK(Raw_Data!D4273),AVERAGE(Raw_Data!D$2:D$5002),Raw_Data!D4273)</f>
        <v>91859.36</v>
      </c>
      <c r="E4273" s="15" t="str">
        <f>IF(ISBLANK(Raw_Data!E4273),AVERAGE(Raw_Data!E$2:E$5002),Raw_Data!E4273)</f>
        <v>31365.79</v>
      </c>
      <c r="F4273" s="15" t="str">
        <f>IF(ISBLANK(Raw_Data!F4273),AVERAGE(Raw_Data!F$2:F$5002),Raw_Data!F4273)</f>
        <v>34800.39</v>
      </c>
      <c r="G4273" s="14" t="str">
        <f>IF(ISBLANK(Raw_Data!G4273),AVERAGE(Raw_Data!G$2:G$5002),Raw_Data!G4273)</f>
        <v>6437.08</v>
      </c>
      <c r="H4273" s="15" t="str">
        <f t="shared" si="1"/>
        <v>158026.00</v>
      </c>
      <c r="I4273" s="14" t="str">
        <f t="shared" si="2"/>
        <v>151589.00</v>
      </c>
      <c r="J4273" s="16" t="str">
        <f>TEXT(Raw_Data!J4273,"MMM-YYY")</f>
        <v>Apr-2025</v>
      </c>
      <c r="K4273" s="13" t="str">
        <f>Raw_Data!K4273</f>
        <v>25</v>
      </c>
      <c r="L4273" s="17" t="str">
        <f>Raw_Data!L4273</f>
        <v>Jaipur-North</v>
      </c>
      <c r="M4273" s="13" t="str">
        <f t="shared" si="3"/>
        <v>OK</v>
      </c>
      <c r="N4273" s="18" t="str">
        <f t="shared" si="4"/>
        <v>VALID</v>
      </c>
    </row>
    <row r="4274" ht="15.75" customHeight="1">
      <c r="A4274" s="13" t="str">
        <f>Raw_Data!A4274</f>
        <v>EMP4510</v>
      </c>
      <c r="B4274" s="13" t="str">
        <f>TRIM(CLEAN(Raw_Data!B4274))</f>
        <v>Customer Support</v>
      </c>
      <c r="C4274" s="18" t="s">
        <v>54</v>
      </c>
      <c r="D4274" s="14" t="str">
        <f>IF(ISBLANK(Raw_Data!D4274),AVERAGE(Raw_Data!D$2:D$5002),Raw_Data!D4274)</f>
        <v>77859.14</v>
      </c>
      <c r="E4274" s="15" t="str">
        <f>IF(ISBLANK(Raw_Data!E4274),AVERAGE(Raw_Data!E$2:E$5002),Raw_Data!E4274)</f>
        <v>9540.40</v>
      </c>
      <c r="F4274" s="15" t="str">
        <f>IF(ISBLANK(Raw_Data!F4274),AVERAGE(Raw_Data!F$2:F$5002),Raw_Data!F4274)</f>
        <v>34808.07</v>
      </c>
      <c r="G4274" s="14" t="str">
        <f>IF(ISBLANK(Raw_Data!G4274),AVERAGE(Raw_Data!G$2:G$5002),Raw_Data!G4274)</f>
        <v>19455.14</v>
      </c>
      <c r="H4274" s="15" t="str">
        <f t="shared" si="1"/>
        <v>122208.00</v>
      </c>
      <c r="I4274" s="14" t="str">
        <f t="shared" si="2"/>
        <v>102753.00</v>
      </c>
      <c r="J4274" s="16" t="str">
        <f>TEXT(Raw_Data!J4274,"MMM-YYY")</f>
        <v>May-2025</v>
      </c>
      <c r="K4274" s="13" t="str">
        <f>Raw_Data!K4274</f>
        <v>1</v>
      </c>
      <c r="L4274" s="17" t="str">
        <f>Raw_Data!L4274</f>
        <v>Mumbai-HO</v>
      </c>
      <c r="M4274" s="13" t="str">
        <f t="shared" si="3"/>
        <v>OK</v>
      </c>
      <c r="N4274" s="18" t="str">
        <f t="shared" si="4"/>
        <v>VALID</v>
      </c>
    </row>
    <row r="4275" ht="15.75" customHeight="1">
      <c r="A4275" s="13" t="str">
        <f>Raw_Data!A4275</f>
        <v>EMP4511</v>
      </c>
      <c r="B4275" s="13" t="str">
        <f>TRIM(CLEAN(Raw_Data!B4275))</f>
        <v>Finance</v>
      </c>
      <c r="C4275" s="18" t="s">
        <v>37</v>
      </c>
      <c r="D4275" s="14" t="str">
        <f>IF(ISBLANK(Raw_Data!D4275),AVERAGE(Raw_Data!D$2:D$5002),Raw_Data!D4275)</f>
        <v>31381.96</v>
      </c>
      <c r="E4275" s="15" t="str">
        <f>IF(ISBLANK(Raw_Data!E4275),AVERAGE(Raw_Data!E$2:E$5002),Raw_Data!E4275)</f>
        <v>9372.98</v>
      </c>
      <c r="F4275" s="15" t="str">
        <f>IF(ISBLANK(Raw_Data!F4275),AVERAGE(Raw_Data!F$2:F$5002),Raw_Data!F4275)</f>
        <v>34815.75</v>
      </c>
      <c r="G4275" s="14" t="str">
        <f>IF(ISBLANK(Raw_Data!G4275),AVERAGE(Raw_Data!G$2:G$5002),Raw_Data!G4275)</f>
        <v>13452.80</v>
      </c>
      <c r="H4275" s="15" t="str">
        <f t="shared" si="1"/>
        <v>75571.00</v>
      </c>
      <c r="I4275" s="14" t="str">
        <f t="shared" si="2"/>
        <v>62118.00</v>
      </c>
      <c r="J4275" s="16" t="str">
        <f>TEXT(Raw_Data!J4275,"MMM-YYY")</f>
        <v>Jun-2025</v>
      </c>
      <c r="K4275" s="13" t="str">
        <f>Raw_Data!K4275</f>
        <v>24</v>
      </c>
      <c r="L4275" s="17" t="str">
        <f>Raw_Data!L4275</f>
        <v>Delhi-North</v>
      </c>
      <c r="M4275" s="13" t="str">
        <f t="shared" si="3"/>
        <v>OK</v>
      </c>
      <c r="N4275" s="18" t="str">
        <f t="shared" si="4"/>
        <v>VALID</v>
      </c>
    </row>
    <row r="4276" ht="15.75" customHeight="1">
      <c r="A4276" s="13" t="str">
        <f>Raw_Data!A4276</f>
        <v>EMP4512</v>
      </c>
      <c r="B4276" s="13" t="str">
        <f>TRIM(CLEAN(Raw_Data!B4276))</f>
        <v>HR</v>
      </c>
      <c r="C4276" s="18" t="s">
        <v>18</v>
      </c>
      <c r="D4276" s="14" t="str">
        <f>IF(ISBLANK(Raw_Data!D4276),AVERAGE(Raw_Data!D$2:D$5002),Raw_Data!D4276)</f>
        <v>31379.42</v>
      </c>
      <c r="E4276" s="15" t="str">
        <f>IF(ISBLANK(Raw_Data!E4276),AVERAGE(Raw_Data!E$2:E$5002),Raw_Data!E4276)</f>
        <v>13654.28</v>
      </c>
      <c r="F4276" s="15" t="str">
        <f>IF(ISBLANK(Raw_Data!F4276),AVERAGE(Raw_Data!F$2:F$5002),Raw_Data!F4276)</f>
        <v>34823.43</v>
      </c>
      <c r="G4276" s="14" t="str">
        <f>IF(ISBLANK(Raw_Data!G4276),AVERAGE(Raw_Data!G$2:G$5002),Raw_Data!G4276)</f>
        <v>23235.24</v>
      </c>
      <c r="H4276" s="15" t="str">
        <f t="shared" si="1"/>
        <v>79857.00</v>
      </c>
      <c r="I4276" s="14" t="str">
        <f t="shared" si="2"/>
        <v>56622.00</v>
      </c>
      <c r="J4276" s="16" t="str">
        <f>TEXT(Raw_Data!J4276,"MMM-YYY")</f>
        <v>Jul-2025</v>
      </c>
      <c r="K4276" s="13" t="str">
        <f>Raw_Data!K4276</f>
        <v>24</v>
      </c>
      <c r="L4276" s="17" t="str">
        <f>Raw_Data!L4276</f>
        <v>Bangalore-South</v>
      </c>
      <c r="M4276" s="13" t="str">
        <f t="shared" si="3"/>
        <v>OK</v>
      </c>
      <c r="N4276" s="18" t="str">
        <f t="shared" si="4"/>
        <v>VALID</v>
      </c>
    </row>
    <row r="4277" ht="15.75" customHeight="1">
      <c r="A4277" s="13" t="str">
        <f>Raw_Data!A4277</f>
        <v>EMP4513</v>
      </c>
      <c r="B4277" s="13" t="str">
        <f>TRIM(CLEAN(Raw_Data!B4277))</f>
        <v>Marketing</v>
      </c>
      <c r="C4277" s="18" t="s">
        <v>54</v>
      </c>
      <c r="D4277" s="14" t="str">
        <f>IF(ISBLANK(Raw_Data!D4277),AVERAGE(Raw_Data!D$2:D$5002),Raw_Data!D4277)</f>
        <v>21098.78</v>
      </c>
      <c r="E4277" s="15" t="str">
        <f>IF(ISBLANK(Raw_Data!E4277),AVERAGE(Raw_Data!E$2:E$5002),Raw_Data!E4277)</f>
        <v>16998.69</v>
      </c>
      <c r="F4277" s="15" t="str">
        <f>IF(ISBLANK(Raw_Data!F4277),AVERAGE(Raw_Data!F$2:F$5002),Raw_Data!F4277)</f>
        <v>34831.11</v>
      </c>
      <c r="G4277" s="14" t="str">
        <f>IF(ISBLANK(Raw_Data!G4277),AVERAGE(Raw_Data!G$2:G$5002),Raw_Data!G4277)</f>
        <v>11004.41</v>
      </c>
      <c r="H4277" s="15" t="str">
        <f t="shared" si="1"/>
        <v>72929.00</v>
      </c>
      <c r="I4277" s="14" t="str">
        <f t="shared" si="2"/>
        <v>61925.00</v>
      </c>
      <c r="J4277" s="16" t="str">
        <f>TEXT(Raw_Data!J4277,"MMM-YYY")</f>
        <v>Dec-2025</v>
      </c>
      <c r="K4277" s="13" t="str">
        <f>Raw_Data!K4277</f>
        <v>22</v>
      </c>
      <c r="L4277" s="17" t="str">
        <f>Raw_Data!L4277</f>
        <v>Chennai-South</v>
      </c>
      <c r="M4277" s="13" t="str">
        <f t="shared" si="3"/>
        <v>OK</v>
      </c>
      <c r="N4277" s="18" t="str">
        <f t="shared" si="4"/>
        <v>VALID</v>
      </c>
    </row>
    <row r="4278" ht="15.75" customHeight="1">
      <c r="A4278" s="13" t="str">
        <f>Raw_Data!A4278</f>
        <v>EMP4514</v>
      </c>
      <c r="B4278" s="13" t="str">
        <f>TRIM(CLEAN(Raw_Data!B4278))</f>
        <v>Finance</v>
      </c>
      <c r="C4278" s="18" t="s">
        <v>30</v>
      </c>
      <c r="D4278" s="14" t="str">
        <f>IF(ISBLANK(Raw_Data!D4278),AVERAGE(Raw_Data!D$2:D$5002),Raw_Data!D4278)</f>
        <v>105948.50</v>
      </c>
      <c r="E4278" s="15" t="str">
        <f>IF(ISBLANK(Raw_Data!E4278),AVERAGE(Raw_Data!E$2:E$5002),Raw_Data!E4278)</f>
        <v>18704.40</v>
      </c>
      <c r="F4278" s="15" t="str">
        <f>IF(ISBLANK(Raw_Data!F4278),AVERAGE(Raw_Data!F$2:F$5002),Raw_Data!F4278)</f>
        <v>34838.79</v>
      </c>
      <c r="G4278" s="14" t="str">
        <f>IF(ISBLANK(Raw_Data!G4278),AVERAGE(Raw_Data!G$2:G$5002),Raw_Data!G4278)</f>
        <v>21810.40</v>
      </c>
      <c r="H4278" s="15" t="str">
        <f t="shared" si="1"/>
        <v>159492.00</v>
      </c>
      <c r="I4278" s="14" t="str">
        <f t="shared" si="2"/>
        <v>137682.00</v>
      </c>
      <c r="J4278" s="16" t="str">
        <f>TEXT(Raw_Data!J4278,"MMM-YYY")</f>
        <v>May-2025</v>
      </c>
      <c r="K4278" s="13" t="str">
        <f>Raw_Data!K4278</f>
        <v>19</v>
      </c>
      <c r="L4278" s="17" t="str">
        <f>Raw_Data!L4278</f>
        <v>Kolkata-East</v>
      </c>
      <c r="M4278" s="13" t="str">
        <f t="shared" si="3"/>
        <v>OK</v>
      </c>
      <c r="N4278" s="18" t="str">
        <f t="shared" si="4"/>
        <v>VALID</v>
      </c>
    </row>
    <row r="4279" ht="15.75" customHeight="1">
      <c r="A4279" s="13" t="str">
        <f>Raw_Data!A4279</f>
        <v>EMP4515</v>
      </c>
      <c r="B4279" s="13" t="str">
        <f>TRIM(CLEAN(Raw_Data!B4279))</f>
        <v>Finance</v>
      </c>
      <c r="C4279" s="18" t="s">
        <v>18</v>
      </c>
      <c r="D4279" s="14" t="str">
        <f>IF(ISBLANK(Raw_Data!D4279),AVERAGE(Raw_Data!D$2:D$5002),Raw_Data!D4279)</f>
        <v>78117.08</v>
      </c>
      <c r="E4279" s="15" t="str">
        <f>IF(ISBLANK(Raw_Data!E4279),AVERAGE(Raw_Data!E$2:E$5002),Raw_Data!E4279)</f>
        <v>28469.10</v>
      </c>
      <c r="F4279" s="15" t="str">
        <f>IF(ISBLANK(Raw_Data!F4279),AVERAGE(Raw_Data!F$2:F$5002),Raw_Data!F4279)</f>
        <v>34846.47</v>
      </c>
      <c r="G4279" s="14" t="str">
        <f>IF(ISBLANK(Raw_Data!G4279),AVERAGE(Raw_Data!G$2:G$5002),Raw_Data!G4279)</f>
        <v>11499.41</v>
      </c>
      <c r="H4279" s="15" t="str">
        <f t="shared" si="1"/>
        <v>141433.00</v>
      </c>
      <c r="I4279" s="14" t="str">
        <f t="shared" si="2"/>
        <v>129934.00</v>
      </c>
      <c r="J4279" s="16" t="str">
        <f>TEXT(Raw_Data!J4279,"MMM-YYY")</f>
        <v>Dec-2025</v>
      </c>
      <c r="K4279" s="13" t="str">
        <f>Raw_Data!K4279</f>
        <v>23</v>
      </c>
      <c r="L4279" s="17" t="str">
        <f>Raw_Data!L4279</f>
        <v>Pune-West</v>
      </c>
      <c r="M4279" s="13" t="str">
        <f t="shared" si="3"/>
        <v>OK</v>
      </c>
      <c r="N4279" s="18" t="str">
        <f t="shared" si="4"/>
        <v>VALID</v>
      </c>
    </row>
    <row r="4280" ht="15.75" customHeight="1">
      <c r="A4280" s="13" t="str">
        <f>Raw_Data!A4280</f>
        <v>EMP4516</v>
      </c>
      <c r="B4280" s="13" t="str">
        <f>TRIM(CLEAN(Raw_Data!B4280))</f>
        <v>Marketing</v>
      </c>
      <c r="C4280" s="18" t="s">
        <v>33</v>
      </c>
      <c r="D4280" s="14" t="str">
        <f>IF(ISBLANK(Raw_Data!D4280),AVERAGE(Raw_Data!D$2:D$5002),Raw_Data!D4280)</f>
        <v>89347.62</v>
      </c>
      <c r="E4280" s="15" t="str">
        <f>IF(ISBLANK(Raw_Data!E4280),AVERAGE(Raw_Data!E$2:E$5002),Raw_Data!E4280)</f>
        <v>6040.50</v>
      </c>
      <c r="F4280" s="15" t="str">
        <f>IF(ISBLANK(Raw_Data!F4280),AVERAGE(Raw_Data!F$2:F$5002),Raw_Data!F4280)</f>
        <v>34854.15</v>
      </c>
      <c r="G4280" s="14" t="str">
        <f>IF(ISBLANK(Raw_Data!G4280),AVERAGE(Raw_Data!G$2:G$5002),Raw_Data!G4280)</f>
        <v>24491.58</v>
      </c>
      <c r="H4280" s="15" t="str">
        <f t="shared" si="1"/>
        <v>130242.00</v>
      </c>
      <c r="I4280" s="14" t="str">
        <f t="shared" si="2"/>
        <v>105750.00</v>
      </c>
      <c r="J4280" s="16" t="str">
        <f>TEXT(Raw_Data!J4280,"MMM-YYY")</f>
        <v>Apr-2025</v>
      </c>
      <c r="K4280" s="13" t="str">
        <f>Raw_Data!K4280</f>
        <v>21</v>
      </c>
      <c r="L4280" s="17" t="str">
        <f>Raw_Data!L4280</f>
        <v>Hyderabad-South</v>
      </c>
      <c r="M4280" s="13" t="str">
        <f t="shared" si="3"/>
        <v>OK</v>
      </c>
      <c r="N4280" s="18" t="str">
        <f t="shared" si="4"/>
        <v>VALID</v>
      </c>
    </row>
    <row r="4281" ht="15.75" customHeight="1">
      <c r="A4281" s="13" t="str">
        <f>Raw_Data!A4281</f>
        <v>EMP4517</v>
      </c>
      <c r="B4281" s="13" t="str">
        <f>TRIM(CLEAN(Raw_Data!B4281))</f>
        <v>Sales</v>
      </c>
      <c r="C4281" s="18" t="s">
        <v>14</v>
      </c>
      <c r="D4281" s="14" t="str">
        <f>IF(ISBLANK(Raw_Data!D4281),AVERAGE(Raw_Data!D$2:D$5002),Raw_Data!D4281)</f>
        <v>17161.37</v>
      </c>
      <c r="E4281" s="15" t="str">
        <f>IF(ISBLANK(Raw_Data!E4281),AVERAGE(Raw_Data!E$2:E$5002),Raw_Data!E4281)</f>
        <v>5248.22</v>
      </c>
      <c r="F4281" s="15" t="str">
        <f>IF(ISBLANK(Raw_Data!F4281),AVERAGE(Raw_Data!F$2:F$5002),Raw_Data!F4281)</f>
        <v>34861.83</v>
      </c>
      <c r="G4281" s="14" t="str">
        <f>IF(ISBLANK(Raw_Data!G4281),AVERAGE(Raw_Data!G$2:G$5002),Raw_Data!G4281)</f>
        <v>24015.94</v>
      </c>
      <c r="H4281" s="15" t="str">
        <f t="shared" si="1"/>
        <v>57271.00</v>
      </c>
      <c r="I4281" s="14" t="str">
        <f t="shared" si="2"/>
        <v>33255.00</v>
      </c>
      <c r="J4281" s="16" t="str">
        <f>TEXT(Raw_Data!J4281,"MMM-YYY")</f>
        <v>Mar-2025</v>
      </c>
      <c r="K4281" s="13" t="str">
        <f>Raw_Data!K4281</f>
        <v>14</v>
      </c>
      <c r="L4281" s="17" t="str">
        <f>Raw_Data!L4281</f>
        <v>Chandigarh-North</v>
      </c>
      <c r="M4281" s="13" t="str">
        <f t="shared" si="3"/>
        <v>OK</v>
      </c>
      <c r="N4281" s="18" t="str">
        <f t="shared" si="4"/>
        <v>VALID</v>
      </c>
    </row>
    <row r="4282" ht="15.75" customHeight="1">
      <c r="A4282" s="13" t="str">
        <f>Raw_Data!A4282</f>
        <v>EMP4518</v>
      </c>
      <c r="B4282" s="13" t="str">
        <f>TRIM(CLEAN(Raw_Data!B4282))</f>
        <v>IT</v>
      </c>
      <c r="C4282" s="18" t="s">
        <v>26</v>
      </c>
      <c r="D4282" s="14" t="str">
        <f>IF(ISBLANK(Raw_Data!D4282),AVERAGE(Raw_Data!D$2:D$5002),Raw_Data!D4282)</f>
        <v>116840.53</v>
      </c>
      <c r="E4282" s="15" t="str">
        <f>IF(ISBLANK(Raw_Data!E4282),AVERAGE(Raw_Data!E$2:E$5002),Raw_Data!E4282)</f>
        <v>18108.78</v>
      </c>
      <c r="F4282" s="15" t="str">
        <f>IF(ISBLANK(Raw_Data!F4282),AVERAGE(Raw_Data!F$2:F$5002),Raw_Data!F4282)</f>
        <v>34869.51</v>
      </c>
      <c r="G4282" s="14" t="str">
        <f>IF(ISBLANK(Raw_Data!G4282),AVERAGE(Raw_Data!G$2:G$5002),Raw_Data!G4282)</f>
        <v>8563.85</v>
      </c>
      <c r="H4282" s="15" t="str">
        <f t="shared" si="1"/>
        <v>169819.00</v>
      </c>
      <c r="I4282" s="14" t="str">
        <f t="shared" si="2"/>
        <v>161255.00</v>
      </c>
      <c r="J4282" s="16" t="str">
        <f>TEXT(Raw_Data!J4282,"MMM-YYY")</f>
        <v>Nov-2025</v>
      </c>
      <c r="K4282" s="13" t="str">
        <f>Raw_Data!K4282</f>
        <v>24</v>
      </c>
      <c r="L4282" s="17" t="str">
        <f>Raw_Data!L4282</f>
        <v>Ahmedabad-West</v>
      </c>
      <c r="M4282" s="13" t="str">
        <f t="shared" si="3"/>
        <v>OK</v>
      </c>
      <c r="N4282" s="18" t="str">
        <f t="shared" si="4"/>
        <v>VALID</v>
      </c>
    </row>
    <row r="4283" ht="15.75" customHeight="1">
      <c r="A4283" s="13" t="str">
        <f>Raw_Data!A4283</f>
        <v>EMP4519</v>
      </c>
      <c r="B4283" s="13" t="str">
        <f>TRIM(CLEAN(Raw_Data!B4283))</f>
        <v>HR</v>
      </c>
      <c r="C4283" s="18" t="s">
        <v>14</v>
      </c>
      <c r="D4283" s="14" t="str">
        <f>IF(ISBLANK(Raw_Data!D4283),AVERAGE(Raw_Data!D$2:D$5002),Raw_Data!D4283)</f>
        <v>102406.48</v>
      </c>
      <c r="E4283" s="15" t="str">
        <f>IF(ISBLANK(Raw_Data!E4283),AVERAGE(Raw_Data!E$2:E$5002),Raw_Data!E4283)</f>
        <v>29097.89</v>
      </c>
      <c r="F4283" s="15" t="str">
        <f>IF(ISBLANK(Raw_Data!F4283),AVERAGE(Raw_Data!F$2:F$5002),Raw_Data!F4283)</f>
        <v>34877.19</v>
      </c>
      <c r="G4283" s="14" t="str">
        <f>IF(ISBLANK(Raw_Data!G4283),AVERAGE(Raw_Data!G$2:G$5002),Raw_Data!G4283)</f>
        <v>22205.13</v>
      </c>
      <c r="H4283" s="15" t="str">
        <f t="shared" si="1"/>
        <v>166382.00</v>
      </c>
      <c r="I4283" s="14" t="str">
        <f t="shared" si="2"/>
        <v>144177.00</v>
      </c>
      <c r="J4283" s="16" t="str">
        <f>TEXT(Raw_Data!J4283,"MMM-YYY")</f>
        <v>Aug-2025</v>
      </c>
      <c r="K4283" s="13" t="str">
        <f>Raw_Data!K4283</f>
        <v>1</v>
      </c>
      <c r="L4283" s="17" t="str">
        <f>Raw_Data!L4283</f>
        <v>Jaipur-North</v>
      </c>
      <c r="M4283" s="13" t="str">
        <f t="shared" si="3"/>
        <v>OK</v>
      </c>
      <c r="N4283" s="18" t="str">
        <f t="shared" si="4"/>
        <v>VALID</v>
      </c>
    </row>
    <row r="4284" ht="15.75" customHeight="1">
      <c r="A4284" s="13" t="str">
        <f>Raw_Data!A4284</f>
        <v>EMP4520</v>
      </c>
      <c r="B4284" s="13" t="str">
        <f>TRIM(CLEAN(Raw_Data!B4284))</f>
        <v>HR</v>
      </c>
      <c r="C4284" s="18" t="s">
        <v>33</v>
      </c>
      <c r="D4284" s="14" t="str">
        <f>IF(ISBLANK(Raw_Data!D4284),AVERAGE(Raw_Data!D$2:D$5002),Raw_Data!D4284)</f>
        <v>37295.61</v>
      </c>
      <c r="E4284" s="15" t="str">
        <f>IF(ISBLANK(Raw_Data!E4284),AVERAGE(Raw_Data!E$2:E$5002),Raw_Data!E4284)</f>
        <v>10963.67</v>
      </c>
      <c r="F4284" s="15" t="str">
        <f>IF(ISBLANK(Raw_Data!F4284),AVERAGE(Raw_Data!F$2:F$5002),Raw_Data!F4284)</f>
        <v>34884.87</v>
      </c>
      <c r="G4284" s="14" t="str">
        <f>IF(ISBLANK(Raw_Data!G4284),AVERAGE(Raw_Data!G$2:G$5002),Raw_Data!G4284)</f>
        <v>21266.48</v>
      </c>
      <c r="H4284" s="15" t="str">
        <f t="shared" si="1"/>
        <v>83144.00</v>
      </c>
      <c r="I4284" s="14" t="str">
        <f t="shared" si="2"/>
        <v>61878.00</v>
      </c>
      <c r="J4284" s="16" t="str">
        <f>TEXT(Raw_Data!J4284,"MMM-YYY")</f>
        <v>Nov-2025</v>
      </c>
      <c r="K4284" s="13" t="str">
        <f>Raw_Data!K4284</f>
        <v>15</v>
      </c>
      <c r="L4284" s="17" t="str">
        <f>Raw_Data!L4284</f>
        <v>Mumbai-HO</v>
      </c>
      <c r="M4284" s="13" t="str">
        <f t="shared" si="3"/>
        <v>OK</v>
      </c>
      <c r="N4284" s="18" t="str">
        <f t="shared" si="4"/>
        <v>VALID</v>
      </c>
    </row>
    <row r="4285" ht="15.75" customHeight="1">
      <c r="A4285" s="13" t="str">
        <f>Raw_Data!A4285</f>
        <v>EMP4521</v>
      </c>
      <c r="B4285" s="13" t="str">
        <f>TRIM(CLEAN(Raw_Data!B4285))</f>
        <v>Operations</v>
      </c>
      <c r="C4285" s="18" t="s">
        <v>37</v>
      </c>
      <c r="D4285" s="14" t="str">
        <f>IF(ISBLANK(Raw_Data!D4285),AVERAGE(Raw_Data!D$2:D$5002),Raw_Data!D4285)</f>
        <v>34091.62</v>
      </c>
      <c r="E4285" s="15" t="str">
        <f>IF(ISBLANK(Raw_Data!E4285),AVERAGE(Raw_Data!E$2:E$5002),Raw_Data!E4285)</f>
        <v>27094.16</v>
      </c>
      <c r="F4285" s="15" t="str">
        <f>IF(ISBLANK(Raw_Data!F4285),AVERAGE(Raw_Data!F$2:F$5002),Raw_Data!F4285)</f>
        <v>34892.55</v>
      </c>
      <c r="G4285" s="14" t="str">
        <f>IF(ISBLANK(Raw_Data!G4285),AVERAGE(Raw_Data!G$2:G$5002),Raw_Data!G4285)</f>
        <v>5661.67</v>
      </c>
      <c r="H4285" s="15" t="str">
        <f t="shared" si="1"/>
        <v>96078.00</v>
      </c>
      <c r="I4285" s="14" t="str">
        <f t="shared" si="2"/>
        <v>90416.00</v>
      </c>
      <c r="J4285" s="16" t="str">
        <f>TEXT(Raw_Data!J4285,"MMM-YYY")</f>
        <v>Jun-2025</v>
      </c>
      <c r="K4285" s="13" t="str">
        <f>Raw_Data!K4285</f>
        <v>18</v>
      </c>
      <c r="L4285" s="17" t="str">
        <f>Raw_Data!L4285</f>
        <v>Delhi-North</v>
      </c>
      <c r="M4285" s="13" t="str">
        <f t="shared" si="3"/>
        <v>OK</v>
      </c>
      <c r="N4285" s="18" t="str">
        <f t="shared" si="4"/>
        <v>VALID</v>
      </c>
    </row>
    <row r="4286" ht="15.75" customHeight="1">
      <c r="A4286" s="13" t="str">
        <f>Raw_Data!A4286</f>
        <v>EMP4522</v>
      </c>
      <c r="B4286" s="13" t="str">
        <f>TRIM(CLEAN(Raw_Data!B4286))</f>
        <v>IT</v>
      </c>
      <c r="C4286" s="18" t="s">
        <v>37</v>
      </c>
      <c r="D4286" s="14" t="str">
        <f>IF(ISBLANK(Raw_Data!D4286),AVERAGE(Raw_Data!D$2:D$5002),Raw_Data!D4286)</f>
        <v>34257.47</v>
      </c>
      <c r="E4286" s="15" t="str">
        <f>IF(ISBLANK(Raw_Data!E4286),AVERAGE(Raw_Data!E$2:E$5002),Raw_Data!E4286)</f>
        <v>13353.81</v>
      </c>
      <c r="F4286" s="15" t="str">
        <f>IF(ISBLANK(Raw_Data!F4286),AVERAGE(Raw_Data!F$2:F$5002),Raw_Data!F4286)</f>
        <v>34900.23</v>
      </c>
      <c r="G4286" s="14" t="str">
        <f>IF(ISBLANK(Raw_Data!G4286),AVERAGE(Raw_Data!G$2:G$5002),Raw_Data!G4286)</f>
        <v>15795.11</v>
      </c>
      <c r="H4286" s="15" t="str">
        <f t="shared" si="1"/>
        <v>82512.00</v>
      </c>
      <c r="I4286" s="14" t="str">
        <f t="shared" si="2"/>
        <v>66717.00</v>
      </c>
      <c r="J4286" s="16" t="str">
        <f>TEXT(Raw_Data!J4286,"MMM-YYY")</f>
        <v>Dec-2025</v>
      </c>
      <c r="K4286" s="13" t="str">
        <f>Raw_Data!K4286</f>
        <v>15</v>
      </c>
      <c r="L4286" s="17" t="str">
        <f>Raw_Data!L4286</f>
        <v>Bangalore-South</v>
      </c>
      <c r="M4286" s="13" t="str">
        <f t="shared" si="3"/>
        <v>OK</v>
      </c>
      <c r="N4286" s="18" t="str">
        <f t="shared" si="4"/>
        <v>VALID</v>
      </c>
    </row>
    <row r="4287" ht="15.75" customHeight="1">
      <c r="A4287" s="13" t="str">
        <f>Raw_Data!A4287</f>
        <v>EMP4523</v>
      </c>
      <c r="B4287" s="13" t="str">
        <f>TRIM(CLEAN(Raw_Data!B4287))</f>
        <v>IT</v>
      </c>
      <c r="C4287" s="18" t="s">
        <v>30</v>
      </c>
      <c r="D4287" s="14" t="str">
        <f>IF(ISBLANK(Raw_Data!D4287),AVERAGE(Raw_Data!D$2:D$5002),Raw_Data!D4287)</f>
        <v>46945.44</v>
      </c>
      <c r="E4287" s="15" t="str">
        <f>IF(ISBLANK(Raw_Data!E4287),AVERAGE(Raw_Data!E$2:E$5002),Raw_Data!E4287)</f>
        <v>35899.10</v>
      </c>
      <c r="F4287" s="15" t="str">
        <f>IF(ISBLANK(Raw_Data!F4287),AVERAGE(Raw_Data!F$2:F$5002),Raw_Data!F4287)</f>
        <v>34907.91</v>
      </c>
      <c r="G4287" s="14" t="str">
        <f>IF(ISBLANK(Raw_Data!G4287),AVERAGE(Raw_Data!G$2:G$5002),Raw_Data!G4287)</f>
        <v>2280.72</v>
      </c>
      <c r="H4287" s="15" t="str">
        <f t="shared" si="1"/>
        <v>117752.00</v>
      </c>
      <c r="I4287" s="14" t="str">
        <f t="shared" si="2"/>
        <v>115471.00</v>
      </c>
      <c r="J4287" s="16" t="str">
        <f>TEXT(Raw_Data!J4287,"MMM-YYY")</f>
        <v>Aug-2025</v>
      </c>
      <c r="K4287" s="13" t="str">
        <f>Raw_Data!K4287</f>
        <v>11</v>
      </c>
      <c r="L4287" s="17" t="str">
        <f>Raw_Data!L4287</f>
        <v>Chennai-South</v>
      </c>
      <c r="M4287" s="13" t="str">
        <f t="shared" si="3"/>
        <v>OK</v>
      </c>
      <c r="N4287" s="18" t="str">
        <f t="shared" si="4"/>
        <v>VALID</v>
      </c>
    </row>
    <row r="4288" ht="15.75" customHeight="1">
      <c r="A4288" s="13" t="str">
        <f>Raw_Data!A4288</f>
        <v>EMP4524</v>
      </c>
      <c r="B4288" s="13" t="str">
        <f>TRIM(CLEAN(Raw_Data!B4288))</f>
        <v>IT</v>
      </c>
      <c r="C4288" s="18" t="s">
        <v>26</v>
      </c>
      <c r="D4288" s="14" t="str">
        <f>IF(ISBLANK(Raw_Data!D4288),AVERAGE(Raw_Data!D$2:D$5002),Raw_Data!D4288)</f>
        <v>70099.43</v>
      </c>
      <c r="E4288" s="15" t="str">
        <f>IF(ISBLANK(Raw_Data!E4288),AVERAGE(Raw_Data!E$2:E$5002),Raw_Data!E4288)</f>
        <v>36244.84</v>
      </c>
      <c r="F4288" s="15" t="str">
        <f>IF(ISBLANK(Raw_Data!F4288),AVERAGE(Raw_Data!F$2:F$5002),Raw_Data!F4288)</f>
        <v>34915.59</v>
      </c>
      <c r="G4288" s="14" t="str">
        <f>IF(ISBLANK(Raw_Data!G4288),AVERAGE(Raw_Data!G$2:G$5002),Raw_Data!G4288)</f>
        <v>20999.41</v>
      </c>
      <c r="H4288" s="15" t="str">
        <f t="shared" si="1"/>
        <v>141260.00</v>
      </c>
      <c r="I4288" s="14" t="str">
        <f t="shared" si="2"/>
        <v>120261.00</v>
      </c>
      <c r="J4288" s="16" t="str">
        <f>TEXT(Raw_Data!J4288,"MMM-YYY")</f>
        <v>Dec-2025</v>
      </c>
      <c r="K4288" s="13" t="str">
        <f>Raw_Data!K4288</f>
        <v>23</v>
      </c>
      <c r="L4288" s="17" t="str">
        <f>Raw_Data!L4288</f>
        <v>Kolkata-East</v>
      </c>
      <c r="M4288" s="13" t="str">
        <f t="shared" si="3"/>
        <v>OK</v>
      </c>
      <c r="N4288" s="18" t="str">
        <f t="shared" si="4"/>
        <v>VALID</v>
      </c>
    </row>
    <row r="4289" ht="15.75" customHeight="1">
      <c r="A4289" s="13" t="str">
        <f>Raw_Data!A4289</f>
        <v>EMP4525</v>
      </c>
      <c r="B4289" s="13" t="str">
        <f>TRIM(CLEAN(Raw_Data!B4289))</f>
        <v>IT</v>
      </c>
      <c r="C4289" s="18" t="s">
        <v>30</v>
      </c>
      <c r="D4289" s="14" t="str">
        <f>IF(ISBLANK(Raw_Data!D4289),AVERAGE(Raw_Data!D$2:D$5002),Raw_Data!D4289)</f>
        <v>60354.23</v>
      </c>
      <c r="E4289" s="15" t="str">
        <f>IF(ISBLANK(Raw_Data!E4289),AVERAGE(Raw_Data!E$2:E$5002),Raw_Data!E4289)</f>
        <v>14702.34</v>
      </c>
      <c r="F4289" s="15" t="str">
        <f>IF(ISBLANK(Raw_Data!F4289),AVERAGE(Raw_Data!F$2:F$5002),Raw_Data!F4289)</f>
        <v>34923.27</v>
      </c>
      <c r="G4289" s="14" t="str">
        <f>IF(ISBLANK(Raw_Data!G4289),AVERAGE(Raw_Data!G$2:G$5002),Raw_Data!G4289)</f>
        <v>4776.37</v>
      </c>
      <c r="H4289" s="15" t="str">
        <f t="shared" si="1"/>
        <v>109980.00</v>
      </c>
      <c r="I4289" s="14" t="str">
        <f t="shared" si="2"/>
        <v>105204.00</v>
      </c>
      <c r="J4289" s="16" t="str">
        <f>TEXT(Raw_Data!J4289,"MMM-YYY")</f>
        <v>Mar-2025</v>
      </c>
      <c r="K4289" s="13" t="str">
        <f>Raw_Data!K4289</f>
        <v>24</v>
      </c>
      <c r="L4289" s="17" t="str">
        <f>Raw_Data!L4289</f>
        <v>Pune-West</v>
      </c>
      <c r="M4289" s="13" t="str">
        <f t="shared" si="3"/>
        <v>OK</v>
      </c>
      <c r="N4289" s="18" t="str">
        <f t="shared" si="4"/>
        <v>VALID</v>
      </c>
    </row>
    <row r="4290" ht="15.75" customHeight="1">
      <c r="A4290" s="13" t="str">
        <f>Raw_Data!A4290</f>
        <v>EMP4526</v>
      </c>
      <c r="B4290" s="13" t="str">
        <f>TRIM(CLEAN(Raw_Data!B4290))</f>
        <v>HR</v>
      </c>
      <c r="C4290" s="18" t="s">
        <v>18</v>
      </c>
      <c r="D4290" s="14" t="str">
        <f>IF(ISBLANK(Raw_Data!D4290),AVERAGE(Raw_Data!D$2:D$5002),Raw_Data!D4290)</f>
        <v>45579.06</v>
      </c>
      <c r="E4290" s="15" t="str">
        <f>IF(ISBLANK(Raw_Data!E4290),AVERAGE(Raw_Data!E$2:E$5002),Raw_Data!E4290)</f>
        <v>12279.78</v>
      </c>
      <c r="F4290" s="15" t="str">
        <f>IF(ISBLANK(Raw_Data!F4290),AVERAGE(Raw_Data!F$2:F$5002),Raw_Data!F4290)</f>
        <v>34930.95</v>
      </c>
      <c r="G4290" s="14" t="str">
        <f>IF(ISBLANK(Raw_Data!G4290),AVERAGE(Raw_Data!G$2:G$5002),Raw_Data!G4290)</f>
        <v>2234.96</v>
      </c>
      <c r="H4290" s="15" t="str">
        <f t="shared" si="1"/>
        <v>92790.00</v>
      </c>
      <c r="I4290" s="14" t="str">
        <f t="shared" si="2"/>
        <v>90555.00</v>
      </c>
      <c r="J4290" s="16" t="str">
        <f>TEXT(Raw_Data!J4290,"MMM-YYY")</f>
        <v>Nov-2025</v>
      </c>
      <c r="K4290" s="13" t="str">
        <f>Raw_Data!K4290</f>
        <v>23</v>
      </c>
      <c r="L4290" s="17" t="str">
        <f>Raw_Data!L4290</f>
        <v>Hyderabad-South</v>
      </c>
      <c r="M4290" s="13" t="str">
        <f t="shared" si="3"/>
        <v>OK</v>
      </c>
      <c r="N4290" s="18" t="str">
        <f t="shared" si="4"/>
        <v>VALID</v>
      </c>
    </row>
    <row r="4291" ht="15.75" customHeight="1">
      <c r="A4291" s="13" t="str">
        <f>Raw_Data!A4291</f>
        <v>EMP4527</v>
      </c>
      <c r="B4291" s="13" t="str">
        <f>TRIM(CLEAN(Raw_Data!B4291))</f>
        <v>Customer Support</v>
      </c>
      <c r="C4291" s="18" t="s">
        <v>14</v>
      </c>
      <c r="D4291" s="14" t="str">
        <f>IF(ISBLANK(Raw_Data!D4291),AVERAGE(Raw_Data!D$2:D$5002),Raw_Data!D4291)</f>
        <v>79244.55</v>
      </c>
      <c r="E4291" s="15" t="str">
        <f>IF(ISBLANK(Raw_Data!E4291),AVERAGE(Raw_Data!E$2:E$5002),Raw_Data!E4291)</f>
        <v>18806.94</v>
      </c>
      <c r="F4291" s="15" t="str">
        <f>IF(ISBLANK(Raw_Data!F4291),AVERAGE(Raw_Data!F$2:F$5002),Raw_Data!F4291)</f>
        <v>34938.63</v>
      </c>
      <c r="G4291" s="14" t="str">
        <f>IF(ISBLANK(Raw_Data!G4291),AVERAGE(Raw_Data!G$2:G$5002),Raw_Data!G4291)</f>
        <v>10305.37</v>
      </c>
      <c r="H4291" s="15" t="str">
        <f t="shared" si="1"/>
        <v>132990.00</v>
      </c>
      <c r="I4291" s="14" t="str">
        <f t="shared" si="2"/>
        <v>122685.00</v>
      </c>
      <c r="J4291" s="16" t="str">
        <f>TEXT(Raw_Data!J4291,"MMM-YYY")</f>
        <v>Oct-2025</v>
      </c>
      <c r="K4291" s="13" t="str">
        <f>Raw_Data!K4291</f>
        <v>24</v>
      </c>
      <c r="L4291" s="17" t="str">
        <f>Raw_Data!L4291</f>
        <v>Chandigarh-North</v>
      </c>
      <c r="M4291" s="13" t="str">
        <f t="shared" si="3"/>
        <v>OK</v>
      </c>
      <c r="N4291" s="18" t="str">
        <f t="shared" si="4"/>
        <v>VALID</v>
      </c>
    </row>
    <row r="4292" ht="15.75" customHeight="1">
      <c r="A4292" s="13" t="str">
        <f>Raw_Data!A4292</f>
        <v>EMP4528</v>
      </c>
      <c r="B4292" s="13" t="str">
        <f>TRIM(CLEAN(Raw_Data!B4292))</f>
        <v>Finance</v>
      </c>
      <c r="C4292" s="18" t="s">
        <v>30</v>
      </c>
      <c r="D4292" s="14" t="str">
        <f>IF(ISBLANK(Raw_Data!D4292),AVERAGE(Raw_Data!D$2:D$5002),Raw_Data!D4292)</f>
        <v>29646.86</v>
      </c>
      <c r="E4292" s="15" t="str">
        <f>IF(ISBLANK(Raw_Data!E4292),AVERAGE(Raw_Data!E$2:E$5002),Raw_Data!E4292)</f>
        <v>12659.14</v>
      </c>
      <c r="F4292" s="15" t="str">
        <f>IF(ISBLANK(Raw_Data!F4292),AVERAGE(Raw_Data!F$2:F$5002),Raw_Data!F4292)</f>
        <v>34946.31</v>
      </c>
      <c r="G4292" s="14" t="str">
        <f>IF(ISBLANK(Raw_Data!G4292),AVERAGE(Raw_Data!G$2:G$5002),Raw_Data!G4292)</f>
        <v>14634.59</v>
      </c>
      <c r="H4292" s="15" t="str">
        <f t="shared" si="1"/>
        <v>77252.00</v>
      </c>
      <c r="I4292" s="14" t="str">
        <f t="shared" si="2"/>
        <v>62617.00</v>
      </c>
      <c r="J4292" s="16" t="str">
        <f>TEXT(Raw_Data!J4292,"MMM-YYY")</f>
        <v>Nov-2025</v>
      </c>
      <c r="K4292" s="13" t="str">
        <f>Raw_Data!K4292</f>
        <v>25</v>
      </c>
      <c r="L4292" s="17" t="str">
        <f>Raw_Data!L4292</f>
        <v>Ahmedabad-West</v>
      </c>
      <c r="M4292" s="13" t="str">
        <f t="shared" si="3"/>
        <v>OK</v>
      </c>
      <c r="N4292" s="18" t="str">
        <f t="shared" si="4"/>
        <v>VALID</v>
      </c>
    </row>
    <row r="4293" ht="15.75" customHeight="1">
      <c r="A4293" s="13" t="str">
        <f>Raw_Data!A4293</f>
        <v>EMP4529</v>
      </c>
      <c r="B4293" s="13" t="str">
        <f>TRIM(CLEAN(Raw_Data!B4293))</f>
        <v>Finance</v>
      </c>
      <c r="C4293" s="18" t="s">
        <v>30</v>
      </c>
      <c r="D4293" s="14" t="str">
        <f>IF(ISBLANK(Raw_Data!D4293),AVERAGE(Raw_Data!D$2:D$5002),Raw_Data!D4293)</f>
        <v>45675.19</v>
      </c>
      <c r="E4293" s="15" t="str">
        <f>IF(ISBLANK(Raw_Data!E4293),AVERAGE(Raw_Data!E$2:E$5002),Raw_Data!E4293)</f>
        <v>28205.82</v>
      </c>
      <c r="F4293" s="15" t="str">
        <f>IF(ISBLANK(Raw_Data!F4293),AVERAGE(Raw_Data!F$2:F$5002),Raw_Data!F4293)</f>
        <v>34953.99</v>
      </c>
      <c r="G4293" s="14" t="str">
        <f>IF(ISBLANK(Raw_Data!G4293),AVERAGE(Raw_Data!G$2:G$5002),Raw_Data!G4293)</f>
        <v>21445.47</v>
      </c>
      <c r="H4293" s="15" t="str">
        <f t="shared" si="1"/>
        <v>108835.00</v>
      </c>
      <c r="I4293" s="14" t="str">
        <f t="shared" si="2"/>
        <v>87390.00</v>
      </c>
      <c r="J4293" s="16" t="str">
        <f>TEXT(Raw_Data!J4293,"MMM-YYY")</f>
        <v>Nov-2025</v>
      </c>
      <c r="K4293" s="13" t="str">
        <f>Raw_Data!K4293</f>
        <v>18</v>
      </c>
      <c r="L4293" s="17" t="str">
        <f>Raw_Data!L4293</f>
        <v>Jaipur-North</v>
      </c>
      <c r="M4293" s="13" t="str">
        <f t="shared" si="3"/>
        <v>OK</v>
      </c>
      <c r="N4293" s="18" t="str">
        <f t="shared" si="4"/>
        <v>VALID</v>
      </c>
    </row>
    <row r="4294" ht="15.75" customHeight="1">
      <c r="A4294" s="13" t="str">
        <f>Raw_Data!A4294</f>
        <v>EMP4530</v>
      </c>
      <c r="B4294" s="13" t="str">
        <f>TRIM(CLEAN(Raw_Data!B4294))</f>
        <v>Marketing</v>
      </c>
      <c r="C4294" s="18" t="s">
        <v>37</v>
      </c>
      <c r="D4294" s="14" t="str">
        <f>IF(ISBLANK(Raw_Data!D4294),AVERAGE(Raw_Data!D$2:D$5002),Raw_Data!D4294)</f>
        <v>53467.99</v>
      </c>
      <c r="E4294" s="15" t="str">
        <f>IF(ISBLANK(Raw_Data!E4294),AVERAGE(Raw_Data!E$2:E$5002),Raw_Data!E4294)</f>
        <v>33738.33</v>
      </c>
      <c r="F4294" s="15" t="str">
        <f>IF(ISBLANK(Raw_Data!F4294),AVERAGE(Raw_Data!F$2:F$5002),Raw_Data!F4294)</f>
        <v>34961.67</v>
      </c>
      <c r="G4294" s="14" t="str">
        <f>IF(ISBLANK(Raw_Data!G4294),AVERAGE(Raw_Data!G$2:G$5002),Raw_Data!G4294)</f>
        <v>24368.94</v>
      </c>
      <c r="H4294" s="15" t="str">
        <f t="shared" si="1"/>
        <v>122168.00</v>
      </c>
      <c r="I4294" s="14" t="str">
        <f t="shared" si="2"/>
        <v>97799.00</v>
      </c>
      <c r="J4294" s="16" t="str">
        <f>TEXT(Raw_Data!J4294,"MMM-YYY")</f>
        <v>Dec-2025</v>
      </c>
      <c r="K4294" s="13" t="str">
        <f>Raw_Data!K4294</f>
        <v>1</v>
      </c>
      <c r="L4294" s="17" t="str">
        <f>Raw_Data!L4294</f>
        <v>Mumbai-HO</v>
      </c>
      <c r="M4294" s="13" t="str">
        <f t="shared" si="3"/>
        <v>OK</v>
      </c>
      <c r="N4294" s="18" t="str">
        <f t="shared" si="4"/>
        <v>VALID</v>
      </c>
    </row>
    <row r="4295" ht="15.75" customHeight="1">
      <c r="A4295" s="13" t="str">
        <f>Raw_Data!A4295</f>
        <v>EMP4531</v>
      </c>
      <c r="B4295" s="13" t="str">
        <f>TRIM(CLEAN(Raw_Data!B4295))</f>
        <v>Finance</v>
      </c>
      <c r="C4295" s="18" t="s">
        <v>18</v>
      </c>
      <c r="D4295" s="14" t="str">
        <f>IF(ISBLANK(Raw_Data!D4295),AVERAGE(Raw_Data!D$2:D$5002),Raw_Data!D4295)</f>
        <v>62887.35</v>
      </c>
      <c r="E4295" s="15" t="str">
        <f>IF(ISBLANK(Raw_Data!E4295),AVERAGE(Raw_Data!E$2:E$5002),Raw_Data!E4295)</f>
        <v>28231.32</v>
      </c>
      <c r="F4295" s="15" t="str">
        <f>IF(ISBLANK(Raw_Data!F4295),AVERAGE(Raw_Data!F$2:F$5002),Raw_Data!F4295)</f>
        <v>34969.35</v>
      </c>
      <c r="G4295" s="14" t="str">
        <f>IF(ISBLANK(Raw_Data!G4295),AVERAGE(Raw_Data!G$2:G$5002),Raw_Data!G4295)</f>
        <v>11267.57</v>
      </c>
      <c r="H4295" s="15" t="str">
        <f t="shared" si="1"/>
        <v>126088.00</v>
      </c>
      <c r="I4295" s="14" t="str">
        <f t="shared" si="2"/>
        <v>114820.00</v>
      </c>
      <c r="J4295" s="16" t="str">
        <f>TEXT(Raw_Data!J4295,"MMM-YYY")</f>
        <v>Feb-2025</v>
      </c>
      <c r="K4295" s="13" t="str">
        <f>Raw_Data!K4295</f>
        <v>22</v>
      </c>
      <c r="L4295" s="17" t="str">
        <f>Raw_Data!L4295</f>
        <v>Delhi-North</v>
      </c>
      <c r="M4295" s="13" t="str">
        <f t="shared" si="3"/>
        <v>OK</v>
      </c>
      <c r="N4295" s="18" t="str">
        <f t="shared" si="4"/>
        <v>VALID</v>
      </c>
    </row>
    <row r="4296" ht="15.75" customHeight="1">
      <c r="A4296" s="13" t="str">
        <f>Raw_Data!A4296</f>
        <v>EMP4532</v>
      </c>
      <c r="B4296" s="13" t="str">
        <f>TRIM(CLEAN(Raw_Data!B4296))</f>
        <v>Customer Support</v>
      </c>
      <c r="C4296" s="18" t="s">
        <v>33</v>
      </c>
      <c r="D4296" s="14" t="str">
        <f>IF(ISBLANK(Raw_Data!D4296),AVERAGE(Raw_Data!D$2:D$5002),Raw_Data!D4296)</f>
        <v>97443.48</v>
      </c>
      <c r="E4296" s="15" t="str">
        <f>IF(ISBLANK(Raw_Data!E4296),AVERAGE(Raw_Data!E$2:E$5002),Raw_Data!E4296)</f>
        <v>33676.62</v>
      </c>
      <c r="F4296" s="15" t="str">
        <f>IF(ISBLANK(Raw_Data!F4296),AVERAGE(Raw_Data!F$2:F$5002),Raw_Data!F4296)</f>
        <v>34977.03</v>
      </c>
      <c r="G4296" s="14" t="str">
        <f>IF(ISBLANK(Raw_Data!G4296),AVERAGE(Raw_Data!G$2:G$5002),Raw_Data!G4296)</f>
        <v>1980.95</v>
      </c>
      <c r="H4296" s="15" t="str">
        <f t="shared" si="1"/>
        <v>166097.00</v>
      </c>
      <c r="I4296" s="14" t="str">
        <f t="shared" si="2"/>
        <v>164116.00</v>
      </c>
      <c r="J4296" s="16" t="str">
        <f>TEXT(Raw_Data!J4296,"MMM-YYY")</f>
        <v>Mar-2025</v>
      </c>
      <c r="K4296" s="13" t="str">
        <f>Raw_Data!K4296</f>
        <v>20</v>
      </c>
      <c r="L4296" s="17" t="str">
        <f>Raw_Data!L4296</f>
        <v>Bangalore-South</v>
      </c>
      <c r="M4296" s="13" t="str">
        <f t="shared" si="3"/>
        <v>OK</v>
      </c>
      <c r="N4296" s="18" t="str">
        <f t="shared" si="4"/>
        <v>VALID</v>
      </c>
    </row>
    <row r="4297" ht="15.75" customHeight="1">
      <c r="A4297" s="13" t="str">
        <f>Raw_Data!A4297</f>
        <v>EMP4533</v>
      </c>
      <c r="B4297" s="13" t="str">
        <f>TRIM(CLEAN(Raw_Data!B4297))</f>
        <v>Customer Support</v>
      </c>
      <c r="C4297" s="18" t="s">
        <v>18</v>
      </c>
      <c r="D4297" s="14" t="str">
        <f>IF(ISBLANK(Raw_Data!D4297),AVERAGE(Raw_Data!D$2:D$5002),Raw_Data!D4297)</f>
        <v>35965.75</v>
      </c>
      <c r="E4297" s="15" t="str">
        <f>IF(ISBLANK(Raw_Data!E4297),AVERAGE(Raw_Data!E$2:E$5002),Raw_Data!E4297)</f>
        <v>18291.72</v>
      </c>
      <c r="F4297" s="15" t="str">
        <f>IF(ISBLANK(Raw_Data!F4297),AVERAGE(Raw_Data!F$2:F$5002),Raw_Data!F4297)</f>
        <v>34984.71</v>
      </c>
      <c r="G4297" s="14" t="str">
        <f>IF(ISBLANK(Raw_Data!G4297),AVERAGE(Raw_Data!G$2:G$5002),Raw_Data!G4297)</f>
        <v>18853.33</v>
      </c>
      <c r="H4297" s="15" t="str">
        <f t="shared" si="1"/>
        <v>89242.00</v>
      </c>
      <c r="I4297" s="14" t="str">
        <f t="shared" si="2"/>
        <v>70389.00</v>
      </c>
      <c r="J4297" s="16" t="str">
        <f>TEXT(Raw_Data!J4297,"MMM-YYY")</f>
        <v>Jan-2025</v>
      </c>
      <c r="K4297" s="13" t="str">
        <f>Raw_Data!K4297</f>
        <v>20</v>
      </c>
      <c r="L4297" s="17" t="str">
        <f>Raw_Data!L4297</f>
        <v>Chennai-South</v>
      </c>
      <c r="M4297" s="13" t="str">
        <f t="shared" si="3"/>
        <v>OK</v>
      </c>
      <c r="N4297" s="18" t="str">
        <f t="shared" si="4"/>
        <v>VALID</v>
      </c>
    </row>
    <row r="4298" ht="15.75" customHeight="1">
      <c r="A4298" s="13" t="str">
        <f>Raw_Data!A4298</f>
        <v>EMP4534</v>
      </c>
      <c r="B4298" s="13" t="str">
        <f>TRIM(CLEAN(Raw_Data!B4298))</f>
        <v>Operations</v>
      </c>
      <c r="C4298" s="18" t="s">
        <v>30</v>
      </c>
      <c r="D4298" s="14" t="str">
        <f>IF(ISBLANK(Raw_Data!D4298),AVERAGE(Raw_Data!D$2:D$5002),Raw_Data!D4298)</f>
        <v>68994.62</v>
      </c>
      <c r="E4298" s="15" t="str">
        <f>IF(ISBLANK(Raw_Data!E4298),AVERAGE(Raw_Data!E$2:E$5002),Raw_Data!E4298)</f>
        <v>9627.41</v>
      </c>
      <c r="F4298" s="15" t="str">
        <f>IF(ISBLANK(Raw_Data!F4298),AVERAGE(Raw_Data!F$2:F$5002),Raw_Data!F4298)</f>
        <v>34992.39</v>
      </c>
      <c r="G4298" s="14" t="str">
        <f>IF(ISBLANK(Raw_Data!G4298),AVERAGE(Raw_Data!G$2:G$5002),Raw_Data!G4298)</f>
        <v>14346.74</v>
      </c>
      <c r="H4298" s="15" t="str">
        <f t="shared" si="1"/>
        <v>113614.00</v>
      </c>
      <c r="I4298" s="14" t="str">
        <f t="shared" si="2"/>
        <v>99267.00</v>
      </c>
      <c r="J4298" s="16" t="str">
        <f>TEXT(Raw_Data!J4298,"MMM-YYY")</f>
        <v>May-2025</v>
      </c>
      <c r="K4298" s="13" t="str">
        <f>Raw_Data!K4298</f>
        <v>8</v>
      </c>
      <c r="L4298" s="17" t="str">
        <f>Raw_Data!L4298</f>
        <v>Kolkata-East</v>
      </c>
      <c r="M4298" s="13" t="str">
        <f t="shared" si="3"/>
        <v>OK</v>
      </c>
      <c r="N4298" s="18" t="str">
        <f t="shared" si="4"/>
        <v>VALID</v>
      </c>
    </row>
    <row r="4299" ht="15.75" customHeight="1">
      <c r="A4299" s="13" t="str">
        <f>Raw_Data!A4299</f>
        <v>EMP4535</v>
      </c>
      <c r="B4299" s="13" t="str">
        <f>TRIM(CLEAN(Raw_Data!B4299))</f>
        <v>Sales</v>
      </c>
      <c r="C4299" s="18" t="s">
        <v>30</v>
      </c>
      <c r="D4299" s="14" t="str">
        <f>IF(ISBLANK(Raw_Data!D4299),AVERAGE(Raw_Data!D$2:D$5002),Raw_Data!D4299)</f>
        <v>77203.53</v>
      </c>
      <c r="E4299" s="15" t="str">
        <f>IF(ISBLANK(Raw_Data!E4299),AVERAGE(Raw_Data!E$2:E$5002),Raw_Data!E4299)</f>
        <v>30566.23</v>
      </c>
      <c r="F4299" s="15" t="str">
        <f>IF(ISBLANK(Raw_Data!F4299),AVERAGE(Raw_Data!F$2:F$5002),Raw_Data!F4299)</f>
        <v>35000.07</v>
      </c>
      <c r="G4299" s="14" t="str">
        <f>IF(ISBLANK(Raw_Data!G4299),AVERAGE(Raw_Data!G$2:G$5002),Raw_Data!G4299)</f>
        <v>11473.34</v>
      </c>
      <c r="H4299" s="15" t="str">
        <f t="shared" si="1"/>
        <v>142770.00</v>
      </c>
      <c r="I4299" s="14" t="str">
        <f t="shared" si="2"/>
        <v>131297.00</v>
      </c>
      <c r="J4299" s="16" t="str">
        <f>TEXT(Raw_Data!J4299,"MMM-YYY")</f>
        <v>Dec-2025</v>
      </c>
      <c r="K4299" s="13" t="str">
        <f>Raw_Data!K4299</f>
        <v>7</v>
      </c>
      <c r="L4299" s="17" t="str">
        <f>Raw_Data!L4299</f>
        <v>Pune-West</v>
      </c>
      <c r="M4299" s="13" t="str">
        <f t="shared" si="3"/>
        <v>OK</v>
      </c>
      <c r="N4299" s="18" t="str">
        <f t="shared" si="4"/>
        <v>VALID</v>
      </c>
    </row>
    <row r="4300" ht="15.75" customHeight="1">
      <c r="A4300" s="13" t="str">
        <f>Raw_Data!A4300</f>
        <v>EMP4536</v>
      </c>
      <c r="B4300" s="13" t="str">
        <f>TRIM(CLEAN(Raw_Data!B4300))</f>
        <v>Sales</v>
      </c>
      <c r="C4300" s="18" t="s">
        <v>33</v>
      </c>
      <c r="D4300" s="14" t="str">
        <f>IF(ISBLANK(Raw_Data!D4300),AVERAGE(Raw_Data!D$2:D$5002),Raw_Data!D4300)</f>
        <v>19877.29</v>
      </c>
      <c r="E4300" s="15" t="str">
        <f>IF(ISBLANK(Raw_Data!E4300),AVERAGE(Raw_Data!E$2:E$5002),Raw_Data!E4300)</f>
        <v>16977.08</v>
      </c>
      <c r="F4300" s="15" t="str">
        <f>IF(ISBLANK(Raw_Data!F4300),AVERAGE(Raw_Data!F$2:F$5002),Raw_Data!F4300)</f>
        <v>35007.75</v>
      </c>
      <c r="G4300" s="14" t="str">
        <f>IF(ISBLANK(Raw_Data!G4300),AVERAGE(Raw_Data!G$2:G$5002),Raw_Data!G4300)</f>
        <v>8077.09</v>
      </c>
      <c r="H4300" s="15" t="str">
        <f t="shared" si="1"/>
        <v>71862.00</v>
      </c>
      <c r="I4300" s="14" t="str">
        <f t="shared" si="2"/>
        <v>63785.00</v>
      </c>
      <c r="J4300" s="16" t="str">
        <f>TEXT(Raw_Data!J4300,"MMM-YYY")</f>
        <v>Mar-2025</v>
      </c>
      <c r="K4300" s="13" t="str">
        <f>Raw_Data!K4300</f>
        <v>9</v>
      </c>
      <c r="L4300" s="17" t="str">
        <f>Raw_Data!L4300</f>
        <v>Hyderabad-South</v>
      </c>
      <c r="M4300" s="13" t="str">
        <f t="shared" si="3"/>
        <v>OK</v>
      </c>
      <c r="N4300" s="18" t="str">
        <f t="shared" si="4"/>
        <v>VALID</v>
      </c>
    </row>
    <row r="4301" ht="15.75" customHeight="1">
      <c r="A4301" s="13" t="str">
        <f>Raw_Data!A4301</f>
        <v>EMP4538</v>
      </c>
      <c r="B4301" s="13" t="str">
        <f>TRIM(CLEAN(Raw_Data!B4301))</f>
        <v>IT</v>
      </c>
      <c r="C4301" s="18" t="s">
        <v>14</v>
      </c>
      <c r="D4301" s="14" t="str">
        <f>IF(ISBLANK(Raw_Data!D4301),AVERAGE(Raw_Data!D$2:D$5002),Raw_Data!D4301)</f>
        <v>32905.03</v>
      </c>
      <c r="E4301" s="15" t="str">
        <f>IF(ISBLANK(Raw_Data!E4301),AVERAGE(Raw_Data!E$2:E$5002),Raw_Data!E4301)</f>
        <v>13743.18</v>
      </c>
      <c r="F4301" s="15" t="str">
        <f>IF(ISBLANK(Raw_Data!F4301),AVERAGE(Raw_Data!F$2:F$5002),Raw_Data!F4301)</f>
        <v>35023.11</v>
      </c>
      <c r="G4301" s="14" t="str">
        <f>IF(ISBLANK(Raw_Data!G4301),AVERAGE(Raw_Data!G$2:G$5002),Raw_Data!G4301)</f>
        <v>8797.65</v>
      </c>
      <c r="H4301" s="15" t="str">
        <f t="shared" si="1"/>
        <v>81671.00</v>
      </c>
      <c r="I4301" s="14" t="str">
        <f t="shared" si="2"/>
        <v>72873.00</v>
      </c>
      <c r="J4301" s="16" t="str">
        <f>TEXT(Raw_Data!J4301,"MMM-YYY")</f>
        <v>Dec-2025</v>
      </c>
      <c r="K4301" s="13" t="str">
        <f>Raw_Data!K4301</f>
        <v>18</v>
      </c>
      <c r="L4301" s="17" t="str">
        <f>Raw_Data!L4301</f>
        <v>Ahmedabad-West</v>
      </c>
      <c r="M4301" s="13" t="str">
        <f t="shared" si="3"/>
        <v>OK</v>
      </c>
      <c r="N4301" s="18" t="str">
        <f t="shared" si="4"/>
        <v>VALID</v>
      </c>
    </row>
    <row r="4302" ht="15.75" customHeight="1">
      <c r="A4302" s="13" t="str">
        <f>Raw_Data!A4302</f>
        <v>EMP4539</v>
      </c>
      <c r="B4302" s="13" t="str">
        <f>TRIM(CLEAN(Raw_Data!B4302))</f>
        <v>Marketing</v>
      </c>
      <c r="C4302" s="18" t="s">
        <v>26</v>
      </c>
      <c r="D4302" s="14" t="str">
        <f>IF(ISBLANK(Raw_Data!D4302),AVERAGE(Raw_Data!D$2:D$5002),Raw_Data!D4302)</f>
        <v>21830.42</v>
      </c>
      <c r="E4302" s="15" t="str">
        <f>IF(ISBLANK(Raw_Data!E4302),AVERAGE(Raw_Data!E$2:E$5002),Raw_Data!E4302)</f>
        <v>6924.27</v>
      </c>
      <c r="F4302" s="15" t="str">
        <f>IF(ISBLANK(Raw_Data!F4302),AVERAGE(Raw_Data!F$2:F$5002),Raw_Data!F4302)</f>
        <v>35030.79</v>
      </c>
      <c r="G4302" s="14" t="str">
        <f>IF(ISBLANK(Raw_Data!G4302),AVERAGE(Raw_Data!G$2:G$5002),Raw_Data!G4302)</f>
        <v>19046.79</v>
      </c>
      <c r="H4302" s="15" t="str">
        <f t="shared" si="1"/>
        <v>63785.00</v>
      </c>
      <c r="I4302" s="14" t="str">
        <f t="shared" si="2"/>
        <v>44738.00</v>
      </c>
      <c r="J4302" s="16" t="str">
        <f>TEXT(Raw_Data!J4302,"MMM-YYY")</f>
        <v>Sep-2025</v>
      </c>
      <c r="K4302" s="13" t="str">
        <f>Raw_Data!K4302</f>
        <v>5</v>
      </c>
      <c r="L4302" s="17" t="str">
        <f>Raw_Data!L4302</f>
        <v>Jaipur-North</v>
      </c>
      <c r="M4302" s="13" t="str">
        <f t="shared" si="3"/>
        <v>OK</v>
      </c>
      <c r="N4302" s="18" t="str">
        <f t="shared" si="4"/>
        <v>VALID</v>
      </c>
    </row>
    <row r="4303" ht="15.75" customHeight="1">
      <c r="A4303" s="13" t="str">
        <f>Raw_Data!A4303</f>
        <v>EMP4540</v>
      </c>
      <c r="B4303" s="13" t="str">
        <f>TRIM(CLEAN(Raw_Data!B4303))</f>
        <v>HR</v>
      </c>
      <c r="C4303" s="18" t="s">
        <v>37</v>
      </c>
      <c r="D4303" s="14" t="str">
        <f>IF(ISBLANK(Raw_Data!D4303),AVERAGE(Raw_Data!D$2:D$5002),Raw_Data!D4303)</f>
        <v>114632.98</v>
      </c>
      <c r="E4303" s="15" t="str">
        <f>IF(ISBLANK(Raw_Data!E4303),AVERAGE(Raw_Data!E$2:E$5002),Raw_Data!E4303)</f>
        <v>39732.94</v>
      </c>
      <c r="F4303" s="15" t="str">
        <f>IF(ISBLANK(Raw_Data!F4303),AVERAGE(Raw_Data!F$2:F$5002),Raw_Data!F4303)</f>
        <v>35038.47</v>
      </c>
      <c r="G4303" s="14" t="str">
        <f>IF(ISBLANK(Raw_Data!G4303),AVERAGE(Raw_Data!G$2:G$5002),Raw_Data!G4303)</f>
        <v>13825.40</v>
      </c>
      <c r="H4303" s="15" t="str">
        <f t="shared" si="1"/>
        <v>189404.00</v>
      </c>
      <c r="I4303" s="14" t="str">
        <f t="shared" si="2"/>
        <v>175579.00</v>
      </c>
      <c r="J4303" s="16" t="str">
        <f>TEXT(Raw_Data!J4303,"MMM-YYY")</f>
        <v>Sep-2025</v>
      </c>
      <c r="K4303" s="13" t="str">
        <f>Raw_Data!K4303</f>
        <v>16</v>
      </c>
      <c r="L4303" s="17" t="str">
        <f>Raw_Data!L4303</f>
        <v>Mumbai-HO</v>
      </c>
      <c r="M4303" s="13" t="str">
        <f t="shared" si="3"/>
        <v>OK</v>
      </c>
      <c r="N4303" s="18" t="str">
        <f t="shared" si="4"/>
        <v>VALID</v>
      </c>
    </row>
    <row r="4304" ht="15.75" customHeight="1">
      <c r="A4304" s="13" t="str">
        <f>Raw_Data!A4304</f>
        <v>EMP4541</v>
      </c>
      <c r="B4304" s="13" t="str">
        <f>TRIM(CLEAN(Raw_Data!B4304))</f>
        <v>Operations</v>
      </c>
      <c r="C4304" s="18" t="s">
        <v>18</v>
      </c>
      <c r="D4304" s="14" t="str">
        <f>IF(ISBLANK(Raw_Data!D4304),AVERAGE(Raw_Data!D$2:D$5002),Raw_Data!D4304)</f>
        <v>116391.36</v>
      </c>
      <c r="E4304" s="15" t="str">
        <f>IF(ISBLANK(Raw_Data!E4304),AVERAGE(Raw_Data!E$2:E$5002),Raw_Data!E4304)</f>
        <v>9623.25</v>
      </c>
      <c r="F4304" s="15" t="str">
        <f>IF(ISBLANK(Raw_Data!F4304),AVERAGE(Raw_Data!F$2:F$5002),Raw_Data!F4304)</f>
        <v>35046.15</v>
      </c>
      <c r="G4304" s="14" t="str">
        <f>IF(ISBLANK(Raw_Data!G4304),AVERAGE(Raw_Data!G$2:G$5002),Raw_Data!G4304)</f>
        <v>21982.77</v>
      </c>
      <c r="H4304" s="15" t="str">
        <f t="shared" si="1"/>
        <v>161061.00</v>
      </c>
      <c r="I4304" s="14" t="str">
        <f t="shared" si="2"/>
        <v>139078.00</v>
      </c>
      <c r="J4304" s="16" t="str">
        <f>TEXT(Raw_Data!J4304,"MMM-YYY")</f>
        <v>Apr-2025</v>
      </c>
      <c r="K4304" s="13" t="str">
        <f>Raw_Data!K4304</f>
        <v>21</v>
      </c>
      <c r="L4304" s="17" t="str">
        <f>Raw_Data!L4304</f>
        <v>Delhi-North</v>
      </c>
      <c r="M4304" s="13" t="str">
        <f t="shared" si="3"/>
        <v>OK</v>
      </c>
      <c r="N4304" s="18" t="str">
        <f t="shared" si="4"/>
        <v>VALID</v>
      </c>
    </row>
    <row r="4305" ht="15.75" customHeight="1">
      <c r="A4305" s="13" t="str">
        <f>Raw_Data!A4305</f>
        <v>EMP4542</v>
      </c>
      <c r="B4305" s="13" t="str">
        <f>TRIM(CLEAN(Raw_Data!B4305))</f>
        <v>Finance</v>
      </c>
      <c r="C4305" s="18" t="s">
        <v>14</v>
      </c>
      <c r="D4305" s="14" t="str">
        <f>IF(ISBLANK(Raw_Data!D4305),AVERAGE(Raw_Data!D$2:D$5002),Raw_Data!D4305)</f>
        <v>99881.72</v>
      </c>
      <c r="E4305" s="15" t="str">
        <f>IF(ISBLANK(Raw_Data!E4305),AVERAGE(Raw_Data!E$2:E$5002),Raw_Data!E4305)</f>
        <v>39583.16</v>
      </c>
      <c r="F4305" s="15" t="str">
        <f>IF(ISBLANK(Raw_Data!F4305),AVERAGE(Raw_Data!F$2:F$5002),Raw_Data!F4305)</f>
        <v>35053.83</v>
      </c>
      <c r="G4305" s="14" t="str">
        <f>IF(ISBLANK(Raw_Data!G4305),AVERAGE(Raw_Data!G$2:G$5002),Raw_Data!G4305)</f>
        <v>13816.83</v>
      </c>
      <c r="H4305" s="15" t="str">
        <f t="shared" si="1"/>
        <v>174519.00</v>
      </c>
      <c r="I4305" s="14" t="str">
        <f t="shared" si="2"/>
        <v>160702.00</v>
      </c>
      <c r="J4305" s="16" t="str">
        <f>TEXT(Raw_Data!J4305,"MMM-YYY")</f>
        <v>Nov-2025</v>
      </c>
      <c r="K4305" s="13" t="str">
        <f>Raw_Data!K4305</f>
        <v>16</v>
      </c>
      <c r="L4305" s="17" t="str">
        <f>Raw_Data!L4305</f>
        <v>Bangalore-South</v>
      </c>
      <c r="M4305" s="13" t="str">
        <f t="shared" si="3"/>
        <v>OK</v>
      </c>
      <c r="N4305" s="18" t="str">
        <f t="shared" si="4"/>
        <v>VALID</v>
      </c>
    </row>
    <row r="4306" ht="15.75" customHeight="1">
      <c r="A4306" s="13" t="str">
        <f>Raw_Data!A4306</f>
        <v>EMP4543</v>
      </c>
      <c r="B4306" s="13" t="str">
        <f>TRIM(CLEAN(Raw_Data!B4306))</f>
        <v>Finance</v>
      </c>
      <c r="C4306" s="18" t="s">
        <v>54</v>
      </c>
      <c r="D4306" s="14" t="str">
        <f>IF(ISBLANK(Raw_Data!D4306),AVERAGE(Raw_Data!D$2:D$5002),Raw_Data!D4306)</f>
        <v>46984.45</v>
      </c>
      <c r="E4306" s="15" t="str">
        <f>IF(ISBLANK(Raw_Data!E4306),AVERAGE(Raw_Data!E$2:E$5002),Raw_Data!E4306)</f>
        <v>39182.08</v>
      </c>
      <c r="F4306" s="15" t="str">
        <f>IF(ISBLANK(Raw_Data!F4306),AVERAGE(Raw_Data!F$2:F$5002),Raw_Data!F4306)</f>
        <v>35061.51</v>
      </c>
      <c r="G4306" s="14" t="str">
        <f>IF(ISBLANK(Raw_Data!G4306),AVERAGE(Raw_Data!G$2:G$5002),Raw_Data!G4306)</f>
        <v>6337.43</v>
      </c>
      <c r="H4306" s="15" t="str">
        <f t="shared" si="1"/>
        <v>121228.00</v>
      </c>
      <c r="I4306" s="14" t="str">
        <f t="shared" si="2"/>
        <v>114891.00</v>
      </c>
      <c r="J4306" s="16" t="str">
        <f>TEXT(Raw_Data!J4306,"MMM-YYY")</f>
        <v>Oct-2025</v>
      </c>
      <c r="K4306" s="13" t="str">
        <f>Raw_Data!K4306</f>
        <v>4</v>
      </c>
      <c r="L4306" s="17" t="str">
        <f>Raw_Data!L4306</f>
        <v>Chennai-South</v>
      </c>
      <c r="M4306" s="13" t="str">
        <f t="shared" si="3"/>
        <v>OK</v>
      </c>
      <c r="N4306" s="18" t="str">
        <f t="shared" si="4"/>
        <v>VALID</v>
      </c>
    </row>
    <row r="4307" ht="15.75" customHeight="1">
      <c r="A4307" s="13" t="str">
        <f>Raw_Data!A4307</f>
        <v>EMP4544</v>
      </c>
      <c r="B4307" s="13" t="str">
        <f>TRIM(CLEAN(Raw_Data!B4307))</f>
        <v>HR</v>
      </c>
      <c r="C4307" s="18" t="s">
        <v>30</v>
      </c>
      <c r="D4307" s="14" t="str">
        <f>IF(ISBLANK(Raw_Data!D4307),AVERAGE(Raw_Data!D$2:D$5002),Raw_Data!D4307)</f>
        <v>25255.57</v>
      </c>
      <c r="E4307" s="15" t="str">
        <f>IF(ISBLANK(Raw_Data!E4307),AVERAGE(Raw_Data!E$2:E$5002),Raw_Data!E4307)</f>
        <v>32577.45</v>
      </c>
      <c r="F4307" s="15" t="str">
        <f>IF(ISBLANK(Raw_Data!F4307),AVERAGE(Raw_Data!F$2:F$5002),Raw_Data!F4307)</f>
        <v>35069.19</v>
      </c>
      <c r="G4307" s="14" t="str">
        <f>IF(ISBLANK(Raw_Data!G4307),AVERAGE(Raw_Data!G$2:G$5002),Raw_Data!G4307)</f>
        <v>21351.75</v>
      </c>
      <c r="H4307" s="15" t="str">
        <f t="shared" si="1"/>
        <v>92902.00</v>
      </c>
      <c r="I4307" s="14" t="str">
        <f t="shared" si="2"/>
        <v>71550.00</v>
      </c>
      <c r="J4307" s="16" t="str">
        <f>TEXT(Raw_Data!J4307,"MMM-YYY")</f>
        <v>Feb-2025</v>
      </c>
      <c r="K4307" s="13" t="str">
        <f>Raw_Data!K4307</f>
        <v>9</v>
      </c>
      <c r="L4307" s="17" t="str">
        <f>Raw_Data!L4307</f>
        <v>Kolkata-East</v>
      </c>
      <c r="M4307" s="13" t="str">
        <f t="shared" si="3"/>
        <v>OK</v>
      </c>
      <c r="N4307" s="18" t="str">
        <f t="shared" si="4"/>
        <v>VALID</v>
      </c>
    </row>
    <row r="4308" ht="15.75" customHeight="1">
      <c r="A4308" s="13" t="str">
        <f>Raw_Data!A4308</f>
        <v>EMP4545</v>
      </c>
      <c r="B4308" s="13" t="str">
        <f>TRIM(CLEAN(Raw_Data!B4308))</f>
        <v>Sales</v>
      </c>
      <c r="C4308" s="18" t="s">
        <v>37</v>
      </c>
      <c r="D4308" s="14" t="str">
        <f>IF(ISBLANK(Raw_Data!D4308),AVERAGE(Raw_Data!D$2:D$5002),Raw_Data!D4308)</f>
        <v>86844.47</v>
      </c>
      <c r="E4308" s="15" t="str">
        <f>IF(ISBLANK(Raw_Data!E4308),AVERAGE(Raw_Data!E$2:E$5002),Raw_Data!E4308)</f>
        <v>27739.23</v>
      </c>
      <c r="F4308" s="15" t="str">
        <f>IF(ISBLANK(Raw_Data!F4308),AVERAGE(Raw_Data!F$2:F$5002),Raw_Data!F4308)</f>
        <v>35076.87</v>
      </c>
      <c r="G4308" s="14" t="str">
        <f>IF(ISBLANK(Raw_Data!G4308),AVERAGE(Raw_Data!G$2:G$5002),Raw_Data!G4308)</f>
        <v>14151.87</v>
      </c>
      <c r="H4308" s="15" t="str">
        <f t="shared" si="1"/>
        <v>149661.00</v>
      </c>
      <c r="I4308" s="14" t="str">
        <f t="shared" si="2"/>
        <v>135509.00</v>
      </c>
      <c r="J4308" s="16" t="str">
        <f>TEXT(Raw_Data!J4308,"MMM-YYY")</f>
        <v>Jan-2025</v>
      </c>
      <c r="K4308" s="13" t="str">
        <f>Raw_Data!K4308</f>
        <v>16</v>
      </c>
      <c r="L4308" s="17" t="str">
        <f>Raw_Data!L4308</f>
        <v>Pune-West</v>
      </c>
      <c r="M4308" s="13" t="str">
        <f t="shared" si="3"/>
        <v>OK</v>
      </c>
      <c r="N4308" s="18" t="str">
        <f t="shared" si="4"/>
        <v>VALID</v>
      </c>
    </row>
    <row r="4309" ht="15.75" customHeight="1">
      <c r="A4309" s="13" t="str">
        <f>Raw_Data!A4309</f>
        <v>EMP4546</v>
      </c>
      <c r="B4309" s="13" t="str">
        <f>TRIM(CLEAN(Raw_Data!B4309))</f>
        <v>Operations</v>
      </c>
      <c r="C4309" s="18" t="s">
        <v>54</v>
      </c>
      <c r="D4309" s="14" t="str">
        <f>IF(ISBLANK(Raw_Data!D4309),AVERAGE(Raw_Data!D$2:D$5002),Raw_Data!D4309)</f>
        <v>61216.01</v>
      </c>
      <c r="E4309" s="15" t="str">
        <f>IF(ISBLANK(Raw_Data!E4309),AVERAGE(Raw_Data!E$2:E$5002),Raw_Data!E4309)</f>
        <v>24801.05</v>
      </c>
      <c r="F4309" s="15" t="str">
        <f>IF(ISBLANK(Raw_Data!F4309),AVERAGE(Raw_Data!F$2:F$5002),Raw_Data!F4309)</f>
        <v>35084.55</v>
      </c>
      <c r="G4309" s="14" t="str">
        <f>IF(ISBLANK(Raw_Data!G4309),AVERAGE(Raw_Data!G$2:G$5002),Raw_Data!G4309)</f>
        <v>5567.61</v>
      </c>
      <c r="H4309" s="15" t="str">
        <f t="shared" si="1"/>
        <v>121102.00</v>
      </c>
      <c r="I4309" s="14" t="str">
        <f t="shared" si="2"/>
        <v>115534.00</v>
      </c>
      <c r="J4309" s="16" t="str">
        <f>TEXT(Raw_Data!J4309,"MMM-YYY")</f>
        <v>Jun-2025</v>
      </c>
      <c r="K4309" s="13" t="str">
        <f>Raw_Data!K4309</f>
        <v>4</v>
      </c>
      <c r="L4309" s="17" t="str">
        <f>Raw_Data!L4309</f>
        <v>Hyderabad-South</v>
      </c>
      <c r="M4309" s="13" t="str">
        <f t="shared" si="3"/>
        <v>OK</v>
      </c>
      <c r="N4309" s="18" t="str">
        <f t="shared" si="4"/>
        <v>VALID</v>
      </c>
    </row>
    <row r="4310" ht="15.75" customHeight="1">
      <c r="A4310" s="13" t="str">
        <f>Raw_Data!A4310</f>
        <v>EMP4547</v>
      </c>
      <c r="B4310" s="13" t="str">
        <f>TRIM(CLEAN(Raw_Data!B4310))</f>
        <v>IT</v>
      </c>
      <c r="C4310" s="18" t="s">
        <v>18</v>
      </c>
      <c r="D4310" s="14" t="str">
        <f>IF(ISBLANK(Raw_Data!D4310),AVERAGE(Raw_Data!D$2:D$5002),Raw_Data!D4310)</f>
        <v>27814.01</v>
      </c>
      <c r="E4310" s="15" t="str">
        <f>IF(ISBLANK(Raw_Data!E4310),AVERAGE(Raw_Data!E$2:E$5002),Raw_Data!E4310)</f>
        <v>35179.66</v>
      </c>
      <c r="F4310" s="15" t="str">
        <f>IF(ISBLANK(Raw_Data!F4310),AVERAGE(Raw_Data!F$2:F$5002),Raw_Data!F4310)</f>
        <v>35092.23</v>
      </c>
      <c r="G4310" s="14" t="str">
        <f>IF(ISBLANK(Raw_Data!G4310),AVERAGE(Raw_Data!G$2:G$5002),Raw_Data!G4310)</f>
        <v>15775.94</v>
      </c>
      <c r="H4310" s="15" t="str">
        <f t="shared" si="1"/>
        <v>98086.00</v>
      </c>
      <c r="I4310" s="14" t="str">
        <f t="shared" si="2"/>
        <v>82310.00</v>
      </c>
      <c r="J4310" s="16" t="str">
        <f>TEXT(Raw_Data!J4310,"MMM-YYY")</f>
        <v>Mar-2025</v>
      </c>
      <c r="K4310" s="13" t="str">
        <f>Raw_Data!K4310</f>
        <v>13</v>
      </c>
      <c r="L4310" s="17" t="str">
        <f>Raw_Data!L4310</f>
        <v>Chandigarh-North</v>
      </c>
      <c r="M4310" s="13" t="str">
        <f t="shared" si="3"/>
        <v>OK</v>
      </c>
      <c r="N4310" s="18" t="str">
        <f t="shared" si="4"/>
        <v>VALID</v>
      </c>
    </row>
    <row r="4311" ht="15.75" customHeight="1">
      <c r="A4311" s="13" t="str">
        <f>Raw_Data!A4311</f>
        <v>EMP4548</v>
      </c>
      <c r="B4311" s="13" t="str">
        <f>TRIM(CLEAN(Raw_Data!B4311))</f>
        <v>Marketing</v>
      </c>
      <c r="C4311" s="18" t="s">
        <v>54</v>
      </c>
      <c r="D4311" s="14" t="str">
        <f>IF(ISBLANK(Raw_Data!D4311),AVERAGE(Raw_Data!D$2:D$5002),Raw_Data!D4311)</f>
        <v>66993.58</v>
      </c>
      <c r="E4311" s="15" t="str">
        <f>IF(ISBLANK(Raw_Data!E4311),AVERAGE(Raw_Data!E$2:E$5002),Raw_Data!E4311)</f>
        <v>14419.82</v>
      </c>
      <c r="F4311" s="15" t="str">
        <f>IF(ISBLANK(Raw_Data!F4311),AVERAGE(Raw_Data!F$2:F$5002),Raw_Data!F4311)</f>
        <v>35099.91</v>
      </c>
      <c r="G4311" s="14" t="str">
        <f>IF(ISBLANK(Raw_Data!G4311),AVERAGE(Raw_Data!G$2:G$5002),Raw_Data!G4311)</f>
        <v>9264.06</v>
      </c>
      <c r="H4311" s="15" t="str">
        <f t="shared" si="1"/>
        <v>116513.00</v>
      </c>
      <c r="I4311" s="14" t="str">
        <f t="shared" si="2"/>
        <v>107249.00</v>
      </c>
      <c r="J4311" s="16" t="str">
        <f>TEXT(Raw_Data!J4311,"MMM-YYY")</f>
        <v>Aug-2025</v>
      </c>
      <c r="K4311" s="13" t="str">
        <f>Raw_Data!K4311</f>
        <v>25</v>
      </c>
      <c r="L4311" s="17" t="str">
        <f>Raw_Data!L4311</f>
        <v>Ahmedabad-West</v>
      </c>
      <c r="M4311" s="13" t="str">
        <f t="shared" si="3"/>
        <v>OK</v>
      </c>
      <c r="N4311" s="18" t="str">
        <f t="shared" si="4"/>
        <v>VALID</v>
      </c>
    </row>
    <row r="4312" ht="15.75" customHeight="1">
      <c r="A4312" s="13" t="str">
        <f>Raw_Data!A4312</f>
        <v>EMP4549</v>
      </c>
      <c r="B4312" s="13" t="str">
        <f>TRIM(CLEAN(Raw_Data!B4312))</f>
        <v>Customer Support</v>
      </c>
      <c r="C4312" s="18" t="s">
        <v>18</v>
      </c>
      <c r="D4312" s="14" t="str">
        <f>IF(ISBLANK(Raw_Data!D4312),AVERAGE(Raw_Data!D$2:D$5002),Raw_Data!D4312)</f>
        <v>18610.79</v>
      </c>
      <c r="E4312" s="15" t="str">
        <f>IF(ISBLANK(Raw_Data!E4312),AVERAGE(Raw_Data!E$2:E$5002),Raw_Data!E4312)</f>
        <v>20836.52</v>
      </c>
      <c r="F4312" s="15" t="str">
        <f>IF(ISBLANK(Raw_Data!F4312),AVERAGE(Raw_Data!F$2:F$5002),Raw_Data!F4312)</f>
        <v>35107.59</v>
      </c>
      <c r="G4312" s="14" t="str">
        <f>IF(ISBLANK(Raw_Data!G4312),AVERAGE(Raw_Data!G$2:G$5002),Raw_Data!G4312)</f>
        <v>21187.94</v>
      </c>
      <c r="H4312" s="15" t="str">
        <f t="shared" si="1"/>
        <v>74555.00</v>
      </c>
      <c r="I4312" s="14" t="str">
        <f t="shared" si="2"/>
        <v>53367.00</v>
      </c>
      <c r="J4312" s="16" t="str">
        <f>TEXT(Raw_Data!J4312,"MMM-YYY")</f>
        <v>Sep-2025</v>
      </c>
      <c r="K4312" s="13" t="str">
        <f>Raw_Data!K4312</f>
        <v>16</v>
      </c>
      <c r="L4312" s="17" t="str">
        <f>Raw_Data!L4312</f>
        <v>Jaipur-North</v>
      </c>
      <c r="M4312" s="13" t="str">
        <f t="shared" si="3"/>
        <v>OK</v>
      </c>
      <c r="N4312" s="18" t="str">
        <f t="shared" si="4"/>
        <v>VALID</v>
      </c>
    </row>
    <row r="4313" ht="15.75" customHeight="1">
      <c r="A4313" s="13" t="str">
        <f>Raw_Data!A4313</f>
        <v>EMP4550</v>
      </c>
      <c r="B4313" s="13" t="str">
        <f>TRIM(CLEAN(Raw_Data!B4313))</f>
        <v>Sales</v>
      </c>
      <c r="C4313" s="18" t="s">
        <v>26</v>
      </c>
      <c r="D4313" s="14" t="str">
        <f>IF(ISBLANK(Raw_Data!D4313),AVERAGE(Raw_Data!D$2:D$5002),Raw_Data!D4313)</f>
        <v>110478.64</v>
      </c>
      <c r="E4313" s="15" t="str">
        <f>IF(ISBLANK(Raw_Data!E4313),AVERAGE(Raw_Data!E$2:E$5002),Raw_Data!E4313)</f>
        <v>26298.04</v>
      </c>
      <c r="F4313" s="15" t="str">
        <f>IF(ISBLANK(Raw_Data!F4313),AVERAGE(Raw_Data!F$2:F$5002),Raw_Data!F4313)</f>
        <v>35115.27</v>
      </c>
      <c r="G4313" s="14" t="str">
        <f>IF(ISBLANK(Raw_Data!G4313),AVERAGE(Raw_Data!G$2:G$5002),Raw_Data!G4313)</f>
        <v>11605.84</v>
      </c>
      <c r="H4313" s="15" t="str">
        <f t="shared" si="1"/>
        <v>171892.00</v>
      </c>
      <c r="I4313" s="14" t="str">
        <f t="shared" si="2"/>
        <v>160286.00</v>
      </c>
      <c r="J4313" s="16" t="str">
        <f>TEXT(Raw_Data!J4313,"MMM-YYY")</f>
        <v>Mar-2025</v>
      </c>
      <c r="K4313" s="13" t="str">
        <f>Raw_Data!K4313</f>
        <v>24</v>
      </c>
      <c r="L4313" s="17" t="str">
        <f>Raw_Data!L4313</f>
        <v>Mumbai-HO</v>
      </c>
      <c r="M4313" s="13" t="str">
        <f t="shared" si="3"/>
        <v>OK</v>
      </c>
      <c r="N4313" s="18" t="str">
        <f t="shared" si="4"/>
        <v>VALID</v>
      </c>
    </row>
    <row r="4314" ht="15.75" customHeight="1">
      <c r="A4314" s="13" t="str">
        <f>Raw_Data!A4314</f>
        <v>EMP4551</v>
      </c>
      <c r="B4314" s="13" t="str">
        <f>TRIM(CLEAN(Raw_Data!B4314))</f>
        <v>Marketing</v>
      </c>
      <c r="C4314" s="18" t="s">
        <v>37</v>
      </c>
      <c r="D4314" s="14" t="str">
        <f>IF(ISBLANK(Raw_Data!D4314),AVERAGE(Raw_Data!D$2:D$5002),Raw_Data!D4314)</f>
        <v>42171.90</v>
      </c>
      <c r="E4314" s="15" t="str">
        <f>IF(ISBLANK(Raw_Data!E4314),AVERAGE(Raw_Data!E$2:E$5002),Raw_Data!E4314)</f>
        <v>18802.86</v>
      </c>
      <c r="F4314" s="15" t="str">
        <f>IF(ISBLANK(Raw_Data!F4314),AVERAGE(Raw_Data!F$2:F$5002),Raw_Data!F4314)</f>
        <v>35122.95</v>
      </c>
      <c r="G4314" s="14" t="str">
        <f>IF(ISBLANK(Raw_Data!G4314),AVERAGE(Raw_Data!G$2:G$5002),Raw_Data!G4314)</f>
        <v>18297.81</v>
      </c>
      <c r="H4314" s="15" t="str">
        <f t="shared" si="1"/>
        <v>96098.00</v>
      </c>
      <c r="I4314" s="14" t="str">
        <f t="shared" si="2"/>
        <v>77800.00</v>
      </c>
      <c r="J4314" s="16" t="str">
        <f>TEXT(Raw_Data!J4314,"MMM-YYY")</f>
        <v>Mar-2025</v>
      </c>
      <c r="K4314" s="13" t="str">
        <f>Raw_Data!K4314</f>
        <v>1</v>
      </c>
      <c r="L4314" s="17" t="str">
        <f>Raw_Data!L4314</f>
        <v>Delhi-North</v>
      </c>
      <c r="M4314" s="13" t="str">
        <f t="shared" si="3"/>
        <v>OK</v>
      </c>
      <c r="N4314" s="18" t="str">
        <f t="shared" si="4"/>
        <v>VALID</v>
      </c>
    </row>
    <row r="4315" ht="15.75" customHeight="1">
      <c r="A4315" s="13" t="str">
        <f>Raw_Data!A4315</f>
        <v>EMP4552</v>
      </c>
      <c r="B4315" s="13" t="str">
        <f>TRIM(CLEAN(Raw_Data!B4315))</f>
        <v>IT</v>
      </c>
      <c r="C4315" s="18" t="s">
        <v>30</v>
      </c>
      <c r="D4315" s="14" t="str">
        <f>IF(ISBLANK(Raw_Data!D4315),AVERAGE(Raw_Data!D$2:D$5002),Raw_Data!D4315)</f>
        <v>84564.84</v>
      </c>
      <c r="E4315" s="15" t="str">
        <f>IF(ISBLANK(Raw_Data!E4315),AVERAGE(Raw_Data!E$2:E$5002),Raw_Data!E4315)</f>
        <v>19389.51</v>
      </c>
      <c r="F4315" s="15" t="str">
        <f>IF(ISBLANK(Raw_Data!F4315),AVERAGE(Raw_Data!F$2:F$5002),Raw_Data!F4315)</f>
        <v>35130.63</v>
      </c>
      <c r="G4315" s="14" t="str">
        <f>IF(ISBLANK(Raw_Data!G4315),AVERAGE(Raw_Data!G$2:G$5002),Raw_Data!G4315)</f>
        <v>2840.64</v>
      </c>
      <c r="H4315" s="15" t="str">
        <f t="shared" si="1"/>
        <v>139085.00</v>
      </c>
      <c r="I4315" s="14" t="str">
        <f t="shared" si="2"/>
        <v>136244.00</v>
      </c>
      <c r="J4315" s="16" t="str">
        <f>TEXT(Raw_Data!J4315,"MMM-YYY")</f>
        <v>Aug-2025</v>
      </c>
      <c r="K4315" s="13" t="str">
        <f>Raw_Data!K4315</f>
        <v>3</v>
      </c>
      <c r="L4315" s="17" t="str">
        <f>Raw_Data!L4315</f>
        <v>Bangalore-South</v>
      </c>
      <c r="M4315" s="13" t="str">
        <f t="shared" si="3"/>
        <v>OK</v>
      </c>
      <c r="N4315" s="18" t="str">
        <f t="shared" si="4"/>
        <v>VALID</v>
      </c>
    </row>
    <row r="4316" ht="15.75" customHeight="1">
      <c r="A4316" s="13" t="str">
        <f>Raw_Data!A4316</f>
        <v>EMP4553</v>
      </c>
      <c r="B4316" s="13" t="str">
        <f>TRIM(CLEAN(Raw_Data!B4316))</f>
        <v>Finance</v>
      </c>
      <c r="C4316" s="18" t="s">
        <v>30</v>
      </c>
      <c r="D4316" s="14" t="str">
        <f>IF(ISBLANK(Raw_Data!D4316),AVERAGE(Raw_Data!D$2:D$5002),Raw_Data!D4316)</f>
        <v>47729.66</v>
      </c>
      <c r="E4316" s="15" t="str">
        <f>IF(ISBLANK(Raw_Data!E4316),AVERAGE(Raw_Data!E$2:E$5002),Raw_Data!E4316)</f>
        <v>15890.25</v>
      </c>
      <c r="F4316" s="15" t="str">
        <f>IF(ISBLANK(Raw_Data!F4316),AVERAGE(Raw_Data!F$2:F$5002),Raw_Data!F4316)</f>
        <v>35138.31</v>
      </c>
      <c r="G4316" s="14" t="str">
        <f>IF(ISBLANK(Raw_Data!G4316),AVERAGE(Raw_Data!G$2:G$5002),Raw_Data!G4316)</f>
        <v>10202.60</v>
      </c>
      <c r="H4316" s="15" t="str">
        <f t="shared" si="1"/>
        <v>98758.00</v>
      </c>
      <c r="I4316" s="14" t="str">
        <f t="shared" si="2"/>
        <v>88555.00</v>
      </c>
      <c r="J4316" s="16" t="str">
        <f>TEXT(Raw_Data!J4316,"MMM-YYY")</f>
        <v>Nov-2025</v>
      </c>
      <c r="K4316" s="13" t="str">
        <f>Raw_Data!K4316</f>
        <v>3</v>
      </c>
      <c r="L4316" s="17" t="str">
        <f>Raw_Data!L4316</f>
        <v>Chennai-South</v>
      </c>
      <c r="M4316" s="13" t="str">
        <f t="shared" si="3"/>
        <v>OK</v>
      </c>
      <c r="N4316" s="18" t="str">
        <f t="shared" si="4"/>
        <v>VALID</v>
      </c>
    </row>
    <row r="4317" ht="15.75" customHeight="1">
      <c r="A4317" s="13" t="str">
        <f>Raw_Data!A4317</f>
        <v>EMP4554</v>
      </c>
      <c r="B4317" s="13" t="str">
        <f>TRIM(CLEAN(Raw_Data!B4317))</f>
        <v>Operations</v>
      </c>
      <c r="C4317" s="18" t="s">
        <v>18</v>
      </c>
      <c r="D4317" s="14" t="str">
        <f>IF(ISBLANK(Raw_Data!D4317),AVERAGE(Raw_Data!D$2:D$5002),Raw_Data!D4317)</f>
        <v>69607.14</v>
      </c>
      <c r="E4317" s="15" t="str">
        <f>IF(ISBLANK(Raw_Data!E4317),AVERAGE(Raw_Data!E$2:E$5002),Raw_Data!E4317)</f>
        <v>24312.35</v>
      </c>
      <c r="F4317" s="15" t="str">
        <f>IF(ISBLANK(Raw_Data!F4317),AVERAGE(Raw_Data!F$2:F$5002),Raw_Data!F4317)</f>
        <v>35145.99</v>
      </c>
      <c r="G4317" s="14" t="str">
        <f>IF(ISBLANK(Raw_Data!G4317),AVERAGE(Raw_Data!G$2:G$5002),Raw_Data!G4317)</f>
        <v>24589.42</v>
      </c>
      <c r="H4317" s="15" t="str">
        <f t="shared" si="1"/>
        <v>129065.00</v>
      </c>
      <c r="I4317" s="14" t="str">
        <f t="shared" si="2"/>
        <v>104476.00</v>
      </c>
      <c r="J4317" s="16" t="str">
        <f>TEXT(Raw_Data!J4317,"MMM-YYY")</f>
        <v>Oct-2025</v>
      </c>
      <c r="K4317" s="13" t="str">
        <f>Raw_Data!K4317</f>
        <v>24</v>
      </c>
      <c r="L4317" s="17" t="str">
        <f>Raw_Data!L4317</f>
        <v>Kolkata-East</v>
      </c>
      <c r="M4317" s="13" t="str">
        <f t="shared" si="3"/>
        <v>OK</v>
      </c>
      <c r="N4317" s="18" t="str">
        <f t="shared" si="4"/>
        <v>VALID</v>
      </c>
    </row>
    <row r="4318" ht="15.75" customHeight="1">
      <c r="A4318" s="13" t="str">
        <f>Raw_Data!A4318</f>
        <v>EMP4555</v>
      </c>
      <c r="B4318" s="13" t="str">
        <f>TRIM(CLEAN(Raw_Data!B4318))</f>
        <v>IT</v>
      </c>
      <c r="C4318" s="18" t="s">
        <v>30</v>
      </c>
      <c r="D4318" s="14" t="str">
        <f>IF(ISBLANK(Raw_Data!D4318),AVERAGE(Raw_Data!D$2:D$5002),Raw_Data!D4318)</f>
        <v>72404.58</v>
      </c>
      <c r="E4318" s="15" t="str">
        <f>IF(ISBLANK(Raw_Data!E4318),AVERAGE(Raw_Data!E$2:E$5002),Raw_Data!E4318)</f>
        <v>34620.68</v>
      </c>
      <c r="F4318" s="15" t="str">
        <f>IF(ISBLANK(Raw_Data!F4318),AVERAGE(Raw_Data!F$2:F$5002),Raw_Data!F4318)</f>
        <v>35153.67</v>
      </c>
      <c r="G4318" s="14" t="str">
        <f>IF(ISBLANK(Raw_Data!G4318),AVERAGE(Raw_Data!G$2:G$5002),Raw_Data!G4318)</f>
        <v>20307.28</v>
      </c>
      <c r="H4318" s="15" t="str">
        <f t="shared" si="1"/>
        <v>142179.00</v>
      </c>
      <c r="I4318" s="14" t="str">
        <f t="shared" si="2"/>
        <v>121872.00</v>
      </c>
      <c r="J4318" s="16" t="str">
        <f>TEXT(Raw_Data!J4318,"MMM-YYY")</f>
        <v>Aug-2025</v>
      </c>
      <c r="K4318" s="13" t="str">
        <f>Raw_Data!K4318</f>
        <v>8</v>
      </c>
      <c r="L4318" s="17" t="str">
        <f>Raw_Data!L4318</f>
        <v>Pune-West</v>
      </c>
      <c r="M4318" s="13" t="str">
        <f t="shared" si="3"/>
        <v>OK</v>
      </c>
      <c r="N4318" s="18" t="str">
        <f t="shared" si="4"/>
        <v>VALID</v>
      </c>
    </row>
    <row r="4319" ht="15.75" customHeight="1">
      <c r="A4319" s="13" t="str">
        <f>Raw_Data!A4319</f>
        <v>EMP4556</v>
      </c>
      <c r="B4319" s="13" t="str">
        <f>TRIM(CLEAN(Raw_Data!B4319))</f>
        <v>Sales</v>
      </c>
      <c r="C4319" s="18" t="s">
        <v>26</v>
      </c>
      <c r="D4319" s="14" t="str">
        <f>IF(ISBLANK(Raw_Data!D4319),AVERAGE(Raw_Data!D$2:D$5002),Raw_Data!D4319)</f>
        <v>34409.72</v>
      </c>
      <c r="E4319" s="15" t="str">
        <f>IF(ISBLANK(Raw_Data!E4319),AVERAGE(Raw_Data!E$2:E$5002),Raw_Data!E4319)</f>
        <v>11255.02</v>
      </c>
      <c r="F4319" s="15" t="str">
        <f>IF(ISBLANK(Raw_Data!F4319),AVERAGE(Raw_Data!F$2:F$5002),Raw_Data!F4319)</f>
        <v>35161.35</v>
      </c>
      <c r="G4319" s="14" t="str">
        <f>IF(ISBLANK(Raw_Data!G4319),AVERAGE(Raw_Data!G$2:G$5002),Raw_Data!G4319)</f>
        <v>4418.55</v>
      </c>
      <c r="H4319" s="15" t="str">
        <f t="shared" si="1"/>
        <v>80826.00</v>
      </c>
      <c r="I4319" s="14" t="str">
        <f t="shared" si="2"/>
        <v>76407.00</v>
      </c>
      <c r="J4319" s="16" t="str">
        <f>TEXT(Raw_Data!J4319,"MMM-YYY")</f>
        <v>Mar-2025</v>
      </c>
      <c r="K4319" s="13" t="str">
        <f>Raw_Data!K4319</f>
        <v>11</v>
      </c>
      <c r="L4319" s="17" t="str">
        <f>Raw_Data!L4319</f>
        <v>Hyderabad-South</v>
      </c>
      <c r="M4319" s="13" t="str">
        <f t="shared" si="3"/>
        <v>OK</v>
      </c>
      <c r="N4319" s="18" t="str">
        <f t="shared" si="4"/>
        <v>VALID</v>
      </c>
    </row>
    <row r="4320" ht="15.75" customHeight="1">
      <c r="A4320" s="13" t="str">
        <f>Raw_Data!A4320</f>
        <v>EMP4557</v>
      </c>
      <c r="B4320" s="13" t="str">
        <f>TRIM(CLEAN(Raw_Data!B4320))</f>
        <v>Finance</v>
      </c>
      <c r="C4320" s="18" t="s">
        <v>14</v>
      </c>
      <c r="D4320" s="14" t="str">
        <f>IF(ISBLANK(Raw_Data!D4320),AVERAGE(Raw_Data!D$2:D$5002),Raw_Data!D4320)</f>
        <v>116806.39</v>
      </c>
      <c r="E4320" s="15" t="str">
        <f>IF(ISBLANK(Raw_Data!E4320),AVERAGE(Raw_Data!E$2:E$5002),Raw_Data!E4320)</f>
        <v>37639.59</v>
      </c>
      <c r="F4320" s="15" t="str">
        <f>IF(ISBLANK(Raw_Data!F4320),AVERAGE(Raw_Data!F$2:F$5002),Raw_Data!F4320)</f>
        <v>35169.03</v>
      </c>
      <c r="G4320" s="14" t="str">
        <f>IF(ISBLANK(Raw_Data!G4320),AVERAGE(Raw_Data!G$2:G$5002),Raw_Data!G4320)</f>
        <v>7305.22</v>
      </c>
      <c r="H4320" s="15" t="str">
        <f t="shared" si="1"/>
        <v>189615.00</v>
      </c>
      <c r="I4320" s="14" t="str">
        <f t="shared" si="2"/>
        <v>182310.00</v>
      </c>
      <c r="J4320" s="16" t="str">
        <f>TEXT(Raw_Data!J4320,"MMM-YYY")</f>
        <v>Oct-2025</v>
      </c>
      <c r="K4320" s="13" t="str">
        <f>Raw_Data!K4320</f>
        <v>25</v>
      </c>
      <c r="L4320" s="17" t="str">
        <f>Raw_Data!L4320</f>
        <v>Chandigarh-North</v>
      </c>
      <c r="M4320" s="13" t="str">
        <f t="shared" si="3"/>
        <v>OK</v>
      </c>
      <c r="N4320" s="18" t="str">
        <f t="shared" si="4"/>
        <v>VALID</v>
      </c>
    </row>
    <row r="4321" ht="15.75" customHeight="1">
      <c r="A4321" s="13" t="str">
        <f>Raw_Data!A4321</f>
        <v>EMP4558</v>
      </c>
      <c r="B4321" s="13" t="str">
        <f>TRIM(CLEAN(Raw_Data!B4321))</f>
        <v>Customer Support</v>
      </c>
      <c r="C4321" s="18" t="s">
        <v>37</v>
      </c>
      <c r="D4321" s="14" t="str">
        <f>IF(ISBLANK(Raw_Data!D4321),AVERAGE(Raw_Data!D$2:D$5002),Raw_Data!D4321)</f>
        <v>96388.95</v>
      </c>
      <c r="E4321" s="15" t="str">
        <f>IF(ISBLANK(Raw_Data!E4321),AVERAGE(Raw_Data!E$2:E$5002),Raw_Data!E4321)</f>
        <v>28807.16</v>
      </c>
      <c r="F4321" s="15" t="str">
        <f>IF(ISBLANK(Raw_Data!F4321),AVERAGE(Raw_Data!F$2:F$5002),Raw_Data!F4321)</f>
        <v>35176.71</v>
      </c>
      <c r="G4321" s="14" t="str">
        <f>IF(ISBLANK(Raw_Data!G4321),AVERAGE(Raw_Data!G$2:G$5002),Raw_Data!G4321)</f>
        <v>14562.73</v>
      </c>
      <c r="H4321" s="15" t="str">
        <f t="shared" si="1"/>
        <v>160373.00</v>
      </c>
      <c r="I4321" s="14" t="str">
        <f t="shared" si="2"/>
        <v>145810.00</v>
      </c>
      <c r="J4321" s="16" t="str">
        <f>TEXT(Raw_Data!J4321,"MMM-YYY")</f>
        <v>Oct-2025</v>
      </c>
      <c r="K4321" s="13" t="str">
        <f>Raw_Data!K4321</f>
        <v>4</v>
      </c>
      <c r="L4321" s="17" t="str">
        <f>Raw_Data!L4321</f>
        <v>Ahmedabad-West</v>
      </c>
      <c r="M4321" s="13" t="str">
        <f t="shared" si="3"/>
        <v>OK</v>
      </c>
      <c r="N4321" s="18" t="str">
        <f t="shared" si="4"/>
        <v>VALID</v>
      </c>
    </row>
    <row r="4322" ht="15.75" customHeight="1">
      <c r="A4322" s="13" t="str">
        <f>Raw_Data!A4322</f>
        <v>EMP4559</v>
      </c>
      <c r="B4322" s="13" t="str">
        <f>TRIM(CLEAN(Raw_Data!B4322))</f>
        <v>Customer Support</v>
      </c>
      <c r="C4322" s="18" t="s">
        <v>54</v>
      </c>
      <c r="D4322" s="14" t="str">
        <f>IF(ISBLANK(Raw_Data!D4322),AVERAGE(Raw_Data!D$2:D$5002),Raw_Data!D4322)</f>
        <v>113647.39</v>
      </c>
      <c r="E4322" s="15" t="str">
        <f>IF(ISBLANK(Raw_Data!E4322),AVERAGE(Raw_Data!E$2:E$5002),Raw_Data!E4322)</f>
        <v>33637.84</v>
      </c>
      <c r="F4322" s="15" t="str">
        <f>IF(ISBLANK(Raw_Data!F4322),AVERAGE(Raw_Data!F$2:F$5002),Raw_Data!F4322)</f>
        <v>35184.39</v>
      </c>
      <c r="G4322" s="14" t="str">
        <f>IF(ISBLANK(Raw_Data!G4322),AVERAGE(Raw_Data!G$2:G$5002),Raw_Data!G4322)</f>
        <v>16433.96</v>
      </c>
      <c r="H4322" s="15" t="str">
        <f t="shared" si="1"/>
        <v>182470.00</v>
      </c>
      <c r="I4322" s="14" t="str">
        <f t="shared" si="2"/>
        <v>166036.00</v>
      </c>
      <c r="J4322" s="16" t="str">
        <f>TEXT(Raw_Data!J4322,"MMM-YYY")</f>
        <v>Jun-2025</v>
      </c>
      <c r="K4322" s="13" t="str">
        <f>Raw_Data!K4322</f>
        <v>22</v>
      </c>
      <c r="L4322" s="17" t="str">
        <f>Raw_Data!L4322</f>
        <v>Jaipur-North</v>
      </c>
      <c r="M4322" s="13" t="str">
        <f t="shared" si="3"/>
        <v>OK</v>
      </c>
      <c r="N4322" s="18" t="str">
        <f t="shared" si="4"/>
        <v>VALID</v>
      </c>
    </row>
    <row r="4323" ht="15.75" customHeight="1">
      <c r="A4323" s="13" t="str">
        <f>Raw_Data!A4323</f>
        <v>EMP4560</v>
      </c>
      <c r="B4323" s="13" t="str">
        <f>TRIM(CLEAN(Raw_Data!B4323))</f>
        <v>IT</v>
      </c>
      <c r="C4323" s="18" t="s">
        <v>30</v>
      </c>
      <c r="D4323" s="14" t="str">
        <f>IF(ISBLANK(Raw_Data!D4323),AVERAGE(Raw_Data!D$2:D$5002),Raw_Data!D4323)</f>
        <v>108956.87</v>
      </c>
      <c r="E4323" s="15" t="str">
        <f>IF(ISBLANK(Raw_Data!E4323),AVERAGE(Raw_Data!E$2:E$5002),Raw_Data!E4323)</f>
        <v>24022.86</v>
      </c>
      <c r="F4323" s="15" t="str">
        <f>IF(ISBLANK(Raw_Data!F4323),AVERAGE(Raw_Data!F$2:F$5002),Raw_Data!F4323)</f>
        <v>35192.07</v>
      </c>
      <c r="G4323" s="14" t="str">
        <f>IF(ISBLANK(Raw_Data!G4323),AVERAGE(Raw_Data!G$2:G$5002),Raw_Data!G4323)</f>
        <v>19046.37</v>
      </c>
      <c r="H4323" s="15" t="str">
        <f t="shared" si="1"/>
        <v>168172.00</v>
      </c>
      <c r="I4323" s="14" t="str">
        <f t="shared" si="2"/>
        <v>149126.00</v>
      </c>
      <c r="J4323" s="16" t="str">
        <f>TEXT(Raw_Data!J4323,"MMM-YYY")</f>
        <v>Jun-2025</v>
      </c>
      <c r="K4323" s="13" t="str">
        <f>Raw_Data!K4323</f>
        <v>5</v>
      </c>
      <c r="L4323" s="17" t="str">
        <f>Raw_Data!L4323</f>
        <v>Mumbai-HO</v>
      </c>
      <c r="M4323" s="13" t="str">
        <f t="shared" si="3"/>
        <v>OK</v>
      </c>
      <c r="N4323" s="18" t="str">
        <f t="shared" si="4"/>
        <v>VALID</v>
      </c>
    </row>
    <row r="4324" ht="15.75" customHeight="1">
      <c r="A4324" s="13" t="str">
        <f>Raw_Data!A4324</f>
        <v>EMP4561</v>
      </c>
      <c r="B4324" s="13" t="str">
        <f>TRIM(CLEAN(Raw_Data!B4324))</f>
        <v>Finance</v>
      </c>
      <c r="C4324" s="18" t="s">
        <v>54</v>
      </c>
      <c r="D4324" s="14" t="str">
        <f>IF(ISBLANK(Raw_Data!D4324),AVERAGE(Raw_Data!D$2:D$5002),Raw_Data!D4324)</f>
        <v>77779.50</v>
      </c>
      <c r="E4324" s="15" t="str">
        <f>IF(ISBLANK(Raw_Data!E4324),AVERAGE(Raw_Data!E$2:E$5002),Raw_Data!E4324)</f>
        <v>32062.60</v>
      </c>
      <c r="F4324" s="15" t="str">
        <f>IF(ISBLANK(Raw_Data!F4324),AVERAGE(Raw_Data!F$2:F$5002),Raw_Data!F4324)</f>
        <v>35199.75</v>
      </c>
      <c r="G4324" s="14" t="str">
        <f>IF(ISBLANK(Raw_Data!G4324),AVERAGE(Raw_Data!G$2:G$5002),Raw_Data!G4324)</f>
        <v>18863.40</v>
      </c>
      <c r="H4324" s="15" t="str">
        <f t="shared" si="1"/>
        <v>145042.00</v>
      </c>
      <c r="I4324" s="14" t="str">
        <f t="shared" si="2"/>
        <v>126179.00</v>
      </c>
      <c r="J4324" s="16" t="str">
        <f>TEXT(Raw_Data!J4324,"MMM-YYY")</f>
        <v>Feb-2025</v>
      </c>
      <c r="K4324" s="13" t="str">
        <f>Raw_Data!K4324</f>
        <v>12</v>
      </c>
      <c r="L4324" s="17" t="str">
        <f>Raw_Data!L4324</f>
        <v>Delhi-North</v>
      </c>
      <c r="M4324" s="13" t="str">
        <f t="shared" si="3"/>
        <v>OK</v>
      </c>
      <c r="N4324" s="18" t="str">
        <f t="shared" si="4"/>
        <v>VALID</v>
      </c>
    </row>
    <row r="4325" ht="15.75" customHeight="1">
      <c r="A4325" s="13" t="str">
        <f>Raw_Data!A4325</f>
        <v>EMP4562</v>
      </c>
      <c r="B4325" s="13" t="str">
        <f>TRIM(CLEAN(Raw_Data!B4325))</f>
        <v>Customer Support</v>
      </c>
      <c r="C4325" s="18" t="s">
        <v>14</v>
      </c>
      <c r="D4325" s="14" t="str">
        <f>IF(ISBLANK(Raw_Data!D4325),AVERAGE(Raw_Data!D$2:D$5002),Raw_Data!D4325)</f>
        <v>111796.79</v>
      </c>
      <c r="E4325" s="15" t="str">
        <f>IF(ISBLANK(Raw_Data!E4325),AVERAGE(Raw_Data!E$2:E$5002),Raw_Data!E4325)</f>
        <v>4583.21</v>
      </c>
      <c r="F4325" s="15" t="str">
        <f>IF(ISBLANK(Raw_Data!F4325),AVERAGE(Raw_Data!F$2:F$5002),Raw_Data!F4325)</f>
        <v>35207.43</v>
      </c>
      <c r="G4325" s="14" t="str">
        <f>IF(ISBLANK(Raw_Data!G4325),AVERAGE(Raw_Data!G$2:G$5002),Raw_Data!G4325)</f>
        <v>12991.91</v>
      </c>
      <c r="H4325" s="15" t="str">
        <f t="shared" si="1"/>
        <v>151587.00</v>
      </c>
      <c r="I4325" s="14" t="str">
        <f t="shared" si="2"/>
        <v>138595.00</v>
      </c>
      <c r="J4325" s="16" t="str">
        <f>TEXT(Raw_Data!J4325,"MMM-YYY")</f>
        <v>Feb-2025</v>
      </c>
      <c r="K4325" s="13" t="str">
        <f>Raw_Data!K4325</f>
        <v>16</v>
      </c>
      <c r="L4325" s="17" t="str">
        <f>Raw_Data!L4325</f>
        <v>Bangalore-South</v>
      </c>
      <c r="M4325" s="13" t="str">
        <f t="shared" si="3"/>
        <v>OK</v>
      </c>
      <c r="N4325" s="18" t="str">
        <f t="shared" si="4"/>
        <v>VALID</v>
      </c>
    </row>
    <row r="4326" ht="15.75" customHeight="1">
      <c r="A4326" s="13" t="str">
        <f>Raw_Data!A4326</f>
        <v>EMP4563</v>
      </c>
      <c r="B4326" s="13" t="str">
        <f>TRIM(CLEAN(Raw_Data!B4326))</f>
        <v>Finance</v>
      </c>
      <c r="C4326" s="18" t="s">
        <v>26</v>
      </c>
      <c r="D4326" s="14" t="str">
        <f>IF(ISBLANK(Raw_Data!D4326),AVERAGE(Raw_Data!D$2:D$5002),Raw_Data!D4326)</f>
        <v>24291.71</v>
      </c>
      <c r="E4326" s="15" t="str">
        <f>IF(ISBLANK(Raw_Data!E4326),AVERAGE(Raw_Data!E$2:E$5002),Raw_Data!E4326)</f>
        <v>33461.70</v>
      </c>
      <c r="F4326" s="15" t="str">
        <f>IF(ISBLANK(Raw_Data!F4326),AVERAGE(Raw_Data!F$2:F$5002),Raw_Data!F4326)</f>
        <v>35215.11</v>
      </c>
      <c r="G4326" s="14" t="str">
        <f>IF(ISBLANK(Raw_Data!G4326),AVERAGE(Raw_Data!G$2:G$5002),Raw_Data!G4326)</f>
        <v>20365.10</v>
      </c>
      <c r="H4326" s="15" t="str">
        <f t="shared" si="1"/>
        <v>92969.00</v>
      </c>
      <c r="I4326" s="14" t="str">
        <f t="shared" si="2"/>
        <v>72604.00</v>
      </c>
      <c r="J4326" s="16" t="str">
        <f>TEXT(Raw_Data!J4326,"MMM-YYY")</f>
        <v>May-2025</v>
      </c>
      <c r="K4326" s="13" t="str">
        <f>Raw_Data!K4326</f>
        <v>10</v>
      </c>
      <c r="L4326" s="17" t="str">
        <f>Raw_Data!L4326</f>
        <v>Chennai-South</v>
      </c>
      <c r="M4326" s="13" t="str">
        <f t="shared" si="3"/>
        <v>OK</v>
      </c>
      <c r="N4326" s="18" t="str">
        <f t="shared" si="4"/>
        <v>VALID</v>
      </c>
    </row>
    <row r="4327" ht="15.75" customHeight="1">
      <c r="A4327" s="13" t="str">
        <f>Raw_Data!A4327</f>
        <v>EMP4564</v>
      </c>
      <c r="B4327" s="13" t="str">
        <f>TRIM(CLEAN(Raw_Data!B4327))</f>
        <v>Marketing</v>
      </c>
      <c r="C4327" s="18" t="s">
        <v>37</v>
      </c>
      <c r="D4327" s="14" t="str">
        <f>IF(ISBLANK(Raw_Data!D4327),AVERAGE(Raw_Data!D$2:D$5002),Raw_Data!D4327)</f>
        <v>35578.20</v>
      </c>
      <c r="E4327" s="15" t="str">
        <f>IF(ISBLANK(Raw_Data!E4327),AVERAGE(Raw_Data!E$2:E$5002),Raw_Data!E4327)</f>
        <v>5445.00</v>
      </c>
      <c r="F4327" s="15" t="str">
        <f>IF(ISBLANK(Raw_Data!F4327),AVERAGE(Raw_Data!F$2:F$5002),Raw_Data!F4327)</f>
        <v>35222.79</v>
      </c>
      <c r="G4327" s="14" t="str">
        <f>IF(ISBLANK(Raw_Data!G4327),AVERAGE(Raw_Data!G$2:G$5002),Raw_Data!G4327)</f>
        <v>11208.41</v>
      </c>
      <c r="H4327" s="15" t="str">
        <f t="shared" si="1"/>
        <v>76246.00</v>
      </c>
      <c r="I4327" s="14" t="str">
        <f t="shared" si="2"/>
        <v>65038.00</v>
      </c>
      <c r="J4327" s="16" t="str">
        <f>TEXT(Raw_Data!J4327,"MMM-YYY")</f>
        <v>May-2025</v>
      </c>
      <c r="K4327" s="13" t="str">
        <f>Raw_Data!K4327</f>
        <v>2</v>
      </c>
      <c r="L4327" s="17" t="str">
        <f>Raw_Data!L4327</f>
        <v>Kolkata-East</v>
      </c>
      <c r="M4327" s="13" t="str">
        <f t="shared" si="3"/>
        <v>OK</v>
      </c>
      <c r="N4327" s="18" t="str">
        <f t="shared" si="4"/>
        <v>VALID</v>
      </c>
    </row>
    <row r="4328" ht="15.75" customHeight="1">
      <c r="A4328" s="13" t="str">
        <f>Raw_Data!A4328</f>
        <v>EMP4565</v>
      </c>
      <c r="B4328" s="13" t="str">
        <f>TRIM(CLEAN(Raw_Data!B4328))</f>
        <v>Marketing</v>
      </c>
      <c r="C4328" s="18" t="s">
        <v>33</v>
      </c>
      <c r="D4328" s="14" t="str">
        <f>IF(ISBLANK(Raw_Data!D4328),AVERAGE(Raw_Data!D$2:D$5002),Raw_Data!D4328)</f>
        <v>19748.87</v>
      </c>
      <c r="E4328" s="15" t="str">
        <f>IF(ISBLANK(Raw_Data!E4328),AVERAGE(Raw_Data!E$2:E$5002),Raw_Data!E4328)</f>
        <v>36036.88</v>
      </c>
      <c r="F4328" s="15" t="str">
        <f>IF(ISBLANK(Raw_Data!F4328),AVERAGE(Raw_Data!F$2:F$5002),Raw_Data!F4328)</f>
        <v>35230.47</v>
      </c>
      <c r="G4328" s="14" t="str">
        <f>IF(ISBLANK(Raw_Data!G4328),AVERAGE(Raw_Data!G$2:G$5002),Raw_Data!G4328)</f>
        <v>3535.07</v>
      </c>
      <c r="H4328" s="15" t="str">
        <f t="shared" si="1"/>
        <v>91016.00</v>
      </c>
      <c r="I4328" s="14" t="str">
        <f t="shared" si="2"/>
        <v>87481.00</v>
      </c>
      <c r="J4328" s="16" t="str">
        <f>TEXT(Raw_Data!J4328,"MMM-YYY")</f>
        <v>Feb-2025</v>
      </c>
      <c r="K4328" s="13" t="str">
        <f>Raw_Data!K4328</f>
        <v>3</v>
      </c>
      <c r="L4328" s="17" t="str">
        <f>Raw_Data!L4328</f>
        <v>Pune-West</v>
      </c>
      <c r="M4328" s="13" t="str">
        <f t="shared" si="3"/>
        <v>OK</v>
      </c>
      <c r="N4328" s="18" t="str">
        <f t="shared" si="4"/>
        <v>VALID</v>
      </c>
    </row>
    <row r="4329" ht="15.75" customHeight="1">
      <c r="A4329" s="13" t="str">
        <f>Raw_Data!A4329</f>
        <v>EMP4566</v>
      </c>
      <c r="B4329" s="13" t="str">
        <f>TRIM(CLEAN(Raw_Data!B4329))</f>
        <v>Sales</v>
      </c>
      <c r="C4329" s="18" t="s">
        <v>54</v>
      </c>
      <c r="D4329" s="14" t="str">
        <f>IF(ISBLANK(Raw_Data!D4329),AVERAGE(Raw_Data!D$2:D$5002),Raw_Data!D4329)</f>
        <v>49159.68</v>
      </c>
      <c r="E4329" s="15" t="str">
        <f>IF(ISBLANK(Raw_Data!E4329),AVERAGE(Raw_Data!E$2:E$5002),Raw_Data!E4329)</f>
        <v>39710.66</v>
      </c>
      <c r="F4329" s="15" t="str">
        <f>IF(ISBLANK(Raw_Data!F4329),AVERAGE(Raw_Data!F$2:F$5002),Raw_Data!F4329)</f>
        <v>35238.15</v>
      </c>
      <c r="G4329" s="14" t="str">
        <f>IF(ISBLANK(Raw_Data!G4329),AVERAGE(Raw_Data!G$2:G$5002),Raw_Data!G4329)</f>
        <v>14328.83</v>
      </c>
      <c r="H4329" s="15" t="str">
        <f t="shared" si="1"/>
        <v>124108.00</v>
      </c>
      <c r="I4329" s="14" t="str">
        <f t="shared" si="2"/>
        <v>109779.00</v>
      </c>
      <c r="J4329" s="16" t="str">
        <f>TEXT(Raw_Data!J4329,"MMM-YYY")</f>
        <v>Jun-2025</v>
      </c>
      <c r="K4329" s="13" t="str">
        <f>Raw_Data!K4329</f>
        <v>23</v>
      </c>
      <c r="L4329" s="17" t="str">
        <f>Raw_Data!L4329</f>
        <v>Hyderabad-South</v>
      </c>
      <c r="M4329" s="13" t="str">
        <f t="shared" si="3"/>
        <v>OK</v>
      </c>
      <c r="N4329" s="18" t="str">
        <f t="shared" si="4"/>
        <v>VALID</v>
      </c>
    </row>
    <row r="4330" ht="15.75" customHeight="1">
      <c r="A4330" s="13" t="str">
        <f>Raw_Data!A4330</f>
        <v>EMP4567</v>
      </c>
      <c r="B4330" s="13" t="str">
        <f>TRIM(CLEAN(Raw_Data!B4330))</f>
        <v>IT</v>
      </c>
      <c r="C4330" s="18" t="s">
        <v>14</v>
      </c>
      <c r="D4330" s="14" t="str">
        <f>IF(ISBLANK(Raw_Data!D4330),AVERAGE(Raw_Data!D$2:D$5002),Raw_Data!D4330)</f>
        <v>55811.12</v>
      </c>
      <c r="E4330" s="15" t="str">
        <f>IF(ISBLANK(Raw_Data!E4330),AVERAGE(Raw_Data!E$2:E$5002),Raw_Data!E4330)</f>
        <v>14586.43</v>
      </c>
      <c r="F4330" s="15" t="str">
        <f>IF(ISBLANK(Raw_Data!F4330),AVERAGE(Raw_Data!F$2:F$5002),Raw_Data!F4330)</f>
        <v>35245.83</v>
      </c>
      <c r="G4330" s="14" t="str">
        <f>IF(ISBLANK(Raw_Data!G4330),AVERAGE(Raw_Data!G$2:G$5002),Raw_Data!G4330)</f>
        <v>23831.38</v>
      </c>
      <c r="H4330" s="15" t="str">
        <f t="shared" si="1"/>
        <v>105643.00</v>
      </c>
      <c r="I4330" s="14" t="str">
        <f t="shared" si="2"/>
        <v>81812.00</v>
      </c>
      <c r="J4330" s="16" t="str">
        <f>TEXT(Raw_Data!J4330,"MMM-YYY")</f>
        <v>Jan-2025</v>
      </c>
      <c r="K4330" s="13" t="str">
        <f>Raw_Data!K4330</f>
        <v>15</v>
      </c>
      <c r="L4330" s="17" t="str">
        <f>Raw_Data!L4330</f>
        <v>Chandigarh-North</v>
      </c>
      <c r="M4330" s="13" t="str">
        <f t="shared" si="3"/>
        <v>OK</v>
      </c>
      <c r="N4330" s="18" t="str">
        <f t="shared" si="4"/>
        <v>VALID</v>
      </c>
    </row>
    <row r="4331" ht="15.75" customHeight="1">
      <c r="A4331" s="13" t="str">
        <f>Raw_Data!A4331</f>
        <v>EMP4568</v>
      </c>
      <c r="B4331" s="13" t="str">
        <f>TRIM(CLEAN(Raw_Data!B4331))</f>
        <v>Operations</v>
      </c>
      <c r="C4331" s="18" t="s">
        <v>33</v>
      </c>
      <c r="D4331" s="14" t="str">
        <f>IF(ISBLANK(Raw_Data!D4331),AVERAGE(Raw_Data!D$2:D$5002),Raw_Data!D4331)</f>
        <v>43491.65</v>
      </c>
      <c r="E4331" s="15" t="str">
        <f>IF(ISBLANK(Raw_Data!E4331),AVERAGE(Raw_Data!E$2:E$5002),Raw_Data!E4331)</f>
        <v>11571.47</v>
      </c>
      <c r="F4331" s="15" t="str">
        <f>IF(ISBLANK(Raw_Data!F4331),AVERAGE(Raw_Data!F$2:F$5002),Raw_Data!F4331)</f>
        <v>35253.51</v>
      </c>
      <c r="G4331" s="14" t="str">
        <f>IF(ISBLANK(Raw_Data!G4331),AVERAGE(Raw_Data!G$2:G$5002),Raw_Data!G4331)</f>
        <v>19928.34</v>
      </c>
      <c r="H4331" s="15" t="str">
        <f t="shared" si="1"/>
        <v>90317.00</v>
      </c>
      <c r="I4331" s="14" t="str">
        <f t="shared" si="2"/>
        <v>70389.00</v>
      </c>
      <c r="J4331" s="16" t="str">
        <f>TEXT(Raw_Data!J4331,"MMM-YYY")</f>
        <v>Mar-2025</v>
      </c>
      <c r="K4331" s="13" t="str">
        <f>Raw_Data!K4331</f>
        <v>22</v>
      </c>
      <c r="L4331" s="17" t="str">
        <f>Raw_Data!L4331</f>
        <v>Ahmedabad-West</v>
      </c>
      <c r="M4331" s="13" t="str">
        <f t="shared" si="3"/>
        <v>OK</v>
      </c>
      <c r="N4331" s="18" t="str">
        <f t="shared" si="4"/>
        <v>VALID</v>
      </c>
    </row>
    <row r="4332" ht="15.75" customHeight="1">
      <c r="A4332" s="13" t="str">
        <f>Raw_Data!A4332</f>
        <v>EMP4569</v>
      </c>
      <c r="B4332" s="13" t="str">
        <f>TRIM(CLEAN(Raw_Data!B4332))</f>
        <v>HR</v>
      </c>
      <c r="C4332" s="18" t="s">
        <v>37</v>
      </c>
      <c r="D4332" s="14" t="str">
        <f>IF(ISBLANK(Raw_Data!D4332),AVERAGE(Raw_Data!D$2:D$5002),Raw_Data!D4332)</f>
        <v>102017.44</v>
      </c>
      <c r="E4332" s="15" t="str">
        <f>IF(ISBLANK(Raw_Data!E4332),AVERAGE(Raw_Data!E$2:E$5002),Raw_Data!E4332)</f>
        <v>31553.08</v>
      </c>
      <c r="F4332" s="15" t="str">
        <f>IF(ISBLANK(Raw_Data!F4332),AVERAGE(Raw_Data!F$2:F$5002),Raw_Data!F4332)</f>
        <v>35261.19</v>
      </c>
      <c r="G4332" s="14" t="str">
        <f>IF(ISBLANK(Raw_Data!G4332),AVERAGE(Raw_Data!G$2:G$5002),Raw_Data!G4332)</f>
        <v>14678.17</v>
      </c>
      <c r="H4332" s="15" t="str">
        <f t="shared" si="1"/>
        <v>168832.00</v>
      </c>
      <c r="I4332" s="14" t="str">
        <f t="shared" si="2"/>
        <v>154154.00</v>
      </c>
      <c r="J4332" s="16" t="str">
        <f>TEXT(Raw_Data!J4332,"MMM-YYY")</f>
        <v>Sep-2025</v>
      </c>
      <c r="K4332" s="13" t="str">
        <f>Raw_Data!K4332</f>
        <v>2</v>
      </c>
      <c r="L4332" s="17" t="str">
        <f>Raw_Data!L4332</f>
        <v>Jaipur-North</v>
      </c>
      <c r="M4332" s="13" t="str">
        <f t="shared" si="3"/>
        <v>OK</v>
      </c>
      <c r="N4332" s="18" t="str">
        <f t="shared" si="4"/>
        <v>VALID</v>
      </c>
    </row>
    <row r="4333" ht="15.75" customHeight="1">
      <c r="A4333" s="13" t="str">
        <f>Raw_Data!A4333</f>
        <v>EMP4570</v>
      </c>
      <c r="B4333" s="13" t="str">
        <f>TRIM(CLEAN(Raw_Data!B4333))</f>
        <v>IT</v>
      </c>
      <c r="C4333" s="18" t="s">
        <v>18</v>
      </c>
      <c r="D4333" s="14" t="str">
        <f>IF(ISBLANK(Raw_Data!D4333),AVERAGE(Raw_Data!D$2:D$5002),Raw_Data!D4333)</f>
        <v>52459.10</v>
      </c>
      <c r="E4333" s="15" t="str">
        <f>IF(ISBLANK(Raw_Data!E4333),AVERAGE(Raw_Data!E$2:E$5002),Raw_Data!E4333)</f>
        <v>13108.95</v>
      </c>
      <c r="F4333" s="15" t="str">
        <f>IF(ISBLANK(Raw_Data!F4333),AVERAGE(Raw_Data!F$2:F$5002),Raw_Data!F4333)</f>
        <v>35268.87</v>
      </c>
      <c r="G4333" s="14" t="str">
        <f>IF(ISBLANK(Raw_Data!G4333),AVERAGE(Raw_Data!G$2:G$5002),Raw_Data!G4333)</f>
        <v>16346.74</v>
      </c>
      <c r="H4333" s="15" t="str">
        <f t="shared" si="1"/>
        <v>100837.00</v>
      </c>
      <c r="I4333" s="14" t="str">
        <f t="shared" si="2"/>
        <v>84490.00</v>
      </c>
      <c r="J4333" s="16" t="str">
        <f>TEXT(Raw_Data!J4333,"MMM-YYY")</f>
        <v>Sep-2025</v>
      </c>
      <c r="K4333" s="13" t="str">
        <f>Raw_Data!K4333</f>
        <v>8</v>
      </c>
      <c r="L4333" s="17" t="str">
        <f>Raw_Data!L4333</f>
        <v>Mumbai-HO</v>
      </c>
      <c r="M4333" s="13" t="str">
        <f t="shared" si="3"/>
        <v>OK</v>
      </c>
      <c r="N4333" s="18" t="str">
        <f t="shared" si="4"/>
        <v>VALID</v>
      </c>
    </row>
    <row r="4334" ht="15.75" customHeight="1">
      <c r="A4334" s="13" t="str">
        <f>Raw_Data!A4334</f>
        <v>EMP4571</v>
      </c>
      <c r="B4334" s="13" t="str">
        <f>TRIM(CLEAN(Raw_Data!B4334))</f>
        <v>Finance</v>
      </c>
      <c r="C4334" s="18" t="s">
        <v>30</v>
      </c>
      <c r="D4334" s="14" t="str">
        <f>IF(ISBLANK(Raw_Data!D4334),AVERAGE(Raw_Data!D$2:D$5002),Raw_Data!D4334)</f>
        <v>44498.12</v>
      </c>
      <c r="E4334" s="15" t="str">
        <f>IF(ISBLANK(Raw_Data!E4334),AVERAGE(Raw_Data!E$2:E$5002),Raw_Data!E4334)</f>
        <v>35160.25</v>
      </c>
      <c r="F4334" s="15" t="str">
        <f>IF(ISBLANK(Raw_Data!F4334),AVERAGE(Raw_Data!F$2:F$5002),Raw_Data!F4334)</f>
        <v>35276.55</v>
      </c>
      <c r="G4334" s="14" t="str">
        <f>IF(ISBLANK(Raw_Data!G4334),AVERAGE(Raw_Data!G$2:G$5002),Raw_Data!G4334)</f>
        <v>23298.77</v>
      </c>
      <c r="H4334" s="15" t="str">
        <f t="shared" si="1"/>
        <v>114935.00</v>
      </c>
      <c r="I4334" s="14" t="str">
        <f t="shared" si="2"/>
        <v>91636.00</v>
      </c>
      <c r="J4334" s="16" t="str">
        <f>TEXT(Raw_Data!J4334,"MMM-YYY")</f>
        <v>Jan-2025</v>
      </c>
      <c r="K4334" s="13" t="str">
        <f>Raw_Data!K4334</f>
        <v>25</v>
      </c>
      <c r="L4334" s="17" t="str">
        <f>Raw_Data!L4334</f>
        <v>Delhi-North</v>
      </c>
      <c r="M4334" s="13" t="str">
        <f t="shared" si="3"/>
        <v>OK</v>
      </c>
      <c r="N4334" s="18" t="str">
        <f t="shared" si="4"/>
        <v>VALID</v>
      </c>
    </row>
    <row r="4335" ht="15.75" customHeight="1">
      <c r="A4335" s="13" t="str">
        <f>Raw_Data!A4335</f>
        <v>EMP4572</v>
      </c>
      <c r="B4335" s="13" t="str">
        <f>TRIM(CLEAN(Raw_Data!B4335))</f>
        <v>Sales</v>
      </c>
      <c r="C4335" s="18" t="s">
        <v>33</v>
      </c>
      <c r="D4335" s="14" t="str">
        <f>IF(ISBLANK(Raw_Data!D4335),AVERAGE(Raw_Data!D$2:D$5002),Raw_Data!D4335)</f>
        <v>71983.09</v>
      </c>
      <c r="E4335" s="15" t="str">
        <f>IF(ISBLANK(Raw_Data!E4335),AVERAGE(Raw_Data!E$2:E$5002),Raw_Data!E4335)</f>
        <v>7702.33</v>
      </c>
      <c r="F4335" s="15" t="str">
        <f>IF(ISBLANK(Raw_Data!F4335),AVERAGE(Raw_Data!F$2:F$5002),Raw_Data!F4335)</f>
        <v>35284.23</v>
      </c>
      <c r="G4335" s="14" t="str">
        <f>IF(ISBLANK(Raw_Data!G4335),AVERAGE(Raw_Data!G$2:G$5002),Raw_Data!G4335)</f>
        <v>10994.40</v>
      </c>
      <c r="H4335" s="15" t="str">
        <f t="shared" si="1"/>
        <v>114970.00</v>
      </c>
      <c r="I4335" s="14" t="str">
        <f t="shared" si="2"/>
        <v>103976.00</v>
      </c>
      <c r="J4335" s="16" t="str">
        <f>TEXT(Raw_Data!J4335,"MMM-YYY")</f>
        <v>Jun-2025</v>
      </c>
      <c r="K4335" s="13" t="str">
        <f>Raw_Data!K4335</f>
        <v>5</v>
      </c>
      <c r="L4335" s="17" t="str">
        <f>Raw_Data!L4335</f>
        <v>Bangalore-South</v>
      </c>
      <c r="M4335" s="13" t="str">
        <f t="shared" si="3"/>
        <v>OK</v>
      </c>
      <c r="N4335" s="18" t="str">
        <f t="shared" si="4"/>
        <v>VALID</v>
      </c>
    </row>
    <row r="4336" ht="15.75" customHeight="1">
      <c r="A4336" s="13" t="str">
        <f>Raw_Data!A4336</f>
        <v>EMP4573</v>
      </c>
      <c r="B4336" s="13" t="str">
        <f>TRIM(CLEAN(Raw_Data!B4336))</f>
        <v>Sales</v>
      </c>
      <c r="C4336" s="18" t="s">
        <v>37</v>
      </c>
      <c r="D4336" s="14" t="str">
        <f>IF(ISBLANK(Raw_Data!D4336),AVERAGE(Raw_Data!D$2:D$5002),Raw_Data!D4336)</f>
        <v>29797.04</v>
      </c>
      <c r="E4336" s="15" t="str">
        <f>IF(ISBLANK(Raw_Data!E4336),AVERAGE(Raw_Data!E$2:E$5002),Raw_Data!E4336)</f>
        <v>8534.39</v>
      </c>
      <c r="F4336" s="15" t="str">
        <f>IF(ISBLANK(Raw_Data!F4336),AVERAGE(Raw_Data!F$2:F$5002),Raw_Data!F4336)</f>
        <v>35291.91</v>
      </c>
      <c r="G4336" s="14" t="str">
        <f>IF(ISBLANK(Raw_Data!G4336),AVERAGE(Raw_Data!G$2:G$5002),Raw_Data!G4336)</f>
        <v>8619.16</v>
      </c>
      <c r="H4336" s="15" t="str">
        <f t="shared" si="1"/>
        <v>73623.00</v>
      </c>
      <c r="I4336" s="14" t="str">
        <f t="shared" si="2"/>
        <v>65004.00</v>
      </c>
      <c r="J4336" s="16" t="str">
        <f>TEXT(Raw_Data!J4336,"MMM-YYY")</f>
        <v>Jul-2025</v>
      </c>
      <c r="K4336" s="13" t="str">
        <f>Raw_Data!K4336</f>
        <v>6</v>
      </c>
      <c r="L4336" s="17" t="str">
        <f>Raw_Data!L4336</f>
        <v>Chennai-South</v>
      </c>
      <c r="M4336" s="13" t="str">
        <f t="shared" si="3"/>
        <v>OK</v>
      </c>
      <c r="N4336" s="18" t="str">
        <f t="shared" si="4"/>
        <v>VALID</v>
      </c>
    </row>
    <row r="4337" ht="15.75" customHeight="1">
      <c r="A4337" s="13" t="str">
        <f>Raw_Data!A4337</f>
        <v>EMP4574</v>
      </c>
      <c r="B4337" s="13" t="str">
        <f>TRIM(CLEAN(Raw_Data!B4337))</f>
        <v>HR</v>
      </c>
      <c r="C4337" s="18" t="s">
        <v>33</v>
      </c>
      <c r="D4337" s="14" t="str">
        <f>IF(ISBLANK(Raw_Data!D4337),AVERAGE(Raw_Data!D$2:D$5002),Raw_Data!D4337)</f>
        <v>99230.68</v>
      </c>
      <c r="E4337" s="15" t="str">
        <f>IF(ISBLANK(Raw_Data!E4337),AVERAGE(Raw_Data!E$2:E$5002),Raw_Data!E4337)</f>
        <v>39249.46</v>
      </c>
      <c r="F4337" s="15" t="str">
        <f>IF(ISBLANK(Raw_Data!F4337),AVERAGE(Raw_Data!F$2:F$5002),Raw_Data!F4337)</f>
        <v>35299.59</v>
      </c>
      <c r="G4337" s="14" t="str">
        <f>IF(ISBLANK(Raw_Data!G4337),AVERAGE(Raw_Data!G$2:G$5002),Raw_Data!G4337)</f>
        <v>24442.42</v>
      </c>
      <c r="H4337" s="15" t="str">
        <f t="shared" si="1"/>
        <v>173780.00</v>
      </c>
      <c r="I4337" s="14" t="str">
        <f t="shared" si="2"/>
        <v>149338.00</v>
      </c>
      <c r="J4337" s="16" t="str">
        <f>TEXT(Raw_Data!J4337,"MMM-YYY")</f>
        <v>Mar-2025</v>
      </c>
      <c r="K4337" s="13" t="str">
        <f>Raw_Data!K4337</f>
        <v>5</v>
      </c>
      <c r="L4337" s="17" t="str">
        <f>Raw_Data!L4337</f>
        <v>Kolkata-East</v>
      </c>
      <c r="M4337" s="13" t="str">
        <f t="shared" si="3"/>
        <v>OK</v>
      </c>
      <c r="N4337" s="18" t="str">
        <f t="shared" si="4"/>
        <v>VALID</v>
      </c>
    </row>
    <row r="4338" ht="15.75" customHeight="1">
      <c r="A4338" s="13" t="str">
        <f>Raw_Data!A4338</f>
        <v>EMP4575</v>
      </c>
      <c r="B4338" s="13" t="str">
        <f>TRIM(CLEAN(Raw_Data!B4338))</f>
        <v>Customer Support</v>
      </c>
      <c r="C4338" s="18" t="s">
        <v>14</v>
      </c>
      <c r="D4338" s="14" t="str">
        <f>IF(ISBLANK(Raw_Data!D4338),AVERAGE(Raw_Data!D$2:D$5002),Raw_Data!D4338)</f>
        <v>22827.82</v>
      </c>
      <c r="E4338" s="15" t="str">
        <f>IF(ISBLANK(Raw_Data!E4338),AVERAGE(Raw_Data!E$2:E$5002),Raw_Data!E4338)</f>
        <v>28258.20</v>
      </c>
      <c r="F4338" s="15" t="str">
        <f>IF(ISBLANK(Raw_Data!F4338),AVERAGE(Raw_Data!F$2:F$5002),Raw_Data!F4338)</f>
        <v>35307.27</v>
      </c>
      <c r="G4338" s="14" t="str">
        <f>IF(ISBLANK(Raw_Data!G4338),AVERAGE(Raw_Data!G$2:G$5002),Raw_Data!G4338)</f>
        <v>14562.73</v>
      </c>
      <c r="H4338" s="15" t="str">
        <f t="shared" si="1"/>
        <v>86393.00</v>
      </c>
      <c r="I4338" s="14" t="str">
        <f t="shared" si="2"/>
        <v>71830.00</v>
      </c>
      <c r="J4338" s="16" t="str">
        <f>TEXT(Raw_Data!J4338,"MMM-YYY")</f>
        <v>Jul-2025</v>
      </c>
      <c r="K4338" s="13" t="str">
        <f>Raw_Data!K4338</f>
        <v>17</v>
      </c>
      <c r="L4338" s="17" t="str">
        <f>Raw_Data!L4338</f>
        <v>Pune-West</v>
      </c>
      <c r="M4338" s="13" t="str">
        <f t="shared" si="3"/>
        <v>OK</v>
      </c>
      <c r="N4338" s="18" t="str">
        <f t="shared" si="4"/>
        <v>VALID</v>
      </c>
    </row>
    <row r="4339" ht="15.75" customHeight="1">
      <c r="A4339" s="13" t="str">
        <f>Raw_Data!A4339</f>
        <v>EMP4576</v>
      </c>
      <c r="B4339" s="13" t="str">
        <f>TRIM(CLEAN(Raw_Data!B4339))</f>
        <v>Finance</v>
      </c>
      <c r="C4339" s="18" t="s">
        <v>37</v>
      </c>
      <c r="D4339" s="14" t="str">
        <f>IF(ISBLANK(Raw_Data!D4339),AVERAGE(Raw_Data!D$2:D$5002),Raw_Data!D4339)</f>
        <v>118623.13</v>
      </c>
      <c r="E4339" s="15" t="str">
        <f>IF(ISBLANK(Raw_Data!E4339),AVERAGE(Raw_Data!E$2:E$5002),Raw_Data!E4339)</f>
        <v>34487.94</v>
      </c>
      <c r="F4339" s="15" t="str">
        <f>IF(ISBLANK(Raw_Data!F4339),AVERAGE(Raw_Data!F$2:F$5002),Raw_Data!F4339)</f>
        <v>35314.95</v>
      </c>
      <c r="G4339" s="14" t="str">
        <f>IF(ISBLANK(Raw_Data!G4339),AVERAGE(Raw_Data!G$2:G$5002),Raw_Data!G4339)</f>
        <v>8414.57</v>
      </c>
      <c r="H4339" s="15" t="str">
        <f t="shared" si="1"/>
        <v>188426.00</v>
      </c>
      <c r="I4339" s="14" t="str">
        <f t="shared" si="2"/>
        <v>180011.00</v>
      </c>
      <c r="J4339" s="16" t="str">
        <f>TEXT(Raw_Data!J4339,"MMM-YYY")</f>
        <v>Dec-2025</v>
      </c>
      <c r="K4339" s="13" t="str">
        <f>Raw_Data!K4339</f>
        <v>3</v>
      </c>
      <c r="L4339" s="17" t="str">
        <f>Raw_Data!L4339</f>
        <v>Hyderabad-South</v>
      </c>
      <c r="M4339" s="13" t="str">
        <f t="shared" si="3"/>
        <v>OK</v>
      </c>
      <c r="N4339" s="18" t="str">
        <f t="shared" si="4"/>
        <v>VALID</v>
      </c>
    </row>
    <row r="4340" ht="15.75" customHeight="1">
      <c r="A4340" s="13" t="str">
        <f>Raw_Data!A4340</f>
        <v>EMP4577</v>
      </c>
      <c r="B4340" s="13" t="str">
        <f>TRIM(CLEAN(Raw_Data!B4340))</f>
        <v>Finance</v>
      </c>
      <c r="C4340" s="18" t="s">
        <v>37</v>
      </c>
      <c r="D4340" s="14" t="str">
        <f>IF(ISBLANK(Raw_Data!D4340),AVERAGE(Raw_Data!D$2:D$5002),Raw_Data!D4340)</f>
        <v>96085.70</v>
      </c>
      <c r="E4340" s="15" t="str">
        <f>IF(ISBLANK(Raw_Data!E4340),AVERAGE(Raw_Data!E$2:E$5002),Raw_Data!E4340)</f>
        <v>15675.86</v>
      </c>
      <c r="F4340" s="15" t="str">
        <f>IF(ISBLANK(Raw_Data!F4340),AVERAGE(Raw_Data!F$2:F$5002),Raw_Data!F4340)</f>
        <v>35322.63</v>
      </c>
      <c r="G4340" s="14" t="str">
        <f>IF(ISBLANK(Raw_Data!G4340),AVERAGE(Raw_Data!G$2:G$5002),Raw_Data!G4340)</f>
        <v>11862.62</v>
      </c>
      <c r="H4340" s="15" t="str">
        <f t="shared" si="1"/>
        <v>147084.00</v>
      </c>
      <c r="I4340" s="14" t="str">
        <f t="shared" si="2"/>
        <v>135221.00</v>
      </c>
      <c r="J4340" s="16" t="str">
        <f>TEXT(Raw_Data!J4340,"MMM-YYY")</f>
        <v>Aug-2025</v>
      </c>
      <c r="K4340" s="13" t="str">
        <f>Raw_Data!K4340</f>
        <v>1</v>
      </c>
      <c r="L4340" s="17" t="str">
        <f>Raw_Data!L4340</f>
        <v>Chandigarh-North</v>
      </c>
      <c r="M4340" s="13" t="str">
        <f t="shared" si="3"/>
        <v>OK</v>
      </c>
      <c r="N4340" s="18" t="str">
        <f t="shared" si="4"/>
        <v>VALID</v>
      </c>
    </row>
    <row r="4341" ht="15.75" customHeight="1">
      <c r="A4341" s="13" t="str">
        <f>Raw_Data!A4341</f>
        <v>EMP4578</v>
      </c>
      <c r="B4341" s="13" t="str">
        <f>TRIM(CLEAN(Raw_Data!B4341))</f>
        <v>Sales</v>
      </c>
      <c r="C4341" s="18" t="s">
        <v>18</v>
      </c>
      <c r="D4341" s="14" t="str">
        <f>IF(ISBLANK(Raw_Data!D4341),AVERAGE(Raw_Data!D$2:D$5002),Raw_Data!D4341)</f>
        <v>35865.15</v>
      </c>
      <c r="E4341" s="15" t="str">
        <f>IF(ISBLANK(Raw_Data!E4341),AVERAGE(Raw_Data!E$2:E$5002),Raw_Data!E4341)</f>
        <v>28353.41</v>
      </c>
      <c r="F4341" s="15" t="str">
        <f>IF(ISBLANK(Raw_Data!F4341),AVERAGE(Raw_Data!F$2:F$5002),Raw_Data!F4341)</f>
        <v>35330.31</v>
      </c>
      <c r="G4341" s="14" t="str">
        <f>IF(ISBLANK(Raw_Data!G4341),AVERAGE(Raw_Data!G$2:G$5002),Raw_Data!G4341)</f>
        <v>10669.41</v>
      </c>
      <c r="H4341" s="15" t="str">
        <f t="shared" si="1"/>
        <v>99549.00</v>
      </c>
      <c r="I4341" s="14" t="str">
        <f t="shared" si="2"/>
        <v>88880.00</v>
      </c>
      <c r="J4341" s="16" t="str">
        <f>TEXT(Raw_Data!J4341,"MMM-YYY")</f>
        <v>Nov-2025</v>
      </c>
      <c r="K4341" s="13" t="str">
        <f>Raw_Data!K4341</f>
        <v>5</v>
      </c>
      <c r="L4341" s="17" t="str">
        <f>Raw_Data!L4341</f>
        <v>Ahmedabad-West</v>
      </c>
      <c r="M4341" s="13" t="str">
        <f t="shared" si="3"/>
        <v>OK</v>
      </c>
      <c r="N4341" s="18" t="str">
        <f t="shared" si="4"/>
        <v>VALID</v>
      </c>
    </row>
    <row r="4342" ht="15.75" customHeight="1">
      <c r="A4342" s="13" t="str">
        <f>Raw_Data!A4342</f>
        <v>EMP4579</v>
      </c>
      <c r="B4342" s="13" t="str">
        <f>TRIM(CLEAN(Raw_Data!B4342))</f>
        <v>Operations</v>
      </c>
      <c r="C4342" s="18" t="s">
        <v>30</v>
      </c>
      <c r="D4342" s="14" t="str">
        <f>IF(ISBLANK(Raw_Data!D4342),AVERAGE(Raw_Data!D$2:D$5002),Raw_Data!D4342)</f>
        <v>15579.82</v>
      </c>
      <c r="E4342" s="15" t="str">
        <f>IF(ISBLANK(Raw_Data!E4342),AVERAGE(Raw_Data!E$2:E$5002),Raw_Data!E4342)</f>
        <v>25392.71</v>
      </c>
      <c r="F4342" s="15" t="str">
        <f>IF(ISBLANK(Raw_Data!F4342),AVERAGE(Raw_Data!F$2:F$5002),Raw_Data!F4342)</f>
        <v>35337.99</v>
      </c>
      <c r="G4342" s="14" t="str">
        <f>IF(ISBLANK(Raw_Data!G4342),AVERAGE(Raw_Data!G$2:G$5002),Raw_Data!G4342)</f>
        <v>4152.84</v>
      </c>
      <c r="H4342" s="15" t="str">
        <f t="shared" si="1"/>
        <v>76311.00</v>
      </c>
      <c r="I4342" s="14" t="str">
        <f t="shared" si="2"/>
        <v>72158.00</v>
      </c>
      <c r="J4342" s="16" t="str">
        <f>TEXT(Raw_Data!J4342,"MMM-YYY")</f>
        <v>May-2025</v>
      </c>
      <c r="K4342" s="13" t="str">
        <f>Raw_Data!K4342</f>
        <v>3</v>
      </c>
      <c r="L4342" s="17" t="str">
        <f>Raw_Data!L4342</f>
        <v>Jaipur-North</v>
      </c>
      <c r="M4342" s="13" t="str">
        <f t="shared" si="3"/>
        <v>OK</v>
      </c>
      <c r="N4342" s="18" t="str">
        <f t="shared" si="4"/>
        <v>VALID</v>
      </c>
    </row>
    <row r="4343" ht="15.75" customHeight="1">
      <c r="A4343" s="13" t="str">
        <f>Raw_Data!A4343</f>
        <v>EMP4580</v>
      </c>
      <c r="B4343" s="13" t="str">
        <f>TRIM(CLEAN(Raw_Data!B4343))</f>
        <v>Sales</v>
      </c>
      <c r="C4343" s="18" t="s">
        <v>37</v>
      </c>
      <c r="D4343" s="14" t="str">
        <f>IF(ISBLANK(Raw_Data!D4343),AVERAGE(Raw_Data!D$2:D$5002),Raw_Data!D4343)</f>
        <v>100623.45</v>
      </c>
      <c r="E4343" s="15" t="str">
        <f>IF(ISBLANK(Raw_Data!E4343),AVERAGE(Raw_Data!E$2:E$5002),Raw_Data!E4343)</f>
        <v>25713.40</v>
      </c>
      <c r="F4343" s="15" t="str">
        <f>IF(ISBLANK(Raw_Data!F4343),AVERAGE(Raw_Data!F$2:F$5002),Raw_Data!F4343)</f>
        <v>35345.67</v>
      </c>
      <c r="G4343" s="14" t="str">
        <f>IF(ISBLANK(Raw_Data!G4343),AVERAGE(Raw_Data!G$2:G$5002),Raw_Data!G4343)</f>
        <v>23966.57</v>
      </c>
      <c r="H4343" s="15" t="str">
        <f t="shared" si="1"/>
        <v>161683.00</v>
      </c>
      <c r="I4343" s="14" t="str">
        <f t="shared" si="2"/>
        <v>137716.00</v>
      </c>
      <c r="J4343" s="16" t="str">
        <f>TEXT(Raw_Data!J4343,"MMM-YYY")</f>
        <v>Jun-2025</v>
      </c>
      <c r="K4343" s="13" t="str">
        <f>Raw_Data!K4343</f>
        <v>12</v>
      </c>
      <c r="L4343" s="17" t="str">
        <f>Raw_Data!L4343</f>
        <v>Mumbai-HO</v>
      </c>
      <c r="M4343" s="13" t="str">
        <f t="shared" si="3"/>
        <v>OK</v>
      </c>
      <c r="N4343" s="18" t="str">
        <f t="shared" si="4"/>
        <v>VALID</v>
      </c>
    </row>
    <row r="4344" ht="15.75" customHeight="1">
      <c r="A4344" s="13" t="str">
        <f>Raw_Data!A4344</f>
        <v>EMP4581</v>
      </c>
      <c r="B4344" s="13" t="str">
        <f>TRIM(CLEAN(Raw_Data!B4344))</f>
        <v>HR</v>
      </c>
      <c r="C4344" s="18" t="s">
        <v>14</v>
      </c>
      <c r="D4344" s="14" t="str">
        <f>IF(ISBLANK(Raw_Data!D4344),AVERAGE(Raw_Data!D$2:D$5002),Raw_Data!D4344)</f>
        <v>89220.02</v>
      </c>
      <c r="E4344" s="15" t="str">
        <f>IF(ISBLANK(Raw_Data!E4344),AVERAGE(Raw_Data!E$2:E$5002),Raw_Data!E4344)</f>
        <v>28571.17</v>
      </c>
      <c r="F4344" s="15" t="str">
        <f>IF(ISBLANK(Raw_Data!F4344),AVERAGE(Raw_Data!F$2:F$5002),Raw_Data!F4344)</f>
        <v>35353.35</v>
      </c>
      <c r="G4344" s="14" t="str">
        <f>IF(ISBLANK(Raw_Data!G4344),AVERAGE(Raw_Data!G$2:G$5002),Raw_Data!G4344)</f>
        <v>10405.65</v>
      </c>
      <c r="H4344" s="15" t="str">
        <f t="shared" si="1"/>
        <v>153145.00</v>
      </c>
      <c r="I4344" s="14" t="str">
        <f t="shared" si="2"/>
        <v>142739.00</v>
      </c>
      <c r="J4344" s="16" t="str">
        <f>TEXT(Raw_Data!J4344,"MMM-YYY")</f>
        <v>May-2025</v>
      </c>
      <c r="K4344" s="13" t="str">
        <f>Raw_Data!K4344</f>
        <v>15</v>
      </c>
      <c r="L4344" s="17" t="str">
        <f>Raw_Data!L4344</f>
        <v>Delhi-North</v>
      </c>
      <c r="M4344" s="13" t="str">
        <f t="shared" si="3"/>
        <v>OK</v>
      </c>
      <c r="N4344" s="18" t="str">
        <f t="shared" si="4"/>
        <v>VALID</v>
      </c>
    </row>
    <row r="4345" ht="15.75" customHeight="1">
      <c r="A4345" s="13" t="str">
        <f>Raw_Data!A4345</f>
        <v>EMP4582</v>
      </c>
      <c r="B4345" s="13" t="str">
        <f>TRIM(CLEAN(Raw_Data!B4345))</f>
        <v>Operations</v>
      </c>
      <c r="C4345" s="18" t="s">
        <v>37</v>
      </c>
      <c r="D4345" s="14" t="str">
        <f>IF(ISBLANK(Raw_Data!D4345),AVERAGE(Raw_Data!D$2:D$5002),Raw_Data!D4345)</f>
        <v>91545.75</v>
      </c>
      <c r="E4345" s="15" t="str">
        <f>IF(ISBLANK(Raw_Data!E4345),AVERAGE(Raw_Data!E$2:E$5002),Raw_Data!E4345)</f>
        <v>24712.93</v>
      </c>
      <c r="F4345" s="15" t="str">
        <f>IF(ISBLANK(Raw_Data!F4345),AVERAGE(Raw_Data!F$2:F$5002),Raw_Data!F4345)</f>
        <v>35361.03</v>
      </c>
      <c r="G4345" s="14" t="str">
        <f>IF(ISBLANK(Raw_Data!G4345),AVERAGE(Raw_Data!G$2:G$5002),Raw_Data!G4345)</f>
        <v>21945.56</v>
      </c>
      <c r="H4345" s="15" t="str">
        <f t="shared" si="1"/>
        <v>151620.00</v>
      </c>
      <c r="I4345" s="14" t="str">
        <f t="shared" si="2"/>
        <v>129674.00</v>
      </c>
      <c r="J4345" s="16" t="str">
        <f>TEXT(Raw_Data!J4345,"MMM-YYY")</f>
        <v>Jul-2025</v>
      </c>
      <c r="K4345" s="13" t="str">
        <f>Raw_Data!K4345</f>
        <v>18</v>
      </c>
      <c r="L4345" s="17" t="str">
        <f>Raw_Data!L4345</f>
        <v>Bangalore-South</v>
      </c>
      <c r="M4345" s="13" t="str">
        <f t="shared" si="3"/>
        <v>OK</v>
      </c>
      <c r="N4345" s="18" t="str">
        <f t="shared" si="4"/>
        <v>VALID</v>
      </c>
    </row>
    <row r="4346" ht="15.75" customHeight="1">
      <c r="A4346" s="13" t="str">
        <f>Raw_Data!A4346</f>
        <v>EMP4583</v>
      </c>
      <c r="B4346" s="13" t="str">
        <f>TRIM(CLEAN(Raw_Data!B4346))</f>
        <v>Operations</v>
      </c>
      <c r="C4346" s="18" t="s">
        <v>37</v>
      </c>
      <c r="D4346" s="14" t="str">
        <f>IF(ISBLANK(Raw_Data!D4346),AVERAGE(Raw_Data!D$2:D$5002),Raw_Data!D4346)</f>
        <v>95983.39</v>
      </c>
      <c r="E4346" s="15" t="str">
        <f>IF(ISBLANK(Raw_Data!E4346),AVERAGE(Raw_Data!E$2:E$5002),Raw_Data!E4346)</f>
        <v>19446.25</v>
      </c>
      <c r="F4346" s="15" t="str">
        <f>IF(ISBLANK(Raw_Data!F4346),AVERAGE(Raw_Data!F$2:F$5002),Raw_Data!F4346)</f>
        <v>35368.71</v>
      </c>
      <c r="G4346" s="14" t="str">
        <f>IF(ISBLANK(Raw_Data!G4346),AVERAGE(Raw_Data!G$2:G$5002),Raw_Data!G4346)</f>
        <v>5139.23</v>
      </c>
      <c r="H4346" s="15" t="str">
        <f t="shared" si="1"/>
        <v>150798.00</v>
      </c>
      <c r="I4346" s="14" t="str">
        <f t="shared" si="2"/>
        <v>145659.00</v>
      </c>
      <c r="J4346" s="16" t="str">
        <f>TEXT(Raw_Data!J4346,"MMM-YYY")</f>
        <v>Jan-2025</v>
      </c>
      <c r="K4346" s="13" t="str">
        <f>Raw_Data!K4346</f>
        <v>8</v>
      </c>
      <c r="L4346" s="17" t="str">
        <f>Raw_Data!L4346</f>
        <v>Chennai-South</v>
      </c>
      <c r="M4346" s="13" t="str">
        <f t="shared" si="3"/>
        <v>OK</v>
      </c>
      <c r="N4346" s="18" t="str">
        <f t="shared" si="4"/>
        <v>VALID</v>
      </c>
    </row>
    <row r="4347" ht="15.75" customHeight="1">
      <c r="A4347" s="13" t="str">
        <f>Raw_Data!A4347</f>
        <v>EMP4584</v>
      </c>
      <c r="B4347" s="13" t="str">
        <f>TRIM(CLEAN(Raw_Data!B4347))</f>
        <v>Customer Support</v>
      </c>
      <c r="C4347" s="18" t="s">
        <v>54</v>
      </c>
      <c r="D4347" s="14" t="str">
        <f>IF(ISBLANK(Raw_Data!D4347),AVERAGE(Raw_Data!D$2:D$5002),Raw_Data!D4347)</f>
        <v>22774.69</v>
      </c>
      <c r="E4347" s="15" t="str">
        <f>IF(ISBLANK(Raw_Data!E4347),AVERAGE(Raw_Data!E$2:E$5002),Raw_Data!E4347)</f>
        <v>13933.22</v>
      </c>
      <c r="F4347" s="15" t="str">
        <f>IF(ISBLANK(Raw_Data!F4347),AVERAGE(Raw_Data!F$2:F$5002),Raw_Data!F4347)</f>
        <v>35376.39</v>
      </c>
      <c r="G4347" s="14" t="str">
        <f>IF(ISBLANK(Raw_Data!G4347),AVERAGE(Raw_Data!G$2:G$5002),Raw_Data!G4347)</f>
        <v>13922.83</v>
      </c>
      <c r="H4347" s="15" t="str">
        <f t="shared" si="1"/>
        <v>72084.00</v>
      </c>
      <c r="I4347" s="14" t="str">
        <f t="shared" si="2"/>
        <v>58161.00</v>
      </c>
      <c r="J4347" s="16" t="str">
        <f>TEXT(Raw_Data!J4347,"MMM-YYY")</f>
        <v>Dec-2025</v>
      </c>
      <c r="K4347" s="13" t="str">
        <f>Raw_Data!K4347</f>
        <v>11</v>
      </c>
      <c r="L4347" s="17" t="str">
        <f>Raw_Data!L4347</f>
        <v>Kolkata-East</v>
      </c>
      <c r="M4347" s="13" t="str">
        <f t="shared" si="3"/>
        <v>OK</v>
      </c>
      <c r="N4347" s="18" t="str">
        <f t="shared" si="4"/>
        <v>VALID</v>
      </c>
    </row>
    <row r="4348" ht="15.75" customHeight="1">
      <c r="A4348" s="13" t="str">
        <f>Raw_Data!A4348</f>
        <v>EMP4585</v>
      </c>
      <c r="B4348" s="13" t="str">
        <f>TRIM(CLEAN(Raw_Data!B4348))</f>
        <v>HR</v>
      </c>
      <c r="C4348" s="18" t="s">
        <v>30</v>
      </c>
      <c r="D4348" s="14" t="str">
        <f>IF(ISBLANK(Raw_Data!D4348),AVERAGE(Raw_Data!D$2:D$5002),Raw_Data!D4348)</f>
        <v>52638.90</v>
      </c>
      <c r="E4348" s="15" t="str">
        <f>IF(ISBLANK(Raw_Data!E4348),AVERAGE(Raw_Data!E$2:E$5002),Raw_Data!E4348)</f>
        <v>31668.93</v>
      </c>
      <c r="F4348" s="15" t="str">
        <f>IF(ISBLANK(Raw_Data!F4348),AVERAGE(Raw_Data!F$2:F$5002),Raw_Data!F4348)</f>
        <v>35384.07</v>
      </c>
      <c r="G4348" s="14" t="str">
        <f>IF(ISBLANK(Raw_Data!G4348),AVERAGE(Raw_Data!G$2:G$5002),Raw_Data!G4348)</f>
        <v>1087.05</v>
      </c>
      <c r="H4348" s="15" t="str">
        <f t="shared" si="1"/>
        <v>119692.00</v>
      </c>
      <c r="I4348" s="14" t="str">
        <f t="shared" si="2"/>
        <v>118605.00</v>
      </c>
      <c r="J4348" s="16" t="str">
        <f>TEXT(Raw_Data!J4348,"MMM-YYY")</f>
        <v>Nov-2025</v>
      </c>
      <c r="K4348" s="13" t="str">
        <f>Raw_Data!K4348</f>
        <v>17</v>
      </c>
      <c r="L4348" s="17" t="str">
        <f>Raw_Data!L4348</f>
        <v>Pune-West</v>
      </c>
      <c r="M4348" s="13" t="str">
        <f t="shared" si="3"/>
        <v>OK</v>
      </c>
      <c r="N4348" s="18" t="str">
        <f t="shared" si="4"/>
        <v>VALID</v>
      </c>
    </row>
    <row r="4349" ht="15.75" customHeight="1">
      <c r="A4349" s="13" t="str">
        <f>Raw_Data!A4349</f>
        <v>EMP4586</v>
      </c>
      <c r="B4349" s="13" t="str">
        <f>TRIM(CLEAN(Raw_Data!B4349))</f>
        <v>Customer Support</v>
      </c>
      <c r="C4349" s="18" t="s">
        <v>14</v>
      </c>
      <c r="D4349" s="14" t="str">
        <f>IF(ISBLANK(Raw_Data!D4349),AVERAGE(Raw_Data!D$2:D$5002),Raw_Data!D4349)</f>
        <v>27166.25</v>
      </c>
      <c r="E4349" s="15" t="str">
        <f>IF(ISBLANK(Raw_Data!E4349),AVERAGE(Raw_Data!E$2:E$5002),Raw_Data!E4349)</f>
        <v>12145.81</v>
      </c>
      <c r="F4349" s="15" t="str">
        <f>IF(ISBLANK(Raw_Data!F4349),AVERAGE(Raw_Data!F$2:F$5002),Raw_Data!F4349)</f>
        <v>35391.75</v>
      </c>
      <c r="G4349" s="14" t="str">
        <f>IF(ISBLANK(Raw_Data!G4349),AVERAGE(Raw_Data!G$2:G$5002),Raw_Data!G4349)</f>
        <v>19223.40</v>
      </c>
      <c r="H4349" s="15" t="str">
        <f t="shared" si="1"/>
        <v>74704.00</v>
      </c>
      <c r="I4349" s="14" t="str">
        <f t="shared" si="2"/>
        <v>55481.00</v>
      </c>
      <c r="J4349" s="16" t="str">
        <f>TEXT(Raw_Data!J4349,"MMM-YYY")</f>
        <v>May-2025</v>
      </c>
      <c r="K4349" s="13" t="str">
        <f>Raw_Data!K4349</f>
        <v>22</v>
      </c>
      <c r="L4349" s="17" t="str">
        <f>Raw_Data!L4349</f>
        <v>Hyderabad-South</v>
      </c>
      <c r="M4349" s="13" t="str">
        <f t="shared" si="3"/>
        <v>OK</v>
      </c>
      <c r="N4349" s="18" t="str">
        <f t="shared" si="4"/>
        <v>VALID</v>
      </c>
    </row>
    <row r="4350" ht="15.75" customHeight="1">
      <c r="A4350" s="13" t="str">
        <f>Raw_Data!A4350</f>
        <v>EMP4587</v>
      </c>
      <c r="B4350" s="13" t="str">
        <f>TRIM(CLEAN(Raw_Data!B4350))</f>
        <v>Operations</v>
      </c>
      <c r="C4350" s="18" t="s">
        <v>54</v>
      </c>
      <c r="D4350" s="14" t="str">
        <f>IF(ISBLANK(Raw_Data!D4350),AVERAGE(Raw_Data!D$2:D$5002),Raw_Data!D4350)</f>
        <v>105625.86</v>
      </c>
      <c r="E4350" s="15" t="str">
        <f>IF(ISBLANK(Raw_Data!E4350),AVERAGE(Raw_Data!E$2:E$5002),Raw_Data!E4350)</f>
        <v>28924.76</v>
      </c>
      <c r="F4350" s="15" t="str">
        <f>IF(ISBLANK(Raw_Data!F4350),AVERAGE(Raw_Data!F$2:F$5002),Raw_Data!F4350)</f>
        <v>35399.43</v>
      </c>
      <c r="G4350" s="14" t="str">
        <f>IF(ISBLANK(Raw_Data!G4350),AVERAGE(Raw_Data!G$2:G$5002),Raw_Data!G4350)</f>
        <v>14732.39</v>
      </c>
      <c r="H4350" s="15" t="str">
        <f t="shared" si="1"/>
        <v>169950.00</v>
      </c>
      <c r="I4350" s="14" t="str">
        <f t="shared" si="2"/>
        <v>155218.00</v>
      </c>
      <c r="J4350" s="16" t="str">
        <f>TEXT(Raw_Data!J4350,"MMM-YYY")</f>
        <v>Sep-2025</v>
      </c>
      <c r="K4350" s="13" t="str">
        <f>Raw_Data!K4350</f>
        <v>25</v>
      </c>
      <c r="L4350" s="17" t="str">
        <f>Raw_Data!L4350</f>
        <v>Chandigarh-North</v>
      </c>
      <c r="M4350" s="13" t="str">
        <f t="shared" si="3"/>
        <v>OK</v>
      </c>
      <c r="N4350" s="18" t="str">
        <f t="shared" si="4"/>
        <v>VALID</v>
      </c>
    </row>
    <row r="4351" ht="15.75" customHeight="1">
      <c r="A4351" s="13" t="str">
        <f>Raw_Data!A4351</f>
        <v>EMP4588</v>
      </c>
      <c r="B4351" s="13" t="str">
        <f>TRIM(CLEAN(Raw_Data!B4351))</f>
        <v>Marketing</v>
      </c>
      <c r="C4351" s="18" t="s">
        <v>33</v>
      </c>
      <c r="D4351" s="14" t="str">
        <f>IF(ISBLANK(Raw_Data!D4351),AVERAGE(Raw_Data!D$2:D$5002),Raw_Data!D4351)</f>
        <v>80446.30</v>
      </c>
      <c r="E4351" s="15" t="str">
        <f>IF(ISBLANK(Raw_Data!E4351),AVERAGE(Raw_Data!E$2:E$5002),Raw_Data!E4351)</f>
        <v>12399.98</v>
      </c>
      <c r="F4351" s="15" t="str">
        <f>IF(ISBLANK(Raw_Data!F4351),AVERAGE(Raw_Data!F$2:F$5002),Raw_Data!F4351)</f>
        <v>35407.11</v>
      </c>
      <c r="G4351" s="14" t="str">
        <f>IF(ISBLANK(Raw_Data!G4351),AVERAGE(Raw_Data!G$2:G$5002),Raw_Data!G4351)</f>
        <v>15826.94</v>
      </c>
      <c r="H4351" s="15" t="str">
        <f t="shared" si="1"/>
        <v>128253.00</v>
      </c>
      <c r="I4351" s="14" t="str">
        <f t="shared" si="2"/>
        <v>112426.00</v>
      </c>
      <c r="J4351" s="16" t="str">
        <f>TEXT(Raw_Data!J4351,"MMM-YYY")</f>
        <v>Mar-2025</v>
      </c>
      <c r="K4351" s="13" t="str">
        <f>Raw_Data!K4351</f>
        <v>17</v>
      </c>
      <c r="L4351" s="17" t="str">
        <f>Raw_Data!L4351</f>
        <v>Ahmedabad-West</v>
      </c>
      <c r="M4351" s="13" t="str">
        <f t="shared" si="3"/>
        <v>OK</v>
      </c>
      <c r="N4351" s="18" t="str">
        <f t="shared" si="4"/>
        <v>VALID</v>
      </c>
    </row>
    <row r="4352" ht="15.75" customHeight="1">
      <c r="A4352" s="13" t="str">
        <f>Raw_Data!A4352</f>
        <v>EMP4589</v>
      </c>
      <c r="B4352" s="13" t="str">
        <f>TRIM(CLEAN(Raw_Data!B4352))</f>
        <v>Customer Support</v>
      </c>
      <c r="C4352" s="18" t="s">
        <v>26</v>
      </c>
      <c r="D4352" s="14" t="str">
        <f>IF(ISBLANK(Raw_Data!D4352),AVERAGE(Raw_Data!D$2:D$5002),Raw_Data!D4352)</f>
        <v>49744.29</v>
      </c>
      <c r="E4352" s="15" t="str">
        <f>IF(ISBLANK(Raw_Data!E4352),AVERAGE(Raw_Data!E$2:E$5002),Raw_Data!E4352)</f>
        <v>26511.89</v>
      </c>
      <c r="F4352" s="15" t="str">
        <f>IF(ISBLANK(Raw_Data!F4352),AVERAGE(Raw_Data!F$2:F$5002),Raw_Data!F4352)</f>
        <v>35414.79</v>
      </c>
      <c r="G4352" s="14" t="str">
        <f>IF(ISBLANK(Raw_Data!G4352),AVERAGE(Raw_Data!G$2:G$5002),Raw_Data!G4352)</f>
        <v>1767.16</v>
      </c>
      <c r="H4352" s="15" t="str">
        <f t="shared" si="1"/>
        <v>111671.00</v>
      </c>
      <c r="I4352" s="14" t="str">
        <f t="shared" si="2"/>
        <v>109904.00</v>
      </c>
      <c r="J4352" s="16" t="str">
        <f>TEXT(Raw_Data!J4352,"MMM-YYY")</f>
        <v>May-2025</v>
      </c>
      <c r="K4352" s="13" t="str">
        <f>Raw_Data!K4352</f>
        <v>22</v>
      </c>
      <c r="L4352" s="17" t="str">
        <f>Raw_Data!L4352</f>
        <v>Jaipur-North</v>
      </c>
      <c r="M4352" s="13" t="str">
        <f t="shared" si="3"/>
        <v>OK</v>
      </c>
      <c r="N4352" s="18" t="str">
        <f t="shared" si="4"/>
        <v>VALID</v>
      </c>
    </row>
    <row r="4353" ht="15.75" customHeight="1">
      <c r="A4353" s="13" t="str">
        <f>Raw_Data!A4353</f>
        <v>EMP4590</v>
      </c>
      <c r="B4353" s="13" t="str">
        <f>TRIM(CLEAN(Raw_Data!B4353))</f>
        <v>Sales</v>
      </c>
      <c r="C4353" s="18" t="s">
        <v>30</v>
      </c>
      <c r="D4353" s="14" t="str">
        <f>IF(ISBLANK(Raw_Data!D4353),AVERAGE(Raw_Data!D$2:D$5002),Raw_Data!D4353)</f>
        <v>21673.63</v>
      </c>
      <c r="E4353" s="15" t="str">
        <f>IF(ISBLANK(Raw_Data!E4353),AVERAGE(Raw_Data!E$2:E$5002),Raw_Data!E4353)</f>
        <v>30894.82</v>
      </c>
      <c r="F4353" s="15" t="str">
        <f>IF(ISBLANK(Raw_Data!F4353),AVERAGE(Raw_Data!F$2:F$5002),Raw_Data!F4353)</f>
        <v>35422.47</v>
      </c>
      <c r="G4353" s="14" t="str">
        <f>IF(ISBLANK(Raw_Data!G4353),AVERAGE(Raw_Data!G$2:G$5002),Raw_Data!G4353)</f>
        <v>5670.44</v>
      </c>
      <c r="H4353" s="15" t="str">
        <f t="shared" si="1"/>
        <v>87991.00</v>
      </c>
      <c r="I4353" s="14" t="str">
        <f t="shared" si="2"/>
        <v>82321.00</v>
      </c>
      <c r="J4353" s="16" t="str">
        <f>TEXT(Raw_Data!J4353,"MMM-YYY")</f>
        <v>Aug-2025</v>
      </c>
      <c r="K4353" s="13" t="str">
        <f>Raw_Data!K4353</f>
        <v>4</v>
      </c>
      <c r="L4353" s="17" t="str">
        <f>Raw_Data!L4353</f>
        <v>Mumbai-HO</v>
      </c>
      <c r="M4353" s="13" t="str">
        <f t="shared" si="3"/>
        <v>OK</v>
      </c>
      <c r="N4353" s="18" t="str">
        <f t="shared" si="4"/>
        <v>VALID</v>
      </c>
    </row>
    <row r="4354" ht="15.75" customHeight="1">
      <c r="A4354" s="13" t="str">
        <f>Raw_Data!A4354</f>
        <v>EMP4591</v>
      </c>
      <c r="B4354" s="13" t="str">
        <f>TRIM(CLEAN(Raw_Data!B4354))</f>
        <v>HR</v>
      </c>
      <c r="C4354" s="18" t="s">
        <v>33</v>
      </c>
      <c r="D4354" s="14" t="str">
        <f>IF(ISBLANK(Raw_Data!D4354),AVERAGE(Raw_Data!D$2:D$5002),Raw_Data!D4354)</f>
        <v>47653.14</v>
      </c>
      <c r="E4354" s="15" t="str">
        <f>IF(ISBLANK(Raw_Data!E4354),AVERAGE(Raw_Data!E$2:E$5002),Raw_Data!E4354)</f>
        <v>11873.70</v>
      </c>
      <c r="F4354" s="15" t="str">
        <f>IF(ISBLANK(Raw_Data!F4354),AVERAGE(Raw_Data!F$2:F$5002),Raw_Data!F4354)</f>
        <v>35430.15</v>
      </c>
      <c r="G4354" s="14" t="str">
        <f>IF(ISBLANK(Raw_Data!G4354),AVERAGE(Raw_Data!G$2:G$5002),Raw_Data!G4354)</f>
        <v>2321.11</v>
      </c>
      <c r="H4354" s="15" t="str">
        <f t="shared" si="1"/>
        <v>94957.00</v>
      </c>
      <c r="I4354" s="14" t="str">
        <f t="shared" si="2"/>
        <v>92636.00</v>
      </c>
      <c r="J4354" s="16" t="str">
        <f>TEXT(Raw_Data!J4354,"MMM-YYY")</f>
        <v>Dec-2025</v>
      </c>
      <c r="K4354" s="13" t="str">
        <f>Raw_Data!K4354</f>
        <v>24</v>
      </c>
      <c r="L4354" s="17" t="str">
        <f>Raw_Data!L4354</f>
        <v>Delhi-North</v>
      </c>
      <c r="M4354" s="13" t="str">
        <f t="shared" si="3"/>
        <v>OK</v>
      </c>
      <c r="N4354" s="18" t="str">
        <f t="shared" si="4"/>
        <v>VALID</v>
      </c>
    </row>
    <row r="4355" ht="15.75" customHeight="1">
      <c r="A4355" s="13" t="str">
        <f>Raw_Data!A4355</f>
        <v>EMP4592</v>
      </c>
      <c r="B4355" s="13" t="str">
        <f>TRIM(CLEAN(Raw_Data!B4355))</f>
        <v>Finance</v>
      </c>
      <c r="C4355" s="18" t="s">
        <v>26</v>
      </c>
      <c r="D4355" s="14" t="str">
        <f>IF(ISBLANK(Raw_Data!D4355),AVERAGE(Raw_Data!D$2:D$5002),Raw_Data!D4355)</f>
        <v>49144.25</v>
      </c>
      <c r="E4355" s="15" t="str">
        <f>IF(ISBLANK(Raw_Data!E4355),AVERAGE(Raw_Data!E$2:E$5002),Raw_Data!E4355)</f>
        <v>6157.96</v>
      </c>
      <c r="F4355" s="15" t="str">
        <f>IF(ISBLANK(Raw_Data!F4355),AVERAGE(Raw_Data!F$2:F$5002),Raw_Data!F4355)</f>
        <v>35437.83</v>
      </c>
      <c r="G4355" s="14" t="str">
        <f>IF(ISBLANK(Raw_Data!G4355),AVERAGE(Raw_Data!G$2:G$5002),Raw_Data!G4355)</f>
        <v>7578.40</v>
      </c>
      <c r="H4355" s="15" t="str">
        <f t="shared" si="1"/>
        <v>90740.00</v>
      </c>
      <c r="I4355" s="14" t="str">
        <f t="shared" si="2"/>
        <v>83162.00</v>
      </c>
      <c r="J4355" s="16" t="str">
        <f>TEXT(Raw_Data!J4355,"MMM-YYY")</f>
        <v>Jun-2025</v>
      </c>
      <c r="K4355" s="13" t="str">
        <f>Raw_Data!K4355</f>
        <v>9</v>
      </c>
      <c r="L4355" s="17" t="str">
        <f>Raw_Data!L4355</f>
        <v>Bangalore-South</v>
      </c>
      <c r="M4355" s="13" t="str">
        <f t="shared" si="3"/>
        <v>OK</v>
      </c>
      <c r="N4355" s="18" t="str">
        <f t="shared" si="4"/>
        <v>VALID</v>
      </c>
    </row>
    <row r="4356" ht="15.75" customHeight="1">
      <c r="A4356" s="13" t="str">
        <f>Raw_Data!A4356</f>
        <v>EMP4593</v>
      </c>
      <c r="B4356" s="13" t="str">
        <f>TRIM(CLEAN(Raw_Data!B4356))</f>
        <v>Customer Support</v>
      </c>
      <c r="C4356" s="18" t="s">
        <v>14</v>
      </c>
      <c r="D4356" s="14" t="str">
        <f>IF(ISBLANK(Raw_Data!D4356),AVERAGE(Raw_Data!D$2:D$5002),Raw_Data!D4356)</f>
        <v>91608.65</v>
      </c>
      <c r="E4356" s="15" t="str">
        <f>IF(ISBLANK(Raw_Data!E4356),AVERAGE(Raw_Data!E$2:E$5002),Raw_Data!E4356)</f>
        <v>8715.05</v>
      </c>
      <c r="F4356" s="15" t="str">
        <f>IF(ISBLANK(Raw_Data!F4356),AVERAGE(Raw_Data!F$2:F$5002),Raw_Data!F4356)</f>
        <v>35445.51</v>
      </c>
      <c r="G4356" s="14" t="str">
        <f>IF(ISBLANK(Raw_Data!G4356),AVERAGE(Raw_Data!G$2:G$5002),Raw_Data!G4356)</f>
        <v>15872.26</v>
      </c>
      <c r="H4356" s="15" t="str">
        <f t="shared" si="1"/>
        <v>135769.00</v>
      </c>
      <c r="I4356" s="14" t="str">
        <f t="shared" si="2"/>
        <v>119897.00</v>
      </c>
      <c r="J4356" s="16" t="str">
        <f>TEXT(Raw_Data!J4356,"MMM-YYY")</f>
        <v>Apr-2025</v>
      </c>
      <c r="K4356" s="13" t="str">
        <f>Raw_Data!K4356</f>
        <v>4</v>
      </c>
      <c r="L4356" s="17" t="str">
        <f>Raw_Data!L4356</f>
        <v>Chennai-South</v>
      </c>
      <c r="M4356" s="13" t="str">
        <f t="shared" si="3"/>
        <v>OK</v>
      </c>
      <c r="N4356" s="18" t="str">
        <f t="shared" si="4"/>
        <v>VALID</v>
      </c>
    </row>
    <row r="4357" ht="15.75" customHeight="1">
      <c r="A4357" s="13" t="str">
        <f>Raw_Data!A4357</f>
        <v>EMP4594</v>
      </c>
      <c r="B4357" s="13" t="str">
        <f>TRIM(CLEAN(Raw_Data!B4357))</f>
        <v>Operations</v>
      </c>
      <c r="C4357" s="18" t="s">
        <v>54</v>
      </c>
      <c r="D4357" s="14" t="str">
        <f>IF(ISBLANK(Raw_Data!D4357),AVERAGE(Raw_Data!D$2:D$5002),Raw_Data!D4357)</f>
        <v>81943.53</v>
      </c>
      <c r="E4357" s="15" t="str">
        <f>IF(ISBLANK(Raw_Data!E4357),AVERAGE(Raw_Data!E$2:E$5002),Raw_Data!E4357)</f>
        <v>25815.89</v>
      </c>
      <c r="F4357" s="15" t="str">
        <f>IF(ISBLANK(Raw_Data!F4357),AVERAGE(Raw_Data!F$2:F$5002),Raw_Data!F4357)</f>
        <v>35453.19</v>
      </c>
      <c r="G4357" s="14" t="str">
        <f>IF(ISBLANK(Raw_Data!G4357),AVERAGE(Raw_Data!G$2:G$5002),Raw_Data!G4357)</f>
        <v>14371.56</v>
      </c>
      <c r="H4357" s="15" t="str">
        <f t="shared" si="1"/>
        <v>143213.00</v>
      </c>
      <c r="I4357" s="14" t="str">
        <f t="shared" si="2"/>
        <v>128841.00</v>
      </c>
      <c r="J4357" s="16" t="str">
        <f>TEXT(Raw_Data!J4357,"MMM-YYY")</f>
        <v>Feb-2025</v>
      </c>
      <c r="K4357" s="13" t="str">
        <f>Raw_Data!K4357</f>
        <v>18</v>
      </c>
      <c r="L4357" s="17" t="str">
        <f>Raw_Data!L4357</f>
        <v>Kolkata-East</v>
      </c>
      <c r="M4357" s="13" t="str">
        <f t="shared" si="3"/>
        <v>OK</v>
      </c>
      <c r="N4357" s="18" t="str">
        <f t="shared" si="4"/>
        <v>VALID</v>
      </c>
    </row>
    <row r="4358" ht="15.75" customHeight="1">
      <c r="A4358" s="13" t="str">
        <f>Raw_Data!A4358</f>
        <v>EMP4595</v>
      </c>
      <c r="B4358" s="13" t="str">
        <f>TRIM(CLEAN(Raw_Data!B4358))</f>
        <v>Operations</v>
      </c>
      <c r="C4358" s="18" t="s">
        <v>26</v>
      </c>
      <c r="D4358" s="14" t="str">
        <f>IF(ISBLANK(Raw_Data!D4358),AVERAGE(Raw_Data!D$2:D$5002),Raw_Data!D4358)</f>
        <v>108157.34</v>
      </c>
      <c r="E4358" s="15" t="str">
        <f>IF(ISBLANK(Raw_Data!E4358),AVERAGE(Raw_Data!E$2:E$5002),Raw_Data!E4358)</f>
        <v>34580.07</v>
      </c>
      <c r="F4358" s="15" t="str">
        <f>IF(ISBLANK(Raw_Data!F4358),AVERAGE(Raw_Data!F$2:F$5002),Raw_Data!F4358)</f>
        <v>35460.87</v>
      </c>
      <c r="G4358" s="14" t="str">
        <f>IF(ISBLANK(Raw_Data!G4358),AVERAGE(Raw_Data!G$2:G$5002),Raw_Data!G4358)</f>
        <v>15497.67</v>
      </c>
      <c r="H4358" s="15" t="str">
        <f t="shared" si="1"/>
        <v>178198.00</v>
      </c>
      <c r="I4358" s="14" t="str">
        <f t="shared" si="2"/>
        <v>162700.00</v>
      </c>
      <c r="J4358" s="16" t="str">
        <f>TEXT(Raw_Data!J4358,"MMM-YYY")</f>
        <v>Jul-2025</v>
      </c>
      <c r="K4358" s="13" t="str">
        <f>Raw_Data!K4358</f>
        <v>7</v>
      </c>
      <c r="L4358" s="17" t="str">
        <f>Raw_Data!L4358</f>
        <v>Pune-West</v>
      </c>
      <c r="M4358" s="13" t="str">
        <f t="shared" si="3"/>
        <v>OK</v>
      </c>
      <c r="N4358" s="18" t="str">
        <f t="shared" si="4"/>
        <v>VALID</v>
      </c>
    </row>
    <row r="4359" ht="15.75" customHeight="1">
      <c r="A4359" s="13" t="str">
        <f>Raw_Data!A4359</f>
        <v>EMP4596</v>
      </c>
      <c r="B4359" s="13" t="str">
        <f>TRIM(CLEAN(Raw_Data!B4359))</f>
        <v>Customer Support</v>
      </c>
      <c r="C4359" s="18" t="s">
        <v>33</v>
      </c>
      <c r="D4359" s="14" t="str">
        <f>IF(ISBLANK(Raw_Data!D4359),AVERAGE(Raw_Data!D$2:D$5002),Raw_Data!D4359)</f>
        <v>64582.57</v>
      </c>
      <c r="E4359" s="15" t="str">
        <f>IF(ISBLANK(Raw_Data!E4359),AVERAGE(Raw_Data!E$2:E$5002),Raw_Data!E4359)</f>
        <v>5619.89</v>
      </c>
      <c r="F4359" s="15" t="str">
        <f>IF(ISBLANK(Raw_Data!F4359),AVERAGE(Raw_Data!F$2:F$5002),Raw_Data!F4359)</f>
        <v>35468.55</v>
      </c>
      <c r="G4359" s="14" t="str">
        <f>IF(ISBLANK(Raw_Data!G4359),AVERAGE(Raw_Data!G$2:G$5002),Raw_Data!G4359)</f>
        <v>13956.66</v>
      </c>
      <c r="H4359" s="15" t="str">
        <f t="shared" si="1"/>
        <v>105671.00</v>
      </c>
      <c r="I4359" s="14" t="str">
        <f t="shared" si="2"/>
        <v>91714.00</v>
      </c>
      <c r="J4359" s="16" t="str">
        <f>TEXT(Raw_Data!J4359,"MMM-YYY")</f>
        <v>Feb-2025</v>
      </c>
      <c r="K4359" s="13" t="str">
        <f>Raw_Data!K4359</f>
        <v>19</v>
      </c>
      <c r="L4359" s="17" t="str">
        <f>Raw_Data!L4359</f>
        <v>Hyderabad-South</v>
      </c>
      <c r="M4359" s="13" t="str">
        <f t="shared" si="3"/>
        <v>OK</v>
      </c>
      <c r="N4359" s="18" t="str">
        <f t="shared" si="4"/>
        <v>VALID</v>
      </c>
    </row>
    <row r="4360" ht="15.75" customHeight="1">
      <c r="A4360" s="13" t="str">
        <f>Raw_Data!A4360</f>
        <v>EMP4597</v>
      </c>
      <c r="B4360" s="13" t="str">
        <f>TRIM(CLEAN(Raw_Data!B4360))</f>
        <v>Marketing</v>
      </c>
      <c r="C4360" s="18" t="s">
        <v>54</v>
      </c>
      <c r="D4360" s="14" t="str">
        <f>IF(ISBLANK(Raw_Data!D4360),AVERAGE(Raw_Data!D$2:D$5002),Raw_Data!D4360)</f>
        <v>27557.40</v>
      </c>
      <c r="E4360" s="15" t="str">
        <f>IF(ISBLANK(Raw_Data!E4360),AVERAGE(Raw_Data!E$2:E$5002),Raw_Data!E4360)</f>
        <v>30429.45</v>
      </c>
      <c r="F4360" s="15" t="str">
        <f>IF(ISBLANK(Raw_Data!F4360),AVERAGE(Raw_Data!F$2:F$5002),Raw_Data!F4360)</f>
        <v>35476.23</v>
      </c>
      <c r="G4360" s="14" t="str">
        <f>IF(ISBLANK(Raw_Data!G4360),AVERAGE(Raw_Data!G$2:G$5002),Raw_Data!G4360)</f>
        <v>7189.21</v>
      </c>
      <c r="H4360" s="15" t="str">
        <f t="shared" si="1"/>
        <v>93463.00</v>
      </c>
      <c r="I4360" s="14" t="str">
        <f t="shared" si="2"/>
        <v>86274.00</v>
      </c>
      <c r="J4360" s="16" t="str">
        <f>TEXT(Raw_Data!J4360,"MMM-YYY")</f>
        <v>Aug-2025</v>
      </c>
      <c r="K4360" s="13" t="str">
        <f>Raw_Data!K4360</f>
        <v>1</v>
      </c>
      <c r="L4360" s="17" t="str">
        <f>Raw_Data!L4360</f>
        <v>Chandigarh-North</v>
      </c>
      <c r="M4360" s="13" t="str">
        <f t="shared" si="3"/>
        <v>OK</v>
      </c>
      <c r="N4360" s="18" t="str">
        <f t="shared" si="4"/>
        <v>VALID</v>
      </c>
    </row>
    <row r="4361" ht="15.75" customHeight="1">
      <c r="A4361" s="13" t="str">
        <f>Raw_Data!A4361</f>
        <v>EMP4598</v>
      </c>
      <c r="B4361" s="13" t="str">
        <f>TRIM(CLEAN(Raw_Data!B4361))</f>
        <v>Operations</v>
      </c>
      <c r="C4361" s="18" t="s">
        <v>37</v>
      </c>
      <c r="D4361" s="14" t="str">
        <f>IF(ISBLANK(Raw_Data!D4361),AVERAGE(Raw_Data!D$2:D$5002),Raw_Data!D4361)</f>
        <v>89890.70</v>
      </c>
      <c r="E4361" s="15" t="str">
        <f>IF(ISBLANK(Raw_Data!E4361),AVERAGE(Raw_Data!E$2:E$5002),Raw_Data!E4361)</f>
        <v>16287.47</v>
      </c>
      <c r="F4361" s="15" t="str">
        <f>IF(ISBLANK(Raw_Data!F4361),AVERAGE(Raw_Data!F$2:F$5002),Raw_Data!F4361)</f>
        <v>35483.91</v>
      </c>
      <c r="G4361" s="14" t="str">
        <f>IF(ISBLANK(Raw_Data!G4361),AVERAGE(Raw_Data!G$2:G$5002),Raw_Data!G4361)</f>
        <v>6490.43</v>
      </c>
      <c r="H4361" s="15" t="str">
        <f t="shared" si="1"/>
        <v>141662.00</v>
      </c>
      <c r="I4361" s="14" t="str">
        <f t="shared" si="2"/>
        <v>135172.00</v>
      </c>
      <c r="J4361" s="16" t="str">
        <f>TEXT(Raw_Data!J4361,"MMM-YYY")</f>
        <v>Aug-2025</v>
      </c>
      <c r="K4361" s="13" t="str">
        <f>Raw_Data!K4361</f>
        <v>15</v>
      </c>
      <c r="L4361" s="17" t="str">
        <f>Raw_Data!L4361</f>
        <v>Ahmedabad-West</v>
      </c>
      <c r="M4361" s="13" t="str">
        <f t="shared" si="3"/>
        <v>OK</v>
      </c>
      <c r="N4361" s="18" t="str">
        <f t="shared" si="4"/>
        <v>VALID</v>
      </c>
    </row>
    <row r="4362" ht="15.75" customHeight="1">
      <c r="A4362" s="13" t="str">
        <f>Raw_Data!A4362</f>
        <v>EMP4599</v>
      </c>
      <c r="B4362" s="13" t="str">
        <f>TRIM(CLEAN(Raw_Data!B4362))</f>
        <v>Customer Support</v>
      </c>
      <c r="C4362" s="18" t="s">
        <v>26</v>
      </c>
      <c r="D4362" s="14" t="str">
        <f>IF(ISBLANK(Raw_Data!D4362),AVERAGE(Raw_Data!D$2:D$5002),Raw_Data!D4362)</f>
        <v>94882.43</v>
      </c>
      <c r="E4362" s="15" t="str">
        <f>IF(ISBLANK(Raw_Data!E4362),AVERAGE(Raw_Data!E$2:E$5002),Raw_Data!E4362)</f>
        <v>21227.02</v>
      </c>
      <c r="F4362" s="15" t="str">
        <f>IF(ISBLANK(Raw_Data!F4362),AVERAGE(Raw_Data!F$2:F$5002),Raw_Data!F4362)</f>
        <v>35491.59</v>
      </c>
      <c r="G4362" s="14" t="str">
        <f>IF(ISBLANK(Raw_Data!G4362),AVERAGE(Raw_Data!G$2:G$5002),Raw_Data!G4362)</f>
        <v>3857.96</v>
      </c>
      <c r="H4362" s="15" t="str">
        <f t="shared" si="1"/>
        <v>151601.00</v>
      </c>
      <c r="I4362" s="14" t="str">
        <f t="shared" si="2"/>
        <v>147743.00</v>
      </c>
      <c r="J4362" s="16" t="str">
        <f>TEXT(Raw_Data!J4362,"MMM-YYY")</f>
        <v>Aug-2025</v>
      </c>
      <c r="K4362" s="13" t="str">
        <f>Raw_Data!K4362</f>
        <v>5</v>
      </c>
      <c r="L4362" s="17" t="str">
        <f>Raw_Data!L4362</f>
        <v>Jaipur-North</v>
      </c>
      <c r="M4362" s="13" t="str">
        <f t="shared" si="3"/>
        <v>OK</v>
      </c>
      <c r="N4362" s="18" t="str">
        <f t="shared" si="4"/>
        <v>VALID</v>
      </c>
    </row>
    <row r="4363" ht="15.75" customHeight="1">
      <c r="A4363" s="13" t="str">
        <f>Raw_Data!A4363</f>
        <v>EMP4600</v>
      </c>
      <c r="B4363" s="13" t="str">
        <f>TRIM(CLEAN(Raw_Data!B4363))</f>
        <v>Sales</v>
      </c>
      <c r="C4363" s="18" t="s">
        <v>37</v>
      </c>
      <c r="D4363" s="14" t="str">
        <f>IF(ISBLANK(Raw_Data!D4363),AVERAGE(Raw_Data!D$2:D$5002),Raw_Data!D4363)</f>
        <v>73934.11</v>
      </c>
      <c r="E4363" s="15" t="str">
        <f>IF(ISBLANK(Raw_Data!E4363),AVERAGE(Raw_Data!E$2:E$5002),Raw_Data!E4363)</f>
        <v>37438.94</v>
      </c>
      <c r="F4363" s="15" t="str">
        <f>IF(ISBLANK(Raw_Data!F4363),AVERAGE(Raw_Data!F$2:F$5002),Raw_Data!F4363)</f>
        <v>35499.27</v>
      </c>
      <c r="G4363" s="14" t="str">
        <f>IF(ISBLANK(Raw_Data!G4363),AVERAGE(Raw_Data!G$2:G$5002),Raw_Data!G4363)</f>
        <v>21302.24</v>
      </c>
      <c r="H4363" s="15" t="str">
        <f t="shared" si="1"/>
        <v>146872.00</v>
      </c>
      <c r="I4363" s="14" t="str">
        <f t="shared" si="2"/>
        <v>125570.00</v>
      </c>
      <c r="J4363" s="16" t="str">
        <f>TEXT(Raw_Data!J4363,"MMM-YYY")</f>
        <v>Sep-2025</v>
      </c>
      <c r="K4363" s="13" t="str">
        <f>Raw_Data!K4363</f>
        <v>20</v>
      </c>
      <c r="L4363" s="17" t="str">
        <f>Raw_Data!L4363</f>
        <v>Mumbai-HO</v>
      </c>
      <c r="M4363" s="13" t="str">
        <f t="shared" si="3"/>
        <v>OK</v>
      </c>
      <c r="N4363" s="18" t="str">
        <f t="shared" si="4"/>
        <v>VALID</v>
      </c>
    </row>
    <row r="4364" ht="15.75" customHeight="1">
      <c r="A4364" s="13" t="str">
        <f>Raw_Data!A4364</f>
        <v>EMP4601</v>
      </c>
      <c r="B4364" s="13" t="str">
        <f>TRIM(CLEAN(Raw_Data!B4364))</f>
        <v>Operations</v>
      </c>
      <c r="C4364" s="18" t="s">
        <v>26</v>
      </c>
      <c r="D4364" s="14" t="str">
        <f>IF(ISBLANK(Raw_Data!D4364),AVERAGE(Raw_Data!D$2:D$5002),Raw_Data!D4364)</f>
        <v>95951.55</v>
      </c>
      <c r="E4364" s="15" t="str">
        <f>IF(ISBLANK(Raw_Data!E4364),AVERAGE(Raw_Data!E$2:E$5002),Raw_Data!E4364)</f>
        <v>15950.97</v>
      </c>
      <c r="F4364" s="15" t="str">
        <f>IF(ISBLANK(Raw_Data!F4364),AVERAGE(Raw_Data!F$2:F$5002),Raw_Data!F4364)</f>
        <v>35506.95</v>
      </c>
      <c r="G4364" s="14" t="str">
        <f>IF(ISBLANK(Raw_Data!G4364),AVERAGE(Raw_Data!G$2:G$5002),Raw_Data!G4364)</f>
        <v>15603.74</v>
      </c>
      <c r="H4364" s="15" t="str">
        <f t="shared" si="1"/>
        <v>147409.00</v>
      </c>
      <c r="I4364" s="14" t="str">
        <f t="shared" si="2"/>
        <v>131805.00</v>
      </c>
      <c r="J4364" s="16" t="str">
        <f>TEXT(Raw_Data!J4364,"MMM-YYY")</f>
        <v>Apr-2025</v>
      </c>
      <c r="K4364" s="13" t="str">
        <f>Raw_Data!K4364</f>
        <v>11</v>
      </c>
      <c r="L4364" s="17" t="str">
        <f>Raw_Data!L4364</f>
        <v>Delhi-North</v>
      </c>
      <c r="M4364" s="13" t="str">
        <f t="shared" si="3"/>
        <v>OK</v>
      </c>
      <c r="N4364" s="18" t="str">
        <f t="shared" si="4"/>
        <v>VALID</v>
      </c>
    </row>
    <row r="4365" ht="15.75" customHeight="1">
      <c r="A4365" s="13" t="str">
        <f>Raw_Data!A4365</f>
        <v>EMP4602</v>
      </c>
      <c r="B4365" s="13" t="str">
        <f>TRIM(CLEAN(Raw_Data!B4365))</f>
        <v>Operations</v>
      </c>
      <c r="C4365" s="18" t="s">
        <v>26</v>
      </c>
      <c r="D4365" s="14" t="str">
        <f>IF(ISBLANK(Raw_Data!D4365),AVERAGE(Raw_Data!D$2:D$5002),Raw_Data!D4365)</f>
        <v>66848.54</v>
      </c>
      <c r="E4365" s="15" t="str">
        <f>IF(ISBLANK(Raw_Data!E4365),AVERAGE(Raw_Data!E$2:E$5002),Raw_Data!E4365)</f>
        <v>20752.13</v>
      </c>
      <c r="F4365" s="15" t="str">
        <f>IF(ISBLANK(Raw_Data!F4365),AVERAGE(Raw_Data!F$2:F$5002),Raw_Data!F4365)</f>
        <v>35514.63</v>
      </c>
      <c r="G4365" s="14" t="str">
        <f>IF(ISBLANK(Raw_Data!G4365),AVERAGE(Raw_Data!G$2:G$5002),Raw_Data!G4365)</f>
        <v>5069.52</v>
      </c>
      <c r="H4365" s="15" t="str">
        <f t="shared" si="1"/>
        <v>123115.00</v>
      </c>
      <c r="I4365" s="14" t="str">
        <f t="shared" si="2"/>
        <v>118045.00</v>
      </c>
      <c r="J4365" s="16" t="str">
        <f>TEXT(Raw_Data!J4365,"MMM-YYY")</f>
        <v>Apr-2025</v>
      </c>
      <c r="K4365" s="13" t="str">
        <f>Raw_Data!K4365</f>
        <v>16</v>
      </c>
      <c r="L4365" s="17" t="str">
        <f>Raw_Data!L4365</f>
        <v>Bangalore-South</v>
      </c>
      <c r="M4365" s="13" t="str">
        <f t="shared" si="3"/>
        <v>OK</v>
      </c>
      <c r="N4365" s="18" t="str">
        <f t="shared" si="4"/>
        <v>VALID</v>
      </c>
    </row>
    <row r="4366" ht="15.75" customHeight="1">
      <c r="A4366" s="13" t="str">
        <f>Raw_Data!A4366</f>
        <v>EMP4603</v>
      </c>
      <c r="B4366" s="13" t="str">
        <f>TRIM(CLEAN(Raw_Data!B4366))</f>
        <v>HR</v>
      </c>
      <c r="C4366" s="18" t="s">
        <v>30</v>
      </c>
      <c r="D4366" s="14" t="str">
        <f>IF(ISBLANK(Raw_Data!D4366),AVERAGE(Raw_Data!D$2:D$5002),Raw_Data!D4366)</f>
        <v>69886.95</v>
      </c>
      <c r="E4366" s="15" t="str">
        <f>IF(ISBLANK(Raw_Data!E4366),AVERAGE(Raw_Data!E$2:E$5002),Raw_Data!E4366)</f>
        <v>4492.57</v>
      </c>
      <c r="F4366" s="15" t="str">
        <f>IF(ISBLANK(Raw_Data!F4366),AVERAGE(Raw_Data!F$2:F$5002),Raw_Data!F4366)</f>
        <v>35522.31</v>
      </c>
      <c r="G4366" s="14" t="str">
        <f>IF(ISBLANK(Raw_Data!G4366),AVERAGE(Raw_Data!G$2:G$5002),Raw_Data!G4366)</f>
        <v>4841.63</v>
      </c>
      <c r="H4366" s="15" t="str">
        <f t="shared" si="1"/>
        <v>109902.00</v>
      </c>
      <c r="I4366" s="14" t="str">
        <f t="shared" si="2"/>
        <v>105060.00</v>
      </c>
      <c r="J4366" s="16" t="str">
        <f>TEXT(Raw_Data!J4366,"MMM-YYY")</f>
        <v>Jun-2025</v>
      </c>
      <c r="K4366" s="13" t="str">
        <f>Raw_Data!K4366</f>
        <v>3</v>
      </c>
      <c r="L4366" s="17" t="str">
        <f>Raw_Data!L4366</f>
        <v>Chennai-South</v>
      </c>
      <c r="M4366" s="13" t="str">
        <f t="shared" si="3"/>
        <v>OK</v>
      </c>
      <c r="N4366" s="18" t="str">
        <f t="shared" si="4"/>
        <v>VALID</v>
      </c>
    </row>
    <row r="4367" ht="15.75" customHeight="1">
      <c r="A4367" s="13" t="str">
        <f>Raw_Data!A4367</f>
        <v>EMP4604</v>
      </c>
      <c r="B4367" s="13" t="str">
        <f>TRIM(CLEAN(Raw_Data!B4367))</f>
        <v>Sales</v>
      </c>
      <c r="C4367" s="18" t="s">
        <v>26</v>
      </c>
      <c r="D4367" s="14" t="str">
        <f>IF(ISBLANK(Raw_Data!D4367),AVERAGE(Raw_Data!D$2:D$5002),Raw_Data!D4367)</f>
        <v>59891.81</v>
      </c>
      <c r="E4367" s="15" t="str">
        <f>IF(ISBLANK(Raw_Data!E4367),AVERAGE(Raw_Data!E$2:E$5002),Raw_Data!E4367)</f>
        <v>6937.55</v>
      </c>
      <c r="F4367" s="15" t="str">
        <f>IF(ISBLANK(Raw_Data!F4367),AVERAGE(Raw_Data!F$2:F$5002),Raw_Data!F4367)</f>
        <v>35529.99</v>
      </c>
      <c r="G4367" s="14" t="str">
        <f>IF(ISBLANK(Raw_Data!G4367),AVERAGE(Raw_Data!G$2:G$5002),Raw_Data!G4367)</f>
        <v>21889.37</v>
      </c>
      <c r="H4367" s="15" t="str">
        <f t="shared" si="1"/>
        <v>102359.00</v>
      </c>
      <c r="I4367" s="14" t="str">
        <f t="shared" si="2"/>
        <v>80470.00</v>
      </c>
      <c r="J4367" s="16" t="str">
        <f>TEXT(Raw_Data!J4367,"MMM-YYY")</f>
        <v>Dec-2025</v>
      </c>
      <c r="K4367" s="13" t="str">
        <f>Raw_Data!K4367</f>
        <v>13</v>
      </c>
      <c r="L4367" s="17" t="str">
        <f>Raw_Data!L4367</f>
        <v>Kolkata-East</v>
      </c>
      <c r="M4367" s="13" t="str">
        <f t="shared" si="3"/>
        <v>OK</v>
      </c>
      <c r="N4367" s="18" t="str">
        <f t="shared" si="4"/>
        <v>VALID</v>
      </c>
    </row>
    <row r="4368" ht="15.75" customHeight="1">
      <c r="A4368" s="13" t="str">
        <f>Raw_Data!A4368</f>
        <v>EMP4605</v>
      </c>
      <c r="B4368" s="13" t="str">
        <f>TRIM(CLEAN(Raw_Data!B4368))</f>
        <v>Marketing</v>
      </c>
      <c r="C4368" s="18" t="s">
        <v>37</v>
      </c>
      <c r="D4368" s="14" t="str">
        <f>IF(ISBLANK(Raw_Data!D4368),AVERAGE(Raw_Data!D$2:D$5002),Raw_Data!D4368)</f>
        <v>17669.01</v>
      </c>
      <c r="E4368" s="15" t="str">
        <f>IF(ISBLANK(Raw_Data!E4368),AVERAGE(Raw_Data!E$2:E$5002),Raw_Data!E4368)</f>
        <v>13309.30</v>
      </c>
      <c r="F4368" s="15" t="str">
        <f>IF(ISBLANK(Raw_Data!F4368),AVERAGE(Raw_Data!F$2:F$5002),Raw_Data!F4368)</f>
        <v>35537.67</v>
      </c>
      <c r="G4368" s="14" t="str">
        <f>IF(ISBLANK(Raw_Data!G4368),AVERAGE(Raw_Data!G$2:G$5002),Raw_Data!G4368)</f>
        <v>18696.91</v>
      </c>
      <c r="H4368" s="15" t="str">
        <f t="shared" si="1"/>
        <v>66516.00</v>
      </c>
      <c r="I4368" s="14" t="str">
        <f t="shared" si="2"/>
        <v>47819.00</v>
      </c>
      <c r="J4368" s="16" t="str">
        <f>TEXT(Raw_Data!J4368,"MMM-YYY")</f>
        <v>Jan-2025</v>
      </c>
      <c r="K4368" s="13" t="str">
        <f>Raw_Data!K4368</f>
        <v>18</v>
      </c>
      <c r="L4368" s="17" t="str">
        <f>Raw_Data!L4368</f>
        <v>Pune-West</v>
      </c>
      <c r="M4368" s="13" t="str">
        <f t="shared" si="3"/>
        <v>OK</v>
      </c>
      <c r="N4368" s="18" t="str">
        <f t="shared" si="4"/>
        <v>VALID</v>
      </c>
    </row>
    <row r="4369" ht="15.75" customHeight="1">
      <c r="A4369" s="13" t="str">
        <f>Raw_Data!A4369</f>
        <v>EMP4606</v>
      </c>
      <c r="B4369" s="13" t="str">
        <f>TRIM(CLEAN(Raw_Data!B4369))</f>
        <v>Operations</v>
      </c>
      <c r="C4369" s="18" t="s">
        <v>37</v>
      </c>
      <c r="D4369" s="14" t="str">
        <f>IF(ISBLANK(Raw_Data!D4369),AVERAGE(Raw_Data!D$2:D$5002),Raw_Data!D4369)</f>
        <v>26328.60</v>
      </c>
      <c r="E4369" s="15" t="str">
        <f>IF(ISBLANK(Raw_Data!E4369),AVERAGE(Raw_Data!E$2:E$5002),Raw_Data!E4369)</f>
        <v>5002.68</v>
      </c>
      <c r="F4369" s="15" t="str">
        <f>IF(ISBLANK(Raw_Data!F4369),AVERAGE(Raw_Data!F$2:F$5002),Raw_Data!F4369)</f>
        <v>35545.35</v>
      </c>
      <c r="G4369" s="14" t="str">
        <f>IF(ISBLANK(Raw_Data!G4369),AVERAGE(Raw_Data!G$2:G$5002),Raw_Data!G4369)</f>
        <v>16655.28</v>
      </c>
      <c r="H4369" s="15" t="str">
        <f t="shared" si="1"/>
        <v>66877.00</v>
      </c>
      <c r="I4369" s="14" t="str">
        <f t="shared" si="2"/>
        <v>50222.00</v>
      </c>
      <c r="J4369" s="16" t="str">
        <f>TEXT(Raw_Data!J4369,"MMM-YYY")</f>
        <v>Dec-2025</v>
      </c>
      <c r="K4369" s="13" t="str">
        <f>Raw_Data!K4369</f>
        <v>13</v>
      </c>
      <c r="L4369" s="17" t="str">
        <f>Raw_Data!L4369</f>
        <v>Hyderabad-South</v>
      </c>
      <c r="M4369" s="13" t="str">
        <f t="shared" si="3"/>
        <v>OK</v>
      </c>
      <c r="N4369" s="18" t="str">
        <f t="shared" si="4"/>
        <v>VALID</v>
      </c>
    </row>
    <row r="4370" ht="15.75" customHeight="1">
      <c r="A4370" s="13" t="str">
        <f>Raw_Data!A4370</f>
        <v>EMP4607</v>
      </c>
      <c r="B4370" s="13" t="str">
        <f>TRIM(CLEAN(Raw_Data!B4370))</f>
        <v>IT</v>
      </c>
      <c r="C4370" s="18" t="s">
        <v>30</v>
      </c>
      <c r="D4370" s="14" t="str">
        <f>IF(ISBLANK(Raw_Data!D4370),AVERAGE(Raw_Data!D$2:D$5002),Raw_Data!D4370)</f>
        <v>18300.06</v>
      </c>
      <c r="E4370" s="15" t="str">
        <f>IF(ISBLANK(Raw_Data!E4370),AVERAGE(Raw_Data!E$2:E$5002),Raw_Data!E4370)</f>
        <v>26729.51</v>
      </c>
      <c r="F4370" s="15" t="str">
        <f>IF(ISBLANK(Raw_Data!F4370),AVERAGE(Raw_Data!F$2:F$5002),Raw_Data!F4370)</f>
        <v>35553.03</v>
      </c>
      <c r="G4370" s="14" t="str">
        <f>IF(ISBLANK(Raw_Data!G4370),AVERAGE(Raw_Data!G$2:G$5002),Raw_Data!G4370)</f>
        <v>10468.17</v>
      </c>
      <c r="H4370" s="15" t="str">
        <f t="shared" si="1"/>
        <v>80583.00</v>
      </c>
      <c r="I4370" s="14" t="str">
        <f t="shared" si="2"/>
        <v>70115.00</v>
      </c>
      <c r="J4370" s="16" t="str">
        <f>TEXT(Raw_Data!J4370,"MMM-YYY")</f>
        <v>Jun-2025</v>
      </c>
      <c r="K4370" s="13" t="str">
        <f>Raw_Data!K4370</f>
        <v>8</v>
      </c>
      <c r="L4370" s="17" t="str">
        <f>Raw_Data!L4370</f>
        <v>Chandigarh-North</v>
      </c>
      <c r="M4370" s="13" t="str">
        <f t="shared" si="3"/>
        <v>OK</v>
      </c>
      <c r="N4370" s="18" t="str">
        <f t="shared" si="4"/>
        <v>VALID</v>
      </c>
    </row>
    <row r="4371" ht="15.75" customHeight="1">
      <c r="A4371" s="13" t="str">
        <f>Raw_Data!A4371</f>
        <v>EMP4608</v>
      </c>
      <c r="B4371" s="13" t="str">
        <f>TRIM(CLEAN(Raw_Data!B4371))</f>
        <v>Sales</v>
      </c>
      <c r="C4371" s="18" t="s">
        <v>30</v>
      </c>
      <c r="D4371" s="14" t="str">
        <f>IF(ISBLANK(Raw_Data!D4371),AVERAGE(Raw_Data!D$2:D$5002),Raw_Data!D4371)</f>
        <v>81823.09</v>
      </c>
      <c r="E4371" s="15" t="str">
        <f>IF(ISBLANK(Raw_Data!E4371),AVERAGE(Raw_Data!E$2:E$5002),Raw_Data!E4371)</f>
        <v>19350.34</v>
      </c>
      <c r="F4371" s="15" t="str">
        <f>IF(ISBLANK(Raw_Data!F4371),AVERAGE(Raw_Data!F$2:F$5002),Raw_Data!F4371)</f>
        <v>35560.71</v>
      </c>
      <c r="G4371" s="14" t="str">
        <f>IF(ISBLANK(Raw_Data!G4371),AVERAGE(Raw_Data!G$2:G$5002),Raw_Data!G4371)</f>
        <v>6918.40</v>
      </c>
      <c r="H4371" s="15" t="str">
        <f t="shared" si="1"/>
        <v>136734.00</v>
      </c>
      <c r="I4371" s="14" t="str">
        <f t="shared" si="2"/>
        <v>129816.00</v>
      </c>
      <c r="J4371" s="16" t="str">
        <f>TEXT(Raw_Data!J4371,"MMM-YYY")</f>
        <v>Sep-2025</v>
      </c>
      <c r="K4371" s="13" t="str">
        <f>Raw_Data!K4371</f>
        <v>1</v>
      </c>
      <c r="L4371" s="17" t="str">
        <f>Raw_Data!L4371</f>
        <v>Ahmedabad-West</v>
      </c>
      <c r="M4371" s="13" t="str">
        <f t="shared" si="3"/>
        <v>OK</v>
      </c>
      <c r="N4371" s="18" t="str">
        <f t="shared" si="4"/>
        <v>VALID</v>
      </c>
    </row>
    <row r="4372" ht="15.75" customHeight="1">
      <c r="A4372" s="13" t="str">
        <f>Raw_Data!A4372</f>
        <v>EMP4609</v>
      </c>
      <c r="B4372" s="13" t="str">
        <f>TRIM(CLEAN(Raw_Data!B4372))</f>
        <v>Sales</v>
      </c>
      <c r="C4372" s="18" t="s">
        <v>30</v>
      </c>
      <c r="D4372" s="14" t="str">
        <f>IF(ISBLANK(Raw_Data!D4372),AVERAGE(Raw_Data!D$2:D$5002),Raw_Data!D4372)</f>
        <v>48007.38</v>
      </c>
      <c r="E4372" s="15" t="str">
        <f>IF(ISBLANK(Raw_Data!E4372),AVERAGE(Raw_Data!E$2:E$5002),Raw_Data!E4372)</f>
        <v>23733.23</v>
      </c>
      <c r="F4372" s="15" t="str">
        <f>IF(ISBLANK(Raw_Data!F4372),AVERAGE(Raw_Data!F$2:F$5002),Raw_Data!F4372)</f>
        <v>35568.39</v>
      </c>
      <c r="G4372" s="14" t="str">
        <f>IF(ISBLANK(Raw_Data!G4372),AVERAGE(Raw_Data!G$2:G$5002),Raw_Data!G4372)</f>
        <v>24496.54</v>
      </c>
      <c r="H4372" s="15" t="str">
        <f t="shared" si="1"/>
        <v>107309.00</v>
      </c>
      <c r="I4372" s="14" t="str">
        <f t="shared" si="2"/>
        <v>82812.00</v>
      </c>
      <c r="J4372" s="16" t="str">
        <f>TEXT(Raw_Data!J4372,"MMM-YYY")</f>
        <v>Apr-2025</v>
      </c>
      <c r="K4372" s="13" t="str">
        <f>Raw_Data!K4372</f>
        <v>21</v>
      </c>
      <c r="L4372" s="17" t="str">
        <f>Raw_Data!L4372</f>
        <v>Jaipur-North</v>
      </c>
      <c r="M4372" s="13" t="str">
        <f t="shared" si="3"/>
        <v>OK</v>
      </c>
      <c r="N4372" s="18" t="str">
        <f t="shared" si="4"/>
        <v>VALID</v>
      </c>
    </row>
    <row r="4373" ht="15.75" customHeight="1">
      <c r="A4373" s="13" t="str">
        <f>Raw_Data!A4373</f>
        <v>EMP4610</v>
      </c>
      <c r="B4373" s="13" t="str">
        <f>TRIM(CLEAN(Raw_Data!B4373))</f>
        <v>Sales</v>
      </c>
      <c r="C4373" s="18" t="s">
        <v>37</v>
      </c>
      <c r="D4373" s="14" t="str">
        <f>IF(ISBLANK(Raw_Data!D4373),AVERAGE(Raw_Data!D$2:D$5002),Raw_Data!D4373)</f>
        <v>68399.92</v>
      </c>
      <c r="E4373" s="15" t="str">
        <f>IF(ISBLANK(Raw_Data!E4373),AVERAGE(Raw_Data!E$2:E$5002),Raw_Data!E4373)</f>
        <v>10287.30</v>
      </c>
      <c r="F4373" s="15" t="str">
        <f>IF(ISBLANK(Raw_Data!F4373),AVERAGE(Raw_Data!F$2:F$5002),Raw_Data!F4373)</f>
        <v>35576.07</v>
      </c>
      <c r="G4373" s="14" t="str">
        <f>IF(ISBLANK(Raw_Data!G4373),AVERAGE(Raw_Data!G$2:G$5002),Raw_Data!G4373)</f>
        <v>20032.37</v>
      </c>
      <c r="H4373" s="15" t="str">
        <f t="shared" si="1"/>
        <v>114263.00</v>
      </c>
      <c r="I4373" s="14" t="str">
        <f t="shared" si="2"/>
        <v>94231.00</v>
      </c>
      <c r="J4373" s="16" t="str">
        <f>TEXT(Raw_Data!J4373,"MMM-YYY")</f>
        <v>Jul-2025</v>
      </c>
      <c r="K4373" s="13" t="str">
        <f>Raw_Data!K4373</f>
        <v>15</v>
      </c>
      <c r="L4373" s="17" t="str">
        <f>Raw_Data!L4373</f>
        <v>Mumbai-HO</v>
      </c>
      <c r="M4373" s="13" t="str">
        <f t="shared" si="3"/>
        <v>OK</v>
      </c>
      <c r="N4373" s="18" t="str">
        <f t="shared" si="4"/>
        <v>VALID</v>
      </c>
    </row>
    <row r="4374" ht="15.75" customHeight="1">
      <c r="A4374" s="13" t="str">
        <f>Raw_Data!A4374</f>
        <v>EMP4611</v>
      </c>
      <c r="B4374" s="13" t="str">
        <f>TRIM(CLEAN(Raw_Data!B4374))</f>
        <v>Sales</v>
      </c>
      <c r="C4374" s="18" t="s">
        <v>14</v>
      </c>
      <c r="D4374" s="14" t="str">
        <f>IF(ISBLANK(Raw_Data!D4374),AVERAGE(Raw_Data!D$2:D$5002),Raw_Data!D4374)</f>
        <v>110294.48</v>
      </c>
      <c r="E4374" s="15" t="str">
        <f>IF(ISBLANK(Raw_Data!E4374),AVERAGE(Raw_Data!E$2:E$5002),Raw_Data!E4374)</f>
        <v>14653.55</v>
      </c>
      <c r="F4374" s="15" t="str">
        <f>IF(ISBLANK(Raw_Data!F4374),AVERAGE(Raw_Data!F$2:F$5002),Raw_Data!F4374)</f>
        <v>35583.75</v>
      </c>
      <c r="G4374" s="14" t="str">
        <f>IF(ISBLANK(Raw_Data!G4374),AVERAGE(Raw_Data!G$2:G$5002),Raw_Data!G4374)</f>
        <v>7893.59</v>
      </c>
      <c r="H4374" s="15" t="str">
        <f t="shared" si="1"/>
        <v>160532.00</v>
      </c>
      <c r="I4374" s="14" t="str">
        <f t="shared" si="2"/>
        <v>152638.00</v>
      </c>
      <c r="J4374" s="16" t="str">
        <f>TEXT(Raw_Data!J4374,"MMM-YYY")</f>
        <v>Sep-2025</v>
      </c>
      <c r="K4374" s="13" t="str">
        <f>Raw_Data!K4374</f>
        <v>17</v>
      </c>
      <c r="L4374" s="17" t="str">
        <f>Raw_Data!L4374</f>
        <v>Delhi-North</v>
      </c>
      <c r="M4374" s="13" t="str">
        <f t="shared" si="3"/>
        <v>OK</v>
      </c>
      <c r="N4374" s="18" t="str">
        <f t="shared" si="4"/>
        <v>VALID</v>
      </c>
    </row>
    <row r="4375" ht="15.75" customHeight="1">
      <c r="A4375" s="13" t="str">
        <f>Raw_Data!A4375</f>
        <v>EMP4612</v>
      </c>
      <c r="B4375" s="13" t="str">
        <f>TRIM(CLEAN(Raw_Data!B4375))</f>
        <v>HR</v>
      </c>
      <c r="C4375" s="18" t="s">
        <v>54</v>
      </c>
      <c r="D4375" s="14" t="str">
        <f>IF(ISBLANK(Raw_Data!D4375),AVERAGE(Raw_Data!D$2:D$5002),Raw_Data!D4375)</f>
        <v>41175.68</v>
      </c>
      <c r="E4375" s="15" t="str">
        <f>IF(ISBLANK(Raw_Data!E4375),AVERAGE(Raw_Data!E$2:E$5002),Raw_Data!E4375)</f>
        <v>27897.68</v>
      </c>
      <c r="F4375" s="15" t="str">
        <f>IF(ISBLANK(Raw_Data!F4375),AVERAGE(Raw_Data!F$2:F$5002),Raw_Data!F4375)</f>
        <v>35591.43</v>
      </c>
      <c r="G4375" s="14" t="str">
        <f>IF(ISBLANK(Raw_Data!G4375),AVERAGE(Raw_Data!G$2:G$5002),Raw_Data!G4375)</f>
        <v>21265.34</v>
      </c>
      <c r="H4375" s="15" t="str">
        <f t="shared" si="1"/>
        <v>104665.00</v>
      </c>
      <c r="I4375" s="14" t="str">
        <f t="shared" si="2"/>
        <v>83400.00</v>
      </c>
      <c r="J4375" s="16" t="str">
        <f>TEXT(Raw_Data!J4375,"MMM-YYY")</f>
        <v>Jul-2025</v>
      </c>
      <c r="K4375" s="13" t="str">
        <f>Raw_Data!K4375</f>
        <v>11</v>
      </c>
      <c r="L4375" s="17" t="str">
        <f>Raw_Data!L4375</f>
        <v>Bangalore-South</v>
      </c>
      <c r="M4375" s="13" t="str">
        <f t="shared" si="3"/>
        <v>OK</v>
      </c>
      <c r="N4375" s="18" t="str">
        <f t="shared" si="4"/>
        <v>VALID</v>
      </c>
    </row>
    <row r="4376" ht="15.75" customHeight="1">
      <c r="A4376" s="13" t="str">
        <f>Raw_Data!A4376</f>
        <v>EMP4613</v>
      </c>
      <c r="B4376" s="13" t="str">
        <f>TRIM(CLEAN(Raw_Data!B4376))</f>
        <v>Customer Support</v>
      </c>
      <c r="C4376" s="18" t="s">
        <v>54</v>
      </c>
      <c r="D4376" s="14" t="str">
        <f>IF(ISBLANK(Raw_Data!D4376),AVERAGE(Raw_Data!D$2:D$5002),Raw_Data!D4376)</f>
        <v>58090.21</v>
      </c>
      <c r="E4376" s="15" t="str">
        <f>IF(ISBLANK(Raw_Data!E4376),AVERAGE(Raw_Data!E$2:E$5002),Raw_Data!E4376)</f>
        <v>38750.90</v>
      </c>
      <c r="F4376" s="15" t="str">
        <f>IF(ISBLANK(Raw_Data!F4376),AVERAGE(Raw_Data!F$2:F$5002),Raw_Data!F4376)</f>
        <v>35599.11</v>
      </c>
      <c r="G4376" s="14" t="str">
        <f>IF(ISBLANK(Raw_Data!G4376),AVERAGE(Raw_Data!G$2:G$5002),Raw_Data!G4376)</f>
        <v>19093.83</v>
      </c>
      <c r="H4376" s="15" t="str">
        <f t="shared" si="1"/>
        <v>132440.00</v>
      </c>
      <c r="I4376" s="14" t="str">
        <f t="shared" si="2"/>
        <v>113346.00</v>
      </c>
      <c r="J4376" s="16" t="str">
        <f>TEXT(Raw_Data!J4376,"MMM-YYY")</f>
        <v>Apr-2025</v>
      </c>
      <c r="K4376" s="13" t="str">
        <f>Raw_Data!K4376</f>
        <v>22</v>
      </c>
      <c r="L4376" s="17" t="str">
        <f>Raw_Data!L4376</f>
        <v>Chennai-South</v>
      </c>
      <c r="M4376" s="13" t="str">
        <f t="shared" si="3"/>
        <v>OK</v>
      </c>
      <c r="N4376" s="18" t="str">
        <f t="shared" si="4"/>
        <v>VALID</v>
      </c>
    </row>
    <row r="4377" ht="15.75" customHeight="1">
      <c r="A4377" s="13" t="str">
        <f>Raw_Data!A4377</f>
        <v>EMP4614</v>
      </c>
      <c r="B4377" s="13" t="str">
        <f>TRIM(CLEAN(Raw_Data!B4377))</f>
        <v>IT</v>
      </c>
      <c r="C4377" s="18" t="s">
        <v>37</v>
      </c>
      <c r="D4377" s="14" t="str">
        <f>IF(ISBLANK(Raw_Data!D4377),AVERAGE(Raw_Data!D$2:D$5002),Raw_Data!D4377)</f>
        <v>94332.87</v>
      </c>
      <c r="E4377" s="15" t="str">
        <f>IF(ISBLANK(Raw_Data!E4377),AVERAGE(Raw_Data!E$2:E$5002),Raw_Data!E4377)</f>
        <v>5815.00</v>
      </c>
      <c r="F4377" s="15" t="str">
        <f>IF(ISBLANK(Raw_Data!F4377),AVERAGE(Raw_Data!F$2:F$5002),Raw_Data!F4377)</f>
        <v>35606.79</v>
      </c>
      <c r="G4377" s="14" t="str">
        <f>IF(ISBLANK(Raw_Data!G4377),AVERAGE(Raw_Data!G$2:G$5002),Raw_Data!G4377)</f>
        <v>7778.47</v>
      </c>
      <c r="H4377" s="15" t="str">
        <f t="shared" si="1"/>
        <v>135755.00</v>
      </c>
      <c r="I4377" s="14" t="str">
        <f t="shared" si="2"/>
        <v>127977.00</v>
      </c>
      <c r="J4377" s="16" t="str">
        <f>TEXT(Raw_Data!J4377,"MMM-YYY")</f>
        <v>Jul-2025</v>
      </c>
      <c r="K4377" s="13" t="str">
        <f>Raw_Data!K4377</f>
        <v>5</v>
      </c>
      <c r="L4377" s="17" t="str">
        <f>Raw_Data!L4377</f>
        <v>Kolkata-East</v>
      </c>
      <c r="M4377" s="13" t="str">
        <f t="shared" si="3"/>
        <v>OK</v>
      </c>
      <c r="N4377" s="18" t="str">
        <f t="shared" si="4"/>
        <v>VALID</v>
      </c>
    </row>
    <row r="4378" ht="15.75" customHeight="1">
      <c r="A4378" s="13" t="str">
        <f>Raw_Data!A4378</f>
        <v>EMP4615</v>
      </c>
      <c r="B4378" s="13" t="str">
        <f>TRIM(CLEAN(Raw_Data!B4378))</f>
        <v>Finance</v>
      </c>
      <c r="C4378" s="18" t="s">
        <v>26</v>
      </c>
      <c r="D4378" s="14" t="str">
        <f>IF(ISBLANK(Raw_Data!D4378),AVERAGE(Raw_Data!D$2:D$5002),Raw_Data!D4378)</f>
        <v>39023.81</v>
      </c>
      <c r="E4378" s="15" t="str">
        <f>IF(ISBLANK(Raw_Data!E4378),AVERAGE(Raw_Data!E$2:E$5002),Raw_Data!E4378)</f>
        <v>36053.84</v>
      </c>
      <c r="F4378" s="15" t="str">
        <f>IF(ISBLANK(Raw_Data!F4378),AVERAGE(Raw_Data!F$2:F$5002),Raw_Data!F4378)</f>
        <v>35614.47</v>
      </c>
      <c r="G4378" s="14" t="str">
        <f>IF(ISBLANK(Raw_Data!G4378),AVERAGE(Raw_Data!G$2:G$5002),Raw_Data!G4378)</f>
        <v>10950.54</v>
      </c>
      <c r="H4378" s="15" t="str">
        <f t="shared" si="1"/>
        <v>110692.00</v>
      </c>
      <c r="I4378" s="14" t="str">
        <f t="shared" si="2"/>
        <v>99741.00</v>
      </c>
      <c r="J4378" s="16" t="str">
        <f>TEXT(Raw_Data!J4378,"MMM-YYY")</f>
        <v>Jun-2025</v>
      </c>
      <c r="K4378" s="13" t="str">
        <f>Raw_Data!K4378</f>
        <v>18</v>
      </c>
      <c r="L4378" s="17" t="str">
        <f>Raw_Data!L4378</f>
        <v>Pune-West</v>
      </c>
      <c r="M4378" s="13" t="str">
        <f t="shared" si="3"/>
        <v>OK</v>
      </c>
      <c r="N4378" s="18" t="str">
        <f t="shared" si="4"/>
        <v>VALID</v>
      </c>
    </row>
    <row r="4379" ht="15.75" customHeight="1">
      <c r="A4379" s="13" t="str">
        <f>Raw_Data!A4379</f>
        <v>EMP4616</v>
      </c>
      <c r="B4379" s="13" t="str">
        <f>TRIM(CLEAN(Raw_Data!B4379))</f>
        <v>Sales</v>
      </c>
      <c r="C4379" s="18" t="s">
        <v>33</v>
      </c>
      <c r="D4379" s="14" t="str">
        <f>IF(ISBLANK(Raw_Data!D4379),AVERAGE(Raw_Data!D$2:D$5002),Raw_Data!D4379)</f>
        <v>23082.89</v>
      </c>
      <c r="E4379" s="15" t="str">
        <f>IF(ISBLANK(Raw_Data!E4379),AVERAGE(Raw_Data!E$2:E$5002),Raw_Data!E4379)</f>
        <v>24767.72</v>
      </c>
      <c r="F4379" s="15" t="str">
        <f>IF(ISBLANK(Raw_Data!F4379),AVERAGE(Raw_Data!F$2:F$5002),Raw_Data!F4379)</f>
        <v>35622.15</v>
      </c>
      <c r="G4379" s="14" t="str">
        <f>IF(ISBLANK(Raw_Data!G4379),AVERAGE(Raw_Data!G$2:G$5002),Raw_Data!G4379)</f>
        <v>5055.86</v>
      </c>
      <c r="H4379" s="15" t="str">
        <f t="shared" si="1"/>
        <v>83473.00</v>
      </c>
      <c r="I4379" s="14" t="str">
        <f t="shared" si="2"/>
        <v>78417.00</v>
      </c>
      <c r="J4379" s="16" t="str">
        <f>TEXT(Raw_Data!J4379,"MMM-YYY")</f>
        <v>Jan-2025</v>
      </c>
      <c r="K4379" s="13" t="str">
        <f>Raw_Data!K4379</f>
        <v>8</v>
      </c>
      <c r="L4379" s="17" t="str">
        <f>Raw_Data!L4379</f>
        <v>Hyderabad-South</v>
      </c>
      <c r="M4379" s="13" t="str">
        <f t="shared" si="3"/>
        <v>OK</v>
      </c>
      <c r="N4379" s="18" t="str">
        <f t="shared" si="4"/>
        <v>VALID</v>
      </c>
    </row>
    <row r="4380" ht="15.75" customHeight="1">
      <c r="A4380" s="13" t="str">
        <f>Raw_Data!A4380</f>
        <v>EMP4617</v>
      </c>
      <c r="B4380" s="13" t="str">
        <f>TRIM(CLEAN(Raw_Data!B4380))</f>
        <v>Finance</v>
      </c>
      <c r="C4380" s="18" t="s">
        <v>14</v>
      </c>
      <c r="D4380" s="14" t="str">
        <f>IF(ISBLANK(Raw_Data!D4380),AVERAGE(Raw_Data!D$2:D$5002),Raw_Data!D4380)</f>
        <v>45423.90</v>
      </c>
      <c r="E4380" s="15" t="str">
        <f>IF(ISBLANK(Raw_Data!E4380),AVERAGE(Raw_Data!E$2:E$5002),Raw_Data!E4380)</f>
        <v>24301.10</v>
      </c>
      <c r="F4380" s="15" t="str">
        <f>IF(ISBLANK(Raw_Data!F4380),AVERAGE(Raw_Data!F$2:F$5002),Raw_Data!F4380)</f>
        <v>35629.83</v>
      </c>
      <c r="G4380" s="14" t="str">
        <f>IF(ISBLANK(Raw_Data!G4380),AVERAGE(Raw_Data!G$2:G$5002),Raw_Data!G4380)</f>
        <v>3220.78</v>
      </c>
      <c r="H4380" s="15" t="str">
        <f t="shared" si="1"/>
        <v>105355.00</v>
      </c>
      <c r="I4380" s="14" t="str">
        <f t="shared" si="2"/>
        <v>102134.00</v>
      </c>
      <c r="J4380" s="16" t="str">
        <f>TEXT(Raw_Data!J4380,"MMM-YYY")</f>
        <v>Aug-2025</v>
      </c>
      <c r="K4380" s="13" t="str">
        <f>Raw_Data!K4380</f>
        <v>12</v>
      </c>
      <c r="L4380" s="17" t="str">
        <f>Raw_Data!L4380</f>
        <v>Chandigarh-North</v>
      </c>
      <c r="M4380" s="13" t="str">
        <f t="shared" si="3"/>
        <v>OK</v>
      </c>
      <c r="N4380" s="18" t="str">
        <f t="shared" si="4"/>
        <v>VALID</v>
      </c>
    </row>
    <row r="4381" ht="15.75" customHeight="1">
      <c r="A4381" s="13" t="str">
        <f>Raw_Data!A4381</f>
        <v>EMP4618</v>
      </c>
      <c r="B4381" s="13" t="str">
        <f>TRIM(CLEAN(Raw_Data!B4381))</f>
        <v>Customer Support</v>
      </c>
      <c r="C4381" s="18" t="s">
        <v>33</v>
      </c>
      <c r="D4381" s="14" t="str">
        <f>IF(ISBLANK(Raw_Data!D4381),AVERAGE(Raw_Data!D$2:D$5002),Raw_Data!D4381)</f>
        <v>31928.24</v>
      </c>
      <c r="E4381" s="15" t="str">
        <f>IF(ISBLANK(Raw_Data!E4381),AVERAGE(Raw_Data!E$2:E$5002),Raw_Data!E4381)</f>
        <v>22010.03</v>
      </c>
      <c r="F4381" s="15" t="str">
        <f>IF(ISBLANK(Raw_Data!F4381),AVERAGE(Raw_Data!F$2:F$5002),Raw_Data!F4381)</f>
        <v>35637.51</v>
      </c>
      <c r="G4381" s="14" t="str">
        <f>IF(ISBLANK(Raw_Data!G4381),AVERAGE(Raw_Data!G$2:G$5002),Raw_Data!G4381)</f>
        <v>18207.67</v>
      </c>
      <c r="H4381" s="15" t="str">
        <f t="shared" si="1"/>
        <v>89576.00</v>
      </c>
      <c r="I4381" s="14" t="str">
        <f t="shared" si="2"/>
        <v>71368.00</v>
      </c>
      <c r="J4381" s="16" t="str">
        <f>TEXT(Raw_Data!J4381,"MMM-YYY")</f>
        <v>Jun-2025</v>
      </c>
      <c r="K4381" s="13" t="str">
        <f>Raw_Data!K4381</f>
        <v>6</v>
      </c>
      <c r="L4381" s="17" t="str">
        <f>Raw_Data!L4381</f>
        <v>Ahmedabad-West</v>
      </c>
      <c r="M4381" s="13" t="str">
        <f t="shared" si="3"/>
        <v>OK</v>
      </c>
      <c r="N4381" s="18" t="str">
        <f t="shared" si="4"/>
        <v>VALID</v>
      </c>
    </row>
    <row r="4382" ht="15.75" customHeight="1">
      <c r="A4382" s="13" t="str">
        <f>Raw_Data!A4382</f>
        <v>EMP4619</v>
      </c>
      <c r="B4382" s="13" t="str">
        <f>TRIM(CLEAN(Raw_Data!B4382))</f>
        <v>HR</v>
      </c>
      <c r="C4382" s="18" t="s">
        <v>54</v>
      </c>
      <c r="D4382" s="14" t="str">
        <f>IF(ISBLANK(Raw_Data!D4382),AVERAGE(Raw_Data!D$2:D$5002),Raw_Data!D4382)</f>
        <v>112618.25</v>
      </c>
      <c r="E4382" s="15" t="str">
        <f>IF(ISBLANK(Raw_Data!E4382),AVERAGE(Raw_Data!E$2:E$5002),Raw_Data!E4382)</f>
        <v>6498.19</v>
      </c>
      <c r="F4382" s="15" t="str">
        <f>IF(ISBLANK(Raw_Data!F4382),AVERAGE(Raw_Data!F$2:F$5002),Raw_Data!F4382)</f>
        <v>35645.19</v>
      </c>
      <c r="G4382" s="14" t="str">
        <f>IF(ISBLANK(Raw_Data!G4382),AVERAGE(Raw_Data!G$2:G$5002),Raw_Data!G4382)</f>
        <v>7054.04</v>
      </c>
      <c r="H4382" s="15" t="str">
        <f t="shared" si="1"/>
        <v>154762.00</v>
      </c>
      <c r="I4382" s="14" t="str">
        <f t="shared" si="2"/>
        <v>147708.00</v>
      </c>
      <c r="J4382" s="16" t="str">
        <f>TEXT(Raw_Data!J4382,"MMM-YYY")</f>
        <v>Mar-2025</v>
      </c>
      <c r="K4382" s="13" t="str">
        <f>Raw_Data!K4382</f>
        <v>9</v>
      </c>
      <c r="L4382" s="17" t="str">
        <f>Raw_Data!L4382</f>
        <v>Jaipur-North</v>
      </c>
      <c r="M4382" s="13" t="str">
        <f t="shared" si="3"/>
        <v>OK</v>
      </c>
      <c r="N4382" s="18" t="str">
        <f t="shared" si="4"/>
        <v>VALID</v>
      </c>
    </row>
    <row r="4383" ht="15.75" customHeight="1">
      <c r="A4383" s="13" t="str">
        <f>Raw_Data!A4383</f>
        <v>EMP4621</v>
      </c>
      <c r="B4383" s="13" t="str">
        <f>TRIM(CLEAN(Raw_Data!B4383))</f>
        <v>Marketing</v>
      </c>
      <c r="C4383" s="18" t="s">
        <v>37</v>
      </c>
      <c r="D4383" s="14" t="str">
        <f>IF(ISBLANK(Raw_Data!D4383),AVERAGE(Raw_Data!D$2:D$5002),Raw_Data!D4383)</f>
        <v>81507.39</v>
      </c>
      <c r="E4383" s="15" t="str">
        <f>IF(ISBLANK(Raw_Data!E4383),AVERAGE(Raw_Data!E$2:E$5002),Raw_Data!E4383)</f>
        <v>25632.83</v>
      </c>
      <c r="F4383" s="15" t="str">
        <f>IF(ISBLANK(Raw_Data!F4383),AVERAGE(Raw_Data!F$2:F$5002),Raw_Data!F4383)</f>
        <v>35660.55</v>
      </c>
      <c r="G4383" s="14" t="str">
        <f>IF(ISBLANK(Raw_Data!G4383),AVERAGE(Raw_Data!G$2:G$5002),Raw_Data!G4383)</f>
        <v>24892.41</v>
      </c>
      <c r="H4383" s="15" t="str">
        <f t="shared" si="1"/>
        <v>142801.00</v>
      </c>
      <c r="I4383" s="14" t="str">
        <f t="shared" si="2"/>
        <v>117909.00</v>
      </c>
      <c r="J4383" s="16" t="str">
        <f>TEXT(Raw_Data!J4383,"MMM-YYY")</f>
        <v>Apr-2025</v>
      </c>
      <c r="K4383" s="13" t="str">
        <f>Raw_Data!K4383</f>
        <v>20</v>
      </c>
      <c r="L4383" s="17" t="str">
        <f>Raw_Data!L4383</f>
        <v>Delhi-North</v>
      </c>
      <c r="M4383" s="13" t="str">
        <f t="shared" si="3"/>
        <v>OK</v>
      </c>
      <c r="N4383" s="18" t="str">
        <f t="shared" si="4"/>
        <v>VALID</v>
      </c>
    </row>
    <row r="4384" ht="15.75" customHeight="1">
      <c r="A4384" s="13" t="str">
        <f>Raw_Data!A4384</f>
        <v>EMP4622</v>
      </c>
      <c r="B4384" s="13" t="str">
        <f>TRIM(CLEAN(Raw_Data!B4384))</f>
        <v>Marketing</v>
      </c>
      <c r="C4384" s="18" t="s">
        <v>26</v>
      </c>
      <c r="D4384" s="14" t="str">
        <f>IF(ISBLANK(Raw_Data!D4384),AVERAGE(Raw_Data!D$2:D$5002),Raw_Data!D4384)</f>
        <v>106503.36</v>
      </c>
      <c r="E4384" s="15" t="str">
        <f>IF(ISBLANK(Raw_Data!E4384),AVERAGE(Raw_Data!E$2:E$5002),Raw_Data!E4384)</f>
        <v>16274.51</v>
      </c>
      <c r="F4384" s="15" t="str">
        <f>IF(ISBLANK(Raw_Data!F4384),AVERAGE(Raw_Data!F$2:F$5002),Raw_Data!F4384)</f>
        <v>35668.23</v>
      </c>
      <c r="G4384" s="14" t="str">
        <f>IF(ISBLANK(Raw_Data!G4384),AVERAGE(Raw_Data!G$2:G$5002),Raw_Data!G4384)</f>
        <v>2377.19</v>
      </c>
      <c r="H4384" s="15" t="str">
        <f t="shared" si="1"/>
        <v>158446.00</v>
      </c>
      <c r="I4384" s="14" t="str">
        <f t="shared" si="2"/>
        <v>156069.00</v>
      </c>
      <c r="J4384" s="16" t="str">
        <f>TEXT(Raw_Data!J4384,"MMM-YYY")</f>
        <v>Feb-2025</v>
      </c>
      <c r="K4384" s="13" t="str">
        <f>Raw_Data!K4384</f>
        <v>8</v>
      </c>
      <c r="L4384" s="17" t="str">
        <f>Raw_Data!L4384</f>
        <v>Bangalore-South</v>
      </c>
      <c r="M4384" s="13" t="str">
        <f t="shared" si="3"/>
        <v>OK</v>
      </c>
      <c r="N4384" s="18" t="str">
        <f t="shared" si="4"/>
        <v>VALID</v>
      </c>
    </row>
    <row r="4385" ht="15.75" customHeight="1">
      <c r="A4385" s="13" t="str">
        <f>Raw_Data!A4385</f>
        <v>EMP4623</v>
      </c>
      <c r="B4385" s="13" t="str">
        <f>TRIM(CLEAN(Raw_Data!B4385))</f>
        <v>Marketing</v>
      </c>
      <c r="C4385" s="18" t="s">
        <v>18</v>
      </c>
      <c r="D4385" s="14" t="str">
        <f>IF(ISBLANK(Raw_Data!D4385),AVERAGE(Raw_Data!D$2:D$5002),Raw_Data!D4385)</f>
        <v>99385.57</v>
      </c>
      <c r="E4385" s="15" t="str">
        <f>IF(ISBLANK(Raw_Data!E4385),AVERAGE(Raw_Data!E$2:E$5002),Raw_Data!E4385)</f>
        <v>37021.65</v>
      </c>
      <c r="F4385" s="15" t="str">
        <f>IF(ISBLANK(Raw_Data!F4385),AVERAGE(Raw_Data!F$2:F$5002),Raw_Data!F4385)</f>
        <v>35675.91</v>
      </c>
      <c r="G4385" s="14" t="str">
        <f>IF(ISBLANK(Raw_Data!G4385),AVERAGE(Raw_Data!G$2:G$5002),Raw_Data!G4385)</f>
        <v>12089.36</v>
      </c>
      <c r="H4385" s="15" t="str">
        <f t="shared" si="1"/>
        <v>172083.00</v>
      </c>
      <c r="I4385" s="14" t="str">
        <f t="shared" si="2"/>
        <v>159994.00</v>
      </c>
      <c r="J4385" s="16" t="str">
        <f>TEXT(Raw_Data!J4385,"MMM-YYY")</f>
        <v>Jun-2025</v>
      </c>
      <c r="K4385" s="13" t="str">
        <f>Raw_Data!K4385</f>
        <v>2</v>
      </c>
      <c r="L4385" s="17" t="str">
        <f>Raw_Data!L4385</f>
        <v>Chennai-South</v>
      </c>
      <c r="M4385" s="13" t="str">
        <f t="shared" si="3"/>
        <v>OK</v>
      </c>
      <c r="N4385" s="18" t="str">
        <f t="shared" si="4"/>
        <v>VALID</v>
      </c>
    </row>
    <row r="4386" ht="15.75" customHeight="1">
      <c r="A4386" s="13" t="str">
        <f>Raw_Data!A4386</f>
        <v>EMP4624</v>
      </c>
      <c r="B4386" s="13" t="str">
        <f>TRIM(CLEAN(Raw_Data!B4386))</f>
        <v>Operations</v>
      </c>
      <c r="C4386" s="18" t="s">
        <v>18</v>
      </c>
      <c r="D4386" s="14" t="str">
        <f>IF(ISBLANK(Raw_Data!D4386),AVERAGE(Raw_Data!D$2:D$5002),Raw_Data!D4386)</f>
        <v>34589.86</v>
      </c>
      <c r="E4386" s="15" t="str">
        <f>IF(ISBLANK(Raw_Data!E4386),AVERAGE(Raw_Data!E$2:E$5002),Raw_Data!E4386)</f>
        <v>18637.26</v>
      </c>
      <c r="F4386" s="15" t="str">
        <f>IF(ISBLANK(Raw_Data!F4386),AVERAGE(Raw_Data!F$2:F$5002),Raw_Data!F4386)</f>
        <v>35683.59</v>
      </c>
      <c r="G4386" s="14" t="str">
        <f>IF(ISBLANK(Raw_Data!G4386),AVERAGE(Raw_Data!G$2:G$5002),Raw_Data!G4386)</f>
        <v>20150.53</v>
      </c>
      <c r="H4386" s="15" t="str">
        <f t="shared" si="1"/>
        <v>88911.00</v>
      </c>
      <c r="I4386" s="14" t="str">
        <f t="shared" si="2"/>
        <v>68760.00</v>
      </c>
      <c r="J4386" s="16" t="str">
        <f>TEXT(Raw_Data!J4386,"MMM-YYY")</f>
        <v>Aug-2025</v>
      </c>
      <c r="K4386" s="13" t="str">
        <f>Raw_Data!K4386</f>
        <v>25</v>
      </c>
      <c r="L4386" s="17" t="str">
        <f>Raw_Data!L4386</f>
        <v>Kolkata-East</v>
      </c>
      <c r="M4386" s="13" t="str">
        <f t="shared" si="3"/>
        <v>OK</v>
      </c>
      <c r="N4386" s="18" t="str">
        <f t="shared" si="4"/>
        <v>VALID</v>
      </c>
    </row>
    <row r="4387" ht="15.75" customHeight="1">
      <c r="A4387" s="13" t="str">
        <f>Raw_Data!A4387</f>
        <v>EMP4625</v>
      </c>
      <c r="B4387" s="13" t="str">
        <f>TRIM(CLEAN(Raw_Data!B4387))</f>
        <v>Marketing</v>
      </c>
      <c r="C4387" s="18" t="s">
        <v>37</v>
      </c>
      <c r="D4387" s="14" t="str">
        <f>IF(ISBLANK(Raw_Data!D4387),AVERAGE(Raw_Data!D$2:D$5002),Raw_Data!D4387)</f>
        <v>108718.69</v>
      </c>
      <c r="E4387" s="15" t="str">
        <f>IF(ISBLANK(Raw_Data!E4387),AVERAGE(Raw_Data!E$2:E$5002),Raw_Data!E4387)</f>
        <v>9158.13</v>
      </c>
      <c r="F4387" s="15" t="str">
        <f>IF(ISBLANK(Raw_Data!F4387),AVERAGE(Raw_Data!F$2:F$5002),Raw_Data!F4387)</f>
        <v>35691.27</v>
      </c>
      <c r="G4387" s="14" t="str">
        <f>IF(ISBLANK(Raw_Data!G4387),AVERAGE(Raw_Data!G$2:G$5002),Raw_Data!G4387)</f>
        <v>19829.30</v>
      </c>
      <c r="H4387" s="15" t="str">
        <f t="shared" si="1"/>
        <v>153568.00</v>
      </c>
      <c r="I4387" s="14" t="str">
        <f t="shared" si="2"/>
        <v>133739.00</v>
      </c>
      <c r="J4387" s="16" t="str">
        <f>TEXT(Raw_Data!J4387,"MMM-YYY")</f>
        <v>Dec-2025</v>
      </c>
      <c r="K4387" s="13" t="str">
        <f>Raw_Data!K4387</f>
        <v>15</v>
      </c>
      <c r="L4387" s="17" t="str">
        <f>Raw_Data!L4387</f>
        <v>Pune-West</v>
      </c>
      <c r="M4387" s="13" t="str">
        <f t="shared" si="3"/>
        <v>OK</v>
      </c>
      <c r="N4387" s="18" t="str">
        <f t="shared" si="4"/>
        <v>VALID</v>
      </c>
    </row>
    <row r="4388" ht="15.75" customHeight="1">
      <c r="A4388" s="13" t="str">
        <f>Raw_Data!A4388</f>
        <v>EMP4626</v>
      </c>
      <c r="B4388" s="13" t="str">
        <f>TRIM(CLEAN(Raw_Data!B4388))</f>
        <v>Marketing</v>
      </c>
      <c r="C4388" s="18" t="s">
        <v>33</v>
      </c>
      <c r="D4388" s="14" t="str">
        <f>IF(ISBLANK(Raw_Data!D4388),AVERAGE(Raw_Data!D$2:D$5002),Raw_Data!D4388)</f>
        <v>71630.94</v>
      </c>
      <c r="E4388" s="15" t="str">
        <f>IF(ISBLANK(Raw_Data!E4388),AVERAGE(Raw_Data!E$2:E$5002),Raw_Data!E4388)</f>
        <v>29729.88</v>
      </c>
      <c r="F4388" s="15" t="str">
        <f>IF(ISBLANK(Raw_Data!F4388),AVERAGE(Raw_Data!F$2:F$5002),Raw_Data!F4388)</f>
        <v>35698.95</v>
      </c>
      <c r="G4388" s="14" t="str">
        <f>IF(ISBLANK(Raw_Data!G4388),AVERAGE(Raw_Data!G$2:G$5002),Raw_Data!G4388)</f>
        <v>19119.93</v>
      </c>
      <c r="H4388" s="15" t="str">
        <f t="shared" si="1"/>
        <v>137060.00</v>
      </c>
      <c r="I4388" s="14" t="str">
        <f t="shared" si="2"/>
        <v>117940.00</v>
      </c>
      <c r="J4388" s="16" t="str">
        <f>TEXT(Raw_Data!J4388,"MMM-YYY")</f>
        <v>Oct-2025</v>
      </c>
      <c r="K4388" s="13" t="str">
        <f>Raw_Data!K4388</f>
        <v>25</v>
      </c>
      <c r="L4388" s="17" t="str">
        <f>Raw_Data!L4388</f>
        <v>Hyderabad-South</v>
      </c>
      <c r="M4388" s="13" t="str">
        <f t="shared" si="3"/>
        <v>OK</v>
      </c>
      <c r="N4388" s="18" t="str">
        <f t="shared" si="4"/>
        <v>VALID</v>
      </c>
    </row>
    <row r="4389" ht="15.75" customHeight="1">
      <c r="A4389" s="13" t="str">
        <f>Raw_Data!A4389</f>
        <v>EMP4627</v>
      </c>
      <c r="B4389" s="13" t="str">
        <f>TRIM(CLEAN(Raw_Data!B4389))</f>
        <v>IT</v>
      </c>
      <c r="C4389" s="18" t="s">
        <v>14</v>
      </c>
      <c r="D4389" s="14" t="str">
        <f>IF(ISBLANK(Raw_Data!D4389),AVERAGE(Raw_Data!D$2:D$5002),Raw_Data!D4389)</f>
        <v>99781.22</v>
      </c>
      <c r="E4389" s="15" t="str">
        <f>IF(ISBLANK(Raw_Data!E4389),AVERAGE(Raw_Data!E$2:E$5002),Raw_Data!E4389)</f>
        <v>14560.72</v>
      </c>
      <c r="F4389" s="15" t="str">
        <f>IF(ISBLANK(Raw_Data!F4389),AVERAGE(Raw_Data!F$2:F$5002),Raw_Data!F4389)</f>
        <v>35706.63</v>
      </c>
      <c r="G4389" s="14" t="str">
        <f>IF(ISBLANK(Raw_Data!G4389),AVERAGE(Raw_Data!G$2:G$5002),Raw_Data!G4389)</f>
        <v>9050.38</v>
      </c>
      <c r="H4389" s="15" t="str">
        <f t="shared" si="1"/>
        <v>150049.00</v>
      </c>
      <c r="I4389" s="14" t="str">
        <f t="shared" si="2"/>
        <v>140999.00</v>
      </c>
      <c r="J4389" s="16" t="str">
        <f>TEXT(Raw_Data!J4389,"MMM-YYY")</f>
        <v>Oct-2025</v>
      </c>
      <c r="K4389" s="13" t="str">
        <f>Raw_Data!K4389</f>
        <v>18</v>
      </c>
      <c r="L4389" s="17" t="str">
        <f>Raw_Data!L4389</f>
        <v>Chandigarh-North</v>
      </c>
      <c r="M4389" s="13" t="str">
        <f t="shared" si="3"/>
        <v>OK</v>
      </c>
      <c r="N4389" s="18" t="str">
        <f t="shared" si="4"/>
        <v>VALID</v>
      </c>
    </row>
    <row r="4390" ht="15.75" customHeight="1">
      <c r="A4390" s="13" t="str">
        <f>Raw_Data!A4390</f>
        <v>EMP4628</v>
      </c>
      <c r="B4390" s="13" t="str">
        <f>TRIM(CLEAN(Raw_Data!B4390))</f>
        <v>Sales</v>
      </c>
      <c r="C4390" s="18" t="s">
        <v>33</v>
      </c>
      <c r="D4390" s="14" t="str">
        <f>IF(ISBLANK(Raw_Data!D4390),AVERAGE(Raw_Data!D$2:D$5002),Raw_Data!D4390)</f>
        <v>109089.59</v>
      </c>
      <c r="E4390" s="15" t="str">
        <f>IF(ISBLANK(Raw_Data!E4390),AVERAGE(Raw_Data!E$2:E$5002),Raw_Data!E4390)</f>
        <v>22916.93</v>
      </c>
      <c r="F4390" s="15" t="str">
        <f>IF(ISBLANK(Raw_Data!F4390),AVERAGE(Raw_Data!F$2:F$5002),Raw_Data!F4390)</f>
        <v>35714.31</v>
      </c>
      <c r="G4390" s="14" t="str">
        <f>IF(ISBLANK(Raw_Data!G4390),AVERAGE(Raw_Data!G$2:G$5002),Raw_Data!G4390)</f>
        <v>11619.40</v>
      </c>
      <c r="H4390" s="15" t="str">
        <f t="shared" si="1"/>
        <v>167721.00</v>
      </c>
      <c r="I4390" s="14" t="str">
        <f t="shared" si="2"/>
        <v>156102.00</v>
      </c>
      <c r="J4390" s="16" t="str">
        <f>TEXT(Raw_Data!J4390,"MMM-YYY")</f>
        <v>Aug-2025</v>
      </c>
      <c r="K4390" s="13" t="str">
        <f>Raw_Data!K4390</f>
        <v>3</v>
      </c>
      <c r="L4390" s="17" t="str">
        <f>Raw_Data!L4390</f>
        <v>Ahmedabad-West</v>
      </c>
      <c r="M4390" s="13" t="str">
        <f t="shared" si="3"/>
        <v>OK</v>
      </c>
      <c r="N4390" s="18" t="str">
        <f t="shared" si="4"/>
        <v>VALID</v>
      </c>
    </row>
    <row r="4391" ht="15.75" customHeight="1">
      <c r="A4391" s="13" t="str">
        <f>Raw_Data!A4391</f>
        <v>EMP4629</v>
      </c>
      <c r="B4391" s="13" t="str">
        <f>TRIM(CLEAN(Raw_Data!B4391))</f>
        <v>Marketing</v>
      </c>
      <c r="C4391" s="18" t="s">
        <v>33</v>
      </c>
      <c r="D4391" s="14" t="str">
        <f>IF(ISBLANK(Raw_Data!D4391),AVERAGE(Raw_Data!D$2:D$5002),Raw_Data!D4391)</f>
        <v>48390.36</v>
      </c>
      <c r="E4391" s="15" t="str">
        <f>IF(ISBLANK(Raw_Data!E4391),AVERAGE(Raw_Data!E$2:E$5002),Raw_Data!E4391)</f>
        <v>29121.98</v>
      </c>
      <c r="F4391" s="15" t="str">
        <f>IF(ISBLANK(Raw_Data!F4391),AVERAGE(Raw_Data!F$2:F$5002),Raw_Data!F4391)</f>
        <v>35721.99</v>
      </c>
      <c r="G4391" s="14" t="str">
        <f>IF(ISBLANK(Raw_Data!G4391),AVERAGE(Raw_Data!G$2:G$5002),Raw_Data!G4391)</f>
        <v>15076.72</v>
      </c>
      <c r="H4391" s="15" t="str">
        <f t="shared" si="1"/>
        <v>113234.00</v>
      </c>
      <c r="I4391" s="14" t="str">
        <f t="shared" si="2"/>
        <v>98157.00</v>
      </c>
      <c r="J4391" s="16" t="str">
        <f>TEXT(Raw_Data!J4391,"MMM-YYY")</f>
        <v>Jan-2025</v>
      </c>
      <c r="K4391" s="13" t="str">
        <f>Raw_Data!K4391</f>
        <v>23</v>
      </c>
      <c r="L4391" s="17" t="str">
        <f>Raw_Data!L4391</f>
        <v>Jaipur-North</v>
      </c>
      <c r="M4391" s="13" t="str">
        <f t="shared" si="3"/>
        <v>OK</v>
      </c>
      <c r="N4391" s="18" t="str">
        <f t="shared" si="4"/>
        <v>VALID</v>
      </c>
    </row>
    <row r="4392" ht="15.75" customHeight="1">
      <c r="A4392" s="13" t="str">
        <f>Raw_Data!A4392</f>
        <v>EMP4630</v>
      </c>
      <c r="B4392" s="13" t="str">
        <f>TRIM(CLEAN(Raw_Data!B4392))</f>
        <v>Operations</v>
      </c>
      <c r="C4392" s="18" t="s">
        <v>54</v>
      </c>
      <c r="D4392" s="14" t="str">
        <f>IF(ISBLANK(Raw_Data!D4392),AVERAGE(Raw_Data!D$2:D$5002),Raw_Data!D4392)</f>
        <v>26555.45</v>
      </c>
      <c r="E4392" s="15" t="str">
        <f>IF(ISBLANK(Raw_Data!E4392),AVERAGE(Raw_Data!E$2:E$5002),Raw_Data!E4392)</f>
        <v>36409.51</v>
      </c>
      <c r="F4392" s="15" t="str">
        <f>IF(ISBLANK(Raw_Data!F4392),AVERAGE(Raw_Data!F$2:F$5002),Raw_Data!F4392)</f>
        <v>35729.67</v>
      </c>
      <c r="G4392" s="14" t="str">
        <f>IF(ISBLANK(Raw_Data!G4392),AVERAGE(Raw_Data!G$2:G$5002),Raw_Data!G4392)</f>
        <v>24361.54</v>
      </c>
      <c r="H4392" s="15" t="str">
        <f t="shared" si="1"/>
        <v>98695.00</v>
      </c>
      <c r="I4392" s="14" t="str">
        <f t="shared" si="2"/>
        <v>74333.00</v>
      </c>
      <c r="J4392" s="16" t="str">
        <f>TEXT(Raw_Data!J4392,"MMM-YYY")</f>
        <v>May-2025</v>
      </c>
      <c r="K4392" s="13" t="str">
        <f>Raw_Data!K4392</f>
        <v>4</v>
      </c>
      <c r="L4392" s="17" t="str">
        <f>Raw_Data!L4392</f>
        <v>Mumbai-HO</v>
      </c>
      <c r="M4392" s="13" t="str">
        <f t="shared" si="3"/>
        <v>OK</v>
      </c>
      <c r="N4392" s="18" t="str">
        <f t="shared" si="4"/>
        <v>VALID</v>
      </c>
    </row>
    <row r="4393" ht="15.75" customHeight="1">
      <c r="A4393" s="13" t="str">
        <f>Raw_Data!A4393</f>
        <v>EMP4631</v>
      </c>
      <c r="B4393" s="13" t="str">
        <f>TRIM(CLEAN(Raw_Data!B4393))</f>
        <v>Sales</v>
      </c>
      <c r="C4393" s="18" t="s">
        <v>33</v>
      </c>
      <c r="D4393" s="14" t="str">
        <f>IF(ISBLANK(Raw_Data!D4393),AVERAGE(Raw_Data!D$2:D$5002),Raw_Data!D4393)</f>
        <v>38933.19</v>
      </c>
      <c r="E4393" s="15" t="str">
        <f>IF(ISBLANK(Raw_Data!E4393),AVERAGE(Raw_Data!E$2:E$5002),Raw_Data!E4393)</f>
        <v>32518.88</v>
      </c>
      <c r="F4393" s="15" t="str">
        <f>IF(ISBLANK(Raw_Data!F4393),AVERAGE(Raw_Data!F$2:F$5002),Raw_Data!F4393)</f>
        <v>35737.35</v>
      </c>
      <c r="G4393" s="14" t="str">
        <f>IF(ISBLANK(Raw_Data!G4393),AVERAGE(Raw_Data!G$2:G$5002),Raw_Data!G4393)</f>
        <v>8524.91</v>
      </c>
      <c r="H4393" s="15" t="str">
        <f t="shared" si="1"/>
        <v>107189.00</v>
      </c>
      <c r="I4393" s="14" t="str">
        <f t="shared" si="2"/>
        <v>98664.00</v>
      </c>
      <c r="J4393" s="16" t="str">
        <f>TEXT(Raw_Data!J4393,"MMM-YYY")</f>
        <v>Jan-2025</v>
      </c>
      <c r="K4393" s="13" t="str">
        <f>Raw_Data!K4393</f>
        <v>14</v>
      </c>
      <c r="L4393" s="17" t="str">
        <f>Raw_Data!L4393</f>
        <v>Delhi-North</v>
      </c>
      <c r="M4393" s="13" t="str">
        <f t="shared" si="3"/>
        <v>OK</v>
      </c>
      <c r="N4393" s="18" t="str">
        <f t="shared" si="4"/>
        <v>VALID</v>
      </c>
    </row>
    <row r="4394" ht="15.75" customHeight="1">
      <c r="A4394" s="13" t="str">
        <f>Raw_Data!A4394</f>
        <v>EMP4632</v>
      </c>
      <c r="B4394" s="13" t="str">
        <f>TRIM(CLEAN(Raw_Data!B4394))</f>
        <v>Finance</v>
      </c>
      <c r="C4394" s="18" t="s">
        <v>26</v>
      </c>
      <c r="D4394" s="14" t="str">
        <f>IF(ISBLANK(Raw_Data!D4394),AVERAGE(Raw_Data!D$2:D$5002),Raw_Data!D4394)</f>
        <v>59846.32</v>
      </c>
      <c r="E4394" s="15" t="str">
        <f>IF(ISBLANK(Raw_Data!E4394),AVERAGE(Raw_Data!E$2:E$5002),Raw_Data!E4394)</f>
        <v>28349.00</v>
      </c>
      <c r="F4394" s="15" t="str">
        <f>IF(ISBLANK(Raw_Data!F4394),AVERAGE(Raw_Data!F$2:F$5002),Raw_Data!F4394)</f>
        <v>35745.03</v>
      </c>
      <c r="G4394" s="14" t="str">
        <f>IF(ISBLANK(Raw_Data!G4394),AVERAGE(Raw_Data!G$2:G$5002),Raw_Data!G4394)</f>
        <v>23117.03</v>
      </c>
      <c r="H4394" s="15" t="str">
        <f t="shared" si="1"/>
        <v>123940.00</v>
      </c>
      <c r="I4394" s="14" t="str">
        <f t="shared" si="2"/>
        <v>100823.00</v>
      </c>
      <c r="J4394" s="16" t="str">
        <f>TEXT(Raw_Data!J4394,"MMM-YYY")</f>
        <v>Apr-2025</v>
      </c>
      <c r="K4394" s="13" t="str">
        <f>Raw_Data!K4394</f>
        <v>14</v>
      </c>
      <c r="L4394" s="17" t="str">
        <f>Raw_Data!L4394</f>
        <v>Bangalore-South</v>
      </c>
      <c r="M4394" s="13" t="str">
        <f t="shared" si="3"/>
        <v>OK</v>
      </c>
      <c r="N4394" s="18" t="str">
        <f t="shared" si="4"/>
        <v>VALID</v>
      </c>
    </row>
    <row r="4395" ht="15.75" customHeight="1">
      <c r="A4395" s="13" t="str">
        <f>Raw_Data!A4395</f>
        <v>EMP4633</v>
      </c>
      <c r="B4395" s="13" t="str">
        <f>TRIM(CLEAN(Raw_Data!B4395))</f>
        <v>Sales</v>
      </c>
      <c r="C4395" s="18" t="s">
        <v>33</v>
      </c>
      <c r="D4395" s="14" t="str">
        <f>IF(ISBLANK(Raw_Data!D4395),AVERAGE(Raw_Data!D$2:D$5002),Raw_Data!D4395)</f>
        <v>100891.55</v>
      </c>
      <c r="E4395" s="15" t="str">
        <f>IF(ISBLANK(Raw_Data!E4395),AVERAGE(Raw_Data!E$2:E$5002),Raw_Data!E4395)</f>
        <v>28466.79</v>
      </c>
      <c r="F4395" s="15" t="str">
        <f>IF(ISBLANK(Raw_Data!F4395),AVERAGE(Raw_Data!F$2:F$5002),Raw_Data!F4395)</f>
        <v>35752.71</v>
      </c>
      <c r="G4395" s="14" t="str">
        <f>IF(ISBLANK(Raw_Data!G4395),AVERAGE(Raw_Data!G$2:G$5002),Raw_Data!G4395)</f>
        <v>7099.24</v>
      </c>
      <c r="H4395" s="15" t="str">
        <f t="shared" si="1"/>
        <v>165111.00</v>
      </c>
      <c r="I4395" s="14" t="str">
        <f t="shared" si="2"/>
        <v>158012.00</v>
      </c>
      <c r="J4395" s="16" t="str">
        <f>TEXT(Raw_Data!J4395,"MMM-YYY")</f>
        <v>Feb-2025</v>
      </c>
      <c r="K4395" s="13" t="str">
        <f>Raw_Data!K4395</f>
        <v>2</v>
      </c>
      <c r="L4395" s="17" t="str">
        <f>Raw_Data!L4395</f>
        <v>Chennai-South</v>
      </c>
      <c r="M4395" s="13" t="str">
        <f t="shared" si="3"/>
        <v>OK</v>
      </c>
      <c r="N4395" s="18" t="str">
        <f t="shared" si="4"/>
        <v>VALID</v>
      </c>
    </row>
    <row r="4396" ht="15.75" customHeight="1">
      <c r="A4396" s="13" t="str">
        <f>Raw_Data!A4396</f>
        <v>EMP4634</v>
      </c>
      <c r="B4396" s="13" t="str">
        <f>TRIM(CLEAN(Raw_Data!B4396))</f>
        <v>Operations</v>
      </c>
      <c r="C4396" s="18" t="s">
        <v>26</v>
      </c>
      <c r="D4396" s="14" t="str">
        <f>IF(ISBLANK(Raw_Data!D4396),AVERAGE(Raw_Data!D$2:D$5002),Raw_Data!D4396)</f>
        <v>105376.71</v>
      </c>
      <c r="E4396" s="15" t="str">
        <f>IF(ISBLANK(Raw_Data!E4396),AVERAGE(Raw_Data!E$2:E$5002),Raw_Data!E4396)</f>
        <v>38053.29</v>
      </c>
      <c r="F4396" s="15" t="str">
        <f>IF(ISBLANK(Raw_Data!F4396),AVERAGE(Raw_Data!F$2:F$5002),Raw_Data!F4396)</f>
        <v>35760.39</v>
      </c>
      <c r="G4396" s="14" t="str">
        <f>IF(ISBLANK(Raw_Data!G4396),AVERAGE(Raw_Data!G$2:G$5002),Raw_Data!G4396)</f>
        <v>24732.32</v>
      </c>
      <c r="H4396" s="15" t="str">
        <f t="shared" si="1"/>
        <v>179190.00</v>
      </c>
      <c r="I4396" s="14" t="str">
        <f t="shared" si="2"/>
        <v>154458.00</v>
      </c>
      <c r="J4396" s="16" t="str">
        <f>TEXT(Raw_Data!J4396,"MMM-YYY")</f>
        <v>Jun-2025</v>
      </c>
      <c r="K4396" s="13" t="str">
        <f>Raw_Data!K4396</f>
        <v>22</v>
      </c>
      <c r="L4396" s="17" t="str">
        <f>Raw_Data!L4396</f>
        <v>Kolkata-East</v>
      </c>
      <c r="M4396" s="13" t="str">
        <f t="shared" si="3"/>
        <v>OK</v>
      </c>
      <c r="N4396" s="18" t="str">
        <f t="shared" si="4"/>
        <v>VALID</v>
      </c>
    </row>
    <row r="4397" ht="15.75" customHeight="1">
      <c r="A4397" s="13" t="str">
        <f>Raw_Data!A4397</f>
        <v>EMP4635</v>
      </c>
      <c r="B4397" s="13" t="str">
        <f>TRIM(CLEAN(Raw_Data!B4397))</f>
        <v>Operations</v>
      </c>
      <c r="C4397" s="18" t="s">
        <v>54</v>
      </c>
      <c r="D4397" s="14" t="str">
        <f>IF(ISBLANK(Raw_Data!D4397),AVERAGE(Raw_Data!D$2:D$5002),Raw_Data!D4397)</f>
        <v>15729.97</v>
      </c>
      <c r="E4397" s="15" t="str">
        <f>IF(ISBLANK(Raw_Data!E4397),AVERAGE(Raw_Data!E$2:E$5002),Raw_Data!E4397)</f>
        <v>14649.67</v>
      </c>
      <c r="F4397" s="15" t="str">
        <f>IF(ISBLANK(Raw_Data!F4397),AVERAGE(Raw_Data!F$2:F$5002),Raw_Data!F4397)</f>
        <v>35768.07</v>
      </c>
      <c r="G4397" s="14" t="str">
        <f>IF(ISBLANK(Raw_Data!G4397),AVERAGE(Raw_Data!G$2:G$5002),Raw_Data!G4397)</f>
        <v>16921.46</v>
      </c>
      <c r="H4397" s="15" t="str">
        <f t="shared" si="1"/>
        <v>66148.00</v>
      </c>
      <c r="I4397" s="14" t="str">
        <f t="shared" si="2"/>
        <v>49227.00</v>
      </c>
      <c r="J4397" s="16" t="str">
        <f>TEXT(Raw_Data!J4397,"MMM-YYY")</f>
        <v>Jun-2025</v>
      </c>
      <c r="K4397" s="13" t="str">
        <f>Raw_Data!K4397</f>
        <v>9</v>
      </c>
      <c r="L4397" s="17" t="str">
        <f>Raw_Data!L4397</f>
        <v>Pune-West</v>
      </c>
      <c r="M4397" s="13" t="str">
        <f t="shared" si="3"/>
        <v>OK</v>
      </c>
      <c r="N4397" s="18" t="str">
        <f t="shared" si="4"/>
        <v>VALID</v>
      </c>
    </row>
    <row r="4398" ht="15.75" customHeight="1">
      <c r="A4398" s="13" t="str">
        <f>Raw_Data!A4398</f>
        <v>EMP4636</v>
      </c>
      <c r="B4398" s="13" t="str">
        <f>TRIM(CLEAN(Raw_Data!B4398))</f>
        <v>Finance</v>
      </c>
      <c r="C4398" s="18" t="s">
        <v>54</v>
      </c>
      <c r="D4398" s="14" t="str">
        <f>IF(ISBLANK(Raw_Data!D4398),AVERAGE(Raw_Data!D$2:D$5002),Raw_Data!D4398)</f>
        <v>68628.47</v>
      </c>
      <c r="E4398" s="15" t="str">
        <f>IF(ISBLANK(Raw_Data!E4398),AVERAGE(Raw_Data!E$2:E$5002),Raw_Data!E4398)</f>
        <v>4040.04</v>
      </c>
      <c r="F4398" s="15" t="str">
        <f>IF(ISBLANK(Raw_Data!F4398),AVERAGE(Raw_Data!F$2:F$5002),Raw_Data!F4398)</f>
        <v>35775.75</v>
      </c>
      <c r="G4398" s="14" t="str">
        <f>IF(ISBLANK(Raw_Data!G4398),AVERAGE(Raw_Data!G$2:G$5002),Raw_Data!G4398)</f>
        <v>11856.03</v>
      </c>
      <c r="H4398" s="15" t="str">
        <f t="shared" si="1"/>
        <v>108444.00</v>
      </c>
      <c r="I4398" s="14" t="str">
        <f t="shared" si="2"/>
        <v>96588.00</v>
      </c>
      <c r="J4398" s="16" t="str">
        <f>TEXT(Raw_Data!J4398,"MMM-YYY")</f>
        <v>Dec-2025</v>
      </c>
      <c r="K4398" s="13" t="str">
        <f>Raw_Data!K4398</f>
        <v>10</v>
      </c>
      <c r="L4398" s="17" t="str">
        <f>Raw_Data!L4398</f>
        <v>Hyderabad-South</v>
      </c>
      <c r="M4398" s="13" t="str">
        <f t="shared" si="3"/>
        <v>OK</v>
      </c>
      <c r="N4398" s="18" t="str">
        <f t="shared" si="4"/>
        <v>VALID</v>
      </c>
    </row>
    <row r="4399" ht="15.75" customHeight="1">
      <c r="A4399" s="13" t="str">
        <f>Raw_Data!A4399</f>
        <v>EMP4637</v>
      </c>
      <c r="B4399" s="13" t="str">
        <f>TRIM(CLEAN(Raw_Data!B4399))</f>
        <v>Sales</v>
      </c>
      <c r="C4399" s="18" t="s">
        <v>30</v>
      </c>
      <c r="D4399" s="14" t="str">
        <f>IF(ISBLANK(Raw_Data!D4399),AVERAGE(Raw_Data!D$2:D$5002),Raw_Data!D4399)</f>
        <v>58828.16</v>
      </c>
      <c r="E4399" s="15" t="str">
        <f>IF(ISBLANK(Raw_Data!E4399),AVERAGE(Raw_Data!E$2:E$5002),Raw_Data!E4399)</f>
        <v>13790.36</v>
      </c>
      <c r="F4399" s="15" t="str">
        <f>IF(ISBLANK(Raw_Data!F4399),AVERAGE(Raw_Data!F$2:F$5002),Raw_Data!F4399)</f>
        <v>35783.43</v>
      </c>
      <c r="G4399" s="14" t="str">
        <f>IF(ISBLANK(Raw_Data!G4399),AVERAGE(Raw_Data!G$2:G$5002),Raw_Data!G4399)</f>
        <v>15528.07</v>
      </c>
      <c r="H4399" s="15" t="str">
        <f t="shared" si="1"/>
        <v>108402.00</v>
      </c>
      <c r="I4399" s="14" t="str">
        <f t="shared" si="2"/>
        <v>92874.00</v>
      </c>
      <c r="J4399" s="16" t="str">
        <f>TEXT(Raw_Data!J4399,"MMM-YYY")</f>
        <v>Mar-2025</v>
      </c>
      <c r="K4399" s="13" t="str">
        <f>Raw_Data!K4399</f>
        <v>5</v>
      </c>
      <c r="L4399" s="17" t="str">
        <f>Raw_Data!L4399</f>
        <v>Chandigarh-North</v>
      </c>
      <c r="M4399" s="13" t="str">
        <f t="shared" si="3"/>
        <v>OK</v>
      </c>
      <c r="N4399" s="18" t="str">
        <f t="shared" si="4"/>
        <v>VALID</v>
      </c>
    </row>
    <row r="4400" ht="15.75" customHeight="1">
      <c r="A4400" s="13" t="str">
        <f>Raw_Data!A4400</f>
        <v>EMP4638</v>
      </c>
      <c r="B4400" s="13" t="str">
        <f>TRIM(CLEAN(Raw_Data!B4400))</f>
        <v>Customer Support</v>
      </c>
      <c r="C4400" s="18" t="s">
        <v>26</v>
      </c>
      <c r="D4400" s="14" t="str">
        <f>IF(ISBLANK(Raw_Data!D4400),AVERAGE(Raw_Data!D$2:D$5002),Raw_Data!D4400)</f>
        <v>38321.32</v>
      </c>
      <c r="E4400" s="15" t="str">
        <f>IF(ISBLANK(Raw_Data!E4400),AVERAGE(Raw_Data!E$2:E$5002),Raw_Data!E4400)</f>
        <v>11844.09</v>
      </c>
      <c r="F4400" s="15" t="str">
        <f>IF(ISBLANK(Raw_Data!F4400),AVERAGE(Raw_Data!F$2:F$5002),Raw_Data!F4400)</f>
        <v>35791.11</v>
      </c>
      <c r="G4400" s="14" t="str">
        <f>IF(ISBLANK(Raw_Data!G4400),AVERAGE(Raw_Data!G$2:G$5002),Raw_Data!G4400)</f>
        <v>7177.01</v>
      </c>
      <c r="H4400" s="15" t="str">
        <f t="shared" si="1"/>
        <v>85957.00</v>
      </c>
      <c r="I4400" s="14" t="str">
        <f t="shared" si="2"/>
        <v>78780.00</v>
      </c>
      <c r="J4400" s="16" t="str">
        <f>TEXT(Raw_Data!J4400,"MMM-YYY")</f>
        <v>Sep-2025</v>
      </c>
      <c r="K4400" s="13" t="str">
        <f>Raw_Data!K4400</f>
        <v>4</v>
      </c>
      <c r="L4400" s="17" t="str">
        <f>Raw_Data!L4400</f>
        <v>Ahmedabad-West</v>
      </c>
      <c r="M4400" s="13" t="str">
        <f t="shared" si="3"/>
        <v>OK</v>
      </c>
      <c r="N4400" s="18" t="str">
        <f t="shared" si="4"/>
        <v>VALID</v>
      </c>
    </row>
    <row r="4401" ht="15.75" customHeight="1">
      <c r="A4401" s="13" t="str">
        <f>Raw_Data!A4401</f>
        <v>EMP4639</v>
      </c>
      <c r="B4401" s="13" t="str">
        <f>TRIM(CLEAN(Raw_Data!B4401))</f>
        <v>Operations</v>
      </c>
      <c r="C4401" s="18" t="s">
        <v>54</v>
      </c>
      <c r="D4401" s="14" t="str">
        <f>IF(ISBLANK(Raw_Data!D4401),AVERAGE(Raw_Data!D$2:D$5002),Raw_Data!D4401)</f>
        <v>27585.86</v>
      </c>
      <c r="E4401" s="15" t="str">
        <f>IF(ISBLANK(Raw_Data!E4401),AVERAGE(Raw_Data!E$2:E$5002),Raw_Data!E4401)</f>
        <v>27826.05</v>
      </c>
      <c r="F4401" s="15" t="str">
        <f>IF(ISBLANK(Raw_Data!F4401),AVERAGE(Raw_Data!F$2:F$5002),Raw_Data!F4401)</f>
        <v>35798.79</v>
      </c>
      <c r="G4401" s="14" t="str">
        <f>IF(ISBLANK(Raw_Data!G4401),AVERAGE(Raw_Data!G$2:G$5002),Raw_Data!G4401)</f>
        <v>7217.26</v>
      </c>
      <c r="H4401" s="15" t="str">
        <f t="shared" si="1"/>
        <v>91211.00</v>
      </c>
      <c r="I4401" s="14" t="str">
        <f t="shared" si="2"/>
        <v>83994.00</v>
      </c>
      <c r="J4401" s="16" t="str">
        <f>TEXT(Raw_Data!J4401,"MMM-YYY")</f>
        <v>Jun-2025</v>
      </c>
      <c r="K4401" s="13" t="str">
        <f>Raw_Data!K4401</f>
        <v>14</v>
      </c>
      <c r="L4401" s="17" t="str">
        <f>Raw_Data!L4401</f>
        <v>Jaipur-North</v>
      </c>
      <c r="M4401" s="13" t="str">
        <f t="shared" si="3"/>
        <v>OK</v>
      </c>
      <c r="N4401" s="18" t="str">
        <f t="shared" si="4"/>
        <v>VALID</v>
      </c>
    </row>
    <row r="4402" ht="15.75" customHeight="1">
      <c r="A4402" s="13" t="str">
        <f>Raw_Data!A4402</f>
        <v>EMP4640</v>
      </c>
      <c r="B4402" s="13" t="str">
        <f>TRIM(CLEAN(Raw_Data!B4402))</f>
        <v>Finance</v>
      </c>
      <c r="C4402" s="18" t="s">
        <v>26</v>
      </c>
      <c r="D4402" s="14" t="str">
        <f>IF(ISBLANK(Raw_Data!D4402),AVERAGE(Raw_Data!D$2:D$5002),Raw_Data!D4402)</f>
        <v>50449.59</v>
      </c>
      <c r="E4402" s="15" t="str">
        <f>IF(ISBLANK(Raw_Data!E4402),AVERAGE(Raw_Data!E$2:E$5002),Raw_Data!E4402)</f>
        <v>26813.62</v>
      </c>
      <c r="F4402" s="15" t="str">
        <f>IF(ISBLANK(Raw_Data!F4402),AVERAGE(Raw_Data!F$2:F$5002),Raw_Data!F4402)</f>
        <v>35806.47</v>
      </c>
      <c r="G4402" s="14" t="str">
        <f>IF(ISBLANK(Raw_Data!G4402),AVERAGE(Raw_Data!G$2:G$5002),Raw_Data!G4402)</f>
        <v>3282.09</v>
      </c>
      <c r="H4402" s="15" t="str">
        <f t="shared" si="1"/>
        <v>113070.00</v>
      </c>
      <c r="I4402" s="14" t="str">
        <f t="shared" si="2"/>
        <v>109788.00</v>
      </c>
      <c r="J4402" s="16" t="str">
        <f>TEXT(Raw_Data!J4402,"MMM-YYY")</f>
        <v>Jan-2025</v>
      </c>
      <c r="K4402" s="13" t="str">
        <f>Raw_Data!K4402</f>
        <v>20</v>
      </c>
      <c r="L4402" s="17" t="str">
        <f>Raw_Data!L4402</f>
        <v>Mumbai-HO</v>
      </c>
      <c r="M4402" s="13" t="str">
        <f t="shared" si="3"/>
        <v>OK</v>
      </c>
      <c r="N4402" s="18" t="str">
        <f t="shared" si="4"/>
        <v>VALID</v>
      </c>
    </row>
    <row r="4403" ht="15.75" customHeight="1">
      <c r="A4403" s="13" t="str">
        <f>Raw_Data!A4403</f>
        <v>EMP4642</v>
      </c>
      <c r="B4403" s="13" t="str">
        <f>TRIM(CLEAN(Raw_Data!B4403))</f>
        <v>Operations</v>
      </c>
      <c r="C4403" s="18" t="s">
        <v>30</v>
      </c>
      <c r="D4403" s="14" t="str">
        <f>IF(ISBLANK(Raw_Data!D4403),AVERAGE(Raw_Data!D$2:D$5002),Raw_Data!D4403)</f>
        <v>48936.31</v>
      </c>
      <c r="E4403" s="15" t="str">
        <f>IF(ISBLANK(Raw_Data!E4403),AVERAGE(Raw_Data!E$2:E$5002),Raw_Data!E4403)</f>
        <v>4584.76</v>
      </c>
      <c r="F4403" s="15" t="str">
        <f>IF(ISBLANK(Raw_Data!F4403),AVERAGE(Raw_Data!F$2:F$5002),Raw_Data!F4403)</f>
        <v>35821.83</v>
      </c>
      <c r="G4403" s="14" t="str">
        <f>IF(ISBLANK(Raw_Data!G4403),AVERAGE(Raw_Data!G$2:G$5002),Raw_Data!G4403)</f>
        <v>9017.96</v>
      </c>
      <c r="H4403" s="15" t="str">
        <f t="shared" si="1"/>
        <v>89343.00</v>
      </c>
      <c r="I4403" s="14" t="str">
        <f t="shared" si="2"/>
        <v>80325.00</v>
      </c>
      <c r="J4403" s="16" t="str">
        <f>TEXT(Raw_Data!J4403,"MMM-YYY")</f>
        <v>Jun-2025</v>
      </c>
      <c r="K4403" s="13" t="str">
        <f>Raw_Data!K4403</f>
        <v>23</v>
      </c>
      <c r="L4403" s="17" t="str">
        <f>Raw_Data!L4403</f>
        <v>Bangalore-South</v>
      </c>
      <c r="M4403" s="13" t="str">
        <f t="shared" si="3"/>
        <v>OK</v>
      </c>
      <c r="N4403" s="18" t="str">
        <f t="shared" si="4"/>
        <v>VALID</v>
      </c>
    </row>
    <row r="4404" ht="15.75" customHeight="1">
      <c r="A4404" s="13" t="str">
        <f>Raw_Data!A4404</f>
        <v>EMP4643</v>
      </c>
      <c r="B4404" s="13" t="str">
        <f>TRIM(CLEAN(Raw_Data!B4404))</f>
        <v>Customer Support</v>
      </c>
      <c r="C4404" s="18" t="s">
        <v>54</v>
      </c>
      <c r="D4404" s="14" t="str">
        <f>IF(ISBLANK(Raw_Data!D4404),AVERAGE(Raw_Data!D$2:D$5002),Raw_Data!D4404)</f>
        <v>69473.02</v>
      </c>
      <c r="E4404" s="15" t="str">
        <f>IF(ISBLANK(Raw_Data!E4404),AVERAGE(Raw_Data!E$2:E$5002),Raw_Data!E4404)</f>
        <v>30236.01</v>
      </c>
      <c r="F4404" s="15" t="str">
        <f>IF(ISBLANK(Raw_Data!F4404),AVERAGE(Raw_Data!F$2:F$5002),Raw_Data!F4404)</f>
        <v>35829.51</v>
      </c>
      <c r="G4404" s="14" t="str">
        <f>IF(ISBLANK(Raw_Data!G4404),AVERAGE(Raw_Data!G$2:G$5002),Raw_Data!G4404)</f>
        <v>19189.96</v>
      </c>
      <c r="H4404" s="15" t="str">
        <f t="shared" si="1"/>
        <v>135539.00</v>
      </c>
      <c r="I4404" s="14" t="str">
        <f t="shared" si="2"/>
        <v>116349.00</v>
      </c>
      <c r="J4404" s="16" t="str">
        <f>TEXT(Raw_Data!J4404,"MMM-YYY")</f>
        <v>Feb-2025</v>
      </c>
      <c r="K4404" s="13" t="str">
        <f>Raw_Data!K4404</f>
        <v>20</v>
      </c>
      <c r="L4404" s="17" t="str">
        <f>Raw_Data!L4404</f>
        <v>Chennai-South</v>
      </c>
      <c r="M4404" s="13" t="str">
        <f t="shared" si="3"/>
        <v>OK</v>
      </c>
      <c r="N4404" s="18" t="str">
        <f t="shared" si="4"/>
        <v>VALID</v>
      </c>
    </row>
    <row r="4405" ht="15.75" customHeight="1">
      <c r="A4405" s="13" t="str">
        <f>Raw_Data!A4405</f>
        <v>EMP4644</v>
      </c>
      <c r="B4405" s="13" t="str">
        <f>TRIM(CLEAN(Raw_Data!B4405))</f>
        <v>Sales</v>
      </c>
      <c r="C4405" s="18" t="s">
        <v>30</v>
      </c>
      <c r="D4405" s="14" t="str">
        <f>IF(ISBLANK(Raw_Data!D4405),AVERAGE(Raw_Data!D$2:D$5002),Raw_Data!D4405)</f>
        <v>88816.99</v>
      </c>
      <c r="E4405" s="15" t="str">
        <f>IF(ISBLANK(Raw_Data!E4405),AVERAGE(Raw_Data!E$2:E$5002),Raw_Data!E4405)</f>
        <v>15647.09</v>
      </c>
      <c r="F4405" s="15" t="str">
        <f>IF(ISBLANK(Raw_Data!F4405),AVERAGE(Raw_Data!F$2:F$5002),Raw_Data!F4405)</f>
        <v>35837.19</v>
      </c>
      <c r="G4405" s="14" t="str">
        <f>IF(ISBLANK(Raw_Data!G4405),AVERAGE(Raw_Data!G$2:G$5002),Raw_Data!G4405)</f>
        <v>15395.29</v>
      </c>
      <c r="H4405" s="15" t="str">
        <f t="shared" si="1"/>
        <v>140301.00</v>
      </c>
      <c r="I4405" s="14" t="str">
        <f t="shared" si="2"/>
        <v>124906.00</v>
      </c>
      <c r="J4405" s="16" t="str">
        <f>TEXT(Raw_Data!J4405,"MMM-YYY")</f>
        <v>Mar-2025</v>
      </c>
      <c r="K4405" s="13" t="str">
        <f>Raw_Data!K4405</f>
        <v>6</v>
      </c>
      <c r="L4405" s="17" t="str">
        <f>Raw_Data!L4405</f>
        <v>Kolkata-East</v>
      </c>
      <c r="M4405" s="13" t="str">
        <f t="shared" si="3"/>
        <v>OK</v>
      </c>
      <c r="N4405" s="18" t="str">
        <f t="shared" si="4"/>
        <v>VALID</v>
      </c>
    </row>
    <row r="4406" ht="15.75" customHeight="1">
      <c r="A4406" s="13" t="str">
        <f>Raw_Data!A4406</f>
        <v>EMP4645</v>
      </c>
      <c r="B4406" s="13" t="str">
        <f>TRIM(CLEAN(Raw_Data!B4406))</f>
        <v>IT</v>
      </c>
      <c r="C4406" s="18" t="s">
        <v>26</v>
      </c>
      <c r="D4406" s="14" t="str">
        <f>IF(ISBLANK(Raw_Data!D4406),AVERAGE(Raw_Data!D$2:D$5002),Raw_Data!D4406)</f>
        <v>53181.11</v>
      </c>
      <c r="E4406" s="15" t="str">
        <f>IF(ISBLANK(Raw_Data!E4406),AVERAGE(Raw_Data!E$2:E$5002),Raw_Data!E4406)</f>
        <v>27942.02</v>
      </c>
      <c r="F4406" s="15" t="str">
        <f>IF(ISBLANK(Raw_Data!F4406),AVERAGE(Raw_Data!F$2:F$5002),Raw_Data!F4406)</f>
        <v>35844.87</v>
      </c>
      <c r="G4406" s="14" t="str">
        <f>IF(ISBLANK(Raw_Data!G4406),AVERAGE(Raw_Data!G$2:G$5002),Raw_Data!G4406)</f>
        <v>3013.32</v>
      </c>
      <c r="H4406" s="15" t="str">
        <f t="shared" si="1"/>
        <v>116968.00</v>
      </c>
      <c r="I4406" s="14" t="str">
        <f t="shared" si="2"/>
        <v>113955.00</v>
      </c>
      <c r="J4406" s="16" t="str">
        <f>TEXT(Raw_Data!J4406,"MMM-YYY")</f>
        <v>Sep-2025</v>
      </c>
      <c r="K4406" s="13" t="str">
        <f>Raw_Data!K4406</f>
        <v>1</v>
      </c>
      <c r="L4406" s="17" t="str">
        <f>Raw_Data!L4406</f>
        <v>Pune-West</v>
      </c>
      <c r="M4406" s="13" t="str">
        <f t="shared" si="3"/>
        <v>OK</v>
      </c>
      <c r="N4406" s="18" t="str">
        <f t="shared" si="4"/>
        <v>VALID</v>
      </c>
    </row>
    <row r="4407" ht="15.75" customHeight="1">
      <c r="A4407" s="13" t="str">
        <f>Raw_Data!A4407</f>
        <v>EMP4646</v>
      </c>
      <c r="B4407" s="13" t="str">
        <f>TRIM(CLEAN(Raw_Data!B4407))</f>
        <v>Finance</v>
      </c>
      <c r="C4407" s="18" t="s">
        <v>26</v>
      </c>
      <c r="D4407" s="14" t="str">
        <f>IF(ISBLANK(Raw_Data!D4407),AVERAGE(Raw_Data!D$2:D$5002),Raw_Data!D4407)</f>
        <v>117037.12</v>
      </c>
      <c r="E4407" s="15" t="str">
        <f>IF(ISBLANK(Raw_Data!E4407),AVERAGE(Raw_Data!E$2:E$5002),Raw_Data!E4407)</f>
        <v>24036.82</v>
      </c>
      <c r="F4407" s="15" t="str">
        <f>IF(ISBLANK(Raw_Data!F4407),AVERAGE(Raw_Data!F$2:F$5002),Raw_Data!F4407)</f>
        <v>35852.55</v>
      </c>
      <c r="G4407" s="14" t="str">
        <f>IF(ISBLANK(Raw_Data!G4407),AVERAGE(Raw_Data!G$2:G$5002),Raw_Data!G4407)</f>
        <v>21379.79</v>
      </c>
      <c r="H4407" s="15" t="str">
        <f t="shared" si="1"/>
        <v>176926.00</v>
      </c>
      <c r="I4407" s="14" t="str">
        <f t="shared" si="2"/>
        <v>155546.00</v>
      </c>
      <c r="J4407" s="16" t="str">
        <f>TEXT(Raw_Data!J4407,"MMM-YYY")</f>
        <v>Sep-2025</v>
      </c>
      <c r="K4407" s="13" t="str">
        <f>Raw_Data!K4407</f>
        <v>12</v>
      </c>
      <c r="L4407" s="17" t="str">
        <f>Raw_Data!L4407</f>
        <v>Hyderabad-South</v>
      </c>
      <c r="M4407" s="13" t="str">
        <f t="shared" si="3"/>
        <v>OK</v>
      </c>
      <c r="N4407" s="18" t="str">
        <f t="shared" si="4"/>
        <v>VALID</v>
      </c>
    </row>
    <row r="4408" ht="15.75" customHeight="1">
      <c r="A4408" s="13" t="str">
        <f>Raw_Data!A4408</f>
        <v>EMP4647</v>
      </c>
      <c r="B4408" s="13" t="str">
        <f>TRIM(CLEAN(Raw_Data!B4408))</f>
        <v>Sales</v>
      </c>
      <c r="C4408" s="18" t="s">
        <v>14</v>
      </c>
      <c r="D4408" s="14" t="str">
        <f>IF(ISBLANK(Raw_Data!D4408),AVERAGE(Raw_Data!D$2:D$5002),Raw_Data!D4408)</f>
        <v>116056.97</v>
      </c>
      <c r="E4408" s="15" t="str">
        <f>IF(ISBLANK(Raw_Data!E4408),AVERAGE(Raw_Data!E$2:E$5002),Raw_Data!E4408)</f>
        <v>16338.31</v>
      </c>
      <c r="F4408" s="15" t="str">
        <f>IF(ISBLANK(Raw_Data!F4408),AVERAGE(Raw_Data!F$2:F$5002),Raw_Data!F4408)</f>
        <v>35860.23</v>
      </c>
      <c r="G4408" s="14" t="str">
        <f>IF(ISBLANK(Raw_Data!G4408),AVERAGE(Raw_Data!G$2:G$5002),Raw_Data!G4408)</f>
        <v>15233.51</v>
      </c>
      <c r="H4408" s="15" t="str">
        <f t="shared" si="1"/>
        <v>168256.00</v>
      </c>
      <c r="I4408" s="14" t="str">
        <f t="shared" si="2"/>
        <v>153022.00</v>
      </c>
      <c r="J4408" s="16" t="str">
        <f>TEXT(Raw_Data!J4408,"MMM-YYY")</f>
        <v>Jul-2025</v>
      </c>
      <c r="K4408" s="13" t="str">
        <f>Raw_Data!K4408</f>
        <v>1</v>
      </c>
      <c r="L4408" s="17" t="str">
        <f>Raw_Data!L4408</f>
        <v>Chandigarh-North</v>
      </c>
      <c r="M4408" s="13" t="str">
        <f t="shared" si="3"/>
        <v>OK</v>
      </c>
      <c r="N4408" s="18" t="str">
        <f t="shared" si="4"/>
        <v>VALID</v>
      </c>
    </row>
    <row r="4409" ht="15.75" customHeight="1">
      <c r="A4409" s="13" t="str">
        <f>Raw_Data!A4409</f>
        <v>EMP4648</v>
      </c>
      <c r="B4409" s="13" t="str">
        <f>TRIM(CLEAN(Raw_Data!B4409))</f>
        <v>IT</v>
      </c>
      <c r="C4409" s="18" t="s">
        <v>18</v>
      </c>
      <c r="D4409" s="14" t="str">
        <f>IF(ISBLANK(Raw_Data!D4409),AVERAGE(Raw_Data!D$2:D$5002),Raw_Data!D4409)</f>
        <v>41437.14</v>
      </c>
      <c r="E4409" s="15" t="str">
        <f>IF(ISBLANK(Raw_Data!E4409),AVERAGE(Raw_Data!E$2:E$5002),Raw_Data!E4409)</f>
        <v>8844.75</v>
      </c>
      <c r="F4409" s="15" t="str">
        <f>IF(ISBLANK(Raw_Data!F4409),AVERAGE(Raw_Data!F$2:F$5002),Raw_Data!F4409)</f>
        <v>35867.91</v>
      </c>
      <c r="G4409" s="14" t="str">
        <f>IF(ISBLANK(Raw_Data!G4409),AVERAGE(Raw_Data!G$2:G$5002),Raw_Data!G4409)</f>
        <v>24040.96</v>
      </c>
      <c r="H4409" s="15" t="str">
        <f t="shared" si="1"/>
        <v>86150.00</v>
      </c>
      <c r="I4409" s="14" t="str">
        <f t="shared" si="2"/>
        <v>62109.00</v>
      </c>
      <c r="J4409" s="16" t="str">
        <f>TEXT(Raw_Data!J4409,"MMM-YYY")</f>
        <v>Jan-2025</v>
      </c>
      <c r="K4409" s="13" t="str">
        <f>Raw_Data!K4409</f>
        <v>13</v>
      </c>
      <c r="L4409" s="17" t="str">
        <f>Raw_Data!L4409</f>
        <v>Ahmedabad-West</v>
      </c>
      <c r="M4409" s="13" t="str">
        <f t="shared" si="3"/>
        <v>OK</v>
      </c>
      <c r="N4409" s="18" t="str">
        <f t="shared" si="4"/>
        <v>VALID</v>
      </c>
    </row>
    <row r="4410" ht="15.75" customHeight="1">
      <c r="A4410" s="13" t="str">
        <f>Raw_Data!A4410</f>
        <v>EMP4649</v>
      </c>
      <c r="B4410" s="13" t="str">
        <f>TRIM(CLEAN(Raw_Data!B4410))</f>
        <v>Customer Support</v>
      </c>
      <c r="C4410" s="18" t="s">
        <v>18</v>
      </c>
      <c r="D4410" s="14" t="str">
        <f>IF(ISBLANK(Raw_Data!D4410),AVERAGE(Raw_Data!D$2:D$5002),Raw_Data!D4410)</f>
        <v>67211.09</v>
      </c>
      <c r="E4410" s="15" t="str">
        <f>IF(ISBLANK(Raw_Data!E4410),AVERAGE(Raw_Data!E$2:E$5002),Raw_Data!E4410)</f>
        <v>7399.08</v>
      </c>
      <c r="F4410" s="15" t="str">
        <f>IF(ISBLANK(Raw_Data!F4410),AVERAGE(Raw_Data!F$2:F$5002),Raw_Data!F4410)</f>
        <v>35875.59</v>
      </c>
      <c r="G4410" s="14" t="str">
        <f>IF(ISBLANK(Raw_Data!G4410),AVERAGE(Raw_Data!G$2:G$5002),Raw_Data!G4410)</f>
        <v>16919.54</v>
      </c>
      <c r="H4410" s="15" t="str">
        <f t="shared" si="1"/>
        <v>110486.00</v>
      </c>
      <c r="I4410" s="14" t="str">
        <f t="shared" si="2"/>
        <v>93566.00</v>
      </c>
      <c r="J4410" s="16" t="str">
        <f>TEXT(Raw_Data!J4410,"MMM-YYY")</f>
        <v>Sep-2025</v>
      </c>
      <c r="K4410" s="13" t="str">
        <f>Raw_Data!K4410</f>
        <v>23</v>
      </c>
      <c r="L4410" s="17" t="str">
        <f>Raw_Data!L4410</f>
        <v>Jaipur-North</v>
      </c>
      <c r="M4410" s="13" t="str">
        <f t="shared" si="3"/>
        <v>OK</v>
      </c>
      <c r="N4410" s="18" t="str">
        <f t="shared" si="4"/>
        <v>VALID</v>
      </c>
    </row>
    <row r="4411" ht="15.75" customHeight="1">
      <c r="A4411" s="13" t="str">
        <f>Raw_Data!A4411</f>
        <v>EMP4651</v>
      </c>
      <c r="B4411" s="13" t="str">
        <f>TRIM(CLEAN(Raw_Data!B4411))</f>
        <v>IT</v>
      </c>
      <c r="C4411" s="18" t="s">
        <v>14</v>
      </c>
      <c r="D4411" s="14" t="str">
        <f>IF(ISBLANK(Raw_Data!D4411),AVERAGE(Raw_Data!D$2:D$5002),Raw_Data!D4411)</f>
        <v>44908.25</v>
      </c>
      <c r="E4411" s="15" t="str">
        <f>IF(ISBLANK(Raw_Data!E4411),AVERAGE(Raw_Data!E$2:E$5002),Raw_Data!E4411)</f>
        <v>37062.31</v>
      </c>
      <c r="F4411" s="15" t="str">
        <f>IF(ISBLANK(Raw_Data!F4411),AVERAGE(Raw_Data!F$2:F$5002),Raw_Data!F4411)</f>
        <v>35890.95</v>
      </c>
      <c r="G4411" s="14" t="str">
        <f>IF(ISBLANK(Raw_Data!G4411),AVERAGE(Raw_Data!G$2:G$5002),Raw_Data!G4411)</f>
        <v>12107.69</v>
      </c>
      <c r="H4411" s="15" t="str">
        <f t="shared" si="1"/>
        <v>117862.00</v>
      </c>
      <c r="I4411" s="14" t="str">
        <f t="shared" si="2"/>
        <v>105754.00</v>
      </c>
      <c r="J4411" s="16" t="str">
        <f>TEXT(Raw_Data!J4411,"MMM-YYY")</f>
        <v>Feb-2025</v>
      </c>
      <c r="K4411" s="13" t="str">
        <f>Raw_Data!K4411</f>
        <v>3</v>
      </c>
      <c r="L4411" s="17" t="str">
        <f>Raw_Data!L4411</f>
        <v>Delhi-North</v>
      </c>
      <c r="M4411" s="13" t="str">
        <f t="shared" si="3"/>
        <v>OK</v>
      </c>
      <c r="N4411" s="18" t="str">
        <f t="shared" si="4"/>
        <v>VALID</v>
      </c>
    </row>
    <row r="4412" ht="15.75" customHeight="1">
      <c r="A4412" s="13" t="str">
        <f>Raw_Data!A4412</f>
        <v>EMP4653</v>
      </c>
      <c r="B4412" s="13" t="str">
        <f>TRIM(CLEAN(Raw_Data!B4412))</f>
        <v>Sales</v>
      </c>
      <c r="C4412" s="18" t="s">
        <v>33</v>
      </c>
      <c r="D4412" s="14" t="str">
        <f>IF(ISBLANK(Raw_Data!D4412),AVERAGE(Raw_Data!D$2:D$5002),Raw_Data!D4412)</f>
        <v>79004.26</v>
      </c>
      <c r="E4412" s="15" t="str">
        <f>IF(ISBLANK(Raw_Data!E4412),AVERAGE(Raw_Data!E$2:E$5002),Raw_Data!E4412)</f>
        <v>7723.63</v>
      </c>
      <c r="F4412" s="15" t="str">
        <f>IF(ISBLANK(Raw_Data!F4412),AVERAGE(Raw_Data!F$2:F$5002),Raw_Data!F4412)</f>
        <v>35906.31</v>
      </c>
      <c r="G4412" s="14" t="str">
        <f>IF(ISBLANK(Raw_Data!G4412),AVERAGE(Raw_Data!G$2:G$5002),Raw_Data!G4412)</f>
        <v>1192.49</v>
      </c>
      <c r="H4412" s="15" t="str">
        <f t="shared" si="1"/>
        <v>122634.00</v>
      </c>
      <c r="I4412" s="14" t="str">
        <f t="shared" si="2"/>
        <v>121442.00</v>
      </c>
      <c r="J4412" s="16" t="str">
        <f>TEXT(Raw_Data!J4412,"MMM-YYY")</f>
        <v>May-2025</v>
      </c>
      <c r="K4412" s="13" t="str">
        <f>Raw_Data!K4412</f>
        <v>12</v>
      </c>
      <c r="L4412" s="17" t="str">
        <f>Raw_Data!L4412</f>
        <v>Chennai-South</v>
      </c>
      <c r="M4412" s="13" t="str">
        <f t="shared" si="3"/>
        <v>OK</v>
      </c>
      <c r="N4412" s="18" t="str">
        <f t="shared" si="4"/>
        <v>VALID</v>
      </c>
    </row>
    <row r="4413" ht="15.75" customHeight="1">
      <c r="A4413" s="13" t="str">
        <f>Raw_Data!A4413</f>
        <v>EMP4654</v>
      </c>
      <c r="B4413" s="13" t="str">
        <f>TRIM(CLEAN(Raw_Data!B4413))</f>
        <v>IT</v>
      </c>
      <c r="C4413" s="18" t="s">
        <v>14</v>
      </c>
      <c r="D4413" s="14" t="str">
        <f>IF(ISBLANK(Raw_Data!D4413),AVERAGE(Raw_Data!D$2:D$5002),Raw_Data!D4413)</f>
        <v>67781.30</v>
      </c>
      <c r="E4413" s="15" t="str">
        <f>IF(ISBLANK(Raw_Data!E4413),AVERAGE(Raw_Data!E$2:E$5002),Raw_Data!E4413)</f>
        <v>18472.98</v>
      </c>
      <c r="F4413" s="15" t="str">
        <f>IF(ISBLANK(Raw_Data!F4413),AVERAGE(Raw_Data!F$2:F$5002),Raw_Data!F4413)</f>
        <v>35913.99</v>
      </c>
      <c r="G4413" s="14" t="str">
        <f>IF(ISBLANK(Raw_Data!G4413),AVERAGE(Raw_Data!G$2:G$5002),Raw_Data!G4413)</f>
        <v>865.30</v>
      </c>
      <c r="H4413" s="15" t="str">
        <f t="shared" si="1"/>
        <v>122168.00</v>
      </c>
      <c r="I4413" s="14" t="str">
        <f t="shared" si="2"/>
        <v>121303.00</v>
      </c>
      <c r="J4413" s="16" t="str">
        <f>TEXT(Raw_Data!J4413,"MMM-YYY")</f>
        <v>Dec-2025</v>
      </c>
      <c r="K4413" s="13" t="str">
        <f>Raw_Data!K4413</f>
        <v>8</v>
      </c>
      <c r="L4413" s="17" t="str">
        <f>Raw_Data!L4413</f>
        <v>Kolkata-East</v>
      </c>
      <c r="M4413" s="13" t="str">
        <f t="shared" si="3"/>
        <v>OK</v>
      </c>
      <c r="N4413" s="18" t="str">
        <f t="shared" si="4"/>
        <v>VALID</v>
      </c>
    </row>
    <row r="4414" ht="15.75" customHeight="1">
      <c r="A4414" s="13" t="str">
        <f>Raw_Data!A4414</f>
        <v>EMP4655</v>
      </c>
      <c r="B4414" s="13" t="str">
        <f>TRIM(CLEAN(Raw_Data!B4414))</f>
        <v>Customer Support</v>
      </c>
      <c r="C4414" s="18" t="s">
        <v>18</v>
      </c>
      <c r="D4414" s="14" t="str">
        <f>IF(ISBLANK(Raw_Data!D4414),AVERAGE(Raw_Data!D$2:D$5002),Raw_Data!D4414)</f>
        <v>20405.27</v>
      </c>
      <c r="E4414" s="15" t="str">
        <f>IF(ISBLANK(Raw_Data!E4414),AVERAGE(Raw_Data!E$2:E$5002),Raw_Data!E4414)</f>
        <v>30241.81</v>
      </c>
      <c r="F4414" s="15" t="str">
        <f>IF(ISBLANK(Raw_Data!F4414),AVERAGE(Raw_Data!F$2:F$5002),Raw_Data!F4414)</f>
        <v>35921.67</v>
      </c>
      <c r="G4414" s="14" t="str">
        <f>IF(ISBLANK(Raw_Data!G4414),AVERAGE(Raw_Data!G$2:G$5002),Raw_Data!G4414)</f>
        <v>3670.37</v>
      </c>
      <c r="H4414" s="15" t="str">
        <f t="shared" si="1"/>
        <v>86569.00</v>
      </c>
      <c r="I4414" s="14" t="str">
        <f t="shared" si="2"/>
        <v>82899.00</v>
      </c>
      <c r="J4414" s="16" t="str">
        <f>TEXT(Raw_Data!J4414,"MMM-YYY")</f>
        <v>May-2025</v>
      </c>
      <c r="K4414" s="13" t="str">
        <f>Raw_Data!K4414</f>
        <v>7</v>
      </c>
      <c r="L4414" s="17" t="str">
        <f>Raw_Data!L4414</f>
        <v>Pune-West</v>
      </c>
      <c r="M4414" s="13" t="str">
        <f t="shared" si="3"/>
        <v>OK</v>
      </c>
      <c r="N4414" s="18" t="str">
        <f t="shared" si="4"/>
        <v>VALID</v>
      </c>
    </row>
    <row r="4415" ht="15.75" customHeight="1">
      <c r="A4415" s="13" t="str">
        <f>Raw_Data!A4415</f>
        <v>EMP4656</v>
      </c>
      <c r="B4415" s="13" t="str">
        <f>TRIM(CLEAN(Raw_Data!B4415))</f>
        <v>Marketing</v>
      </c>
      <c r="C4415" s="18" t="s">
        <v>37</v>
      </c>
      <c r="D4415" s="14" t="str">
        <f>IF(ISBLANK(Raw_Data!D4415),AVERAGE(Raw_Data!D$2:D$5002),Raw_Data!D4415)</f>
        <v>44257.88</v>
      </c>
      <c r="E4415" s="15" t="str">
        <f>IF(ISBLANK(Raw_Data!E4415),AVERAGE(Raw_Data!E$2:E$5002),Raw_Data!E4415)</f>
        <v>32073.55</v>
      </c>
      <c r="F4415" s="15" t="str">
        <f>IF(ISBLANK(Raw_Data!F4415),AVERAGE(Raw_Data!F$2:F$5002),Raw_Data!F4415)</f>
        <v>35929.35</v>
      </c>
      <c r="G4415" s="14" t="str">
        <f>IF(ISBLANK(Raw_Data!G4415),AVERAGE(Raw_Data!G$2:G$5002),Raw_Data!G4415)</f>
        <v>6665.78</v>
      </c>
      <c r="H4415" s="15" t="str">
        <f t="shared" si="1"/>
        <v>112261.00</v>
      </c>
      <c r="I4415" s="14" t="str">
        <f t="shared" si="2"/>
        <v>105595.00</v>
      </c>
      <c r="J4415" s="16" t="str">
        <f>TEXT(Raw_Data!J4415,"MMM-YYY")</f>
        <v>Feb-2025</v>
      </c>
      <c r="K4415" s="13" t="str">
        <f>Raw_Data!K4415</f>
        <v>9</v>
      </c>
      <c r="L4415" s="17" t="str">
        <f>Raw_Data!L4415</f>
        <v>Hyderabad-South</v>
      </c>
      <c r="M4415" s="13" t="str">
        <f t="shared" si="3"/>
        <v>OK</v>
      </c>
      <c r="N4415" s="18" t="str">
        <f t="shared" si="4"/>
        <v>VALID</v>
      </c>
    </row>
    <row r="4416" ht="15.75" customHeight="1">
      <c r="A4416" s="13" t="str">
        <f>Raw_Data!A4416</f>
        <v>EMP4657</v>
      </c>
      <c r="B4416" s="13" t="str">
        <f>TRIM(CLEAN(Raw_Data!B4416))</f>
        <v>Marketing</v>
      </c>
      <c r="C4416" s="18" t="s">
        <v>37</v>
      </c>
      <c r="D4416" s="14" t="str">
        <f>IF(ISBLANK(Raw_Data!D4416),AVERAGE(Raw_Data!D$2:D$5002),Raw_Data!D4416)</f>
        <v>110367.92</v>
      </c>
      <c r="E4416" s="15" t="str">
        <f>IF(ISBLANK(Raw_Data!E4416),AVERAGE(Raw_Data!E$2:E$5002),Raw_Data!E4416)</f>
        <v>8255.87</v>
      </c>
      <c r="F4416" s="15" t="str">
        <f>IF(ISBLANK(Raw_Data!F4416),AVERAGE(Raw_Data!F$2:F$5002),Raw_Data!F4416)</f>
        <v>35937.03</v>
      </c>
      <c r="G4416" s="14" t="str">
        <f>IF(ISBLANK(Raw_Data!G4416),AVERAGE(Raw_Data!G$2:G$5002),Raw_Data!G4416)</f>
        <v>11023.95</v>
      </c>
      <c r="H4416" s="15" t="str">
        <f t="shared" si="1"/>
        <v>154561.00</v>
      </c>
      <c r="I4416" s="14" t="str">
        <f t="shared" si="2"/>
        <v>143537.00</v>
      </c>
      <c r="J4416" s="16" t="str">
        <f>TEXT(Raw_Data!J4416,"MMM-YYY")</f>
        <v>Jan-2025</v>
      </c>
      <c r="K4416" s="13" t="str">
        <f>Raw_Data!K4416</f>
        <v>15</v>
      </c>
      <c r="L4416" s="17" t="str">
        <f>Raw_Data!L4416</f>
        <v>Chandigarh-North</v>
      </c>
      <c r="M4416" s="13" t="str">
        <f t="shared" si="3"/>
        <v>OK</v>
      </c>
      <c r="N4416" s="18" t="str">
        <f t="shared" si="4"/>
        <v>VALID</v>
      </c>
    </row>
    <row r="4417" ht="15.75" customHeight="1">
      <c r="A4417" s="13" t="str">
        <f>Raw_Data!A4417</f>
        <v>EMP4658</v>
      </c>
      <c r="B4417" s="13" t="str">
        <f>TRIM(CLEAN(Raw_Data!B4417))</f>
        <v>Marketing</v>
      </c>
      <c r="C4417" s="18" t="s">
        <v>30</v>
      </c>
      <c r="D4417" s="14" t="str">
        <f>IF(ISBLANK(Raw_Data!D4417),AVERAGE(Raw_Data!D$2:D$5002),Raw_Data!D4417)</f>
        <v>40154.00</v>
      </c>
      <c r="E4417" s="15" t="str">
        <f>IF(ISBLANK(Raw_Data!E4417),AVERAGE(Raw_Data!E$2:E$5002),Raw_Data!E4417)</f>
        <v>4001.11</v>
      </c>
      <c r="F4417" s="15" t="str">
        <f>IF(ISBLANK(Raw_Data!F4417),AVERAGE(Raw_Data!F$2:F$5002),Raw_Data!F4417)</f>
        <v>35944.71</v>
      </c>
      <c r="G4417" s="14" t="str">
        <f>IF(ISBLANK(Raw_Data!G4417),AVERAGE(Raw_Data!G$2:G$5002),Raw_Data!G4417)</f>
        <v>12442.29</v>
      </c>
      <c r="H4417" s="15" t="str">
        <f t="shared" si="1"/>
        <v>80100.00</v>
      </c>
      <c r="I4417" s="14" t="str">
        <f t="shared" si="2"/>
        <v>67658.00</v>
      </c>
      <c r="J4417" s="16" t="str">
        <f>TEXT(Raw_Data!J4417,"MMM-YYY")</f>
        <v>Jan-2025</v>
      </c>
      <c r="K4417" s="13" t="str">
        <f>Raw_Data!K4417</f>
        <v>24</v>
      </c>
      <c r="L4417" s="17" t="str">
        <f>Raw_Data!L4417</f>
        <v>Ahmedabad-West</v>
      </c>
      <c r="M4417" s="13" t="str">
        <f t="shared" si="3"/>
        <v>OK</v>
      </c>
      <c r="N4417" s="18" t="str">
        <f t="shared" si="4"/>
        <v>VALID</v>
      </c>
    </row>
    <row r="4418" ht="15.75" customHeight="1">
      <c r="A4418" s="13" t="str">
        <f>Raw_Data!A4418</f>
        <v>EMP4659</v>
      </c>
      <c r="B4418" s="13" t="str">
        <f>TRIM(CLEAN(Raw_Data!B4418))</f>
        <v>Customer Support</v>
      </c>
      <c r="C4418" s="18" t="s">
        <v>37</v>
      </c>
      <c r="D4418" s="14" t="str">
        <f>IF(ISBLANK(Raw_Data!D4418),AVERAGE(Raw_Data!D$2:D$5002),Raw_Data!D4418)</f>
        <v>30213.96</v>
      </c>
      <c r="E4418" s="15" t="str">
        <f>IF(ISBLANK(Raw_Data!E4418),AVERAGE(Raw_Data!E$2:E$5002),Raw_Data!E4418)</f>
        <v>29636.93</v>
      </c>
      <c r="F4418" s="15" t="str">
        <f>IF(ISBLANK(Raw_Data!F4418),AVERAGE(Raw_Data!F$2:F$5002),Raw_Data!F4418)</f>
        <v>35952.39</v>
      </c>
      <c r="G4418" s="14" t="str">
        <f>IF(ISBLANK(Raw_Data!G4418),AVERAGE(Raw_Data!G$2:G$5002),Raw_Data!G4418)</f>
        <v>3881.68</v>
      </c>
      <c r="H4418" s="15" t="str">
        <f t="shared" si="1"/>
        <v>95803.00</v>
      </c>
      <c r="I4418" s="14" t="str">
        <f t="shared" si="2"/>
        <v>91921.00</v>
      </c>
      <c r="J4418" s="16" t="str">
        <f>TEXT(Raw_Data!J4418,"MMM-YYY")</f>
        <v>Mar-2025</v>
      </c>
      <c r="K4418" s="13" t="str">
        <f>Raw_Data!K4418</f>
        <v>12</v>
      </c>
      <c r="L4418" s="17" t="str">
        <f>Raw_Data!L4418</f>
        <v>Jaipur-North</v>
      </c>
      <c r="M4418" s="13" t="str">
        <f t="shared" si="3"/>
        <v>OK</v>
      </c>
      <c r="N4418" s="18" t="str">
        <f t="shared" si="4"/>
        <v>VALID</v>
      </c>
    </row>
    <row r="4419" ht="15.75" customHeight="1">
      <c r="A4419" s="13" t="str">
        <f>Raw_Data!A4419</f>
        <v>EMP4660</v>
      </c>
      <c r="B4419" s="13" t="str">
        <f>TRIM(CLEAN(Raw_Data!B4419))</f>
        <v>Operations</v>
      </c>
      <c r="C4419" s="18" t="s">
        <v>33</v>
      </c>
      <c r="D4419" s="14" t="str">
        <f>IF(ISBLANK(Raw_Data!D4419),AVERAGE(Raw_Data!D$2:D$5002),Raw_Data!D4419)</f>
        <v>66392.54</v>
      </c>
      <c r="E4419" s="15" t="str">
        <f>IF(ISBLANK(Raw_Data!E4419),AVERAGE(Raw_Data!E$2:E$5002),Raw_Data!E4419)</f>
        <v>16837.46</v>
      </c>
      <c r="F4419" s="15" t="str">
        <f>IF(ISBLANK(Raw_Data!F4419),AVERAGE(Raw_Data!F$2:F$5002),Raw_Data!F4419)</f>
        <v>35960.07</v>
      </c>
      <c r="G4419" s="14" t="str">
        <f>IF(ISBLANK(Raw_Data!G4419),AVERAGE(Raw_Data!G$2:G$5002),Raw_Data!G4419)</f>
        <v>16998.09</v>
      </c>
      <c r="H4419" s="15" t="str">
        <f t="shared" si="1"/>
        <v>119190.00</v>
      </c>
      <c r="I4419" s="14" t="str">
        <f t="shared" si="2"/>
        <v>102192.00</v>
      </c>
      <c r="J4419" s="16" t="str">
        <f>TEXT(Raw_Data!J4419,"MMM-YYY")</f>
        <v>Oct-2025</v>
      </c>
      <c r="K4419" s="13" t="str">
        <f>Raw_Data!K4419</f>
        <v>6</v>
      </c>
      <c r="L4419" s="17" t="str">
        <f>Raw_Data!L4419</f>
        <v>Mumbai-HO</v>
      </c>
      <c r="M4419" s="13" t="str">
        <f t="shared" si="3"/>
        <v>OK</v>
      </c>
      <c r="N4419" s="18" t="str">
        <f t="shared" si="4"/>
        <v>VALID</v>
      </c>
    </row>
    <row r="4420" ht="15.75" customHeight="1">
      <c r="A4420" s="13" t="str">
        <f>Raw_Data!A4420</f>
        <v>EMP4661</v>
      </c>
      <c r="B4420" s="13" t="str">
        <f>TRIM(CLEAN(Raw_Data!B4420))</f>
        <v>Sales</v>
      </c>
      <c r="C4420" s="18" t="s">
        <v>26</v>
      </c>
      <c r="D4420" s="14" t="str">
        <f>IF(ISBLANK(Raw_Data!D4420),AVERAGE(Raw_Data!D$2:D$5002),Raw_Data!D4420)</f>
        <v>118493.30</v>
      </c>
      <c r="E4420" s="15" t="str">
        <f>IF(ISBLANK(Raw_Data!E4420),AVERAGE(Raw_Data!E$2:E$5002),Raw_Data!E4420)</f>
        <v>13161.33</v>
      </c>
      <c r="F4420" s="15" t="str">
        <f>IF(ISBLANK(Raw_Data!F4420),AVERAGE(Raw_Data!F$2:F$5002),Raw_Data!F4420)</f>
        <v>35967.75</v>
      </c>
      <c r="G4420" s="14" t="str">
        <f>IF(ISBLANK(Raw_Data!G4420),AVERAGE(Raw_Data!G$2:G$5002),Raw_Data!G4420)</f>
        <v>15105.38</v>
      </c>
      <c r="H4420" s="15" t="str">
        <f t="shared" si="1"/>
        <v>167622.00</v>
      </c>
      <c r="I4420" s="14" t="str">
        <f t="shared" si="2"/>
        <v>152517.00</v>
      </c>
      <c r="J4420" s="16" t="str">
        <f>TEXT(Raw_Data!J4420,"MMM-YYY")</f>
        <v>Jul-2025</v>
      </c>
      <c r="K4420" s="13" t="str">
        <f>Raw_Data!K4420</f>
        <v>16</v>
      </c>
      <c r="L4420" s="17" t="str">
        <f>Raw_Data!L4420</f>
        <v>Delhi-North</v>
      </c>
      <c r="M4420" s="13" t="str">
        <f t="shared" si="3"/>
        <v>OK</v>
      </c>
      <c r="N4420" s="18" t="str">
        <f t="shared" si="4"/>
        <v>VALID</v>
      </c>
    </row>
    <row r="4421" ht="15.75" customHeight="1">
      <c r="A4421" s="13" t="str">
        <f>Raw_Data!A4421</f>
        <v>EMP4662</v>
      </c>
      <c r="B4421" s="13" t="str">
        <f>TRIM(CLEAN(Raw_Data!B4421))</f>
        <v>Marketing</v>
      </c>
      <c r="C4421" s="18" t="s">
        <v>18</v>
      </c>
      <c r="D4421" s="14" t="str">
        <f>IF(ISBLANK(Raw_Data!D4421),AVERAGE(Raw_Data!D$2:D$5002),Raw_Data!D4421)</f>
        <v>40415.80</v>
      </c>
      <c r="E4421" s="15" t="str">
        <f>IF(ISBLANK(Raw_Data!E4421),AVERAGE(Raw_Data!E$2:E$5002),Raw_Data!E4421)</f>
        <v>4464.31</v>
      </c>
      <c r="F4421" s="15" t="str">
        <f>IF(ISBLANK(Raw_Data!F4421),AVERAGE(Raw_Data!F$2:F$5002),Raw_Data!F4421)</f>
        <v>35975.43</v>
      </c>
      <c r="G4421" s="14" t="str">
        <f>IF(ISBLANK(Raw_Data!G4421),AVERAGE(Raw_Data!G$2:G$5002),Raw_Data!G4421)</f>
        <v>7714.37</v>
      </c>
      <c r="H4421" s="15" t="str">
        <f t="shared" si="1"/>
        <v>80856.00</v>
      </c>
      <c r="I4421" s="14" t="str">
        <f t="shared" si="2"/>
        <v>73142.00</v>
      </c>
      <c r="J4421" s="16" t="str">
        <f>TEXT(Raw_Data!J4421,"MMM-YYY")</f>
        <v>Dec-2025</v>
      </c>
      <c r="K4421" s="13" t="str">
        <f>Raw_Data!K4421</f>
        <v>8</v>
      </c>
      <c r="L4421" s="17" t="str">
        <f>Raw_Data!L4421</f>
        <v>Bangalore-South</v>
      </c>
      <c r="M4421" s="13" t="str">
        <f t="shared" si="3"/>
        <v>OK</v>
      </c>
      <c r="N4421" s="18" t="str">
        <f t="shared" si="4"/>
        <v>VALID</v>
      </c>
    </row>
    <row r="4422" ht="15.75" customHeight="1">
      <c r="A4422" s="13" t="str">
        <f>Raw_Data!A4422</f>
        <v>EMP4663</v>
      </c>
      <c r="B4422" s="13" t="str">
        <f>TRIM(CLEAN(Raw_Data!B4422))</f>
        <v>HR</v>
      </c>
      <c r="C4422" s="18" t="s">
        <v>54</v>
      </c>
      <c r="D4422" s="14" t="str">
        <f>IF(ISBLANK(Raw_Data!D4422),AVERAGE(Raw_Data!D$2:D$5002),Raw_Data!D4422)</f>
        <v>85574.23</v>
      </c>
      <c r="E4422" s="15" t="str">
        <f>IF(ISBLANK(Raw_Data!E4422),AVERAGE(Raw_Data!E$2:E$5002),Raw_Data!E4422)</f>
        <v>23450.78</v>
      </c>
      <c r="F4422" s="15" t="str">
        <f>IF(ISBLANK(Raw_Data!F4422),AVERAGE(Raw_Data!F$2:F$5002),Raw_Data!F4422)</f>
        <v>35983.11</v>
      </c>
      <c r="G4422" s="14" t="str">
        <f>IF(ISBLANK(Raw_Data!G4422),AVERAGE(Raw_Data!G$2:G$5002),Raw_Data!G4422)</f>
        <v>834.67</v>
      </c>
      <c r="H4422" s="15" t="str">
        <f t="shared" si="1"/>
        <v>145008.00</v>
      </c>
      <c r="I4422" s="14" t="str">
        <f t="shared" si="2"/>
        <v>144173.00</v>
      </c>
      <c r="J4422" s="16" t="str">
        <f>TEXT(Raw_Data!J4422,"MMM-YYY")</f>
        <v>Jan-2025</v>
      </c>
      <c r="K4422" s="13" t="str">
        <f>Raw_Data!K4422</f>
        <v>5</v>
      </c>
      <c r="L4422" s="17" t="str">
        <f>Raw_Data!L4422</f>
        <v>Chennai-South</v>
      </c>
      <c r="M4422" s="13" t="str">
        <f t="shared" si="3"/>
        <v>OK</v>
      </c>
      <c r="N4422" s="18" t="str">
        <f t="shared" si="4"/>
        <v>VALID</v>
      </c>
    </row>
    <row r="4423" ht="15.75" customHeight="1">
      <c r="A4423" s="13" t="str">
        <f>Raw_Data!A4423</f>
        <v>EMP4664</v>
      </c>
      <c r="B4423" s="13" t="str">
        <f>TRIM(CLEAN(Raw_Data!B4423))</f>
        <v>Finance</v>
      </c>
      <c r="C4423" s="18" t="s">
        <v>54</v>
      </c>
      <c r="D4423" s="14" t="str">
        <f>IF(ISBLANK(Raw_Data!D4423),AVERAGE(Raw_Data!D$2:D$5002),Raw_Data!D4423)</f>
        <v>94970.06</v>
      </c>
      <c r="E4423" s="15" t="str">
        <f>IF(ISBLANK(Raw_Data!E4423),AVERAGE(Raw_Data!E$2:E$5002),Raw_Data!E4423)</f>
        <v>34641.43</v>
      </c>
      <c r="F4423" s="15" t="str">
        <f>IF(ISBLANK(Raw_Data!F4423),AVERAGE(Raw_Data!F$2:F$5002),Raw_Data!F4423)</f>
        <v>35990.79</v>
      </c>
      <c r="G4423" s="14" t="str">
        <f>IF(ISBLANK(Raw_Data!G4423),AVERAGE(Raw_Data!G$2:G$5002),Raw_Data!G4423)</f>
        <v>2402.37</v>
      </c>
      <c r="H4423" s="15" t="str">
        <f t="shared" si="1"/>
        <v>165602.00</v>
      </c>
      <c r="I4423" s="14" t="str">
        <f t="shared" si="2"/>
        <v>163200.00</v>
      </c>
      <c r="J4423" s="16" t="str">
        <f>TEXT(Raw_Data!J4423,"MMM-YYY")</f>
        <v>Jul-2025</v>
      </c>
      <c r="K4423" s="13" t="str">
        <f>Raw_Data!K4423</f>
        <v>18</v>
      </c>
      <c r="L4423" s="17" t="str">
        <f>Raw_Data!L4423</f>
        <v>Kolkata-East</v>
      </c>
      <c r="M4423" s="13" t="str">
        <f t="shared" si="3"/>
        <v>OK</v>
      </c>
      <c r="N4423" s="18" t="str">
        <f t="shared" si="4"/>
        <v>VALID</v>
      </c>
    </row>
    <row r="4424" ht="15.75" customHeight="1">
      <c r="A4424" s="13" t="str">
        <f>Raw_Data!A4424</f>
        <v>EMP4665</v>
      </c>
      <c r="B4424" s="13" t="str">
        <f>TRIM(CLEAN(Raw_Data!B4424))</f>
        <v>HR</v>
      </c>
      <c r="C4424" s="18" t="s">
        <v>26</v>
      </c>
      <c r="D4424" s="14" t="str">
        <f>IF(ISBLANK(Raw_Data!D4424),AVERAGE(Raw_Data!D$2:D$5002),Raw_Data!D4424)</f>
        <v>39951.94</v>
      </c>
      <c r="E4424" s="15" t="str">
        <f>IF(ISBLANK(Raw_Data!E4424),AVERAGE(Raw_Data!E$2:E$5002),Raw_Data!E4424)</f>
        <v>38474.74</v>
      </c>
      <c r="F4424" s="15" t="str">
        <f>IF(ISBLANK(Raw_Data!F4424),AVERAGE(Raw_Data!F$2:F$5002),Raw_Data!F4424)</f>
        <v>35998.47</v>
      </c>
      <c r="G4424" s="14" t="str">
        <f>IF(ISBLANK(Raw_Data!G4424),AVERAGE(Raw_Data!G$2:G$5002),Raw_Data!G4424)</f>
        <v>10096.52</v>
      </c>
      <c r="H4424" s="15" t="str">
        <f t="shared" si="1"/>
        <v>114425.00</v>
      </c>
      <c r="I4424" s="14" t="str">
        <f t="shared" si="2"/>
        <v>104328.00</v>
      </c>
      <c r="J4424" s="16" t="str">
        <f>TEXT(Raw_Data!J4424,"MMM-YYY")</f>
        <v>Aug-2025</v>
      </c>
      <c r="K4424" s="13" t="str">
        <f>Raw_Data!K4424</f>
        <v>3</v>
      </c>
      <c r="L4424" s="17" t="str">
        <f>Raw_Data!L4424</f>
        <v>Pune-West</v>
      </c>
      <c r="M4424" s="13" t="str">
        <f t="shared" si="3"/>
        <v>OK</v>
      </c>
      <c r="N4424" s="18" t="str">
        <f t="shared" si="4"/>
        <v>VALID</v>
      </c>
    </row>
    <row r="4425" ht="15.75" customHeight="1">
      <c r="A4425" s="13" t="str">
        <f>Raw_Data!A4425</f>
        <v>EMP4666</v>
      </c>
      <c r="B4425" s="13" t="str">
        <f>TRIM(CLEAN(Raw_Data!B4425))</f>
        <v>HR</v>
      </c>
      <c r="C4425" s="18" t="s">
        <v>37</v>
      </c>
      <c r="D4425" s="14" t="str">
        <f>IF(ISBLANK(Raw_Data!D4425),AVERAGE(Raw_Data!D$2:D$5002),Raw_Data!D4425)</f>
        <v>91462.72</v>
      </c>
      <c r="E4425" s="15" t="str">
        <f>IF(ISBLANK(Raw_Data!E4425),AVERAGE(Raw_Data!E$2:E$5002),Raw_Data!E4425)</f>
        <v>24366.82</v>
      </c>
      <c r="F4425" s="15" t="str">
        <f>IF(ISBLANK(Raw_Data!F4425),AVERAGE(Raw_Data!F$2:F$5002),Raw_Data!F4425)</f>
        <v>36006.15</v>
      </c>
      <c r="G4425" s="14" t="str">
        <f>IF(ISBLANK(Raw_Data!G4425),AVERAGE(Raw_Data!G$2:G$5002),Raw_Data!G4425)</f>
        <v>4272.37</v>
      </c>
      <c r="H4425" s="15" t="str">
        <f t="shared" si="1"/>
        <v>151836.00</v>
      </c>
      <c r="I4425" s="14" t="str">
        <f t="shared" si="2"/>
        <v>147564.00</v>
      </c>
      <c r="J4425" s="16" t="str">
        <f>TEXT(Raw_Data!J4425,"MMM-YYY")</f>
        <v>Nov-2025</v>
      </c>
      <c r="K4425" s="13" t="str">
        <f>Raw_Data!K4425</f>
        <v>19</v>
      </c>
      <c r="L4425" s="17" t="str">
        <f>Raw_Data!L4425</f>
        <v>Hyderabad-South</v>
      </c>
      <c r="M4425" s="13" t="str">
        <f t="shared" si="3"/>
        <v>OK</v>
      </c>
      <c r="N4425" s="18" t="str">
        <f t="shared" si="4"/>
        <v>VALID</v>
      </c>
    </row>
    <row r="4426" ht="15.75" customHeight="1">
      <c r="A4426" s="13" t="str">
        <f>Raw_Data!A4426</f>
        <v>EMP4667</v>
      </c>
      <c r="B4426" s="13" t="str">
        <f>TRIM(CLEAN(Raw_Data!B4426))</f>
        <v>Operations</v>
      </c>
      <c r="C4426" s="18" t="s">
        <v>33</v>
      </c>
      <c r="D4426" s="14" t="str">
        <f>IF(ISBLANK(Raw_Data!D4426),AVERAGE(Raw_Data!D$2:D$5002),Raw_Data!D4426)</f>
        <v>53617.23</v>
      </c>
      <c r="E4426" s="15" t="str">
        <f>IF(ISBLANK(Raw_Data!E4426),AVERAGE(Raw_Data!E$2:E$5002),Raw_Data!E4426)</f>
        <v>22520.61</v>
      </c>
      <c r="F4426" s="15" t="str">
        <f>IF(ISBLANK(Raw_Data!F4426),AVERAGE(Raw_Data!F$2:F$5002),Raw_Data!F4426)</f>
        <v>36013.83</v>
      </c>
      <c r="G4426" s="14" t="str">
        <f>IF(ISBLANK(Raw_Data!G4426),AVERAGE(Raw_Data!G$2:G$5002),Raw_Data!G4426)</f>
        <v>9732.08</v>
      </c>
      <c r="H4426" s="15" t="str">
        <f t="shared" si="1"/>
        <v>112152.00</v>
      </c>
      <c r="I4426" s="14" t="str">
        <f t="shared" si="2"/>
        <v>102420.00</v>
      </c>
      <c r="J4426" s="16" t="str">
        <f>TEXT(Raw_Data!J4426,"MMM-YYY")</f>
        <v>May-2025</v>
      </c>
      <c r="K4426" s="13" t="str">
        <f>Raw_Data!K4426</f>
        <v>21</v>
      </c>
      <c r="L4426" s="17" t="str">
        <f>Raw_Data!L4426</f>
        <v>Chandigarh-North</v>
      </c>
      <c r="M4426" s="13" t="str">
        <f t="shared" si="3"/>
        <v>OK</v>
      </c>
      <c r="N4426" s="18" t="str">
        <f t="shared" si="4"/>
        <v>VALID</v>
      </c>
    </row>
    <row r="4427" ht="15.75" customHeight="1">
      <c r="A4427" s="13" t="str">
        <f>Raw_Data!A4427</f>
        <v>EMP4668</v>
      </c>
      <c r="B4427" s="13" t="str">
        <f>TRIM(CLEAN(Raw_Data!B4427))</f>
        <v>Marketing</v>
      </c>
      <c r="C4427" s="18" t="s">
        <v>30</v>
      </c>
      <c r="D4427" s="14" t="str">
        <f>IF(ISBLANK(Raw_Data!D4427),AVERAGE(Raw_Data!D$2:D$5002),Raw_Data!D4427)</f>
        <v>81392.11</v>
      </c>
      <c r="E4427" s="15" t="str">
        <f>IF(ISBLANK(Raw_Data!E4427),AVERAGE(Raw_Data!E$2:E$5002),Raw_Data!E4427)</f>
        <v>7062.03</v>
      </c>
      <c r="F4427" s="15" t="str">
        <f>IF(ISBLANK(Raw_Data!F4427),AVERAGE(Raw_Data!F$2:F$5002),Raw_Data!F4427)</f>
        <v>36021.51</v>
      </c>
      <c r="G4427" s="14" t="str">
        <f>IF(ISBLANK(Raw_Data!G4427),AVERAGE(Raw_Data!G$2:G$5002),Raw_Data!G4427)</f>
        <v>15890.47</v>
      </c>
      <c r="H4427" s="15" t="str">
        <f t="shared" si="1"/>
        <v>124476.00</v>
      </c>
      <c r="I4427" s="14" t="str">
        <f t="shared" si="2"/>
        <v>108586.00</v>
      </c>
      <c r="J4427" s="16" t="str">
        <f>TEXT(Raw_Data!J4427,"MMM-YYY")</f>
        <v>Apr-2025</v>
      </c>
      <c r="K4427" s="13" t="str">
        <f>Raw_Data!K4427</f>
        <v>3</v>
      </c>
      <c r="L4427" s="17" t="str">
        <f>Raw_Data!L4427</f>
        <v>Ahmedabad-West</v>
      </c>
      <c r="M4427" s="13" t="str">
        <f t="shared" si="3"/>
        <v>OK</v>
      </c>
      <c r="N4427" s="18" t="str">
        <f t="shared" si="4"/>
        <v>VALID</v>
      </c>
    </row>
    <row r="4428" ht="15.75" customHeight="1">
      <c r="A4428" s="13" t="str">
        <f>Raw_Data!A4428</f>
        <v>EMP4669</v>
      </c>
      <c r="B4428" s="13" t="str">
        <f>TRIM(CLEAN(Raw_Data!B4428))</f>
        <v>Customer Support</v>
      </c>
      <c r="C4428" s="18" t="s">
        <v>37</v>
      </c>
      <c r="D4428" s="14" t="str">
        <f>IF(ISBLANK(Raw_Data!D4428),AVERAGE(Raw_Data!D$2:D$5002),Raw_Data!D4428)</f>
        <v>81520.62</v>
      </c>
      <c r="E4428" s="15" t="str">
        <f>IF(ISBLANK(Raw_Data!E4428),AVERAGE(Raw_Data!E$2:E$5002),Raw_Data!E4428)</f>
        <v>23759.42</v>
      </c>
      <c r="F4428" s="15" t="str">
        <f>IF(ISBLANK(Raw_Data!F4428),AVERAGE(Raw_Data!F$2:F$5002),Raw_Data!F4428)</f>
        <v>36029.19</v>
      </c>
      <c r="G4428" s="14" t="str">
        <f>IF(ISBLANK(Raw_Data!G4428),AVERAGE(Raw_Data!G$2:G$5002),Raw_Data!G4428)</f>
        <v>13907.32</v>
      </c>
      <c r="H4428" s="15" t="str">
        <f t="shared" si="1"/>
        <v>141309.00</v>
      </c>
      <c r="I4428" s="14" t="str">
        <f t="shared" si="2"/>
        <v>127402.00</v>
      </c>
      <c r="J4428" s="16" t="str">
        <f>TEXT(Raw_Data!J4428,"MMM-YYY")</f>
        <v>Apr-2025</v>
      </c>
      <c r="K4428" s="13" t="str">
        <f>Raw_Data!K4428</f>
        <v>11</v>
      </c>
      <c r="L4428" s="17" t="str">
        <f>Raw_Data!L4428</f>
        <v>Jaipur-North</v>
      </c>
      <c r="M4428" s="13" t="str">
        <f t="shared" si="3"/>
        <v>OK</v>
      </c>
      <c r="N4428" s="18" t="str">
        <f t="shared" si="4"/>
        <v>VALID</v>
      </c>
    </row>
    <row r="4429" ht="15.75" customHeight="1">
      <c r="A4429" s="13" t="str">
        <f>Raw_Data!A4429</f>
        <v>EMP4670</v>
      </c>
      <c r="B4429" s="13" t="str">
        <f>TRIM(CLEAN(Raw_Data!B4429))</f>
        <v>Customer Support</v>
      </c>
      <c r="C4429" s="18" t="s">
        <v>14</v>
      </c>
      <c r="D4429" s="14" t="str">
        <f>IF(ISBLANK(Raw_Data!D4429),AVERAGE(Raw_Data!D$2:D$5002),Raw_Data!D4429)</f>
        <v>71256.34</v>
      </c>
      <c r="E4429" s="15" t="str">
        <f>IF(ISBLANK(Raw_Data!E4429),AVERAGE(Raw_Data!E$2:E$5002),Raw_Data!E4429)</f>
        <v>17679.25</v>
      </c>
      <c r="F4429" s="15" t="str">
        <f>IF(ISBLANK(Raw_Data!F4429),AVERAGE(Raw_Data!F$2:F$5002),Raw_Data!F4429)</f>
        <v>36036.87</v>
      </c>
      <c r="G4429" s="14" t="str">
        <f>IF(ISBLANK(Raw_Data!G4429),AVERAGE(Raw_Data!G$2:G$5002),Raw_Data!G4429)</f>
        <v>6163.81</v>
      </c>
      <c r="H4429" s="15" t="str">
        <f t="shared" si="1"/>
        <v>124972.00</v>
      </c>
      <c r="I4429" s="14" t="str">
        <f t="shared" si="2"/>
        <v>118808.00</v>
      </c>
      <c r="J4429" s="16" t="str">
        <f>TEXT(Raw_Data!J4429,"MMM-YYY")</f>
        <v>Aug-2025</v>
      </c>
      <c r="K4429" s="13" t="str">
        <f>Raw_Data!K4429</f>
        <v>2</v>
      </c>
      <c r="L4429" s="17" t="str">
        <f>Raw_Data!L4429</f>
        <v>Mumbai-HO</v>
      </c>
      <c r="M4429" s="13" t="str">
        <f t="shared" si="3"/>
        <v>OK</v>
      </c>
      <c r="N4429" s="18" t="str">
        <f t="shared" si="4"/>
        <v>VALID</v>
      </c>
    </row>
    <row r="4430" ht="15.75" customHeight="1">
      <c r="A4430" s="13" t="str">
        <f>Raw_Data!A4430</f>
        <v>EMP4671</v>
      </c>
      <c r="B4430" s="13" t="str">
        <f>TRIM(CLEAN(Raw_Data!B4430))</f>
        <v>Customer Support</v>
      </c>
      <c r="C4430" s="18" t="s">
        <v>30</v>
      </c>
      <c r="D4430" s="14" t="str">
        <f>IF(ISBLANK(Raw_Data!D4430),AVERAGE(Raw_Data!D$2:D$5002),Raw_Data!D4430)</f>
        <v>24480.43</v>
      </c>
      <c r="E4430" s="15" t="str">
        <f>IF(ISBLANK(Raw_Data!E4430),AVERAGE(Raw_Data!E$2:E$5002),Raw_Data!E4430)</f>
        <v>25856.87</v>
      </c>
      <c r="F4430" s="15" t="str">
        <f>IF(ISBLANK(Raw_Data!F4430),AVERAGE(Raw_Data!F$2:F$5002),Raw_Data!F4430)</f>
        <v>36044.55</v>
      </c>
      <c r="G4430" s="14" t="str">
        <f>IF(ISBLANK(Raw_Data!G4430),AVERAGE(Raw_Data!G$2:G$5002),Raw_Data!G4430)</f>
        <v>8923.65</v>
      </c>
      <c r="H4430" s="15" t="str">
        <f t="shared" si="1"/>
        <v>86382.00</v>
      </c>
      <c r="I4430" s="14" t="str">
        <f t="shared" si="2"/>
        <v>77458.00</v>
      </c>
      <c r="J4430" s="16" t="str">
        <f>TEXT(Raw_Data!J4430,"MMM-YYY")</f>
        <v>Aug-2025</v>
      </c>
      <c r="K4430" s="13" t="str">
        <f>Raw_Data!K4430</f>
        <v>13</v>
      </c>
      <c r="L4430" s="17" t="str">
        <f>Raw_Data!L4430</f>
        <v>Delhi-North</v>
      </c>
      <c r="M4430" s="13" t="str">
        <f t="shared" si="3"/>
        <v>OK</v>
      </c>
      <c r="N4430" s="18" t="str">
        <f t="shared" si="4"/>
        <v>VALID</v>
      </c>
    </row>
    <row r="4431" ht="15.75" customHeight="1">
      <c r="A4431" s="13" t="str">
        <f>Raw_Data!A4431</f>
        <v>EMP4672</v>
      </c>
      <c r="B4431" s="13" t="str">
        <f>TRIM(CLEAN(Raw_Data!B4431))</f>
        <v>Finance</v>
      </c>
      <c r="C4431" s="18" t="s">
        <v>26</v>
      </c>
      <c r="D4431" s="14" t="str">
        <f>IF(ISBLANK(Raw_Data!D4431),AVERAGE(Raw_Data!D$2:D$5002),Raw_Data!D4431)</f>
        <v>102706.76</v>
      </c>
      <c r="E4431" s="15" t="str">
        <f>IF(ISBLANK(Raw_Data!E4431),AVERAGE(Raw_Data!E$2:E$5002),Raw_Data!E4431)</f>
        <v>17994.15</v>
      </c>
      <c r="F4431" s="15" t="str">
        <f>IF(ISBLANK(Raw_Data!F4431),AVERAGE(Raw_Data!F$2:F$5002),Raw_Data!F4431)</f>
        <v>36052.23</v>
      </c>
      <c r="G4431" s="14" t="str">
        <f>IF(ISBLANK(Raw_Data!G4431),AVERAGE(Raw_Data!G$2:G$5002),Raw_Data!G4431)</f>
        <v>15543.76</v>
      </c>
      <c r="H4431" s="15" t="str">
        <f t="shared" si="1"/>
        <v>156753.00</v>
      </c>
      <c r="I4431" s="14" t="str">
        <f t="shared" si="2"/>
        <v>141209.00</v>
      </c>
      <c r="J4431" s="16" t="str">
        <f>TEXT(Raw_Data!J4431,"MMM-YYY")</f>
        <v>Sep-2025</v>
      </c>
      <c r="K4431" s="13" t="str">
        <f>Raw_Data!K4431</f>
        <v>14</v>
      </c>
      <c r="L4431" s="17" t="str">
        <f>Raw_Data!L4431</f>
        <v>Bangalore-South</v>
      </c>
      <c r="M4431" s="13" t="str">
        <f t="shared" si="3"/>
        <v>OK</v>
      </c>
      <c r="N4431" s="18" t="str">
        <f t="shared" si="4"/>
        <v>VALID</v>
      </c>
    </row>
    <row r="4432" ht="15.75" customHeight="1">
      <c r="A4432" s="13" t="str">
        <f>Raw_Data!A4432</f>
        <v>EMP4673</v>
      </c>
      <c r="B4432" s="13" t="str">
        <f>TRIM(CLEAN(Raw_Data!B4432))</f>
        <v>IT</v>
      </c>
      <c r="C4432" s="18" t="s">
        <v>14</v>
      </c>
      <c r="D4432" s="14" t="str">
        <f>IF(ISBLANK(Raw_Data!D4432),AVERAGE(Raw_Data!D$2:D$5002),Raw_Data!D4432)</f>
        <v>48681.91</v>
      </c>
      <c r="E4432" s="15" t="str">
        <f>IF(ISBLANK(Raw_Data!E4432),AVERAGE(Raw_Data!E$2:E$5002),Raw_Data!E4432)</f>
        <v>12650.77</v>
      </c>
      <c r="F4432" s="15" t="str">
        <f>IF(ISBLANK(Raw_Data!F4432),AVERAGE(Raw_Data!F$2:F$5002),Raw_Data!F4432)</f>
        <v>36059.91</v>
      </c>
      <c r="G4432" s="14" t="str">
        <f>IF(ISBLANK(Raw_Data!G4432),AVERAGE(Raw_Data!G$2:G$5002),Raw_Data!G4432)</f>
        <v>21590.95</v>
      </c>
      <c r="H4432" s="15" t="str">
        <f t="shared" si="1"/>
        <v>97393.00</v>
      </c>
      <c r="I4432" s="14" t="str">
        <f t="shared" si="2"/>
        <v>75802.00</v>
      </c>
      <c r="J4432" s="16" t="str">
        <f>TEXT(Raw_Data!J4432,"MMM-YYY")</f>
        <v>Jul-2025</v>
      </c>
      <c r="K4432" s="13" t="str">
        <f>Raw_Data!K4432</f>
        <v>19</v>
      </c>
      <c r="L4432" s="17" t="str">
        <f>Raw_Data!L4432</f>
        <v>Chennai-South</v>
      </c>
      <c r="M4432" s="13" t="str">
        <f t="shared" si="3"/>
        <v>OK</v>
      </c>
      <c r="N4432" s="18" t="str">
        <f t="shared" si="4"/>
        <v>VALID</v>
      </c>
    </row>
    <row r="4433" ht="15.75" customHeight="1">
      <c r="A4433" s="13" t="str">
        <f>Raw_Data!A4433</f>
        <v>EMP4674</v>
      </c>
      <c r="B4433" s="13" t="str">
        <f>TRIM(CLEAN(Raw_Data!B4433))</f>
        <v>Operations</v>
      </c>
      <c r="C4433" s="18" t="s">
        <v>33</v>
      </c>
      <c r="D4433" s="14" t="str">
        <f>IF(ISBLANK(Raw_Data!D4433),AVERAGE(Raw_Data!D$2:D$5002),Raw_Data!D4433)</f>
        <v>34584.44</v>
      </c>
      <c r="E4433" s="15" t="str">
        <f>IF(ISBLANK(Raw_Data!E4433),AVERAGE(Raw_Data!E$2:E$5002),Raw_Data!E4433)</f>
        <v>7418.75</v>
      </c>
      <c r="F4433" s="15" t="str">
        <f>IF(ISBLANK(Raw_Data!F4433),AVERAGE(Raw_Data!F$2:F$5002),Raw_Data!F4433)</f>
        <v>36067.59</v>
      </c>
      <c r="G4433" s="14" t="str">
        <f>IF(ISBLANK(Raw_Data!G4433),AVERAGE(Raw_Data!G$2:G$5002),Raw_Data!G4433)</f>
        <v>18953.73</v>
      </c>
      <c r="H4433" s="15" t="str">
        <f t="shared" si="1"/>
        <v>78071.00</v>
      </c>
      <c r="I4433" s="14" t="str">
        <f t="shared" si="2"/>
        <v>59117.00</v>
      </c>
      <c r="J4433" s="16" t="str">
        <f>TEXT(Raw_Data!J4433,"MMM-YYY")</f>
        <v>May-2025</v>
      </c>
      <c r="K4433" s="13" t="str">
        <f>Raw_Data!K4433</f>
        <v>17</v>
      </c>
      <c r="L4433" s="17" t="str">
        <f>Raw_Data!L4433</f>
        <v>Kolkata-East</v>
      </c>
      <c r="M4433" s="13" t="str">
        <f t="shared" si="3"/>
        <v>OK</v>
      </c>
      <c r="N4433" s="18" t="str">
        <f t="shared" si="4"/>
        <v>VALID</v>
      </c>
    </row>
    <row r="4434" ht="15.75" customHeight="1">
      <c r="A4434" s="13" t="str">
        <f>Raw_Data!A4434</f>
        <v>EMP4675</v>
      </c>
      <c r="B4434" s="13" t="str">
        <f>TRIM(CLEAN(Raw_Data!B4434))</f>
        <v>HR</v>
      </c>
      <c r="C4434" s="18" t="s">
        <v>33</v>
      </c>
      <c r="D4434" s="14" t="str">
        <f>IF(ISBLANK(Raw_Data!D4434),AVERAGE(Raw_Data!D$2:D$5002),Raw_Data!D4434)</f>
        <v>19281.39</v>
      </c>
      <c r="E4434" s="15" t="str">
        <f>IF(ISBLANK(Raw_Data!E4434),AVERAGE(Raw_Data!E$2:E$5002),Raw_Data!E4434)</f>
        <v>15337.06</v>
      </c>
      <c r="F4434" s="15" t="str">
        <f>IF(ISBLANK(Raw_Data!F4434),AVERAGE(Raw_Data!F$2:F$5002),Raw_Data!F4434)</f>
        <v>36075.27</v>
      </c>
      <c r="G4434" s="14" t="str">
        <f>IF(ISBLANK(Raw_Data!G4434),AVERAGE(Raw_Data!G$2:G$5002),Raw_Data!G4434)</f>
        <v>14058.30</v>
      </c>
      <c r="H4434" s="15" t="str">
        <f t="shared" si="1"/>
        <v>70694.00</v>
      </c>
      <c r="I4434" s="14" t="str">
        <f t="shared" si="2"/>
        <v>56636.00</v>
      </c>
      <c r="J4434" s="16" t="str">
        <f>TEXT(Raw_Data!J4434,"MMM-YYY")</f>
        <v>Aug-2025</v>
      </c>
      <c r="K4434" s="13" t="str">
        <f>Raw_Data!K4434</f>
        <v>7</v>
      </c>
      <c r="L4434" s="17" t="str">
        <f>Raw_Data!L4434</f>
        <v>Pune-West</v>
      </c>
      <c r="M4434" s="13" t="str">
        <f t="shared" si="3"/>
        <v>OK</v>
      </c>
      <c r="N4434" s="18" t="str">
        <f t="shared" si="4"/>
        <v>VALID</v>
      </c>
    </row>
    <row r="4435" ht="15.75" customHeight="1">
      <c r="A4435" s="13" t="str">
        <f>Raw_Data!A4435</f>
        <v>EMP4676</v>
      </c>
      <c r="B4435" s="13" t="str">
        <f>TRIM(CLEAN(Raw_Data!B4435))</f>
        <v>IT</v>
      </c>
      <c r="C4435" s="18" t="s">
        <v>26</v>
      </c>
      <c r="D4435" s="14" t="str">
        <f>IF(ISBLANK(Raw_Data!D4435),AVERAGE(Raw_Data!D$2:D$5002),Raw_Data!D4435)</f>
        <v>77043.76</v>
      </c>
      <c r="E4435" s="15" t="str">
        <f>IF(ISBLANK(Raw_Data!E4435),AVERAGE(Raw_Data!E$2:E$5002),Raw_Data!E4435)</f>
        <v>7479.21</v>
      </c>
      <c r="F4435" s="15" t="str">
        <f>IF(ISBLANK(Raw_Data!F4435),AVERAGE(Raw_Data!F$2:F$5002),Raw_Data!F4435)</f>
        <v>36082.95</v>
      </c>
      <c r="G4435" s="14" t="str">
        <f>IF(ISBLANK(Raw_Data!G4435),AVERAGE(Raw_Data!G$2:G$5002),Raw_Data!G4435)</f>
        <v>9376.18</v>
      </c>
      <c r="H4435" s="15" t="str">
        <f t="shared" si="1"/>
        <v>120606.00</v>
      </c>
      <c r="I4435" s="14" t="str">
        <f t="shared" si="2"/>
        <v>111230.00</v>
      </c>
      <c r="J4435" s="16" t="str">
        <f>TEXT(Raw_Data!J4435,"MMM-YYY")</f>
        <v>Aug-2025</v>
      </c>
      <c r="K4435" s="13" t="str">
        <f>Raw_Data!K4435</f>
        <v>5</v>
      </c>
      <c r="L4435" s="17" t="str">
        <f>Raw_Data!L4435</f>
        <v>Hyderabad-South</v>
      </c>
      <c r="M4435" s="13" t="str">
        <f t="shared" si="3"/>
        <v>OK</v>
      </c>
      <c r="N4435" s="18" t="str">
        <f t="shared" si="4"/>
        <v>VALID</v>
      </c>
    </row>
    <row r="4436" ht="15.75" customHeight="1">
      <c r="A4436" s="13" t="str">
        <f>Raw_Data!A4436</f>
        <v>EMP4677</v>
      </c>
      <c r="B4436" s="13" t="str">
        <f>TRIM(CLEAN(Raw_Data!B4436))</f>
        <v>Operations</v>
      </c>
      <c r="C4436" s="18" t="s">
        <v>30</v>
      </c>
      <c r="D4436" s="14" t="str">
        <f>IF(ISBLANK(Raw_Data!D4436),AVERAGE(Raw_Data!D$2:D$5002),Raw_Data!D4436)</f>
        <v>86144.26</v>
      </c>
      <c r="E4436" s="15" t="str">
        <f>IF(ISBLANK(Raw_Data!E4436),AVERAGE(Raw_Data!E$2:E$5002),Raw_Data!E4436)</f>
        <v>10368.29</v>
      </c>
      <c r="F4436" s="15" t="str">
        <f>IF(ISBLANK(Raw_Data!F4436),AVERAGE(Raw_Data!F$2:F$5002),Raw_Data!F4436)</f>
        <v>36090.63</v>
      </c>
      <c r="G4436" s="14" t="str">
        <f>IF(ISBLANK(Raw_Data!G4436),AVERAGE(Raw_Data!G$2:G$5002),Raw_Data!G4436)</f>
        <v>9443.76</v>
      </c>
      <c r="H4436" s="15" t="str">
        <f t="shared" si="1"/>
        <v>132603.00</v>
      </c>
      <c r="I4436" s="14" t="str">
        <f t="shared" si="2"/>
        <v>123159.00</v>
      </c>
      <c r="J4436" s="16" t="str">
        <f>TEXT(Raw_Data!J4436,"MMM-YYY")</f>
        <v>Apr-2025</v>
      </c>
      <c r="K4436" s="13" t="str">
        <f>Raw_Data!K4436</f>
        <v>13</v>
      </c>
      <c r="L4436" s="17" t="str">
        <f>Raw_Data!L4436</f>
        <v>Chandigarh-North</v>
      </c>
      <c r="M4436" s="13" t="str">
        <f t="shared" si="3"/>
        <v>OK</v>
      </c>
      <c r="N4436" s="18" t="str">
        <f t="shared" si="4"/>
        <v>VALID</v>
      </c>
    </row>
    <row r="4437" ht="15.75" customHeight="1">
      <c r="A4437" s="13" t="str">
        <f>Raw_Data!A4437</f>
        <v>EMP4678</v>
      </c>
      <c r="B4437" s="13" t="str">
        <f>TRIM(CLEAN(Raw_Data!B4437))</f>
        <v>Customer Support</v>
      </c>
      <c r="C4437" s="18" t="s">
        <v>33</v>
      </c>
      <c r="D4437" s="14" t="str">
        <f>IF(ISBLANK(Raw_Data!D4437),AVERAGE(Raw_Data!D$2:D$5002),Raw_Data!D4437)</f>
        <v>16741.72</v>
      </c>
      <c r="E4437" s="15" t="str">
        <f>IF(ISBLANK(Raw_Data!E4437),AVERAGE(Raw_Data!E$2:E$5002),Raw_Data!E4437)</f>
        <v>39544.10</v>
      </c>
      <c r="F4437" s="15" t="str">
        <f>IF(ISBLANK(Raw_Data!F4437),AVERAGE(Raw_Data!F$2:F$5002),Raw_Data!F4437)</f>
        <v>36098.31</v>
      </c>
      <c r="G4437" s="14" t="str">
        <f>IF(ISBLANK(Raw_Data!G4437),AVERAGE(Raw_Data!G$2:G$5002),Raw_Data!G4437)</f>
        <v>22045.72</v>
      </c>
      <c r="H4437" s="15" t="str">
        <f t="shared" si="1"/>
        <v>92384.00</v>
      </c>
      <c r="I4437" s="14" t="str">
        <f t="shared" si="2"/>
        <v>70338.00</v>
      </c>
      <c r="J4437" s="16" t="str">
        <f>TEXT(Raw_Data!J4437,"MMM-YYY")</f>
        <v>Jul-2025</v>
      </c>
      <c r="K4437" s="13" t="str">
        <f>Raw_Data!K4437</f>
        <v>14</v>
      </c>
      <c r="L4437" s="17" t="str">
        <f>Raw_Data!L4437</f>
        <v>Ahmedabad-West</v>
      </c>
      <c r="M4437" s="13" t="str">
        <f t="shared" si="3"/>
        <v>OK</v>
      </c>
      <c r="N4437" s="18" t="str">
        <f t="shared" si="4"/>
        <v>VALID</v>
      </c>
    </row>
    <row r="4438" ht="15.75" customHeight="1">
      <c r="A4438" s="13" t="str">
        <f>Raw_Data!A4438</f>
        <v>EMP4679</v>
      </c>
      <c r="B4438" s="13" t="str">
        <f>TRIM(CLEAN(Raw_Data!B4438))</f>
        <v>Customer Support</v>
      </c>
      <c r="C4438" s="18" t="s">
        <v>30</v>
      </c>
      <c r="D4438" s="14" t="str">
        <f>IF(ISBLANK(Raw_Data!D4438),AVERAGE(Raw_Data!D$2:D$5002),Raw_Data!D4438)</f>
        <v>68769.77</v>
      </c>
      <c r="E4438" s="15" t="str">
        <f>IF(ISBLANK(Raw_Data!E4438),AVERAGE(Raw_Data!E$2:E$5002),Raw_Data!E4438)</f>
        <v>19987.73</v>
      </c>
      <c r="F4438" s="15" t="str">
        <f>IF(ISBLANK(Raw_Data!F4438),AVERAGE(Raw_Data!F$2:F$5002),Raw_Data!F4438)</f>
        <v>36105.99</v>
      </c>
      <c r="G4438" s="14" t="str">
        <f>IF(ISBLANK(Raw_Data!G4438),AVERAGE(Raw_Data!G$2:G$5002),Raw_Data!G4438)</f>
        <v>1461.47</v>
      </c>
      <c r="H4438" s="15" t="str">
        <f t="shared" si="1"/>
        <v>124863.00</v>
      </c>
      <c r="I4438" s="14" t="str">
        <f t="shared" si="2"/>
        <v>123402.00</v>
      </c>
      <c r="J4438" s="16" t="str">
        <f>TEXT(Raw_Data!J4438,"MMM-YYY")</f>
        <v>Jan-2025</v>
      </c>
      <c r="K4438" s="13" t="str">
        <f>Raw_Data!K4438</f>
        <v>11</v>
      </c>
      <c r="L4438" s="17" t="str">
        <f>Raw_Data!L4438</f>
        <v>Jaipur-North</v>
      </c>
      <c r="M4438" s="13" t="str">
        <f t="shared" si="3"/>
        <v>OK</v>
      </c>
      <c r="N4438" s="18" t="str">
        <f t="shared" si="4"/>
        <v>VALID</v>
      </c>
    </row>
    <row r="4439" ht="15.75" customHeight="1">
      <c r="A4439" s="13" t="str">
        <f>Raw_Data!A4439</f>
        <v>EMP4680</v>
      </c>
      <c r="B4439" s="13" t="str">
        <f>TRIM(CLEAN(Raw_Data!B4439))</f>
        <v>Operations</v>
      </c>
      <c r="C4439" s="18" t="s">
        <v>33</v>
      </c>
      <c r="D4439" s="14" t="str">
        <f>IF(ISBLANK(Raw_Data!D4439),AVERAGE(Raw_Data!D$2:D$5002),Raw_Data!D4439)</f>
        <v>38782.06</v>
      </c>
      <c r="E4439" s="15" t="str">
        <f>IF(ISBLANK(Raw_Data!E4439),AVERAGE(Raw_Data!E$2:E$5002),Raw_Data!E4439)</f>
        <v>23147.38</v>
      </c>
      <c r="F4439" s="15" t="str">
        <f>IF(ISBLANK(Raw_Data!F4439),AVERAGE(Raw_Data!F$2:F$5002),Raw_Data!F4439)</f>
        <v>36113.67</v>
      </c>
      <c r="G4439" s="14" t="str">
        <f>IF(ISBLANK(Raw_Data!G4439),AVERAGE(Raw_Data!G$2:G$5002),Raw_Data!G4439)</f>
        <v>24705.57</v>
      </c>
      <c r="H4439" s="15" t="str">
        <f t="shared" si="1"/>
        <v>98043.00</v>
      </c>
      <c r="I4439" s="14" t="str">
        <f t="shared" si="2"/>
        <v>73337.00</v>
      </c>
      <c r="J4439" s="16" t="str">
        <f>TEXT(Raw_Data!J4439,"MMM-YYY")</f>
        <v>Aug-2025</v>
      </c>
      <c r="K4439" s="13" t="str">
        <f>Raw_Data!K4439</f>
        <v>10</v>
      </c>
      <c r="L4439" s="17" t="str">
        <f>Raw_Data!L4439</f>
        <v>Mumbai-HO</v>
      </c>
      <c r="M4439" s="13" t="str">
        <f t="shared" si="3"/>
        <v>OK</v>
      </c>
      <c r="N4439" s="18" t="str">
        <f t="shared" si="4"/>
        <v>VALID</v>
      </c>
    </row>
    <row r="4440" ht="15.75" customHeight="1">
      <c r="A4440" s="13" t="str">
        <f>Raw_Data!A4440</f>
        <v>EMP4681</v>
      </c>
      <c r="B4440" s="13" t="str">
        <f>TRIM(CLEAN(Raw_Data!B4440))</f>
        <v>Operations</v>
      </c>
      <c r="C4440" s="18" t="s">
        <v>37</v>
      </c>
      <c r="D4440" s="14" t="str">
        <f>IF(ISBLANK(Raw_Data!D4440),AVERAGE(Raw_Data!D$2:D$5002),Raw_Data!D4440)</f>
        <v>82743.14</v>
      </c>
      <c r="E4440" s="15" t="str">
        <f>IF(ISBLANK(Raw_Data!E4440),AVERAGE(Raw_Data!E$2:E$5002),Raw_Data!E4440)</f>
        <v>35450.27</v>
      </c>
      <c r="F4440" s="15" t="str">
        <f>IF(ISBLANK(Raw_Data!F4440),AVERAGE(Raw_Data!F$2:F$5002),Raw_Data!F4440)</f>
        <v>36121.35</v>
      </c>
      <c r="G4440" s="14" t="str">
        <f>IF(ISBLANK(Raw_Data!G4440),AVERAGE(Raw_Data!G$2:G$5002),Raw_Data!G4440)</f>
        <v>14562.73</v>
      </c>
      <c r="H4440" s="15" t="str">
        <f t="shared" si="1"/>
        <v>154315.00</v>
      </c>
      <c r="I4440" s="14" t="str">
        <f t="shared" si="2"/>
        <v>139752.00</v>
      </c>
      <c r="J4440" s="16" t="str">
        <f>TEXT(Raw_Data!J4440,"MMM-YYY")</f>
        <v>Nov-2025</v>
      </c>
      <c r="K4440" s="13" t="str">
        <f>Raw_Data!K4440</f>
        <v>1</v>
      </c>
      <c r="L4440" s="17" t="str">
        <f>Raw_Data!L4440</f>
        <v>Delhi-North</v>
      </c>
      <c r="M4440" s="13" t="str">
        <f t="shared" si="3"/>
        <v>OK</v>
      </c>
      <c r="N4440" s="18" t="str">
        <f t="shared" si="4"/>
        <v>VALID</v>
      </c>
    </row>
    <row r="4441" ht="15.75" customHeight="1">
      <c r="A4441" s="13" t="str">
        <f>Raw_Data!A4441</f>
        <v>EMP4682</v>
      </c>
      <c r="B4441" s="13" t="str">
        <f>TRIM(CLEAN(Raw_Data!B4441))</f>
        <v>IT</v>
      </c>
      <c r="C4441" s="18" t="s">
        <v>33</v>
      </c>
      <c r="D4441" s="14" t="str">
        <f>IF(ISBLANK(Raw_Data!D4441),AVERAGE(Raw_Data!D$2:D$5002),Raw_Data!D4441)</f>
        <v>33308.48</v>
      </c>
      <c r="E4441" s="15" t="str">
        <f>IF(ISBLANK(Raw_Data!E4441),AVERAGE(Raw_Data!E$2:E$5002),Raw_Data!E4441)</f>
        <v>39840.48</v>
      </c>
      <c r="F4441" s="15" t="str">
        <f>IF(ISBLANK(Raw_Data!F4441),AVERAGE(Raw_Data!F$2:F$5002),Raw_Data!F4441)</f>
        <v>36129.03</v>
      </c>
      <c r="G4441" s="14" t="str">
        <f>IF(ISBLANK(Raw_Data!G4441),AVERAGE(Raw_Data!G$2:G$5002),Raw_Data!G4441)</f>
        <v>17187.87</v>
      </c>
      <c r="H4441" s="15" t="str">
        <f t="shared" si="1"/>
        <v>109278.00</v>
      </c>
      <c r="I4441" s="14" t="str">
        <f t="shared" si="2"/>
        <v>92090.00</v>
      </c>
      <c r="J4441" s="16" t="str">
        <f>TEXT(Raw_Data!J4441,"MMM-YYY")</f>
        <v>Dec-2025</v>
      </c>
      <c r="K4441" s="13" t="str">
        <f>Raw_Data!K4441</f>
        <v>25</v>
      </c>
      <c r="L4441" s="17" t="str">
        <f>Raw_Data!L4441</f>
        <v>Bangalore-South</v>
      </c>
      <c r="M4441" s="13" t="str">
        <f t="shared" si="3"/>
        <v>OK</v>
      </c>
      <c r="N4441" s="18" t="str">
        <f t="shared" si="4"/>
        <v>VALID</v>
      </c>
    </row>
    <row r="4442" ht="15.75" customHeight="1">
      <c r="A4442" s="13" t="str">
        <f>Raw_Data!A4442</f>
        <v>EMP4683</v>
      </c>
      <c r="B4442" s="13" t="str">
        <f>TRIM(CLEAN(Raw_Data!B4442))</f>
        <v>Sales</v>
      </c>
      <c r="C4442" s="18" t="s">
        <v>33</v>
      </c>
      <c r="D4442" s="14" t="str">
        <f>IF(ISBLANK(Raw_Data!D4442),AVERAGE(Raw_Data!D$2:D$5002),Raw_Data!D4442)</f>
        <v>87548.46</v>
      </c>
      <c r="E4442" s="15" t="str">
        <f>IF(ISBLANK(Raw_Data!E4442),AVERAGE(Raw_Data!E$2:E$5002),Raw_Data!E4442)</f>
        <v>24977.72</v>
      </c>
      <c r="F4442" s="15" t="str">
        <f>IF(ISBLANK(Raw_Data!F4442),AVERAGE(Raw_Data!F$2:F$5002),Raw_Data!F4442)</f>
        <v>36136.71</v>
      </c>
      <c r="G4442" s="14" t="str">
        <f>IF(ISBLANK(Raw_Data!G4442),AVERAGE(Raw_Data!G$2:G$5002),Raw_Data!G4442)</f>
        <v>1430.95</v>
      </c>
      <c r="H4442" s="15" t="str">
        <f t="shared" si="1"/>
        <v>148663.00</v>
      </c>
      <c r="I4442" s="14" t="str">
        <f t="shared" si="2"/>
        <v>147232.00</v>
      </c>
      <c r="J4442" s="16" t="str">
        <f>TEXT(Raw_Data!J4442,"MMM-YYY")</f>
        <v>Sep-2025</v>
      </c>
      <c r="K4442" s="13" t="str">
        <f>Raw_Data!K4442</f>
        <v>12</v>
      </c>
      <c r="L4442" s="17" t="str">
        <f>Raw_Data!L4442</f>
        <v>Chennai-South</v>
      </c>
      <c r="M4442" s="13" t="str">
        <f t="shared" si="3"/>
        <v>OK</v>
      </c>
      <c r="N4442" s="18" t="str">
        <f t="shared" si="4"/>
        <v>VALID</v>
      </c>
    </row>
    <row r="4443" ht="15.75" customHeight="1">
      <c r="A4443" s="13" t="str">
        <f>Raw_Data!A4443</f>
        <v>EMP4684</v>
      </c>
      <c r="B4443" s="13" t="str">
        <f>TRIM(CLEAN(Raw_Data!B4443))</f>
        <v>Finance</v>
      </c>
      <c r="C4443" s="18" t="s">
        <v>33</v>
      </c>
      <c r="D4443" s="14" t="str">
        <f>IF(ISBLANK(Raw_Data!D4443),AVERAGE(Raw_Data!D$2:D$5002),Raw_Data!D4443)</f>
        <v>55607.21</v>
      </c>
      <c r="E4443" s="15" t="str">
        <f>IF(ISBLANK(Raw_Data!E4443),AVERAGE(Raw_Data!E$2:E$5002),Raw_Data!E4443)</f>
        <v>33249.06</v>
      </c>
      <c r="F4443" s="15" t="str">
        <f>IF(ISBLANK(Raw_Data!F4443),AVERAGE(Raw_Data!F$2:F$5002),Raw_Data!F4443)</f>
        <v>36144.39</v>
      </c>
      <c r="G4443" s="14" t="str">
        <f>IF(ISBLANK(Raw_Data!G4443),AVERAGE(Raw_Data!G$2:G$5002),Raw_Data!G4443)</f>
        <v>15335.47</v>
      </c>
      <c r="H4443" s="15" t="str">
        <f t="shared" si="1"/>
        <v>125001.00</v>
      </c>
      <c r="I4443" s="14" t="str">
        <f t="shared" si="2"/>
        <v>109666.00</v>
      </c>
      <c r="J4443" s="16" t="str">
        <f>TEXT(Raw_Data!J4443,"MMM-YYY")</f>
        <v>Sep-2025</v>
      </c>
      <c r="K4443" s="13" t="str">
        <f>Raw_Data!K4443</f>
        <v>17</v>
      </c>
      <c r="L4443" s="17" t="str">
        <f>Raw_Data!L4443</f>
        <v>Kolkata-East</v>
      </c>
      <c r="M4443" s="13" t="str">
        <f t="shared" si="3"/>
        <v>OK</v>
      </c>
      <c r="N4443" s="18" t="str">
        <f t="shared" si="4"/>
        <v>VALID</v>
      </c>
    </row>
    <row r="4444" ht="15.75" customHeight="1">
      <c r="A4444" s="13" t="str">
        <f>Raw_Data!A4444</f>
        <v>EMP4685</v>
      </c>
      <c r="B4444" s="13" t="str">
        <f>TRIM(CLEAN(Raw_Data!B4444))</f>
        <v>Customer Support</v>
      </c>
      <c r="C4444" s="18" t="s">
        <v>14</v>
      </c>
      <c r="D4444" s="14" t="str">
        <f>IF(ISBLANK(Raw_Data!D4444),AVERAGE(Raw_Data!D$2:D$5002),Raw_Data!D4444)</f>
        <v>113356.65</v>
      </c>
      <c r="E4444" s="15" t="str">
        <f>IF(ISBLANK(Raw_Data!E4444),AVERAGE(Raw_Data!E$2:E$5002),Raw_Data!E4444)</f>
        <v>15769.88</v>
      </c>
      <c r="F4444" s="15" t="str">
        <f>IF(ISBLANK(Raw_Data!F4444),AVERAGE(Raw_Data!F$2:F$5002),Raw_Data!F4444)</f>
        <v>36152.07</v>
      </c>
      <c r="G4444" s="14" t="str">
        <f>IF(ISBLANK(Raw_Data!G4444),AVERAGE(Raw_Data!G$2:G$5002),Raw_Data!G4444)</f>
        <v>12377.06</v>
      </c>
      <c r="H4444" s="15" t="str">
        <f t="shared" si="1"/>
        <v>165279.00</v>
      </c>
      <c r="I4444" s="14" t="str">
        <f t="shared" si="2"/>
        <v>152902.00</v>
      </c>
      <c r="J4444" s="16" t="str">
        <f>TEXT(Raw_Data!J4444,"MMM-YYY")</f>
        <v>Apr-2025</v>
      </c>
      <c r="K4444" s="13" t="str">
        <f>Raw_Data!K4444</f>
        <v>2</v>
      </c>
      <c r="L4444" s="17" t="str">
        <f>Raw_Data!L4444</f>
        <v>Pune-West</v>
      </c>
      <c r="M4444" s="13" t="str">
        <f t="shared" si="3"/>
        <v>OK</v>
      </c>
      <c r="N4444" s="18" t="str">
        <f t="shared" si="4"/>
        <v>VALID</v>
      </c>
    </row>
    <row r="4445" ht="15.75" customHeight="1">
      <c r="A4445" s="13" t="str">
        <f>Raw_Data!A4445</f>
        <v>EMP4686</v>
      </c>
      <c r="B4445" s="13" t="str">
        <f>TRIM(CLEAN(Raw_Data!B4445))</f>
        <v>Finance</v>
      </c>
      <c r="C4445" s="18" t="s">
        <v>18</v>
      </c>
      <c r="D4445" s="14" t="str">
        <f>IF(ISBLANK(Raw_Data!D4445),AVERAGE(Raw_Data!D$2:D$5002),Raw_Data!D4445)</f>
        <v>29439.70</v>
      </c>
      <c r="E4445" s="15" t="str">
        <f>IF(ISBLANK(Raw_Data!E4445),AVERAGE(Raw_Data!E$2:E$5002),Raw_Data!E4445)</f>
        <v>15006.78</v>
      </c>
      <c r="F4445" s="15" t="str">
        <f>IF(ISBLANK(Raw_Data!F4445),AVERAGE(Raw_Data!F$2:F$5002),Raw_Data!F4445)</f>
        <v>36159.75</v>
      </c>
      <c r="G4445" s="14" t="str">
        <f>IF(ISBLANK(Raw_Data!G4445),AVERAGE(Raw_Data!G$2:G$5002),Raw_Data!G4445)</f>
        <v>3091.58</v>
      </c>
      <c r="H4445" s="15" t="str">
        <f t="shared" si="1"/>
        <v>80606.00</v>
      </c>
      <c r="I4445" s="14" t="str">
        <f t="shared" si="2"/>
        <v>77514.00</v>
      </c>
      <c r="J4445" s="16" t="str">
        <f>TEXT(Raw_Data!J4445,"MMM-YYY")</f>
        <v>Feb-2025</v>
      </c>
      <c r="K4445" s="13" t="str">
        <f>Raw_Data!K4445</f>
        <v>17</v>
      </c>
      <c r="L4445" s="17" t="str">
        <f>Raw_Data!L4445</f>
        <v>Hyderabad-South</v>
      </c>
      <c r="M4445" s="13" t="str">
        <f t="shared" si="3"/>
        <v>OK</v>
      </c>
      <c r="N4445" s="18" t="str">
        <f t="shared" si="4"/>
        <v>VALID</v>
      </c>
    </row>
    <row r="4446" ht="15.75" customHeight="1">
      <c r="A4446" s="13" t="str">
        <f>Raw_Data!A4446</f>
        <v>EMP4687</v>
      </c>
      <c r="B4446" s="13" t="str">
        <f>TRIM(CLEAN(Raw_Data!B4446))</f>
        <v>HR</v>
      </c>
      <c r="C4446" s="18" t="s">
        <v>30</v>
      </c>
      <c r="D4446" s="14" t="str">
        <f>IF(ISBLANK(Raw_Data!D4446),AVERAGE(Raw_Data!D$2:D$5002),Raw_Data!D4446)</f>
        <v>50811.97</v>
      </c>
      <c r="E4446" s="15" t="str">
        <f>IF(ISBLANK(Raw_Data!E4446),AVERAGE(Raw_Data!E$2:E$5002),Raw_Data!E4446)</f>
        <v>18497.33</v>
      </c>
      <c r="F4446" s="15" t="str">
        <f>IF(ISBLANK(Raw_Data!F4446),AVERAGE(Raw_Data!F$2:F$5002),Raw_Data!F4446)</f>
        <v>36167.43</v>
      </c>
      <c r="G4446" s="14" t="str">
        <f>IF(ISBLANK(Raw_Data!G4446),AVERAGE(Raw_Data!G$2:G$5002),Raw_Data!G4446)</f>
        <v>7309.09</v>
      </c>
      <c r="H4446" s="15" t="str">
        <f t="shared" si="1"/>
        <v>105477.00</v>
      </c>
      <c r="I4446" s="14" t="str">
        <f t="shared" si="2"/>
        <v>98168.00</v>
      </c>
      <c r="J4446" s="16" t="str">
        <f>TEXT(Raw_Data!J4446,"MMM-YYY")</f>
        <v>Jan-2025</v>
      </c>
      <c r="K4446" s="13" t="str">
        <f>Raw_Data!K4446</f>
        <v>2</v>
      </c>
      <c r="L4446" s="17" t="str">
        <f>Raw_Data!L4446</f>
        <v>Chandigarh-North</v>
      </c>
      <c r="M4446" s="13" t="str">
        <f t="shared" si="3"/>
        <v>OK</v>
      </c>
      <c r="N4446" s="18" t="str">
        <f t="shared" si="4"/>
        <v>VALID</v>
      </c>
    </row>
    <row r="4447" ht="15.75" customHeight="1">
      <c r="A4447" s="13" t="str">
        <f>Raw_Data!A4447</f>
        <v>EMP4688</v>
      </c>
      <c r="B4447" s="13" t="str">
        <f>TRIM(CLEAN(Raw_Data!B4447))</f>
        <v>Sales</v>
      </c>
      <c r="C4447" s="18" t="s">
        <v>26</v>
      </c>
      <c r="D4447" s="14" t="str">
        <f>IF(ISBLANK(Raw_Data!D4447),AVERAGE(Raw_Data!D$2:D$5002),Raw_Data!D4447)</f>
        <v>26914.72</v>
      </c>
      <c r="E4447" s="15" t="str">
        <f>IF(ISBLANK(Raw_Data!E4447),AVERAGE(Raw_Data!E$2:E$5002),Raw_Data!E4447)</f>
        <v>28210.26</v>
      </c>
      <c r="F4447" s="15" t="str">
        <f>IF(ISBLANK(Raw_Data!F4447),AVERAGE(Raw_Data!F$2:F$5002),Raw_Data!F4447)</f>
        <v>36175.11</v>
      </c>
      <c r="G4447" s="14" t="str">
        <f>IF(ISBLANK(Raw_Data!G4447),AVERAGE(Raw_Data!G$2:G$5002),Raw_Data!G4447)</f>
        <v>22312.70</v>
      </c>
      <c r="H4447" s="15" t="str">
        <f t="shared" si="1"/>
        <v>91300.00</v>
      </c>
      <c r="I4447" s="14" t="str">
        <f t="shared" si="2"/>
        <v>68987.00</v>
      </c>
      <c r="J4447" s="16" t="str">
        <f>TEXT(Raw_Data!J4447,"MMM-YYY")</f>
        <v>Oct-2025</v>
      </c>
      <c r="K4447" s="13" t="str">
        <f>Raw_Data!K4447</f>
        <v>12</v>
      </c>
      <c r="L4447" s="17" t="str">
        <f>Raw_Data!L4447</f>
        <v>Ahmedabad-West</v>
      </c>
      <c r="M4447" s="13" t="str">
        <f t="shared" si="3"/>
        <v>OK</v>
      </c>
      <c r="N4447" s="18" t="str">
        <f t="shared" si="4"/>
        <v>VALID</v>
      </c>
    </row>
    <row r="4448" ht="15.75" customHeight="1">
      <c r="A4448" s="13" t="str">
        <f>Raw_Data!A4448</f>
        <v>EMP4689</v>
      </c>
      <c r="B4448" s="13" t="str">
        <f>TRIM(CLEAN(Raw_Data!B4448))</f>
        <v>Sales</v>
      </c>
      <c r="C4448" s="18" t="s">
        <v>26</v>
      </c>
      <c r="D4448" s="14" t="str">
        <f>IF(ISBLANK(Raw_Data!D4448),AVERAGE(Raw_Data!D$2:D$5002),Raw_Data!D4448)</f>
        <v>112092.83</v>
      </c>
      <c r="E4448" s="15" t="str">
        <f>IF(ISBLANK(Raw_Data!E4448),AVERAGE(Raw_Data!E$2:E$5002),Raw_Data!E4448)</f>
        <v>28558.90</v>
      </c>
      <c r="F4448" s="15" t="str">
        <f>IF(ISBLANK(Raw_Data!F4448),AVERAGE(Raw_Data!F$2:F$5002),Raw_Data!F4448)</f>
        <v>36182.79</v>
      </c>
      <c r="G4448" s="14" t="str">
        <f>IF(ISBLANK(Raw_Data!G4448),AVERAGE(Raw_Data!G$2:G$5002),Raw_Data!G4448)</f>
        <v>13974.72</v>
      </c>
      <c r="H4448" s="15" t="str">
        <f t="shared" si="1"/>
        <v>176835.00</v>
      </c>
      <c r="I4448" s="14" t="str">
        <f t="shared" si="2"/>
        <v>162860.00</v>
      </c>
      <c r="J4448" s="16" t="str">
        <f>TEXT(Raw_Data!J4448,"MMM-YYY")</f>
        <v>Jul-2025</v>
      </c>
      <c r="K4448" s="13" t="str">
        <f>Raw_Data!K4448</f>
        <v>3</v>
      </c>
      <c r="L4448" s="17" t="str">
        <f>Raw_Data!L4448</f>
        <v>Jaipur-North</v>
      </c>
      <c r="M4448" s="13" t="str">
        <f t="shared" si="3"/>
        <v>OK</v>
      </c>
      <c r="N4448" s="18" t="str">
        <f t="shared" si="4"/>
        <v>VALID</v>
      </c>
    </row>
    <row r="4449" ht="15.75" customHeight="1">
      <c r="A4449" s="13" t="str">
        <f>Raw_Data!A4449</f>
        <v>EMP4690</v>
      </c>
      <c r="B4449" s="13" t="str">
        <f>TRIM(CLEAN(Raw_Data!B4449))</f>
        <v>Sales</v>
      </c>
      <c r="C4449" s="18" t="s">
        <v>14</v>
      </c>
      <c r="D4449" s="14" t="str">
        <f>IF(ISBLANK(Raw_Data!D4449),AVERAGE(Raw_Data!D$2:D$5002),Raw_Data!D4449)</f>
        <v>71831.17</v>
      </c>
      <c r="E4449" s="15" t="str">
        <f>IF(ISBLANK(Raw_Data!E4449),AVERAGE(Raw_Data!E$2:E$5002),Raw_Data!E4449)</f>
        <v>15348.62</v>
      </c>
      <c r="F4449" s="15" t="str">
        <f>IF(ISBLANK(Raw_Data!F4449),AVERAGE(Raw_Data!F$2:F$5002),Raw_Data!F4449)</f>
        <v>36190.47</v>
      </c>
      <c r="G4449" s="14" t="str">
        <f>IF(ISBLANK(Raw_Data!G4449),AVERAGE(Raw_Data!G$2:G$5002),Raw_Data!G4449)</f>
        <v>10628.71</v>
      </c>
      <c r="H4449" s="15" t="str">
        <f t="shared" si="1"/>
        <v>123370.00</v>
      </c>
      <c r="I4449" s="14" t="str">
        <f t="shared" si="2"/>
        <v>112741.00</v>
      </c>
      <c r="J4449" s="16" t="str">
        <f>TEXT(Raw_Data!J4449,"MMM-YYY")</f>
        <v>Aug-2025</v>
      </c>
      <c r="K4449" s="13" t="str">
        <f>Raw_Data!K4449</f>
        <v>24</v>
      </c>
      <c r="L4449" s="17" t="str">
        <f>Raw_Data!L4449</f>
        <v>Mumbai-HO</v>
      </c>
      <c r="M4449" s="13" t="str">
        <f t="shared" si="3"/>
        <v>OK</v>
      </c>
      <c r="N4449" s="18" t="str">
        <f t="shared" si="4"/>
        <v>VALID</v>
      </c>
    </row>
    <row r="4450" ht="15.75" customHeight="1">
      <c r="A4450" s="13" t="str">
        <f>Raw_Data!A4450</f>
        <v>EMP4691</v>
      </c>
      <c r="B4450" s="13" t="str">
        <f>TRIM(CLEAN(Raw_Data!B4450))</f>
        <v>Finance</v>
      </c>
      <c r="C4450" s="18" t="s">
        <v>14</v>
      </c>
      <c r="D4450" s="14" t="str">
        <f>IF(ISBLANK(Raw_Data!D4450),AVERAGE(Raw_Data!D$2:D$5002),Raw_Data!D4450)</f>
        <v>42083.87</v>
      </c>
      <c r="E4450" s="15" t="str">
        <f>IF(ISBLANK(Raw_Data!E4450),AVERAGE(Raw_Data!E$2:E$5002),Raw_Data!E4450)</f>
        <v>8795.56</v>
      </c>
      <c r="F4450" s="15" t="str">
        <f>IF(ISBLANK(Raw_Data!F4450),AVERAGE(Raw_Data!F$2:F$5002),Raw_Data!F4450)</f>
        <v>36198.15</v>
      </c>
      <c r="G4450" s="14" t="str">
        <f>IF(ISBLANK(Raw_Data!G4450),AVERAGE(Raw_Data!G$2:G$5002),Raw_Data!G4450)</f>
        <v>2280.71</v>
      </c>
      <c r="H4450" s="15" t="str">
        <f t="shared" si="1"/>
        <v>87078.00</v>
      </c>
      <c r="I4450" s="14" t="str">
        <f t="shared" si="2"/>
        <v>84797.00</v>
      </c>
      <c r="J4450" s="16" t="str">
        <f>TEXT(Raw_Data!J4450,"MMM-YYY")</f>
        <v>Aug-2025</v>
      </c>
      <c r="K4450" s="13" t="str">
        <f>Raw_Data!K4450</f>
        <v>2</v>
      </c>
      <c r="L4450" s="17" t="str">
        <f>Raw_Data!L4450</f>
        <v>Delhi-North</v>
      </c>
      <c r="M4450" s="13" t="str">
        <f t="shared" si="3"/>
        <v>OK</v>
      </c>
      <c r="N4450" s="18" t="str">
        <f t="shared" si="4"/>
        <v>VALID</v>
      </c>
    </row>
    <row r="4451" ht="15.75" customHeight="1">
      <c r="A4451" s="13" t="str">
        <f>Raw_Data!A4451</f>
        <v>EMP4692</v>
      </c>
      <c r="B4451" s="13" t="str">
        <f>TRIM(CLEAN(Raw_Data!B4451))</f>
        <v>Finance</v>
      </c>
      <c r="C4451" s="18" t="s">
        <v>14</v>
      </c>
      <c r="D4451" s="14" t="str">
        <f>IF(ISBLANK(Raw_Data!D4451),AVERAGE(Raw_Data!D$2:D$5002),Raw_Data!D4451)</f>
        <v>84298.32</v>
      </c>
      <c r="E4451" s="15" t="str">
        <f>IF(ISBLANK(Raw_Data!E4451),AVERAGE(Raw_Data!E$2:E$5002),Raw_Data!E4451)</f>
        <v>26766.27</v>
      </c>
      <c r="F4451" s="15" t="str">
        <f>IF(ISBLANK(Raw_Data!F4451),AVERAGE(Raw_Data!F$2:F$5002),Raw_Data!F4451)</f>
        <v>36205.83</v>
      </c>
      <c r="G4451" s="14" t="str">
        <f>IF(ISBLANK(Raw_Data!G4451),AVERAGE(Raw_Data!G$2:G$5002),Raw_Data!G4451)</f>
        <v>17995.98</v>
      </c>
      <c r="H4451" s="15" t="str">
        <f t="shared" si="1"/>
        <v>147270.00</v>
      </c>
      <c r="I4451" s="14" t="str">
        <f t="shared" si="2"/>
        <v>129274.00</v>
      </c>
      <c r="J4451" s="16" t="str">
        <f>TEXT(Raw_Data!J4451,"MMM-YYY")</f>
        <v>Oct-2025</v>
      </c>
      <c r="K4451" s="13" t="str">
        <f>Raw_Data!K4451</f>
        <v>2</v>
      </c>
      <c r="L4451" s="17" t="str">
        <f>Raw_Data!L4451</f>
        <v>Bangalore-South</v>
      </c>
      <c r="M4451" s="13" t="str">
        <f t="shared" si="3"/>
        <v>OK</v>
      </c>
      <c r="N4451" s="18" t="str">
        <f t="shared" si="4"/>
        <v>VALID</v>
      </c>
    </row>
    <row r="4452" ht="15.75" customHeight="1">
      <c r="A4452" s="13" t="str">
        <f>Raw_Data!A4452</f>
        <v>EMP4693</v>
      </c>
      <c r="B4452" s="13" t="str">
        <f>TRIM(CLEAN(Raw_Data!B4452))</f>
        <v>Marketing</v>
      </c>
      <c r="C4452" s="18" t="s">
        <v>26</v>
      </c>
      <c r="D4452" s="14" t="str">
        <f>IF(ISBLANK(Raw_Data!D4452),AVERAGE(Raw_Data!D$2:D$5002),Raw_Data!D4452)</f>
        <v>100808.33</v>
      </c>
      <c r="E4452" s="15" t="str">
        <f>IF(ISBLANK(Raw_Data!E4452),AVERAGE(Raw_Data!E$2:E$5002),Raw_Data!E4452)</f>
        <v>8619.73</v>
      </c>
      <c r="F4452" s="15" t="str">
        <f>IF(ISBLANK(Raw_Data!F4452),AVERAGE(Raw_Data!F$2:F$5002),Raw_Data!F4452)</f>
        <v>36213.51</v>
      </c>
      <c r="G4452" s="14" t="str">
        <f>IF(ISBLANK(Raw_Data!G4452),AVERAGE(Raw_Data!G$2:G$5002),Raw_Data!G4452)</f>
        <v>17719.85</v>
      </c>
      <c r="H4452" s="15" t="str">
        <f t="shared" si="1"/>
        <v>145642.00</v>
      </c>
      <c r="I4452" s="14" t="str">
        <f t="shared" si="2"/>
        <v>127922.00</v>
      </c>
      <c r="J4452" s="16" t="str">
        <f>TEXT(Raw_Data!J4452,"MMM-YYY")</f>
        <v>May-2025</v>
      </c>
      <c r="K4452" s="13" t="str">
        <f>Raw_Data!K4452</f>
        <v>12</v>
      </c>
      <c r="L4452" s="17" t="str">
        <f>Raw_Data!L4452</f>
        <v>Chennai-South</v>
      </c>
      <c r="M4452" s="13" t="str">
        <f t="shared" si="3"/>
        <v>OK</v>
      </c>
      <c r="N4452" s="18" t="str">
        <f t="shared" si="4"/>
        <v>VALID</v>
      </c>
    </row>
    <row r="4453" ht="15.75" customHeight="1">
      <c r="A4453" s="13" t="str">
        <f>Raw_Data!A4453</f>
        <v>EMP4694</v>
      </c>
      <c r="B4453" s="13" t="str">
        <f>TRIM(CLEAN(Raw_Data!B4453))</f>
        <v>Finance</v>
      </c>
      <c r="C4453" s="18" t="s">
        <v>18</v>
      </c>
      <c r="D4453" s="14" t="str">
        <f>IF(ISBLANK(Raw_Data!D4453),AVERAGE(Raw_Data!D$2:D$5002),Raw_Data!D4453)</f>
        <v>73296.09</v>
      </c>
      <c r="E4453" s="15" t="str">
        <f>IF(ISBLANK(Raw_Data!E4453),AVERAGE(Raw_Data!E$2:E$5002),Raw_Data!E4453)</f>
        <v>24825.73</v>
      </c>
      <c r="F4453" s="15" t="str">
        <f>IF(ISBLANK(Raw_Data!F4453),AVERAGE(Raw_Data!F$2:F$5002),Raw_Data!F4453)</f>
        <v>36221.19</v>
      </c>
      <c r="G4453" s="14" t="str">
        <f>IF(ISBLANK(Raw_Data!G4453),AVERAGE(Raw_Data!G$2:G$5002),Raw_Data!G4453)</f>
        <v>15544.07</v>
      </c>
      <c r="H4453" s="15" t="str">
        <f t="shared" si="1"/>
        <v>134343.00</v>
      </c>
      <c r="I4453" s="14" t="str">
        <f t="shared" si="2"/>
        <v>118799.00</v>
      </c>
      <c r="J4453" s="16" t="str">
        <f>TEXT(Raw_Data!J4453,"MMM-YYY")</f>
        <v>Jun-2025</v>
      </c>
      <c r="K4453" s="13" t="str">
        <f>Raw_Data!K4453</f>
        <v>12</v>
      </c>
      <c r="L4453" s="17" t="str">
        <f>Raw_Data!L4453</f>
        <v>Kolkata-East</v>
      </c>
      <c r="M4453" s="13" t="str">
        <f t="shared" si="3"/>
        <v>OK</v>
      </c>
      <c r="N4453" s="18" t="str">
        <f t="shared" si="4"/>
        <v>VALID</v>
      </c>
    </row>
    <row r="4454" ht="15.75" customHeight="1">
      <c r="A4454" s="13" t="str">
        <f>Raw_Data!A4454</f>
        <v>EMP4695</v>
      </c>
      <c r="B4454" s="13" t="str">
        <f>TRIM(CLEAN(Raw_Data!B4454))</f>
        <v>Finance</v>
      </c>
      <c r="C4454" s="18" t="s">
        <v>26</v>
      </c>
      <c r="D4454" s="14" t="str">
        <f>IF(ISBLANK(Raw_Data!D4454),AVERAGE(Raw_Data!D$2:D$5002),Raw_Data!D4454)</f>
        <v>70613.31</v>
      </c>
      <c r="E4454" s="15" t="str">
        <f>IF(ISBLANK(Raw_Data!E4454),AVERAGE(Raw_Data!E$2:E$5002),Raw_Data!E4454)</f>
        <v>28963.20</v>
      </c>
      <c r="F4454" s="15" t="str">
        <f>IF(ISBLANK(Raw_Data!F4454),AVERAGE(Raw_Data!F$2:F$5002),Raw_Data!F4454)</f>
        <v>36228.87</v>
      </c>
      <c r="G4454" s="14" t="str">
        <f>IF(ISBLANK(Raw_Data!G4454),AVERAGE(Raw_Data!G$2:G$5002),Raw_Data!G4454)</f>
        <v>13001.43</v>
      </c>
      <c r="H4454" s="15" t="str">
        <f t="shared" si="1"/>
        <v>135805.00</v>
      </c>
      <c r="I4454" s="14" t="str">
        <f t="shared" si="2"/>
        <v>122804.00</v>
      </c>
      <c r="J4454" s="16" t="str">
        <f>TEXT(Raw_Data!J4454,"MMM-YYY")</f>
        <v>Nov-2025</v>
      </c>
      <c r="K4454" s="13" t="str">
        <f>Raw_Data!K4454</f>
        <v>4</v>
      </c>
      <c r="L4454" s="17" t="str">
        <f>Raw_Data!L4454</f>
        <v>Pune-West</v>
      </c>
      <c r="M4454" s="13" t="str">
        <f t="shared" si="3"/>
        <v>OK</v>
      </c>
      <c r="N4454" s="18" t="str">
        <f t="shared" si="4"/>
        <v>VALID</v>
      </c>
    </row>
    <row r="4455" ht="15.75" customHeight="1">
      <c r="A4455" s="13" t="str">
        <f>Raw_Data!A4455</f>
        <v>EMP4696</v>
      </c>
      <c r="B4455" s="13" t="str">
        <f>TRIM(CLEAN(Raw_Data!B4455))</f>
        <v>Sales</v>
      </c>
      <c r="C4455" s="18" t="s">
        <v>18</v>
      </c>
      <c r="D4455" s="14" t="str">
        <f>IF(ISBLANK(Raw_Data!D4455),AVERAGE(Raw_Data!D$2:D$5002),Raw_Data!D4455)</f>
        <v>40394.49</v>
      </c>
      <c r="E4455" s="15" t="str">
        <f>IF(ISBLANK(Raw_Data!E4455),AVERAGE(Raw_Data!E$2:E$5002),Raw_Data!E4455)</f>
        <v>29222.01</v>
      </c>
      <c r="F4455" s="15" t="str">
        <f>IF(ISBLANK(Raw_Data!F4455),AVERAGE(Raw_Data!F$2:F$5002),Raw_Data!F4455)</f>
        <v>36236.55</v>
      </c>
      <c r="G4455" s="14" t="str">
        <f>IF(ISBLANK(Raw_Data!G4455),AVERAGE(Raw_Data!G$2:G$5002),Raw_Data!G4455)</f>
        <v>11127.72</v>
      </c>
      <c r="H4455" s="15" t="str">
        <f t="shared" si="1"/>
        <v>105853.00</v>
      </c>
      <c r="I4455" s="14" t="str">
        <f t="shared" si="2"/>
        <v>94725.00</v>
      </c>
      <c r="J4455" s="16" t="str">
        <f>TEXT(Raw_Data!J4455,"MMM-YYY")</f>
        <v>Jan-2025</v>
      </c>
      <c r="K4455" s="13" t="str">
        <f>Raw_Data!K4455</f>
        <v>2</v>
      </c>
      <c r="L4455" s="17" t="str">
        <f>Raw_Data!L4455</f>
        <v>Hyderabad-South</v>
      </c>
      <c r="M4455" s="13" t="str">
        <f t="shared" si="3"/>
        <v>OK</v>
      </c>
      <c r="N4455" s="18" t="str">
        <f t="shared" si="4"/>
        <v>VALID</v>
      </c>
    </row>
    <row r="4456" ht="15.75" customHeight="1">
      <c r="A4456" s="13" t="str">
        <f>Raw_Data!A4456</f>
        <v>EMP4697</v>
      </c>
      <c r="B4456" s="13" t="str">
        <f>TRIM(CLEAN(Raw_Data!B4456))</f>
        <v>IT</v>
      </c>
      <c r="C4456" s="18" t="s">
        <v>14</v>
      </c>
      <c r="D4456" s="14" t="str">
        <f>IF(ISBLANK(Raw_Data!D4456),AVERAGE(Raw_Data!D$2:D$5002),Raw_Data!D4456)</f>
        <v>24775.79</v>
      </c>
      <c r="E4456" s="15" t="str">
        <f>IF(ISBLANK(Raw_Data!E4456),AVERAGE(Raw_Data!E$2:E$5002),Raw_Data!E4456)</f>
        <v>31125.00</v>
      </c>
      <c r="F4456" s="15" t="str">
        <f>IF(ISBLANK(Raw_Data!F4456),AVERAGE(Raw_Data!F$2:F$5002),Raw_Data!F4456)</f>
        <v>36244.23</v>
      </c>
      <c r="G4456" s="14" t="str">
        <f>IF(ISBLANK(Raw_Data!G4456),AVERAGE(Raw_Data!G$2:G$5002),Raw_Data!G4456)</f>
        <v>15035.14</v>
      </c>
      <c r="H4456" s="15" t="str">
        <f t="shared" si="1"/>
        <v>92145.00</v>
      </c>
      <c r="I4456" s="14" t="str">
        <f t="shared" si="2"/>
        <v>77110.00</v>
      </c>
      <c r="J4456" s="16" t="str">
        <f>TEXT(Raw_Data!J4456,"MMM-YYY")</f>
        <v>Apr-2025</v>
      </c>
      <c r="K4456" s="13" t="str">
        <f>Raw_Data!K4456</f>
        <v>16</v>
      </c>
      <c r="L4456" s="17" t="str">
        <f>Raw_Data!L4456</f>
        <v>Chandigarh-North</v>
      </c>
      <c r="M4456" s="13" t="str">
        <f t="shared" si="3"/>
        <v>OK</v>
      </c>
      <c r="N4456" s="18" t="str">
        <f t="shared" si="4"/>
        <v>VALID</v>
      </c>
    </row>
    <row r="4457" ht="15.75" customHeight="1">
      <c r="A4457" s="13" t="str">
        <f>Raw_Data!A4457</f>
        <v>EMP4698</v>
      </c>
      <c r="B4457" s="13" t="str">
        <f>TRIM(CLEAN(Raw_Data!B4457))</f>
        <v>HR</v>
      </c>
      <c r="C4457" s="18" t="s">
        <v>33</v>
      </c>
      <c r="D4457" s="14" t="str">
        <f>IF(ISBLANK(Raw_Data!D4457),AVERAGE(Raw_Data!D$2:D$5002),Raw_Data!D4457)</f>
        <v>109207.65</v>
      </c>
      <c r="E4457" s="15" t="str">
        <f>IF(ISBLANK(Raw_Data!E4457),AVERAGE(Raw_Data!E$2:E$5002),Raw_Data!E4457)</f>
        <v>35422.94</v>
      </c>
      <c r="F4457" s="15" t="str">
        <f>IF(ISBLANK(Raw_Data!F4457),AVERAGE(Raw_Data!F$2:F$5002),Raw_Data!F4457)</f>
        <v>36251.91</v>
      </c>
      <c r="G4457" s="14" t="str">
        <f>IF(ISBLANK(Raw_Data!G4457),AVERAGE(Raw_Data!G$2:G$5002),Raw_Data!G4457)</f>
        <v>6218.19</v>
      </c>
      <c r="H4457" s="15" t="str">
        <f t="shared" si="1"/>
        <v>180883.00</v>
      </c>
      <c r="I4457" s="14" t="str">
        <f t="shared" si="2"/>
        <v>174665.00</v>
      </c>
      <c r="J4457" s="16" t="str">
        <f>TEXT(Raw_Data!J4457,"MMM-YYY")</f>
        <v>Nov-2025</v>
      </c>
      <c r="K4457" s="13" t="str">
        <f>Raw_Data!K4457</f>
        <v>10</v>
      </c>
      <c r="L4457" s="17" t="str">
        <f>Raw_Data!L4457</f>
        <v>Ahmedabad-West</v>
      </c>
      <c r="M4457" s="13" t="str">
        <f t="shared" si="3"/>
        <v>OK</v>
      </c>
      <c r="N4457" s="18" t="str">
        <f t="shared" si="4"/>
        <v>VALID</v>
      </c>
    </row>
    <row r="4458" ht="15.75" customHeight="1">
      <c r="A4458" s="13" t="str">
        <f>Raw_Data!A4458</f>
        <v>EMP4699</v>
      </c>
      <c r="B4458" s="13" t="str">
        <f>TRIM(CLEAN(Raw_Data!B4458))</f>
        <v>Operations</v>
      </c>
      <c r="C4458" s="18" t="s">
        <v>14</v>
      </c>
      <c r="D4458" s="14" t="str">
        <f>IF(ISBLANK(Raw_Data!D4458),AVERAGE(Raw_Data!D$2:D$5002),Raw_Data!D4458)</f>
        <v>109543.90</v>
      </c>
      <c r="E4458" s="15" t="str">
        <f>IF(ISBLANK(Raw_Data!E4458),AVERAGE(Raw_Data!E$2:E$5002),Raw_Data!E4458)</f>
        <v>21998.52</v>
      </c>
      <c r="F4458" s="15" t="str">
        <f>IF(ISBLANK(Raw_Data!F4458),AVERAGE(Raw_Data!F$2:F$5002),Raw_Data!F4458)</f>
        <v>36259.59</v>
      </c>
      <c r="G4458" s="14" t="str">
        <f>IF(ISBLANK(Raw_Data!G4458),AVERAGE(Raw_Data!G$2:G$5002),Raw_Data!G4458)</f>
        <v>23560.85</v>
      </c>
      <c r="H4458" s="15" t="str">
        <f t="shared" si="1"/>
        <v>167802.00</v>
      </c>
      <c r="I4458" s="14" t="str">
        <f t="shared" si="2"/>
        <v>144241.00</v>
      </c>
      <c r="J4458" s="16" t="str">
        <f>TEXT(Raw_Data!J4458,"MMM-YYY")</f>
        <v>Feb-2025</v>
      </c>
      <c r="K4458" s="13" t="str">
        <f>Raw_Data!K4458</f>
        <v>6</v>
      </c>
      <c r="L4458" s="17" t="str">
        <f>Raw_Data!L4458</f>
        <v>Jaipur-North</v>
      </c>
      <c r="M4458" s="13" t="str">
        <f t="shared" si="3"/>
        <v>OK</v>
      </c>
      <c r="N4458" s="18" t="str">
        <f t="shared" si="4"/>
        <v>VALID</v>
      </c>
    </row>
    <row r="4459" ht="15.75" customHeight="1">
      <c r="A4459" s="13" t="str">
        <f>Raw_Data!A4459</f>
        <v>EMP4700</v>
      </c>
      <c r="B4459" s="13" t="str">
        <f>TRIM(CLEAN(Raw_Data!B4459))</f>
        <v>Operations</v>
      </c>
      <c r="C4459" s="18" t="s">
        <v>14</v>
      </c>
      <c r="D4459" s="14" t="str">
        <f>IF(ISBLANK(Raw_Data!D4459),AVERAGE(Raw_Data!D$2:D$5002),Raw_Data!D4459)</f>
        <v>81475.65</v>
      </c>
      <c r="E4459" s="15" t="str">
        <f>IF(ISBLANK(Raw_Data!E4459),AVERAGE(Raw_Data!E$2:E$5002),Raw_Data!E4459)</f>
        <v>30288.97</v>
      </c>
      <c r="F4459" s="15" t="str">
        <f>IF(ISBLANK(Raw_Data!F4459),AVERAGE(Raw_Data!F$2:F$5002),Raw_Data!F4459)</f>
        <v>36267.27</v>
      </c>
      <c r="G4459" s="14" t="str">
        <f>IF(ISBLANK(Raw_Data!G4459),AVERAGE(Raw_Data!G$2:G$5002),Raw_Data!G4459)</f>
        <v>14925.47</v>
      </c>
      <c r="H4459" s="15" t="str">
        <f t="shared" si="1"/>
        <v>148032.00</v>
      </c>
      <c r="I4459" s="14" t="str">
        <f t="shared" si="2"/>
        <v>133107.00</v>
      </c>
      <c r="J4459" s="16" t="str">
        <f>TEXT(Raw_Data!J4459,"MMM-YYY")</f>
        <v>Jun-2025</v>
      </c>
      <c r="K4459" s="13" t="str">
        <f>Raw_Data!K4459</f>
        <v>2</v>
      </c>
      <c r="L4459" s="17" t="str">
        <f>Raw_Data!L4459</f>
        <v>Mumbai-HO</v>
      </c>
      <c r="M4459" s="13" t="str">
        <f t="shared" si="3"/>
        <v>OK</v>
      </c>
      <c r="N4459" s="18" t="str">
        <f t="shared" si="4"/>
        <v>VALID</v>
      </c>
    </row>
    <row r="4460" ht="15.75" customHeight="1">
      <c r="A4460" s="13" t="str">
        <f>Raw_Data!A4460</f>
        <v>EMP4701</v>
      </c>
      <c r="B4460" s="13" t="str">
        <f>TRIM(CLEAN(Raw_Data!B4460))</f>
        <v>Operations</v>
      </c>
      <c r="C4460" s="18" t="s">
        <v>26</v>
      </c>
      <c r="D4460" s="14" t="str">
        <f>IF(ISBLANK(Raw_Data!D4460),AVERAGE(Raw_Data!D$2:D$5002),Raw_Data!D4460)</f>
        <v>50598.13</v>
      </c>
      <c r="E4460" s="15" t="str">
        <f>IF(ISBLANK(Raw_Data!E4460),AVERAGE(Raw_Data!E$2:E$5002),Raw_Data!E4460)</f>
        <v>26290.22</v>
      </c>
      <c r="F4460" s="15" t="str">
        <f>IF(ISBLANK(Raw_Data!F4460),AVERAGE(Raw_Data!F$2:F$5002),Raw_Data!F4460)</f>
        <v>36274.95</v>
      </c>
      <c r="G4460" s="14" t="str">
        <f>IF(ISBLANK(Raw_Data!G4460),AVERAGE(Raw_Data!G$2:G$5002),Raw_Data!G4460)</f>
        <v>8124.21</v>
      </c>
      <c r="H4460" s="15" t="str">
        <f t="shared" si="1"/>
        <v>113163.00</v>
      </c>
      <c r="I4460" s="14" t="str">
        <f t="shared" si="2"/>
        <v>105039.00</v>
      </c>
      <c r="J4460" s="16" t="str">
        <f>TEXT(Raw_Data!J4460,"MMM-YYY")</f>
        <v>Mar-2025</v>
      </c>
      <c r="K4460" s="13" t="str">
        <f>Raw_Data!K4460</f>
        <v>3</v>
      </c>
      <c r="L4460" s="17" t="str">
        <f>Raw_Data!L4460</f>
        <v>Delhi-North</v>
      </c>
      <c r="M4460" s="13" t="str">
        <f t="shared" si="3"/>
        <v>OK</v>
      </c>
      <c r="N4460" s="18" t="str">
        <f t="shared" si="4"/>
        <v>VALID</v>
      </c>
    </row>
    <row r="4461" ht="15.75" customHeight="1">
      <c r="A4461" s="13" t="str">
        <f>Raw_Data!A4461</f>
        <v>EMP4702</v>
      </c>
      <c r="B4461" s="13" t="str">
        <f>TRIM(CLEAN(Raw_Data!B4461))</f>
        <v>IT</v>
      </c>
      <c r="C4461" s="18" t="s">
        <v>30</v>
      </c>
      <c r="D4461" s="14" t="str">
        <f>IF(ISBLANK(Raw_Data!D4461),AVERAGE(Raw_Data!D$2:D$5002),Raw_Data!D4461)</f>
        <v>51667.01</v>
      </c>
      <c r="E4461" s="15" t="str">
        <f>IF(ISBLANK(Raw_Data!E4461),AVERAGE(Raw_Data!E$2:E$5002),Raw_Data!E4461)</f>
        <v>10719.04</v>
      </c>
      <c r="F4461" s="15" t="str">
        <f>IF(ISBLANK(Raw_Data!F4461),AVERAGE(Raw_Data!F$2:F$5002),Raw_Data!F4461)</f>
        <v>36282.63</v>
      </c>
      <c r="G4461" s="14" t="str">
        <f>IF(ISBLANK(Raw_Data!G4461),AVERAGE(Raw_Data!G$2:G$5002),Raw_Data!G4461)</f>
        <v>11517.16</v>
      </c>
      <c r="H4461" s="15" t="str">
        <f t="shared" si="1"/>
        <v>98669.00</v>
      </c>
      <c r="I4461" s="14" t="str">
        <f t="shared" si="2"/>
        <v>87152.00</v>
      </c>
      <c r="J4461" s="16" t="str">
        <f>TEXT(Raw_Data!J4461,"MMM-YYY")</f>
        <v>Sep-2025</v>
      </c>
      <c r="K4461" s="13" t="str">
        <f>Raw_Data!K4461</f>
        <v>4</v>
      </c>
      <c r="L4461" s="17" t="str">
        <f>Raw_Data!L4461</f>
        <v>Bangalore-South</v>
      </c>
      <c r="M4461" s="13" t="str">
        <f t="shared" si="3"/>
        <v>OK</v>
      </c>
      <c r="N4461" s="18" t="str">
        <f t="shared" si="4"/>
        <v>VALID</v>
      </c>
    </row>
    <row r="4462" ht="15.75" customHeight="1">
      <c r="A4462" s="13" t="str">
        <f>Raw_Data!A4462</f>
        <v>EMP4703</v>
      </c>
      <c r="B4462" s="13" t="str">
        <f>TRIM(CLEAN(Raw_Data!B4462))</f>
        <v>HR</v>
      </c>
      <c r="C4462" s="18" t="s">
        <v>54</v>
      </c>
      <c r="D4462" s="14" t="str">
        <f>IF(ISBLANK(Raw_Data!D4462),AVERAGE(Raw_Data!D$2:D$5002),Raw_Data!D4462)</f>
        <v>91225.35</v>
      </c>
      <c r="E4462" s="15" t="str">
        <f>IF(ISBLANK(Raw_Data!E4462),AVERAGE(Raw_Data!E$2:E$5002),Raw_Data!E4462)</f>
        <v>4924.83</v>
      </c>
      <c r="F4462" s="15" t="str">
        <f>IF(ISBLANK(Raw_Data!F4462),AVERAGE(Raw_Data!F$2:F$5002),Raw_Data!F4462)</f>
        <v>36290.31</v>
      </c>
      <c r="G4462" s="14" t="str">
        <f>IF(ISBLANK(Raw_Data!G4462),AVERAGE(Raw_Data!G$2:G$5002),Raw_Data!G4462)</f>
        <v>20239.28</v>
      </c>
      <c r="H4462" s="15" t="str">
        <f t="shared" si="1"/>
        <v>132440.00</v>
      </c>
      <c r="I4462" s="14" t="str">
        <f t="shared" si="2"/>
        <v>112201.00</v>
      </c>
      <c r="J4462" s="16" t="str">
        <f>TEXT(Raw_Data!J4462,"MMM-YYY")</f>
        <v>May-2025</v>
      </c>
      <c r="K4462" s="13" t="str">
        <f>Raw_Data!K4462</f>
        <v>18</v>
      </c>
      <c r="L4462" s="17" t="str">
        <f>Raw_Data!L4462</f>
        <v>Chennai-South</v>
      </c>
      <c r="M4462" s="13" t="str">
        <f t="shared" si="3"/>
        <v>OK</v>
      </c>
      <c r="N4462" s="18" t="str">
        <f t="shared" si="4"/>
        <v>VALID</v>
      </c>
    </row>
    <row r="4463" ht="15.75" customHeight="1">
      <c r="A4463" s="13" t="str">
        <f>Raw_Data!A4463</f>
        <v>EMP4704</v>
      </c>
      <c r="B4463" s="13" t="str">
        <f>TRIM(CLEAN(Raw_Data!B4463))</f>
        <v>Marketing</v>
      </c>
      <c r="C4463" s="18" t="s">
        <v>54</v>
      </c>
      <c r="D4463" s="14" t="str">
        <f>IF(ISBLANK(Raw_Data!D4463),AVERAGE(Raw_Data!D$2:D$5002),Raw_Data!D4463)</f>
        <v>109196.58</v>
      </c>
      <c r="E4463" s="15" t="str">
        <f>IF(ISBLANK(Raw_Data!E4463),AVERAGE(Raw_Data!E$2:E$5002),Raw_Data!E4463)</f>
        <v>14243.49</v>
      </c>
      <c r="F4463" s="15" t="str">
        <f>IF(ISBLANK(Raw_Data!F4463),AVERAGE(Raw_Data!F$2:F$5002),Raw_Data!F4463)</f>
        <v>36297.99</v>
      </c>
      <c r="G4463" s="14" t="str">
        <f>IF(ISBLANK(Raw_Data!G4463),AVERAGE(Raw_Data!G$2:G$5002),Raw_Data!G4463)</f>
        <v>4459.59</v>
      </c>
      <c r="H4463" s="15" t="str">
        <f t="shared" si="1"/>
        <v>159738.00</v>
      </c>
      <c r="I4463" s="14" t="str">
        <f t="shared" si="2"/>
        <v>155278.00</v>
      </c>
      <c r="J4463" s="16" t="str">
        <f>TEXT(Raw_Data!J4463,"MMM-YYY")</f>
        <v>Mar-2025</v>
      </c>
      <c r="K4463" s="13" t="str">
        <f>Raw_Data!K4463</f>
        <v>22</v>
      </c>
      <c r="L4463" s="17" t="str">
        <f>Raw_Data!L4463</f>
        <v>Kolkata-East</v>
      </c>
      <c r="M4463" s="13" t="str">
        <f t="shared" si="3"/>
        <v>OK</v>
      </c>
      <c r="N4463" s="18" t="str">
        <f t="shared" si="4"/>
        <v>VALID</v>
      </c>
    </row>
    <row r="4464" ht="15.75" customHeight="1">
      <c r="A4464" s="13" t="str">
        <f>Raw_Data!A4464</f>
        <v>EMP4705</v>
      </c>
      <c r="B4464" s="13" t="str">
        <f>TRIM(CLEAN(Raw_Data!B4464))</f>
        <v>Operations</v>
      </c>
      <c r="C4464" s="18" t="s">
        <v>14</v>
      </c>
      <c r="D4464" s="14" t="str">
        <f>IF(ISBLANK(Raw_Data!D4464),AVERAGE(Raw_Data!D$2:D$5002),Raw_Data!D4464)</f>
        <v>108144.07</v>
      </c>
      <c r="E4464" s="15" t="str">
        <f>IF(ISBLANK(Raw_Data!E4464),AVERAGE(Raw_Data!E$2:E$5002),Raw_Data!E4464)</f>
        <v>19949.21</v>
      </c>
      <c r="F4464" s="15" t="str">
        <f>IF(ISBLANK(Raw_Data!F4464),AVERAGE(Raw_Data!F$2:F$5002),Raw_Data!F4464)</f>
        <v>36305.67</v>
      </c>
      <c r="G4464" s="14" t="str">
        <f>IF(ISBLANK(Raw_Data!G4464),AVERAGE(Raw_Data!G$2:G$5002),Raw_Data!G4464)</f>
        <v>7674.47</v>
      </c>
      <c r="H4464" s="15" t="str">
        <f t="shared" si="1"/>
        <v>164399.00</v>
      </c>
      <c r="I4464" s="14" t="str">
        <f t="shared" si="2"/>
        <v>156725.00</v>
      </c>
      <c r="J4464" s="16" t="str">
        <f>TEXT(Raw_Data!J4464,"MMM-YYY")</f>
        <v>Sep-2025</v>
      </c>
      <c r="K4464" s="13" t="str">
        <f>Raw_Data!K4464</f>
        <v>11</v>
      </c>
      <c r="L4464" s="17" t="str">
        <f>Raw_Data!L4464</f>
        <v>Pune-West</v>
      </c>
      <c r="M4464" s="13" t="str">
        <f t="shared" si="3"/>
        <v>OK</v>
      </c>
      <c r="N4464" s="18" t="str">
        <f t="shared" si="4"/>
        <v>VALID</v>
      </c>
    </row>
    <row r="4465" ht="15.75" customHeight="1">
      <c r="A4465" s="13" t="str">
        <f>Raw_Data!A4465</f>
        <v>EMP4706</v>
      </c>
      <c r="B4465" s="13" t="str">
        <f>TRIM(CLEAN(Raw_Data!B4465))</f>
        <v>Customer Support</v>
      </c>
      <c r="C4465" s="18" t="s">
        <v>18</v>
      </c>
      <c r="D4465" s="14" t="str">
        <f>IF(ISBLANK(Raw_Data!D4465),AVERAGE(Raw_Data!D$2:D$5002),Raw_Data!D4465)</f>
        <v>96886.93</v>
      </c>
      <c r="E4465" s="15" t="str">
        <f>IF(ISBLANK(Raw_Data!E4465),AVERAGE(Raw_Data!E$2:E$5002),Raw_Data!E4465)</f>
        <v>26215.81</v>
      </c>
      <c r="F4465" s="15" t="str">
        <f>IF(ISBLANK(Raw_Data!F4465),AVERAGE(Raw_Data!F$2:F$5002),Raw_Data!F4465)</f>
        <v>36313.35</v>
      </c>
      <c r="G4465" s="14" t="str">
        <f>IF(ISBLANK(Raw_Data!G4465),AVERAGE(Raw_Data!G$2:G$5002),Raw_Data!G4465)</f>
        <v>17147.95</v>
      </c>
      <c r="H4465" s="15" t="str">
        <f t="shared" si="1"/>
        <v>159416.00</v>
      </c>
      <c r="I4465" s="14" t="str">
        <f t="shared" si="2"/>
        <v>142268.00</v>
      </c>
      <c r="J4465" s="16" t="str">
        <f>TEXT(Raw_Data!J4465,"MMM-YYY")</f>
        <v>Aug-2025</v>
      </c>
      <c r="K4465" s="13" t="str">
        <f>Raw_Data!K4465</f>
        <v>2</v>
      </c>
      <c r="L4465" s="17" t="str">
        <f>Raw_Data!L4465</f>
        <v>Hyderabad-South</v>
      </c>
      <c r="M4465" s="13" t="str">
        <f t="shared" si="3"/>
        <v>OK</v>
      </c>
      <c r="N4465" s="18" t="str">
        <f t="shared" si="4"/>
        <v>VALID</v>
      </c>
    </row>
    <row r="4466" ht="15.75" customHeight="1">
      <c r="A4466" s="13" t="str">
        <f>Raw_Data!A4466</f>
        <v>EMP4707</v>
      </c>
      <c r="B4466" s="13" t="str">
        <f>TRIM(CLEAN(Raw_Data!B4466))</f>
        <v>Finance</v>
      </c>
      <c r="C4466" s="18" t="s">
        <v>14</v>
      </c>
      <c r="D4466" s="14" t="str">
        <f>IF(ISBLANK(Raw_Data!D4466),AVERAGE(Raw_Data!D$2:D$5002),Raw_Data!D4466)</f>
        <v>82413.32</v>
      </c>
      <c r="E4466" s="15" t="str">
        <f>IF(ISBLANK(Raw_Data!E4466),AVERAGE(Raw_Data!E$2:E$5002),Raw_Data!E4466)</f>
        <v>34598.54</v>
      </c>
      <c r="F4466" s="15" t="str">
        <f>IF(ISBLANK(Raw_Data!F4466),AVERAGE(Raw_Data!F$2:F$5002),Raw_Data!F4466)</f>
        <v>36321.03</v>
      </c>
      <c r="G4466" s="14" t="str">
        <f>IF(ISBLANK(Raw_Data!G4466),AVERAGE(Raw_Data!G$2:G$5002),Raw_Data!G4466)</f>
        <v>8229.49</v>
      </c>
      <c r="H4466" s="15" t="str">
        <f t="shared" si="1"/>
        <v>153333.00</v>
      </c>
      <c r="I4466" s="14" t="str">
        <f t="shared" si="2"/>
        <v>145104.00</v>
      </c>
      <c r="J4466" s="16" t="str">
        <f>TEXT(Raw_Data!J4466,"MMM-YYY")</f>
        <v>Nov-2025</v>
      </c>
      <c r="K4466" s="13" t="str">
        <f>Raw_Data!K4466</f>
        <v>17</v>
      </c>
      <c r="L4466" s="17" t="str">
        <f>Raw_Data!L4466</f>
        <v>Chandigarh-North</v>
      </c>
      <c r="M4466" s="13" t="str">
        <f t="shared" si="3"/>
        <v>OK</v>
      </c>
      <c r="N4466" s="18" t="str">
        <f t="shared" si="4"/>
        <v>VALID</v>
      </c>
    </row>
    <row r="4467" ht="15.75" customHeight="1">
      <c r="A4467" s="13" t="str">
        <f>Raw_Data!A4467</f>
        <v>EMP4708</v>
      </c>
      <c r="B4467" s="13" t="str">
        <f>TRIM(CLEAN(Raw_Data!B4467))</f>
        <v>HR</v>
      </c>
      <c r="C4467" s="18" t="s">
        <v>37</v>
      </c>
      <c r="D4467" s="14" t="str">
        <f>IF(ISBLANK(Raw_Data!D4467),AVERAGE(Raw_Data!D$2:D$5002),Raw_Data!D4467)</f>
        <v>23834.70</v>
      </c>
      <c r="E4467" s="15" t="str">
        <f>IF(ISBLANK(Raw_Data!E4467),AVERAGE(Raw_Data!E$2:E$5002),Raw_Data!E4467)</f>
        <v>11064.85</v>
      </c>
      <c r="F4467" s="15" t="str">
        <f>IF(ISBLANK(Raw_Data!F4467),AVERAGE(Raw_Data!F$2:F$5002),Raw_Data!F4467)</f>
        <v>36328.71</v>
      </c>
      <c r="G4467" s="14" t="str">
        <f>IF(ISBLANK(Raw_Data!G4467),AVERAGE(Raw_Data!G$2:G$5002),Raw_Data!G4467)</f>
        <v>19916.29</v>
      </c>
      <c r="H4467" s="15" t="str">
        <f t="shared" si="1"/>
        <v>71228.00</v>
      </c>
      <c r="I4467" s="14" t="str">
        <f t="shared" si="2"/>
        <v>51312.00</v>
      </c>
      <c r="J4467" s="16" t="str">
        <f>TEXT(Raw_Data!J4467,"MMM-YYY")</f>
        <v>Sep-2025</v>
      </c>
      <c r="K4467" s="13" t="str">
        <f>Raw_Data!K4467</f>
        <v>3</v>
      </c>
      <c r="L4467" s="17" t="str">
        <f>Raw_Data!L4467</f>
        <v>Ahmedabad-West</v>
      </c>
      <c r="M4467" s="13" t="str">
        <f t="shared" si="3"/>
        <v>OK</v>
      </c>
      <c r="N4467" s="18" t="str">
        <f t="shared" si="4"/>
        <v>VALID</v>
      </c>
    </row>
    <row r="4468" ht="15.75" customHeight="1">
      <c r="A4468" s="13" t="str">
        <f>Raw_Data!A4468</f>
        <v>EMP4709</v>
      </c>
      <c r="B4468" s="13" t="str">
        <f>TRIM(CLEAN(Raw_Data!B4468))</f>
        <v>HR</v>
      </c>
      <c r="C4468" s="18" t="s">
        <v>14</v>
      </c>
      <c r="D4468" s="14" t="str">
        <f>IF(ISBLANK(Raw_Data!D4468),AVERAGE(Raw_Data!D$2:D$5002),Raw_Data!D4468)</f>
        <v>31971.01</v>
      </c>
      <c r="E4468" s="15" t="str">
        <f>IF(ISBLANK(Raw_Data!E4468),AVERAGE(Raw_Data!E$2:E$5002),Raw_Data!E4468)</f>
        <v>8519.79</v>
      </c>
      <c r="F4468" s="15" t="str">
        <f>IF(ISBLANK(Raw_Data!F4468),AVERAGE(Raw_Data!F$2:F$5002),Raw_Data!F4468)</f>
        <v>36336.39</v>
      </c>
      <c r="G4468" s="14" t="str">
        <f>IF(ISBLANK(Raw_Data!G4468),AVERAGE(Raw_Data!G$2:G$5002),Raw_Data!G4468)</f>
        <v>3696.11</v>
      </c>
      <c r="H4468" s="15" t="str">
        <f t="shared" si="1"/>
        <v>76827.00</v>
      </c>
      <c r="I4468" s="14" t="str">
        <f t="shared" si="2"/>
        <v>73131.00</v>
      </c>
      <c r="J4468" s="16" t="str">
        <f>TEXT(Raw_Data!J4468,"MMM-YYY")</f>
        <v>Dec-2025</v>
      </c>
      <c r="K4468" s="13" t="str">
        <f>Raw_Data!K4468</f>
        <v>15</v>
      </c>
      <c r="L4468" s="17" t="str">
        <f>Raw_Data!L4468</f>
        <v>Jaipur-North</v>
      </c>
      <c r="M4468" s="13" t="str">
        <f t="shared" si="3"/>
        <v>OK</v>
      </c>
      <c r="N4468" s="18" t="str">
        <f t="shared" si="4"/>
        <v>VALID</v>
      </c>
    </row>
    <row r="4469" ht="15.75" customHeight="1">
      <c r="A4469" s="13" t="str">
        <f>Raw_Data!A4469</f>
        <v>EMP4710</v>
      </c>
      <c r="B4469" s="13" t="str">
        <f>TRIM(CLEAN(Raw_Data!B4469))</f>
        <v>HR</v>
      </c>
      <c r="C4469" s="18" t="s">
        <v>14</v>
      </c>
      <c r="D4469" s="14" t="str">
        <f>IF(ISBLANK(Raw_Data!D4469),AVERAGE(Raw_Data!D$2:D$5002),Raw_Data!D4469)</f>
        <v>109348.19</v>
      </c>
      <c r="E4469" s="15" t="str">
        <f>IF(ISBLANK(Raw_Data!E4469),AVERAGE(Raw_Data!E$2:E$5002),Raw_Data!E4469)</f>
        <v>38685.28</v>
      </c>
      <c r="F4469" s="15" t="str">
        <f>IF(ISBLANK(Raw_Data!F4469),AVERAGE(Raw_Data!F$2:F$5002),Raw_Data!F4469)</f>
        <v>36344.07</v>
      </c>
      <c r="G4469" s="14" t="str">
        <f>IF(ISBLANK(Raw_Data!G4469),AVERAGE(Raw_Data!G$2:G$5002),Raw_Data!G4469)</f>
        <v>19185.81</v>
      </c>
      <c r="H4469" s="15" t="str">
        <f t="shared" si="1"/>
        <v>184378.00</v>
      </c>
      <c r="I4469" s="14" t="str">
        <f t="shared" si="2"/>
        <v>165192.00</v>
      </c>
      <c r="J4469" s="16" t="str">
        <f>TEXT(Raw_Data!J4469,"MMM-YYY")</f>
        <v>May-2025</v>
      </c>
      <c r="K4469" s="13" t="str">
        <f>Raw_Data!K4469</f>
        <v>15</v>
      </c>
      <c r="L4469" s="17" t="str">
        <f>Raw_Data!L4469</f>
        <v>Mumbai-HO</v>
      </c>
      <c r="M4469" s="13" t="str">
        <f t="shared" si="3"/>
        <v>OK</v>
      </c>
      <c r="N4469" s="18" t="str">
        <f t="shared" si="4"/>
        <v>VALID</v>
      </c>
    </row>
    <row r="4470" ht="15.75" customHeight="1">
      <c r="A4470" s="13" t="str">
        <f>Raw_Data!A4470</f>
        <v>EMP4711</v>
      </c>
      <c r="B4470" s="13" t="str">
        <f>TRIM(CLEAN(Raw_Data!B4470))</f>
        <v>HR</v>
      </c>
      <c r="C4470" s="18" t="s">
        <v>37</v>
      </c>
      <c r="D4470" s="14" t="str">
        <f>IF(ISBLANK(Raw_Data!D4470),AVERAGE(Raw_Data!D$2:D$5002),Raw_Data!D4470)</f>
        <v>78675.05</v>
      </c>
      <c r="E4470" s="15" t="str">
        <f>IF(ISBLANK(Raw_Data!E4470),AVERAGE(Raw_Data!E$2:E$5002),Raw_Data!E4470)</f>
        <v>7889.60</v>
      </c>
      <c r="F4470" s="15" t="str">
        <f>IF(ISBLANK(Raw_Data!F4470),AVERAGE(Raw_Data!F$2:F$5002),Raw_Data!F4470)</f>
        <v>36351.75</v>
      </c>
      <c r="G4470" s="14" t="str">
        <f>IF(ISBLANK(Raw_Data!G4470),AVERAGE(Raw_Data!G$2:G$5002),Raw_Data!G4470)</f>
        <v>2174.62</v>
      </c>
      <c r="H4470" s="15" t="str">
        <f t="shared" si="1"/>
        <v>122916.00</v>
      </c>
      <c r="I4470" s="14" t="str">
        <f t="shared" si="2"/>
        <v>120741.00</v>
      </c>
      <c r="J4470" s="16" t="str">
        <f>TEXT(Raw_Data!J4470,"MMM-YYY")</f>
        <v>Aug-2025</v>
      </c>
      <c r="K4470" s="13" t="str">
        <f>Raw_Data!K4470</f>
        <v>20</v>
      </c>
      <c r="L4470" s="17" t="str">
        <f>Raw_Data!L4470</f>
        <v>Delhi-North</v>
      </c>
      <c r="M4470" s="13" t="str">
        <f t="shared" si="3"/>
        <v>OK</v>
      </c>
      <c r="N4470" s="18" t="str">
        <f t="shared" si="4"/>
        <v>VALID</v>
      </c>
    </row>
    <row r="4471" ht="15.75" customHeight="1">
      <c r="A4471" s="13" t="str">
        <f>Raw_Data!A4471</f>
        <v>EMP4712</v>
      </c>
      <c r="B4471" s="13" t="str">
        <f>TRIM(CLEAN(Raw_Data!B4471))</f>
        <v>Finance</v>
      </c>
      <c r="C4471" s="18" t="s">
        <v>30</v>
      </c>
      <c r="D4471" s="14" t="str">
        <f>IF(ISBLANK(Raw_Data!D4471),AVERAGE(Raw_Data!D$2:D$5002),Raw_Data!D4471)</f>
        <v>15965.69</v>
      </c>
      <c r="E4471" s="15" t="str">
        <f>IF(ISBLANK(Raw_Data!E4471),AVERAGE(Raw_Data!E$2:E$5002),Raw_Data!E4471)</f>
        <v>21225.68</v>
      </c>
      <c r="F4471" s="15" t="str">
        <f>IF(ISBLANK(Raw_Data!F4471),AVERAGE(Raw_Data!F$2:F$5002),Raw_Data!F4471)</f>
        <v>36359.43</v>
      </c>
      <c r="G4471" s="14" t="str">
        <f>IF(ISBLANK(Raw_Data!G4471),AVERAGE(Raw_Data!G$2:G$5002),Raw_Data!G4471)</f>
        <v>808.52</v>
      </c>
      <c r="H4471" s="15" t="str">
        <f t="shared" si="1"/>
        <v>73551.00</v>
      </c>
      <c r="I4471" s="14" t="str">
        <f t="shared" si="2"/>
        <v>72742.00</v>
      </c>
      <c r="J4471" s="16" t="str">
        <f>TEXT(Raw_Data!J4471,"MMM-YYY")</f>
        <v>Oct-2025</v>
      </c>
      <c r="K4471" s="13" t="str">
        <f>Raw_Data!K4471</f>
        <v>1</v>
      </c>
      <c r="L4471" s="17" t="str">
        <f>Raw_Data!L4471</f>
        <v>Bangalore-South</v>
      </c>
      <c r="M4471" s="13" t="str">
        <f t="shared" si="3"/>
        <v>OK</v>
      </c>
      <c r="N4471" s="18" t="str">
        <f t="shared" si="4"/>
        <v>VALID</v>
      </c>
    </row>
    <row r="4472" ht="15.75" customHeight="1">
      <c r="A4472" s="13" t="str">
        <f>Raw_Data!A4472</f>
        <v>EMP4713</v>
      </c>
      <c r="B4472" s="13" t="str">
        <f>TRIM(CLEAN(Raw_Data!B4472))</f>
        <v>Customer Support</v>
      </c>
      <c r="C4472" s="18" t="s">
        <v>14</v>
      </c>
      <c r="D4472" s="14" t="str">
        <f>IF(ISBLANK(Raw_Data!D4472),AVERAGE(Raw_Data!D$2:D$5002),Raw_Data!D4472)</f>
        <v>25654.51</v>
      </c>
      <c r="E4472" s="15" t="str">
        <f>IF(ISBLANK(Raw_Data!E4472),AVERAGE(Raw_Data!E$2:E$5002),Raw_Data!E4472)</f>
        <v>25080.29</v>
      </c>
      <c r="F4472" s="15" t="str">
        <f>IF(ISBLANK(Raw_Data!F4472),AVERAGE(Raw_Data!F$2:F$5002),Raw_Data!F4472)</f>
        <v>36367.11</v>
      </c>
      <c r="G4472" s="14" t="str">
        <f>IF(ISBLANK(Raw_Data!G4472),AVERAGE(Raw_Data!G$2:G$5002),Raw_Data!G4472)</f>
        <v>22506.48</v>
      </c>
      <c r="H4472" s="15" t="str">
        <f t="shared" si="1"/>
        <v>87102.00</v>
      </c>
      <c r="I4472" s="14" t="str">
        <f t="shared" si="2"/>
        <v>64596.00</v>
      </c>
      <c r="J4472" s="16" t="str">
        <f>TEXT(Raw_Data!J4472,"MMM-YYY")</f>
        <v>Aug-2025</v>
      </c>
      <c r="K4472" s="13" t="str">
        <f>Raw_Data!K4472</f>
        <v>24</v>
      </c>
      <c r="L4472" s="17" t="str">
        <f>Raw_Data!L4472</f>
        <v>Chennai-South</v>
      </c>
      <c r="M4472" s="13" t="str">
        <f t="shared" si="3"/>
        <v>OK</v>
      </c>
      <c r="N4472" s="18" t="str">
        <f t="shared" si="4"/>
        <v>VALID</v>
      </c>
    </row>
    <row r="4473" ht="15.75" customHeight="1">
      <c r="A4473" s="13" t="str">
        <f>Raw_Data!A4473</f>
        <v>EMP4714</v>
      </c>
      <c r="B4473" s="13" t="str">
        <f>TRIM(CLEAN(Raw_Data!B4473))</f>
        <v>IT</v>
      </c>
      <c r="C4473" s="18" t="s">
        <v>26</v>
      </c>
      <c r="D4473" s="14" t="str">
        <f>IF(ISBLANK(Raw_Data!D4473),AVERAGE(Raw_Data!D$2:D$5002),Raw_Data!D4473)</f>
        <v>84667.69</v>
      </c>
      <c r="E4473" s="15" t="str">
        <f>IF(ISBLANK(Raw_Data!E4473),AVERAGE(Raw_Data!E$2:E$5002),Raw_Data!E4473)</f>
        <v>23489.48</v>
      </c>
      <c r="F4473" s="15" t="str">
        <f>IF(ISBLANK(Raw_Data!F4473),AVERAGE(Raw_Data!F$2:F$5002),Raw_Data!F4473)</f>
        <v>36374.79</v>
      </c>
      <c r="G4473" s="14" t="str">
        <f>IF(ISBLANK(Raw_Data!G4473),AVERAGE(Raw_Data!G$2:G$5002),Raw_Data!G4473)</f>
        <v>14742.81</v>
      </c>
      <c r="H4473" s="15" t="str">
        <f t="shared" si="1"/>
        <v>144532.00</v>
      </c>
      <c r="I4473" s="14" t="str">
        <f t="shared" si="2"/>
        <v>129789.00</v>
      </c>
      <c r="J4473" s="16" t="str">
        <f>TEXT(Raw_Data!J4473,"MMM-YYY")</f>
        <v>Apr-2025</v>
      </c>
      <c r="K4473" s="13" t="str">
        <f>Raw_Data!K4473</f>
        <v>19</v>
      </c>
      <c r="L4473" s="17" t="str">
        <f>Raw_Data!L4473</f>
        <v>Kolkata-East</v>
      </c>
      <c r="M4473" s="13" t="str">
        <f t="shared" si="3"/>
        <v>OK</v>
      </c>
      <c r="N4473" s="18" t="str">
        <f t="shared" si="4"/>
        <v>VALID</v>
      </c>
    </row>
    <row r="4474" ht="15.75" customHeight="1">
      <c r="A4474" s="13" t="str">
        <f>Raw_Data!A4474</f>
        <v>EMP4715</v>
      </c>
      <c r="B4474" s="13" t="str">
        <f>TRIM(CLEAN(Raw_Data!B4474))</f>
        <v>HR</v>
      </c>
      <c r="C4474" s="18" t="s">
        <v>14</v>
      </c>
      <c r="D4474" s="14" t="str">
        <f>IF(ISBLANK(Raw_Data!D4474),AVERAGE(Raw_Data!D$2:D$5002),Raw_Data!D4474)</f>
        <v>15531.47</v>
      </c>
      <c r="E4474" s="15" t="str">
        <f>IF(ISBLANK(Raw_Data!E4474),AVERAGE(Raw_Data!E$2:E$5002),Raw_Data!E4474)</f>
        <v>7097.16</v>
      </c>
      <c r="F4474" s="15" t="str">
        <f>IF(ISBLANK(Raw_Data!F4474),AVERAGE(Raw_Data!F$2:F$5002),Raw_Data!F4474)</f>
        <v>36382.47</v>
      </c>
      <c r="G4474" s="14" t="str">
        <f>IF(ISBLANK(Raw_Data!G4474),AVERAGE(Raw_Data!G$2:G$5002),Raw_Data!G4474)</f>
        <v>9119.76</v>
      </c>
      <c r="H4474" s="15" t="str">
        <f t="shared" si="1"/>
        <v>59011.00</v>
      </c>
      <c r="I4474" s="14" t="str">
        <f t="shared" si="2"/>
        <v>49891.00</v>
      </c>
      <c r="J4474" s="16" t="str">
        <f>TEXT(Raw_Data!J4474,"MMM-YYY")</f>
        <v>Nov-2025</v>
      </c>
      <c r="K4474" s="13" t="str">
        <f>Raw_Data!K4474</f>
        <v>15</v>
      </c>
      <c r="L4474" s="17" t="str">
        <f>Raw_Data!L4474</f>
        <v>Pune-West</v>
      </c>
      <c r="M4474" s="13" t="str">
        <f t="shared" si="3"/>
        <v>OK</v>
      </c>
      <c r="N4474" s="18" t="str">
        <f t="shared" si="4"/>
        <v>VALID</v>
      </c>
    </row>
    <row r="4475" ht="15.75" customHeight="1">
      <c r="A4475" s="13" t="str">
        <f>Raw_Data!A4475</f>
        <v>EMP4716</v>
      </c>
      <c r="B4475" s="13" t="str">
        <f>TRIM(CLEAN(Raw_Data!B4475))</f>
        <v>Sales</v>
      </c>
      <c r="C4475" s="18" t="s">
        <v>26</v>
      </c>
      <c r="D4475" s="14" t="str">
        <f>IF(ISBLANK(Raw_Data!D4475),AVERAGE(Raw_Data!D$2:D$5002),Raw_Data!D4475)</f>
        <v>31884.85</v>
      </c>
      <c r="E4475" s="15" t="str">
        <f>IF(ISBLANK(Raw_Data!E4475),AVERAGE(Raw_Data!E$2:E$5002),Raw_Data!E4475)</f>
        <v>6052.97</v>
      </c>
      <c r="F4475" s="15" t="str">
        <f>IF(ISBLANK(Raw_Data!F4475),AVERAGE(Raw_Data!F$2:F$5002),Raw_Data!F4475)</f>
        <v>36390.15</v>
      </c>
      <c r="G4475" s="14" t="str">
        <f>IF(ISBLANK(Raw_Data!G4475),AVERAGE(Raw_Data!G$2:G$5002),Raw_Data!G4475)</f>
        <v>6198.57</v>
      </c>
      <c r="H4475" s="15" t="str">
        <f t="shared" si="1"/>
        <v>74328.00</v>
      </c>
      <c r="I4475" s="14" t="str">
        <f t="shared" si="2"/>
        <v>68129.00</v>
      </c>
      <c r="J4475" s="16" t="str">
        <f>TEXT(Raw_Data!J4475,"MMM-YYY")</f>
        <v>May-2025</v>
      </c>
      <c r="K4475" s="13" t="str">
        <f>Raw_Data!K4475</f>
        <v>7</v>
      </c>
      <c r="L4475" s="17" t="str">
        <f>Raw_Data!L4475</f>
        <v>Hyderabad-South</v>
      </c>
      <c r="M4475" s="13" t="str">
        <f t="shared" si="3"/>
        <v>OK</v>
      </c>
      <c r="N4475" s="18" t="str">
        <f t="shared" si="4"/>
        <v>VALID</v>
      </c>
    </row>
    <row r="4476" ht="15.75" customHeight="1">
      <c r="A4476" s="13" t="str">
        <f>Raw_Data!A4476</f>
        <v>EMP4717</v>
      </c>
      <c r="B4476" s="13" t="str">
        <f>TRIM(CLEAN(Raw_Data!B4476))</f>
        <v>HR</v>
      </c>
      <c r="C4476" s="18" t="s">
        <v>14</v>
      </c>
      <c r="D4476" s="14" t="str">
        <f>IF(ISBLANK(Raw_Data!D4476),AVERAGE(Raw_Data!D$2:D$5002),Raw_Data!D4476)</f>
        <v>72617.05</v>
      </c>
      <c r="E4476" s="15" t="str">
        <f>IF(ISBLANK(Raw_Data!E4476),AVERAGE(Raw_Data!E$2:E$5002),Raw_Data!E4476)</f>
        <v>7797.40</v>
      </c>
      <c r="F4476" s="15" t="str">
        <f>IF(ISBLANK(Raw_Data!F4476),AVERAGE(Raw_Data!F$2:F$5002),Raw_Data!F4476)</f>
        <v>36397.83</v>
      </c>
      <c r="G4476" s="14" t="str">
        <f>IF(ISBLANK(Raw_Data!G4476),AVERAGE(Raw_Data!G$2:G$5002),Raw_Data!G4476)</f>
        <v>15613.70</v>
      </c>
      <c r="H4476" s="15" t="str">
        <f t="shared" si="1"/>
        <v>116812.00</v>
      </c>
      <c r="I4476" s="14" t="str">
        <f t="shared" si="2"/>
        <v>101198.00</v>
      </c>
      <c r="J4476" s="16" t="str">
        <f>TEXT(Raw_Data!J4476,"MMM-YYY")</f>
        <v>Apr-2025</v>
      </c>
      <c r="K4476" s="13" t="str">
        <f>Raw_Data!K4476</f>
        <v>24</v>
      </c>
      <c r="L4476" s="17" t="str">
        <f>Raw_Data!L4476</f>
        <v>Chandigarh-North</v>
      </c>
      <c r="M4476" s="13" t="str">
        <f t="shared" si="3"/>
        <v>OK</v>
      </c>
      <c r="N4476" s="18" t="str">
        <f t="shared" si="4"/>
        <v>VALID</v>
      </c>
    </row>
    <row r="4477" ht="15.75" customHeight="1">
      <c r="A4477" s="13" t="str">
        <f>Raw_Data!A4477</f>
        <v>EMP4718</v>
      </c>
      <c r="B4477" s="13" t="str">
        <f>TRIM(CLEAN(Raw_Data!B4477))</f>
        <v>Operations</v>
      </c>
      <c r="C4477" s="18" t="s">
        <v>54</v>
      </c>
      <c r="D4477" s="14" t="str">
        <f>IF(ISBLANK(Raw_Data!D4477),AVERAGE(Raw_Data!D$2:D$5002),Raw_Data!D4477)</f>
        <v>87649.00</v>
      </c>
      <c r="E4477" s="15" t="str">
        <f>IF(ISBLANK(Raw_Data!E4477),AVERAGE(Raw_Data!E$2:E$5002),Raw_Data!E4477)</f>
        <v>25081.16</v>
      </c>
      <c r="F4477" s="15" t="str">
        <f>IF(ISBLANK(Raw_Data!F4477),AVERAGE(Raw_Data!F$2:F$5002),Raw_Data!F4477)</f>
        <v>36405.51</v>
      </c>
      <c r="G4477" s="14" t="str">
        <f>IF(ISBLANK(Raw_Data!G4477),AVERAGE(Raw_Data!G$2:G$5002),Raw_Data!G4477)</f>
        <v>12970.55</v>
      </c>
      <c r="H4477" s="15" t="str">
        <f t="shared" si="1"/>
        <v>149136.00</v>
      </c>
      <c r="I4477" s="14" t="str">
        <f t="shared" si="2"/>
        <v>136165.00</v>
      </c>
      <c r="J4477" s="16" t="str">
        <f>TEXT(Raw_Data!J4477,"MMM-YYY")</f>
        <v>Apr-2025</v>
      </c>
      <c r="K4477" s="13" t="str">
        <f>Raw_Data!K4477</f>
        <v>16</v>
      </c>
      <c r="L4477" s="17" t="str">
        <f>Raw_Data!L4477</f>
        <v>Ahmedabad-West</v>
      </c>
      <c r="M4477" s="13" t="str">
        <f t="shared" si="3"/>
        <v>OK</v>
      </c>
      <c r="N4477" s="18" t="str">
        <f t="shared" si="4"/>
        <v>VALID</v>
      </c>
    </row>
    <row r="4478" ht="15.75" customHeight="1">
      <c r="A4478" s="13" t="str">
        <f>Raw_Data!A4478</f>
        <v>EMP4719</v>
      </c>
      <c r="B4478" s="13" t="str">
        <f>TRIM(CLEAN(Raw_Data!B4478))</f>
        <v>Customer Support</v>
      </c>
      <c r="C4478" s="18" t="s">
        <v>33</v>
      </c>
      <c r="D4478" s="14" t="str">
        <f>IF(ISBLANK(Raw_Data!D4478),AVERAGE(Raw_Data!D$2:D$5002),Raw_Data!D4478)</f>
        <v>83455.93</v>
      </c>
      <c r="E4478" s="15" t="str">
        <f>IF(ISBLANK(Raw_Data!E4478),AVERAGE(Raw_Data!E$2:E$5002),Raw_Data!E4478)</f>
        <v>23596.42</v>
      </c>
      <c r="F4478" s="15" t="str">
        <f>IF(ISBLANK(Raw_Data!F4478),AVERAGE(Raw_Data!F$2:F$5002),Raw_Data!F4478)</f>
        <v>36413.19</v>
      </c>
      <c r="G4478" s="14" t="str">
        <f>IF(ISBLANK(Raw_Data!G4478),AVERAGE(Raw_Data!G$2:G$5002),Raw_Data!G4478)</f>
        <v>24794.15</v>
      </c>
      <c r="H4478" s="15" t="str">
        <f t="shared" si="1"/>
        <v>143466.00</v>
      </c>
      <c r="I4478" s="14" t="str">
        <f t="shared" si="2"/>
        <v>118672.00</v>
      </c>
      <c r="J4478" s="16" t="str">
        <f>TEXT(Raw_Data!J4478,"MMM-YYY")</f>
        <v>Apr-2025</v>
      </c>
      <c r="K4478" s="13" t="str">
        <f>Raw_Data!K4478</f>
        <v>3</v>
      </c>
      <c r="L4478" s="17" t="str">
        <f>Raw_Data!L4478</f>
        <v>Jaipur-North</v>
      </c>
      <c r="M4478" s="13" t="str">
        <f t="shared" si="3"/>
        <v>OK</v>
      </c>
      <c r="N4478" s="18" t="str">
        <f t="shared" si="4"/>
        <v>VALID</v>
      </c>
    </row>
    <row r="4479" ht="15.75" customHeight="1">
      <c r="A4479" s="13" t="str">
        <f>Raw_Data!A4479</f>
        <v>EMP4720</v>
      </c>
      <c r="B4479" s="13" t="str">
        <f>TRIM(CLEAN(Raw_Data!B4479))</f>
        <v>Finance</v>
      </c>
      <c r="C4479" s="18" t="s">
        <v>54</v>
      </c>
      <c r="D4479" s="14" t="str">
        <f>IF(ISBLANK(Raw_Data!D4479),AVERAGE(Raw_Data!D$2:D$5002),Raw_Data!D4479)</f>
        <v>38548.28</v>
      </c>
      <c r="E4479" s="15" t="str">
        <f>IF(ISBLANK(Raw_Data!E4479),AVERAGE(Raw_Data!E$2:E$5002),Raw_Data!E4479)</f>
        <v>12414.67</v>
      </c>
      <c r="F4479" s="15" t="str">
        <f>IF(ISBLANK(Raw_Data!F4479),AVERAGE(Raw_Data!F$2:F$5002),Raw_Data!F4479)</f>
        <v>36420.87</v>
      </c>
      <c r="G4479" s="14" t="str">
        <f>IF(ISBLANK(Raw_Data!G4479),AVERAGE(Raw_Data!G$2:G$5002),Raw_Data!G4479)</f>
        <v>24588.79</v>
      </c>
      <c r="H4479" s="15" t="str">
        <f t="shared" si="1"/>
        <v>87384.00</v>
      </c>
      <c r="I4479" s="14" t="str">
        <f t="shared" si="2"/>
        <v>62795.00</v>
      </c>
      <c r="J4479" s="16" t="str">
        <f>TEXT(Raw_Data!J4479,"MMM-YYY")</f>
        <v>Oct-2025</v>
      </c>
      <c r="K4479" s="13" t="str">
        <f>Raw_Data!K4479</f>
        <v>2</v>
      </c>
      <c r="L4479" s="17" t="str">
        <f>Raw_Data!L4479</f>
        <v>Mumbai-HO</v>
      </c>
      <c r="M4479" s="13" t="str">
        <f t="shared" si="3"/>
        <v>OK</v>
      </c>
      <c r="N4479" s="18" t="str">
        <f t="shared" si="4"/>
        <v>VALID</v>
      </c>
    </row>
    <row r="4480" ht="15.75" customHeight="1">
      <c r="A4480" s="13" t="str">
        <f>Raw_Data!A4480</f>
        <v>EMP4721</v>
      </c>
      <c r="B4480" s="13" t="str">
        <f>TRIM(CLEAN(Raw_Data!B4480))</f>
        <v>Customer Support</v>
      </c>
      <c r="C4480" s="18" t="s">
        <v>33</v>
      </c>
      <c r="D4480" s="14" t="str">
        <f>IF(ISBLANK(Raw_Data!D4480),AVERAGE(Raw_Data!D$2:D$5002),Raw_Data!D4480)</f>
        <v>89778.82</v>
      </c>
      <c r="E4480" s="15" t="str">
        <f>IF(ISBLANK(Raw_Data!E4480),AVERAGE(Raw_Data!E$2:E$5002),Raw_Data!E4480)</f>
        <v>26959.87</v>
      </c>
      <c r="F4480" s="15" t="str">
        <f>IF(ISBLANK(Raw_Data!F4480),AVERAGE(Raw_Data!F$2:F$5002),Raw_Data!F4480)</f>
        <v>36428.55</v>
      </c>
      <c r="G4480" s="14" t="str">
        <f>IF(ISBLANK(Raw_Data!G4480),AVERAGE(Raw_Data!G$2:G$5002),Raw_Data!G4480)</f>
        <v>16058.10</v>
      </c>
      <c r="H4480" s="15" t="str">
        <f t="shared" si="1"/>
        <v>153167.00</v>
      </c>
      <c r="I4480" s="14" t="str">
        <f t="shared" si="2"/>
        <v>137109.00</v>
      </c>
      <c r="J4480" s="16" t="str">
        <f>TEXT(Raw_Data!J4480,"MMM-YYY")</f>
        <v>Jan-2025</v>
      </c>
      <c r="K4480" s="13" t="str">
        <f>Raw_Data!K4480</f>
        <v>22</v>
      </c>
      <c r="L4480" s="17" t="str">
        <f>Raw_Data!L4480</f>
        <v>Delhi-North</v>
      </c>
      <c r="M4480" s="13" t="str">
        <f t="shared" si="3"/>
        <v>OK</v>
      </c>
      <c r="N4480" s="18" t="str">
        <f t="shared" si="4"/>
        <v>VALID</v>
      </c>
    </row>
    <row r="4481" ht="15.75" customHeight="1">
      <c r="A4481" s="13" t="str">
        <f>Raw_Data!A4481</f>
        <v>EMP4722</v>
      </c>
      <c r="B4481" s="13" t="str">
        <f>TRIM(CLEAN(Raw_Data!B4481))</f>
        <v>Sales</v>
      </c>
      <c r="C4481" s="18" t="s">
        <v>33</v>
      </c>
      <c r="D4481" s="14" t="str">
        <f>IF(ISBLANK(Raw_Data!D4481),AVERAGE(Raw_Data!D$2:D$5002),Raw_Data!D4481)</f>
        <v>39911.15</v>
      </c>
      <c r="E4481" s="15" t="str">
        <f>IF(ISBLANK(Raw_Data!E4481),AVERAGE(Raw_Data!E$2:E$5002),Raw_Data!E4481)</f>
        <v>33522.43</v>
      </c>
      <c r="F4481" s="15" t="str">
        <f>IF(ISBLANK(Raw_Data!F4481),AVERAGE(Raw_Data!F$2:F$5002),Raw_Data!F4481)</f>
        <v>36436.23</v>
      </c>
      <c r="G4481" s="14" t="str">
        <f>IF(ISBLANK(Raw_Data!G4481),AVERAGE(Raw_Data!G$2:G$5002),Raw_Data!G4481)</f>
        <v>11350.33</v>
      </c>
      <c r="H4481" s="15" t="str">
        <f t="shared" si="1"/>
        <v>109870.00</v>
      </c>
      <c r="I4481" s="14" t="str">
        <f t="shared" si="2"/>
        <v>98520.00</v>
      </c>
      <c r="J4481" s="16" t="str">
        <f>TEXT(Raw_Data!J4481,"MMM-YYY")</f>
        <v>Jun-2025</v>
      </c>
      <c r="K4481" s="13" t="str">
        <f>Raw_Data!K4481</f>
        <v>25</v>
      </c>
      <c r="L4481" s="17" t="str">
        <f>Raw_Data!L4481</f>
        <v>Bangalore-South</v>
      </c>
      <c r="M4481" s="13" t="str">
        <f t="shared" si="3"/>
        <v>OK</v>
      </c>
      <c r="N4481" s="18" t="str">
        <f t="shared" si="4"/>
        <v>VALID</v>
      </c>
    </row>
    <row r="4482" ht="15.75" customHeight="1">
      <c r="A4482" s="13" t="str">
        <f>Raw_Data!A4482</f>
        <v>EMP4723</v>
      </c>
      <c r="B4482" s="13" t="str">
        <f>TRIM(CLEAN(Raw_Data!B4482))</f>
        <v>Customer Support</v>
      </c>
      <c r="C4482" s="18" t="s">
        <v>30</v>
      </c>
      <c r="D4482" s="14" t="str">
        <f>IF(ISBLANK(Raw_Data!D4482),AVERAGE(Raw_Data!D$2:D$5002),Raw_Data!D4482)</f>
        <v>49166.97</v>
      </c>
      <c r="E4482" s="15" t="str">
        <f>IF(ISBLANK(Raw_Data!E4482),AVERAGE(Raw_Data!E$2:E$5002),Raw_Data!E4482)</f>
        <v>5496.84</v>
      </c>
      <c r="F4482" s="15" t="str">
        <f>IF(ISBLANK(Raw_Data!F4482),AVERAGE(Raw_Data!F$2:F$5002),Raw_Data!F4482)</f>
        <v>36443.91</v>
      </c>
      <c r="G4482" s="14" t="str">
        <f>IF(ISBLANK(Raw_Data!G4482),AVERAGE(Raw_Data!G$2:G$5002),Raw_Data!G4482)</f>
        <v>12532.95</v>
      </c>
      <c r="H4482" s="15" t="str">
        <f t="shared" si="1"/>
        <v>91108.00</v>
      </c>
      <c r="I4482" s="14" t="str">
        <f t="shared" si="2"/>
        <v>78575.00</v>
      </c>
      <c r="J4482" s="16" t="str">
        <f>TEXT(Raw_Data!J4482,"MMM-YYY")</f>
        <v>Jan-2025</v>
      </c>
      <c r="K4482" s="13" t="str">
        <f>Raw_Data!K4482</f>
        <v>15</v>
      </c>
      <c r="L4482" s="17" t="str">
        <f>Raw_Data!L4482</f>
        <v>Chennai-South</v>
      </c>
      <c r="M4482" s="13" t="str">
        <f t="shared" si="3"/>
        <v>OK</v>
      </c>
      <c r="N4482" s="18" t="str">
        <f t="shared" si="4"/>
        <v>VALID</v>
      </c>
    </row>
    <row r="4483" ht="15.75" customHeight="1">
      <c r="A4483" s="13" t="str">
        <f>Raw_Data!A4483</f>
        <v>EMP4724</v>
      </c>
      <c r="B4483" s="13" t="str">
        <f>TRIM(CLEAN(Raw_Data!B4483))</f>
        <v>Customer Support</v>
      </c>
      <c r="C4483" s="18" t="s">
        <v>37</v>
      </c>
      <c r="D4483" s="14" t="str">
        <f>IF(ISBLANK(Raw_Data!D4483),AVERAGE(Raw_Data!D$2:D$5002),Raw_Data!D4483)</f>
        <v>93381.60</v>
      </c>
      <c r="E4483" s="15" t="str">
        <f>IF(ISBLANK(Raw_Data!E4483),AVERAGE(Raw_Data!E$2:E$5002),Raw_Data!E4483)</f>
        <v>21932.68</v>
      </c>
      <c r="F4483" s="15" t="str">
        <f>IF(ISBLANK(Raw_Data!F4483),AVERAGE(Raw_Data!F$2:F$5002),Raw_Data!F4483)</f>
        <v>36451.59</v>
      </c>
      <c r="G4483" s="14" t="str">
        <f>IF(ISBLANK(Raw_Data!G4483),AVERAGE(Raw_Data!G$2:G$5002),Raw_Data!G4483)</f>
        <v>17220.74</v>
      </c>
      <c r="H4483" s="15" t="str">
        <f t="shared" si="1"/>
        <v>151766.00</v>
      </c>
      <c r="I4483" s="14" t="str">
        <f t="shared" si="2"/>
        <v>134545.00</v>
      </c>
      <c r="J4483" s="16" t="str">
        <f>TEXT(Raw_Data!J4483,"MMM-YYY")</f>
        <v>Aug-2025</v>
      </c>
      <c r="K4483" s="13" t="str">
        <f>Raw_Data!K4483</f>
        <v>25</v>
      </c>
      <c r="L4483" s="17" t="str">
        <f>Raw_Data!L4483</f>
        <v>Kolkata-East</v>
      </c>
      <c r="M4483" s="13" t="str">
        <f t="shared" si="3"/>
        <v>OK</v>
      </c>
      <c r="N4483" s="18" t="str">
        <f t="shared" si="4"/>
        <v>VALID</v>
      </c>
    </row>
    <row r="4484" ht="15.75" customHeight="1">
      <c r="A4484" s="13" t="str">
        <f>Raw_Data!A4484</f>
        <v>EMP4725</v>
      </c>
      <c r="B4484" s="13" t="str">
        <f>TRIM(CLEAN(Raw_Data!B4484))</f>
        <v>Finance</v>
      </c>
      <c r="C4484" s="18" t="s">
        <v>14</v>
      </c>
      <c r="D4484" s="14" t="str">
        <f>IF(ISBLANK(Raw_Data!D4484),AVERAGE(Raw_Data!D$2:D$5002),Raw_Data!D4484)</f>
        <v>83211.45</v>
      </c>
      <c r="E4484" s="15" t="str">
        <f>IF(ISBLANK(Raw_Data!E4484),AVERAGE(Raw_Data!E$2:E$5002),Raw_Data!E4484)</f>
        <v>28815.17</v>
      </c>
      <c r="F4484" s="15" t="str">
        <f>IF(ISBLANK(Raw_Data!F4484),AVERAGE(Raw_Data!F$2:F$5002),Raw_Data!F4484)</f>
        <v>36459.27</v>
      </c>
      <c r="G4484" s="14" t="str">
        <f>IF(ISBLANK(Raw_Data!G4484),AVERAGE(Raw_Data!G$2:G$5002),Raw_Data!G4484)</f>
        <v>2988.58</v>
      </c>
      <c r="H4484" s="15" t="str">
        <f t="shared" si="1"/>
        <v>148486.00</v>
      </c>
      <c r="I4484" s="14" t="str">
        <f t="shared" si="2"/>
        <v>145497.00</v>
      </c>
      <c r="J4484" s="16" t="str">
        <f>TEXT(Raw_Data!J4484,"MMM-YYY")</f>
        <v>Oct-2025</v>
      </c>
      <c r="K4484" s="13" t="str">
        <f>Raw_Data!K4484</f>
        <v>25</v>
      </c>
      <c r="L4484" s="17" t="str">
        <f>Raw_Data!L4484</f>
        <v>Pune-West</v>
      </c>
      <c r="M4484" s="13" t="str">
        <f t="shared" si="3"/>
        <v>OK</v>
      </c>
      <c r="N4484" s="18" t="str">
        <f t="shared" si="4"/>
        <v>VALID</v>
      </c>
    </row>
    <row r="4485" ht="15.75" customHeight="1">
      <c r="A4485" s="13" t="str">
        <f>Raw_Data!A4485</f>
        <v>EMP4726</v>
      </c>
      <c r="B4485" s="13" t="str">
        <f>TRIM(CLEAN(Raw_Data!B4485))</f>
        <v>Marketing</v>
      </c>
      <c r="C4485" s="18" t="s">
        <v>14</v>
      </c>
      <c r="D4485" s="14" t="str">
        <f>IF(ISBLANK(Raw_Data!D4485),AVERAGE(Raw_Data!D$2:D$5002),Raw_Data!D4485)</f>
        <v>104168.46</v>
      </c>
      <c r="E4485" s="15" t="str">
        <f>IF(ISBLANK(Raw_Data!E4485),AVERAGE(Raw_Data!E$2:E$5002),Raw_Data!E4485)</f>
        <v>13083.23</v>
      </c>
      <c r="F4485" s="15" t="str">
        <f>IF(ISBLANK(Raw_Data!F4485),AVERAGE(Raw_Data!F$2:F$5002),Raw_Data!F4485)</f>
        <v>36466.95</v>
      </c>
      <c r="G4485" s="14" t="str">
        <f>IF(ISBLANK(Raw_Data!G4485),AVERAGE(Raw_Data!G$2:G$5002),Raw_Data!G4485)</f>
        <v>8544.63</v>
      </c>
      <c r="H4485" s="15" t="str">
        <f t="shared" si="1"/>
        <v>153719.00</v>
      </c>
      <c r="I4485" s="14" t="str">
        <f t="shared" si="2"/>
        <v>145174.00</v>
      </c>
      <c r="J4485" s="16" t="str">
        <f>TEXT(Raw_Data!J4485,"MMM-YYY")</f>
        <v>Aug-2025</v>
      </c>
      <c r="K4485" s="13" t="str">
        <f>Raw_Data!K4485</f>
        <v>7</v>
      </c>
      <c r="L4485" s="17" t="str">
        <f>Raw_Data!L4485</f>
        <v>Hyderabad-South</v>
      </c>
      <c r="M4485" s="13" t="str">
        <f t="shared" si="3"/>
        <v>OK</v>
      </c>
      <c r="N4485" s="18" t="str">
        <f t="shared" si="4"/>
        <v>VALID</v>
      </c>
    </row>
    <row r="4486" ht="15.75" customHeight="1">
      <c r="A4486" s="13" t="str">
        <f>Raw_Data!A4486</f>
        <v>EMP4727</v>
      </c>
      <c r="B4486" s="13" t="str">
        <f>TRIM(CLEAN(Raw_Data!B4486))</f>
        <v>Operations</v>
      </c>
      <c r="C4486" s="18" t="s">
        <v>33</v>
      </c>
      <c r="D4486" s="14" t="str">
        <f>IF(ISBLANK(Raw_Data!D4486),AVERAGE(Raw_Data!D$2:D$5002),Raw_Data!D4486)</f>
        <v>84049.35</v>
      </c>
      <c r="E4486" s="15" t="str">
        <f>IF(ISBLANK(Raw_Data!E4486),AVERAGE(Raw_Data!E$2:E$5002),Raw_Data!E4486)</f>
        <v>15079.75</v>
      </c>
      <c r="F4486" s="15" t="str">
        <f>IF(ISBLANK(Raw_Data!F4486),AVERAGE(Raw_Data!F$2:F$5002),Raw_Data!F4486)</f>
        <v>36474.63</v>
      </c>
      <c r="G4486" s="14" t="str">
        <f>IF(ISBLANK(Raw_Data!G4486),AVERAGE(Raw_Data!G$2:G$5002),Raw_Data!G4486)</f>
        <v>2344.17</v>
      </c>
      <c r="H4486" s="15" t="str">
        <f t="shared" si="1"/>
        <v>135604.00</v>
      </c>
      <c r="I4486" s="14" t="str">
        <f t="shared" si="2"/>
        <v>133260.00</v>
      </c>
      <c r="J4486" s="16" t="str">
        <f>TEXT(Raw_Data!J4486,"MMM-YYY")</f>
        <v>Nov-2025</v>
      </c>
      <c r="K4486" s="13" t="str">
        <f>Raw_Data!K4486</f>
        <v>19</v>
      </c>
      <c r="L4486" s="17" t="str">
        <f>Raw_Data!L4486</f>
        <v>Chandigarh-North</v>
      </c>
      <c r="M4486" s="13" t="str">
        <f t="shared" si="3"/>
        <v>OK</v>
      </c>
      <c r="N4486" s="18" t="str">
        <f t="shared" si="4"/>
        <v>VALID</v>
      </c>
    </row>
    <row r="4487" ht="15.75" customHeight="1">
      <c r="A4487" s="13" t="str">
        <f>Raw_Data!A4487</f>
        <v>EMP4728</v>
      </c>
      <c r="B4487" s="13" t="str">
        <f>TRIM(CLEAN(Raw_Data!B4487))</f>
        <v>Finance</v>
      </c>
      <c r="C4487" s="18" t="s">
        <v>26</v>
      </c>
      <c r="D4487" s="14" t="str">
        <f>IF(ISBLANK(Raw_Data!D4487),AVERAGE(Raw_Data!D$2:D$5002),Raw_Data!D4487)</f>
        <v>74672.40</v>
      </c>
      <c r="E4487" s="15" t="str">
        <f>IF(ISBLANK(Raw_Data!E4487),AVERAGE(Raw_Data!E$2:E$5002),Raw_Data!E4487)</f>
        <v>26090.96</v>
      </c>
      <c r="F4487" s="15" t="str">
        <f>IF(ISBLANK(Raw_Data!F4487),AVERAGE(Raw_Data!F$2:F$5002),Raw_Data!F4487)</f>
        <v>36482.31</v>
      </c>
      <c r="G4487" s="14" t="str">
        <f>IF(ISBLANK(Raw_Data!G4487),AVERAGE(Raw_Data!G$2:G$5002),Raw_Data!G4487)</f>
        <v>2297.34</v>
      </c>
      <c r="H4487" s="15" t="str">
        <f t="shared" si="1"/>
        <v>137246.00</v>
      </c>
      <c r="I4487" s="14" t="str">
        <f t="shared" si="2"/>
        <v>134949.00</v>
      </c>
      <c r="J4487" s="16" t="str">
        <f>TEXT(Raw_Data!J4487,"MMM-YYY")</f>
        <v>Jun-2025</v>
      </c>
      <c r="K4487" s="13" t="str">
        <f>Raw_Data!K4487</f>
        <v>15</v>
      </c>
      <c r="L4487" s="17" t="str">
        <f>Raw_Data!L4487</f>
        <v>Ahmedabad-West</v>
      </c>
      <c r="M4487" s="13" t="str">
        <f t="shared" si="3"/>
        <v>OK</v>
      </c>
      <c r="N4487" s="18" t="str">
        <f t="shared" si="4"/>
        <v>VALID</v>
      </c>
    </row>
    <row r="4488" ht="15.75" customHeight="1">
      <c r="A4488" s="13" t="str">
        <f>Raw_Data!A4488</f>
        <v>EMP4729</v>
      </c>
      <c r="B4488" s="13" t="str">
        <f>TRIM(CLEAN(Raw_Data!B4488))</f>
        <v>Sales</v>
      </c>
      <c r="C4488" s="18" t="s">
        <v>30</v>
      </c>
      <c r="D4488" s="14" t="str">
        <f>IF(ISBLANK(Raw_Data!D4488),AVERAGE(Raw_Data!D$2:D$5002),Raw_Data!D4488)</f>
        <v>24835.85</v>
      </c>
      <c r="E4488" s="15" t="str">
        <f>IF(ISBLANK(Raw_Data!E4488),AVERAGE(Raw_Data!E$2:E$5002),Raw_Data!E4488)</f>
        <v>36325.67</v>
      </c>
      <c r="F4488" s="15" t="str">
        <f>IF(ISBLANK(Raw_Data!F4488),AVERAGE(Raw_Data!F$2:F$5002),Raw_Data!F4488)</f>
        <v>36489.99</v>
      </c>
      <c r="G4488" s="14" t="str">
        <f>IF(ISBLANK(Raw_Data!G4488),AVERAGE(Raw_Data!G$2:G$5002),Raw_Data!G4488)</f>
        <v>5298.06</v>
      </c>
      <c r="H4488" s="15" t="str">
        <f t="shared" si="1"/>
        <v>97652.00</v>
      </c>
      <c r="I4488" s="14" t="str">
        <f t="shared" si="2"/>
        <v>92354.00</v>
      </c>
      <c r="J4488" s="16" t="str">
        <f>TEXT(Raw_Data!J4488,"MMM-YYY")</f>
        <v>Sep-2025</v>
      </c>
      <c r="K4488" s="13" t="str">
        <f>Raw_Data!K4488</f>
        <v>25</v>
      </c>
      <c r="L4488" s="17" t="str">
        <f>Raw_Data!L4488</f>
        <v>Jaipur-North</v>
      </c>
      <c r="M4488" s="13" t="str">
        <f t="shared" si="3"/>
        <v>OK</v>
      </c>
      <c r="N4488" s="18" t="str">
        <f t="shared" si="4"/>
        <v>VALID</v>
      </c>
    </row>
    <row r="4489" ht="15.75" customHeight="1">
      <c r="A4489" s="13" t="str">
        <f>Raw_Data!A4489</f>
        <v>EMP4730</v>
      </c>
      <c r="B4489" s="13" t="str">
        <f>TRIM(CLEAN(Raw_Data!B4489))</f>
        <v>IT</v>
      </c>
      <c r="C4489" s="18" t="s">
        <v>37</v>
      </c>
      <c r="D4489" s="14" t="str">
        <f>IF(ISBLANK(Raw_Data!D4489),AVERAGE(Raw_Data!D$2:D$5002),Raw_Data!D4489)</f>
        <v>53610.16</v>
      </c>
      <c r="E4489" s="15" t="str">
        <f>IF(ISBLANK(Raw_Data!E4489),AVERAGE(Raw_Data!E$2:E$5002),Raw_Data!E4489)</f>
        <v>33157.28</v>
      </c>
      <c r="F4489" s="15" t="str">
        <f>IF(ISBLANK(Raw_Data!F4489),AVERAGE(Raw_Data!F$2:F$5002),Raw_Data!F4489)</f>
        <v>36497.67</v>
      </c>
      <c r="G4489" s="14" t="str">
        <f>IF(ISBLANK(Raw_Data!G4489),AVERAGE(Raw_Data!G$2:G$5002),Raw_Data!G4489)</f>
        <v>12388.70</v>
      </c>
      <c r="H4489" s="15" t="str">
        <f t="shared" si="1"/>
        <v>123265.00</v>
      </c>
      <c r="I4489" s="14" t="str">
        <f t="shared" si="2"/>
        <v>110876.00</v>
      </c>
      <c r="J4489" s="16" t="str">
        <f>TEXT(Raw_Data!J4489,"MMM-YYY")</f>
        <v>Sep-2025</v>
      </c>
      <c r="K4489" s="13" t="str">
        <f>Raw_Data!K4489</f>
        <v>15</v>
      </c>
      <c r="L4489" s="17" t="str">
        <f>Raw_Data!L4489</f>
        <v>Mumbai-HO</v>
      </c>
      <c r="M4489" s="13" t="str">
        <f t="shared" si="3"/>
        <v>OK</v>
      </c>
      <c r="N4489" s="18" t="str">
        <f t="shared" si="4"/>
        <v>VALID</v>
      </c>
    </row>
    <row r="4490" ht="15.75" customHeight="1">
      <c r="A4490" s="13" t="str">
        <f>Raw_Data!A4490</f>
        <v>EMP4731</v>
      </c>
      <c r="B4490" s="13" t="str">
        <f>TRIM(CLEAN(Raw_Data!B4490))</f>
        <v>Operations</v>
      </c>
      <c r="C4490" s="18" t="s">
        <v>54</v>
      </c>
      <c r="D4490" s="14" t="str">
        <f>IF(ISBLANK(Raw_Data!D4490),AVERAGE(Raw_Data!D$2:D$5002),Raw_Data!D4490)</f>
        <v>42846.25</v>
      </c>
      <c r="E4490" s="15" t="str">
        <f>IF(ISBLANK(Raw_Data!E4490),AVERAGE(Raw_Data!E$2:E$5002),Raw_Data!E4490)</f>
        <v>24992.69</v>
      </c>
      <c r="F4490" s="15" t="str">
        <f>IF(ISBLANK(Raw_Data!F4490),AVERAGE(Raw_Data!F$2:F$5002),Raw_Data!F4490)</f>
        <v>36505.35</v>
      </c>
      <c r="G4490" s="14" t="str">
        <f>IF(ISBLANK(Raw_Data!G4490),AVERAGE(Raw_Data!G$2:G$5002),Raw_Data!G4490)</f>
        <v>19726.97</v>
      </c>
      <c r="H4490" s="15" t="str">
        <f t="shared" si="1"/>
        <v>104344.00</v>
      </c>
      <c r="I4490" s="14" t="str">
        <f t="shared" si="2"/>
        <v>84617.00</v>
      </c>
      <c r="J4490" s="16" t="str">
        <f>TEXT(Raw_Data!J4490,"MMM-YYY")</f>
        <v>Nov-2025</v>
      </c>
      <c r="K4490" s="13" t="str">
        <f>Raw_Data!K4490</f>
        <v>15</v>
      </c>
      <c r="L4490" s="17" t="str">
        <f>Raw_Data!L4490</f>
        <v>Delhi-North</v>
      </c>
      <c r="M4490" s="13" t="str">
        <f t="shared" si="3"/>
        <v>OK</v>
      </c>
      <c r="N4490" s="18" t="str">
        <f t="shared" si="4"/>
        <v>VALID</v>
      </c>
    </row>
    <row r="4491" ht="15.75" customHeight="1">
      <c r="A4491" s="13" t="str">
        <f>Raw_Data!A4491</f>
        <v>EMP4732</v>
      </c>
      <c r="B4491" s="13" t="str">
        <f>TRIM(CLEAN(Raw_Data!B4491))</f>
        <v>Sales</v>
      </c>
      <c r="C4491" s="18" t="s">
        <v>37</v>
      </c>
      <c r="D4491" s="14" t="str">
        <f>IF(ISBLANK(Raw_Data!D4491),AVERAGE(Raw_Data!D$2:D$5002),Raw_Data!D4491)</f>
        <v>40618.91</v>
      </c>
      <c r="E4491" s="15" t="str">
        <f>IF(ISBLANK(Raw_Data!E4491),AVERAGE(Raw_Data!E$2:E$5002),Raw_Data!E4491)</f>
        <v>30287.98</v>
      </c>
      <c r="F4491" s="15" t="str">
        <f>IF(ISBLANK(Raw_Data!F4491),AVERAGE(Raw_Data!F$2:F$5002),Raw_Data!F4491)</f>
        <v>36513.03</v>
      </c>
      <c r="G4491" s="14" t="str">
        <f>IF(ISBLANK(Raw_Data!G4491),AVERAGE(Raw_Data!G$2:G$5002),Raw_Data!G4491)</f>
        <v>12394.65</v>
      </c>
      <c r="H4491" s="15" t="str">
        <f t="shared" si="1"/>
        <v>107420.00</v>
      </c>
      <c r="I4491" s="14" t="str">
        <f t="shared" si="2"/>
        <v>95025.00</v>
      </c>
      <c r="J4491" s="16" t="str">
        <f>TEXT(Raw_Data!J4491,"MMM-YYY")</f>
        <v>Apr-2025</v>
      </c>
      <c r="K4491" s="13" t="str">
        <f>Raw_Data!K4491</f>
        <v>21</v>
      </c>
      <c r="L4491" s="17" t="str">
        <f>Raw_Data!L4491</f>
        <v>Bangalore-South</v>
      </c>
      <c r="M4491" s="13" t="str">
        <f t="shared" si="3"/>
        <v>OK</v>
      </c>
      <c r="N4491" s="18" t="str">
        <f t="shared" si="4"/>
        <v>VALID</v>
      </c>
    </row>
    <row r="4492" ht="15.75" customHeight="1">
      <c r="A4492" s="13" t="str">
        <f>Raw_Data!A4492</f>
        <v>EMP4733</v>
      </c>
      <c r="B4492" s="13" t="str">
        <f>TRIM(CLEAN(Raw_Data!B4492))</f>
        <v>IT</v>
      </c>
      <c r="C4492" s="18" t="s">
        <v>37</v>
      </c>
      <c r="D4492" s="14" t="str">
        <f>IF(ISBLANK(Raw_Data!D4492),AVERAGE(Raw_Data!D$2:D$5002),Raw_Data!D4492)</f>
        <v>117166.11</v>
      </c>
      <c r="E4492" s="15" t="str">
        <f>IF(ISBLANK(Raw_Data!E4492),AVERAGE(Raw_Data!E$2:E$5002),Raw_Data!E4492)</f>
        <v>17133.61</v>
      </c>
      <c r="F4492" s="15" t="str">
        <f>IF(ISBLANK(Raw_Data!F4492),AVERAGE(Raw_Data!F$2:F$5002),Raw_Data!F4492)</f>
        <v>36520.71</v>
      </c>
      <c r="G4492" s="14" t="str">
        <f>IF(ISBLANK(Raw_Data!G4492),AVERAGE(Raw_Data!G$2:G$5002),Raw_Data!G4492)</f>
        <v>8719.18</v>
      </c>
      <c r="H4492" s="15" t="str">
        <f t="shared" si="1"/>
        <v>170820.00</v>
      </c>
      <c r="I4492" s="14" t="str">
        <f t="shared" si="2"/>
        <v>162101.00</v>
      </c>
      <c r="J4492" s="16" t="str">
        <f>TEXT(Raw_Data!J4492,"MMM-YYY")</f>
        <v>Jun-2025</v>
      </c>
      <c r="K4492" s="13" t="str">
        <f>Raw_Data!K4492</f>
        <v>19</v>
      </c>
      <c r="L4492" s="17" t="str">
        <f>Raw_Data!L4492</f>
        <v>Chennai-South</v>
      </c>
      <c r="M4492" s="13" t="str">
        <f t="shared" si="3"/>
        <v>OK</v>
      </c>
      <c r="N4492" s="18" t="str">
        <f t="shared" si="4"/>
        <v>VALID</v>
      </c>
    </row>
    <row r="4493" ht="15.75" customHeight="1">
      <c r="A4493" s="13" t="str">
        <f>Raw_Data!A4493</f>
        <v>EMP4734</v>
      </c>
      <c r="B4493" s="13" t="str">
        <f>TRIM(CLEAN(Raw_Data!B4493))</f>
        <v>Sales</v>
      </c>
      <c r="C4493" s="18" t="s">
        <v>33</v>
      </c>
      <c r="D4493" s="14" t="str">
        <f>IF(ISBLANK(Raw_Data!D4493),AVERAGE(Raw_Data!D$2:D$5002),Raw_Data!D4493)</f>
        <v>56275.26</v>
      </c>
      <c r="E4493" s="15" t="str">
        <f>IF(ISBLANK(Raw_Data!E4493),AVERAGE(Raw_Data!E$2:E$5002),Raw_Data!E4493)</f>
        <v>27074.76</v>
      </c>
      <c r="F4493" s="15" t="str">
        <f>IF(ISBLANK(Raw_Data!F4493),AVERAGE(Raw_Data!F$2:F$5002),Raw_Data!F4493)</f>
        <v>36528.39</v>
      </c>
      <c r="G4493" s="14" t="str">
        <f>IF(ISBLANK(Raw_Data!G4493),AVERAGE(Raw_Data!G$2:G$5002),Raw_Data!G4493)</f>
        <v>2517.65</v>
      </c>
      <c r="H4493" s="15" t="str">
        <f t="shared" si="1"/>
        <v>119878.00</v>
      </c>
      <c r="I4493" s="14" t="str">
        <f t="shared" si="2"/>
        <v>117360.00</v>
      </c>
      <c r="J4493" s="16" t="str">
        <f>TEXT(Raw_Data!J4493,"MMM-YYY")</f>
        <v>Aug-2025</v>
      </c>
      <c r="K4493" s="13" t="str">
        <f>Raw_Data!K4493</f>
        <v>2</v>
      </c>
      <c r="L4493" s="17" t="str">
        <f>Raw_Data!L4493</f>
        <v>Kolkata-East</v>
      </c>
      <c r="M4493" s="13" t="str">
        <f t="shared" si="3"/>
        <v>OK</v>
      </c>
      <c r="N4493" s="18" t="str">
        <f t="shared" si="4"/>
        <v>VALID</v>
      </c>
    </row>
    <row r="4494" ht="15.75" customHeight="1">
      <c r="A4494" s="13" t="str">
        <f>Raw_Data!A4494</f>
        <v>EMP4735</v>
      </c>
      <c r="B4494" s="13" t="str">
        <f>TRIM(CLEAN(Raw_Data!B4494))</f>
        <v>HR</v>
      </c>
      <c r="C4494" s="18" t="s">
        <v>26</v>
      </c>
      <c r="D4494" s="14" t="str">
        <f>IF(ISBLANK(Raw_Data!D4494),AVERAGE(Raw_Data!D$2:D$5002),Raw_Data!D4494)</f>
        <v>108664.89</v>
      </c>
      <c r="E4494" s="15" t="str">
        <f>IF(ISBLANK(Raw_Data!E4494),AVERAGE(Raw_Data!E$2:E$5002),Raw_Data!E4494)</f>
        <v>20782.54</v>
      </c>
      <c r="F4494" s="15" t="str">
        <f>IF(ISBLANK(Raw_Data!F4494),AVERAGE(Raw_Data!F$2:F$5002),Raw_Data!F4494)</f>
        <v>36536.07</v>
      </c>
      <c r="G4494" s="14" t="str">
        <f>IF(ISBLANK(Raw_Data!G4494),AVERAGE(Raw_Data!G$2:G$5002),Raw_Data!G4494)</f>
        <v>13982.24</v>
      </c>
      <c r="H4494" s="15" t="str">
        <f t="shared" si="1"/>
        <v>165984.00</v>
      </c>
      <c r="I4494" s="14" t="str">
        <f t="shared" si="2"/>
        <v>152002.00</v>
      </c>
      <c r="J4494" s="16" t="str">
        <f>TEXT(Raw_Data!J4494,"MMM-YYY")</f>
        <v>Dec-2025</v>
      </c>
      <c r="K4494" s="13" t="str">
        <f>Raw_Data!K4494</f>
        <v>21</v>
      </c>
      <c r="L4494" s="17" t="str">
        <f>Raw_Data!L4494</f>
        <v>Pune-West</v>
      </c>
      <c r="M4494" s="13" t="str">
        <f t="shared" si="3"/>
        <v>OK</v>
      </c>
      <c r="N4494" s="18" t="str">
        <f t="shared" si="4"/>
        <v>VALID</v>
      </c>
    </row>
    <row r="4495" ht="15.75" customHeight="1">
      <c r="A4495" s="13" t="str">
        <f>Raw_Data!A4495</f>
        <v>EMP4736</v>
      </c>
      <c r="B4495" s="13" t="str">
        <f>TRIM(CLEAN(Raw_Data!B4495))</f>
        <v>Operations</v>
      </c>
      <c r="C4495" s="18" t="s">
        <v>54</v>
      </c>
      <c r="D4495" s="14" t="str">
        <f>IF(ISBLANK(Raw_Data!D4495),AVERAGE(Raw_Data!D$2:D$5002),Raw_Data!D4495)</f>
        <v>81269.56</v>
      </c>
      <c r="E4495" s="15" t="str">
        <f>IF(ISBLANK(Raw_Data!E4495),AVERAGE(Raw_Data!E$2:E$5002),Raw_Data!E4495)</f>
        <v>10837.70</v>
      </c>
      <c r="F4495" s="15" t="str">
        <f>IF(ISBLANK(Raw_Data!F4495),AVERAGE(Raw_Data!F$2:F$5002),Raw_Data!F4495)</f>
        <v>36543.75</v>
      </c>
      <c r="G4495" s="14" t="str">
        <f>IF(ISBLANK(Raw_Data!G4495),AVERAGE(Raw_Data!G$2:G$5002),Raw_Data!G4495)</f>
        <v>7146.08</v>
      </c>
      <c r="H4495" s="15" t="str">
        <f t="shared" si="1"/>
        <v>128651.00</v>
      </c>
      <c r="I4495" s="14" t="str">
        <f t="shared" si="2"/>
        <v>121505.00</v>
      </c>
      <c r="J4495" s="16" t="str">
        <f>TEXT(Raw_Data!J4495,"MMM-YYY")</f>
        <v>Sep-2025</v>
      </c>
      <c r="K4495" s="13" t="str">
        <f>Raw_Data!K4495</f>
        <v>25</v>
      </c>
      <c r="L4495" s="17" t="str">
        <f>Raw_Data!L4495</f>
        <v>Hyderabad-South</v>
      </c>
      <c r="M4495" s="13" t="str">
        <f t="shared" si="3"/>
        <v>OK</v>
      </c>
      <c r="N4495" s="18" t="str">
        <f t="shared" si="4"/>
        <v>VALID</v>
      </c>
    </row>
    <row r="4496" ht="15.75" customHeight="1">
      <c r="A4496" s="13" t="str">
        <f>Raw_Data!A4496</f>
        <v>EMP4737</v>
      </c>
      <c r="B4496" s="13" t="str">
        <f>TRIM(CLEAN(Raw_Data!B4496))</f>
        <v>Finance</v>
      </c>
      <c r="C4496" s="18" t="s">
        <v>26</v>
      </c>
      <c r="D4496" s="14" t="str">
        <f>IF(ISBLANK(Raw_Data!D4496),AVERAGE(Raw_Data!D$2:D$5002),Raw_Data!D4496)</f>
        <v>98455.19</v>
      </c>
      <c r="E4496" s="15" t="str">
        <f>IF(ISBLANK(Raw_Data!E4496),AVERAGE(Raw_Data!E$2:E$5002),Raw_Data!E4496)</f>
        <v>29262.58</v>
      </c>
      <c r="F4496" s="15" t="str">
        <f>IF(ISBLANK(Raw_Data!F4496),AVERAGE(Raw_Data!F$2:F$5002),Raw_Data!F4496)</f>
        <v>36551.43</v>
      </c>
      <c r="G4496" s="14" t="str">
        <f>IF(ISBLANK(Raw_Data!G4496),AVERAGE(Raw_Data!G$2:G$5002),Raw_Data!G4496)</f>
        <v>15565.89</v>
      </c>
      <c r="H4496" s="15" t="str">
        <f t="shared" si="1"/>
        <v>164269.00</v>
      </c>
      <c r="I4496" s="14" t="str">
        <f t="shared" si="2"/>
        <v>148703.00</v>
      </c>
      <c r="J4496" s="16" t="str">
        <f>TEXT(Raw_Data!J4496,"MMM-YYY")</f>
        <v>Jul-2025</v>
      </c>
      <c r="K4496" s="13" t="str">
        <f>Raw_Data!K4496</f>
        <v>17</v>
      </c>
      <c r="L4496" s="17" t="str">
        <f>Raw_Data!L4496</f>
        <v>Chandigarh-North</v>
      </c>
      <c r="M4496" s="13" t="str">
        <f t="shared" si="3"/>
        <v>OK</v>
      </c>
      <c r="N4496" s="18" t="str">
        <f t="shared" si="4"/>
        <v>VALID</v>
      </c>
    </row>
    <row r="4497" ht="15.75" customHeight="1">
      <c r="A4497" s="13" t="str">
        <f>Raw_Data!A4497</f>
        <v>EMP4738</v>
      </c>
      <c r="B4497" s="13" t="str">
        <f>TRIM(CLEAN(Raw_Data!B4497))</f>
        <v>Marketing</v>
      </c>
      <c r="C4497" s="18" t="s">
        <v>30</v>
      </c>
      <c r="D4497" s="14" t="str">
        <f>IF(ISBLANK(Raw_Data!D4497),AVERAGE(Raw_Data!D$2:D$5002),Raw_Data!D4497)</f>
        <v>67776.89</v>
      </c>
      <c r="E4497" s="15" t="str">
        <f>IF(ISBLANK(Raw_Data!E4497),AVERAGE(Raw_Data!E$2:E$5002),Raw_Data!E4497)</f>
        <v>24032.73</v>
      </c>
      <c r="F4497" s="15" t="str">
        <f>IF(ISBLANK(Raw_Data!F4497),AVERAGE(Raw_Data!F$2:F$5002),Raw_Data!F4497)</f>
        <v>36559.11</v>
      </c>
      <c r="G4497" s="14" t="str">
        <f>IF(ISBLANK(Raw_Data!G4497),AVERAGE(Raw_Data!G$2:G$5002),Raw_Data!G4497)</f>
        <v>24441.10</v>
      </c>
      <c r="H4497" s="15" t="str">
        <f t="shared" si="1"/>
        <v>128369.00</v>
      </c>
      <c r="I4497" s="14" t="str">
        <f t="shared" si="2"/>
        <v>103928.00</v>
      </c>
      <c r="J4497" s="16" t="str">
        <f>TEXT(Raw_Data!J4497,"MMM-YYY")</f>
        <v>Feb-2025</v>
      </c>
      <c r="K4497" s="13" t="str">
        <f>Raw_Data!K4497</f>
        <v>9</v>
      </c>
      <c r="L4497" s="17" t="str">
        <f>Raw_Data!L4497</f>
        <v>Ahmedabad-West</v>
      </c>
      <c r="M4497" s="13" t="str">
        <f t="shared" si="3"/>
        <v>OK</v>
      </c>
      <c r="N4497" s="18" t="str">
        <f t="shared" si="4"/>
        <v>VALID</v>
      </c>
    </row>
    <row r="4498" ht="15.75" customHeight="1">
      <c r="A4498" s="13" t="str">
        <f>Raw_Data!A4498</f>
        <v>EMP4739</v>
      </c>
      <c r="B4498" s="13" t="str">
        <f>TRIM(CLEAN(Raw_Data!B4498))</f>
        <v>IT</v>
      </c>
      <c r="C4498" s="18" t="s">
        <v>54</v>
      </c>
      <c r="D4498" s="14" t="str">
        <f>IF(ISBLANK(Raw_Data!D4498),AVERAGE(Raw_Data!D$2:D$5002),Raw_Data!D4498)</f>
        <v>75574.91</v>
      </c>
      <c r="E4498" s="15" t="str">
        <f>IF(ISBLANK(Raw_Data!E4498),AVERAGE(Raw_Data!E$2:E$5002),Raw_Data!E4498)</f>
        <v>16910.38</v>
      </c>
      <c r="F4498" s="15" t="str">
        <f>IF(ISBLANK(Raw_Data!F4498),AVERAGE(Raw_Data!F$2:F$5002),Raw_Data!F4498)</f>
        <v>36566.79</v>
      </c>
      <c r="G4498" s="14" t="str">
        <f>IF(ISBLANK(Raw_Data!G4498),AVERAGE(Raw_Data!G$2:G$5002),Raw_Data!G4498)</f>
        <v>3227.20</v>
      </c>
      <c r="H4498" s="15" t="str">
        <f t="shared" si="1"/>
        <v>129052.00</v>
      </c>
      <c r="I4498" s="14" t="str">
        <f t="shared" si="2"/>
        <v>125825.00</v>
      </c>
      <c r="J4498" s="16" t="str">
        <f>TEXT(Raw_Data!J4498,"MMM-YYY")</f>
        <v>Feb-2025</v>
      </c>
      <c r="K4498" s="13" t="str">
        <f>Raw_Data!K4498</f>
        <v>22</v>
      </c>
      <c r="L4498" s="17" t="str">
        <f>Raw_Data!L4498</f>
        <v>Jaipur-North</v>
      </c>
      <c r="M4498" s="13" t="str">
        <f t="shared" si="3"/>
        <v>OK</v>
      </c>
      <c r="N4498" s="18" t="str">
        <f t="shared" si="4"/>
        <v>VALID</v>
      </c>
    </row>
    <row r="4499" ht="15.75" customHeight="1">
      <c r="A4499" s="13" t="str">
        <f>Raw_Data!A4499</f>
        <v>EMP4741</v>
      </c>
      <c r="B4499" s="13" t="str">
        <f>TRIM(CLEAN(Raw_Data!B4499))</f>
        <v>HR</v>
      </c>
      <c r="C4499" s="18" t="s">
        <v>54</v>
      </c>
      <c r="D4499" s="14" t="str">
        <f>IF(ISBLANK(Raw_Data!D4499),AVERAGE(Raw_Data!D$2:D$5002),Raw_Data!D4499)</f>
        <v>35500.51</v>
      </c>
      <c r="E4499" s="15" t="str">
        <f>IF(ISBLANK(Raw_Data!E4499),AVERAGE(Raw_Data!E$2:E$5002),Raw_Data!E4499)</f>
        <v>4753.63</v>
      </c>
      <c r="F4499" s="15" t="str">
        <f>IF(ISBLANK(Raw_Data!F4499),AVERAGE(Raw_Data!F$2:F$5002),Raw_Data!F4499)</f>
        <v>36582.15</v>
      </c>
      <c r="G4499" s="14" t="str">
        <f>IF(ISBLANK(Raw_Data!G4499),AVERAGE(Raw_Data!G$2:G$5002),Raw_Data!G4499)</f>
        <v>12090.82</v>
      </c>
      <c r="H4499" s="15" t="str">
        <f t="shared" si="1"/>
        <v>76836.00</v>
      </c>
      <c r="I4499" s="14" t="str">
        <f t="shared" si="2"/>
        <v>64745.00</v>
      </c>
      <c r="J4499" s="16" t="str">
        <f>TEXT(Raw_Data!J4499,"MMM-YYY")</f>
        <v>Oct-2025</v>
      </c>
      <c r="K4499" s="13" t="str">
        <f>Raw_Data!K4499</f>
        <v>13</v>
      </c>
      <c r="L4499" s="17" t="str">
        <f>Raw_Data!L4499</f>
        <v>Delhi-North</v>
      </c>
      <c r="M4499" s="13" t="str">
        <f t="shared" si="3"/>
        <v>OK</v>
      </c>
      <c r="N4499" s="18" t="str">
        <f t="shared" si="4"/>
        <v>VALID</v>
      </c>
    </row>
    <row r="4500" ht="15.75" customHeight="1">
      <c r="A4500" s="13" t="str">
        <f>Raw_Data!A4500</f>
        <v>EMP4742</v>
      </c>
      <c r="B4500" s="13" t="str">
        <f>TRIM(CLEAN(Raw_Data!B4500))</f>
        <v>Operations</v>
      </c>
      <c r="C4500" s="18" t="s">
        <v>54</v>
      </c>
      <c r="D4500" s="14" t="str">
        <f>IF(ISBLANK(Raw_Data!D4500),AVERAGE(Raw_Data!D$2:D$5002),Raw_Data!D4500)</f>
        <v>90857.47</v>
      </c>
      <c r="E4500" s="15" t="str">
        <f>IF(ISBLANK(Raw_Data!E4500),AVERAGE(Raw_Data!E$2:E$5002),Raw_Data!E4500)</f>
        <v>15367.83</v>
      </c>
      <c r="F4500" s="15" t="str">
        <f>IF(ISBLANK(Raw_Data!F4500),AVERAGE(Raw_Data!F$2:F$5002),Raw_Data!F4500)</f>
        <v>36589.83</v>
      </c>
      <c r="G4500" s="14" t="str">
        <f>IF(ISBLANK(Raw_Data!G4500),AVERAGE(Raw_Data!G$2:G$5002),Raw_Data!G4500)</f>
        <v>24231.04</v>
      </c>
      <c r="H4500" s="15" t="str">
        <f t="shared" si="1"/>
        <v>142815.00</v>
      </c>
      <c r="I4500" s="14" t="str">
        <f t="shared" si="2"/>
        <v>118584.00</v>
      </c>
      <c r="J4500" s="16" t="str">
        <f>TEXT(Raw_Data!J4500,"MMM-YYY")</f>
        <v>Dec-2025</v>
      </c>
      <c r="K4500" s="13" t="str">
        <f>Raw_Data!K4500</f>
        <v>14</v>
      </c>
      <c r="L4500" s="17" t="str">
        <f>Raw_Data!L4500</f>
        <v>Bangalore-South</v>
      </c>
      <c r="M4500" s="13" t="str">
        <f t="shared" si="3"/>
        <v>OK</v>
      </c>
      <c r="N4500" s="18" t="str">
        <f t="shared" si="4"/>
        <v>VALID</v>
      </c>
    </row>
    <row r="4501" ht="15.75" customHeight="1">
      <c r="A4501" s="13" t="str">
        <f>Raw_Data!A4501</f>
        <v>EMP4743</v>
      </c>
      <c r="B4501" s="13" t="str">
        <f>TRIM(CLEAN(Raw_Data!B4501))</f>
        <v>Operations</v>
      </c>
      <c r="C4501" s="18" t="s">
        <v>14</v>
      </c>
      <c r="D4501" s="14" t="str">
        <f>IF(ISBLANK(Raw_Data!D4501),AVERAGE(Raw_Data!D$2:D$5002),Raw_Data!D4501)</f>
        <v>44481.10</v>
      </c>
      <c r="E4501" s="15" t="str">
        <f>IF(ISBLANK(Raw_Data!E4501),AVERAGE(Raw_Data!E$2:E$5002),Raw_Data!E4501)</f>
        <v>6047.73</v>
      </c>
      <c r="F4501" s="15" t="str">
        <f>IF(ISBLANK(Raw_Data!F4501),AVERAGE(Raw_Data!F$2:F$5002),Raw_Data!F4501)</f>
        <v>36597.51</v>
      </c>
      <c r="G4501" s="14" t="str">
        <f>IF(ISBLANK(Raw_Data!G4501),AVERAGE(Raw_Data!G$2:G$5002),Raw_Data!G4501)</f>
        <v>19409.34</v>
      </c>
      <c r="H4501" s="15" t="str">
        <f t="shared" si="1"/>
        <v>87126.00</v>
      </c>
      <c r="I4501" s="14" t="str">
        <f t="shared" si="2"/>
        <v>67717.00</v>
      </c>
      <c r="J4501" s="16" t="str">
        <f>TEXT(Raw_Data!J4501,"MMM-YYY")</f>
        <v>Jun-2025</v>
      </c>
      <c r="K4501" s="13" t="str">
        <f>Raw_Data!K4501</f>
        <v>20</v>
      </c>
      <c r="L4501" s="17" t="str">
        <f>Raw_Data!L4501</f>
        <v>Chennai-South</v>
      </c>
      <c r="M4501" s="13" t="str">
        <f t="shared" si="3"/>
        <v>OK</v>
      </c>
      <c r="N4501" s="18" t="str">
        <f t="shared" si="4"/>
        <v>VALID</v>
      </c>
    </row>
    <row r="4502" ht="15.75" customHeight="1">
      <c r="A4502" s="13" t="str">
        <f>Raw_Data!A4502</f>
        <v>EMP4744</v>
      </c>
      <c r="B4502" s="13" t="str">
        <f>TRIM(CLEAN(Raw_Data!B4502))</f>
        <v>HR</v>
      </c>
      <c r="C4502" s="18" t="s">
        <v>14</v>
      </c>
      <c r="D4502" s="14" t="str">
        <f>IF(ISBLANK(Raw_Data!D4502),AVERAGE(Raw_Data!D$2:D$5002),Raw_Data!D4502)</f>
        <v>17553.18</v>
      </c>
      <c r="E4502" s="15" t="str">
        <f>IF(ISBLANK(Raw_Data!E4502),AVERAGE(Raw_Data!E$2:E$5002),Raw_Data!E4502)</f>
        <v>31594.98</v>
      </c>
      <c r="F4502" s="15" t="str">
        <f>IF(ISBLANK(Raw_Data!F4502),AVERAGE(Raw_Data!F$2:F$5002),Raw_Data!F4502)</f>
        <v>36605.19</v>
      </c>
      <c r="G4502" s="14" t="str">
        <f>IF(ISBLANK(Raw_Data!G4502),AVERAGE(Raw_Data!G$2:G$5002),Raw_Data!G4502)</f>
        <v>22506.62</v>
      </c>
      <c r="H4502" s="15" t="str">
        <f t="shared" si="1"/>
        <v>85753.00</v>
      </c>
      <c r="I4502" s="14" t="str">
        <f t="shared" si="2"/>
        <v>63246.00</v>
      </c>
      <c r="J4502" s="16" t="str">
        <f>TEXT(Raw_Data!J4502,"MMM-YYY")</f>
        <v>Feb-2025</v>
      </c>
      <c r="K4502" s="13" t="str">
        <f>Raw_Data!K4502</f>
        <v>6</v>
      </c>
      <c r="L4502" s="17" t="str">
        <f>Raw_Data!L4502</f>
        <v>Kolkata-East</v>
      </c>
      <c r="M4502" s="13" t="str">
        <f t="shared" si="3"/>
        <v>OK</v>
      </c>
      <c r="N4502" s="18" t="str">
        <f t="shared" si="4"/>
        <v>VALID</v>
      </c>
    </row>
    <row r="4503" ht="15.75" customHeight="1">
      <c r="A4503" s="13" t="str">
        <f>Raw_Data!A4503</f>
        <v>EMP4745</v>
      </c>
      <c r="B4503" s="13" t="str">
        <f>TRIM(CLEAN(Raw_Data!B4503))</f>
        <v>Sales</v>
      </c>
      <c r="C4503" s="18" t="s">
        <v>26</v>
      </c>
      <c r="D4503" s="14" t="str">
        <f>IF(ISBLANK(Raw_Data!D4503),AVERAGE(Raw_Data!D$2:D$5002),Raw_Data!D4503)</f>
        <v>82774.59</v>
      </c>
      <c r="E4503" s="15" t="str">
        <f>IF(ISBLANK(Raw_Data!E4503),AVERAGE(Raw_Data!E$2:E$5002),Raw_Data!E4503)</f>
        <v>29275.87</v>
      </c>
      <c r="F4503" s="15" t="str">
        <f>IF(ISBLANK(Raw_Data!F4503),AVERAGE(Raw_Data!F$2:F$5002),Raw_Data!F4503)</f>
        <v>36612.87</v>
      </c>
      <c r="G4503" s="14" t="str">
        <f>IF(ISBLANK(Raw_Data!G4503),AVERAGE(Raw_Data!G$2:G$5002),Raw_Data!G4503)</f>
        <v>8676.01</v>
      </c>
      <c r="H4503" s="15" t="str">
        <f t="shared" si="1"/>
        <v>148663.00</v>
      </c>
      <c r="I4503" s="14" t="str">
        <f t="shared" si="2"/>
        <v>139987.00</v>
      </c>
      <c r="J4503" s="16" t="str">
        <f>TEXT(Raw_Data!J4503,"MMM-YYY")</f>
        <v>Apr-2025</v>
      </c>
      <c r="K4503" s="13" t="str">
        <f>Raw_Data!K4503</f>
        <v>14</v>
      </c>
      <c r="L4503" s="17" t="str">
        <f>Raw_Data!L4503</f>
        <v>Pune-West</v>
      </c>
      <c r="M4503" s="13" t="str">
        <f t="shared" si="3"/>
        <v>OK</v>
      </c>
      <c r="N4503" s="18" t="str">
        <f t="shared" si="4"/>
        <v>VALID</v>
      </c>
    </row>
    <row r="4504" ht="15.75" customHeight="1">
      <c r="A4504" s="13" t="str">
        <f>Raw_Data!A4504</f>
        <v>EMP4746</v>
      </c>
      <c r="B4504" s="13" t="str">
        <f>TRIM(CLEAN(Raw_Data!B4504))</f>
        <v>IT</v>
      </c>
      <c r="C4504" s="18" t="s">
        <v>54</v>
      </c>
      <c r="D4504" s="14" t="str">
        <f>IF(ISBLANK(Raw_Data!D4504),AVERAGE(Raw_Data!D$2:D$5002),Raw_Data!D4504)</f>
        <v>33596.62</v>
      </c>
      <c r="E4504" s="15" t="str">
        <f>IF(ISBLANK(Raw_Data!E4504),AVERAGE(Raw_Data!E$2:E$5002),Raw_Data!E4504)</f>
        <v>15928.68</v>
      </c>
      <c r="F4504" s="15" t="str">
        <f>IF(ISBLANK(Raw_Data!F4504),AVERAGE(Raw_Data!F$2:F$5002),Raw_Data!F4504)</f>
        <v>36620.55</v>
      </c>
      <c r="G4504" s="14" t="str">
        <f>IF(ISBLANK(Raw_Data!G4504),AVERAGE(Raw_Data!G$2:G$5002),Raw_Data!G4504)</f>
        <v>24804.94</v>
      </c>
      <c r="H4504" s="15" t="str">
        <f t="shared" si="1"/>
        <v>86146.00</v>
      </c>
      <c r="I4504" s="14" t="str">
        <f t="shared" si="2"/>
        <v>61341.00</v>
      </c>
      <c r="J4504" s="16" t="str">
        <f>TEXT(Raw_Data!J4504,"MMM-YYY")</f>
        <v>Jun-2025</v>
      </c>
      <c r="K4504" s="13" t="str">
        <f>Raw_Data!K4504</f>
        <v>25</v>
      </c>
      <c r="L4504" s="17" t="str">
        <f>Raw_Data!L4504</f>
        <v>Hyderabad-South</v>
      </c>
      <c r="M4504" s="13" t="str">
        <f t="shared" si="3"/>
        <v>OK</v>
      </c>
      <c r="N4504" s="18" t="str">
        <f t="shared" si="4"/>
        <v>VALID</v>
      </c>
    </row>
    <row r="4505" ht="15.75" customHeight="1">
      <c r="A4505" s="13" t="str">
        <f>Raw_Data!A4505</f>
        <v>EMP4747</v>
      </c>
      <c r="B4505" s="13" t="str">
        <f>TRIM(CLEAN(Raw_Data!B4505))</f>
        <v>Finance</v>
      </c>
      <c r="C4505" s="18" t="s">
        <v>26</v>
      </c>
      <c r="D4505" s="14" t="str">
        <f>IF(ISBLANK(Raw_Data!D4505),AVERAGE(Raw_Data!D$2:D$5002),Raw_Data!D4505)</f>
        <v>113748.15</v>
      </c>
      <c r="E4505" s="15" t="str">
        <f>IF(ISBLANK(Raw_Data!E4505),AVERAGE(Raw_Data!E$2:E$5002),Raw_Data!E4505)</f>
        <v>28323.86</v>
      </c>
      <c r="F4505" s="15" t="str">
        <f>IF(ISBLANK(Raw_Data!F4505),AVERAGE(Raw_Data!F$2:F$5002),Raw_Data!F4505)</f>
        <v>36628.23</v>
      </c>
      <c r="G4505" s="14" t="str">
        <f>IF(ISBLANK(Raw_Data!G4505),AVERAGE(Raw_Data!G$2:G$5002),Raw_Data!G4505)</f>
        <v>3019.40</v>
      </c>
      <c r="H4505" s="15" t="str">
        <f t="shared" si="1"/>
        <v>178700.00</v>
      </c>
      <c r="I4505" s="14" t="str">
        <f t="shared" si="2"/>
        <v>175681.00</v>
      </c>
      <c r="J4505" s="16" t="str">
        <f>TEXT(Raw_Data!J4505,"MMM-YYY")</f>
        <v>Oct-2025</v>
      </c>
      <c r="K4505" s="13" t="str">
        <f>Raw_Data!K4505</f>
        <v>11</v>
      </c>
      <c r="L4505" s="17" t="str">
        <f>Raw_Data!L4505</f>
        <v>Chandigarh-North</v>
      </c>
      <c r="M4505" s="13" t="str">
        <f t="shared" si="3"/>
        <v>OK</v>
      </c>
      <c r="N4505" s="18" t="str">
        <f t="shared" si="4"/>
        <v>VALID</v>
      </c>
    </row>
    <row r="4506" ht="15.75" customHeight="1">
      <c r="A4506" s="13" t="str">
        <f>Raw_Data!A4506</f>
        <v>EMP4748</v>
      </c>
      <c r="B4506" s="13" t="str">
        <f>TRIM(CLEAN(Raw_Data!B4506))</f>
        <v>Sales</v>
      </c>
      <c r="C4506" s="18" t="s">
        <v>14</v>
      </c>
      <c r="D4506" s="14" t="str">
        <f>IF(ISBLANK(Raw_Data!D4506),AVERAGE(Raw_Data!D$2:D$5002),Raw_Data!D4506)</f>
        <v>115162.50</v>
      </c>
      <c r="E4506" s="15" t="str">
        <f>IF(ISBLANK(Raw_Data!E4506),AVERAGE(Raw_Data!E$2:E$5002),Raw_Data!E4506)</f>
        <v>18253.74</v>
      </c>
      <c r="F4506" s="15" t="str">
        <f>IF(ISBLANK(Raw_Data!F4506),AVERAGE(Raw_Data!F$2:F$5002),Raw_Data!F4506)</f>
        <v>36635.91</v>
      </c>
      <c r="G4506" s="14" t="str">
        <f>IF(ISBLANK(Raw_Data!G4506),AVERAGE(Raw_Data!G$2:G$5002),Raw_Data!G4506)</f>
        <v>1797.84</v>
      </c>
      <c r="H4506" s="15" t="str">
        <f t="shared" si="1"/>
        <v>170052.00</v>
      </c>
      <c r="I4506" s="14" t="str">
        <f t="shared" si="2"/>
        <v>168254.00</v>
      </c>
      <c r="J4506" s="16" t="str">
        <f>TEXT(Raw_Data!J4506,"MMM-YYY")</f>
        <v>Oct-2025</v>
      </c>
      <c r="K4506" s="13" t="str">
        <f>Raw_Data!K4506</f>
        <v>2</v>
      </c>
      <c r="L4506" s="17" t="str">
        <f>Raw_Data!L4506</f>
        <v>Ahmedabad-West</v>
      </c>
      <c r="M4506" s="13" t="str">
        <f t="shared" si="3"/>
        <v>OK</v>
      </c>
      <c r="N4506" s="18" t="str">
        <f t="shared" si="4"/>
        <v>VALID</v>
      </c>
    </row>
    <row r="4507" ht="15.75" customHeight="1">
      <c r="A4507" s="13" t="str">
        <f>Raw_Data!A4507</f>
        <v>EMP4749</v>
      </c>
      <c r="B4507" s="13" t="str">
        <f>TRIM(CLEAN(Raw_Data!B4507))</f>
        <v>HR</v>
      </c>
      <c r="C4507" s="18" t="s">
        <v>54</v>
      </c>
      <c r="D4507" s="14" t="str">
        <f>IF(ISBLANK(Raw_Data!D4507),AVERAGE(Raw_Data!D$2:D$5002),Raw_Data!D4507)</f>
        <v>111060.76</v>
      </c>
      <c r="E4507" s="15" t="str">
        <f>IF(ISBLANK(Raw_Data!E4507),AVERAGE(Raw_Data!E$2:E$5002),Raw_Data!E4507)</f>
        <v>31225.14</v>
      </c>
      <c r="F4507" s="15" t="str">
        <f>IF(ISBLANK(Raw_Data!F4507),AVERAGE(Raw_Data!F$2:F$5002),Raw_Data!F4507)</f>
        <v>36643.59</v>
      </c>
      <c r="G4507" s="14" t="str">
        <f>IF(ISBLANK(Raw_Data!G4507),AVERAGE(Raw_Data!G$2:G$5002),Raw_Data!G4507)</f>
        <v>21462.26</v>
      </c>
      <c r="H4507" s="15" t="str">
        <f t="shared" si="1"/>
        <v>178929.00</v>
      </c>
      <c r="I4507" s="14" t="str">
        <f t="shared" si="2"/>
        <v>157467.00</v>
      </c>
      <c r="J4507" s="16" t="str">
        <f>TEXT(Raw_Data!J4507,"MMM-YYY")</f>
        <v>Jul-2025</v>
      </c>
      <c r="K4507" s="13" t="str">
        <f>Raw_Data!K4507</f>
        <v>4</v>
      </c>
      <c r="L4507" s="17" t="str">
        <f>Raw_Data!L4507</f>
        <v>Jaipur-North</v>
      </c>
      <c r="M4507" s="13" t="str">
        <f t="shared" si="3"/>
        <v>OK</v>
      </c>
      <c r="N4507" s="18" t="str">
        <f t="shared" si="4"/>
        <v>VALID</v>
      </c>
    </row>
    <row r="4508" ht="15.75" customHeight="1">
      <c r="A4508" s="13" t="str">
        <f>Raw_Data!A4508</f>
        <v>EMP4750</v>
      </c>
      <c r="B4508" s="13" t="str">
        <f>TRIM(CLEAN(Raw_Data!B4508))</f>
        <v>IT</v>
      </c>
      <c r="C4508" s="18" t="s">
        <v>33</v>
      </c>
      <c r="D4508" s="14" t="str">
        <f>IF(ISBLANK(Raw_Data!D4508),AVERAGE(Raw_Data!D$2:D$5002),Raw_Data!D4508)</f>
        <v>53866.66</v>
      </c>
      <c r="E4508" s="15" t="str">
        <f>IF(ISBLANK(Raw_Data!E4508),AVERAGE(Raw_Data!E$2:E$5002),Raw_Data!E4508)</f>
        <v>20350.61</v>
      </c>
      <c r="F4508" s="15" t="str">
        <f>IF(ISBLANK(Raw_Data!F4508),AVERAGE(Raw_Data!F$2:F$5002),Raw_Data!F4508)</f>
        <v>36651.27</v>
      </c>
      <c r="G4508" s="14" t="str">
        <f>IF(ISBLANK(Raw_Data!G4508),AVERAGE(Raw_Data!G$2:G$5002),Raw_Data!G4508)</f>
        <v>23217.99</v>
      </c>
      <c r="H4508" s="15" t="str">
        <f t="shared" si="1"/>
        <v>110869.00</v>
      </c>
      <c r="I4508" s="14" t="str">
        <f t="shared" si="2"/>
        <v>87651.00</v>
      </c>
      <c r="J4508" s="16" t="str">
        <f>TEXT(Raw_Data!J4508,"MMM-YYY")</f>
        <v>May-2025</v>
      </c>
      <c r="K4508" s="13" t="str">
        <f>Raw_Data!K4508</f>
        <v>25</v>
      </c>
      <c r="L4508" s="17" t="str">
        <f>Raw_Data!L4508</f>
        <v>Mumbai-HO</v>
      </c>
      <c r="M4508" s="13" t="str">
        <f t="shared" si="3"/>
        <v>OK</v>
      </c>
      <c r="N4508" s="18" t="str">
        <f t="shared" si="4"/>
        <v>VALID</v>
      </c>
    </row>
    <row r="4509" ht="15.75" customHeight="1">
      <c r="A4509" s="13" t="str">
        <f>Raw_Data!A4509</f>
        <v>EMP4751</v>
      </c>
      <c r="B4509" s="13" t="str">
        <f>TRIM(CLEAN(Raw_Data!B4509))</f>
        <v>Marketing</v>
      </c>
      <c r="C4509" s="18" t="s">
        <v>30</v>
      </c>
      <c r="D4509" s="14" t="str">
        <f>IF(ISBLANK(Raw_Data!D4509),AVERAGE(Raw_Data!D$2:D$5002),Raw_Data!D4509)</f>
        <v>16622.94</v>
      </c>
      <c r="E4509" s="15" t="str">
        <f>IF(ISBLANK(Raw_Data!E4509),AVERAGE(Raw_Data!E$2:E$5002),Raw_Data!E4509)</f>
        <v>18842.07</v>
      </c>
      <c r="F4509" s="15" t="str">
        <f>IF(ISBLANK(Raw_Data!F4509),AVERAGE(Raw_Data!F$2:F$5002),Raw_Data!F4509)</f>
        <v>36658.95</v>
      </c>
      <c r="G4509" s="14" t="str">
        <f>IF(ISBLANK(Raw_Data!G4509),AVERAGE(Raw_Data!G$2:G$5002),Raw_Data!G4509)</f>
        <v>2719.34</v>
      </c>
      <c r="H4509" s="15" t="str">
        <f t="shared" si="1"/>
        <v>72124.00</v>
      </c>
      <c r="I4509" s="14" t="str">
        <f t="shared" si="2"/>
        <v>69405.00</v>
      </c>
      <c r="J4509" s="16" t="str">
        <f>TEXT(Raw_Data!J4509,"MMM-YYY")</f>
        <v>May-2025</v>
      </c>
      <c r="K4509" s="13" t="str">
        <f>Raw_Data!K4509</f>
        <v>5</v>
      </c>
      <c r="L4509" s="17" t="str">
        <f>Raw_Data!L4509</f>
        <v>Delhi-North</v>
      </c>
      <c r="M4509" s="13" t="str">
        <f t="shared" si="3"/>
        <v>OK</v>
      </c>
      <c r="N4509" s="18" t="str">
        <f t="shared" si="4"/>
        <v>VALID</v>
      </c>
    </row>
    <row r="4510" ht="15.75" customHeight="1">
      <c r="A4510" s="13" t="str">
        <f>Raw_Data!A4510</f>
        <v>EMP4752</v>
      </c>
      <c r="B4510" s="13" t="str">
        <f>TRIM(CLEAN(Raw_Data!B4510))</f>
        <v>Marketing</v>
      </c>
      <c r="C4510" s="18" t="s">
        <v>33</v>
      </c>
      <c r="D4510" s="14" t="str">
        <f>IF(ISBLANK(Raw_Data!D4510),AVERAGE(Raw_Data!D$2:D$5002),Raw_Data!D4510)</f>
        <v>112473.45</v>
      </c>
      <c r="E4510" s="15" t="str">
        <f>IF(ISBLANK(Raw_Data!E4510),AVERAGE(Raw_Data!E$2:E$5002),Raw_Data!E4510)</f>
        <v>37650.28</v>
      </c>
      <c r="F4510" s="15" t="str">
        <f>IF(ISBLANK(Raw_Data!F4510),AVERAGE(Raw_Data!F$2:F$5002),Raw_Data!F4510)</f>
        <v>36666.63</v>
      </c>
      <c r="G4510" s="14" t="str">
        <f>IF(ISBLANK(Raw_Data!G4510),AVERAGE(Raw_Data!G$2:G$5002),Raw_Data!G4510)</f>
        <v>3278.97</v>
      </c>
      <c r="H4510" s="15" t="str">
        <f t="shared" si="1"/>
        <v>186790.00</v>
      </c>
      <c r="I4510" s="14" t="str">
        <f t="shared" si="2"/>
        <v>183511.00</v>
      </c>
      <c r="J4510" s="16" t="str">
        <f>TEXT(Raw_Data!J4510,"MMM-YYY")</f>
        <v>Jan-2025</v>
      </c>
      <c r="K4510" s="13" t="str">
        <f>Raw_Data!K4510</f>
        <v>24</v>
      </c>
      <c r="L4510" s="17" t="str">
        <f>Raw_Data!L4510</f>
        <v>Bangalore-South</v>
      </c>
      <c r="M4510" s="13" t="str">
        <f t="shared" si="3"/>
        <v>OK</v>
      </c>
      <c r="N4510" s="18" t="str">
        <f t="shared" si="4"/>
        <v>VALID</v>
      </c>
    </row>
    <row r="4511" ht="15.75" customHeight="1">
      <c r="A4511" s="13" t="str">
        <f>Raw_Data!A4511</f>
        <v>EMP4753</v>
      </c>
      <c r="B4511" s="13" t="str">
        <f>TRIM(CLEAN(Raw_Data!B4511))</f>
        <v>IT</v>
      </c>
      <c r="C4511" s="18" t="s">
        <v>37</v>
      </c>
      <c r="D4511" s="14" t="str">
        <f>IF(ISBLANK(Raw_Data!D4511),AVERAGE(Raw_Data!D$2:D$5002),Raw_Data!D4511)</f>
        <v>59959.34</v>
      </c>
      <c r="E4511" s="15" t="str">
        <f>IF(ISBLANK(Raw_Data!E4511),AVERAGE(Raw_Data!E$2:E$5002),Raw_Data!E4511)</f>
        <v>13031.65</v>
      </c>
      <c r="F4511" s="15" t="str">
        <f>IF(ISBLANK(Raw_Data!F4511),AVERAGE(Raw_Data!F$2:F$5002),Raw_Data!F4511)</f>
        <v>36674.31</v>
      </c>
      <c r="G4511" s="14" t="str">
        <f>IF(ISBLANK(Raw_Data!G4511),AVERAGE(Raw_Data!G$2:G$5002),Raw_Data!G4511)</f>
        <v>1312.77</v>
      </c>
      <c r="H4511" s="15" t="str">
        <f t="shared" si="1"/>
        <v>109665.00</v>
      </c>
      <c r="I4511" s="14" t="str">
        <f t="shared" si="2"/>
        <v>108352.00</v>
      </c>
      <c r="J4511" s="16" t="str">
        <f>TEXT(Raw_Data!J4511,"MMM-YYY")</f>
        <v>Apr-2025</v>
      </c>
      <c r="K4511" s="13" t="str">
        <f>Raw_Data!K4511</f>
        <v>1</v>
      </c>
      <c r="L4511" s="17" t="str">
        <f>Raw_Data!L4511</f>
        <v>Chennai-South</v>
      </c>
      <c r="M4511" s="13" t="str">
        <f t="shared" si="3"/>
        <v>OK</v>
      </c>
      <c r="N4511" s="18" t="str">
        <f t="shared" si="4"/>
        <v>VALID</v>
      </c>
    </row>
    <row r="4512" ht="15.75" customHeight="1">
      <c r="A4512" s="13" t="str">
        <f>Raw_Data!A4512</f>
        <v>EMP4754</v>
      </c>
      <c r="B4512" s="13" t="str">
        <f>TRIM(CLEAN(Raw_Data!B4512))</f>
        <v>Finance</v>
      </c>
      <c r="C4512" s="18" t="s">
        <v>33</v>
      </c>
      <c r="D4512" s="14" t="str">
        <f>IF(ISBLANK(Raw_Data!D4512),AVERAGE(Raw_Data!D$2:D$5002),Raw_Data!D4512)</f>
        <v>116498.76</v>
      </c>
      <c r="E4512" s="15" t="str">
        <f>IF(ISBLANK(Raw_Data!E4512),AVERAGE(Raw_Data!E$2:E$5002),Raw_Data!E4512)</f>
        <v>8336.10</v>
      </c>
      <c r="F4512" s="15" t="str">
        <f>IF(ISBLANK(Raw_Data!F4512),AVERAGE(Raw_Data!F$2:F$5002),Raw_Data!F4512)</f>
        <v>36681.99</v>
      </c>
      <c r="G4512" s="14" t="str">
        <f>IF(ISBLANK(Raw_Data!G4512),AVERAGE(Raw_Data!G$2:G$5002),Raw_Data!G4512)</f>
        <v>3060.44</v>
      </c>
      <c r="H4512" s="15" t="str">
        <f t="shared" si="1"/>
        <v>161517.00</v>
      </c>
      <c r="I4512" s="14" t="str">
        <f t="shared" si="2"/>
        <v>158457.00</v>
      </c>
      <c r="J4512" s="16" t="str">
        <f>TEXT(Raw_Data!J4512,"MMM-YYY")</f>
        <v>Dec-2025</v>
      </c>
      <c r="K4512" s="13" t="str">
        <f>Raw_Data!K4512</f>
        <v>12</v>
      </c>
      <c r="L4512" s="17" t="str">
        <f>Raw_Data!L4512</f>
        <v>Kolkata-East</v>
      </c>
      <c r="M4512" s="13" t="str">
        <f t="shared" si="3"/>
        <v>OK</v>
      </c>
      <c r="N4512" s="18" t="str">
        <f t="shared" si="4"/>
        <v>VALID</v>
      </c>
    </row>
    <row r="4513" ht="15.75" customHeight="1">
      <c r="A4513" s="13" t="str">
        <f>Raw_Data!A4513</f>
        <v>EMP4755</v>
      </c>
      <c r="B4513" s="13" t="str">
        <f>TRIM(CLEAN(Raw_Data!B4513))</f>
        <v>Operations</v>
      </c>
      <c r="C4513" s="18" t="s">
        <v>26</v>
      </c>
      <c r="D4513" s="14" t="str">
        <f>IF(ISBLANK(Raw_Data!D4513),AVERAGE(Raw_Data!D$2:D$5002),Raw_Data!D4513)</f>
        <v>116180.10</v>
      </c>
      <c r="E4513" s="15" t="str">
        <f>IF(ISBLANK(Raw_Data!E4513),AVERAGE(Raw_Data!E$2:E$5002),Raw_Data!E4513)</f>
        <v>25043.55</v>
      </c>
      <c r="F4513" s="15" t="str">
        <f>IF(ISBLANK(Raw_Data!F4513),AVERAGE(Raw_Data!F$2:F$5002),Raw_Data!F4513)</f>
        <v>36689.67</v>
      </c>
      <c r="G4513" s="14" t="str">
        <f>IF(ISBLANK(Raw_Data!G4513),AVERAGE(Raw_Data!G$2:G$5002),Raw_Data!G4513)</f>
        <v>5630.79</v>
      </c>
      <c r="H4513" s="15" t="str">
        <f t="shared" si="1"/>
        <v>177913.00</v>
      </c>
      <c r="I4513" s="14" t="str">
        <f t="shared" si="2"/>
        <v>172282.00</v>
      </c>
      <c r="J4513" s="16" t="str">
        <f>TEXT(Raw_Data!J4513,"MMM-YYY")</f>
        <v>Oct-2025</v>
      </c>
      <c r="K4513" s="13" t="str">
        <f>Raw_Data!K4513</f>
        <v>17</v>
      </c>
      <c r="L4513" s="17" t="str">
        <f>Raw_Data!L4513</f>
        <v>Pune-West</v>
      </c>
      <c r="M4513" s="13" t="str">
        <f t="shared" si="3"/>
        <v>OK</v>
      </c>
      <c r="N4513" s="18" t="str">
        <f t="shared" si="4"/>
        <v>VALID</v>
      </c>
    </row>
    <row r="4514" ht="15.75" customHeight="1">
      <c r="A4514" s="13" t="str">
        <f>Raw_Data!A4514</f>
        <v>EMP4757</v>
      </c>
      <c r="B4514" s="13" t="str">
        <f>TRIM(CLEAN(Raw_Data!B4514))</f>
        <v>Operations</v>
      </c>
      <c r="C4514" s="18" t="s">
        <v>14</v>
      </c>
      <c r="D4514" s="14" t="str">
        <f>IF(ISBLANK(Raw_Data!D4514),AVERAGE(Raw_Data!D$2:D$5002),Raw_Data!D4514)</f>
        <v>45917.13</v>
      </c>
      <c r="E4514" s="15" t="str">
        <f>IF(ISBLANK(Raw_Data!E4514),AVERAGE(Raw_Data!E$2:E$5002),Raw_Data!E4514)</f>
        <v>17602.21</v>
      </c>
      <c r="F4514" s="15" t="str">
        <f>IF(ISBLANK(Raw_Data!F4514),AVERAGE(Raw_Data!F$2:F$5002),Raw_Data!F4514)</f>
        <v>36705.03</v>
      </c>
      <c r="G4514" s="14" t="str">
        <f>IF(ISBLANK(Raw_Data!G4514),AVERAGE(Raw_Data!G$2:G$5002),Raw_Data!G4514)</f>
        <v>16862.58</v>
      </c>
      <c r="H4514" s="15" t="str">
        <f t="shared" si="1"/>
        <v>100224.00</v>
      </c>
      <c r="I4514" s="14" t="str">
        <f t="shared" si="2"/>
        <v>83361.00</v>
      </c>
      <c r="J4514" s="16" t="str">
        <f>TEXT(Raw_Data!J4514,"MMM-YYY")</f>
        <v>Dec-2025</v>
      </c>
      <c r="K4514" s="13" t="str">
        <f>Raw_Data!K4514</f>
        <v>12</v>
      </c>
      <c r="L4514" s="17" t="str">
        <f>Raw_Data!L4514</f>
        <v>Chandigarh-North</v>
      </c>
      <c r="M4514" s="13" t="str">
        <f t="shared" si="3"/>
        <v>OK</v>
      </c>
      <c r="N4514" s="18" t="str">
        <f t="shared" si="4"/>
        <v>VALID</v>
      </c>
    </row>
    <row r="4515" ht="15.75" customHeight="1">
      <c r="A4515" s="13" t="str">
        <f>Raw_Data!A4515</f>
        <v>EMP4758</v>
      </c>
      <c r="B4515" s="13" t="str">
        <f>TRIM(CLEAN(Raw_Data!B4515))</f>
        <v>Finance</v>
      </c>
      <c r="C4515" s="18" t="s">
        <v>30</v>
      </c>
      <c r="D4515" s="14" t="str">
        <f>IF(ISBLANK(Raw_Data!D4515),AVERAGE(Raw_Data!D$2:D$5002),Raw_Data!D4515)</f>
        <v>55435.26</v>
      </c>
      <c r="E4515" s="15" t="str">
        <f>IF(ISBLANK(Raw_Data!E4515),AVERAGE(Raw_Data!E$2:E$5002),Raw_Data!E4515)</f>
        <v>6233.32</v>
      </c>
      <c r="F4515" s="15" t="str">
        <f>IF(ISBLANK(Raw_Data!F4515),AVERAGE(Raw_Data!F$2:F$5002),Raw_Data!F4515)</f>
        <v>36712.71</v>
      </c>
      <c r="G4515" s="14" t="str">
        <f>IF(ISBLANK(Raw_Data!G4515),AVERAGE(Raw_Data!G$2:G$5002),Raw_Data!G4515)</f>
        <v>19574.55</v>
      </c>
      <c r="H4515" s="15" t="str">
        <f t="shared" si="1"/>
        <v>98381.00</v>
      </c>
      <c r="I4515" s="14" t="str">
        <f t="shared" si="2"/>
        <v>78806.00</v>
      </c>
      <c r="J4515" s="16" t="str">
        <f>TEXT(Raw_Data!J4515,"MMM-YYY")</f>
        <v>Jul-2025</v>
      </c>
      <c r="K4515" s="13" t="str">
        <f>Raw_Data!K4515</f>
        <v>2</v>
      </c>
      <c r="L4515" s="17" t="str">
        <f>Raw_Data!L4515</f>
        <v>Ahmedabad-West</v>
      </c>
      <c r="M4515" s="13" t="str">
        <f t="shared" si="3"/>
        <v>OK</v>
      </c>
      <c r="N4515" s="18" t="str">
        <f t="shared" si="4"/>
        <v>VALID</v>
      </c>
    </row>
    <row r="4516" ht="15.75" customHeight="1">
      <c r="A4516" s="13" t="str">
        <f>Raw_Data!A4516</f>
        <v>EMP4759</v>
      </c>
      <c r="B4516" s="13" t="str">
        <f>TRIM(CLEAN(Raw_Data!B4516))</f>
        <v>HR</v>
      </c>
      <c r="C4516" s="18" t="s">
        <v>14</v>
      </c>
      <c r="D4516" s="14" t="str">
        <f>IF(ISBLANK(Raw_Data!D4516),AVERAGE(Raw_Data!D$2:D$5002),Raw_Data!D4516)</f>
        <v>104369.35</v>
      </c>
      <c r="E4516" s="15" t="str">
        <f>IF(ISBLANK(Raw_Data!E4516),AVERAGE(Raw_Data!E$2:E$5002),Raw_Data!E4516)</f>
        <v>16214.99</v>
      </c>
      <c r="F4516" s="15" t="str">
        <f>IF(ISBLANK(Raw_Data!F4516),AVERAGE(Raw_Data!F$2:F$5002),Raw_Data!F4516)</f>
        <v>36720.39</v>
      </c>
      <c r="G4516" s="14" t="str">
        <f>IF(ISBLANK(Raw_Data!G4516),AVERAGE(Raw_Data!G$2:G$5002),Raw_Data!G4516)</f>
        <v>19515.42</v>
      </c>
      <c r="H4516" s="15" t="str">
        <f t="shared" si="1"/>
        <v>157305.00</v>
      </c>
      <c r="I4516" s="14" t="str">
        <f t="shared" si="2"/>
        <v>137790.00</v>
      </c>
      <c r="J4516" s="16" t="str">
        <f>TEXT(Raw_Data!J4516,"MMM-YYY")</f>
        <v>Jun-2025</v>
      </c>
      <c r="K4516" s="13" t="str">
        <f>Raw_Data!K4516</f>
        <v>11</v>
      </c>
      <c r="L4516" s="17" t="str">
        <f>Raw_Data!L4516</f>
        <v>Jaipur-North</v>
      </c>
      <c r="M4516" s="13" t="str">
        <f t="shared" si="3"/>
        <v>OK</v>
      </c>
      <c r="N4516" s="18" t="str">
        <f t="shared" si="4"/>
        <v>VALID</v>
      </c>
    </row>
    <row r="4517" ht="15.75" customHeight="1">
      <c r="A4517" s="13" t="str">
        <f>Raw_Data!A4517</f>
        <v>EMP4760</v>
      </c>
      <c r="B4517" s="13" t="str">
        <f>TRIM(CLEAN(Raw_Data!B4517))</f>
        <v>Finance</v>
      </c>
      <c r="C4517" s="18" t="s">
        <v>33</v>
      </c>
      <c r="D4517" s="14" t="str">
        <f>IF(ISBLANK(Raw_Data!D4517),AVERAGE(Raw_Data!D$2:D$5002),Raw_Data!D4517)</f>
        <v>48276.81</v>
      </c>
      <c r="E4517" s="15" t="str">
        <f>IF(ISBLANK(Raw_Data!E4517),AVERAGE(Raw_Data!E$2:E$5002),Raw_Data!E4517)</f>
        <v>22213.54</v>
      </c>
      <c r="F4517" s="15" t="str">
        <f>IF(ISBLANK(Raw_Data!F4517),AVERAGE(Raw_Data!F$2:F$5002),Raw_Data!F4517)</f>
        <v>36728.07</v>
      </c>
      <c r="G4517" s="14" t="str">
        <f>IF(ISBLANK(Raw_Data!G4517),AVERAGE(Raw_Data!G$2:G$5002),Raw_Data!G4517)</f>
        <v>13609.31</v>
      </c>
      <c r="H4517" s="15" t="str">
        <f t="shared" si="1"/>
        <v>107218.00</v>
      </c>
      <c r="I4517" s="14" t="str">
        <f t="shared" si="2"/>
        <v>93609.00</v>
      </c>
      <c r="J4517" s="16" t="str">
        <f>TEXT(Raw_Data!J4517,"MMM-YYY")</f>
        <v>Apr-2025</v>
      </c>
      <c r="K4517" s="13" t="str">
        <f>Raw_Data!K4517</f>
        <v>23</v>
      </c>
      <c r="L4517" s="17" t="str">
        <f>Raw_Data!L4517</f>
        <v>Mumbai-HO</v>
      </c>
      <c r="M4517" s="13" t="str">
        <f t="shared" si="3"/>
        <v>OK</v>
      </c>
      <c r="N4517" s="18" t="str">
        <f t="shared" si="4"/>
        <v>VALID</v>
      </c>
    </row>
    <row r="4518" ht="15.75" customHeight="1">
      <c r="A4518" s="13" t="str">
        <f>Raw_Data!A4518</f>
        <v>EMP4761</v>
      </c>
      <c r="B4518" s="13" t="str">
        <f>TRIM(CLEAN(Raw_Data!B4518))</f>
        <v>Finance</v>
      </c>
      <c r="C4518" s="18" t="s">
        <v>54</v>
      </c>
      <c r="D4518" s="14" t="str">
        <f>IF(ISBLANK(Raw_Data!D4518),AVERAGE(Raw_Data!D$2:D$5002),Raw_Data!D4518)</f>
        <v>32796.74</v>
      </c>
      <c r="E4518" s="15" t="str">
        <f>IF(ISBLANK(Raw_Data!E4518),AVERAGE(Raw_Data!E$2:E$5002),Raw_Data!E4518)</f>
        <v>9829.23</v>
      </c>
      <c r="F4518" s="15" t="str">
        <f>IF(ISBLANK(Raw_Data!F4518),AVERAGE(Raw_Data!F$2:F$5002),Raw_Data!F4518)</f>
        <v>36735.75</v>
      </c>
      <c r="G4518" s="14" t="str">
        <f>IF(ISBLANK(Raw_Data!G4518),AVERAGE(Raw_Data!G$2:G$5002),Raw_Data!G4518)</f>
        <v>20038.48</v>
      </c>
      <c r="H4518" s="15" t="str">
        <f t="shared" si="1"/>
        <v>79362.00</v>
      </c>
      <c r="I4518" s="14" t="str">
        <f t="shared" si="2"/>
        <v>59324.00</v>
      </c>
      <c r="J4518" s="16" t="str">
        <f>TEXT(Raw_Data!J4518,"MMM-YYY")</f>
        <v>Mar-2025</v>
      </c>
      <c r="K4518" s="13" t="str">
        <f>Raw_Data!K4518</f>
        <v>21</v>
      </c>
      <c r="L4518" s="17" t="str">
        <f>Raw_Data!L4518</f>
        <v>Delhi-North</v>
      </c>
      <c r="M4518" s="13" t="str">
        <f t="shared" si="3"/>
        <v>OK</v>
      </c>
      <c r="N4518" s="18" t="str">
        <f t="shared" si="4"/>
        <v>VALID</v>
      </c>
    </row>
    <row r="4519" ht="15.75" customHeight="1">
      <c r="A4519" s="13" t="str">
        <f>Raw_Data!A4519</f>
        <v>EMP4762</v>
      </c>
      <c r="B4519" s="13" t="str">
        <f>TRIM(CLEAN(Raw_Data!B4519))</f>
        <v>IT</v>
      </c>
      <c r="C4519" s="18" t="s">
        <v>26</v>
      </c>
      <c r="D4519" s="14" t="str">
        <f>IF(ISBLANK(Raw_Data!D4519),AVERAGE(Raw_Data!D$2:D$5002),Raw_Data!D4519)</f>
        <v>73464.13</v>
      </c>
      <c r="E4519" s="15" t="str">
        <f>IF(ISBLANK(Raw_Data!E4519),AVERAGE(Raw_Data!E$2:E$5002),Raw_Data!E4519)</f>
        <v>27691.68</v>
      </c>
      <c r="F4519" s="15" t="str">
        <f>IF(ISBLANK(Raw_Data!F4519),AVERAGE(Raw_Data!F$2:F$5002),Raw_Data!F4519)</f>
        <v>36743.43</v>
      </c>
      <c r="G4519" s="14" t="str">
        <f>IF(ISBLANK(Raw_Data!G4519),AVERAGE(Raw_Data!G$2:G$5002),Raw_Data!G4519)</f>
        <v>15097.28</v>
      </c>
      <c r="H4519" s="15" t="str">
        <f t="shared" si="1"/>
        <v>137899.00</v>
      </c>
      <c r="I4519" s="14" t="str">
        <f t="shared" si="2"/>
        <v>122802.00</v>
      </c>
      <c r="J4519" s="16" t="str">
        <f>TEXT(Raw_Data!J4519,"MMM-YYY")</f>
        <v>Nov-2025</v>
      </c>
      <c r="K4519" s="13" t="str">
        <f>Raw_Data!K4519</f>
        <v>25</v>
      </c>
      <c r="L4519" s="17" t="str">
        <f>Raw_Data!L4519</f>
        <v>Bangalore-South</v>
      </c>
      <c r="M4519" s="13" t="str">
        <f t="shared" si="3"/>
        <v>OK</v>
      </c>
      <c r="N4519" s="18" t="str">
        <f t="shared" si="4"/>
        <v>VALID</v>
      </c>
    </row>
    <row r="4520" ht="15.75" customHeight="1">
      <c r="A4520" s="13" t="str">
        <f>Raw_Data!A4520</f>
        <v>EMP4763</v>
      </c>
      <c r="B4520" s="13" t="str">
        <f>TRIM(CLEAN(Raw_Data!B4520))</f>
        <v>Customer Support</v>
      </c>
      <c r="C4520" s="18" t="s">
        <v>30</v>
      </c>
      <c r="D4520" s="14" t="str">
        <f>IF(ISBLANK(Raw_Data!D4520),AVERAGE(Raw_Data!D$2:D$5002),Raw_Data!D4520)</f>
        <v>113296.25</v>
      </c>
      <c r="E4520" s="15" t="str">
        <f>IF(ISBLANK(Raw_Data!E4520),AVERAGE(Raw_Data!E$2:E$5002),Raw_Data!E4520)</f>
        <v>39918.98</v>
      </c>
      <c r="F4520" s="15" t="str">
        <f>IF(ISBLANK(Raw_Data!F4520),AVERAGE(Raw_Data!F$2:F$5002),Raw_Data!F4520)</f>
        <v>36751.11</v>
      </c>
      <c r="G4520" s="14" t="str">
        <f>IF(ISBLANK(Raw_Data!G4520),AVERAGE(Raw_Data!G$2:G$5002),Raw_Data!G4520)</f>
        <v>8206.38</v>
      </c>
      <c r="H4520" s="15" t="str">
        <f t="shared" si="1"/>
        <v>189966.00</v>
      </c>
      <c r="I4520" s="14" t="str">
        <f t="shared" si="2"/>
        <v>181760.00</v>
      </c>
      <c r="J4520" s="16" t="str">
        <f>TEXT(Raw_Data!J4520,"MMM-YYY")</f>
        <v>Oct-2025</v>
      </c>
      <c r="K4520" s="13" t="str">
        <f>Raw_Data!K4520</f>
        <v>8</v>
      </c>
      <c r="L4520" s="17" t="str">
        <f>Raw_Data!L4520</f>
        <v>Chennai-South</v>
      </c>
      <c r="M4520" s="13" t="str">
        <f t="shared" si="3"/>
        <v>OK</v>
      </c>
      <c r="N4520" s="18" t="str">
        <f t="shared" si="4"/>
        <v>VALID</v>
      </c>
    </row>
    <row r="4521" ht="15.75" customHeight="1">
      <c r="A4521" s="13" t="str">
        <f>Raw_Data!A4521</f>
        <v>EMP4764</v>
      </c>
      <c r="B4521" s="13" t="str">
        <f>TRIM(CLEAN(Raw_Data!B4521))</f>
        <v>IT</v>
      </c>
      <c r="C4521" s="18" t="s">
        <v>18</v>
      </c>
      <c r="D4521" s="14" t="str">
        <f>IF(ISBLANK(Raw_Data!D4521),AVERAGE(Raw_Data!D$2:D$5002),Raw_Data!D4521)</f>
        <v>88083.13</v>
      </c>
      <c r="E4521" s="15" t="str">
        <f>IF(ISBLANK(Raw_Data!E4521),AVERAGE(Raw_Data!E$2:E$5002),Raw_Data!E4521)</f>
        <v>20262.62</v>
      </c>
      <c r="F4521" s="15" t="str">
        <f>IF(ISBLANK(Raw_Data!F4521),AVERAGE(Raw_Data!F$2:F$5002),Raw_Data!F4521)</f>
        <v>36758.79</v>
      </c>
      <c r="G4521" s="14" t="str">
        <f>IF(ISBLANK(Raw_Data!G4521),AVERAGE(Raw_Data!G$2:G$5002),Raw_Data!G4521)</f>
        <v>14247.20</v>
      </c>
      <c r="H4521" s="15" t="str">
        <f t="shared" si="1"/>
        <v>145105.00</v>
      </c>
      <c r="I4521" s="14" t="str">
        <f t="shared" si="2"/>
        <v>130858.00</v>
      </c>
      <c r="J4521" s="16" t="str">
        <f>TEXT(Raw_Data!J4521,"MMM-YYY")</f>
        <v>Nov-2025</v>
      </c>
      <c r="K4521" s="13" t="str">
        <f>Raw_Data!K4521</f>
        <v>3</v>
      </c>
      <c r="L4521" s="17" t="str">
        <f>Raw_Data!L4521</f>
        <v>Kolkata-East</v>
      </c>
      <c r="M4521" s="13" t="str">
        <f t="shared" si="3"/>
        <v>OK</v>
      </c>
      <c r="N4521" s="18" t="str">
        <f t="shared" si="4"/>
        <v>VALID</v>
      </c>
    </row>
    <row r="4522" ht="15.75" customHeight="1">
      <c r="A4522" s="13" t="str">
        <f>Raw_Data!A4522</f>
        <v>EMP4765</v>
      </c>
      <c r="B4522" s="13" t="str">
        <f>TRIM(CLEAN(Raw_Data!B4522))</f>
        <v>Marketing</v>
      </c>
      <c r="C4522" s="18" t="s">
        <v>37</v>
      </c>
      <c r="D4522" s="14" t="str">
        <f>IF(ISBLANK(Raw_Data!D4522),AVERAGE(Raw_Data!D$2:D$5002),Raw_Data!D4522)</f>
        <v>74856.42</v>
      </c>
      <c r="E4522" s="15" t="str">
        <f>IF(ISBLANK(Raw_Data!E4522),AVERAGE(Raw_Data!E$2:E$5002),Raw_Data!E4522)</f>
        <v>16770.23</v>
      </c>
      <c r="F4522" s="15" t="str">
        <f>IF(ISBLANK(Raw_Data!F4522),AVERAGE(Raw_Data!F$2:F$5002),Raw_Data!F4522)</f>
        <v>36766.47</v>
      </c>
      <c r="G4522" s="14" t="str">
        <f>IF(ISBLANK(Raw_Data!G4522),AVERAGE(Raw_Data!G$2:G$5002),Raw_Data!G4522)</f>
        <v>13570.96</v>
      </c>
      <c r="H4522" s="15" t="str">
        <f t="shared" si="1"/>
        <v>128393.00</v>
      </c>
      <c r="I4522" s="14" t="str">
        <f t="shared" si="2"/>
        <v>114822.00</v>
      </c>
      <c r="J4522" s="16" t="str">
        <f>TEXT(Raw_Data!J4522,"MMM-YYY")</f>
        <v>Feb-2025</v>
      </c>
      <c r="K4522" s="13" t="str">
        <f>Raw_Data!K4522</f>
        <v>4</v>
      </c>
      <c r="L4522" s="17" t="str">
        <f>Raw_Data!L4522</f>
        <v>Pune-West</v>
      </c>
      <c r="M4522" s="13" t="str">
        <f t="shared" si="3"/>
        <v>OK</v>
      </c>
      <c r="N4522" s="18" t="str">
        <f t="shared" si="4"/>
        <v>VALID</v>
      </c>
    </row>
    <row r="4523" ht="15.75" customHeight="1">
      <c r="A4523" s="13" t="str">
        <f>Raw_Data!A4523</f>
        <v>EMP4766</v>
      </c>
      <c r="B4523" s="13" t="str">
        <f>TRIM(CLEAN(Raw_Data!B4523))</f>
        <v>HR</v>
      </c>
      <c r="C4523" s="18" t="s">
        <v>30</v>
      </c>
      <c r="D4523" s="14" t="str">
        <f>IF(ISBLANK(Raw_Data!D4523),AVERAGE(Raw_Data!D$2:D$5002),Raw_Data!D4523)</f>
        <v>25203.53</v>
      </c>
      <c r="E4523" s="15" t="str">
        <f>IF(ISBLANK(Raw_Data!E4523),AVERAGE(Raw_Data!E$2:E$5002),Raw_Data!E4523)</f>
        <v>18425.35</v>
      </c>
      <c r="F4523" s="15" t="str">
        <f>IF(ISBLANK(Raw_Data!F4523),AVERAGE(Raw_Data!F$2:F$5002),Raw_Data!F4523)</f>
        <v>36774.15</v>
      </c>
      <c r="G4523" s="14" t="str">
        <f>IF(ISBLANK(Raw_Data!G4523),AVERAGE(Raw_Data!G$2:G$5002),Raw_Data!G4523)</f>
        <v>20674.60</v>
      </c>
      <c r="H4523" s="15" t="str">
        <f t="shared" si="1"/>
        <v>80403.00</v>
      </c>
      <c r="I4523" s="14" t="str">
        <f t="shared" si="2"/>
        <v>59728.00</v>
      </c>
      <c r="J4523" s="16" t="str">
        <f>TEXT(Raw_Data!J4523,"MMM-YYY")</f>
        <v>Jun-2025</v>
      </c>
      <c r="K4523" s="13" t="str">
        <f>Raw_Data!K4523</f>
        <v>16</v>
      </c>
      <c r="L4523" s="17" t="str">
        <f>Raw_Data!L4523</f>
        <v>Hyderabad-South</v>
      </c>
      <c r="M4523" s="13" t="str">
        <f t="shared" si="3"/>
        <v>OK</v>
      </c>
      <c r="N4523" s="18" t="str">
        <f t="shared" si="4"/>
        <v>VALID</v>
      </c>
    </row>
    <row r="4524" ht="15.75" customHeight="1">
      <c r="A4524" s="13" t="str">
        <f>Raw_Data!A4524</f>
        <v>EMP4767</v>
      </c>
      <c r="B4524" s="13" t="str">
        <f>TRIM(CLEAN(Raw_Data!B4524))</f>
        <v>Sales</v>
      </c>
      <c r="C4524" s="18" t="s">
        <v>54</v>
      </c>
      <c r="D4524" s="14" t="str">
        <f>IF(ISBLANK(Raw_Data!D4524),AVERAGE(Raw_Data!D$2:D$5002),Raw_Data!D4524)</f>
        <v>79575.76</v>
      </c>
      <c r="E4524" s="15" t="str">
        <f>IF(ISBLANK(Raw_Data!E4524),AVERAGE(Raw_Data!E$2:E$5002),Raw_Data!E4524)</f>
        <v>8145.26</v>
      </c>
      <c r="F4524" s="15" t="str">
        <f>IF(ISBLANK(Raw_Data!F4524),AVERAGE(Raw_Data!F$2:F$5002),Raw_Data!F4524)</f>
        <v>36781.83</v>
      </c>
      <c r="G4524" s="14" t="str">
        <f>IF(ISBLANK(Raw_Data!G4524),AVERAGE(Raw_Data!G$2:G$5002),Raw_Data!G4524)</f>
        <v>24552.32</v>
      </c>
      <c r="H4524" s="15" t="str">
        <f t="shared" si="1"/>
        <v>124503.00</v>
      </c>
      <c r="I4524" s="14" t="str">
        <f t="shared" si="2"/>
        <v>99951.00</v>
      </c>
      <c r="J4524" s="16" t="str">
        <f>TEXT(Raw_Data!J4524,"MMM-YYY")</f>
        <v>May-2025</v>
      </c>
      <c r="K4524" s="13" t="str">
        <f>Raw_Data!K4524</f>
        <v>10</v>
      </c>
      <c r="L4524" s="17" t="str">
        <f>Raw_Data!L4524</f>
        <v>Chandigarh-North</v>
      </c>
      <c r="M4524" s="13" t="str">
        <f t="shared" si="3"/>
        <v>OK</v>
      </c>
      <c r="N4524" s="18" t="str">
        <f t="shared" si="4"/>
        <v>VALID</v>
      </c>
    </row>
    <row r="4525" ht="15.75" customHeight="1">
      <c r="A4525" s="13" t="str">
        <f>Raw_Data!A4525</f>
        <v>EMP4768</v>
      </c>
      <c r="B4525" s="13" t="str">
        <f>TRIM(CLEAN(Raw_Data!B4525))</f>
        <v>IT</v>
      </c>
      <c r="C4525" s="18" t="s">
        <v>33</v>
      </c>
      <c r="D4525" s="14" t="str">
        <f>IF(ISBLANK(Raw_Data!D4525),AVERAGE(Raw_Data!D$2:D$5002),Raw_Data!D4525)</f>
        <v>118955.65</v>
      </c>
      <c r="E4525" s="15" t="str">
        <f>IF(ISBLANK(Raw_Data!E4525),AVERAGE(Raw_Data!E$2:E$5002),Raw_Data!E4525)</f>
        <v>35797.85</v>
      </c>
      <c r="F4525" s="15" t="str">
        <f>IF(ISBLANK(Raw_Data!F4525),AVERAGE(Raw_Data!F$2:F$5002),Raw_Data!F4525)</f>
        <v>36789.51</v>
      </c>
      <c r="G4525" s="14" t="str">
        <f>IF(ISBLANK(Raw_Data!G4525),AVERAGE(Raw_Data!G$2:G$5002),Raw_Data!G4525)</f>
        <v>10570.54</v>
      </c>
      <c r="H4525" s="15" t="str">
        <f t="shared" si="1"/>
        <v>191543.00</v>
      </c>
      <c r="I4525" s="14" t="str">
        <f t="shared" si="2"/>
        <v>180972.00</v>
      </c>
      <c r="J4525" s="16" t="str">
        <f>TEXT(Raw_Data!J4525,"MMM-YYY")</f>
        <v>Sep-2025</v>
      </c>
      <c r="K4525" s="13" t="str">
        <f>Raw_Data!K4525</f>
        <v>5</v>
      </c>
      <c r="L4525" s="17" t="str">
        <f>Raw_Data!L4525</f>
        <v>Ahmedabad-West</v>
      </c>
      <c r="M4525" s="13" t="str">
        <f t="shared" si="3"/>
        <v>OK</v>
      </c>
      <c r="N4525" s="18" t="str">
        <f t="shared" si="4"/>
        <v>VALID</v>
      </c>
    </row>
    <row r="4526" ht="15.75" customHeight="1">
      <c r="A4526" s="13" t="str">
        <f>Raw_Data!A4526</f>
        <v>EMP4769</v>
      </c>
      <c r="B4526" s="13" t="str">
        <f>TRIM(CLEAN(Raw_Data!B4526))</f>
        <v>HR</v>
      </c>
      <c r="C4526" s="18" t="s">
        <v>18</v>
      </c>
      <c r="D4526" s="14" t="str">
        <f>IF(ISBLANK(Raw_Data!D4526),AVERAGE(Raw_Data!D$2:D$5002),Raw_Data!D4526)</f>
        <v>29708.82</v>
      </c>
      <c r="E4526" s="15" t="str">
        <f>IF(ISBLANK(Raw_Data!E4526),AVERAGE(Raw_Data!E$2:E$5002),Raw_Data!E4526)</f>
        <v>18933.72</v>
      </c>
      <c r="F4526" s="15" t="str">
        <f>IF(ISBLANK(Raw_Data!F4526),AVERAGE(Raw_Data!F$2:F$5002),Raw_Data!F4526)</f>
        <v>36797.19</v>
      </c>
      <c r="G4526" s="14" t="str">
        <f>IF(ISBLANK(Raw_Data!G4526),AVERAGE(Raw_Data!G$2:G$5002),Raw_Data!G4526)</f>
        <v>19203.07</v>
      </c>
      <c r="H4526" s="15" t="str">
        <f t="shared" si="1"/>
        <v>85440.00</v>
      </c>
      <c r="I4526" s="14" t="str">
        <f t="shared" si="2"/>
        <v>66237.00</v>
      </c>
      <c r="J4526" s="16" t="str">
        <f>TEXT(Raw_Data!J4526,"MMM-YYY")</f>
        <v>Jan-2025</v>
      </c>
      <c r="K4526" s="13" t="str">
        <f>Raw_Data!K4526</f>
        <v>14</v>
      </c>
      <c r="L4526" s="17" t="str">
        <f>Raw_Data!L4526</f>
        <v>Jaipur-North</v>
      </c>
      <c r="M4526" s="13" t="str">
        <f t="shared" si="3"/>
        <v>OK</v>
      </c>
      <c r="N4526" s="18" t="str">
        <f t="shared" si="4"/>
        <v>VALID</v>
      </c>
    </row>
    <row r="4527" ht="15.75" customHeight="1">
      <c r="A4527" s="13" t="str">
        <f>Raw_Data!A4527</f>
        <v>EMP4770</v>
      </c>
      <c r="B4527" s="13" t="str">
        <f>TRIM(CLEAN(Raw_Data!B4527))</f>
        <v>Customer Support</v>
      </c>
      <c r="C4527" s="18" t="s">
        <v>30</v>
      </c>
      <c r="D4527" s="14" t="str">
        <f>IF(ISBLANK(Raw_Data!D4527),AVERAGE(Raw_Data!D$2:D$5002),Raw_Data!D4527)</f>
        <v>69424.61</v>
      </c>
      <c r="E4527" s="15" t="str">
        <f>IF(ISBLANK(Raw_Data!E4527),AVERAGE(Raw_Data!E$2:E$5002),Raw_Data!E4527)</f>
        <v>17941.88</v>
      </c>
      <c r="F4527" s="15" t="str">
        <f>IF(ISBLANK(Raw_Data!F4527),AVERAGE(Raw_Data!F$2:F$5002),Raw_Data!F4527)</f>
        <v>36804.87</v>
      </c>
      <c r="G4527" s="14" t="str">
        <f>IF(ISBLANK(Raw_Data!G4527),AVERAGE(Raw_Data!G$2:G$5002),Raw_Data!G4527)</f>
        <v>2944.19</v>
      </c>
      <c r="H4527" s="15" t="str">
        <f t="shared" si="1"/>
        <v>124171.00</v>
      </c>
      <c r="I4527" s="14" t="str">
        <f t="shared" si="2"/>
        <v>121227.00</v>
      </c>
      <c r="J4527" s="16" t="str">
        <f>TEXT(Raw_Data!J4527,"MMM-YYY")</f>
        <v>Sep-2025</v>
      </c>
      <c r="K4527" s="13" t="str">
        <f>Raw_Data!K4527</f>
        <v>1</v>
      </c>
      <c r="L4527" s="17" t="str">
        <f>Raw_Data!L4527</f>
        <v>Mumbai-HO</v>
      </c>
      <c r="M4527" s="13" t="str">
        <f t="shared" si="3"/>
        <v>OK</v>
      </c>
      <c r="N4527" s="18" t="str">
        <f t="shared" si="4"/>
        <v>VALID</v>
      </c>
    </row>
    <row r="4528" ht="15.75" customHeight="1">
      <c r="A4528" s="13" t="str">
        <f>Raw_Data!A4528</f>
        <v>EMP4771</v>
      </c>
      <c r="B4528" s="13" t="str">
        <f>TRIM(CLEAN(Raw_Data!B4528))</f>
        <v>HR</v>
      </c>
      <c r="C4528" s="18" t="s">
        <v>14</v>
      </c>
      <c r="D4528" s="14" t="str">
        <f>IF(ISBLANK(Raw_Data!D4528),AVERAGE(Raw_Data!D$2:D$5002),Raw_Data!D4528)</f>
        <v>107124.17</v>
      </c>
      <c r="E4528" s="15" t="str">
        <f>IF(ISBLANK(Raw_Data!E4528),AVERAGE(Raw_Data!E$2:E$5002),Raw_Data!E4528)</f>
        <v>27748.85</v>
      </c>
      <c r="F4528" s="15" t="str">
        <f>IF(ISBLANK(Raw_Data!F4528),AVERAGE(Raw_Data!F$2:F$5002),Raw_Data!F4528)</f>
        <v>36812.55</v>
      </c>
      <c r="G4528" s="14" t="str">
        <f>IF(ISBLANK(Raw_Data!G4528),AVERAGE(Raw_Data!G$2:G$5002),Raw_Data!G4528)</f>
        <v>19532.37</v>
      </c>
      <c r="H4528" s="15" t="str">
        <f t="shared" si="1"/>
        <v>171686.00</v>
      </c>
      <c r="I4528" s="14" t="str">
        <f t="shared" si="2"/>
        <v>152154.00</v>
      </c>
      <c r="J4528" s="16" t="str">
        <f>TEXT(Raw_Data!J4528,"MMM-YYY")</f>
        <v>Dec-2025</v>
      </c>
      <c r="K4528" s="13" t="str">
        <f>Raw_Data!K4528</f>
        <v>9</v>
      </c>
      <c r="L4528" s="17" t="str">
        <f>Raw_Data!L4528</f>
        <v>Delhi-North</v>
      </c>
      <c r="M4528" s="13" t="str">
        <f t="shared" si="3"/>
        <v>OK</v>
      </c>
      <c r="N4528" s="18" t="str">
        <f t="shared" si="4"/>
        <v>VALID</v>
      </c>
    </row>
    <row r="4529" ht="15.75" customHeight="1">
      <c r="A4529" s="13" t="str">
        <f>Raw_Data!A4529</f>
        <v>EMP4772</v>
      </c>
      <c r="B4529" s="13" t="str">
        <f>TRIM(CLEAN(Raw_Data!B4529))</f>
        <v>Operations</v>
      </c>
      <c r="C4529" s="18" t="s">
        <v>33</v>
      </c>
      <c r="D4529" s="14" t="str">
        <f>IF(ISBLANK(Raw_Data!D4529),AVERAGE(Raw_Data!D$2:D$5002),Raw_Data!D4529)</f>
        <v>92780.70</v>
      </c>
      <c r="E4529" s="15" t="str">
        <f>IF(ISBLANK(Raw_Data!E4529),AVERAGE(Raw_Data!E$2:E$5002),Raw_Data!E4529)</f>
        <v>19913.20</v>
      </c>
      <c r="F4529" s="15" t="str">
        <f>IF(ISBLANK(Raw_Data!F4529),AVERAGE(Raw_Data!F$2:F$5002),Raw_Data!F4529)</f>
        <v>36820.23</v>
      </c>
      <c r="G4529" s="14" t="str">
        <f>IF(ISBLANK(Raw_Data!G4529),AVERAGE(Raw_Data!G$2:G$5002),Raw_Data!G4529)</f>
        <v>9599.71</v>
      </c>
      <c r="H4529" s="15" t="str">
        <f t="shared" si="1"/>
        <v>149514.00</v>
      </c>
      <c r="I4529" s="14" t="str">
        <f t="shared" si="2"/>
        <v>139914.00</v>
      </c>
      <c r="J4529" s="16" t="str">
        <f>TEXT(Raw_Data!J4529,"MMM-YYY")</f>
        <v>Aug-2025</v>
      </c>
      <c r="K4529" s="13" t="str">
        <f>Raw_Data!K4529</f>
        <v>23</v>
      </c>
      <c r="L4529" s="17" t="str">
        <f>Raw_Data!L4529</f>
        <v>Bangalore-South</v>
      </c>
      <c r="M4529" s="13" t="str">
        <f t="shared" si="3"/>
        <v>OK</v>
      </c>
      <c r="N4529" s="18" t="str">
        <f t="shared" si="4"/>
        <v>VALID</v>
      </c>
    </row>
    <row r="4530" ht="15.75" customHeight="1">
      <c r="A4530" s="13" t="str">
        <f>Raw_Data!A4530</f>
        <v>EMP4773</v>
      </c>
      <c r="B4530" s="13" t="str">
        <f>TRIM(CLEAN(Raw_Data!B4530))</f>
        <v>Operations</v>
      </c>
      <c r="C4530" s="18" t="s">
        <v>26</v>
      </c>
      <c r="D4530" s="14" t="str">
        <f>IF(ISBLANK(Raw_Data!D4530),AVERAGE(Raw_Data!D$2:D$5002),Raw_Data!D4530)</f>
        <v>88186.65</v>
      </c>
      <c r="E4530" s="15" t="str">
        <f>IF(ISBLANK(Raw_Data!E4530),AVERAGE(Raw_Data!E$2:E$5002),Raw_Data!E4530)</f>
        <v>27336.40</v>
      </c>
      <c r="F4530" s="15" t="str">
        <f>IF(ISBLANK(Raw_Data!F4530),AVERAGE(Raw_Data!F$2:F$5002),Raw_Data!F4530)</f>
        <v>36827.91</v>
      </c>
      <c r="G4530" s="14" t="str">
        <f>IF(ISBLANK(Raw_Data!G4530),AVERAGE(Raw_Data!G$2:G$5002),Raw_Data!G4530)</f>
        <v>1465.06</v>
      </c>
      <c r="H4530" s="15" t="str">
        <f t="shared" si="1"/>
        <v>152351.00</v>
      </c>
      <c r="I4530" s="14" t="str">
        <f t="shared" si="2"/>
        <v>150886.00</v>
      </c>
      <c r="J4530" s="16" t="str">
        <f>TEXT(Raw_Data!J4530,"MMM-YYY")</f>
        <v>Jul-2025</v>
      </c>
      <c r="K4530" s="13" t="str">
        <f>Raw_Data!K4530</f>
        <v>23</v>
      </c>
      <c r="L4530" s="17" t="str">
        <f>Raw_Data!L4530</f>
        <v>Chennai-South</v>
      </c>
      <c r="M4530" s="13" t="str">
        <f t="shared" si="3"/>
        <v>OK</v>
      </c>
      <c r="N4530" s="18" t="str">
        <f t="shared" si="4"/>
        <v>VALID</v>
      </c>
    </row>
    <row r="4531" ht="15.75" customHeight="1">
      <c r="A4531" s="13" t="str">
        <f>Raw_Data!A4531</f>
        <v>EMP4774</v>
      </c>
      <c r="B4531" s="13" t="str">
        <f>TRIM(CLEAN(Raw_Data!B4531))</f>
        <v>Operations</v>
      </c>
      <c r="C4531" s="18" t="s">
        <v>37</v>
      </c>
      <c r="D4531" s="14" t="str">
        <f>IF(ISBLANK(Raw_Data!D4531),AVERAGE(Raw_Data!D$2:D$5002),Raw_Data!D4531)</f>
        <v>88760.83</v>
      </c>
      <c r="E4531" s="15" t="str">
        <f>IF(ISBLANK(Raw_Data!E4531),AVERAGE(Raw_Data!E$2:E$5002),Raw_Data!E4531)</f>
        <v>6212.07</v>
      </c>
      <c r="F4531" s="15" t="str">
        <f>IF(ISBLANK(Raw_Data!F4531),AVERAGE(Raw_Data!F$2:F$5002),Raw_Data!F4531)</f>
        <v>36835.59</v>
      </c>
      <c r="G4531" s="14" t="str">
        <f>IF(ISBLANK(Raw_Data!G4531),AVERAGE(Raw_Data!G$2:G$5002),Raw_Data!G4531)</f>
        <v>9399.53</v>
      </c>
      <c r="H4531" s="15" t="str">
        <f t="shared" si="1"/>
        <v>131808.00</v>
      </c>
      <c r="I4531" s="14" t="str">
        <f t="shared" si="2"/>
        <v>122408.00</v>
      </c>
      <c r="J4531" s="16" t="str">
        <f>TEXT(Raw_Data!J4531,"MMM-YYY")</f>
        <v>Nov-2025</v>
      </c>
      <c r="K4531" s="13" t="str">
        <f>Raw_Data!K4531</f>
        <v>19</v>
      </c>
      <c r="L4531" s="17" t="str">
        <f>Raw_Data!L4531</f>
        <v>Kolkata-East</v>
      </c>
      <c r="M4531" s="13" t="str">
        <f t="shared" si="3"/>
        <v>OK</v>
      </c>
      <c r="N4531" s="18" t="str">
        <f t="shared" si="4"/>
        <v>VALID</v>
      </c>
    </row>
    <row r="4532" ht="15.75" customHeight="1">
      <c r="A4532" s="13" t="str">
        <f>Raw_Data!A4532</f>
        <v>EMP4775</v>
      </c>
      <c r="B4532" s="13" t="str">
        <f>TRIM(CLEAN(Raw_Data!B4532))</f>
        <v>Marketing</v>
      </c>
      <c r="C4532" s="18" t="s">
        <v>18</v>
      </c>
      <c r="D4532" s="14" t="str">
        <f>IF(ISBLANK(Raw_Data!D4532),AVERAGE(Raw_Data!D$2:D$5002),Raw_Data!D4532)</f>
        <v>52746.57</v>
      </c>
      <c r="E4532" s="15" t="str">
        <f>IF(ISBLANK(Raw_Data!E4532),AVERAGE(Raw_Data!E$2:E$5002),Raw_Data!E4532)</f>
        <v>33294.04</v>
      </c>
      <c r="F4532" s="15" t="str">
        <f>IF(ISBLANK(Raw_Data!F4532),AVERAGE(Raw_Data!F$2:F$5002),Raw_Data!F4532)</f>
        <v>36843.27</v>
      </c>
      <c r="G4532" s="14" t="str">
        <f>IF(ISBLANK(Raw_Data!G4532),AVERAGE(Raw_Data!G$2:G$5002),Raw_Data!G4532)</f>
        <v>15460.75</v>
      </c>
      <c r="H4532" s="15" t="str">
        <f t="shared" si="1"/>
        <v>122884.00</v>
      </c>
      <c r="I4532" s="14" t="str">
        <f t="shared" si="2"/>
        <v>107423.00</v>
      </c>
      <c r="J4532" s="16" t="str">
        <f>TEXT(Raw_Data!J4532,"MMM-YYY")</f>
        <v>May-2025</v>
      </c>
      <c r="K4532" s="13" t="str">
        <f>Raw_Data!K4532</f>
        <v>19</v>
      </c>
      <c r="L4532" s="17" t="str">
        <f>Raw_Data!L4532</f>
        <v>Pune-West</v>
      </c>
      <c r="M4532" s="13" t="str">
        <f t="shared" si="3"/>
        <v>OK</v>
      </c>
      <c r="N4532" s="18" t="str">
        <f t="shared" si="4"/>
        <v>VALID</v>
      </c>
    </row>
    <row r="4533" ht="15.75" customHeight="1">
      <c r="A4533" s="13" t="str">
        <f>Raw_Data!A4533</f>
        <v>EMP4776</v>
      </c>
      <c r="B4533" s="13" t="str">
        <f>TRIM(CLEAN(Raw_Data!B4533))</f>
        <v>IT</v>
      </c>
      <c r="C4533" s="18" t="s">
        <v>18</v>
      </c>
      <c r="D4533" s="14" t="str">
        <f>IF(ISBLANK(Raw_Data!D4533),AVERAGE(Raw_Data!D$2:D$5002),Raw_Data!D4533)</f>
        <v>45827.14</v>
      </c>
      <c r="E4533" s="15" t="str">
        <f>IF(ISBLANK(Raw_Data!E4533),AVERAGE(Raw_Data!E$2:E$5002),Raw_Data!E4533)</f>
        <v>37858.14</v>
      </c>
      <c r="F4533" s="15" t="str">
        <f>IF(ISBLANK(Raw_Data!F4533),AVERAGE(Raw_Data!F$2:F$5002),Raw_Data!F4533)</f>
        <v>36850.95</v>
      </c>
      <c r="G4533" s="14" t="str">
        <f>IF(ISBLANK(Raw_Data!G4533),AVERAGE(Raw_Data!G$2:G$5002),Raw_Data!G4533)</f>
        <v>3421.63</v>
      </c>
      <c r="H4533" s="15" t="str">
        <f t="shared" si="1"/>
        <v>120536.00</v>
      </c>
      <c r="I4533" s="14" t="str">
        <f t="shared" si="2"/>
        <v>117114.00</v>
      </c>
      <c r="J4533" s="16" t="str">
        <f>TEXT(Raw_Data!J4533,"MMM-YYY")</f>
        <v>Jun-2025</v>
      </c>
      <c r="K4533" s="13" t="str">
        <f>Raw_Data!K4533</f>
        <v>9</v>
      </c>
      <c r="L4533" s="17" t="str">
        <f>Raw_Data!L4533</f>
        <v>Hyderabad-South</v>
      </c>
      <c r="M4533" s="13" t="str">
        <f t="shared" si="3"/>
        <v>OK</v>
      </c>
      <c r="N4533" s="18" t="str">
        <f t="shared" si="4"/>
        <v>VALID</v>
      </c>
    </row>
    <row r="4534" ht="15.75" customHeight="1">
      <c r="A4534" s="13" t="str">
        <f>Raw_Data!A4534</f>
        <v>EMP4777</v>
      </c>
      <c r="B4534" s="13" t="str">
        <f>TRIM(CLEAN(Raw_Data!B4534))</f>
        <v>Customer Support</v>
      </c>
      <c r="C4534" s="18" t="s">
        <v>33</v>
      </c>
      <c r="D4534" s="14" t="str">
        <f>IF(ISBLANK(Raw_Data!D4534),AVERAGE(Raw_Data!D$2:D$5002),Raw_Data!D4534)</f>
        <v>71831.17</v>
      </c>
      <c r="E4534" s="15" t="str">
        <f>IF(ISBLANK(Raw_Data!E4534),AVERAGE(Raw_Data!E$2:E$5002),Raw_Data!E4534)</f>
        <v>27355.55</v>
      </c>
      <c r="F4534" s="15" t="str">
        <f>IF(ISBLANK(Raw_Data!F4534),AVERAGE(Raw_Data!F$2:F$5002),Raw_Data!F4534)</f>
        <v>36858.63</v>
      </c>
      <c r="G4534" s="14" t="str">
        <f>IF(ISBLANK(Raw_Data!G4534),AVERAGE(Raw_Data!G$2:G$5002),Raw_Data!G4534)</f>
        <v>23138.85</v>
      </c>
      <c r="H4534" s="15" t="str">
        <f t="shared" si="1"/>
        <v>136045.00</v>
      </c>
      <c r="I4534" s="14" t="str">
        <f t="shared" si="2"/>
        <v>112906.00</v>
      </c>
      <c r="J4534" s="16" t="str">
        <f>TEXT(Raw_Data!J4534,"MMM-YYY")</f>
        <v>Nov-2025</v>
      </c>
      <c r="K4534" s="13" t="str">
        <f>Raw_Data!K4534</f>
        <v>12</v>
      </c>
      <c r="L4534" s="17" t="str">
        <f>Raw_Data!L4534</f>
        <v>Chandigarh-North</v>
      </c>
      <c r="M4534" s="13" t="str">
        <f t="shared" si="3"/>
        <v>OK</v>
      </c>
      <c r="N4534" s="18" t="str">
        <f t="shared" si="4"/>
        <v>VALID</v>
      </c>
    </row>
    <row r="4535" ht="15.75" customHeight="1">
      <c r="A4535" s="13" t="str">
        <f>Raw_Data!A4535</f>
        <v>EMP4778</v>
      </c>
      <c r="B4535" s="13" t="str">
        <f>TRIM(CLEAN(Raw_Data!B4535))</f>
        <v>IT</v>
      </c>
      <c r="C4535" s="18" t="s">
        <v>54</v>
      </c>
      <c r="D4535" s="14" t="str">
        <f>IF(ISBLANK(Raw_Data!D4535),AVERAGE(Raw_Data!D$2:D$5002),Raw_Data!D4535)</f>
        <v>100061.91</v>
      </c>
      <c r="E4535" s="15" t="str">
        <f>IF(ISBLANK(Raw_Data!E4535),AVERAGE(Raw_Data!E$2:E$5002),Raw_Data!E4535)</f>
        <v>38364.37</v>
      </c>
      <c r="F4535" s="15" t="str">
        <f>IF(ISBLANK(Raw_Data!F4535),AVERAGE(Raw_Data!F$2:F$5002),Raw_Data!F4535)</f>
        <v>36866.31</v>
      </c>
      <c r="G4535" s="14" t="str">
        <f>IF(ISBLANK(Raw_Data!G4535),AVERAGE(Raw_Data!G$2:G$5002),Raw_Data!G4535)</f>
        <v>2402.97</v>
      </c>
      <c r="H4535" s="15" t="str">
        <f t="shared" si="1"/>
        <v>175293.00</v>
      </c>
      <c r="I4535" s="14" t="str">
        <f t="shared" si="2"/>
        <v>172890.00</v>
      </c>
      <c r="J4535" s="16" t="str">
        <f>TEXT(Raw_Data!J4535,"MMM-YYY")</f>
        <v>May-2025</v>
      </c>
      <c r="K4535" s="13" t="str">
        <f>Raw_Data!K4535</f>
        <v>23</v>
      </c>
      <c r="L4535" s="17" t="str">
        <f>Raw_Data!L4535</f>
        <v>Ahmedabad-West</v>
      </c>
      <c r="M4535" s="13" t="str">
        <f t="shared" si="3"/>
        <v>OK</v>
      </c>
      <c r="N4535" s="18" t="str">
        <f t="shared" si="4"/>
        <v>VALID</v>
      </c>
    </row>
    <row r="4536" ht="15.75" customHeight="1">
      <c r="A4536" s="13" t="str">
        <f>Raw_Data!A4536</f>
        <v>EMP4779</v>
      </c>
      <c r="B4536" s="13" t="str">
        <f>TRIM(CLEAN(Raw_Data!B4536))</f>
        <v>HR</v>
      </c>
      <c r="C4536" s="18" t="s">
        <v>33</v>
      </c>
      <c r="D4536" s="14" t="str">
        <f>IF(ISBLANK(Raw_Data!D4536),AVERAGE(Raw_Data!D$2:D$5002),Raw_Data!D4536)</f>
        <v>106042.59</v>
      </c>
      <c r="E4536" s="15" t="str">
        <f>IF(ISBLANK(Raw_Data!E4536),AVERAGE(Raw_Data!E$2:E$5002),Raw_Data!E4536)</f>
        <v>9451.56</v>
      </c>
      <c r="F4536" s="15" t="str">
        <f>IF(ISBLANK(Raw_Data!F4536),AVERAGE(Raw_Data!F$2:F$5002),Raw_Data!F4536)</f>
        <v>36873.99</v>
      </c>
      <c r="G4536" s="14" t="str">
        <f>IF(ISBLANK(Raw_Data!G4536),AVERAGE(Raw_Data!G$2:G$5002),Raw_Data!G4536)</f>
        <v>23285.16</v>
      </c>
      <c r="H4536" s="15" t="str">
        <f t="shared" si="1"/>
        <v>152368.00</v>
      </c>
      <c r="I4536" s="14" t="str">
        <f t="shared" si="2"/>
        <v>129083.00</v>
      </c>
      <c r="J4536" s="16" t="str">
        <f>TEXT(Raw_Data!J4536,"MMM-YYY")</f>
        <v>Dec-2025</v>
      </c>
      <c r="K4536" s="13" t="str">
        <f>Raw_Data!K4536</f>
        <v>22</v>
      </c>
      <c r="L4536" s="17" t="str">
        <f>Raw_Data!L4536</f>
        <v>Jaipur-North</v>
      </c>
      <c r="M4536" s="13" t="str">
        <f t="shared" si="3"/>
        <v>OK</v>
      </c>
      <c r="N4536" s="18" t="str">
        <f t="shared" si="4"/>
        <v>VALID</v>
      </c>
    </row>
    <row r="4537" ht="15.75" customHeight="1">
      <c r="A4537" s="13" t="str">
        <f>Raw_Data!A4537</f>
        <v>EMP4780</v>
      </c>
      <c r="B4537" s="13" t="str">
        <f>TRIM(CLEAN(Raw_Data!B4537))</f>
        <v>Operations</v>
      </c>
      <c r="C4537" s="18" t="s">
        <v>18</v>
      </c>
      <c r="D4537" s="14" t="str">
        <f>IF(ISBLANK(Raw_Data!D4537),AVERAGE(Raw_Data!D$2:D$5002),Raw_Data!D4537)</f>
        <v>110890.26</v>
      </c>
      <c r="E4537" s="15" t="str">
        <f>IF(ISBLANK(Raw_Data!E4537),AVERAGE(Raw_Data!E$2:E$5002),Raw_Data!E4537)</f>
        <v>21186.98</v>
      </c>
      <c r="F4537" s="15" t="str">
        <f>IF(ISBLANK(Raw_Data!F4537),AVERAGE(Raw_Data!F$2:F$5002),Raw_Data!F4537)</f>
        <v>36881.67</v>
      </c>
      <c r="G4537" s="14" t="str">
        <f>IF(ISBLANK(Raw_Data!G4537),AVERAGE(Raw_Data!G$2:G$5002),Raw_Data!G4537)</f>
        <v>14562.73</v>
      </c>
      <c r="H4537" s="15" t="str">
        <f t="shared" si="1"/>
        <v>168959.00</v>
      </c>
      <c r="I4537" s="14" t="str">
        <f t="shared" si="2"/>
        <v>154396.00</v>
      </c>
      <c r="J4537" s="16" t="str">
        <f>TEXT(Raw_Data!J4537,"MMM-YYY")</f>
        <v>Nov-2025</v>
      </c>
      <c r="K4537" s="13" t="str">
        <f>Raw_Data!K4537</f>
        <v>21</v>
      </c>
      <c r="L4537" s="17" t="str">
        <f>Raw_Data!L4537</f>
        <v>Mumbai-HO</v>
      </c>
      <c r="M4537" s="13" t="str">
        <f t="shared" si="3"/>
        <v>OK</v>
      </c>
      <c r="N4537" s="18" t="str">
        <f t="shared" si="4"/>
        <v>VALID</v>
      </c>
    </row>
    <row r="4538" ht="15.75" customHeight="1">
      <c r="A4538" s="13" t="str">
        <f>Raw_Data!A4538</f>
        <v>EMP4781</v>
      </c>
      <c r="B4538" s="13" t="str">
        <f>TRIM(CLEAN(Raw_Data!B4538))</f>
        <v>Operations</v>
      </c>
      <c r="C4538" s="18" t="s">
        <v>14</v>
      </c>
      <c r="D4538" s="14" t="str">
        <f>IF(ISBLANK(Raw_Data!D4538),AVERAGE(Raw_Data!D$2:D$5002),Raw_Data!D4538)</f>
        <v>68690.95</v>
      </c>
      <c r="E4538" s="15" t="str">
        <f>IF(ISBLANK(Raw_Data!E4538),AVERAGE(Raw_Data!E$2:E$5002),Raw_Data!E4538)</f>
        <v>25665.04</v>
      </c>
      <c r="F4538" s="15" t="str">
        <f>IF(ISBLANK(Raw_Data!F4538),AVERAGE(Raw_Data!F$2:F$5002),Raw_Data!F4538)</f>
        <v>36889.35</v>
      </c>
      <c r="G4538" s="14" t="str">
        <f>IF(ISBLANK(Raw_Data!G4538),AVERAGE(Raw_Data!G$2:G$5002),Raw_Data!G4538)</f>
        <v>8577.95</v>
      </c>
      <c r="H4538" s="15" t="str">
        <f t="shared" si="1"/>
        <v>131245.00</v>
      </c>
      <c r="I4538" s="14" t="str">
        <f t="shared" si="2"/>
        <v>122667.00</v>
      </c>
      <c r="J4538" s="16" t="str">
        <f>TEXT(Raw_Data!J4538,"MMM-YYY")</f>
        <v>Apr-2025</v>
      </c>
      <c r="K4538" s="13" t="str">
        <f>Raw_Data!K4538</f>
        <v>17</v>
      </c>
      <c r="L4538" s="17" t="str">
        <f>Raw_Data!L4538</f>
        <v>Delhi-North</v>
      </c>
      <c r="M4538" s="13" t="str">
        <f t="shared" si="3"/>
        <v>OK</v>
      </c>
      <c r="N4538" s="18" t="str">
        <f t="shared" si="4"/>
        <v>VALID</v>
      </c>
    </row>
    <row r="4539" ht="15.75" customHeight="1">
      <c r="A4539" s="13" t="str">
        <f>Raw_Data!A4539</f>
        <v>EMP4782</v>
      </c>
      <c r="B4539" s="13" t="str">
        <f>TRIM(CLEAN(Raw_Data!B4539))</f>
        <v>IT</v>
      </c>
      <c r="C4539" s="18" t="s">
        <v>26</v>
      </c>
      <c r="D4539" s="14" t="str">
        <f>IF(ISBLANK(Raw_Data!D4539),AVERAGE(Raw_Data!D$2:D$5002),Raw_Data!D4539)</f>
        <v>67659.21</v>
      </c>
      <c r="E4539" s="15" t="str">
        <f>IF(ISBLANK(Raw_Data!E4539),AVERAGE(Raw_Data!E$2:E$5002),Raw_Data!E4539)</f>
        <v>24942.52</v>
      </c>
      <c r="F4539" s="15" t="str">
        <f>IF(ISBLANK(Raw_Data!F4539),AVERAGE(Raw_Data!F$2:F$5002),Raw_Data!F4539)</f>
        <v>36897.03</v>
      </c>
      <c r="G4539" s="14" t="str">
        <f>IF(ISBLANK(Raw_Data!G4539),AVERAGE(Raw_Data!G$2:G$5002),Raw_Data!G4539)</f>
        <v>10073.38</v>
      </c>
      <c r="H4539" s="15" t="str">
        <f t="shared" si="1"/>
        <v>129499.00</v>
      </c>
      <c r="I4539" s="14" t="str">
        <f t="shared" si="2"/>
        <v>119426.00</v>
      </c>
      <c r="J4539" s="16" t="str">
        <f>TEXT(Raw_Data!J4539,"MMM-YYY")</f>
        <v>Feb-2025</v>
      </c>
      <c r="K4539" s="13" t="str">
        <f>Raw_Data!K4539</f>
        <v>13</v>
      </c>
      <c r="L4539" s="17" t="str">
        <f>Raw_Data!L4539</f>
        <v>Bangalore-South</v>
      </c>
      <c r="M4539" s="13" t="str">
        <f t="shared" si="3"/>
        <v>OK</v>
      </c>
      <c r="N4539" s="18" t="str">
        <f t="shared" si="4"/>
        <v>VALID</v>
      </c>
    </row>
    <row r="4540" ht="15.75" customHeight="1">
      <c r="A4540" s="13" t="str">
        <f>Raw_Data!A4540</f>
        <v>EMP4783</v>
      </c>
      <c r="B4540" s="13" t="str">
        <f>TRIM(CLEAN(Raw_Data!B4540))</f>
        <v>Marketing</v>
      </c>
      <c r="C4540" s="18" t="s">
        <v>37</v>
      </c>
      <c r="D4540" s="14" t="str">
        <f>IF(ISBLANK(Raw_Data!D4540),AVERAGE(Raw_Data!D$2:D$5002),Raw_Data!D4540)</f>
        <v>98820.99</v>
      </c>
      <c r="E4540" s="15" t="str">
        <f>IF(ISBLANK(Raw_Data!E4540),AVERAGE(Raw_Data!E$2:E$5002),Raw_Data!E4540)</f>
        <v>18452.62</v>
      </c>
      <c r="F4540" s="15" t="str">
        <f>IF(ISBLANK(Raw_Data!F4540),AVERAGE(Raw_Data!F$2:F$5002),Raw_Data!F4540)</f>
        <v>36904.71</v>
      </c>
      <c r="G4540" s="14" t="str">
        <f>IF(ISBLANK(Raw_Data!G4540),AVERAGE(Raw_Data!G$2:G$5002),Raw_Data!G4540)</f>
        <v>18649.83</v>
      </c>
      <c r="H4540" s="15" t="str">
        <f t="shared" si="1"/>
        <v>154178.00</v>
      </c>
      <c r="I4540" s="14" t="str">
        <f t="shared" si="2"/>
        <v>135528.00</v>
      </c>
      <c r="J4540" s="16" t="str">
        <f>TEXT(Raw_Data!J4540,"MMM-YYY")</f>
        <v>Dec-2025</v>
      </c>
      <c r="K4540" s="13" t="str">
        <f>Raw_Data!K4540</f>
        <v>4</v>
      </c>
      <c r="L4540" s="17" t="str">
        <f>Raw_Data!L4540</f>
        <v>Chennai-South</v>
      </c>
      <c r="M4540" s="13" t="str">
        <f t="shared" si="3"/>
        <v>OK</v>
      </c>
      <c r="N4540" s="18" t="str">
        <f t="shared" si="4"/>
        <v>VALID</v>
      </c>
    </row>
    <row r="4541" ht="15.75" customHeight="1">
      <c r="A4541" s="13" t="str">
        <f>Raw_Data!A4541</f>
        <v>EMP4784</v>
      </c>
      <c r="B4541" s="13" t="str">
        <f>TRIM(CLEAN(Raw_Data!B4541))</f>
        <v>Marketing</v>
      </c>
      <c r="C4541" s="18" t="s">
        <v>14</v>
      </c>
      <c r="D4541" s="14" t="str">
        <f>IF(ISBLANK(Raw_Data!D4541),AVERAGE(Raw_Data!D$2:D$5002),Raw_Data!D4541)</f>
        <v>83246.21</v>
      </c>
      <c r="E4541" s="15" t="str">
        <f>IF(ISBLANK(Raw_Data!E4541),AVERAGE(Raw_Data!E$2:E$5002),Raw_Data!E4541)</f>
        <v>16171.04</v>
      </c>
      <c r="F4541" s="15" t="str">
        <f>IF(ISBLANK(Raw_Data!F4541),AVERAGE(Raw_Data!F$2:F$5002),Raw_Data!F4541)</f>
        <v>36912.39</v>
      </c>
      <c r="G4541" s="14" t="str">
        <f>IF(ISBLANK(Raw_Data!G4541),AVERAGE(Raw_Data!G$2:G$5002),Raw_Data!G4541)</f>
        <v>15236.04</v>
      </c>
      <c r="H4541" s="15" t="str">
        <f t="shared" si="1"/>
        <v>136330.00</v>
      </c>
      <c r="I4541" s="14" t="str">
        <f t="shared" si="2"/>
        <v>121094.00</v>
      </c>
      <c r="J4541" s="16" t="str">
        <f>TEXT(Raw_Data!J4541,"MMM-YYY")</f>
        <v>Oct-2025</v>
      </c>
      <c r="K4541" s="13" t="str">
        <f>Raw_Data!K4541</f>
        <v>12</v>
      </c>
      <c r="L4541" s="17" t="str">
        <f>Raw_Data!L4541</f>
        <v>Kolkata-East</v>
      </c>
      <c r="M4541" s="13" t="str">
        <f t="shared" si="3"/>
        <v>OK</v>
      </c>
      <c r="N4541" s="18" t="str">
        <f t="shared" si="4"/>
        <v>VALID</v>
      </c>
    </row>
    <row r="4542" ht="15.75" customHeight="1">
      <c r="A4542" s="13" t="str">
        <f>Raw_Data!A4542</f>
        <v>EMP4785</v>
      </c>
      <c r="B4542" s="13" t="str">
        <f>TRIM(CLEAN(Raw_Data!B4542))</f>
        <v>Marketing</v>
      </c>
      <c r="C4542" s="18" t="s">
        <v>18</v>
      </c>
      <c r="D4542" s="14" t="str">
        <f>IF(ISBLANK(Raw_Data!D4542),AVERAGE(Raw_Data!D$2:D$5002),Raw_Data!D4542)</f>
        <v>88706.52</v>
      </c>
      <c r="E4542" s="15" t="str">
        <f>IF(ISBLANK(Raw_Data!E4542),AVERAGE(Raw_Data!E$2:E$5002),Raw_Data!E4542)</f>
        <v>8565.66</v>
      </c>
      <c r="F4542" s="15" t="str">
        <f>IF(ISBLANK(Raw_Data!F4542),AVERAGE(Raw_Data!F$2:F$5002),Raw_Data!F4542)</f>
        <v>36920.07</v>
      </c>
      <c r="G4542" s="14" t="str">
        <f>IF(ISBLANK(Raw_Data!G4542),AVERAGE(Raw_Data!G$2:G$5002),Raw_Data!G4542)</f>
        <v>16955.25</v>
      </c>
      <c r="H4542" s="15" t="str">
        <f t="shared" si="1"/>
        <v>134192.00</v>
      </c>
      <c r="I4542" s="14" t="str">
        <f t="shared" si="2"/>
        <v>117237.00</v>
      </c>
      <c r="J4542" s="16" t="str">
        <f>TEXT(Raw_Data!J4542,"MMM-YYY")</f>
        <v>Mar-2025</v>
      </c>
      <c r="K4542" s="13" t="str">
        <f>Raw_Data!K4542</f>
        <v>9</v>
      </c>
      <c r="L4542" s="17" t="str">
        <f>Raw_Data!L4542</f>
        <v>Pune-West</v>
      </c>
      <c r="M4542" s="13" t="str">
        <f t="shared" si="3"/>
        <v>OK</v>
      </c>
      <c r="N4542" s="18" t="str">
        <f t="shared" si="4"/>
        <v>VALID</v>
      </c>
    </row>
    <row r="4543" ht="15.75" customHeight="1">
      <c r="A4543" s="13" t="str">
        <f>Raw_Data!A4543</f>
        <v>EMP4786</v>
      </c>
      <c r="B4543" s="13" t="str">
        <f>TRIM(CLEAN(Raw_Data!B4543))</f>
        <v>IT</v>
      </c>
      <c r="C4543" s="18" t="s">
        <v>14</v>
      </c>
      <c r="D4543" s="14" t="str">
        <f>IF(ISBLANK(Raw_Data!D4543),AVERAGE(Raw_Data!D$2:D$5002),Raw_Data!D4543)</f>
        <v>98558.23</v>
      </c>
      <c r="E4543" s="15" t="str">
        <f>IF(ISBLANK(Raw_Data!E4543),AVERAGE(Raw_Data!E$2:E$5002),Raw_Data!E4543)</f>
        <v>18102.73</v>
      </c>
      <c r="F4543" s="15" t="str">
        <f>IF(ISBLANK(Raw_Data!F4543),AVERAGE(Raw_Data!F$2:F$5002),Raw_Data!F4543)</f>
        <v>36927.75</v>
      </c>
      <c r="G4543" s="14" t="str">
        <f>IF(ISBLANK(Raw_Data!G4543),AVERAGE(Raw_Data!G$2:G$5002),Raw_Data!G4543)</f>
        <v>10034.53</v>
      </c>
      <c r="H4543" s="15" t="str">
        <f t="shared" si="1"/>
        <v>153589.00</v>
      </c>
      <c r="I4543" s="14" t="str">
        <f t="shared" si="2"/>
        <v>143554.00</v>
      </c>
      <c r="J4543" s="16" t="str">
        <f>TEXT(Raw_Data!J4543,"MMM-YYY")</f>
        <v>Aug-2025</v>
      </c>
      <c r="K4543" s="13" t="str">
        <f>Raw_Data!K4543</f>
        <v>4</v>
      </c>
      <c r="L4543" s="17" t="str">
        <f>Raw_Data!L4543</f>
        <v>Hyderabad-South</v>
      </c>
      <c r="M4543" s="13" t="str">
        <f t="shared" si="3"/>
        <v>OK</v>
      </c>
      <c r="N4543" s="18" t="str">
        <f t="shared" si="4"/>
        <v>VALID</v>
      </c>
    </row>
    <row r="4544" ht="15.75" customHeight="1">
      <c r="A4544" s="13" t="str">
        <f>Raw_Data!A4544</f>
        <v>EMP4787</v>
      </c>
      <c r="B4544" s="13" t="str">
        <f>TRIM(CLEAN(Raw_Data!B4544))</f>
        <v>Customer Support</v>
      </c>
      <c r="C4544" s="18" t="s">
        <v>54</v>
      </c>
      <c r="D4544" s="14" t="str">
        <f>IF(ISBLANK(Raw_Data!D4544),AVERAGE(Raw_Data!D$2:D$5002),Raw_Data!D4544)</f>
        <v>108450.56</v>
      </c>
      <c r="E4544" s="15" t="str">
        <f>IF(ISBLANK(Raw_Data!E4544),AVERAGE(Raw_Data!E$2:E$5002),Raw_Data!E4544)</f>
        <v>9855.79</v>
      </c>
      <c r="F4544" s="15" t="str">
        <f>IF(ISBLANK(Raw_Data!F4544),AVERAGE(Raw_Data!F$2:F$5002),Raw_Data!F4544)</f>
        <v>36935.43</v>
      </c>
      <c r="G4544" s="14" t="str">
        <f>IF(ISBLANK(Raw_Data!G4544),AVERAGE(Raw_Data!G$2:G$5002),Raw_Data!G4544)</f>
        <v>12451.43</v>
      </c>
      <c r="H4544" s="15" t="str">
        <f t="shared" si="1"/>
        <v>155242.00</v>
      </c>
      <c r="I4544" s="14" t="str">
        <f t="shared" si="2"/>
        <v>142791.00</v>
      </c>
      <c r="J4544" s="16" t="str">
        <f>TEXT(Raw_Data!J4544,"MMM-YYY")</f>
        <v>Apr-2025</v>
      </c>
      <c r="K4544" s="13" t="str">
        <f>Raw_Data!K4544</f>
        <v>10</v>
      </c>
      <c r="L4544" s="17" t="str">
        <f>Raw_Data!L4544</f>
        <v>Chandigarh-North</v>
      </c>
      <c r="M4544" s="13" t="str">
        <f t="shared" si="3"/>
        <v>OK</v>
      </c>
      <c r="N4544" s="18" t="str">
        <f t="shared" si="4"/>
        <v>VALID</v>
      </c>
    </row>
    <row r="4545" ht="15.75" customHeight="1">
      <c r="A4545" s="13" t="str">
        <f>Raw_Data!A4545</f>
        <v>EMP4788</v>
      </c>
      <c r="B4545" s="13" t="str">
        <f>TRIM(CLEAN(Raw_Data!B4545))</f>
        <v>IT</v>
      </c>
      <c r="C4545" s="18" t="s">
        <v>33</v>
      </c>
      <c r="D4545" s="14" t="str">
        <f>IF(ISBLANK(Raw_Data!D4545),AVERAGE(Raw_Data!D$2:D$5002),Raw_Data!D4545)</f>
        <v>50489.49</v>
      </c>
      <c r="E4545" s="15" t="str">
        <f>IF(ISBLANK(Raw_Data!E4545),AVERAGE(Raw_Data!E$2:E$5002),Raw_Data!E4545)</f>
        <v>30437.16</v>
      </c>
      <c r="F4545" s="15" t="str">
        <f>IF(ISBLANK(Raw_Data!F4545),AVERAGE(Raw_Data!F$2:F$5002),Raw_Data!F4545)</f>
        <v>36943.11</v>
      </c>
      <c r="G4545" s="14" t="str">
        <f>IF(ISBLANK(Raw_Data!G4545),AVERAGE(Raw_Data!G$2:G$5002),Raw_Data!G4545)</f>
        <v>24751.75</v>
      </c>
      <c r="H4545" s="15" t="str">
        <f t="shared" si="1"/>
        <v>117870.00</v>
      </c>
      <c r="I4545" s="14" t="str">
        <f t="shared" si="2"/>
        <v>93118.00</v>
      </c>
      <c r="J4545" s="16" t="str">
        <f>TEXT(Raw_Data!J4545,"MMM-YYY")</f>
        <v>Nov-2025</v>
      </c>
      <c r="K4545" s="13" t="str">
        <f>Raw_Data!K4545</f>
        <v>21</v>
      </c>
      <c r="L4545" s="17" t="str">
        <f>Raw_Data!L4545</f>
        <v>Ahmedabad-West</v>
      </c>
      <c r="M4545" s="13" t="str">
        <f t="shared" si="3"/>
        <v>OK</v>
      </c>
      <c r="N4545" s="18" t="str">
        <f t="shared" si="4"/>
        <v>VALID</v>
      </c>
    </row>
    <row r="4546" ht="15.75" customHeight="1">
      <c r="A4546" s="13" t="str">
        <f>Raw_Data!A4546</f>
        <v>EMP4789</v>
      </c>
      <c r="B4546" s="13" t="str">
        <f>TRIM(CLEAN(Raw_Data!B4546))</f>
        <v>Marketing</v>
      </c>
      <c r="C4546" s="18" t="s">
        <v>18</v>
      </c>
      <c r="D4546" s="14" t="str">
        <f>IF(ISBLANK(Raw_Data!D4546),AVERAGE(Raw_Data!D$2:D$5002),Raw_Data!D4546)</f>
        <v>54436.21</v>
      </c>
      <c r="E4546" s="15" t="str">
        <f>IF(ISBLANK(Raw_Data!E4546),AVERAGE(Raw_Data!E$2:E$5002),Raw_Data!E4546)</f>
        <v>11517.91</v>
      </c>
      <c r="F4546" s="15" t="str">
        <f>IF(ISBLANK(Raw_Data!F4546),AVERAGE(Raw_Data!F$2:F$5002),Raw_Data!F4546)</f>
        <v>36950.79</v>
      </c>
      <c r="G4546" s="14" t="str">
        <f>IF(ISBLANK(Raw_Data!G4546),AVERAGE(Raw_Data!G$2:G$5002),Raw_Data!G4546)</f>
        <v>5741.11</v>
      </c>
      <c r="H4546" s="15" t="str">
        <f t="shared" si="1"/>
        <v>102905.00</v>
      </c>
      <c r="I4546" s="14" t="str">
        <f t="shared" si="2"/>
        <v>97164.00</v>
      </c>
      <c r="J4546" s="16" t="str">
        <f>TEXT(Raw_Data!J4546,"MMM-YYY")</f>
        <v>Sep-2025</v>
      </c>
      <c r="K4546" s="13" t="str">
        <f>Raw_Data!K4546</f>
        <v>11</v>
      </c>
      <c r="L4546" s="17" t="str">
        <f>Raw_Data!L4546</f>
        <v>Jaipur-North</v>
      </c>
      <c r="M4546" s="13" t="str">
        <f t="shared" si="3"/>
        <v>OK</v>
      </c>
      <c r="N4546" s="18" t="str">
        <f t="shared" si="4"/>
        <v>VALID</v>
      </c>
    </row>
    <row r="4547" ht="15.75" customHeight="1">
      <c r="A4547" s="13" t="str">
        <f>Raw_Data!A4547</f>
        <v>EMP4790</v>
      </c>
      <c r="B4547" s="13" t="str">
        <f>TRIM(CLEAN(Raw_Data!B4547))</f>
        <v>Finance</v>
      </c>
      <c r="C4547" s="18" t="s">
        <v>26</v>
      </c>
      <c r="D4547" s="14" t="str">
        <f>IF(ISBLANK(Raw_Data!D4547),AVERAGE(Raw_Data!D$2:D$5002),Raw_Data!D4547)</f>
        <v>24868.10</v>
      </c>
      <c r="E4547" s="15" t="str">
        <f>IF(ISBLANK(Raw_Data!E4547),AVERAGE(Raw_Data!E$2:E$5002),Raw_Data!E4547)</f>
        <v>6108.35</v>
      </c>
      <c r="F4547" s="15" t="str">
        <f>IF(ISBLANK(Raw_Data!F4547),AVERAGE(Raw_Data!F$2:F$5002),Raw_Data!F4547)</f>
        <v>36958.47</v>
      </c>
      <c r="G4547" s="14" t="str">
        <f>IF(ISBLANK(Raw_Data!G4547),AVERAGE(Raw_Data!G$2:G$5002),Raw_Data!G4547)</f>
        <v>10737.48</v>
      </c>
      <c r="H4547" s="15" t="str">
        <f t="shared" si="1"/>
        <v>67935.00</v>
      </c>
      <c r="I4547" s="14" t="str">
        <f t="shared" si="2"/>
        <v>57198.00</v>
      </c>
      <c r="J4547" s="16" t="str">
        <f>TEXT(Raw_Data!J4547,"MMM-YYY")</f>
        <v>May-2025</v>
      </c>
      <c r="K4547" s="13" t="str">
        <f>Raw_Data!K4547</f>
        <v>23</v>
      </c>
      <c r="L4547" s="17" t="str">
        <f>Raw_Data!L4547</f>
        <v>Mumbai-HO</v>
      </c>
      <c r="M4547" s="13" t="str">
        <f t="shared" si="3"/>
        <v>OK</v>
      </c>
      <c r="N4547" s="18" t="str">
        <f t="shared" si="4"/>
        <v>VALID</v>
      </c>
    </row>
    <row r="4548" ht="15.75" customHeight="1">
      <c r="A4548" s="13" t="str">
        <f>Raw_Data!A4548</f>
        <v>EMP4791</v>
      </c>
      <c r="B4548" s="13" t="str">
        <f>TRIM(CLEAN(Raw_Data!B4548))</f>
        <v>Sales</v>
      </c>
      <c r="C4548" s="18" t="s">
        <v>37</v>
      </c>
      <c r="D4548" s="14" t="str">
        <f>IF(ISBLANK(Raw_Data!D4548),AVERAGE(Raw_Data!D$2:D$5002),Raw_Data!D4548)</f>
        <v>75719.41</v>
      </c>
      <c r="E4548" s="15" t="str">
        <f>IF(ISBLANK(Raw_Data!E4548),AVERAGE(Raw_Data!E$2:E$5002),Raw_Data!E4548)</f>
        <v>23885.18</v>
      </c>
      <c r="F4548" s="15" t="str">
        <f>IF(ISBLANK(Raw_Data!F4548),AVERAGE(Raw_Data!F$2:F$5002),Raw_Data!F4548)</f>
        <v>36966.15</v>
      </c>
      <c r="G4548" s="14" t="str">
        <f>IF(ISBLANK(Raw_Data!G4548),AVERAGE(Raw_Data!G$2:G$5002),Raw_Data!G4548)</f>
        <v>7649.67</v>
      </c>
      <c r="H4548" s="15" t="str">
        <f t="shared" si="1"/>
        <v>136571.00</v>
      </c>
      <c r="I4548" s="14" t="str">
        <f t="shared" si="2"/>
        <v>128921.00</v>
      </c>
      <c r="J4548" s="16" t="str">
        <f>TEXT(Raw_Data!J4548,"MMM-YYY")</f>
        <v>Dec-2025</v>
      </c>
      <c r="K4548" s="13" t="str">
        <f>Raw_Data!K4548</f>
        <v>2</v>
      </c>
      <c r="L4548" s="17" t="str">
        <f>Raw_Data!L4548</f>
        <v>Delhi-North</v>
      </c>
      <c r="M4548" s="13" t="str">
        <f t="shared" si="3"/>
        <v>OK</v>
      </c>
      <c r="N4548" s="18" t="str">
        <f t="shared" si="4"/>
        <v>VALID</v>
      </c>
    </row>
    <row r="4549" ht="15.75" customHeight="1">
      <c r="A4549" s="13" t="str">
        <f>Raw_Data!A4549</f>
        <v>EMP4792</v>
      </c>
      <c r="B4549" s="13" t="str">
        <f>TRIM(CLEAN(Raw_Data!B4549))</f>
        <v>HR</v>
      </c>
      <c r="C4549" s="18" t="s">
        <v>30</v>
      </c>
      <c r="D4549" s="14" t="str">
        <f>IF(ISBLANK(Raw_Data!D4549),AVERAGE(Raw_Data!D$2:D$5002),Raw_Data!D4549)</f>
        <v>18773.94</v>
      </c>
      <c r="E4549" s="15" t="str">
        <f>IF(ISBLANK(Raw_Data!E4549),AVERAGE(Raw_Data!E$2:E$5002),Raw_Data!E4549)</f>
        <v>25428.27</v>
      </c>
      <c r="F4549" s="15" t="str">
        <f>IF(ISBLANK(Raw_Data!F4549),AVERAGE(Raw_Data!F$2:F$5002),Raw_Data!F4549)</f>
        <v>36973.83</v>
      </c>
      <c r="G4549" s="14" t="str">
        <f>IF(ISBLANK(Raw_Data!G4549),AVERAGE(Raw_Data!G$2:G$5002),Raw_Data!G4549)</f>
        <v>19245.23</v>
      </c>
      <c r="H4549" s="15" t="str">
        <f t="shared" si="1"/>
        <v>81176.00</v>
      </c>
      <c r="I4549" s="14" t="str">
        <f t="shared" si="2"/>
        <v>61931.00</v>
      </c>
      <c r="J4549" s="16" t="str">
        <f>TEXT(Raw_Data!J4549,"MMM-YYY")</f>
        <v>May-2025</v>
      </c>
      <c r="K4549" s="13" t="str">
        <f>Raw_Data!K4549</f>
        <v>18</v>
      </c>
      <c r="L4549" s="17" t="str">
        <f>Raw_Data!L4549</f>
        <v>Bangalore-South</v>
      </c>
      <c r="M4549" s="13" t="str">
        <f t="shared" si="3"/>
        <v>OK</v>
      </c>
      <c r="N4549" s="18" t="str">
        <f t="shared" si="4"/>
        <v>VALID</v>
      </c>
    </row>
    <row r="4550" ht="15.75" customHeight="1">
      <c r="A4550" s="13" t="str">
        <f>Raw_Data!A4550</f>
        <v>EMP4793</v>
      </c>
      <c r="B4550" s="13" t="str">
        <f>TRIM(CLEAN(Raw_Data!B4550))</f>
        <v>Operations</v>
      </c>
      <c r="C4550" s="18" t="s">
        <v>37</v>
      </c>
      <c r="D4550" s="14" t="str">
        <f>IF(ISBLANK(Raw_Data!D4550),AVERAGE(Raw_Data!D$2:D$5002),Raw_Data!D4550)</f>
        <v>63887.79</v>
      </c>
      <c r="E4550" s="15" t="str">
        <f>IF(ISBLANK(Raw_Data!E4550),AVERAGE(Raw_Data!E$2:E$5002),Raw_Data!E4550)</f>
        <v>35388.87</v>
      </c>
      <c r="F4550" s="15" t="str">
        <f>IF(ISBLANK(Raw_Data!F4550),AVERAGE(Raw_Data!F$2:F$5002),Raw_Data!F4550)</f>
        <v>36981.51</v>
      </c>
      <c r="G4550" s="14" t="str">
        <f>IF(ISBLANK(Raw_Data!G4550),AVERAGE(Raw_Data!G$2:G$5002),Raw_Data!G4550)</f>
        <v>19218.31</v>
      </c>
      <c r="H4550" s="15" t="str">
        <f t="shared" si="1"/>
        <v>136258.00</v>
      </c>
      <c r="I4550" s="14" t="str">
        <f t="shared" si="2"/>
        <v>117040.00</v>
      </c>
      <c r="J4550" s="16" t="str">
        <f>TEXT(Raw_Data!J4550,"MMM-YYY")</f>
        <v>Apr-2025</v>
      </c>
      <c r="K4550" s="13" t="str">
        <f>Raw_Data!K4550</f>
        <v>1</v>
      </c>
      <c r="L4550" s="17" t="str">
        <f>Raw_Data!L4550</f>
        <v>Chennai-South</v>
      </c>
      <c r="M4550" s="13" t="str">
        <f t="shared" si="3"/>
        <v>OK</v>
      </c>
      <c r="N4550" s="18" t="str">
        <f t="shared" si="4"/>
        <v>VALID</v>
      </c>
    </row>
    <row r="4551" ht="15.75" customHeight="1">
      <c r="A4551" s="13" t="str">
        <f>Raw_Data!A4551</f>
        <v>EMP4794</v>
      </c>
      <c r="B4551" s="13" t="str">
        <f>TRIM(CLEAN(Raw_Data!B4551))</f>
        <v>Finance</v>
      </c>
      <c r="C4551" s="18" t="s">
        <v>54</v>
      </c>
      <c r="D4551" s="14" t="str">
        <f>IF(ISBLANK(Raw_Data!D4551),AVERAGE(Raw_Data!D$2:D$5002),Raw_Data!D4551)</f>
        <v>71977.69</v>
      </c>
      <c r="E4551" s="15" t="str">
        <f>IF(ISBLANK(Raw_Data!E4551),AVERAGE(Raw_Data!E$2:E$5002),Raw_Data!E4551)</f>
        <v>24771.34</v>
      </c>
      <c r="F4551" s="15" t="str">
        <f>IF(ISBLANK(Raw_Data!F4551),AVERAGE(Raw_Data!F$2:F$5002),Raw_Data!F4551)</f>
        <v>36989.19</v>
      </c>
      <c r="G4551" s="14" t="str">
        <f>IF(ISBLANK(Raw_Data!G4551),AVERAGE(Raw_Data!G$2:G$5002),Raw_Data!G4551)</f>
        <v>7664.91</v>
      </c>
      <c r="H4551" s="15" t="str">
        <f t="shared" si="1"/>
        <v>133738.00</v>
      </c>
      <c r="I4551" s="14" t="str">
        <f t="shared" si="2"/>
        <v>126073.00</v>
      </c>
      <c r="J4551" s="16" t="str">
        <f>TEXT(Raw_Data!J4551,"MMM-YYY")</f>
        <v>Jul-2025</v>
      </c>
      <c r="K4551" s="13" t="str">
        <f>Raw_Data!K4551</f>
        <v>21</v>
      </c>
      <c r="L4551" s="17" t="str">
        <f>Raw_Data!L4551</f>
        <v>Kolkata-East</v>
      </c>
      <c r="M4551" s="13" t="str">
        <f t="shared" si="3"/>
        <v>OK</v>
      </c>
      <c r="N4551" s="18" t="str">
        <f t="shared" si="4"/>
        <v>VALID</v>
      </c>
    </row>
    <row r="4552" ht="15.75" customHeight="1">
      <c r="A4552" s="13" t="str">
        <f>Raw_Data!A4552</f>
        <v>EMP4795</v>
      </c>
      <c r="B4552" s="13" t="str">
        <f>TRIM(CLEAN(Raw_Data!B4552))</f>
        <v>Sales</v>
      </c>
      <c r="C4552" s="18" t="s">
        <v>30</v>
      </c>
      <c r="D4552" s="14" t="str">
        <f>IF(ISBLANK(Raw_Data!D4552),AVERAGE(Raw_Data!D$2:D$5002),Raw_Data!D4552)</f>
        <v>45086.83</v>
      </c>
      <c r="E4552" s="15" t="str">
        <f>IF(ISBLANK(Raw_Data!E4552),AVERAGE(Raw_Data!E$2:E$5002),Raw_Data!E4552)</f>
        <v>16437.31</v>
      </c>
      <c r="F4552" s="15" t="str">
        <f>IF(ISBLANK(Raw_Data!F4552),AVERAGE(Raw_Data!F$2:F$5002),Raw_Data!F4552)</f>
        <v>36996.87</v>
      </c>
      <c r="G4552" s="14" t="str">
        <f>IF(ISBLANK(Raw_Data!G4552),AVERAGE(Raw_Data!G$2:G$5002),Raw_Data!G4552)</f>
        <v>2494.06</v>
      </c>
      <c r="H4552" s="15" t="str">
        <f t="shared" si="1"/>
        <v>98521.00</v>
      </c>
      <c r="I4552" s="14" t="str">
        <f t="shared" si="2"/>
        <v>96027.00</v>
      </c>
      <c r="J4552" s="16" t="str">
        <f>TEXT(Raw_Data!J4552,"MMM-YYY")</f>
        <v>Jan-2025</v>
      </c>
      <c r="K4552" s="13" t="str">
        <f>Raw_Data!K4552</f>
        <v>10</v>
      </c>
      <c r="L4552" s="17" t="str">
        <f>Raw_Data!L4552</f>
        <v>Pune-West</v>
      </c>
      <c r="M4552" s="13" t="str">
        <f t="shared" si="3"/>
        <v>OK</v>
      </c>
      <c r="N4552" s="18" t="str">
        <f t="shared" si="4"/>
        <v>VALID</v>
      </c>
    </row>
    <row r="4553" ht="15.75" customHeight="1">
      <c r="A4553" s="13" t="str">
        <f>Raw_Data!A4553</f>
        <v>EMP4796</v>
      </c>
      <c r="B4553" s="13" t="str">
        <f>TRIM(CLEAN(Raw_Data!B4553))</f>
        <v>Customer Support</v>
      </c>
      <c r="C4553" s="18" t="s">
        <v>14</v>
      </c>
      <c r="D4553" s="14" t="str">
        <f>IF(ISBLANK(Raw_Data!D4553),AVERAGE(Raw_Data!D$2:D$5002),Raw_Data!D4553)</f>
        <v>77037.49</v>
      </c>
      <c r="E4553" s="15" t="str">
        <f>IF(ISBLANK(Raw_Data!E4553),AVERAGE(Raw_Data!E$2:E$5002),Raw_Data!E4553)</f>
        <v>32908.43</v>
      </c>
      <c r="F4553" s="15" t="str">
        <f>IF(ISBLANK(Raw_Data!F4553),AVERAGE(Raw_Data!F$2:F$5002),Raw_Data!F4553)</f>
        <v>37004.55</v>
      </c>
      <c r="G4553" s="14" t="str">
        <f>IF(ISBLANK(Raw_Data!G4553),AVERAGE(Raw_Data!G$2:G$5002),Raw_Data!G4553)</f>
        <v>780.10</v>
      </c>
      <c r="H4553" s="15" t="str">
        <f t="shared" si="1"/>
        <v>146950.00</v>
      </c>
      <c r="I4553" s="14" t="str">
        <f t="shared" si="2"/>
        <v>146170.00</v>
      </c>
      <c r="J4553" s="16" t="str">
        <f>TEXT(Raw_Data!J4553,"MMM-YYY")</f>
        <v>Mar-2025</v>
      </c>
      <c r="K4553" s="13" t="str">
        <f>Raw_Data!K4553</f>
        <v>5</v>
      </c>
      <c r="L4553" s="17" t="str">
        <f>Raw_Data!L4553</f>
        <v>Hyderabad-South</v>
      </c>
      <c r="M4553" s="13" t="str">
        <f t="shared" si="3"/>
        <v>OK</v>
      </c>
      <c r="N4553" s="18" t="str">
        <f t="shared" si="4"/>
        <v>VALID</v>
      </c>
    </row>
    <row r="4554" ht="15.75" customHeight="1">
      <c r="A4554" s="13" t="str">
        <f>Raw_Data!A4554</f>
        <v>EMP4797</v>
      </c>
      <c r="B4554" s="13" t="str">
        <f>TRIM(CLEAN(Raw_Data!B4554))</f>
        <v>IT</v>
      </c>
      <c r="C4554" s="18" t="s">
        <v>14</v>
      </c>
      <c r="D4554" s="14" t="str">
        <f>IF(ISBLANK(Raw_Data!D4554),AVERAGE(Raw_Data!D$2:D$5002),Raw_Data!D4554)</f>
        <v>18202.53</v>
      </c>
      <c r="E4554" s="15" t="str">
        <f>IF(ISBLANK(Raw_Data!E4554),AVERAGE(Raw_Data!E$2:E$5002),Raw_Data!E4554)</f>
        <v>23450.04</v>
      </c>
      <c r="F4554" s="15" t="str">
        <f>IF(ISBLANK(Raw_Data!F4554),AVERAGE(Raw_Data!F$2:F$5002),Raw_Data!F4554)</f>
        <v>37012.23</v>
      </c>
      <c r="G4554" s="14" t="str">
        <f>IF(ISBLANK(Raw_Data!G4554),AVERAGE(Raw_Data!G$2:G$5002),Raw_Data!G4554)</f>
        <v>10972.54</v>
      </c>
      <c r="H4554" s="15" t="str">
        <f t="shared" si="1"/>
        <v>78665.00</v>
      </c>
      <c r="I4554" s="14" t="str">
        <f t="shared" si="2"/>
        <v>67692.00</v>
      </c>
      <c r="J4554" s="16" t="str">
        <f>TEXT(Raw_Data!J4554,"MMM-YYY")</f>
        <v>Dec-2025</v>
      </c>
      <c r="K4554" s="13" t="str">
        <f>Raw_Data!K4554</f>
        <v>1</v>
      </c>
      <c r="L4554" s="17" t="str">
        <f>Raw_Data!L4554</f>
        <v>Chandigarh-North</v>
      </c>
      <c r="M4554" s="13" t="str">
        <f t="shared" si="3"/>
        <v>OK</v>
      </c>
      <c r="N4554" s="18" t="str">
        <f t="shared" si="4"/>
        <v>VALID</v>
      </c>
    </row>
    <row r="4555" ht="15.75" customHeight="1">
      <c r="A4555" s="13" t="str">
        <f>Raw_Data!A4555</f>
        <v>EMP4798</v>
      </c>
      <c r="B4555" s="13" t="str">
        <f>TRIM(CLEAN(Raw_Data!B4555))</f>
        <v>Customer Support</v>
      </c>
      <c r="C4555" s="18" t="s">
        <v>37</v>
      </c>
      <c r="D4555" s="14" t="str">
        <f>IF(ISBLANK(Raw_Data!D4555),AVERAGE(Raw_Data!D$2:D$5002),Raw_Data!D4555)</f>
        <v>18921.56</v>
      </c>
      <c r="E4555" s="15" t="str">
        <f>IF(ISBLANK(Raw_Data!E4555),AVERAGE(Raw_Data!E$2:E$5002),Raw_Data!E4555)</f>
        <v>6854.09</v>
      </c>
      <c r="F4555" s="15" t="str">
        <f>IF(ISBLANK(Raw_Data!F4555),AVERAGE(Raw_Data!F$2:F$5002),Raw_Data!F4555)</f>
        <v>37019.91</v>
      </c>
      <c r="G4555" s="14" t="str">
        <f>IF(ISBLANK(Raw_Data!G4555),AVERAGE(Raw_Data!G$2:G$5002),Raw_Data!G4555)</f>
        <v>10553.27</v>
      </c>
      <c r="H4555" s="15" t="str">
        <f t="shared" si="1"/>
        <v>62796.00</v>
      </c>
      <c r="I4555" s="14" t="str">
        <f t="shared" si="2"/>
        <v>52243.00</v>
      </c>
      <c r="J4555" s="16" t="str">
        <f>TEXT(Raw_Data!J4555,"MMM-YYY")</f>
        <v>Apr-2025</v>
      </c>
      <c r="K4555" s="13" t="str">
        <f>Raw_Data!K4555</f>
        <v>25</v>
      </c>
      <c r="L4555" s="17" t="str">
        <f>Raw_Data!L4555</f>
        <v>Ahmedabad-West</v>
      </c>
      <c r="M4555" s="13" t="str">
        <f t="shared" si="3"/>
        <v>OK</v>
      </c>
      <c r="N4555" s="18" t="str">
        <f t="shared" si="4"/>
        <v>VALID</v>
      </c>
    </row>
    <row r="4556" ht="15.75" customHeight="1">
      <c r="A4556" s="13" t="str">
        <f>Raw_Data!A4556</f>
        <v>EMP4799</v>
      </c>
      <c r="B4556" s="13" t="str">
        <f>TRIM(CLEAN(Raw_Data!B4556))</f>
        <v>Customer Support</v>
      </c>
      <c r="C4556" s="18" t="s">
        <v>18</v>
      </c>
      <c r="D4556" s="14" t="str">
        <f>IF(ISBLANK(Raw_Data!D4556),AVERAGE(Raw_Data!D$2:D$5002),Raw_Data!D4556)</f>
        <v>101373.06</v>
      </c>
      <c r="E4556" s="15" t="str">
        <f>IF(ISBLANK(Raw_Data!E4556),AVERAGE(Raw_Data!E$2:E$5002),Raw_Data!E4556)</f>
        <v>24370.62</v>
      </c>
      <c r="F4556" s="15" t="str">
        <f>IF(ISBLANK(Raw_Data!F4556),AVERAGE(Raw_Data!F$2:F$5002),Raw_Data!F4556)</f>
        <v>37027.59</v>
      </c>
      <c r="G4556" s="14" t="str">
        <f>IF(ISBLANK(Raw_Data!G4556),AVERAGE(Raw_Data!G$2:G$5002),Raw_Data!G4556)</f>
        <v>24715.55</v>
      </c>
      <c r="H4556" s="15" t="str">
        <f t="shared" si="1"/>
        <v>162771.00</v>
      </c>
      <c r="I4556" s="14" t="str">
        <f t="shared" si="2"/>
        <v>138055.00</v>
      </c>
      <c r="J4556" s="16" t="str">
        <f>TEXT(Raw_Data!J4556,"MMM-YYY")</f>
        <v>Feb-2025</v>
      </c>
      <c r="K4556" s="13" t="str">
        <f>Raw_Data!K4556</f>
        <v>13</v>
      </c>
      <c r="L4556" s="17" t="str">
        <f>Raw_Data!L4556</f>
        <v>Jaipur-North</v>
      </c>
      <c r="M4556" s="13" t="str">
        <f t="shared" si="3"/>
        <v>OK</v>
      </c>
      <c r="N4556" s="18" t="str">
        <f t="shared" si="4"/>
        <v>VALID</v>
      </c>
    </row>
    <row r="4557" ht="15.75" customHeight="1">
      <c r="A4557" s="13" t="str">
        <f>Raw_Data!A4557</f>
        <v>EMP4802</v>
      </c>
      <c r="B4557" s="13" t="str">
        <f>TRIM(CLEAN(Raw_Data!B4557))</f>
        <v>HR</v>
      </c>
      <c r="C4557" s="18" t="s">
        <v>37</v>
      </c>
      <c r="D4557" s="14" t="str">
        <f>IF(ISBLANK(Raw_Data!D4557),AVERAGE(Raw_Data!D$2:D$5002),Raw_Data!D4557)</f>
        <v>69835.54</v>
      </c>
      <c r="E4557" s="15" t="str">
        <f>IF(ISBLANK(Raw_Data!E4557),AVERAGE(Raw_Data!E$2:E$5002),Raw_Data!E4557)</f>
        <v>14667.73</v>
      </c>
      <c r="F4557" s="15" t="str">
        <f>IF(ISBLANK(Raw_Data!F4557),AVERAGE(Raw_Data!F$2:F$5002),Raw_Data!F4557)</f>
        <v>37050.63</v>
      </c>
      <c r="G4557" s="14" t="str">
        <f>IF(ISBLANK(Raw_Data!G4557),AVERAGE(Raw_Data!G$2:G$5002),Raw_Data!G4557)</f>
        <v>22335.12</v>
      </c>
      <c r="H4557" s="15" t="str">
        <f t="shared" si="1"/>
        <v>121554.00</v>
      </c>
      <c r="I4557" s="14" t="str">
        <f t="shared" si="2"/>
        <v>99219.00</v>
      </c>
      <c r="J4557" s="16" t="str">
        <f>TEXT(Raw_Data!J4557,"MMM-YYY")</f>
        <v>May-2025</v>
      </c>
      <c r="K4557" s="13" t="str">
        <f>Raw_Data!K4557</f>
        <v>21</v>
      </c>
      <c r="L4557" s="17" t="str">
        <f>Raw_Data!L4557</f>
        <v>Bangalore-South</v>
      </c>
      <c r="M4557" s="13" t="str">
        <f t="shared" si="3"/>
        <v>OK</v>
      </c>
      <c r="N4557" s="18" t="str">
        <f t="shared" si="4"/>
        <v>VALID</v>
      </c>
    </row>
    <row r="4558" ht="15.75" customHeight="1">
      <c r="A4558" s="13" t="str">
        <f>Raw_Data!A4558</f>
        <v>EMP4803</v>
      </c>
      <c r="B4558" s="13" t="str">
        <f>TRIM(CLEAN(Raw_Data!B4558))</f>
        <v>IT</v>
      </c>
      <c r="C4558" s="18" t="s">
        <v>18</v>
      </c>
      <c r="D4558" s="14" t="str">
        <f>IF(ISBLANK(Raw_Data!D4558),AVERAGE(Raw_Data!D$2:D$5002),Raw_Data!D4558)</f>
        <v>95849.32</v>
      </c>
      <c r="E4558" s="15" t="str">
        <f>IF(ISBLANK(Raw_Data!E4558),AVERAGE(Raw_Data!E$2:E$5002),Raw_Data!E4558)</f>
        <v>9164.90</v>
      </c>
      <c r="F4558" s="15" t="str">
        <f>IF(ISBLANK(Raw_Data!F4558),AVERAGE(Raw_Data!F$2:F$5002),Raw_Data!F4558)</f>
        <v>37058.31</v>
      </c>
      <c r="G4558" s="14" t="str">
        <f>IF(ISBLANK(Raw_Data!G4558),AVERAGE(Raw_Data!G$2:G$5002),Raw_Data!G4558)</f>
        <v>12531.16</v>
      </c>
      <c r="H4558" s="15" t="str">
        <f t="shared" si="1"/>
        <v>142073.00</v>
      </c>
      <c r="I4558" s="14" t="str">
        <f t="shared" si="2"/>
        <v>129542.00</v>
      </c>
      <c r="J4558" s="16" t="str">
        <f>TEXT(Raw_Data!J4558,"MMM-YYY")</f>
        <v>Nov-2025</v>
      </c>
      <c r="K4558" s="13" t="str">
        <f>Raw_Data!K4558</f>
        <v>9</v>
      </c>
      <c r="L4558" s="17" t="str">
        <f>Raw_Data!L4558</f>
        <v>Chennai-South</v>
      </c>
      <c r="M4558" s="13" t="str">
        <f t="shared" si="3"/>
        <v>OK</v>
      </c>
      <c r="N4558" s="18" t="str">
        <f t="shared" si="4"/>
        <v>VALID</v>
      </c>
    </row>
    <row r="4559" ht="15.75" customHeight="1">
      <c r="A4559" s="13" t="str">
        <f>Raw_Data!A4559</f>
        <v>EMP4804</v>
      </c>
      <c r="B4559" s="13" t="str">
        <f>TRIM(CLEAN(Raw_Data!B4559))</f>
        <v>Operations</v>
      </c>
      <c r="C4559" s="18" t="s">
        <v>54</v>
      </c>
      <c r="D4559" s="14" t="str">
        <f>IF(ISBLANK(Raw_Data!D4559),AVERAGE(Raw_Data!D$2:D$5002),Raw_Data!D4559)</f>
        <v>37661.21</v>
      </c>
      <c r="E4559" s="15" t="str">
        <f>IF(ISBLANK(Raw_Data!E4559),AVERAGE(Raw_Data!E$2:E$5002),Raw_Data!E4559)</f>
        <v>9452.04</v>
      </c>
      <c r="F4559" s="15" t="str">
        <f>IF(ISBLANK(Raw_Data!F4559),AVERAGE(Raw_Data!F$2:F$5002),Raw_Data!F4559)</f>
        <v>37065.99</v>
      </c>
      <c r="G4559" s="14" t="str">
        <f>IF(ISBLANK(Raw_Data!G4559),AVERAGE(Raw_Data!G$2:G$5002),Raw_Data!G4559)</f>
        <v>15179.80</v>
      </c>
      <c r="H4559" s="15" t="str">
        <f t="shared" si="1"/>
        <v>84179.00</v>
      </c>
      <c r="I4559" s="14" t="str">
        <f t="shared" si="2"/>
        <v>68999.00</v>
      </c>
      <c r="J4559" s="16" t="str">
        <f>TEXT(Raw_Data!J4559,"MMM-YYY")</f>
        <v>Sep-2025</v>
      </c>
      <c r="K4559" s="13" t="str">
        <f>Raw_Data!K4559</f>
        <v>3</v>
      </c>
      <c r="L4559" s="17" t="str">
        <f>Raw_Data!L4559</f>
        <v>Kolkata-East</v>
      </c>
      <c r="M4559" s="13" t="str">
        <f t="shared" si="3"/>
        <v>OK</v>
      </c>
      <c r="N4559" s="18" t="str">
        <f t="shared" si="4"/>
        <v>VALID</v>
      </c>
    </row>
    <row r="4560" ht="15.75" customHeight="1">
      <c r="A4560" s="13" t="str">
        <f>Raw_Data!A4560</f>
        <v>EMP4805</v>
      </c>
      <c r="B4560" s="13" t="str">
        <f>TRIM(CLEAN(Raw_Data!B4560))</f>
        <v>Operations</v>
      </c>
      <c r="C4560" s="18" t="s">
        <v>30</v>
      </c>
      <c r="D4560" s="14" t="str">
        <f>IF(ISBLANK(Raw_Data!D4560),AVERAGE(Raw_Data!D$2:D$5002),Raw_Data!D4560)</f>
        <v>80403.50</v>
      </c>
      <c r="E4560" s="15" t="str">
        <f>IF(ISBLANK(Raw_Data!E4560),AVERAGE(Raw_Data!E$2:E$5002),Raw_Data!E4560)</f>
        <v>19579.77</v>
      </c>
      <c r="F4560" s="15" t="str">
        <f>IF(ISBLANK(Raw_Data!F4560),AVERAGE(Raw_Data!F$2:F$5002),Raw_Data!F4560)</f>
        <v>37073.67</v>
      </c>
      <c r="G4560" s="14" t="str">
        <f>IF(ISBLANK(Raw_Data!G4560),AVERAGE(Raw_Data!G$2:G$5002),Raw_Data!G4560)</f>
        <v>2843.88</v>
      </c>
      <c r="H4560" s="15" t="str">
        <f t="shared" si="1"/>
        <v>137057.00</v>
      </c>
      <c r="I4560" s="14" t="str">
        <f t="shared" si="2"/>
        <v>134213.00</v>
      </c>
      <c r="J4560" s="16" t="str">
        <f>TEXT(Raw_Data!J4560,"MMM-YYY")</f>
        <v>Aug-2025</v>
      </c>
      <c r="K4560" s="13" t="str">
        <f>Raw_Data!K4560</f>
        <v>15</v>
      </c>
      <c r="L4560" s="17" t="str">
        <f>Raw_Data!L4560</f>
        <v>Pune-West</v>
      </c>
      <c r="M4560" s="13" t="str">
        <f t="shared" si="3"/>
        <v>OK</v>
      </c>
      <c r="N4560" s="18" t="str">
        <f t="shared" si="4"/>
        <v>VALID</v>
      </c>
    </row>
    <row r="4561" ht="15.75" customHeight="1">
      <c r="A4561" s="13" t="str">
        <f>Raw_Data!A4561</f>
        <v>EMP4806</v>
      </c>
      <c r="B4561" s="13" t="str">
        <f>TRIM(CLEAN(Raw_Data!B4561))</f>
        <v>Sales</v>
      </c>
      <c r="C4561" s="18" t="s">
        <v>37</v>
      </c>
      <c r="D4561" s="14" t="str">
        <f>IF(ISBLANK(Raw_Data!D4561),AVERAGE(Raw_Data!D$2:D$5002),Raw_Data!D4561)</f>
        <v>23961.48</v>
      </c>
      <c r="E4561" s="15" t="str">
        <f>IF(ISBLANK(Raw_Data!E4561),AVERAGE(Raw_Data!E$2:E$5002),Raw_Data!E4561)</f>
        <v>25444.47</v>
      </c>
      <c r="F4561" s="15" t="str">
        <f>IF(ISBLANK(Raw_Data!F4561),AVERAGE(Raw_Data!F$2:F$5002),Raw_Data!F4561)</f>
        <v>37081.35</v>
      </c>
      <c r="G4561" s="14" t="str">
        <f>IF(ISBLANK(Raw_Data!G4561),AVERAGE(Raw_Data!G$2:G$5002),Raw_Data!G4561)</f>
        <v>9881.45</v>
      </c>
      <c r="H4561" s="15" t="str">
        <f t="shared" si="1"/>
        <v>86487.00</v>
      </c>
      <c r="I4561" s="14" t="str">
        <f t="shared" si="2"/>
        <v>76606.00</v>
      </c>
      <c r="J4561" s="16" t="str">
        <f>TEXT(Raw_Data!J4561,"MMM-YYY")</f>
        <v>Jun-2025</v>
      </c>
      <c r="K4561" s="13" t="str">
        <f>Raw_Data!K4561</f>
        <v>23</v>
      </c>
      <c r="L4561" s="17" t="str">
        <f>Raw_Data!L4561</f>
        <v>Hyderabad-South</v>
      </c>
      <c r="M4561" s="13" t="str">
        <f t="shared" si="3"/>
        <v>OK</v>
      </c>
      <c r="N4561" s="18" t="str">
        <f t="shared" si="4"/>
        <v>VALID</v>
      </c>
    </row>
    <row r="4562" ht="15.75" customHeight="1">
      <c r="A4562" s="13" t="str">
        <f>Raw_Data!A4562</f>
        <v>EMP4807</v>
      </c>
      <c r="B4562" s="13" t="str">
        <f>TRIM(CLEAN(Raw_Data!B4562))</f>
        <v>Operations</v>
      </c>
      <c r="C4562" s="18" t="s">
        <v>30</v>
      </c>
      <c r="D4562" s="14" t="str">
        <f>IF(ISBLANK(Raw_Data!D4562),AVERAGE(Raw_Data!D$2:D$5002),Raw_Data!D4562)</f>
        <v>20426.58</v>
      </c>
      <c r="E4562" s="15" t="str">
        <f>IF(ISBLANK(Raw_Data!E4562),AVERAGE(Raw_Data!E$2:E$5002),Raw_Data!E4562)</f>
        <v>6902.15</v>
      </c>
      <c r="F4562" s="15" t="str">
        <f>IF(ISBLANK(Raw_Data!F4562),AVERAGE(Raw_Data!F$2:F$5002),Raw_Data!F4562)</f>
        <v>37089.03</v>
      </c>
      <c r="G4562" s="14" t="str">
        <f>IF(ISBLANK(Raw_Data!G4562),AVERAGE(Raw_Data!G$2:G$5002),Raw_Data!G4562)</f>
        <v>23633.48</v>
      </c>
      <c r="H4562" s="15" t="str">
        <f t="shared" si="1"/>
        <v>64418.00</v>
      </c>
      <c r="I4562" s="14" t="str">
        <f t="shared" si="2"/>
        <v>40785.00</v>
      </c>
      <c r="J4562" s="16" t="str">
        <f>TEXT(Raw_Data!J4562,"MMM-YYY")</f>
        <v>Oct-2025</v>
      </c>
      <c r="K4562" s="13" t="str">
        <f>Raw_Data!K4562</f>
        <v>3</v>
      </c>
      <c r="L4562" s="17" t="str">
        <f>Raw_Data!L4562</f>
        <v>Chandigarh-North</v>
      </c>
      <c r="M4562" s="13" t="str">
        <f t="shared" si="3"/>
        <v>OK</v>
      </c>
      <c r="N4562" s="18" t="str">
        <f t="shared" si="4"/>
        <v>VALID</v>
      </c>
    </row>
    <row r="4563" ht="15.75" customHeight="1">
      <c r="A4563" s="13" t="str">
        <f>Raw_Data!A4563</f>
        <v>EMP4808</v>
      </c>
      <c r="B4563" s="13" t="str">
        <f>TRIM(CLEAN(Raw_Data!B4563))</f>
        <v>Sales</v>
      </c>
      <c r="C4563" s="18" t="s">
        <v>26</v>
      </c>
      <c r="D4563" s="14" t="str">
        <f>IF(ISBLANK(Raw_Data!D4563),AVERAGE(Raw_Data!D$2:D$5002),Raw_Data!D4563)</f>
        <v>70792.24</v>
      </c>
      <c r="E4563" s="15" t="str">
        <f>IF(ISBLANK(Raw_Data!E4563),AVERAGE(Raw_Data!E$2:E$5002),Raw_Data!E4563)</f>
        <v>37824.47</v>
      </c>
      <c r="F4563" s="15" t="str">
        <f>IF(ISBLANK(Raw_Data!F4563),AVERAGE(Raw_Data!F$2:F$5002),Raw_Data!F4563)</f>
        <v>37096.71</v>
      </c>
      <c r="G4563" s="14" t="str">
        <f>IF(ISBLANK(Raw_Data!G4563),AVERAGE(Raw_Data!G$2:G$5002),Raw_Data!G4563)</f>
        <v>14942.88</v>
      </c>
      <c r="H4563" s="15" t="str">
        <f t="shared" si="1"/>
        <v>145713.00</v>
      </c>
      <c r="I4563" s="14" t="str">
        <f t="shared" si="2"/>
        <v>130770.00</v>
      </c>
      <c r="J4563" s="16" t="str">
        <f>TEXT(Raw_Data!J4563,"MMM-YYY")</f>
        <v>Nov-2025</v>
      </c>
      <c r="K4563" s="13" t="str">
        <f>Raw_Data!K4563</f>
        <v>18</v>
      </c>
      <c r="L4563" s="17" t="str">
        <f>Raw_Data!L4563</f>
        <v>Ahmedabad-West</v>
      </c>
      <c r="M4563" s="13" t="str">
        <f t="shared" si="3"/>
        <v>OK</v>
      </c>
      <c r="N4563" s="18" t="str">
        <f t="shared" si="4"/>
        <v>VALID</v>
      </c>
    </row>
    <row r="4564" ht="15.75" customHeight="1">
      <c r="A4564" s="13" t="str">
        <f>Raw_Data!A4564</f>
        <v>EMP4809</v>
      </c>
      <c r="B4564" s="13" t="str">
        <f>TRIM(CLEAN(Raw_Data!B4564))</f>
        <v>Sales</v>
      </c>
      <c r="C4564" s="18" t="s">
        <v>18</v>
      </c>
      <c r="D4564" s="14" t="str">
        <f>IF(ISBLANK(Raw_Data!D4564),AVERAGE(Raw_Data!D$2:D$5002),Raw_Data!D4564)</f>
        <v>71766.69</v>
      </c>
      <c r="E4564" s="15" t="str">
        <f>IF(ISBLANK(Raw_Data!E4564),AVERAGE(Raw_Data!E$2:E$5002),Raw_Data!E4564)</f>
        <v>31184.81</v>
      </c>
      <c r="F4564" s="15" t="str">
        <f>IF(ISBLANK(Raw_Data!F4564),AVERAGE(Raw_Data!F$2:F$5002),Raw_Data!F4564)</f>
        <v>37104.39</v>
      </c>
      <c r="G4564" s="14" t="str">
        <f>IF(ISBLANK(Raw_Data!G4564),AVERAGE(Raw_Data!G$2:G$5002),Raw_Data!G4564)</f>
        <v>8940.30</v>
      </c>
      <c r="H4564" s="15" t="str">
        <f t="shared" si="1"/>
        <v>140056.00</v>
      </c>
      <c r="I4564" s="14" t="str">
        <f t="shared" si="2"/>
        <v>131116.00</v>
      </c>
      <c r="J4564" s="16" t="str">
        <f>TEXT(Raw_Data!J4564,"MMM-YYY")</f>
        <v>Nov-2025</v>
      </c>
      <c r="K4564" s="13" t="str">
        <f>Raw_Data!K4564</f>
        <v>8</v>
      </c>
      <c r="L4564" s="17" t="str">
        <f>Raw_Data!L4564</f>
        <v>Jaipur-North</v>
      </c>
      <c r="M4564" s="13" t="str">
        <f t="shared" si="3"/>
        <v>OK</v>
      </c>
      <c r="N4564" s="18" t="str">
        <f t="shared" si="4"/>
        <v>VALID</v>
      </c>
    </row>
    <row r="4565" ht="15.75" customHeight="1">
      <c r="A4565" s="13" t="str">
        <f>Raw_Data!A4565</f>
        <v>EMP4810</v>
      </c>
      <c r="B4565" s="13" t="str">
        <f>TRIM(CLEAN(Raw_Data!B4565))</f>
        <v>Customer Support</v>
      </c>
      <c r="C4565" s="18" t="s">
        <v>33</v>
      </c>
      <c r="D4565" s="14" t="str">
        <f>IF(ISBLANK(Raw_Data!D4565),AVERAGE(Raw_Data!D$2:D$5002),Raw_Data!D4565)</f>
        <v>81930.14</v>
      </c>
      <c r="E4565" s="15" t="str">
        <f>IF(ISBLANK(Raw_Data!E4565),AVERAGE(Raw_Data!E$2:E$5002),Raw_Data!E4565)</f>
        <v>25118.46</v>
      </c>
      <c r="F4565" s="15" t="str">
        <f>IF(ISBLANK(Raw_Data!F4565),AVERAGE(Raw_Data!F$2:F$5002),Raw_Data!F4565)</f>
        <v>37112.07</v>
      </c>
      <c r="G4565" s="14" t="str">
        <f>IF(ISBLANK(Raw_Data!G4565),AVERAGE(Raw_Data!G$2:G$5002),Raw_Data!G4565)</f>
        <v>15828.85</v>
      </c>
      <c r="H4565" s="15" t="str">
        <f t="shared" si="1"/>
        <v>144161.00</v>
      </c>
      <c r="I4565" s="14" t="str">
        <f t="shared" si="2"/>
        <v>128332.00</v>
      </c>
      <c r="J4565" s="16" t="str">
        <f>TEXT(Raw_Data!J4565,"MMM-YYY")</f>
        <v>Jan-2025</v>
      </c>
      <c r="K4565" s="13" t="str">
        <f>Raw_Data!K4565</f>
        <v>12</v>
      </c>
      <c r="L4565" s="17" t="str">
        <f>Raw_Data!L4565</f>
        <v>Mumbai-HO</v>
      </c>
      <c r="M4565" s="13" t="str">
        <f t="shared" si="3"/>
        <v>OK</v>
      </c>
      <c r="N4565" s="18" t="str">
        <f t="shared" si="4"/>
        <v>VALID</v>
      </c>
    </row>
    <row r="4566" ht="15.75" customHeight="1">
      <c r="A4566" s="13" t="str">
        <f>Raw_Data!A4566</f>
        <v>EMP4811</v>
      </c>
      <c r="B4566" s="13" t="str">
        <f>TRIM(CLEAN(Raw_Data!B4566))</f>
        <v>Finance</v>
      </c>
      <c r="C4566" s="18" t="s">
        <v>54</v>
      </c>
      <c r="D4566" s="14" t="str">
        <f>IF(ISBLANK(Raw_Data!D4566),AVERAGE(Raw_Data!D$2:D$5002),Raw_Data!D4566)</f>
        <v>91239.59</v>
      </c>
      <c r="E4566" s="15" t="str">
        <f>IF(ISBLANK(Raw_Data!E4566),AVERAGE(Raw_Data!E$2:E$5002),Raw_Data!E4566)</f>
        <v>33823.79</v>
      </c>
      <c r="F4566" s="15" t="str">
        <f>IF(ISBLANK(Raw_Data!F4566),AVERAGE(Raw_Data!F$2:F$5002),Raw_Data!F4566)</f>
        <v>37119.75</v>
      </c>
      <c r="G4566" s="14" t="str">
        <f>IF(ISBLANK(Raw_Data!G4566),AVERAGE(Raw_Data!G$2:G$5002),Raw_Data!G4566)</f>
        <v>22805.07</v>
      </c>
      <c r="H4566" s="15" t="str">
        <f t="shared" si="1"/>
        <v>162183.00</v>
      </c>
      <c r="I4566" s="14" t="str">
        <f t="shared" si="2"/>
        <v>139378.00</v>
      </c>
      <c r="J4566" s="16" t="str">
        <f>TEXT(Raw_Data!J4566,"MMM-YYY")</f>
        <v>May-2025</v>
      </c>
      <c r="K4566" s="13" t="str">
        <f>Raw_Data!K4566</f>
        <v>1</v>
      </c>
      <c r="L4566" s="17" t="str">
        <f>Raw_Data!L4566</f>
        <v>Delhi-North</v>
      </c>
      <c r="M4566" s="13" t="str">
        <f t="shared" si="3"/>
        <v>OK</v>
      </c>
      <c r="N4566" s="18" t="str">
        <f t="shared" si="4"/>
        <v>VALID</v>
      </c>
    </row>
    <row r="4567" ht="15.75" customHeight="1">
      <c r="A4567" s="13" t="str">
        <f>Raw_Data!A4567</f>
        <v>EMP4812</v>
      </c>
      <c r="B4567" s="13" t="str">
        <f>TRIM(CLEAN(Raw_Data!B4567))</f>
        <v>Operations</v>
      </c>
      <c r="C4567" s="18" t="s">
        <v>18</v>
      </c>
      <c r="D4567" s="14" t="str">
        <f>IF(ISBLANK(Raw_Data!D4567),AVERAGE(Raw_Data!D$2:D$5002),Raw_Data!D4567)</f>
        <v>117464.47</v>
      </c>
      <c r="E4567" s="15" t="str">
        <f>IF(ISBLANK(Raw_Data!E4567),AVERAGE(Raw_Data!E$2:E$5002),Raw_Data!E4567)</f>
        <v>6886.72</v>
      </c>
      <c r="F4567" s="15" t="str">
        <f>IF(ISBLANK(Raw_Data!F4567),AVERAGE(Raw_Data!F$2:F$5002),Raw_Data!F4567)</f>
        <v>37127.43</v>
      </c>
      <c r="G4567" s="14" t="str">
        <f>IF(ISBLANK(Raw_Data!G4567),AVERAGE(Raw_Data!G$2:G$5002),Raw_Data!G4567)</f>
        <v>7212.77</v>
      </c>
      <c r="H4567" s="15" t="str">
        <f t="shared" si="1"/>
        <v>161479.00</v>
      </c>
      <c r="I4567" s="14" t="str">
        <f t="shared" si="2"/>
        <v>154266.00</v>
      </c>
      <c r="J4567" s="16" t="str">
        <f>TEXT(Raw_Data!J4567,"MMM-YYY")</f>
        <v>Nov-2025</v>
      </c>
      <c r="K4567" s="13" t="str">
        <f>Raw_Data!K4567</f>
        <v>14</v>
      </c>
      <c r="L4567" s="17" t="str">
        <f>Raw_Data!L4567</f>
        <v>Bangalore-South</v>
      </c>
      <c r="M4567" s="13" t="str">
        <f t="shared" si="3"/>
        <v>OK</v>
      </c>
      <c r="N4567" s="18" t="str">
        <f t="shared" si="4"/>
        <v>VALID</v>
      </c>
    </row>
    <row r="4568" ht="15.75" customHeight="1">
      <c r="A4568" s="13" t="str">
        <f>Raw_Data!A4568</f>
        <v>EMP4813</v>
      </c>
      <c r="B4568" s="13" t="str">
        <f>TRIM(CLEAN(Raw_Data!B4568))</f>
        <v>Sales</v>
      </c>
      <c r="C4568" s="18" t="s">
        <v>37</v>
      </c>
      <c r="D4568" s="14" t="str">
        <f>IF(ISBLANK(Raw_Data!D4568),AVERAGE(Raw_Data!D$2:D$5002),Raw_Data!D4568)</f>
        <v>69211.54</v>
      </c>
      <c r="E4568" s="15" t="str">
        <f>IF(ISBLANK(Raw_Data!E4568),AVERAGE(Raw_Data!E$2:E$5002),Raw_Data!E4568)</f>
        <v>21166.20</v>
      </c>
      <c r="F4568" s="15" t="str">
        <f>IF(ISBLANK(Raw_Data!F4568),AVERAGE(Raw_Data!F$2:F$5002),Raw_Data!F4568)</f>
        <v>37135.11</v>
      </c>
      <c r="G4568" s="14" t="str">
        <f>IF(ISBLANK(Raw_Data!G4568),AVERAGE(Raw_Data!G$2:G$5002),Raw_Data!G4568)</f>
        <v>12875.36</v>
      </c>
      <c r="H4568" s="15" t="str">
        <f t="shared" si="1"/>
        <v>127513.00</v>
      </c>
      <c r="I4568" s="14" t="str">
        <f t="shared" si="2"/>
        <v>114638.00</v>
      </c>
      <c r="J4568" s="16" t="str">
        <f>TEXT(Raw_Data!J4568,"MMM-YYY")</f>
        <v>Jun-2025</v>
      </c>
      <c r="K4568" s="13" t="str">
        <f>Raw_Data!K4568</f>
        <v>10</v>
      </c>
      <c r="L4568" s="17" t="str">
        <f>Raw_Data!L4568</f>
        <v>Chennai-South</v>
      </c>
      <c r="M4568" s="13" t="str">
        <f t="shared" si="3"/>
        <v>OK</v>
      </c>
      <c r="N4568" s="18" t="str">
        <f t="shared" si="4"/>
        <v>VALID</v>
      </c>
    </row>
    <row r="4569" ht="15.75" customHeight="1">
      <c r="A4569" s="13" t="str">
        <f>Raw_Data!A4569</f>
        <v>EMP4814</v>
      </c>
      <c r="B4569" s="13" t="str">
        <f>TRIM(CLEAN(Raw_Data!B4569))</f>
        <v>Customer Support</v>
      </c>
      <c r="C4569" s="18" t="s">
        <v>26</v>
      </c>
      <c r="D4569" s="14" t="str">
        <f>IF(ISBLANK(Raw_Data!D4569),AVERAGE(Raw_Data!D$2:D$5002),Raw_Data!D4569)</f>
        <v>48910.43</v>
      </c>
      <c r="E4569" s="15" t="str">
        <f>IF(ISBLANK(Raw_Data!E4569),AVERAGE(Raw_Data!E$2:E$5002),Raw_Data!E4569)</f>
        <v>26683.35</v>
      </c>
      <c r="F4569" s="15" t="str">
        <f>IF(ISBLANK(Raw_Data!F4569),AVERAGE(Raw_Data!F$2:F$5002),Raw_Data!F4569)</f>
        <v>37142.79</v>
      </c>
      <c r="G4569" s="14" t="str">
        <f>IF(ISBLANK(Raw_Data!G4569),AVERAGE(Raw_Data!G$2:G$5002),Raw_Data!G4569)</f>
        <v>23987.92</v>
      </c>
      <c r="H4569" s="15" t="str">
        <f t="shared" si="1"/>
        <v>112737.00</v>
      </c>
      <c r="I4569" s="14" t="str">
        <f t="shared" si="2"/>
        <v>88749.00</v>
      </c>
      <c r="J4569" s="16" t="str">
        <f>TEXT(Raw_Data!J4569,"MMM-YYY")</f>
        <v>Aug-2025</v>
      </c>
      <c r="K4569" s="13" t="str">
        <f>Raw_Data!K4569</f>
        <v>11</v>
      </c>
      <c r="L4569" s="17" t="str">
        <f>Raw_Data!L4569</f>
        <v>Kolkata-East</v>
      </c>
      <c r="M4569" s="13" t="str">
        <f t="shared" si="3"/>
        <v>OK</v>
      </c>
      <c r="N4569" s="18" t="str">
        <f t="shared" si="4"/>
        <v>VALID</v>
      </c>
    </row>
    <row r="4570" ht="15.75" customHeight="1">
      <c r="A4570" s="13" t="str">
        <f>Raw_Data!A4570</f>
        <v>EMP4815</v>
      </c>
      <c r="B4570" s="13" t="str">
        <f>TRIM(CLEAN(Raw_Data!B4570))</f>
        <v>Finance</v>
      </c>
      <c r="C4570" s="18" t="s">
        <v>18</v>
      </c>
      <c r="D4570" s="14" t="str">
        <f>IF(ISBLANK(Raw_Data!D4570),AVERAGE(Raw_Data!D$2:D$5002),Raw_Data!D4570)</f>
        <v>98494.55</v>
      </c>
      <c r="E4570" s="15" t="str">
        <f>IF(ISBLANK(Raw_Data!E4570),AVERAGE(Raw_Data!E$2:E$5002),Raw_Data!E4570)</f>
        <v>33831.50</v>
      </c>
      <c r="F4570" s="15" t="str">
        <f>IF(ISBLANK(Raw_Data!F4570),AVERAGE(Raw_Data!F$2:F$5002),Raw_Data!F4570)</f>
        <v>37150.47</v>
      </c>
      <c r="G4570" s="14" t="str">
        <f>IF(ISBLANK(Raw_Data!G4570),AVERAGE(Raw_Data!G$2:G$5002),Raw_Data!G4570)</f>
        <v>4723.71</v>
      </c>
      <c r="H4570" s="15" t="str">
        <f t="shared" si="1"/>
        <v>169477.00</v>
      </c>
      <c r="I4570" s="14" t="str">
        <f t="shared" si="2"/>
        <v>164753.00</v>
      </c>
      <c r="J4570" s="16" t="str">
        <f>TEXT(Raw_Data!J4570,"MMM-YYY")</f>
        <v>Sep-2025</v>
      </c>
      <c r="K4570" s="13" t="str">
        <f>Raw_Data!K4570</f>
        <v>12</v>
      </c>
      <c r="L4570" s="17" t="str">
        <f>Raw_Data!L4570</f>
        <v>Pune-West</v>
      </c>
      <c r="M4570" s="13" t="str">
        <f t="shared" si="3"/>
        <v>OK</v>
      </c>
      <c r="N4570" s="18" t="str">
        <f t="shared" si="4"/>
        <v>VALID</v>
      </c>
    </row>
    <row r="4571" ht="15.75" customHeight="1">
      <c r="A4571" s="13" t="str">
        <f>Raw_Data!A4571</f>
        <v>EMP4816</v>
      </c>
      <c r="B4571" s="13" t="str">
        <f>TRIM(CLEAN(Raw_Data!B4571))</f>
        <v>Finance</v>
      </c>
      <c r="C4571" s="18" t="s">
        <v>33</v>
      </c>
      <c r="D4571" s="14" t="str">
        <f>IF(ISBLANK(Raw_Data!D4571),AVERAGE(Raw_Data!D$2:D$5002),Raw_Data!D4571)</f>
        <v>43437.39</v>
      </c>
      <c r="E4571" s="15" t="str">
        <f>IF(ISBLANK(Raw_Data!E4571),AVERAGE(Raw_Data!E$2:E$5002),Raw_Data!E4571)</f>
        <v>32204.90</v>
      </c>
      <c r="F4571" s="15" t="str">
        <f>IF(ISBLANK(Raw_Data!F4571),AVERAGE(Raw_Data!F$2:F$5002),Raw_Data!F4571)</f>
        <v>37158.15</v>
      </c>
      <c r="G4571" s="14" t="str">
        <f>IF(ISBLANK(Raw_Data!G4571),AVERAGE(Raw_Data!G$2:G$5002),Raw_Data!G4571)</f>
        <v>18131.77</v>
      </c>
      <c r="H4571" s="15" t="str">
        <f t="shared" si="1"/>
        <v>112800.00</v>
      </c>
      <c r="I4571" s="14" t="str">
        <f t="shared" si="2"/>
        <v>94668.00</v>
      </c>
      <c r="J4571" s="16" t="str">
        <f>TEXT(Raw_Data!J4571,"MMM-YYY")</f>
        <v>Mar-2025</v>
      </c>
      <c r="K4571" s="13" t="str">
        <f>Raw_Data!K4571</f>
        <v>10</v>
      </c>
      <c r="L4571" s="17" t="str">
        <f>Raw_Data!L4571</f>
        <v>Hyderabad-South</v>
      </c>
      <c r="M4571" s="13" t="str">
        <f t="shared" si="3"/>
        <v>OK</v>
      </c>
      <c r="N4571" s="18" t="str">
        <f t="shared" si="4"/>
        <v>VALID</v>
      </c>
    </row>
    <row r="4572" ht="15.75" customHeight="1">
      <c r="A4572" s="13" t="str">
        <f>Raw_Data!A4572</f>
        <v>EMP4817</v>
      </c>
      <c r="B4572" s="13" t="str">
        <f>TRIM(CLEAN(Raw_Data!B4572))</f>
        <v>Marketing</v>
      </c>
      <c r="C4572" s="18" t="s">
        <v>26</v>
      </c>
      <c r="D4572" s="14" t="str">
        <f>IF(ISBLANK(Raw_Data!D4572),AVERAGE(Raw_Data!D$2:D$5002),Raw_Data!D4572)</f>
        <v>61092.00</v>
      </c>
      <c r="E4572" s="15" t="str">
        <f>IF(ISBLANK(Raw_Data!E4572),AVERAGE(Raw_Data!E$2:E$5002),Raw_Data!E4572)</f>
        <v>13974.49</v>
      </c>
      <c r="F4572" s="15" t="str">
        <f>IF(ISBLANK(Raw_Data!F4572),AVERAGE(Raw_Data!F$2:F$5002),Raw_Data!F4572)</f>
        <v>37165.83</v>
      </c>
      <c r="G4572" s="14" t="str">
        <f>IF(ISBLANK(Raw_Data!G4572),AVERAGE(Raw_Data!G$2:G$5002),Raw_Data!G4572)</f>
        <v>15554.78</v>
      </c>
      <c r="H4572" s="15" t="str">
        <f t="shared" si="1"/>
        <v>112232.00</v>
      </c>
      <c r="I4572" s="14" t="str">
        <f t="shared" si="2"/>
        <v>96677.00</v>
      </c>
      <c r="J4572" s="16" t="str">
        <f>TEXT(Raw_Data!J4572,"MMM-YYY")</f>
        <v>May-2025</v>
      </c>
      <c r="K4572" s="13" t="str">
        <f>Raw_Data!K4572</f>
        <v>7</v>
      </c>
      <c r="L4572" s="17" t="str">
        <f>Raw_Data!L4572</f>
        <v>Chandigarh-North</v>
      </c>
      <c r="M4572" s="13" t="str">
        <f t="shared" si="3"/>
        <v>OK</v>
      </c>
      <c r="N4572" s="18" t="str">
        <f t="shared" si="4"/>
        <v>VALID</v>
      </c>
    </row>
    <row r="4573" ht="15.75" customHeight="1">
      <c r="A4573" s="13" t="str">
        <f>Raw_Data!A4573</f>
        <v>EMP4818</v>
      </c>
      <c r="B4573" s="13" t="str">
        <f>TRIM(CLEAN(Raw_Data!B4573))</f>
        <v>Customer Support</v>
      </c>
      <c r="C4573" s="18" t="s">
        <v>14</v>
      </c>
      <c r="D4573" s="14" t="str">
        <f>IF(ISBLANK(Raw_Data!D4573),AVERAGE(Raw_Data!D$2:D$5002),Raw_Data!D4573)</f>
        <v>23237.92</v>
      </c>
      <c r="E4573" s="15" t="str">
        <f>IF(ISBLANK(Raw_Data!E4573),AVERAGE(Raw_Data!E$2:E$5002),Raw_Data!E4573)</f>
        <v>37871.69</v>
      </c>
      <c r="F4573" s="15" t="str">
        <f>IF(ISBLANK(Raw_Data!F4573),AVERAGE(Raw_Data!F$2:F$5002),Raw_Data!F4573)</f>
        <v>37173.51</v>
      </c>
      <c r="G4573" s="14" t="str">
        <f>IF(ISBLANK(Raw_Data!G4573),AVERAGE(Raw_Data!G$2:G$5002),Raw_Data!G4573)</f>
        <v>17152.04</v>
      </c>
      <c r="H4573" s="15" t="str">
        <f t="shared" si="1"/>
        <v>98283.00</v>
      </c>
      <c r="I4573" s="14" t="str">
        <f t="shared" si="2"/>
        <v>81131.00</v>
      </c>
      <c r="J4573" s="16" t="str">
        <f>TEXT(Raw_Data!J4573,"MMM-YYY")</f>
        <v>Aug-2025</v>
      </c>
      <c r="K4573" s="13" t="str">
        <f>Raw_Data!K4573</f>
        <v>17</v>
      </c>
      <c r="L4573" s="17" t="str">
        <f>Raw_Data!L4573</f>
        <v>Ahmedabad-West</v>
      </c>
      <c r="M4573" s="13" t="str">
        <f t="shared" si="3"/>
        <v>OK</v>
      </c>
      <c r="N4573" s="18" t="str">
        <f t="shared" si="4"/>
        <v>VALID</v>
      </c>
    </row>
    <row r="4574" ht="15.75" customHeight="1">
      <c r="A4574" s="13" t="str">
        <f>Raw_Data!A4574</f>
        <v>EMP4819</v>
      </c>
      <c r="B4574" s="13" t="str">
        <f>TRIM(CLEAN(Raw_Data!B4574))</f>
        <v>Finance</v>
      </c>
      <c r="C4574" s="18" t="s">
        <v>26</v>
      </c>
      <c r="D4574" s="14" t="str">
        <f>IF(ISBLANK(Raw_Data!D4574),AVERAGE(Raw_Data!D$2:D$5002),Raw_Data!D4574)</f>
        <v>17661.83</v>
      </c>
      <c r="E4574" s="15" t="str">
        <f>IF(ISBLANK(Raw_Data!E4574),AVERAGE(Raw_Data!E$2:E$5002),Raw_Data!E4574)</f>
        <v>8476.45</v>
      </c>
      <c r="F4574" s="15" t="str">
        <f>IF(ISBLANK(Raw_Data!F4574),AVERAGE(Raw_Data!F$2:F$5002),Raw_Data!F4574)</f>
        <v>37181.19</v>
      </c>
      <c r="G4574" s="14" t="str">
        <f>IF(ISBLANK(Raw_Data!G4574),AVERAGE(Raw_Data!G$2:G$5002),Raw_Data!G4574)</f>
        <v>9104.88</v>
      </c>
      <c r="H4574" s="15" t="str">
        <f t="shared" si="1"/>
        <v>63319.00</v>
      </c>
      <c r="I4574" s="14" t="str">
        <f t="shared" si="2"/>
        <v>54214.00</v>
      </c>
      <c r="J4574" s="16" t="str">
        <f>TEXT(Raw_Data!J4574,"MMM-YYY")</f>
        <v>May-2025</v>
      </c>
      <c r="K4574" s="13" t="str">
        <f>Raw_Data!K4574</f>
        <v>25</v>
      </c>
      <c r="L4574" s="17" t="str">
        <f>Raw_Data!L4574</f>
        <v>Jaipur-North</v>
      </c>
      <c r="M4574" s="13" t="str">
        <f t="shared" si="3"/>
        <v>OK</v>
      </c>
      <c r="N4574" s="18" t="str">
        <f t="shared" si="4"/>
        <v>VALID</v>
      </c>
    </row>
    <row r="4575" ht="15.75" customHeight="1">
      <c r="A4575" s="13" t="str">
        <f>Raw_Data!A4575</f>
        <v>EMP4820</v>
      </c>
      <c r="B4575" s="13" t="str">
        <f>TRIM(CLEAN(Raw_Data!B4575))</f>
        <v>HR</v>
      </c>
      <c r="C4575" s="18" t="s">
        <v>26</v>
      </c>
      <c r="D4575" s="14" t="str">
        <f>IF(ISBLANK(Raw_Data!D4575),AVERAGE(Raw_Data!D$2:D$5002),Raw_Data!D4575)</f>
        <v>116078.08</v>
      </c>
      <c r="E4575" s="15" t="str">
        <f>IF(ISBLANK(Raw_Data!E4575),AVERAGE(Raw_Data!E$2:E$5002),Raw_Data!E4575)</f>
        <v>35504.81</v>
      </c>
      <c r="F4575" s="15" t="str">
        <f>IF(ISBLANK(Raw_Data!F4575),AVERAGE(Raw_Data!F$2:F$5002),Raw_Data!F4575)</f>
        <v>37188.87</v>
      </c>
      <c r="G4575" s="14" t="str">
        <f>IF(ISBLANK(Raw_Data!G4575),AVERAGE(Raw_Data!G$2:G$5002),Raw_Data!G4575)</f>
        <v>8190.04</v>
      </c>
      <c r="H4575" s="15" t="str">
        <f t="shared" si="1"/>
        <v>188772.00</v>
      </c>
      <c r="I4575" s="14" t="str">
        <f t="shared" si="2"/>
        <v>180582.00</v>
      </c>
      <c r="J4575" s="16" t="str">
        <f>TEXT(Raw_Data!J4575,"MMM-YYY")</f>
        <v>Jun-2025</v>
      </c>
      <c r="K4575" s="13" t="str">
        <f>Raw_Data!K4575</f>
        <v>1</v>
      </c>
      <c r="L4575" s="17" t="str">
        <f>Raw_Data!L4575</f>
        <v>Mumbai-HO</v>
      </c>
      <c r="M4575" s="13" t="str">
        <f t="shared" si="3"/>
        <v>OK</v>
      </c>
      <c r="N4575" s="18" t="str">
        <f t="shared" si="4"/>
        <v>VALID</v>
      </c>
    </row>
    <row r="4576" ht="15.75" customHeight="1">
      <c r="A4576" s="13" t="str">
        <f>Raw_Data!A4576</f>
        <v>EMP4821</v>
      </c>
      <c r="B4576" s="13" t="str">
        <f>TRIM(CLEAN(Raw_Data!B4576))</f>
        <v>Sales</v>
      </c>
      <c r="C4576" s="18" t="s">
        <v>18</v>
      </c>
      <c r="D4576" s="14" t="str">
        <f>IF(ISBLANK(Raw_Data!D4576),AVERAGE(Raw_Data!D$2:D$5002),Raw_Data!D4576)</f>
        <v>71831.17</v>
      </c>
      <c r="E4576" s="15" t="str">
        <f>IF(ISBLANK(Raw_Data!E4576),AVERAGE(Raw_Data!E$2:E$5002),Raw_Data!E4576)</f>
        <v>38953.85</v>
      </c>
      <c r="F4576" s="15" t="str">
        <f>IF(ISBLANK(Raw_Data!F4576),AVERAGE(Raw_Data!F$2:F$5002),Raw_Data!F4576)</f>
        <v>37196.55</v>
      </c>
      <c r="G4576" s="14" t="str">
        <f>IF(ISBLANK(Raw_Data!G4576),AVERAGE(Raw_Data!G$2:G$5002),Raw_Data!G4576)</f>
        <v>17263.14</v>
      </c>
      <c r="H4576" s="15" t="str">
        <f t="shared" si="1"/>
        <v>147982.00</v>
      </c>
      <c r="I4576" s="14" t="str">
        <f t="shared" si="2"/>
        <v>130719.00</v>
      </c>
      <c r="J4576" s="16" t="str">
        <f>TEXT(Raw_Data!J4576,"MMM-YYY")</f>
        <v>Oct-2025</v>
      </c>
      <c r="K4576" s="13" t="str">
        <f>Raw_Data!K4576</f>
        <v>8</v>
      </c>
      <c r="L4576" s="17" t="str">
        <f>Raw_Data!L4576</f>
        <v>Delhi-North</v>
      </c>
      <c r="M4576" s="13" t="str">
        <f t="shared" si="3"/>
        <v>OK</v>
      </c>
      <c r="N4576" s="18" t="str">
        <f t="shared" si="4"/>
        <v>VALID</v>
      </c>
    </row>
    <row r="4577" ht="15.75" customHeight="1">
      <c r="A4577" s="13" t="str">
        <f>Raw_Data!A4577</f>
        <v>EMP4822</v>
      </c>
      <c r="B4577" s="13" t="str">
        <f>TRIM(CLEAN(Raw_Data!B4577))</f>
        <v>Finance</v>
      </c>
      <c r="C4577" s="18" t="s">
        <v>30</v>
      </c>
      <c r="D4577" s="14" t="str">
        <f>IF(ISBLANK(Raw_Data!D4577),AVERAGE(Raw_Data!D$2:D$5002),Raw_Data!D4577)</f>
        <v>88077.29</v>
      </c>
      <c r="E4577" s="15" t="str">
        <f>IF(ISBLANK(Raw_Data!E4577),AVERAGE(Raw_Data!E$2:E$5002),Raw_Data!E4577)</f>
        <v>10377.53</v>
      </c>
      <c r="F4577" s="15" t="str">
        <f>IF(ISBLANK(Raw_Data!F4577),AVERAGE(Raw_Data!F$2:F$5002),Raw_Data!F4577)</f>
        <v>37204.23</v>
      </c>
      <c r="G4577" s="14" t="str">
        <f>IF(ISBLANK(Raw_Data!G4577),AVERAGE(Raw_Data!G$2:G$5002),Raw_Data!G4577)</f>
        <v>5780.81</v>
      </c>
      <c r="H4577" s="15" t="str">
        <f t="shared" si="1"/>
        <v>135659.00</v>
      </c>
      <c r="I4577" s="14" t="str">
        <f t="shared" si="2"/>
        <v>129878.00</v>
      </c>
      <c r="J4577" s="16" t="str">
        <f>TEXT(Raw_Data!J4577,"MMM-YYY")</f>
        <v>Nov-2025</v>
      </c>
      <c r="K4577" s="13" t="str">
        <f>Raw_Data!K4577</f>
        <v>12</v>
      </c>
      <c r="L4577" s="17" t="str">
        <f>Raw_Data!L4577</f>
        <v>Bangalore-South</v>
      </c>
      <c r="M4577" s="13" t="str">
        <f t="shared" si="3"/>
        <v>OK</v>
      </c>
      <c r="N4577" s="18" t="str">
        <f t="shared" si="4"/>
        <v>VALID</v>
      </c>
    </row>
    <row r="4578" ht="15.75" customHeight="1">
      <c r="A4578" s="13" t="str">
        <f>Raw_Data!A4578</f>
        <v>EMP4823</v>
      </c>
      <c r="B4578" s="13" t="str">
        <f>TRIM(CLEAN(Raw_Data!B4578))</f>
        <v>IT</v>
      </c>
      <c r="C4578" s="18" t="s">
        <v>37</v>
      </c>
      <c r="D4578" s="14" t="str">
        <f>IF(ISBLANK(Raw_Data!D4578),AVERAGE(Raw_Data!D$2:D$5002),Raw_Data!D4578)</f>
        <v>57940.06</v>
      </c>
      <c r="E4578" s="15" t="str">
        <f>IF(ISBLANK(Raw_Data!E4578),AVERAGE(Raw_Data!E$2:E$5002),Raw_Data!E4578)</f>
        <v>29994.38</v>
      </c>
      <c r="F4578" s="15" t="str">
        <f>IF(ISBLANK(Raw_Data!F4578),AVERAGE(Raw_Data!F$2:F$5002),Raw_Data!F4578)</f>
        <v>37211.91</v>
      </c>
      <c r="G4578" s="14" t="str">
        <f>IF(ISBLANK(Raw_Data!G4578),AVERAGE(Raw_Data!G$2:G$5002),Raw_Data!G4578)</f>
        <v>10781.54</v>
      </c>
      <c r="H4578" s="15" t="str">
        <f t="shared" si="1"/>
        <v>125146.00</v>
      </c>
      <c r="I4578" s="14" t="str">
        <f t="shared" si="2"/>
        <v>114364.00</v>
      </c>
      <c r="J4578" s="16" t="str">
        <f>TEXT(Raw_Data!J4578,"MMM-YYY")</f>
        <v>Nov-2025</v>
      </c>
      <c r="K4578" s="13" t="str">
        <f>Raw_Data!K4578</f>
        <v>7</v>
      </c>
      <c r="L4578" s="17" t="str">
        <f>Raw_Data!L4578</f>
        <v>Chennai-South</v>
      </c>
      <c r="M4578" s="13" t="str">
        <f t="shared" si="3"/>
        <v>OK</v>
      </c>
      <c r="N4578" s="18" t="str">
        <f t="shared" si="4"/>
        <v>VALID</v>
      </c>
    </row>
    <row r="4579" ht="15.75" customHeight="1">
      <c r="A4579" s="13" t="str">
        <f>Raw_Data!A4579</f>
        <v>EMP4824</v>
      </c>
      <c r="B4579" s="13" t="str">
        <f>TRIM(CLEAN(Raw_Data!B4579))</f>
        <v>Finance</v>
      </c>
      <c r="C4579" s="18" t="s">
        <v>33</v>
      </c>
      <c r="D4579" s="14" t="str">
        <f>IF(ISBLANK(Raw_Data!D4579),AVERAGE(Raw_Data!D$2:D$5002),Raw_Data!D4579)</f>
        <v>33195.90</v>
      </c>
      <c r="E4579" s="15" t="str">
        <f>IF(ISBLANK(Raw_Data!E4579),AVERAGE(Raw_Data!E$2:E$5002),Raw_Data!E4579)</f>
        <v>5450.28</v>
      </c>
      <c r="F4579" s="15" t="str">
        <f>IF(ISBLANK(Raw_Data!F4579),AVERAGE(Raw_Data!F$2:F$5002),Raw_Data!F4579)</f>
        <v>37219.59</v>
      </c>
      <c r="G4579" s="14" t="str">
        <f>IF(ISBLANK(Raw_Data!G4579),AVERAGE(Raw_Data!G$2:G$5002),Raw_Data!G4579)</f>
        <v>5110.28</v>
      </c>
      <c r="H4579" s="15" t="str">
        <f t="shared" si="1"/>
        <v>75866.00</v>
      </c>
      <c r="I4579" s="14" t="str">
        <f t="shared" si="2"/>
        <v>70756.00</v>
      </c>
      <c r="J4579" s="16" t="str">
        <f>TEXT(Raw_Data!J4579,"MMM-YYY")</f>
        <v>Sep-2025</v>
      </c>
      <c r="K4579" s="13" t="str">
        <f>Raw_Data!K4579</f>
        <v>23</v>
      </c>
      <c r="L4579" s="17" t="str">
        <f>Raw_Data!L4579</f>
        <v>Kolkata-East</v>
      </c>
      <c r="M4579" s="13" t="str">
        <f t="shared" si="3"/>
        <v>OK</v>
      </c>
      <c r="N4579" s="18" t="str">
        <f t="shared" si="4"/>
        <v>VALID</v>
      </c>
    </row>
    <row r="4580" ht="15.75" customHeight="1">
      <c r="A4580" s="13" t="str">
        <f>Raw_Data!A4580</f>
        <v>EMP4825</v>
      </c>
      <c r="B4580" s="13" t="str">
        <f>TRIM(CLEAN(Raw_Data!B4580))</f>
        <v>Finance</v>
      </c>
      <c r="C4580" s="18" t="s">
        <v>14</v>
      </c>
      <c r="D4580" s="14" t="str">
        <f>IF(ISBLANK(Raw_Data!D4580),AVERAGE(Raw_Data!D$2:D$5002),Raw_Data!D4580)</f>
        <v>31425.89</v>
      </c>
      <c r="E4580" s="15" t="str">
        <f>IF(ISBLANK(Raw_Data!E4580),AVERAGE(Raw_Data!E$2:E$5002),Raw_Data!E4580)</f>
        <v>18595.22</v>
      </c>
      <c r="F4580" s="15" t="str">
        <f>IF(ISBLANK(Raw_Data!F4580),AVERAGE(Raw_Data!F$2:F$5002),Raw_Data!F4580)</f>
        <v>37227.27</v>
      </c>
      <c r="G4580" s="14" t="str">
        <f>IF(ISBLANK(Raw_Data!G4580),AVERAGE(Raw_Data!G$2:G$5002),Raw_Data!G4580)</f>
        <v>703.47</v>
      </c>
      <c r="H4580" s="15" t="str">
        <f t="shared" si="1"/>
        <v>87248.00</v>
      </c>
      <c r="I4580" s="14" t="str">
        <f t="shared" si="2"/>
        <v>86545.00</v>
      </c>
      <c r="J4580" s="16" t="str">
        <f>TEXT(Raw_Data!J4580,"MMM-YYY")</f>
        <v>Jan-2025</v>
      </c>
      <c r="K4580" s="13" t="str">
        <f>Raw_Data!K4580</f>
        <v>6</v>
      </c>
      <c r="L4580" s="17" t="str">
        <f>Raw_Data!L4580</f>
        <v>Pune-West</v>
      </c>
      <c r="M4580" s="13" t="str">
        <f t="shared" si="3"/>
        <v>OK</v>
      </c>
      <c r="N4580" s="18" t="str">
        <f t="shared" si="4"/>
        <v>VALID</v>
      </c>
    </row>
    <row r="4581" ht="15.75" customHeight="1">
      <c r="A4581" s="13" t="str">
        <f>Raw_Data!A4581</f>
        <v>EMP4826</v>
      </c>
      <c r="B4581" s="13" t="str">
        <f>TRIM(CLEAN(Raw_Data!B4581))</f>
        <v>Marketing</v>
      </c>
      <c r="C4581" s="18" t="s">
        <v>30</v>
      </c>
      <c r="D4581" s="14" t="str">
        <f>IF(ISBLANK(Raw_Data!D4581),AVERAGE(Raw_Data!D$2:D$5002),Raw_Data!D4581)</f>
        <v>41275.50</v>
      </c>
      <c r="E4581" s="15" t="str">
        <f>IF(ISBLANK(Raw_Data!E4581),AVERAGE(Raw_Data!E$2:E$5002),Raw_Data!E4581)</f>
        <v>22586.20</v>
      </c>
      <c r="F4581" s="15" t="str">
        <f>IF(ISBLANK(Raw_Data!F4581),AVERAGE(Raw_Data!F$2:F$5002),Raw_Data!F4581)</f>
        <v>37234.95</v>
      </c>
      <c r="G4581" s="14" t="str">
        <f>IF(ISBLANK(Raw_Data!G4581),AVERAGE(Raw_Data!G$2:G$5002),Raw_Data!G4581)</f>
        <v>24266.41</v>
      </c>
      <c r="H4581" s="15" t="str">
        <f t="shared" si="1"/>
        <v>101097.00</v>
      </c>
      <c r="I4581" s="14" t="str">
        <f t="shared" si="2"/>
        <v>76831.00</v>
      </c>
      <c r="J4581" s="16" t="str">
        <f>TEXT(Raw_Data!J4581,"MMM-YYY")</f>
        <v>May-2025</v>
      </c>
      <c r="K4581" s="13" t="str">
        <f>Raw_Data!K4581</f>
        <v>20</v>
      </c>
      <c r="L4581" s="17" t="str">
        <f>Raw_Data!L4581</f>
        <v>Hyderabad-South</v>
      </c>
      <c r="M4581" s="13" t="str">
        <f t="shared" si="3"/>
        <v>OK</v>
      </c>
      <c r="N4581" s="18" t="str">
        <f t="shared" si="4"/>
        <v>VALID</v>
      </c>
    </row>
    <row r="4582" ht="15.75" customHeight="1">
      <c r="A4582" s="13" t="str">
        <f>Raw_Data!A4582</f>
        <v>EMP4827</v>
      </c>
      <c r="B4582" s="13" t="str">
        <f>TRIM(CLEAN(Raw_Data!B4582))</f>
        <v>Operations</v>
      </c>
      <c r="C4582" s="18" t="s">
        <v>18</v>
      </c>
      <c r="D4582" s="14" t="str">
        <f>IF(ISBLANK(Raw_Data!D4582),AVERAGE(Raw_Data!D$2:D$5002),Raw_Data!D4582)</f>
        <v>72668.80</v>
      </c>
      <c r="E4582" s="15" t="str">
        <f>IF(ISBLANK(Raw_Data!E4582),AVERAGE(Raw_Data!E$2:E$5002),Raw_Data!E4582)</f>
        <v>24903.23</v>
      </c>
      <c r="F4582" s="15" t="str">
        <f>IF(ISBLANK(Raw_Data!F4582),AVERAGE(Raw_Data!F$2:F$5002),Raw_Data!F4582)</f>
        <v>37242.63</v>
      </c>
      <c r="G4582" s="14" t="str">
        <f>IF(ISBLANK(Raw_Data!G4582),AVERAGE(Raw_Data!G$2:G$5002),Raw_Data!G4582)</f>
        <v>11076.72</v>
      </c>
      <c r="H4582" s="15" t="str">
        <f t="shared" si="1"/>
        <v>134815.00</v>
      </c>
      <c r="I4582" s="14" t="str">
        <f t="shared" si="2"/>
        <v>123738.00</v>
      </c>
      <c r="J4582" s="16" t="str">
        <f>TEXT(Raw_Data!J4582,"MMM-YYY")</f>
        <v>Dec-2025</v>
      </c>
      <c r="K4582" s="13" t="str">
        <f>Raw_Data!K4582</f>
        <v>20</v>
      </c>
      <c r="L4582" s="17" t="str">
        <f>Raw_Data!L4582</f>
        <v>Chandigarh-North</v>
      </c>
      <c r="M4582" s="13" t="str">
        <f t="shared" si="3"/>
        <v>OK</v>
      </c>
      <c r="N4582" s="18" t="str">
        <f t="shared" si="4"/>
        <v>VALID</v>
      </c>
    </row>
    <row r="4583" ht="15.75" customHeight="1">
      <c r="A4583" s="13" t="str">
        <f>Raw_Data!A4583</f>
        <v>EMP4828</v>
      </c>
      <c r="B4583" s="13" t="str">
        <f>TRIM(CLEAN(Raw_Data!B4583))</f>
        <v>Customer Support</v>
      </c>
      <c r="C4583" s="18" t="s">
        <v>30</v>
      </c>
      <c r="D4583" s="14" t="str">
        <f>IF(ISBLANK(Raw_Data!D4583),AVERAGE(Raw_Data!D$2:D$5002),Raw_Data!D4583)</f>
        <v>90032.57</v>
      </c>
      <c r="E4583" s="15" t="str">
        <f>IF(ISBLANK(Raw_Data!E4583),AVERAGE(Raw_Data!E$2:E$5002),Raw_Data!E4583)</f>
        <v>37693.74</v>
      </c>
      <c r="F4583" s="15" t="str">
        <f>IF(ISBLANK(Raw_Data!F4583),AVERAGE(Raw_Data!F$2:F$5002),Raw_Data!F4583)</f>
        <v>37250.31</v>
      </c>
      <c r="G4583" s="14" t="str">
        <f>IF(ISBLANK(Raw_Data!G4583),AVERAGE(Raw_Data!G$2:G$5002),Raw_Data!G4583)</f>
        <v>24249.07</v>
      </c>
      <c r="H4583" s="15" t="str">
        <f t="shared" si="1"/>
        <v>164977.00</v>
      </c>
      <c r="I4583" s="14" t="str">
        <f t="shared" si="2"/>
        <v>140728.00</v>
      </c>
      <c r="J4583" s="16" t="str">
        <f>TEXT(Raw_Data!J4583,"MMM-YYY")</f>
        <v>Dec-2025</v>
      </c>
      <c r="K4583" s="13" t="str">
        <f>Raw_Data!K4583</f>
        <v>16</v>
      </c>
      <c r="L4583" s="17" t="str">
        <f>Raw_Data!L4583</f>
        <v>Ahmedabad-West</v>
      </c>
      <c r="M4583" s="13" t="str">
        <f t="shared" si="3"/>
        <v>OK</v>
      </c>
      <c r="N4583" s="18" t="str">
        <f t="shared" si="4"/>
        <v>VALID</v>
      </c>
    </row>
    <row r="4584" ht="15.75" customHeight="1">
      <c r="A4584" s="13" t="str">
        <f>Raw_Data!A4584</f>
        <v>EMP4829</v>
      </c>
      <c r="B4584" s="13" t="str">
        <f>TRIM(CLEAN(Raw_Data!B4584))</f>
        <v>HR</v>
      </c>
      <c r="C4584" s="18" t="s">
        <v>14</v>
      </c>
      <c r="D4584" s="14" t="str">
        <f>IF(ISBLANK(Raw_Data!D4584),AVERAGE(Raw_Data!D$2:D$5002),Raw_Data!D4584)</f>
        <v>84320.72</v>
      </c>
      <c r="E4584" s="15" t="str">
        <f>IF(ISBLANK(Raw_Data!E4584),AVERAGE(Raw_Data!E$2:E$5002),Raw_Data!E4584)</f>
        <v>28201.02</v>
      </c>
      <c r="F4584" s="15" t="str">
        <f>IF(ISBLANK(Raw_Data!F4584),AVERAGE(Raw_Data!F$2:F$5002),Raw_Data!F4584)</f>
        <v>37257.99</v>
      </c>
      <c r="G4584" s="14" t="str">
        <f>IF(ISBLANK(Raw_Data!G4584),AVERAGE(Raw_Data!G$2:G$5002),Raw_Data!G4584)</f>
        <v>3937.93</v>
      </c>
      <c r="H4584" s="15" t="str">
        <f t="shared" si="1"/>
        <v>149780.00</v>
      </c>
      <c r="I4584" s="14" t="str">
        <f t="shared" si="2"/>
        <v>145842.00</v>
      </c>
      <c r="J4584" s="16" t="str">
        <f>TEXT(Raw_Data!J4584,"MMM-YYY")</f>
        <v>Nov-2025</v>
      </c>
      <c r="K4584" s="13" t="str">
        <f>Raw_Data!K4584</f>
        <v>24</v>
      </c>
      <c r="L4584" s="17" t="str">
        <f>Raw_Data!L4584</f>
        <v>Jaipur-North</v>
      </c>
      <c r="M4584" s="13" t="str">
        <f t="shared" si="3"/>
        <v>OK</v>
      </c>
      <c r="N4584" s="18" t="str">
        <f t="shared" si="4"/>
        <v>VALID</v>
      </c>
    </row>
    <row r="4585" ht="15.75" customHeight="1">
      <c r="A4585" s="13" t="str">
        <f>Raw_Data!A4585</f>
        <v>EMP4830</v>
      </c>
      <c r="B4585" s="13" t="str">
        <f>TRIM(CLEAN(Raw_Data!B4585))</f>
        <v>IT</v>
      </c>
      <c r="C4585" s="18" t="s">
        <v>18</v>
      </c>
      <c r="D4585" s="14" t="str">
        <f>IF(ISBLANK(Raw_Data!D4585),AVERAGE(Raw_Data!D$2:D$5002),Raw_Data!D4585)</f>
        <v>44393.06</v>
      </c>
      <c r="E4585" s="15" t="str">
        <f>IF(ISBLANK(Raw_Data!E4585),AVERAGE(Raw_Data!E$2:E$5002),Raw_Data!E4585)</f>
        <v>21326.01</v>
      </c>
      <c r="F4585" s="15" t="str">
        <f>IF(ISBLANK(Raw_Data!F4585),AVERAGE(Raw_Data!F$2:F$5002),Raw_Data!F4585)</f>
        <v>37265.67</v>
      </c>
      <c r="G4585" s="14" t="str">
        <f>IF(ISBLANK(Raw_Data!G4585),AVERAGE(Raw_Data!G$2:G$5002),Raw_Data!G4585)</f>
        <v>14890.49</v>
      </c>
      <c r="H4585" s="15" t="str">
        <f t="shared" si="1"/>
        <v>102985.00</v>
      </c>
      <c r="I4585" s="14" t="str">
        <f t="shared" si="2"/>
        <v>88095.00</v>
      </c>
      <c r="J4585" s="16" t="str">
        <f>TEXT(Raw_Data!J4585,"MMM-YYY")</f>
        <v>Mar-2025</v>
      </c>
      <c r="K4585" s="13" t="str">
        <f>Raw_Data!K4585</f>
        <v>11</v>
      </c>
      <c r="L4585" s="17" t="str">
        <f>Raw_Data!L4585</f>
        <v>Mumbai-HO</v>
      </c>
      <c r="M4585" s="13" t="str">
        <f t="shared" si="3"/>
        <v>OK</v>
      </c>
      <c r="N4585" s="18" t="str">
        <f t="shared" si="4"/>
        <v>VALID</v>
      </c>
    </row>
    <row r="4586" ht="15.75" customHeight="1">
      <c r="A4586" s="13" t="str">
        <f>Raw_Data!A4586</f>
        <v>EMP4831</v>
      </c>
      <c r="B4586" s="13" t="str">
        <f>TRIM(CLEAN(Raw_Data!B4586))</f>
        <v>Marketing</v>
      </c>
      <c r="C4586" s="18" t="s">
        <v>18</v>
      </c>
      <c r="D4586" s="14" t="str">
        <f>IF(ISBLANK(Raw_Data!D4586),AVERAGE(Raw_Data!D$2:D$5002),Raw_Data!D4586)</f>
        <v>115260.85</v>
      </c>
      <c r="E4586" s="15" t="str">
        <f>IF(ISBLANK(Raw_Data!E4586),AVERAGE(Raw_Data!E$2:E$5002),Raw_Data!E4586)</f>
        <v>33148.30</v>
      </c>
      <c r="F4586" s="15" t="str">
        <f>IF(ISBLANK(Raw_Data!F4586),AVERAGE(Raw_Data!F$2:F$5002),Raw_Data!F4586)</f>
        <v>37273.35</v>
      </c>
      <c r="G4586" s="14" t="str">
        <f>IF(ISBLANK(Raw_Data!G4586),AVERAGE(Raw_Data!G$2:G$5002),Raw_Data!G4586)</f>
        <v>5423.86</v>
      </c>
      <c r="H4586" s="15" t="str">
        <f t="shared" si="1"/>
        <v>185683.00</v>
      </c>
      <c r="I4586" s="14" t="str">
        <f t="shared" si="2"/>
        <v>180259.00</v>
      </c>
      <c r="J4586" s="16" t="str">
        <f>TEXT(Raw_Data!J4586,"MMM-YYY")</f>
        <v>Sep-2025</v>
      </c>
      <c r="K4586" s="13" t="str">
        <f>Raw_Data!K4586</f>
        <v>23</v>
      </c>
      <c r="L4586" s="17" t="str">
        <f>Raw_Data!L4586</f>
        <v>Delhi-North</v>
      </c>
      <c r="M4586" s="13" t="str">
        <f t="shared" si="3"/>
        <v>OK</v>
      </c>
      <c r="N4586" s="18" t="str">
        <f t="shared" si="4"/>
        <v>VALID</v>
      </c>
    </row>
    <row r="4587" ht="15.75" customHeight="1">
      <c r="A4587" s="13" t="str">
        <f>Raw_Data!A4587</f>
        <v>EMP4832</v>
      </c>
      <c r="B4587" s="13" t="str">
        <f>TRIM(CLEAN(Raw_Data!B4587))</f>
        <v>HR</v>
      </c>
      <c r="C4587" s="18" t="s">
        <v>54</v>
      </c>
      <c r="D4587" s="14" t="str">
        <f>IF(ISBLANK(Raw_Data!D4587),AVERAGE(Raw_Data!D$2:D$5002),Raw_Data!D4587)</f>
        <v>92479.18</v>
      </c>
      <c r="E4587" s="15" t="str">
        <f>IF(ISBLANK(Raw_Data!E4587),AVERAGE(Raw_Data!E$2:E$5002),Raw_Data!E4587)</f>
        <v>38219.18</v>
      </c>
      <c r="F4587" s="15" t="str">
        <f>IF(ISBLANK(Raw_Data!F4587),AVERAGE(Raw_Data!F$2:F$5002),Raw_Data!F4587)</f>
        <v>37281.03</v>
      </c>
      <c r="G4587" s="14" t="str">
        <f>IF(ISBLANK(Raw_Data!G4587),AVERAGE(Raw_Data!G$2:G$5002),Raw_Data!G4587)</f>
        <v>19856.82</v>
      </c>
      <c r="H4587" s="15" t="str">
        <f t="shared" si="1"/>
        <v>167979.00</v>
      </c>
      <c r="I4587" s="14" t="str">
        <f t="shared" si="2"/>
        <v>148122.00</v>
      </c>
      <c r="J4587" s="16" t="str">
        <f>TEXT(Raw_Data!J4587,"MMM-YYY")</f>
        <v>Aug-2025</v>
      </c>
      <c r="K4587" s="13" t="str">
        <f>Raw_Data!K4587</f>
        <v>3</v>
      </c>
      <c r="L4587" s="17" t="str">
        <f>Raw_Data!L4587</f>
        <v>Bangalore-South</v>
      </c>
      <c r="M4587" s="13" t="str">
        <f t="shared" si="3"/>
        <v>OK</v>
      </c>
      <c r="N4587" s="18" t="str">
        <f t="shared" si="4"/>
        <v>VALID</v>
      </c>
    </row>
    <row r="4588" ht="15.75" customHeight="1">
      <c r="A4588" s="13" t="str">
        <f>Raw_Data!A4588</f>
        <v>EMP4833</v>
      </c>
      <c r="B4588" s="13" t="str">
        <f>TRIM(CLEAN(Raw_Data!B4588))</f>
        <v>Customer Support</v>
      </c>
      <c r="C4588" s="18" t="s">
        <v>30</v>
      </c>
      <c r="D4588" s="14" t="str">
        <f>IF(ISBLANK(Raw_Data!D4588),AVERAGE(Raw_Data!D$2:D$5002),Raw_Data!D4588)</f>
        <v>73207.18</v>
      </c>
      <c r="E4588" s="15" t="str">
        <f>IF(ISBLANK(Raw_Data!E4588),AVERAGE(Raw_Data!E$2:E$5002),Raw_Data!E4588)</f>
        <v>4794.38</v>
      </c>
      <c r="F4588" s="15" t="str">
        <f>IF(ISBLANK(Raw_Data!F4588),AVERAGE(Raw_Data!F$2:F$5002),Raw_Data!F4588)</f>
        <v>37288.71</v>
      </c>
      <c r="G4588" s="14" t="str">
        <f>IF(ISBLANK(Raw_Data!G4588),AVERAGE(Raw_Data!G$2:G$5002),Raw_Data!G4588)</f>
        <v>19700.72</v>
      </c>
      <c r="H4588" s="15" t="str">
        <f t="shared" si="1"/>
        <v>115290.00</v>
      </c>
      <c r="I4588" s="14" t="str">
        <f t="shared" si="2"/>
        <v>95589.00</v>
      </c>
      <c r="J4588" s="16" t="str">
        <f>TEXT(Raw_Data!J4588,"MMM-YYY")</f>
        <v>Sep-2025</v>
      </c>
      <c r="K4588" s="13" t="str">
        <f>Raw_Data!K4588</f>
        <v>12</v>
      </c>
      <c r="L4588" s="17" t="str">
        <f>Raw_Data!L4588</f>
        <v>Chennai-South</v>
      </c>
      <c r="M4588" s="13" t="str">
        <f t="shared" si="3"/>
        <v>OK</v>
      </c>
      <c r="N4588" s="18" t="str">
        <f t="shared" si="4"/>
        <v>VALID</v>
      </c>
    </row>
    <row r="4589" ht="15.75" customHeight="1">
      <c r="A4589" s="13" t="str">
        <f>Raw_Data!A4589</f>
        <v>EMP4834</v>
      </c>
      <c r="B4589" s="13" t="str">
        <f>TRIM(CLEAN(Raw_Data!B4589))</f>
        <v>Finance</v>
      </c>
      <c r="C4589" s="18" t="s">
        <v>30</v>
      </c>
      <c r="D4589" s="14" t="str">
        <f>IF(ISBLANK(Raw_Data!D4589),AVERAGE(Raw_Data!D$2:D$5002),Raw_Data!D4589)</f>
        <v>71831.17</v>
      </c>
      <c r="E4589" s="15" t="str">
        <f>IF(ISBLANK(Raw_Data!E4589),AVERAGE(Raw_Data!E$2:E$5002),Raw_Data!E4589)</f>
        <v>39370.77</v>
      </c>
      <c r="F4589" s="15" t="str">
        <f>IF(ISBLANK(Raw_Data!F4589),AVERAGE(Raw_Data!F$2:F$5002),Raw_Data!F4589)</f>
        <v>37296.39</v>
      </c>
      <c r="G4589" s="14" t="str">
        <f>IF(ISBLANK(Raw_Data!G4589),AVERAGE(Raw_Data!G$2:G$5002),Raw_Data!G4589)</f>
        <v>3258.88</v>
      </c>
      <c r="H4589" s="15" t="str">
        <f t="shared" si="1"/>
        <v>148498.00</v>
      </c>
      <c r="I4589" s="14" t="str">
        <f t="shared" si="2"/>
        <v>145239.00</v>
      </c>
      <c r="J4589" s="16" t="str">
        <f>TEXT(Raw_Data!J4589,"MMM-YYY")</f>
        <v>Dec-2025</v>
      </c>
      <c r="K4589" s="13" t="str">
        <f>Raw_Data!K4589</f>
        <v>8</v>
      </c>
      <c r="L4589" s="17" t="str">
        <f>Raw_Data!L4589</f>
        <v>Kolkata-East</v>
      </c>
      <c r="M4589" s="13" t="str">
        <f t="shared" si="3"/>
        <v>OK</v>
      </c>
      <c r="N4589" s="18" t="str">
        <f t="shared" si="4"/>
        <v>VALID</v>
      </c>
    </row>
    <row r="4590" ht="15.75" customHeight="1">
      <c r="A4590" s="13" t="str">
        <f>Raw_Data!A4590</f>
        <v>EMP4835</v>
      </c>
      <c r="B4590" s="13" t="str">
        <f>TRIM(CLEAN(Raw_Data!B4590))</f>
        <v>Operations</v>
      </c>
      <c r="C4590" s="18" t="s">
        <v>14</v>
      </c>
      <c r="D4590" s="14" t="str">
        <f>IF(ISBLANK(Raw_Data!D4590),AVERAGE(Raw_Data!D$2:D$5002),Raw_Data!D4590)</f>
        <v>59058.01</v>
      </c>
      <c r="E4590" s="15" t="str">
        <f>IF(ISBLANK(Raw_Data!E4590),AVERAGE(Raw_Data!E$2:E$5002),Raw_Data!E4590)</f>
        <v>7100.76</v>
      </c>
      <c r="F4590" s="15" t="str">
        <f>IF(ISBLANK(Raw_Data!F4590),AVERAGE(Raw_Data!F$2:F$5002),Raw_Data!F4590)</f>
        <v>37304.07</v>
      </c>
      <c r="G4590" s="14" t="str">
        <f>IF(ISBLANK(Raw_Data!G4590),AVERAGE(Raw_Data!G$2:G$5002),Raw_Data!G4590)</f>
        <v>22845.58</v>
      </c>
      <c r="H4590" s="15" t="str">
        <f t="shared" si="1"/>
        <v>103463.00</v>
      </c>
      <c r="I4590" s="14" t="str">
        <f t="shared" si="2"/>
        <v>80617.00</v>
      </c>
      <c r="J4590" s="16" t="str">
        <f>TEXT(Raw_Data!J4590,"MMM-YYY")</f>
        <v>Feb-2025</v>
      </c>
      <c r="K4590" s="13" t="str">
        <f>Raw_Data!K4590</f>
        <v>10</v>
      </c>
      <c r="L4590" s="17" t="str">
        <f>Raw_Data!L4590</f>
        <v>Pune-West</v>
      </c>
      <c r="M4590" s="13" t="str">
        <f t="shared" si="3"/>
        <v>OK</v>
      </c>
      <c r="N4590" s="18" t="str">
        <f t="shared" si="4"/>
        <v>VALID</v>
      </c>
    </row>
    <row r="4591" ht="15.75" customHeight="1">
      <c r="A4591" s="13" t="str">
        <f>Raw_Data!A4591</f>
        <v>EMP4836</v>
      </c>
      <c r="B4591" s="13" t="str">
        <f>TRIM(CLEAN(Raw_Data!B4591))</f>
        <v>Customer Support</v>
      </c>
      <c r="C4591" s="18" t="s">
        <v>14</v>
      </c>
      <c r="D4591" s="14" t="str">
        <f>IF(ISBLANK(Raw_Data!D4591),AVERAGE(Raw_Data!D$2:D$5002),Raw_Data!D4591)</f>
        <v>41011.75</v>
      </c>
      <c r="E4591" s="15" t="str">
        <f>IF(ISBLANK(Raw_Data!E4591),AVERAGE(Raw_Data!E$2:E$5002),Raw_Data!E4591)</f>
        <v>33317.92</v>
      </c>
      <c r="F4591" s="15" t="str">
        <f>IF(ISBLANK(Raw_Data!F4591),AVERAGE(Raw_Data!F$2:F$5002),Raw_Data!F4591)</f>
        <v>37311.75</v>
      </c>
      <c r="G4591" s="14" t="str">
        <f>IF(ISBLANK(Raw_Data!G4591),AVERAGE(Raw_Data!G$2:G$5002),Raw_Data!G4591)</f>
        <v>5268.43</v>
      </c>
      <c r="H4591" s="15" t="str">
        <f t="shared" si="1"/>
        <v>111641.00</v>
      </c>
      <c r="I4591" s="14" t="str">
        <f t="shared" si="2"/>
        <v>106373.00</v>
      </c>
      <c r="J4591" s="16" t="str">
        <f>TEXT(Raw_Data!J4591,"MMM-YYY")</f>
        <v>Jun-2025</v>
      </c>
      <c r="K4591" s="13" t="str">
        <f>Raw_Data!K4591</f>
        <v>23</v>
      </c>
      <c r="L4591" s="17" t="str">
        <f>Raw_Data!L4591</f>
        <v>Hyderabad-South</v>
      </c>
      <c r="M4591" s="13" t="str">
        <f t="shared" si="3"/>
        <v>OK</v>
      </c>
      <c r="N4591" s="18" t="str">
        <f t="shared" si="4"/>
        <v>VALID</v>
      </c>
    </row>
    <row r="4592" ht="15.75" customHeight="1">
      <c r="A4592" s="13" t="str">
        <f>Raw_Data!A4592</f>
        <v>EMP4837</v>
      </c>
      <c r="B4592" s="13" t="str">
        <f>TRIM(CLEAN(Raw_Data!B4592))</f>
        <v>IT</v>
      </c>
      <c r="C4592" s="18" t="s">
        <v>33</v>
      </c>
      <c r="D4592" s="14" t="str">
        <f>IF(ISBLANK(Raw_Data!D4592),AVERAGE(Raw_Data!D$2:D$5002),Raw_Data!D4592)</f>
        <v>52377.13</v>
      </c>
      <c r="E4592" s="15" t="str">
        <f>IF(ISBLANK(Raw_Data!E4592),AVERAGE(Raw_Data!E$2:E$5002),Raw_Data!E4592)</f>
        <v>14092.05</v>
      </c>
      <c r="F4592" s="15" t="str">
        <f>IF(ISBLANK(Raw_Data!F4592),AVERAGE(Raw_Data!F$2:F$5002),Raw_Data!F4592)</f>
        <v>37319.43</v>
      </c>
      <c r="G4592" s="14" t="str">
        <f>IF(ISBLANK(Raw_Data!G4592),AVERAGE(Raw_Data!G$2:G$5002),Raw_Data!G4592)</f>
        <v>15517.94</v>
      </c>
      <c r="H4592" s="15" t="str">
        <f t="shared" si="1"/>
        <v>103789.00</v>
      </c>
      <c r="I4592" s="14" t="str">
        <f t="shared" si="2"/>
        <v>88271.00</v>
      </c>
      <c r="J4592" s="16" t="str">
        <f>TEXT(Raw_Data!J4592,"MMM-YYY")</f>
        <v>Mar-2025</v>
      </c>
      <c r="K4592" s="13" t="str">
        <f>Raw_Data!K4592</f>
        <v>9</v>
      </c>
      <c r="L4592" s="17" t="str">
        <f>Raw_Data!L4592</f>
        <v>Chandigarh-North</v>
      </c>
      <c r="M4592" s="13" t="str">
        <f t="shared" si="3"/>
        <v>OK</v>
      </c>
      <c r="N4592" s="18" t="str">
        <f t="shared" si="4"/>
        <v>VALID</v>
      </c>
    </row>
    <row r="4593" ht="15.75" customHeight="1">
      <c r="A4593" s="13" t="str">
        <f>Raw_Data!A4593</f>
        <v>EMP4838</v>
      </c>
      <c r="B4593" s="13" t="str">
        <f>TRIM(CLEAN(Raw_Data!B4593))</f>
        <v>HR</v>
      </c>
      <c r="C4593" s="18" t="s">
        <v>18</v>
      </c>
      <c r="D4593" s="14" t="str">
        <f>IF(ISBLANK(Raw_Data!D4593),AVERAGE(Raw_Data!D$2:D$5002),Raw_Data!D4593)</f>
        <v>94573.84</v>
      </c>
      <c r="E4593" s="15" t="str">
        <f>IF(ISBLANK(Raw_Data!E4593),AVERAGE(Raw_Data!E$2:E$5002),Raw_Data!E4593)</f>
        <v>8758.47</v>
      </c>
      <c r="F4593" s="15" t="str">
        <f>IF(ISBLANK(Raw_Data!F4593),AVERAGE(Raw_Data!F$2:F$5002),Raw_Data!F4593)</f>
        <v>37327.11</v>
      </c>
      <c r="G4593" s="14" t="str">
        <f>IF(ISBLANK(Raw_Data!G4593),AVERAGE(Raw_Data!G$2:G$5002),Raw_Data!G4593)</f>
        <v>24648.02</v>
      </c>
      <c r="H4593" s="15" t="str">
        <f t="shared" si="1"/>
        <v>140659.00</v>
      </c>
      <c r="I4593" s="14" t="str">
        <f t="shared" si="2"/>
        <v>116011.00</v>
      </c>
      <c r="J4593" s="16" t="str">
        <f>TEXT(Raw_Data!J4593,"MMM-YYY")</f>
        <v>Mar-2025</v>
      </c>
      <c r="K4593" s="13" t="str">
        <f>Raw_Data!K4593</f>
        <v>9</v>
      </c>
      <c r="L4593" s="17" t="str">
        <f>Raw_Data!L4593</f>
        <v>Ahmedabad-West</v>
      </c>
      <c r="M4593" s="13" t="str">
        <f t="shared" si="3"/>
        <v>OK</v>
      </c>
      <c r="N4593" s="18" t="str">
        <f t="shared" si="4"/>
        <v>VALID</v>
      </c>
    </row>
    <row r="4594" ht="15.75" customHeight="1">
      <c r="A4594" s="13" t="str">
        <f>Raw_Data!A4594</f>
        <v>EMP4839</v>
      </c>
      <c r="B4594" s="13" t="str">
        <f>TRIM(CLEAN(Raw_Data!B4594))</f>
        <v>Marketing</v>
      </c>
      <c r="C4594" s="18" t="s">
        <v>18</v>
      </c>
      <c r="D4594" s="14" t="str">
        <f>IF(ISBLANK(Raw_Data!D4594),AVERAGE(Raw_Data!D$2:D$5002),Raw_Data!D4594)</f>
        <v>16511.32</v>
      </c>
      <c r="E4594" s="15" t="str">
        <f>IF(ISBLANK(Raw_Data!E4594),AVERAGE(Raw_Data!E$2:E$5002),Raw_Data!E4594)</f>
        <v>19834.80</v>
      </c>
      <c r="F4594" s="15" t="str">
        <f>IF(ISBLANK(Raw_Data!F4594),AVERAGE(Raw_Data!F$2:F$5002),Raw_Data!F4594)</f>
        <v>37334.79</v>
      </c>
      <c r="G4594" s="14" t="str">
        <f>IF(ISBLANK(Raw_Data!G4594),AVERAGE(Raw_Data!G$2:G$5002),Raw_Data!G4594)</f>
        <v>22118.72</v>
      </c>
      <c r="H4594" s="15" t="str">
        <f t="shared" si="1"/>
        <v>73681.00</v>
      </c>
      <c r="I4594" s="14" t="str">
        <f t="shared" si="2"/>
        <v>51562.00</v>
      </c>
      <c r="J4594" s="16" t="str">
        <f>TEXT(Raw_Data!J4594,"MMM-YYY")</f>
        <v>Sep-2025</v>
      </c>
      <c r="K4594" s="13" t="str">
        <f>Raw_Data!K4594</f>
        <v>24</v>
      </c>
      <c r="L4594" s="17" t="str">
        <f>Raw_Data!L4594</f>
        <v>Jaipur-North</v>
      </c>
      <c r="M4594" s="13" t="str">
        <f t="shared" si="3"/>
        <v>OK</v>
      </c>
      <c r="N4594" s="18" t="str">
        <f t="shared" si="4"/>
        <v>VALID</v>
      </c>
    </row>
    <row r="4595" ht="15.75" customHeight="1">
      <c r="A4595" s="13" t="str">
        <f>Raw_Data!A4595</f>
        <v>EMP4840</v>
      </c>
      <c r="B4595" s="13" t="str">
        <f>TRIM(CLEAN(Raw_Data!B4595))</f>
        <v>Finance</v>
      </c>
      <c r="C4595" s="18" t="s">
        <v>30</v>
      </c>
      <c r="D4595" s="14" t="str">
        <f>IF(ISBLANK(Raw_Data!D4595),AVERAGE(Raw_Data!D$2:D$5002),Raw_Data!D4595)</f>
        <v>27187.63</v>
      </c>
      <c r="E4595" s="15" t="str">
        <f>IF(ISBLANK(Raw_Data!E4595),AVERAGE(Raw_Data!E$2:E$5002),Raw_Data!E4595)</f>
        <v>27182.44</v>
      </c>
      <c r="F4595" s="15" t="str">
        <f>IF(ISBLANK(Raw_Data!F4595),AVERAGE(Raw_Data!F$2:F$5002),Raw_Data!F4595)</f>
        <v>37342.47</v>
      </c>
      <c r="G4595" s="14" t="str">
        <f>IF(ISBLANK(Raw_Data!G4595),AVERAGE(Raw_Data!G$2:G$5002),Raw_Data!G4595)</f>
        <v>23935.82</v>
      </c>
      <c r="H4595" s="15" t="str">
        <f t="shared" si="1"/>
        <v>91713.00</v>
      </c>
      <c r="I4595" s="14" t="str">
        <f t="shared" si="2"/>
        <v>67777.00</v>
      </c>
      <c r="J4595" s="16" t="str">
        <f>TEXT(Raw_Data!J4595,"MMM-YYY")</f>
        <v>May-2025</v>
      </c>
      <c r="K4595" s="13" t="str">
        <f>Raw_Data!K4595</f>
        <v>21</v>
      </c>
      <c r="L4595" s="17" t="str">
        <f>Raw_Data!L4595</f>
        <v>Mumbai-HO</v>
      </c>
      <c r="M4595" s="13" t="str">
        <f t="shared" si="3"/>
        <v>OK</v>
      </c>
      <c r="N4595" s="18" t="str">
        <f t="shared" si="4"/>
        <v>VALID</v>
      </c>
    </row>
    <row r="4596" ht="15.75" customHeight="1">
      <c r="A4596" s="13" t="str">
        <f>Raw_Data!A4596</f>
        <v>EMP4841</v>
      </c>
      <c r="B4596" s="13" t="str">
        <f>TRIM(CLEAN(Raw_Data!B4596))</f>
        <v>Finance</v>
      </c>
      <c r="C4596" s="18" t="s">
        <v>54</v>
      </c>
      <c r="D4596" s="14" t="str">
        <f>IF(ISBLANK(Raw_Data!D4596),AVERAGE(Raw_Data!D$2:D$5002),Raw_Data!D4596)</f>
        <v>19830.28</v>
      </c>
      <c r="E4596" s="15" t="str">
        <f>IF(ISBLANK(Raw_Data!E4596),AVERAGE(Raw_Data!E$2:E$5002),Raw_Data!E4596)</f>
        <v>17714.27</v>
      </c>
      <c r="F4596" s="15" t="str">
        <f>IF(ISBLANK(Raw_Data!F4596),AVERAGE(Raw_Data!F$2:F$5002),Raw_Data!F4596)</f>
        <v>37350.15</v>
      </c>
      <c r="G4596" s="14" t="str">
        <f>IF(ISBLANK(Raw_Data!G4596),AVERAGE(Raw_Data!G$2:G$5002),Raw_Data!G4596)</f>
        <v>8893.67</v>
      </c>
      <c r="H4596" s="15" t="str">
        <f t="shared" si="1"/>
        <v>74895.00</v>
      </c>
      <c r="I4596" s="14" t="str">
        <f t="shared" si="2"/>
        <v>66001.00</v>
      </c>
      <c r="J4596" s="16" t="str">
        <f>TEXT(Raw_Data!J4596,"MMM-YYY")</f>
        <v>Mar-2025</v>
      </c>
      <c r="K4596" s="13" t="str">
        <f>Raw_Data!K4596</f>
        <v>1</v>
      </c>
      <c r="L4596" s="17" t="str">
        <f>Raw_Data!L4596</f>
        <v>Delhi-North</v>
      </c>
      <c r="M4596" s="13" t="str">
        <f t="shared" si="3"/>
        <v>OK</v>
      </c>
      <c r="N4596" s="18" t="str">
        <f t="shared" si="4"/>
        <v>VALID</v>
      </c>
    </row>
    <row r="4597" ht="15.75" customHeight="1">
      <c r="A4597" s="13" t="str">
        <f>Raw_Data!A4597</f>
        <v>EMP4842</v>
      </c>
      <c r="B4597" s="13" t="str">
        <f>TRIM(CLEAN(Raw_Data!B4597))</f>
        <v>Sales</v>
      </c>
      <c r="C4597" s="18" t="s">
        <v>14</v>
      </c>
      <c r="D4597" s="14" t="str">
        <f>IF(ISBLANK(Raw_Data!D4597),AVERAGE(Raw_Data!D$2:D$5002),Raw_Data!D4597)</f>
        <v>19276.52</v>
      </c>
      <c r="E4597" s="15" t="str">
        <f>IF(ISBLANK(Raw_Data!E4597),AVERAGE(Raw_Data!E$2:E$5002),Raw_Data!E4597)</f>
        <v>5964.35</v>
      </c>
      <c r="F4597" s="15" t="str">
        <f>IF(ISBLANK(Raw_Data!F4597),AVERAGE(Raw_Data!F$2:F$5002),Raw_Data!F4597)</f>
        <v>37357.83</v>
      </c>
      <c r="G4597" s="14" t="str">
        <f>IF(ISBLANK(Raw_Data!G4597),AVERAGE(Raw_Data!G$2:G$5002),Raw_Data!G4597)</f>
        <v>3086.60</v>
      </c>
      <c r="H4597" s="15" t="str">
        <f t="shared" si="1"/>
        <v>62599.00</v>
      </c>
      <c r="I4597" s="14" t="str">
        <f t="shared" si="2"/>
        <v>59512.00</v>
      </c>
      <c r="J4597" s="16" t="str">
        <f>TEXT(Raw_Data!J4597,"MMM-YYY")</f>
        <v>Oct-2025</v>
      </c>
      <c r="K4597" s="13" t="str">
        <f>Raw_Data!K4597</f>
        <v>8</v>
      </c>
      <c r="L4597" s="17" t="str">
        <f>Raw_Data!L4597</f>
        <v>Bangalore-South</v>
      </c>
      <c r="M4597" s="13" t="str">
        <f t="shared" si="3"/>
        <v>OK</v>
      </c>
      <c r="N4597" s="18" t="str">
        <f t="shared" si="4"/>
        <v>VALID</v>
      </c>
    </row>
    <row r="4598" ht="15.75" customHeight="1">
      <c r="A4598" s="13" t="str">
        <f>Raw_Data!A4598</f>
        <v>EMP4843</v>
      </c>
      <c r="B4598" s="13" t="str">
        <f>TRIM(CLEAN(Raw_Data!B4598))</f>
        <v>Marketing</v>
      </c>
      <c r="C4598" s="18" t="s">
        <v>30</v>
      </c>
      <c r="D4598" s="14" t="str">
        <f>IF(ISBLANK(Raw_Data!D4598),AVERAGE(Raw_Data!D$2:D$5002),Raw_Data!D4598)</f>
        <v>104823.36</v>
      </c>
      <c r="E4598" s="15" t="str">
        <f>IF(ISBLANK(Raw_Data!E4598),AVERAGE(Raw_Data!E$2:E$5002),Raw_Data!E4598)</f>
        <v>25580.60</v>
      </c>
      <c r="F4598" s="15" t="str">
        <f>IF(ISBLANK(Raw_Data!F4598),AVERAGE(Raw_Data!F$2:F$5002),Raw_Data!F4598)</f>
        <v>37365.51</v>
      </c>
      <c r="G4598" s="14" t="str">
        <f>IF(ISBLANK(Raw_Data!G4598),AVERAGE(Raw_Data!G$2:G$5002),Raw_Data!G4598)</f>
        <v>5114.50</v>
      </c>
      <c r="H4598" s="15" t="str">
        <f t="shared" si="1"/>
        <v>167769.00</v>
      </c>
      <c r="I4598" s="14" t="str">
        <f t="shared" si="2"/>
        <v>162655.00</v>
      </c>
      <c r="J4598" s="16" t="str">
        <f>TEXT(Raw_Data!J4598,"MMM-YYY")</f>
        <v>Feb-2025</v>
      </c>
      <c r="K4598" s="13" t="str">
        <f>Raw_Data!K4598</f>
        <v>1</v>
      </c>
      <c r="L4598" s="17" t="str">
        <f>Raw_Data!L4598</f>
        <v>Chennai-South</v>
      </c>
      <c r="M4598" s="13" t="str">
        <f t="shared" si="3"/>
        <v>OK</v>
      </c>
      <c r="N4598" s="18" t="str">
        <f t="shared" si="4"/>
        <v>VALID</v>
      </c>
    </row>
    <row r="4599" ht="15.75" customHeight="1">
      <c r="A4599" s="13" t="str">
        <f>Raw_Data!A4599</f>
        <v>EMP4844</v>
      </c>
      <c r="B4599" s="13" t="str">
        <f>TRIM(CLEAN(Raw_Data!B4599))</f>
        <v>IT</v>
      </c>
      <c r="C4599" s="18" t="s">
        <v>33</v>
      </c>
      <c r="D4599" s="14" t="str">
        <f>IF(ISBLANK(Raw_Data!D4599),AVERAGE(Raw_Data!D$2:D$5002),Raw_Data!D4599)</f>
        <v>88884.08</v>
      </c>
      <c r="E4599" s="15" t="str">
        <f>IF(ISBLANK(Raw_Data!E4599),AVERAGE(Raw_Data!E$2:E$5002),Raw_Data!E4599)</f>
        <v>36486.52</v>
      </c>
      <c r="F4599" s="15" t="str">
        <f>IF(ISBLANK(Raw_Data!F4599),AVERAGE(Raw_Data!F$2:F$5002),Raw_Data!F4599)</f>
        <v>37373.19</v>
      </c>
      <c r="G4599" s="14" t="str">
        <f>IF(ISBLANK(Raw_Data!G4599),AVERAGE(Raw_Data!G$2:G$5002),Raw_Data!G4599)</f>
        <v>14562.73</v>
      </c>
      <c r="H4599" s="15" t="str">
        <f t="shared" si="1"/>
        <v>162744.00</v>
      </c>
      <c r="I4599" s="14" t="str">
        <f t="shared" si="2"/>
        <v>148181.00</v>
      </c>
      <c r="J4599" s="16" t="str">
        <f>TEXT(Raw_Data!J4599,"MMM-YYY")</f>
        <v>Oct-2025</v>
      </c>
      <c r="K4599" s="13" t="str">
        <f>Raw_Data!K4599</f>
        <v>3</v>
      </c>
      <c r="L4599" s="17" t="str">
        <f>Raw_Data!L4599</f>
        <v>Kolkata-East</v>
      </c>
      <c r="M4599" s="13" t="str">
        <f t="shared" si="3"/>
        <v>OK</v>
      </c>
      <c r="N4599" s="18" t="str">
        <f t="shared" si="4"/>
        <v>VALID</v>
      </c>
    </row>
    <row r="4600" ht="15.75" customHeight="1">
      <c r="A4600" s="13" t="str">
        <f>Raw_Data!A4600</f>
        <v>EMP4845</v>
      </c>
      <c r="B4600" s="13" t="str">
        <f>TRIM(CLEAN(Raw_Data!B4600))</f>
        <v>Finance</v>
      </c>
      <c r="C4600" s="18" t="s">
        <v>14</v>
      </c>
      <c r="D4600" s="14" t="str">
        <f>IF(ISBLANK(Raw_Data!D4600),AVERAGE(Raw_Data!D$2:D$5002),Raw_Data!D4600)</f>
        <v>64788.25</v>
      </c>
      <c r="E4600" s="15" t="str">
        <f>IF(ISBLANK(Raw_Data!E4600),AVERAGE(Raw_Data!E$2:E$5002),Raw_Data!E4600)</f>
        <v>17795.75</v>
      </c>
      <c r="F4600" s="15" t="str">
        <f>IF(ISBLANK(Raw_Data!F4600),AVERAGE(Raw_Data!F$2:F$5002),Raw_Data!F4600)</f>
        <v>37380.87</v>
      </c>
      <c r="G4600" s="14" t="str">
        <f>IF(ISBLANK(Raw_Data!G4600),AVERAGE(Raw_Data!G$2:G$5002),Raw_Data!G4600)</f>
        <v>19934.13</v>
      </c>
      <c r="H4600" s="15" t="str">
        <f t="shared" si="1"/>
        <v>119965.00</v>
      </c>
      <c r="I4600" s="14" t="str">
        <f t="shared" si="2"/>
        <v>100031.00</v>
      </c>
      <c r="J4600" s="16" t="str">
        <f>TEXT(Raw_Data!J4600,"MMM-YYY")</f>
        <v>May-2025</v>
      </c>
      <c r="K4600" s="13" t="str">
        <f>Raw_Data!K4600</f>
        <v>25</v>
      </c>
      <c r="L4600" s="17" t="str">
        <f>Raw_Data!L4600</f>
        <v>Pune-West</v>
      </c>
      <c r="M4600" s="13" t="str">
        <f t="shared" si="3"/>
        <v>OK</v>
      </c>
      <c r="N4600" s="18" t="str">
        <f t="shared" si="4"/>
        <v>VALID</v>
      </c>
    </row>
    <row r="4601" ht="15.75" customHeight="1">
      <c r="A4601" s="13" t="str">
        <f>Raw_Data!A4601</f>
        <v>EMP4846</v>
      </c>
      <c r="B4601" s="13" t="str">
        <f>TRIM(CLEAN(Raw_Data!B4601))</f>
        <v>Sales</v>
      </c>
      <c r="C4601" s="18" t="s">
        <v>37</v>
      </c>
      <c r="D4601" s="14" t="str">
        <f>IF(ISBLANK(Raw_Data!D4601),AVERAGE(Raw_Data!D$2:D$5002),Raw_Data!D4601)</f>
        <v>25272.59</v>
      </c>
      <c r="E4601" s="15" t="str">
        <f>IF(ISBLANK(Raw_Data!E4601),AVERAGE(Raw_Data!E$2:E$5002),Raw_Data!E4601)</f>
        <v>11787.98</v>
      </c>
      <c r="F4601" s="15" t="str">
        <f>IF(ISBLANK(Raw_Data!F4601),AVERAGE(Raw_Data!F$2:F$5002),Raw_Data!F4601)</f>
        <v>37388.55</v>
      </c>
      <c r="G4601" s="14" t="str">
        <f>IF(ISBLANK(Raw_Data!G4601),AVERAGE(Raw_Data!G$2:G$5002),Raw_Data!G4601)</f>
        <v>4178.76</v>
      </c>
      <c r="H4601" s="15" t="str">
        <f t="shared" si="1"/>
        <v>74449.00</v>
      </c>
      <c r="I4601" s="14" t="str">
        <f t="shared" si="2"/>
        <v>70270.00</v>
      </c>
      <c r="J4601" s="16" t="str">
        <f>TEXT(Raw_Data!J4601,"MMM-YYY")</f>
        <v>May-2025</v>
      </c>
      <c r="K4601" s="13" t="str">
        <f>Raw_Data!K4601</f>
        <v>8</v>
      </c>
      <c r="L4601" s="17" t="str">
        <f>Raw_Data!L4601</f>
        <v>Hyderabad-South</v>
      </c>
      <c r="M4601" s="13" t="str">
        <f t="shared" si="3"/>
        <v>OK</v>
      </c>
      <c r="N4601" s="18" t="str">
        <f t="shared" si="4"/>
        <v>VALID</v>
      </c>
    </row>
    <row r="4602" ht="15.75" customHeight="1">
      <c r="A4602" s="13" t="str">
        <f>Raw_Data!A4602</f>
        <v>EMP4847</v>
      </c>
      <c r="B4602" s="13" t="str">
        <f>TRIM(CLEAN(Raw_Data!B4602))</f>
        <v>Operations</v>
      </c>
      <c r="C4602" s="18" t="s">
        <v>33</v>
      </c>
      <c r="D4602" s="14" t="str">
        <f>IF(ISBLANK(Raw_Data!D4602),AVERAGE(Raw_Data!D$2:D$5002),Raw_Data!D4602)</f>
        <v>66619.67</v>
      </c>
      <c r="E4602" s="15" t="str">
        <f>IF(ISBLANK(Raw_Data!E4602),AVERAGE(Raw_Data!E$2:E$5002),Raw_Data!E4602)</f>
        <v>19932.78</v>
      </c>
      <c r="F4602" s="15" t="str">
        <f>IF(ISBLANK(Raw_Data!F4602),AVERAGE(Raw_Data!F$2:F$5002),Raw_Data!F4602)</f>
        <v>37396.23</v>
      </c>
      <c r="G4602" s="14" t="str">
        <f>IF(ISBLANK(Raw_Data!G4602),AVERAGE(Raw_Data!G$2:G$5002),Raw_Data!G4602)</f>
        <v>16663.42</v>
      </c>
      <c r="H4602" s="15" t="str">
        <f t="shared" si="1"/>
        <v>123949.00</v>
      </c>
      <c r="I4602" s="14" t="str">
        <f t="shared" si="2"/>
        <v>107286.00</v>
      </c>
      <c r="J4602" s="16" t="str">
        <f>TEXT(Raw_Data!J4602,"MMM-YYY")</f>
        <v>Aug-2025</v>
      </c>
      <c r="K4602" s="13" t="str">
        <f>Raw_Data!K4602</f>
        <v>21</v>
      </c>
      <c r="L4602" s="17" t="str">
        <f>Raw_Data!L4602</f>
        <v>Chandigarh-North</v>
      </c>
      <c r="M4602" s="13" t="str">
        <f t="shared" si="3"/>
        <v>OK</v>
      </c>
      <c r="N4602" s="18" t="str">
        <f t="shared" si="4"/>
        <v>VALID</v>
      </c>
    </row>
    <row r="4603" ht="15.75" customHeight="1">
      <c r="A4603" s="13" t="str">
        <f>Raw_Data!A4603</f>
        <v>EMP4848</v>
      </c>
      <c r="B4603" s="13" t="str">
        <f>TRIM(CLEAN(Raw_Data!B4603))</f>
        <v>HR</v>
      </c>
      <c r="C4603" s="18" t="s">
        <v>37</v>
      </c>
      <c r="D4603" s="14" t="str">
        <f>IF(ISBLANK(Raw_Data!D4603),AVERAGE(Raw_Data!D$2:D$5002),Raw_Data!D4603)</f>
        <v>64714.54</v>
      </c>
      <c r="E4603" s="15" t="str">
        <f>IF(ISBLANK(Raw_Data!E4603),AVERAGE(Raw_Data!E$2:E$5002),Raw_Data!E4603)</f>
        <v>5741.06</v>
      </c>
      <c r="F4603" s="15" t="str">
        <f>IF(ISBLANK(Raw_Data!F4603),AVERAGE(Raw_Data!F$2:F$5002),Raw_Data!F4603)</f>
        <v>37403.91</v>
      </c>
      <c r="G4603" s="14" t="str">
        <f>IF(ISBLANK(Raw_Data!G4603),AVERAGE(Raw_Data!G$2:G$5002),Raw_Data!G4603)</f>
        <v>8427.65</v>
      </c>
      <c r="H4603" s="15" t="str">
        <f t="shared" si="1"/>
        <v>107860.00</v>
      </c>
      <c r="I4603" s="14" t="str">
        <f t="shared" si="2"/>
        <v>99432.00</v>
      </c>
      <c r="J4603" s="16" t="str">
        <f>TEXT(Raw_Data!J4603,"MMM-YYY")</f>
        <v>Dec-2025</v>
      </c>
      <c r="K4603" s="13" t="str">
        <f>Raw_Data!K4603</f>
        <v>23</v>
      </c>
      <c r="L4603" s="17" t="str">
        <f>Raw_Data!L4603</f>
        <v>Ahmedabad-West</v>
      </c>
      <c r="M4603" s="13" t="str">
        <f t="shared" si="3"/>
        <v>OK</v>
      </c>
      <c r="N4603" s="18" t="str">
        <f t="shared" si="4"/>
        <v>VALID</v>
      </c>
    </row>
    <row r="4604" ht="15.75" customHeight="1">
      <c r="A4604" s="13" t="str">
        <f>Raw_Data!A4604</f>
        <v>EMP4849</v>
      </c>
      <c r="B4604" s="13" t="str">
        <f>TRIM(CLEAN(Raw_Data!B4604))</f>
        <v>Customer Support</v>
      </c>
      <c r="C4604" s="18" t="s">
        <v>33</v>
      </c>
      <c r="D4604" s="14" t="str">
        <f>IF(ISBLANK(Raw_Data!D4604),AVERAGE(Raw_Data!D$2:D$5002),Raw_Data!D4604)</f>
        <v>33186.20</v>
      </c>
      <c r="E4604" s="15" t="str">
        <f>IF(ISBLANK(Raw_Data!E4604),AVERAGE(Raw_Data!E$2:E$5002),Raw_Data!E4604)</f>
        <v>33537.55</v>
      </c>
      <c r="F4604" s="15" t="str">
        <f>IF(ISBLANK(Raw_Data!F4604),AVERAGE(Raw_Data!F$2:F$5002),Raw_Data!F4604)</f>
        <v>37411.59</v>
      </c>
      <c r="G4604" s="14" t="str">
        <f>IF(ISBLANK(Raw_Data!G4604),AVERAGE(Raw_Data!G$2:G$5002),Raw_Data!G4604)</f>
        <v>8859.45</v>
      </c>
      <c r="H4604" s="15" t="str">
        <f t="shared" si="1"/>
        <v>104135.00</v>
      </c>
      <c r="I4604" s="14" t="str">
        <f t="shared" si="2"/>
        <v>95276.00</v>
      </c>
      <c r="J4604" s="16" t="str">
        <f>TEXT(Raw_Data!J4604,"MMM-YYY")</f>
        <v>Sep-2025</v>
      </c>
      <c r="K4604" s="13" t="str">
        <f>Raw_Data!K4604</f>
        <v>16</v>
      </c>
      <c r="L4604" s="17" t="str">
        <f>Raw_Data!L4604</f>
        <v>Jaipur-North</v>
      </c>
      <c r="M4604" s="13" t="str">
        <f t="shared" si="3"/>
        <v>OK</v>
      </c>
      <c r="N4604" s="18" t="str">
        <f t="shared" si="4"/>
        <v>VALID</v>
      </c>
    </row>
    <row r="4605" ht="15.75" customHeight="1">
      <c r="A4605" s="13" t="str">
        <f>Raw_Data!A4605</f>
        <v>EMP4850</v>
      </c>
      <c r="B4605" s="13" t="str">
        <f>TRIM(CLEAN(Raw_Data!B4605))</f>
        <v>Customer Support</v>
      </c>
      <c r="C4605" s="18" t="s">
        <v>54</v>
      </c>
      <c r="D4605" s="14" t="str">
        <f>IF(ISBLANK(Raw_Data!D4605),AVERAGE(Raw_Data!D$2:D$5002),Raw_Data!D4605)</f>
        <v>60554.42</v>
      </c>
      <c r="E4605" s="15" t="str">
        <f>IF(ISBLANK(Raw_Data!E4605),AVERAGE(Raw_Data!E$2:E$5002),Raw_Data!E4605)</f>
        <v>33748.27</v>
      </c>
      <c r="F4605" s="15" t="str">
        <f>IF(ISBLANK(Raw_Data!F4605),AVERAGE(Raw_Data!F$2:F$5002),Raw_Data!F4605)</f>
        <v>37419.27</v>
      </c>
      <c r="G4605" s="14" t="str">
        <f>IF(ISBLANK(Raw_Data!G4605),AVERAGE(Raw_Data!G$2:G$5002),Raw_Data!G4605)</f>
        <v>16716.98</v>
      </c>
      <c r="H4605" s="15" t="str">
        <f t="shared" si="1"/>
        <v>131722.00</v>
      </c>
      <c r="I4605" s="14" t="str">
        <f t="shared" si="2"/>
        <v>115005.00</v>
      </c>
      <c r="J4605" s="16" t="str">
        <f>TEXT(Raw_Data!J4605,"MMM-YYY")</f>
        <v>Mar-2025</v>
      </c>
      <c r="K4605" s="13" t="str">
        <f>Raw_Data!K4605</f>
        <v>23</v>
      </c>
      <c r="L4605" s="17" t="str">
        <f>Raw_Data!L4605</f>
        <v>Mumbai-HO</v>
      </c>
      <c r="M4605" s="13" t="str">
        <f t="shared" si="3"/>
        <v>OK</v>
      </c>
      <c r="N4605" s="18" t="str">
        <f t="shared" si="4"/>
        <v>VALID</v>
      </c>
    </row>
    <row r="4606" ht="15.75" customHeight="1">
      <c r="A4606" s="13" t="str">
        <f>Raw_Data!A4606</f>
        <v>EMP4851</v>
      </c>
      <c r="B4606" s="13" t="str">
        <f>TRIM(CLEAN(Raw_Data!B4606))</f>
        <v>Finance</v>
      </c>
      <c r="C4606" s="18" t="s">
        <v>26</v>
      </c>
      <c r="D4606" s="14" t="str">
        <f>IF(ISBLANK(Raw_Data!D4606),AVERAGE(Raw_Data!D$2:D$5002),Raw_Data!D4606)</f>
        <v>56843.00</v>
      </c>
      <c r="E4606" s="15" t="str">
        <f>IF(ISBLANK(Raw_Data!E4606),AVERAGE(Raw_Data!E$2:E$5002),Raw_Data!E4606)</f>
        <v>25168.02</v>
      </c>
      <c r="F4606" s="15" t="str">
        <f>IF(ISBLANK(Raw_Data!F4606),AVERAGE(Raw_Data!F$2:F$5002),Raw_Data!F4606)</f>
        <v>37426.95</v>
      </c>
      <c r="G4606" s="14" t="str">
        <f>IF(ISBLANK(Raw_Data!G4606),AVERAGE(Raw_Data!G$2:G$5002),Raw_Data!G4606)</f>
        <v>11941.49</v>
      </c>
      <c r="H4606" s="15" t="str">
        <f t="shared" si="1"/>
        <v>119438.00</v>
      </c>
      <c r="I4606" s="14" t="str">
        <f t="shared" si="2"/>
        <v>107497.00</v>
      </c>
      <c r="J4606" s="16" t="str">
        <f>TEXT(Raw_Data!J4606,"MMM-YYY")</f>
        <v>Apr-2025</v>
      </c>
      <c r="K4606" s="13" t="str">
        <f>Raw_Data!K4606</f>
        <v>8</v>
      </c>
      <c r="L4606" s="17" t="str">
        <f>Raw_Data!L4606</f>
        <v>Delhi-North</v>
      </c>
      <c r="M4606" s="13" t="str">
        <f t="shared" si="3"/>
        <v>OK</v>
      </c>
      <c r="N4606" s="18" t="str">
        <f t="shared" si="4"/>
        <v>VALID</v>
      </c>
    </row>
    <row r="4607" ht="15.75" customHeight="1">
      <c r="A4607" s="13" t="str">
        <f>Raw_Data!A4607</f>
        <v>EMP4852</v>
      </c>
      <c r="B4607" s="13" t="str">
        <f>TRIM(CLEAN(Raw_Data!B4607))</f>
        <v>Operations</v>
      </c>
      <c r="C4607" s="18" t="s">
        <v>18</v>
      </c>
      <c r="D4607" s="14" t="str">
        <f>IF(ISBLANK(Raw_Data!D4607),AVERAGE(Raw_Data!D$2:D$5002),Raw_Data!D4607)</f>
        <v>79664.26</v>
      </c>
      <c r="E4607" s="15" t="str">
        <f>IF(ISBLANK(Raw_Data!E4607),AVERAGE(Raw_Data!E$2:E$5002),Raw_Data!E4607)</f>
        <v>16711.70</v>
      </c>
      <c r="F4607" s="15" t="str">
        <f>IF(ISBLANK(Raw_Data!F4607),AVERAGE(Raw_Data!F$2:F$5002),Raw_Data!F4607)</f>
        <v>37434.63</v>
      </c>
      <c r="G4607" s="14" t="str">
        <f>IF(ISBLANK(Raw_Data!G4607),AVERAGE(Raw_Data!G$2:G$5002),Raw_Data!G4607)</f>
        <v>20394.82</v>
      </c>
      <c r="H4607" s="15" t="str">
        <f t="shared" si="1"/>
        <v>133811.00</v>
      </c>
      <c r="I4607" s="14" t="str">
        <f t="shared" si="2"/>
        <v>113416.00</v>
      </c>
      <c r="J4607" s="16" t="str">
        <f>TEXT(Raw_Data!J4607,"MMM-YYY")</f>
        <v>Apr-2025</v>
      </c>
      <c r="K4607" s="13" t="str">
        <f>Raw_Data!K4607</f>
        <v>3</v>
      </c>
      <c r="L4607" s="17" t="str">
        <f>Raw_Data!L4607</f>
        <v>Bangalore-South</v>
      </c>
      <c r="M4607" s="13" t="str">
        <f t="shared" si="3"/>
        <v>OK</v>
      </c>
      <c r="N4607" s="18" t="str">
        <f t="shared" si="4"/>
        <v>VALID</v>
      </c>
    </row>
    <row r="4608" ht="15.75" customHeight="1">
      <c r="A4608" s="13" t="str">
        <f>Raw_Data!A4608</f>
        <v>EMP4853</v>
      </c>
      <c r="B4608" s="13" t="str">
        <f>TRIM(CLEAN(Raw_Data!B4608))</f>
        <v>HR</v>
      </c>
      <c r="C4608" s="18" t="s">
        <v>14</v>
      </c>
      <c r="D4608" s="14" t="str">
        <f>IF(ISBLANK(Raw_Data!D4608),AVERAGE(Raw_Data!D$2:D$5002),Raw_Data!D4608)</f>
        <v>81684.83</v>
      </c>
      <c r="E4608" s="15" t="str">
        <f>IF(ISBLANK(Raw_Data!E4608),AVERAGE(Raw_Data!E$2:E$5002),Raw_Data!E4608)</f>
        <v>32792.20</v>
      </c>
      <c r="F4608" s="15" t="str">
        <f>IF(ISBLANK(Raw_Data!F4608),AVERAGE(Raw_Data!F$2:F$5002),Raw_Data!F4608)</f>
        <v>37442.31</v>
      </c>
      <c r="G4608" s="14" t="str">
        <f>IF(ISBLANK(Raw_Data!G4608),AVERAGE(Raw_Data!G$2:G$5002),Raw_Data!G4608)</f>
        <v>4320.00</v>
      </c>
      <c r="H4608" s="15" t="str">
        <f t="shared" si="1"/>
        <v>151919.00</v>
      </c>
      <c r="I4608" s="14" t="str">
        <f t="shared" si="2"/>
        <v>147599.00</v>
      </c>
      <c r="J4608" s="16" t="str">
        <f>TEXT(Raw_Data!J4608,"MMM-YYY")</f>
        <v>May-2025</v>
      </c>
      <c r="K4608" s="13" t="str">
        <f>Raw_Data!K4608</f>
        <v>20</v>
      </c>
      <c r="L4608" s="17" t="str">
        <f>Raw_Data!L4608</f>
        <v>Chennai-South</v>
      </c>
      <c r="M4608" s="13" t="str">
        <f t="shared" si="3"/>
        <v>OK</v>
      </c>
      <c r="N4608" s="18" t="str">
        <f t="shared" si="4"/>
        <v>VALID</v>
      </c>
    </row>
    <row r="4609" ht="15.75" customHeight="1">
      <c r="A4609" s="13" t="str">
        <f>Raw_Data!A4609</f>
        <v>EMP4855</v>
      </c>
      <c r="B4609" s="13" t="str">
        <f>TRIM(CLEAN(Raw_Data!B4609))</f>
        <v>Finance</v>
      </c>
      <c r="C4609" s="18" t="s">
        <v>26</v>
      </c>
      <c r="D4609" s="14" t="str">
        <f>IF(ISBLANK(Raw_Data!D4609),AVERAGE(Raw_Data!D$2:D$5002),Raw_Data!D4609)</f>
        <v>54334.32</v>
      </c>
      <c r="E4609" s="15" t="str">
        <f>IF(ISBLANK(Raw_Data!E4609),AVERAGE(Raw_Data!E$2:E$5002),Raw_Data!E4609)</f>
        <v>33733.56</v>
      </c>
      <c r="F4609" s="15" t="str">
        <f>IF(ISBLANK(Raw_Data!F4609),AVERAGE(Raw_Data!F$2:F$5002),Raw_Data!F4609)</f>
        <v>37457.67</v>
      </c>
      <c r="G4609" s="14" t="str">
        <f>IF(ISBLANK(Raw_Data!G4609),AVERAGE(Raw_Data!G$2:G$5002),Raw_Data!G4609)</f>
        <v>2073.76</v>
      </c>
      <c r="H4609" s="15" t="str">
        <f t="shared" si="1"/>
        <v>125526.00</v>
      </c>
      <c r="I4609" s="14" t="str">
        <f t="shared" si="2"/>
        <v>123452.00</v>
      </c>
      <c r="J4609" s="16" t="str">
        <f>TEXT(Raw_Data!J4609,"MMM-YYY")</f>
        <v>Nov-2025</v>
      </c>
      <c r="K4609" s="13" t="str">
        <f>Raw_Data!K4609</f>
        <v>6</v>
      </c>
      <c r="L4609" s="17" t="str">
        <f>Raw_Data!L4609</f>
        <v>Pune-West</v>
      </c>
      <c r="M4609" s="13" t="str">
        <f t="shared" si="3"/>
        <v>OK</v>
      </c>
      <c r="N4609" s="18" t="str">
        <f t="shared" si="4"/>
        <v>VALID</v>
      </c>
    </row>
    <row r="4610" ht="15.75" customHeight="1">
      <c r="A4610" s="13" t="str">
        <f>Raw_Data!A4610</f>
        <v>EMP4856</v>
      </c>
      <c r="B4610" s="13" t="str">
        <f>TRIM(CLEAN(Raw_Data!B4610))</f>
        <v>HR</v>
      </c>
      <c r="C4610" s="18" t="s">
        <v>18</v>
      </c>
      <c r="D4610" s="14" t="str">
        <f>IF(ISBLANK(Raw_Data!D4610),AVERAGE(Raw_Data!D$2:D$5002),Raw_Data!D4610)</f>
        <v>80715.29</v>
      </c>
      <c r="E4610" s="15" t="str">
        <f>IF(ISBLANK(Raw_Data!E4610),AVERAGE(Raw_Data!E$2:E$5002),Raw_Data!E4610)</f>
        <v>26732.52</v>
      </c>
      <c r="F4610" s="15" t="str">
        <f>IF(ISBLANK(Raw_Data!F4610),AVERAGE(Raw_Data!F$2:F$5002),Raw_Data!F4610)</f>
        <v>37465.35</v>
      </c>
      <c r="G4610" s="14" t="str">
        <f>IF(ISBLANK(Raw_Data!G4610),AVERAGE(Raw_Data!G$2:G$5002),Raw_Data!G4610)</f>
        <v>5254.32</v>
      </c>
      <c r="H4610" s="15" t="str">
        <f t="shared" si="1"/>
        <v>144913.00</v>
      </c>
      <c r="I4610" s="14" t="str">
        <f t="shared" si="2"/>
        <v>139659.00</v>
      </c>
      <c r="J4610" s="16" t="str">
        <f>TEXT(Raw_Data!J4610,"MMM-YYY")</f>
        <v>Mar-2025</v>
      </c>
      <c r="K4610" s="13" t="str">
        <f>Raw_Data!K4610</f>
        <v>11</v>
      </c>
      <c r="L4610" s="17" t="str">
        <f>Raw_Data!L4610</f>
        <v>Hyderabad-South</v>
      </c>
      <c r="M4610" s="13" t="str">
        <f t="shared" si="3"/>
        <v>OK</v>
      </c>
      <c r="N4610" s="18" t="str">
        <f t="shared" si="4"/>
        <v>VALID</v>
      </c>
    </row>
    <row r="4611" ht="15.75" customHeight="1">
      <c r="A4611" s="13" t="str">
        <f>Raw_Data!A4611</f>
        <v>EMP4857</v>
      </c>
      <c r="B4611" s="13" t="str">
        <f>TRIM(CLEAN(Raw_Data!B4611))</f>
        <v>Marketing</v>
      </c>
      <c r="C4611" s="18" t="s">
        <v>30</v>
      </c>
      <c r="D4611" s="14" t="str">
        <f>IF(ISBLANK(Raw_Data!D4611),AVERAGE(Raw_Data!D$2:D$5002),Raw_Data!D4611)</f>
        <v>67829.31</v>
      </c>
      <c r="E4611" s="15" t="str">
        <f>IF(ISBLANK(Raw_Data!E4611),AVERAGE(Raw_Data!E$2:E$5002),Raw_Data!E4611)</f>
        <v>32238.60</v>
      </c>
      <c r="F4611" s="15" t="str">
        <f>IF(ISBLANK(Raw_Data!F4611),AVERAGE(Raw_Data!F$2:F$5002),Raw_Data!F4611)</f>
        <v>37473.03</v>
      </c>
      <c r="G4611" s="14" t="str">
        <f>IF(ISBLANK(Raw_Data!G4611),AVERAGE(Raw_Data!G$2:G$5002),Raw_Data!G4611)</f>
        <v>16575.67</v>
      </c>
      <c r="H4611" s="15" t="str">
        <f t="shared" si="1"/>
        <v>137541.00</v>
      </c>
      <c r="I4611" s="14" t="str">
        <f t="shared" si="2"/>
        <v>120965.00</v>
      </c>
      <c r="J4611" s="16" t="str">
        <f>TEXT(Raw_Data!J4611,"MMM-YYY")</f>
        <v>Jan-2025</v>
      </c>
      <c r="K4611" s="13" t="str">
        <f>Raw_Data!K4611</f>
        <v>7</v>
      </c>
      <c r="L4611" s="17" t="str">
        <f>Raw_Data!L4611</f>
        <v>Chandigarh-North</v>
      </c>
      <c r="M4611" s="13" t="str">
        <f t="shared" si="3"/>
        <v>OK</v>
      </c>
      <c r="N4611" s="18" t="str">
        <f t="shared" si="4"/>
        <v>VALID</v>
      </c>
    </row>
    <row r="4612" ht="15.75" customHeight="1">
      <c r="A4612" s="13" t="str">
        <f>Raw_Data!A4612</f>
        <v>EMP4859</v>
      </c>
      <c r="B4612" s="13" t="str">
        <f>TRIM(CLEAN(Raw_Data!B4612))</f>
        <v>HR</v>
      </c>
      <c r="C4612" s="18" t="s">
        <v>37</v>
      </c>
      <c r="D4612" s="14" t="str">
        <f>IF(ISBLANK(Raw_Data!D4612),AVERAGE(Raw_Data!D$2:D$5002),Raw_Data!D4612)</f>
        <v>84162.83</v>
      </c>
      <c r="E4612" s="15" t="str">
        <f>IF(ISBLANK(Raw_Data!E4612),AVERAGE(Raw_Data!E$2:E$5002),Raw_Data!E4612)</f>
        <v>18909.08</v>
      </c>
      <c r="F4612" s="15" t="str">
        <f>IF(ISBLANK(Raw_Data!F4612),AVERAGE(Raw_Data!F$2:F$5002),Raw_Data!F4612)</f>
        <v>37488.39</v>
      </c>
      <c r="G4612" s="14" t="str">
        <f>IF(ISBLANK(Raw_Data!G4612),AVERAGE(Raw_Data!G$2:G$5002),Raw_Data!G4612)</f>
        <v>6690.65</v>
      </c>
      <c r="H4612" s="15" t="str">
        <f t="shared" si="1"/>
        <v>140560.00</v>
      </c>
      <c r="I4612" s="14" t="str">
        <f t="shared" si="2"/>
        <v>133869.00</v>
      </c>
      <c r="J4612" s="16" t="str">
        <f>TEXT(Raw_Data!J4612,"MMM-YYY")</f>
        <v>Oct-2025</v>
      </c>
      <c r="K4612" s="13" t="str">
        <f>Raw_Data!K4612</f>
        <v>9</v>
      </c>
      <c r="L4612" s="17" t="str">
        <f>Raw_Data!L4612</f>
        <v>Jaipur-North</v>
      </c>
      <c r="M4612" s="13" t="str">
        <f t="shared" si="3"/>
        <v>OK</v>
      </c>
      <c r="N4612" s="18" t="str">
        <f t="shared" si="4"/>
        <v>VALID</v>
      </c>
    </row>
    <row r="4613" ht="15.75" customHeight="1">
      <c r="A4613" s="13" t="str">
        <f>Raw_Data!A4613</f>
        <v>EMP4860</v>
      </c>
      <c r="B4613" s="13" t="str">
        <f>TRIM(CLEAN(Raw_Data!B4613))</f>
        <v>Finance</v>
      </c>
      <c r="C4613" s="18" t="s">
        <v>26</v>
      </c>
      <c r="D4613" s="14" t="str">
        <f>IF(ISBLANK(Raw_Data!D4613),AVERAGE(Raw_Data!D$2:D$5002),Raw_Data!D4613)</f>
        <v>32108.11</v>
      </c>
      <c r="E4613" s="15" t="str">
        <f>IF(ISBLANK(Raw_Data!E4613),AVERAGE(Raw_Data!E$2:E$5002),Raw_Data!E4613)</f>
        <v>38486.05</v>
      </c>
      <c r="F4613" s="15" t="str">
        <f>IF(ISBLANK(Raw_Data!F4613),AVERAGE(Raw_Data!F$2:F$5002),Raw_Data!F4613)</f>
        <v>37496.07</v>
      </c>
      <c r="G4613" s="14" t="str">
        <f>IF(ISBLANK(Raw_Data!G4613),AVERAGE(Raw_Data!G$2:G$5002),Raw_Data!G4613)</f>
        <v>8516.19</v>
      </c>
      <c r="H4613" s="15" t="str">
        <f t="shared" si="1"/>
        <v>108090.00</v>
      </c>
      <c r="I4613" s="14" t="str">
        <f t="shared" si="2"/>
        <v>99574.00</v>
      </c>
      <c r="J4613" s="16" t="str">
        <f>TEXT(Raw_Data!J4613,"MMM-YYY")</f>
        <v>Jun-2025</v>
      </c>
      <c r="K4613" s="13" t="str">
        <f>Raw_Data!K4613</f>
        <v>3</v>
      </c>
      <c r="L4613" s="17" t="str">
        <f>Raw_Data!L4613</f>
        <v>Mumbai-HO</v>
      </c>
      <c r="M4613" s="13" t="str">
        <f t="shared" si="3"/>
        <v>OK</v>
      </c>
      <c r="N4613" s="18" t="str">
        <f t="shared" si="4"/>
        <v>VALID</v>
      </c>
    </row>
    <row r="4614" ht="15.75" customHeight="1">
      <c r="A4614" s="13" t="str">
        <f>Raw_Data!A4614</f>
        <v>EMP4861</v>
      </c>
      <c r="B4614" s="13" t="str">
        <f>TRIM(CLEAN(Raw_Data!B4614))</f>
        <v>Finance</v>
      </c>
      <c r="C4614" s="18" t="s">
        <v>30</v>
      </c>
      <c r="D4614" s="14" t="str">
        <f>IF(ISBLANK(Raw_Data!D4614),AVERAGE(Raw_Data!D$2:D$5002),Raw_Data!D4614)</f>
        <v>22409.72</v>
      </c>
      <c r="E4614" s="15" t="str">
        <f>IF(ISBLANK(Raw_Data!E4614),AVERAGE(Raw_Data!E$2:E$5002),Raw_Data!E4614)</f>
        <v>23480.10</v>
      </c>
      <c r="F4614" s="15" t="str">
        <f>IF(ISBLANK(Raw_Data!F4614),AVERAGE(Raw_Data!F$2:F$5002),Raw_Data!F4614)</f>
        <v>37503.75</v>
      </c>
      <c r="G4614" s="14" t="str">
        <f>IF(ISBLANK(Raw_Data!G4614),AVERAGE(Raw_Data!G$2:G$5002),Raw_Data!G4614)</f>
        <v>13659.46</v>
      </c>
      <c r="H4614" s="15" t="str">
        <f t="shared" si="1"/>
        <v>83394.00</v>
      </c>
      <c r="I4614" s="14" t="str">
        <f t="shared" si="2"/>
        <v>69735.00</v>
      </c>
      <c r="J4614" s="16" t="str">
        <f>TEXT(Raw_Data!J4614,"MMM-YYY")</f>
        <v>Sep-2025</v>
      </c>
      <c r="K4614" s="13" t="str">
        <f>Raw_Data!K4614</f>
        <v>5</v>
      </c>
      <c r="L4614" s="17" t="str">
        <f>Raw_Data!L4614</f>
        <v>Delhi-North</v>
      </c>
      <c r="M4614" s="13" t="str">
        <f t="shared" si="3"/>
        <v>OK</v>
      </c>
      <c r="N4614" s="18" t="str">
        <f t="shared" si="4"/>
        <v>VALID</v>
      </c>
    </row>
    <row r="4615" ht="15.75" customHeight="1">
      <c r="A4615" s="13" t="str">
        <f>Raw_Data!A4615</f>
        <v>EMP4862</v>
      </c>
      <c r="B4615" s="13" t="str">
        <f>TRIM(CLEAN(Raw_Data!B4615))</f>
        <v>Operations</v>
      </c>
      <c r="C4615" s="18" t="s">
        <v>26</v>
      </c>
      <c r="D4615" s="14" t="str">
        <f>IF(ISBLANK(Raw_Data!D4615),AVERAGE(Raw_Data!D$2:D$5002),Raw_Data!D4615)</f>
        <v>82454.02</v>
      </c>
      <c r="E4615" s="15" t="str">
        <f>IF(ISBLANK(Raw_Data!E4615),AVERAGE(Raw_Data!E$2:E$5002),Raw_Data!E4615)</f>
        <v>25783.22</v>
      </c>
      <c r="F4615" s="15" t="str">
        <f>IF(ISBLANK(Raw_Data!F4615),AVERAGE(Raw_Data!F$2:F$5002),Raw_Data!F4615)</f>
        <v>37511.43</v>
      </c>
      <c r="G4615" s="14" t="str">
        <f>IF(ISBLANK(Raw_Data!G4615),AVERAGE(Raw_Data!G$2:G$5002),Raw_Data!G4615)</f>
        <v>5683.53</v>
      </c>
      <c r="H4615" s="15" t="str">
        <f t="shared" si="1"/>
        <v>145749.00</v>
      </c>
      <c r="I4615" s="14" t="str">
        <f t="shared" si="2"/>
        <v>140065.00</v>
      </c>
      <c r="J4615" s="16" t="str">
        <f>TEXT(Raw_Data!J4615,"MMM-YYY")</f>
        <v>Sep-2025</v>
      </c>
      <c r="K4615" s="13" t="str">
        <f>Raw_Data!K4615</f>
        <v>4</v>
      </c>
      <c r="L4615" s="17" t="str">
        <f>Raw_Data!L4615</f>
        <v>Bangalore-South</v>
      </c>
      <c r="M4615" s="13" t="str">
        <f t="shared" si="3"/>
        <v>OK</v>
      </c>
      <c r="N4615" s="18" t="str">
        <f t="shared" si="4"/>
        <v>VALID</v>
      </c>
    </row>
    <row r="4616" ht="15.75" customHeight="1">
      <c r="A4616" s="13" t="str">
        <f>Raw_Data!A4616</f>
        <v>EMP4863</v>
      </c>
      <c r="B4616" s="13" t="str">
        <f>TRIM(CLEAN(Raw_Data!B4616))</f>
        <v>Customer Support</v>
      </c>
      <c r="C4616" s="18" t="s">
        <v>54</v>
      </c>
      <c r="D4616" s="14" t="str">
        <f>IF(ISBLANK(Raw_Data!D4616),AVERAGE(Raw_Data!D$2:D$5002),Raw_Data!D4616)</f>
        <v>17783.69</v>
      </c>
      <c r="E4616" s="15" t="str">
        <f>IF(ISBLANK(Raw_Data!E4616),AVERAGE(Raw_Data!E$2:E$5002),Raw_Data!E4616)</f>
        <v>11937.56</v>
      </c>
      <c r="F4616" s="15" t="str">
        <f>IF(ISBLANK(Raw_Data!F4616),AVERAGE(Raw_Data!F$2:F$5002),Raw_Data!F4616)</f>
        <v>37519.11</v>
      </c>
      <c r="G4616" s="14" t="str">
        <f>IF(ISBLANK(Raw_Data!G4616),AVERAGE(Raw_Data!G$2:G$5002),Raw_Data!G4616)</f>
        <v>20373.33</v>
      </c>
      <c r="H4616" s="15" t="str">
        <f t="shared" si="1"/>
        <v>67240.00</v>
      </c>
      <c r="I4616" s="14" t="str">
        <f t="shared" si="2"/>
        <v>46867.00</v>
      </c>
      <c r="J4616" s="16" t="str">
        <f>TEXT(Raw_Data!J4616,"MMM-YYY")</f>
        <v>Oct-2025</v>
      </c>
      <c r="K4616" s="13" t="str">
        <f>Raw_Data!K4616</f>
        <v>3</v>
      </c>
      <c r="L4616" s="17" t="str">
        <f>Raw_Data!L4616</f>
        <v>Chennai-South</v>
      </c>
      <c r="M4616" s="13" t="str">
        <f t="shared" si="3"/>
        <v>OK</v>
      </c>
      <c r="N4616" s="18" t="str">
        <f t="shared" si="4"/>
        <v>VALID</v>
      </c>
    </row>
    <row r="4617" ht="15.75" customHeight="1">
      <c r="A4617" s="13" t="str">
        <f>Raw_Data!A4617</f>
        <v>EMP4864</v>
      </c>
      <c r="B4617" s="13" t="str">
        <f>TRIM(CLEAN(Raw_Data!B4617))</f>
        <v>HR</v>
      </c>
      <c r="C4617" s="18" t="s">
        <v>54</v>
      </c>
      <c r="D4617" s="14" t="str">
        <f>IF(ISBLANK(Raw_Data!D4617),AVERAGE(Raw_Data!D$2:D$5002),Raw_Data!D4617)</f>
        <v>76506.44</v>
      </c>
      <c r="E4617" s="15" t="str">
        <f>IF(ISBLANK(Raw_Data!E4617),AVERAGE(Raw_Data!E$2:E$5002),Raw_Data!E4617)</f>
        <v>26523.43</v>
      </c>
      <c r="F4617" s="15" t="str">
        <f>IF(ISBLANK(Raw_Data!F4617),AVERAGE(Raw_Data!F$2:F$5002),Raw_Data!F4617)</f>
        <v>37526.79</v>
      </c>
      <c r="G4617" s="14" t="str">
        <f>IF(ISBLANK(Raw_Data!G4617),AVERAGE(Raw_Data!G$2:G$5002),Raw_Data!G4617)</f>
        <v>19454.10</v>
      </c>
      <c r="H4617" s="15" t="str">
        <f t="shared" si="1"/>
        <v>140557.00</v>
      </c>
      <c r="I4617" s="14" t="str">
        <f t="shared" si="2"/>
        <v>121103.00</v>
      </c>
      <c r="J4617" s="16" t="str">
        <f>TEXT(Raw_Data!J4617,"MMM-YYY")</f>
        <v>Oct-2025</v>
      </c>
      <c r="K4617" s="13" t="str">
        <f>Raw_Data!K4617</f>
        <v>21</v>
      </c>
      <c r="L4617" s="17" t="str">
        <f>Raw_Data!L4617</f>
        <v>Kolkata-East</v>
      </c>
      <c r="M4617" s="13" t="str">
        <f t="shared" si="3"/>
        <v>OK</v>
      </c>
      <c r="N4617" s="18" t="str">
        <f t="shared" si="4"/>
        <v>VALID</v>
      </c>
    </row>
    <row r="4618" ht="15.75" customHeight="1">
      <c r="A4618" s="13" t="str">
        <f>Raw_Data!A4618</f>
        <v>EMP4865</v>
      </c>
      <c r="B4618" s="13" t="str">
        <f>TRIM(CLEAN(Raw_Data!B4618))</f>
        <v>Operations</v>
      </c>
      <c r="C4618" s="18" t="s">
        <v>37</v>
      </c>
      <c r="D4618" s="14" t="str">
        <f>IF(ISBLANK(Raw_Data!D4618),AVERAGE(Raw_Data!D$2:D$5002),Raw_Data!D4618)</f>
        <v>113724.18</v>
      </c>
      <c r="E4618" s="15" t="str">
        <f>IF(ISBLANK(Raw_Data!E4618),AVERAGE(Raw_Data!E$2:E$5002),Raw_Data!E4618)</f>
        <v>24577.88</v>
      </c>
      <c r="F4618" s="15" t="str">
        <f>IF(ISBLANK(Raw_Data!F4618),AVERAGE(Raw_Data!F$2:F$5002),Raw_Data!F4618)</f>
        <v>37534.47</v>
      </c>
      <c r="G4618" s="14" t="str">
        <f>IF(ISBLANK(Raw_Data!G4618),AVERAGE(Raw_Data!G$2:G$5002),Raw_Data!G4618)</f>
        <v>4059.65</v>
      </c>
      <c r="H4618" s="15" t="str">
        <f t="shared" si="1"/>
        <v>175837.00</v>
      </c>
      <c r="I4618" s="14" t="str">
        <f t="shared" si="2"/>
        <v>171777.00</v>
      </c>
      <c r="J4618" s="16" t="str">
        <f>TEXT(Raw_Data!J4618,"MMM-YYY")</f>
        <v>May-2025</v>
      </c>
      <c r="K4618" s="13" t="str">
        <f>Raw_Data!K4618</f>
        <v>3</v>
      </c>
      <c r="L4618" s="17" t="str">
        <f>Raw_Data!L4618</f>
        <v>Pune-West</v>
      </c>
      <c r="M4618" s="13" t="str">
        <f t="shared" si="3"/>
        <v>OK</v>
      </c>
      <c r="N4618" s="18" t="str">
        <f t="shared" si="4"/>
        <v>VALID</v>
      </c>
    </row>
    <row r="4619" ht="15.75" customHeight="1">
      <c r="A4619" s="13" t="str">
        <f>Raw_Data!A4619</f>
        <v>EMP4866</v>
      </c>
      <c r="B4619" s="13" t="str">
        <f>TRIM(CLEAN(Raw_Data!B4619))</f>
        <v>Operations</v>
      </c>
      <c r="C4619" s="18" t="s">
        <v>26</v>
      </c>
      <c r="D4619" s="14" t="str">
        <f>IF(ISBLANK(Raw_Data!D4619),AVERAGE(Raw_Data!D$2:D$5002),Raw_Data!D4619)</f>
        <v>75424.79</v>
      </c>
      <c r="E4619" s="15" t="str">
        <f>IF(ISBLANK(Raw_Data!E4619),AVERAGE(Raw_Data!E$2:E$5002),Raw_Data!E4619)</f>
        <v>10654.18</v>
      </c>
      <c r="F4619" s="15" t="str">
        <f>IF(ISBLANK(Raw_Data!F4619),AVERAGE(Raw_Data!F$2:F$5002),Raw_Data!F4619)</f>
        <v>37542.15</v>
      </c>
      <c r="G4619" s="14" t="str">
        <f>IF(ISBLANK(Raw_Data!G4619),AVERAGE(Raw_Data!G$2:G$5002),Raw_Data!G4619)</f>
        <v>11863.83</v>
      </c>
      <c r="H4619" s="15" t="str">
        <f t="shared" si="1"/>
        <v>123621.00</v>
      </c>
      <c r="I4619" s="14" t="str">
        <f t="shared" si="2"/>
        <v>111757.00</v>
      </c>
      <c r="J4619" s="16" t="str">
        <f>TEXT(Raw_Data!J4619,"MMM-YYY")</f>
        <v>Jul-2025</v>
      </c>
      <c r="K4619" s="13" t="str">
        <f>Raw_Data!K4619</f>
        <v>11</v>
      </c>
      <c r="L4619" s="17" t="str">
        <f>Raw_Data!L4619</f>
        <v>Hyderabad-South</v>
      </c>
      <c r="M4619" s="13" t="str">
        <f t="shared" si="3"/>
        <v>OK</v>
      </c>
      <c r="N4619" s="18" t="str">
        <f t="shared" si="4"/>
        <v>VALID</v>
      </c>
    </row>
    <row r="4620" ht="15.75" customHeight="1">
      <c r="A4620" s="13" t="str">
        <f>Raw_Data!A4620</f>
        <v>EMP4867</v>
      </c>
      <c r="B4620" s="13" t="str">
        <f>TRIM(CLEAN(Raw_Data!B4620))</f>
        <v>Marketing</v>
      </c>
      <c r="C4620" s="18" t="s">
        <v>26</v>
      </c>
      <c r="D4620" s="14" t="str">
        <f>IF(ISBLANK(Raw_Data!D4620),AVERAGE(Raw_Data!D$2:D$5002),Raw_Data!D4620)</f>
        <v>55757.84</v>
      </c>
      <c r="E4620" s="15" t="str">
        <f>IF(ISBLANK(Raw_Data!E4620),AVERAGE(Raw_Data!E$2:E$5002),Raw_Data!E4620)</f>
        <v>6145.14</v>
      </c>
      <c r="F4620" s="15" t="str">
        <f>IF(ISBLANK(Raw_Data!F4620),AVERAGE(Raw_Data!F$2:F$5002),Raw_Data!F4620)</f>
        <v>37549.83</v>
      </c>
      <c r="G4620" s="14" t="str">
        <f>IF(ISBLANK(Raw_Data!G4620),AVERAGE(Raw_Data!G$2:G$5002),Raw_Data!G4620)</f>
        <v>19483.28</v>
      </c>
      <c r="H4620" s="15" t="str">
        <f t="shared" si="1"/>
        <v>99453.00</v>
      </c>
      <c r="I4620" s="14" t="str">
        <f t="shared" si="2"/>
        <v>79970.00</v>
      </c>
      <c r="J4620" s="16" t="str">
        <f>TEXT(Raw_Data!J4620,"MMM-YYY")</f>
        <v>Jan-2025</v>
      </c>
      <c r="K4620" s="13" t="str">
        <f>Raw_Data!K4620</f>
        <v>6</v>
      </c>
      <c r="L4620" s="17" t="str">
        <f>Raw_Data!L4620</f>
        <v>Chandigarh-North</v>
      </c>
      <c r="M4620" s="13" t="str">
        <f t="shared" si="3"/>
        <v>OK</v>
      </c>
      <c r="N4620" s="18" t="str">
        <f t="shared" si="4"/>
        <v>VALID</v>
      </c>
    </row>
    <row r="4621" ht="15.75" customHeight="1">
      <c r="A4621" s="13" t="str">
        <f>Raw_Data!A4621</f>
        <v>EMP4868</v>
      </c>
      <c r="B4621" s="13" t="str">
        <f>TRIM(CLEAN(Raw_Data!B4621))</f>
        <v>IT</v>
      </c>
      <c r="C4621" s="18" t="s">
        <v>26</v>
      </c>
      <c r="D4621" s="14" t="str">
        <f>IF(ISBLANK(Raw_Data!D4621),AVERAGE(Raw_Data!D$2:D$5002),Raw_Data!D4621)</f>
        <v>82545.26</v>
      </c>
      <c r="E4621" s="15" t="str">
        <f>IF(ISBLANK(Raw_Data!E4621),AVERAGE(Raw_Data!E$2:E$5002),Raw_Data!E4621)</f>
        <v>25756.94</v>
      </c>
      <c r="F4621" s="15" t="str">
        <f>IF(ISBLANK(Raw_Data!F4621),AVERAGE(Raw_Data!F$2:F$5002),Raw_Data!F4621)</f>
        <v>37557.51</v>
      </c>
      <c r="G4621" s="14" t="str">
        <f>IF(ISBLANK(Raw_Data!G4621),AVERAGE(Raw_Data!G$2:G$5002),Raw_Data!G4621)</f>
        <v>8764.57</v>
      </c>
      <c r="H4621" s="15" t="str">
        <f t="shared" si="1"/>
        <v>145860.00</v>
      </c>
      <c r="I4621" s="14" t="str">
        <f t="shared" si="2"/>
        <v>137095.00</v>
      </c>
      <c r="J4621" s="16" t="str">
        <f>TEXT(Raw_Data!J4621,"MMM-YYY")</f>
        <v>Oct-2025</v>
      </c>
      <c r="K4621" s="13" t="str">
        <f>Raw_Data!K4621</f>
        <v>8</v>
      </c>
      <c r="L4621" s="17" t="str">
        <f>Raw_Data!L4621</f>
        <v>Ahmedabad-West</v>
      </c>
      <c r="M4621" s="13" t="str">
        <f t="shared" si="3"/>
        <v>OK</v>
      </c>
      <c r="N4621" s="18" t="str">
        <f t="shared" si="4"/>
        <v>VALID</v>
      </c>
    </row>
    <row r="4622" ht="15.75" customHeight="1">
      <c r="A4622" s="13" t="str">
        <f>Raw_Data!A4622</f>
        <v>EMP4869</v>
      </c>
      <c r="B4622" s="13" t="str">
        <f>TRIM(CLEAN(Raw_Data!B4622))</f>
        <v>Sales</v>
      </c>
      <c r="C4622" s="18" t="s">
        <v>30</v>
      </c>
      <c r="D4622" s="14" t="str">
        <f>IF(ISBLANK(Raw_Data!D4622),AVERAGE(Raw_Data!D$2:D$5002),Raw_Data!D4622)</f>
        <v>63116.55</v>
      </c>
      <c r="E4622" s="15" t="str">
        <f>IF(ISBLANK(Raw_Data!E4622),AVERAGE(Raw_Data!E$2:E$5002),Raw_Data!E4622)</f>
        <v>31492.92</v>
      </c>
      <c r="F4622" s="15" t="str">
        <f>IF(ISBLANK(Raw_Data!F4622),AVERAGE(Raw_Data!F$2:F$5002),Raw_Data!F4622)</f>
        <v>37565.19</v>
      </c>
      <c r="G4622" s="14" t="str">
        <f>IF(ISBLANK(Raw_Data!G4622),AVERAGE(Raw_Data!G$2:G$5002),Raw_Data!G4622)</f>
        <v>16011.12</v>
      </c>
      <c r="H4622" s="15" t="str">
        <f t="shared" si="1"/>
        <v>132175.00</v>
      </c>
      <c r="I4622" s="14" t="str">
        <f t="shared" si="2"/>
        <v>116164.00</v>
      </c>
      <c r="J4622" s="16" t="str">
        <f>TEXT(Raw_Data!J4622,"MMM-YYY")</f>
        <v>Nov-2025</v>
      </c>
      <c r="K4622" s="13" t="str">
        <f>Raw_Data!K4622</f>
        <v>4</v>
      </c>
      <c r="L4622" s="17" t="str">
        <f>Raw_Data!L4622</f>
        <v>Jaipur-North</v>
      </c>
      <c r="M4622" s="13" t="str">
        <f t="shared" si="3"/>
        <v>OK</v>
      </c>
      <c r="N4622" s="18" t="str">
        <f t="shared" si="4"/>
        <v>VALID</v>
      </c>
    </row>
    <row r="4623" ht="15.75" customHeight="1">
      <c r="A4623" s="13" t="str">
        <f>Raw_Data!A4623</f>
        <v>EMP4870</v>
      </c>
      <c r="B4623" s="13" t="str">
        <f>TRIM(CLEAN(Raw_Data!B4623))</f>
        <v>HR</v>
      </c>
      <c r="C4623" s="18" t="s">
        <v>18</v>
      </c>
      <c r="D4623" s="14" t="str">
        <f>IF(ISBLANK(Raw_Data!D4623),AVERAGE(Raw_Data!D$2:D$5002),Raw_Data!D4623)</f>
        <v>72289.76</v>
      </c>
      <c r="E4623" s="15" t="str">
        <f>IF(ISBLANK(Raw_Data!E4623),AVERAGE(Raw_Data!E$2:E$5002),Raw_Data!E4623)</f>
        <v>22842.45</v>
      </c>
      <c r="F4623" s="15" t="str">
        <f>IF(ISBLANK(Raw_Data!F4623),AVERAGE(Raw_Data!F$2:F$5002),Raw_Data!F4623)</f>
        <v>37572.87</v>
      </c>
      <c r="G4623" s="14" t="str">
        <f>IF(ISBLANK(Raw_Data!G4623),AVERAGE(Raw_Data!G$2:G$5002),Raw_Data!G4623)</f>
        <v>1730.22</v>
      </c>
      <c r="H4623" s="15" t="str">
        <f t="shared" si="1"/>
        <v>132705.00</v>
      </c>
      <c r="I4623" s="14" t="str">
        <f t="shared" si="2"/>
        <v>130975.00</v>
      </c>
      <c r="J4623" s="16" t="str">
        <f>TEXT(Raw_Data!J4623,"MMM-YYY")</f>
        <v>Apr-2025</v>
      </c>
      <c r="K4623" s="13" t="str">
        <f>Raw_Data!K4623</f>
        <v>10</v>
      </c>
      <c r="L4623" s="17" t="str">
        <f>Raw_Data!L4623</f>
        <v>Mumbai-HO</v>
      </c>
      <c r="M4623" s="13" t="str">
        <f t="shared" si="3"/>
        <v>OK</v>
      </c>
      <c r="N4623" s="18" t="str">
        <f t="shared" si="4"/>
        <v>VALID</v>
      </c>
    </row>
    <row r="4624" ht="15.75" customHeight="1">
      <c r="A4624" s="13" t="str">
        <f>Raw_Data!A4624</f>
        <v>EMP4871</v>
      </c>
      <c r="B4624" s="13" t="str">
        <f>TRIM(CLEAN(Raw_Data!B4624))</f>
        <v>Customer Support</v>
      </c>
      <c r="C4624" s="18" t="s">
        <v>37</v>
      </c>
      <c r="D4624" s="14" t="str">
        <f>IF(ISBLANK(Raw_Data!D4624),AVERAGE(Raw_Data!D$2:D$5002),Raw_Data!D4624)</f>
        <v>113853.80</v>
      </c>
      <c r="E4624" s="15" t="str">
        <f>IF(ISBLANK(Raw_Data!E4624),AVERAGE(Raw_Data!E$2:E$5002),Raw_Data!E4624)</f>
        <v>12163.81</v>
      </c>
      <c r="F4624" s="15" t="str">
        <f>IF(ISBLANK(Raw_Data!F4624),AVERAGE(Raw_Data!F$2:F$5002),Raw_Data!F4624)</f>
        <v>37580.55</v>
      </c>
      <c r="G4624" s="14" t="str">
        <f>IF(ISBLANK(Raw_Data!G4624),AVERAGE(Raw_Data!G$2:G$5002),Raw_Data!G4624)</f>
        <v>15412.87</v>
      </c>
      <c r="H4624" s="15" t="str">
        <f t="shared" si="1"/>
        <v>163598.00</v>
      </c>
      <c r="I4624" s="14" t="str">
        <f t="shared" si="2"/>
        <v>148185.00</v>
      </c>
      <c r="J4624" s="16" t="str">
        <f>TEXT(Raw_Data!J4624,"MMM-YYY")</f>
        <v>Jun-2025</v>
      </c>
      <c r="K4624" s="13" t="str">
        <f>Raw_Data!K4624</f>
        <v>19</v>
      </c>
      <c r="L4624" s="17" t="str">
        <f>Raw_Data!L4624</f>
        <v>Delhi-North</v>
      </c>
      <c r="M4624" s="13" t="str">
        <f t="shared" si="3"/>
        <v>OK</v>
      </c>
      <c r="N4624" s="18" t="str">
        <f t="shared" si="4"/>
        <v>VALID</v>
      </c>
    </row>
    <row r="4625" ht="15.75" customHeight="1">
      <c r="A4625" s="13" t="str">
        <f>Raw_Data!A4625</f>
        <v>EMP4873</v>
      </c>
      <c r="B4625" s="13" t="str">
        <f>TRIM(CLEAN(Raw_Data!B4625))</f>
        <v>HR</v>
      </c>
      <c r="C4625" s="18" t="s">
        <v>30</v>
      </c>
      <c r="D4625" s="14" t="str">
        <f>IF(ISBLANK(Raw_Data!D4625),AVERAGE(Raw_Data!D$2:D$5002),Raw_Data!D4625)</f>
        <v>115925.01</v>
      </c>
      <c r="E4625" s="15" t="str">
        <f>IF(ISBLANK(Raw_Data!E4625),AVERAGE(Raw_Data!E$2:E$5002),Raw_Data!E4625)</f>
        <v>6883.81</v>
      </c>
      <c r="F4625" s="15" t="str">
        <f>IF(ISBLANK(Raw_Data!F4625),AVERAGE(Raw_Data!F$2:F$5002),Raw_Data!F4625)</f>
        <v>37595.91</v>
      </c>
      <c r="G4625" s="14" t="str">
        <f>IF(ISBLANK(Raw_Data!G4625),AVERAGE(Raw_Data!G$2:G$5002),Raw_Data!G4625)</f>
        <v>20849.29</v>
      </c>
      <c r="H4625" s="15" t="str">
        <f t="shared" si="1"/>
        <v>160405.00</v>
      </c>
      <c r="I4625" s="14" t="str">
        <f t="shared" si="2"/>
        <v>139556.00</v>
      </c>
      <c r="J4625" s="16" t="str">
        <f>TEXT(Raw_Data!J4625,"MMM-YYY")</f>
        <v>Sep-2025</v>
      </c>
      <c r="K4625" s="13" t="str">
        <f>Raw_Data!K4625</f>
        <v>19</v>
      </c>
      <c r="L4625" s="17" t="str">
        <f>Raw_Data!L4625</f>
        <v>Chennai-South</v>
      </c>
      <c r="M4625" s="13" t="str">
        <f t="shared" si="3"/>
        <v>OK</v>
      </c>
      <c r="N4625" s="18" t="str">
        <f t="shared" si="4"/>
        <v>VALID</v>
      </c>
    </row>
    <row r="4626" ht="15.75" customHeight="1">
      <c r="A4626" s="13" t="str">
        <f>Raw_Data!A4626</f>
        <v>EMP4874</v>
      </c>
      <c r="B4626" s="13" t="str">
        <f>TRIM(CLEAN(Raw_Data!B4626))</f>
        <v>Sales</v>
      </c>
      <c r="C4626" s="18" t="s">
        <v>54</v>
      </c>
      <c r="D4626" s="14" t="str">
        <f>IF(ISBLANK(Raw_Data!D4626),AVERAGE(Raw_Data!D$2:D$5002),Raw_Data!D4626)</f>
        <v>110061.82</v>
      </c>
      <c r="E4626" s="15" t="str">
        <f>IF(ISBLANK(Raw_Data!E4626),AVERAGE(Raw_Data!E$2:E$5002),Raw_Data!E4626)</f>
        <v>19906.01</v>
      </c>
      <c r="F4626" s="15" t="str">
        <f>IF(ISBLANK(Raw_Data!F4626),AVERAGE(Raw_Data!F$2:F$5002),Raw_Data!F4626)</f>
        <v>37603.59</v>
      </c>
      <c r="G4626" s="14" t="str">
        <f>IF(ISBLANK(Raw_Data!G4626),AVERAGE(Raw_Data!G$2:G$5002),Raw_Data!G4626)</f>
        <v>9208.51</v>
      </c>
      <c r="H4626" s="15" t="str">
        <f t="shared" si="1"/>
        <v>167571.00</v>
      </c>
      <c r="I4626" s="14" t="str">
        <f t="shared" si="2"/>
        <v>158362.00</v>
      </c>
      <c r="J4626" s="16" t="str">
        <f>TEXT(Raw_Data!J4626,"MMM-YYY")</f>
        <v>Jun-2025</v>
      </c>
      <c r="K4626" s="13" t="str">
        <f>Raw_Data!K4626</f>
        <v>4</v>
      </c>
      <c r="L4626" s="17" t="str">
        <f>Raw_Data!L4626</f>
        <v>Kolkata-East</v>
      </c>
      <c r="M4626" s="13" t="str">
        <f t="shared" si="3"/>
        <v>OK</v>
      </c>
      <c r="N4626" s="18" t="str">
        <f t="shared" si="4"/>
        <v>VALID</v>
      </c>
    </row>
    <row r="4627" ht="15.75" customHeight="1">
      <c r="A4627" s="13" t="str">
        <f>Raw_Data!A4627</f>
        <v>EMP4875</v>
      </c>
      <c r="B4627" s="13" t="str">
        <f>TRIM(CLEAN(Raw_Data!B4627))</f>
        <v>IT</v>
      </c>
      <c r="C4627" s="18" t="s">
        <v>18</v>
      </c>
      <c r="D4627" s="14" t="str">
        <f>IF(ISBLANK(Raw_Data!D4627),AVERAGE(Raw_Data!D$2:D$5002),Raw_Data!D4627)</f>
        <v>35558.07</v>
      </c>
      <c r="E4627" s="15" t="str">
        <f>IF(ISBLANK(Raw_Data!E4627),AVERAGE(Raw_Data!E$2:E$5002),Raw_Data!E4627)</f>
        <v>9881.20</v>
      </c>
      <c r="F4627" s="15" t="str">
        <f>IF(ISBLANK(Raw_Data!F4627),AVERAGE(Raw_Data!F$2:F$5002),Raw_Data!F4627)</f>
        <v>37611.27</v>
      </c>
      <c r="G4627" s="14" t="str">
        <f>IF(ISBLANK(Raw_Data!G4627),AVERAGE(Raw_Data!G$2:G$5002),Raw_Data!G4627)</f>
        <v>7398.07</v>
      </c>
      <c r="H4627" s="15" t="str">
        <f t="shared" si="1"/>
        <v>83051.00</v>
      </c>
      <c r="I4627" s="14" t="str">
        <f t="shared" si="2"/>
        <v>75653.00</v>
      </c>
      <c r="J4627" s="16" t="str">
        <f>TEXT(Raw_Data!J4627,"MMM-YYY")</f>
        <v>Dec-2025</v>
      </c>
      <c r="K4627" s="13" t="str">
        <f>Raw_Data!K4627</f>
        <v>16</v>
      </c>
      <c r="L4627" s="17" t="str">
        <f>Raw_Data!L4627</f>
        <v>Pune-West</v>
      </c>
      <c r="M4627" s="13" t="str">
        <f t="shared" si="3"/>
        <v>OK</v>
      </c>
      <c r="N4627" s="18" t="str">
        <f t="shared" si="4"/>
        <v>VALID</v>
      </c>
    </row>
    <row r="4628" ht="15.75" customHeight="1">
      <c r="A4628" s="13" t="str">
        <f>Raw_Data!A4628</f>
        <v>EMP4876</v>
      </c>
      <c r="B4628" s="13" t="str">
        <f>TRIM(CLEAN(Raw_Data!B4628))</f>
        <v>IT</v>
      </c>
      <c r="C4628" s="18" t="s">
        <v>18</v>
      </c>
      <c r="D4628" s="14" t="str">
        <f>IF(ISBLANK(Raw_Data!D4628),AVERAGE(Raw_Data!D$2:D$5002),Raw_Data!D4628)</f>
        <v>22282.94</v>
      </c>
      <c r="E4628" s="15" t="str">
        <f>IF(ISBLANK(Raw_Data!E4628),AVERAGE(Raw_Data!E$2:E$5002),Raw_Data!E4628)</f>
        <v>10640.53</v>
      </c>
      <c r="F4628" s="15" t="str">
        <f>IF(ISBLANK(Raw_Data!F4628),AVERAGE(Raw_Data!F$2:F$5002),Raw_Data!F4628)</f>
        <v>37618.95</v>
      </c>
      <c r="G4628" s="14" t="str">
        <f>IF(ISBLANK(Raw_Data!G4628),AVERAGE(Raw_Data!G$2:G$5002),Raw_Data!G4628)</f>
        <v>21101.78</v>
      </c>
      <c r="H4628" s="15" t="str">
        <f t="shared" si="1"/>
        <v>70542.00</v>
      </c>
      <c r="I4628" s="14" t="str">
        <f t="shared" si="2"/>
        <v>49440.00</v>
      </c>
      <c r="J4628" s="16" t="str">
        <f>TEXT(Raw_Data!J4628,"MMM-YYY")</f>
        <v>Apr-2025</v>
      </c>
      <c r="K4628" s="13" t="str">
        <f>Raw_Data!K4628</f>
        <v>5</v>
      </c>
      <c r="L4628" s="17" t="str">
        <f>Raw_Data!L4628</f>
        <v>Hyderabad-South</v>
      </c>
      <c r="M4628" s="13" t="str">
        <f t="shared" si="3"/>
        <v>OK</v>
      </c>
      <c r="N4628" s="18" t="str">
        <f t="shared" si="4"/>
        <v>VALID</v>
      </c>
    </row>
    <row r="4629" ht="15.75" customHeight="1">
      <c r="A4629" s="13" t="str">
        <f>Raw_Data!A4629</f>
        <v>EMP4877</v>
      </c>
      <c r="B4629" s="13" t="str">
        <f>TRIM(CLEAN(Raw_Data!B4629))</f>
        <v>HR</v>
      </c>
      <c r="C4629" s="18" t="s">
        <v>54</v>
      </c>
      <c r="D4629" s="14" t="str">
        <f>IF(ISBLANK(Raw_Data!D4629),AVERAGE(Raw_Data!D$2:D$5002),Raw_Data!D4629)</f>
        <v>25581.69</v>
      </c>
      <c r="E4629" s="15" t="str">
        <f>IF(ISBLANK(Raw_Data!E4629),AVERAGE(Raw_Data!E$2:E$5002),Raw_Data!E4629)</f>
        <v>11282.58</v>
      </c>
      <c r="F4629" s="15" t="str">
        <f>IF(ISBLANK(Raw_Data!F4629),AVERAGE(Raw_Data!F$2:F$5002),Raw_Data!F4629)</f>
        <v>37626.63</v>
      </c>
      <c r="G4629" s="14" t="str">
        <f>IF(ISBLANK(Raw_Data!G4629),AVERAGE(Raw_Data!G$2:G$5002),Raw_Data!G4629)</f>
        <v>1728.53</v>
      </c>
      <c r="H4629" s="15" t="str">
        <f t="shared" si="1"/>
        <v>74491.00</v>
      </c>
      <c r="I4629" s="14" t="str">
        <f t="shared" si="2"/>
        <v>72762.00</v>
      </c>
      <c r="J4629" s="16" t="str">
        <f>TEXT(Raw_Data!J4629,"MMM-YYY")</f>
        <v>May-2025</v>
      </c>
      <c r="K4629" s="13" t="str">
        <f>Raw_Data!K4629</f>
        <v>5</v>
      </c>
      <c r="L4629" s="17" t="str">
        <f>Raw_Data!L4629</f>
        <v>Chandigarh-North</v>
      </c>
      <c r="M4629" s="13" t="str">
        <f t="shared" si="3"/>
        <v>OK</v>
      </c>
      <c r="N4629" s="18" t="str">
        <f t="shared" si="4"/>
        <v>VALID</v>
      </c>
    </row>
    <row r="4630" ht="15.75" customHeight="1">
      <c r="A4630" s="13" t="str">
        <f>Raw_Data!A4630</f>
        <v>EMP4878</v>
      </c>
      <c r="B4630" s="13" t="str">
        <f>TRIM(CLEAN(Raw_Data!B4630))</f>
        <v>Sales</v>
      </c>
      <c r="C4630" s="18" t="s">
        <v>37</v>
      </c>
      <c r="D4630" s="14" t="str">
        <f>IF(ISBLANK(Raw_Data!D4630),AVERAGE(Raw_Data!D$2:D$5002),Raw_Data!D4630)</f>
        <v>16913.29</v>
      </c>
      <c r="E4630" s="15" t="str">
        <f>IF(ISBLANK(Raw_Data!E4630),AVERAGE(Raw_Data!E$2:E$5002),Raw_Data!E4630)</f>
        <v>17921.45</v>
      </c>
      <c r="F4630" s="15" t="str">
        <f>IF(ISBLANK(Raw_Data!F4630),AVERAGE(Raw_Data!F$2:F$5002),Raw_Data!F4630)</f>
        <v>37634.31</v>
      </c>
      <c r="G4630" s="14" t="str">
        <f>IF(ISBLANK(Raw_Data!G4630),AVERAGE(Raw_Data!G$2:G$5002),Raw_Data!G4630)</f>
        <v>10216.92</v>
      </c>
      <c r="H4630" s="15" t="str">
        <f t="shared" si="1"/>
        <v>72469.00</v>
      </c>
      <c r="I4630" s="14" t="str">
        <f t="shared" si="2"/>
        <v>62252.00</v>
      </c>
      <c r="J4630" s="16" t="str">
        <f>TEXT(Raw_Data!J4630,"MMM-YYY")</f>
        <v>Sep-2025</v>
      </c>
      <c r="K4630" s="13" t="str">
        <f>Raw_Data!K4630</f>
        <v>22</v>
      </c>
      <c r="L4630" s="17" t="str">
        <f>Raw_Data!L4630</f>
        <v>Ahmedabad-West</v>
      </c>
      <c r="M4630" s="13" t="str">
        <f t="shared" si="3"/>
        <v>OK</v>
      </c>
      <c r="N4630" s="18" t="str">
        <f t="shared" si="4"/>
        <v>VALID</v>
      </c>
    </row>
    <row r="4631" ht="15.75" customHeight="1">
      <c r="A4631" s="13" t="str">
        <f>Raw_Data!A4631</f>
        <v>EMP4879</v>
      </c>
      <c r="B4631" s="13" t="str">
        <f>TRIM(CLEAN(Raw_Data!B4631))</f>
        <v>Operations</v>
      </c>
      <c r="C4631" s="18" t="s">
        <v>33</v>
      </c>
      <c r="D4631" s="14" t="str">
        <f>IF(ISBLANK(Raw_Data!D4631),AVERAGE(Raw_Data!D$2:D$5002),Raw_Data!D4631)</f>
        <v>24916.51</v>
      </c>
      <c r="E4631" s="15" t="str">
        <f>IF(ISBLANK(Raw_Data!E4631),AVERAGE(Raw_Data!E$2:E$5002),Raw_Data!E4631)</f>
        <v>5841.41</v>
      </c>
      <c r="F4631" s="15" t="str">
        <f>IF(ISBLANK(Raw_Data!F4631),AVERAGE(Raw_Data!F$2:F$5002),Raw_Data!F4631)</f>
        <v>37641.99</v>
      </c>
      <c r="G4631" s="14" t="str">
        <f>IF(ISBLANK(Raw_Data!G4631),AVERAGE(Raw_Data!G$2:G$5002),Raw_Data!G4631)</f>
        <v>9565.09</v>
      </c>
      <c r="H4631" s="15" t="str">
        <f t="shared" si="1"/>
        <v>68400.00</v>
      </c>
      <c r="I4631" s="14" t="str">
        <f t="shared" si="2"/>
        <v>58835.00</v>
      </c>
      <c r="J4631" s="16" t="str">
        <f>TEXT(Raw_Data!J4631,"MMM-YYY")</f>
        <v>Jul-2025</v>
      </c>
      <c r="K4631" s="13" t="str">
        <f>Raw_Data!K4631</f>
        <v>23</v>
      </c>
      <c r="L4631" s="17" t="str">
        <f>Raw_Data!L4631</f>
        <v>Jaipur-North</v>
      </c>
      <c r="M4631" s="13" t="str">
        <f t="shared" si="3"/>
        <v>OK</v>
      </c>
      <c r="N4631" s="18" t="str">
        <f t="shared" si="4"/>
        <v>VALID</v>
      </c>
    </row>
    <row r="4632" ht="15.75" customHeight="1">
      <c r="A4632" s="13" t="str">
        <f>Raw_Data!A4632</f>
        <v>EMP4880</v>
      </c>
      <c r="B4632" s="13" t="str">
        <f>TRIM(CLEAN(Raw_Data!B4632))</f>
        <v>HR</v>
      </c>
      <c r="C4632" s="18" t="s">
        <v>26</v>
      </c>
      <c r="D4632" s="14" t="str">
        <f>IF(ISBLANK(Raw_Data!D4632),AVERAGE(Raw_Data!D$2:D$5002),Raw_Data!D4632)</f>
        <v>86715.71</v>
      </c>
      <c r="E4632" s="15" t="str">
        <f>IF(ISBLANK(Raw_Data!E4632),AVERAGE(Raw_Data!E$2:E$5002),Raw_Data!E4632)</f>
        <v>18320.56</v>
      </c>
      <c r="F4632" s="15" t="str">
        <f>IF(ISBLANK(Raw_Data!F4632),AVERAGE(Raw_Data!F$2:F$5002),Raw_Data!F4632)</f>
        <v>37649.67</v>
      </c>
      <c r="G4632" s="14" t="str">
        <f>IF(ISBLANK(Raw_Data!G4632),AVERAGE(Raw_Data!G$2:G$5002),Raw_Data!G4632)</f>
        <v>7477.61</v>
      </c>
      <c r="H4632" s="15" t="str">
        <f t="shared" si="1"/>
        <v>142686.00</v>
      </c>
      <c r="I4632" s="14" t="str">
        <f t="shared" si="2"/>
        <v>135208.00</v>
      </c>
      <c r="J4632" s="16" t="str">
        <f>TEXT(Raw_Data!J4632,"MMM-YYY")</f>
        <v>Jan-2025</v>
      </c>
      <c r="K4632" s="13" t="str">
        <f>Raw_Data!K4632</f>
        <v>24</v>
      </c>
      <c r="L4632" s="17" t="str">
        <f>Raw_Data!L4632</f>
        <v>Mumbai-HO</v>
      </c>
      <c r="M4632" s="13" t="str">
        <f t="shared" si="3"/>
        <v>OK</v>
      </c>
      <c r="N4632" s="18" t="str">
        <f t="shared" si="4"/>
        <v>VALID</v>
      </c>
    </row>
    <row r="4633" ht="15.75" customHeight="1">
      <c r="A4633" s="13" t="str">
        <f>Raw_Data!A4633</f>
        <v>EMP4881</v>
      </c>
      <c r="B4633" s="13" t="str">
        <f>TRIM(CLEAN(Raw_Data!B4633))</f>
        <v>Finance</v>
      </c>
      <c r="C4633" s="18" t="s">
        <v>18</v>
      </c>
      <c r="D4633" s="14" t="str">
        <f>IF(ISBLANK(Raw_Data!D4633),AVERAGE(Raw_Data!D$2:D$5002),Raw_Data!D4633)</f>
        <v>22474.81</v>
      </c>
      <c r="E4633" s="15" t="str">
        <f>IF(ISBLANK(Raw_Data!E4633),AVERAGE(Raw_Data!E$2:E$5002),Raw_Data!E4633)</f>
        <v>22421.47</v>
      </c>
      <c r="F4633" s="15" t="str">
        <f>IF(ISBLANK(Raw_Data!F4633),AVERAGE(Raw_Data!F$2:F$5002),Raw_Data!F4633)</f>
        <v>37657.35</v>
      </c>
      <c r="G4633" s="14" t="str">
        <f>IF(ISBLANK(Raw_Data!G4633),AVERAGE(Raw_Data!G$2:G$5002),Raw_Data!G4633)</f>
        <v>22837.98</v>
      </c>
      <c r="H4633" s="15" t="str">
        <f t="shared" si="1"/>
        <v>82554.00</v>
      </c>
      <c r="I4633" s="14" t="str">
        <f t="shared" si="2"/>
        <v>59716.00</v>
      </c>
      <c r="J4633" s="16" t="str">
        <f>TEXT(Raw_Data!J4633,"MMM-YYY")</f>
        <v>Dec-2025</v>
      </c>
      <c r="K4633" s="13" t="str">
        <f>Raw_Data!K4633</f>
        <v>9</v>
      </c>
      <c r="L4633" s="17" t="str">
        <f>Raw_Data!L4633</f>
        <v>Delhi-North</v>
      </c>
      <c r="M4633" s="13" t="str">
        <f t="shared" si="3"/>
        <v>OK</v>
      </c>
      <c r="N4633" s="18" t="str">
        <f t="shared" si="4"/>
        <v>VALID</v>
      </c>
    </row>
    <row r="4634" ht="15.75" customHeight="1">
      <c r="A4634" s="13" t="str">
        <f>Raw_Data!A4634</f>
        <v>EMP4882</v>
      </c>
      <c r="B4634" s="13" t="str">
        <f>TRIM(CLEAN(Raw_Data!B4634))</f>
        <v>Customer Support</v>
      </c>
      <c r="C4634" s="18" t="s">
        <v>14</v>
      </c>
      <c r="D4634" s="14" t="str">
        <f>IF(ISBLANK(Raw_Data!D4634),AVERAGE(Raw_Data!D$2:D$5002),Raw_Data!D4634)</f>
        <v>48492.44</v>
      </c>
      <c r="E4634" s="15" t="str">
        <f>IF(ISBLANK(Raw_Data!E4634),AVERAGE(Raw_Data!E$2:E$5002),Raw_Data!E4634)</f>
        <v>21398.59</v>
      </c>
      <c r="F4634" s="15" t="str">
        <f>IF(ISBLANK(Raw_Data!F4634),AVERAGE(Raw_Data!F$2:F$5002),Raw_Data!F4634)</f>
        <v>37665.03</v>
      </c>
      <c r="G4634" s="14" t="str">
        <f>IF(ISBLANK(Raw_Data!G4634),AVERAGE(Raw_Data!G$2:G$5002),Raw_Data!G4634)</f>
        <v>18897.75</v>
      </c>
      <c r="H4634" s="15" t="str">
        <f t="shared" si="1"/>
        <v>107556.00</v>
      </c>
      <c r="I4634" s="14" t="str">
        <f t="shared" si="2"/>
        <v>88658.00</v>
      </c>
      <c r="J4634" s="16" t="str">
        <f>TEXT(Raw_Data!J4634,"MMM-YYY")</f>
        <v>Dec-2025</v>
      </c>
      <c r="K4634" s="13" t="str">
        <f>Raw_Data!K4634</f>
        <v>23</v>
      </c>
      <c r="L4634" s="17" t="str">
        <f>Raw_Data!L4634</f>
        <v>Bangalore-South</v>
      </c>
      <c r="M4634" s="13" t="str">
        <f t="shared" si="3"/>
        <v>OK</v>
      </c>
      <c r="N4634" s="18" t="str">
        <f t="shared" si="4"/>
        <v>VALID</v>
      </c>
    </row>
    <row r="4635" ht="15.75" customHeight="1">
      <c r="A4635" s="13" t="str">
        <f>Raw_Data!A4635</f>
        <v>EMP4883</v>
      </c>
      <c r="B4635" s="13" t="str">
        <f>TRIM(CLEAN(Raw_Data!B4635))</f>
        <v>IT</v>
      </c>
      <c r="C4635" s="18" t="s">
        <v>14</v>
      </c>
      <c r="D4635" s="14" t="str">
        <f>IF(ISBLANK(Raw_Data!D4635),AVERAGE(Raw_Data!D$2:D$5002),Raw_Data!D4635)</f>
        <v>103711.91</v>
      </c>
      <c r="E4635" s="15" t="str">
        <f>IF(ISBLANK(Raw_Data!E4635),AVERAGE(Raw_Data!E$2:E$5002),Raw_Data!E4635)</f>
        <v>17780.23</v>
      </c>
      <c r="F4635" s="15" t="str">
        <f>IF(ISBLANK(Raw_Data!F4635),AVERAGE(Raw_Data!F$2:F$5002),Raw_Data!F4635)</f>
        <v>37672.71</v>
      </c>
      <c r="G4635" s="14" t="str">
        <f>IF(ISBLANK(Raw_Data!G4635),AVERAGE(Raw_Data!G$2:G$5002),Raw_Data!G4635)</f>
        <v>2066.12</v>
      </c>
      <c r="H4635" s="15" t="str">
        <f t="shared" si="1"/>
        <v>159165.00</v>
      </c>
      <c r="I4635" s="14" t="str">
        <f t="shared" si="2"/>
        <v>157099.00</v>
      </c>
      <c r="J4635" s="16" t="str">
        <f>TEXT(Raw_Data!J4635,"MMM-YYY")</f>
        <v>Jan-2025</v>
      </c>
      <c r="K4635" s="13" t="str">
        <f>Raw_Data!K4635</f>
        <v>23</v>
      </c>
      <c r="L4635" s="17" t="str">
        <f>Raw_Data!L4635</f>
        <v>Chennai-South</v>
      </c>
      <c r="M4635" s="13" t="str">
        <f t="shared" si="3"/>
        <v>OK</v>
      </c>
      <c r="N4635" s="18" t="str">
        <f t="shared" si="4"/>
        <v>VALID</v>
      </c>
    </row>
    <row r="4636" ht="15.75" customHeight="1">
      <c r="A4636" s="13" t="str">
        <f>Raw_Data!A4636</f>
        <v>EMP4884</v>
      </c>
      <c r="B4636" s="13" t="str">
        <f>TRIM(CLEAN(Raw_Data!B4636))</f>
        <v>Marketing</v>
      </c>
      <c r="C4636" s="18" t="s">
        <v>37</v>
      </c>
      <c r="D4636" s="14" t="str">
        <f>IF(ISBLANK(Raw_Data!D4636),AVERAGE(Raw_Data!D$2:D$5002),Raw_Data!D4636)</f>
        <v>17443.55</v>
      </c>
      <c r="E4636" s="15" t="str">
        <f>IF(ISBLANK(Raw_Data!E4636),AVERAGE(Raw_Data!E$2:E$5002),Raw_Data!E4636)</f>
        <v>34209.28</v>
      </c>
      <c r="F4636" s="15" t="str">
        <f>IF(ISBLANK(Raw_Data!F4636),AVERAGE(Raw_Data!F$2:F$5002),Raw_Data!F4636)</f>
        <v>37680.39</v>
      </c>
      <c r="G4636" s="14" t="str">
        <f>IF(ISBLANK(Raw_Data!G4636),AVERAGE(Raw_Data!G$2:G$5002),Raw_Data!G4636)</f>
        <v>18009.84</v>
      </c>
      <c r="H4636" s="15" t="str">
        <f t="shared" si="1"/>
        <v>89333.00</v>
      </c>
      <c r="I4636" s="14" t="str">
        <f t="shared" si="2"/>
        <v>71323.00</v>
      </c>
      <c r="J4636" s="16" t="str">
        <f>TEXT(Raw_Data!J4636,"MMM-YYY")</f>
        <v>Jun-2025</v>
      </c>
      <c r="K4636" s="13" t="str">
        <f>Raw_Data!K4636</f>
        <v>7</v>
      </c>
      <c r="L4636" s="17" t="str">
        <f>Raw_Data!L4636</f>
        <v>Kolkata-East</v>
      </c>
      <c r="M4636" s="13" t="str">
        <f t="shared" si="3"/>
        <v>OK</v>
      </c>
      <c r="N4636" s="18" t="str">
        <f t="shared" si="4"/>
        <v>VALID</v>
      </c>
    </row>
    <row r="4637" ht="15.75" customHeight="1">
      <c r="A4637" s="13" t="str">
        <f>Raw_Data!A4637</f>
        <v>EMP4885</v>
      </c>
      <c r="B4637" s="13" t="str">
        <f>TRIM(CLEAN(Raw_Data!B4637))</f>
        <v>Marketing</v>
      </c>
      <c r="C4637" s="18" t="s">
        <v>18</v>
      </c>
      <c r="D4637" s="14" t="str">
        <f>IF(ISBLANK(Raw_Data!D4637),AVERAGE(Raw_Data!D$2:D$5002),Raw_Data!D4637)</f>
        <v>100519.19</v>
      </c>
      <c r="E4637" s="15" t="str">
        <f>IF(ISBLANK(Raw_Data!E4637),AVERAGE(Raw_Data!E$2:E$5002),Raw_Data!E4637)</f>
        <v>9231.76</v>
      </c>
      <c r="F4637" s="15" t="str">
        <f>IF(ISBLANK(Raw_Data!F4637),AVERAGE(Raw_Data!F$2:F$5002),Raw_Data!F4637)</f>
        <v>37688.07</v>
      </c>
      <c r="G4637" s="14" t="str">
        <f>IF(ISBLANK(Raw_Data!G4637),AVERAGE(Raw_Data!G$2:G$5002),Raw_Data!G4637)</f>
        <v>13418.83</v>
      </c>
      <c r="H4637" s="15" t="str">
        <f t="shared" si="1"/>
        <v>147439.00</v>
      </c>
      <c r="I4637" s="14" t="str">
        <f t="shared" si="2"/>
        <v>134020.00</v>
      </c>
      <c r="J4637" s="16" t="str">
        <f>TEXT(Raw_Data!J4637,"MMM-YYY")</f>
        <v>Sep-2025</v>
      </c>
      <c r="K4637" s="13" t="str">
        <f>Raw_Data!K4637</f>
        <v>22</v>
      </c>
      <c r="L4637" s="17" t="str">
        <f>Raw_Data!L4637</f>
        <v>Pune-West</v>
      </c>
      <c r="M4637" s="13" t="str">
        <f t="shared" si="3"/>
        <v>OK</v>
      </c>
      <c r="N4637" s="18" t="str">
        <f t="shared" si="4"/>
        <v>VALID</v>
      </c>
    </row>
    <row r="4638" ht="15.75" customHeight="1">
      <c r="A4638" s="13" t="str">
        <f>Raw_Data!A4638</f>
        <v>EMP4887</v>
      </c>
      <c r="B4638" s="13" t="str">
        <f>TRIM(CLEAN(Raw_Data!B4638))</f>
        <v>Sales</v>
      </c>
      <c r="C4638" s="18" t="s">
        <v>33</v>
      </c>
      <c r="D4638" s="14" t="str">
        <f>IF(ISBLANK(Raw_Data!D4638),AVERAGE(Raw_Data!D$2:D$5002),Raw_Data!D4638)</f>
        <v>27407.31</v>
      </c>
      <c r="E4638" s="15" t="str">
        <f>IF(ISBLANK(Raw_Data!E4638),AVERAGE(Raw_Data!E$2:E$5002),Raw_Data!E4638)</f>
        <v>6233.49</v>
      </c>
      <c r="F4638" s="15" t="str">
        <f>IF(ISBLANK(Raw_Data!F4638),AVERAGE(Raw_Data!F$2:F$5002),Raw_Data!F4638)</f>
        <v>37703.43</v>
      </c>
      <c r="G4638" s="14" t="str">
        <f>IF(ISBLANK(Raw_Data!G4638),AVERAGE(Raw_Data!G$2:G$5002),Raw_Data!G4638)</f>
        <v>8167.17</v>
      </c>
      <c r="H4638" s="15" t="str">
        <f t="shared" si="1"/>
        <v>71344.00</v>
      </c>
      <c r="I4638" s="14" t="str">
        <f t="shared" si="2"/>
        <v>63177.00</v>
      </c>
      <c r="J4638" s="16" t="str">
        <f>TEXT(Raw_Data!J4638,"MMM-YYY")</f>
        <v>Feb-2025</v>
      </c>
      <c r="K4638" s="13" t="str">
        <f>Raw_Data!K4638</f>
        <v>15</v>
      </c>
      <c r="L4638" s="17" t="str">
        <f>Raw_Data!L4638</f>
        <v>Chandigarh-North</v>
      </c>
      <c r="M4638" s="13" t="str">
        <f t="shared" si="3"/>
        <v>OK</v>
      </c>
      <c r="N4638" s="18" t="str">
        <f t="shared" si="4"/>
        <v>VALID</v>
      </c>
    </row>
    <row r="4639" ht="15.75" customHeight="1">
      <c r="A4639" s="13" t="str">
        <f>Raw_Data!A4639</f>
        <v>EMP4888</v>
      </c>
      <c r="B4639" s="13" t="str">
        <f>TRIM(CLEAN(Raw_Data!B4639))</f>
        <v>Sales</v>
      </c>
      <c r="C4639" s="18" t="s">
        <v>30</v>
      </c>
      <c r="D4639" s="14" t="str">
        <f>IF(ISBLANK(Raw_Data!D4639),AVERAGE(Raw_Data!D$2:D$5002),Raw_Data!D4639)</f>
        <v>88157.40</v>
      </c>
      <c r="E4639" s="15" t="str">
        <f>IF(ISBLANK(Raw_Data!E4639),AVERAGE(Raw_Data!E$2:E$5002),Raw_Data!E4639)</f>
        <v>6561.60</v>
      </c>
      <c r="F4639" s="15" t="str">
        <f>IF(ISBLANK(Raw_Data!F4639),AVERAGE(Raw_Data!F$2:F$5002),Raw_Data!F4639)</f>
        <v>37711.11</v>
      </c>
      <c r="G4639" s="14" t="str">
        <f>IF(ISBLANK(Raw_Data!G4639),AVERAGE(Raw_Data!G$2:G$5002),Raw_Data!G4639)</f>
        <v>14566.90</v>
      </c>
      <c r="H4639" s="15" t="str">
        <f t="shared" si="1"/>
        <v>132430.00</v>
      </c>
      <c r="I4639" s="14" t="str">
        <f t="shared" si="2"/>
        <v>117863.00</v>
      </c>
      <c r="J4639" s="16" t="str">
        <f>TEXT(Raw_Data!J4639,"MMM-YYY")</f>
        <v>Jan-2025</v>
      </c>
      <c r="K4639" s="13" t="str">
        <f>Raw_Data!K4639</f>
        <v>22</v>
      </c>
      <c r="L4639" s="17" t="str">
        <f>Raw_Data!L4639</f>
        <v>Ahmedabad-West</v>
      </c>
      <c r="M4639" s="13" t="str">
        <f t="shared" si="3"/>
        <v>OK</v>
      </c>
      <c r="N4639" s="18" t="str">
        <f t="shared" si="4"/>
        <v>VALID</v>
      </c>
    </row>
    <row r="4640" ht="15.75" customHeight="1">
      <c r="A4640" s="13" t="str">
        <f>Raw_Data!A4640</f>
        <v>EMP4889</v>
      </c>
      <c r="B4640" s="13" t="str">
        <f>TRIM(CLEAN(Raw_Data!B4640))</f>
        <v>Customer Support</v>
      </c>
      <c r="C4640" s="18" t="s">
        <v>26</v>
      </c>
      <c r="D4640" s="14" t="str">
        <f>IF(ISBLANK(Raw_Data!D4640),AVERAGE(Raw_Data!D$2:D$5002),Raw_Data!D4640)</f>
        <v>61325.39</v>
      </c>
      <c r="E4640" s="15" t="str">
        <f>IF(ISBLANK(Raw_Data!E4640),AVERAGE(Raw_Data!E$2:E$5002),Raw_Data!E4640)</f>
        <v>32404.39</v>
      </c>
      <c r="F4640" s="15" t="str">
        <f>IF(ISBLANK(Raw_Data!F4640),AVERAGE(Raw_Data!F$2:F$5002),Raw_Data!F4640)</f>
        <v>37718.79</v>
      </c>
      <c r="G4640" s="14" t="str">
        <f>IF(ISBLANK(Raw_Data!G4640),AVERAGE(Raw_Data!G$2:G$5002),Raw_Data!G4640)</f>
        <v>20556.18</v>
      </c>
      <c r="H4640" s="15" t="str">
        <f t="shared" si="1"/>
        <v>131449.00</v>
      </c>
      <c r="I4640" s="14" t="str">
        <f t="shared" si="2"/>
        <v>110893.00</v>
      </c>
      <c r="J4640" s="16" t="str">
        <f>TEXT(Raw_Data!J4640,"MMM-YYY")</f>
        <v>Jul-2025</v>
      </c>
      <c r="K4640" s="13" t="str">
        <f>Raw_Data!K4640</f>
        <v>25</v>
      </c>
      <c r="L4640" s="17" t="str">
        <f>Raw_Data!L4640</f>
        <v>Jaipur-North</v>
      </c>
      <c r="M4640" s="13" t="str">
        <f t="shared" si="3"/>
        <v>OK</v>
      </c>
      <c r="N4640" s="18" t="str">
        <f t="shared" si="4"/>
        <v>VALID</v>
      </c>
    </row>
    <row r="4641" ht="15.75" customHeight="1">
      <c r="A4641" s="13" t="str">
        <f>Raw_Data!A4641</f>
        <v>EMP4890</v>
      </c>
      <c r="B4641" s="13" t="str">
        <f>TRIM(CLEAN(Raw_Data!B4641))</f>
        <v>Marketing</v>
      </c>
      <c r="C4641" s="18" t="s">
        <v>37</v>
      </c>
      <c r="D4641" s="14" t="str">
        <f>IF(ISBLANK(Raw_Data!D4641),AVERAGE(Raw_Data!D$2:D$5002),Raw_Data!D4641)</f>
        <v>61336.27</v>
      </c>
      <c r="E4641" s="15" t="str">
        <f>IF(ISBLANK(Raw_Data!E4641),AVERAGE(Raw_Data!E$2:E$5002),Raw_Data!E4641)</f>
        <v>32407.75</v>
      </c>
      <c r="F4641" s="15" t="str">
        <f>IF(ISBLANK(Raw_Data!F4641),AVERAGE(Raw_Data!F$2:F$5002),Raw_Data!F4641)</f>
        <v>37726.47</v>
      </c>
      <c r="G4641" s="14" t="str">
        <f>IF(ISBLANK(Raw_Data!G4641),AVERAGE(Raw_Data!G$2:G$5002),Raw_Data!G4641)</f>
        <v>20558.69</v>
      </c>
      <c r="H4641" s="15" t="str">
        <f t="shared" si="1"/>
        <v>131470.00</v>
      </c>
      <c r="I4641" s="14" t="str">
        <f t="shared" si="2"/>
        <v>110911.00</v>
      </c>
      <c r="J4641" s="16" t="str">
        <f>TEXT(Raw_Data!J4641,"MMM-YYY")</f>
        <v>May-2025</v>
      </c>
      <c r="K4641" s="13" t="str">
        <f>Raw_Data!K4641</f>
        <v>24</v>
      </c>
      <c r="L4641" s="17" t="str">
        <f>Raw_Data!L4641</f>
        <v>Mumbai-HO</v>
      </c>
      <c r="M4641" s="13" t="str">
        <f t="shared" si="3"/>
        <v>OK</v>
      </c>
      <c r="N4641" s="18" t="str">
        <f t="shared" si="4"/>
        <v>VALID</v>
      </c>
    </row>
    <row r="4642" ht="15.75" customHeight="1">
      <c r="A4642" s="13" t="str">
        <f>Raw_Data!A4642</f>
        <v>EMP4891</v>
      </c>
      <c r="B4642" s="13" t="str">
        <f>TRIM(CLEAN(Raw_Data!B4642))</f>
        <v>Marketing</v>
      </c>
      <c r="C4642" s="18" t="s">
        <v>26</v>
      </c>
      <c r="D4642" s="14" t="str">
        <f>IF(ISBLANK(Raw_Data!D4642),AVERAGE(Raw_Data!D$2:D$5002),Raw_Data!D4642)</f>
        <v>61347.15</v>
      </c>
      <c r="E4642" s="15" t="str">
        <f>IF(ISBLANK(Raw_Data!E4642),AVERAGE(Raw_Data!E$2:E$5002),Raw_Data!E4642)</f>
        <v>32411.12</v>
      </c>
      <c r="F4642" s="15" t="str">
        <f>IF(ISBLANK(Raw_Data!F4642),AVERAGE(Raw_Data!F$2:F$5002),Raw_Data!F4642)</f>
        <v>37734.15</v>
      </c>
      <c r="G4642" s="14" t="str">
        <f>IF(ISBLANK(Raw_Data!G4642),AVERAGE(Raw_Data!G$2:G$5002),Raw_Data!G4642)</f>
        <v>20561.19</v>
      </c>
      <c r="H4642" s="15" t="str">
        <f t="shared" si="1"/>
        <v>131492.00</v>
      </c>
      <c r="I4642" s="14" t="str">
        <f t="shared" si="2"/>
        <v>110931.00</v>
      </c>
      <c r="J4642" s="16" t="str">
        <f>TEXT(Raw_Data!J4642,"MMM-YYY")</f>
        <v>Jun-2025</v>
      </c>
      <c r="K4642" s="13" t="str">
        <f>Raw_Data!K4642</f>
        <v>14</v>
      </c>
      <c r="L4642" s="17" t="str">
        <f>Raw_Data!L4642</f>
        <v>Delhi-North</v>
      </c>
      <c r="M4642" s="13" t="str">
        <f t="shared" si="3"/>
        <v>OK</v>
      </c>
      <c r="N4642" s="18" t="str">
        <f t="shared" si="4"/>
        <v>VALID</v>
      </c>
    </row>
    <row r="4643" ht="15.75" customHeight="1">
      <c r="A4643" s="13" t="str">
        <f>Raw_Data!A4643</f>
        <v>EMP4892</v>
      </c>
      <c r="B4643" s="13" t="str">
        <f>TRIM(CLEAN(Raw_Data!B4643))</f>
        <v>Marketing</v>
      </c>
      <c r="C4643" s="18" t="s">
        <v>54</v>
      </c>
      <c r="D4643" s="14" t="str">
        <f>IF(ISBLANK(Raw_Data!D4643),AVERAGE(Raw_Data!D$2:D$5002),Raw_Data!D4643)</f>
        <v>61358.03</v>
      </c>
      <c r="E4643" s="15" t="str">
        <f>IF(ISBLANK(Raw_Data!E4643),AVERAGE(Raw_Data!E$2:E$5002),Raw_Data!E4643)</f>
        <v>32414.49</v>
      </c>
      <c r="F4643" s="15" t="str">
        <f>IF(ISBLANK(Raw_Data!F4643),AVERAGE(Raw_Data!F$2:F$5002),Raw_Data!F4643)</f>
        <v>37741.83</v>
      </c>
      <c r="G4643" s="14" t="str">
        <f>IF(ISBLANK(Raw_Data!G4643),AVERAGE(Raw_Data!G$2:G$5002),Raw_Data!G4643)</f>
        <v>14562.73</v>
      </c>
      <c r="H4643" s="15" t="str">
        <f t="shared" si="1"/>
        <v>131514.00</v>
      </c>
      <c r="I4643" s="14" t="str">
        <f t="shared" si="2"/>
        <v>116951.00</v>
      </c>
      <c r="J4643" s="16" t="str">
        <f>TEXT(Raw_Data!J4643,"MMM-YYY")</f>
        <v>Mar-2025</v>
      </c>
      <c r="K4643" s="13" t="str">
        <f>Raw_Data!K4643</f>
        <v>12</v>
      </c>
      <c r="L4643" s="17" t="str">
        <f>Raw_Data!L4643</f>
        <v>Bangalore-South</v>
      </c>
      <c r="M4643" s="13" t="str">
        <f t="shared" si="3"/>
        <v>OK</v>
      </c>
      <c r="N4643" s="18" t="str">
        <f t="shared" si="4"/>
        <v>VALID</v>
      </c>
    </row>
    <row r="4644" ht="15.75" customHeight="1">
      <c r="A4644" s="13" t="str">
        <f>Raw_Data!A4644</f>
        <v>EMP4894</v>
      </c>
      <c r="B4644" s="13" t="str">
        <f>TRIM(CLEAN(Raw_Data!B4644))</f>
        <v>Operations</v>
      </c>
      <c r="C4644" s="18" t="s">
        <v>18</v>
      </c>
      <c r="D4644" s="14" t="str">
        <f>IF(ISBLANK(Raw_Data!D4644),AVERAGE(Raw_Data!D$2:D$5002),Raw_Data!D4644)</f>
        <v>61379.80</v>
      </c>
      <c r="E4644" s="15" t="str">
        <f>IF(ISBLANK(Raw_Data!E4644),AVERAGE(Raw_Data!E$2:E$5002),Raw_Data!E4644)</f>
        <v>32421.22</v>
      </c>
      <c r="F4644" s="15" t="str">
        <f>IF(ISBLANK(Raw_Data!F4644),AVERAGE(Raw_Data!F$2:F$5002),Raw_Data!F4644)</f>
        <v>37757.19</v>
      </c>
      <c r="G4644" s="14" t="str">
        <f>IF(ISBLANK(Raw_Data!G4644),AVERAGE(Raw_Data!G$2:G$5002),Raw_Data!G4644)</f>
        <v>20568.71</v>
      </c>
      <c r="H4644" s="15" t="str">
        <f t="shared" si="1"/>
        <v>131558.00</v>
      </c>
      <c r="I4644" s="14" t="str">
        <f t="shared" si="2"/>
        <v>110989.00</v>
      </c>
      <c r="J4644" s="16" t="str">
        <f>TEXT(Raw_Data!J4644,"MMM-YYY")</f>
        <v>Jun-2025</v>
      </c>
      <c r="K4644" s="13" t="str">
        <f>Raw_Data!K4644</f>
        <v>15</v>
      </c>
      <c r="L4644" s="17" t="str">
        <f>Raw_Data!L4644</f>
        <v>Kolkata-East</v>
      </c>
      <c r="M4644" s="13" t="str">
        <f t="shared" si="3"/>
        <v>OK</v>
      </c>
      <c r="N4644" s="18" t="str">
        <f t="shared" si="4"/>
        <v>VALID</v>
      </c>
    </row>
    <row r="4645" ht="15.75" customHeight="1">
      <c r="A4645" s="13" t="str">
        <f>Raw_Data!A4645</f>
        <v>EMP4895</v>
      </c>
      <c r="B4645" s="13" t="str">
        <f>TRIM(CLEAN(Raw_Data!B4645))</f>
        <v>Sales</v>
      </c>
      <c r="C4645" s="18" t="s">
        <v>54</v>
      </c>
      <c r="D4645" s="14" t="str">
        <f>IF(ISBLANK(Raw_Data!D4645),AVERAGE(Raw_Data!D$2:D$5002),Raw_Data!D4645)</f>
        <v>61390.68</v>
      </c>
      <c r="E4645" s="15" t="str">
        <f>IF(ISBLANK(Raw_Data!E4645),AVERAGE(Raw_Data!E$2:E$5002),Raw_Data!E4645)</f>
        <v>32424.59</v>
      </c>
      <c r="F4645" s="15" t="str">
        <f>IF(ISBLANK(Raw_Data!F4645),AVERAGE(Raw_Data!F$2:F$5002),Raw_Data!F4645)</f>
        <v>37764.87</v>
      </c>
      <c r="G4645" s="14" t="str">
        <f>IF(ISBLANK(Raw_Data!G4645),AVERAGE(Raw_Data!G$2:G$5002),Raw_Data!G4645)</f>
        <v>20571.22</v>
      </c>
      <c r="H4645" s="15" t="str">
        <f t="shared" si="1"/>
        <v>131580.00</v>
      </c>
      <c r="I4645" s="14" t="str">
        <f t="shared" si="2"/>
        <v>111009.00</v>
      </c>
      <c r="J4645" s="16" t="str">
        <f>TEXT(Raw_Data!J4645,"MMM-YYY")</f>
        <v>Nov-2025</v>
      </c>
      <c r="K4645" s="13" t="str">
        <f>Raw_Data!K4645</f>
        <v>3</v>
      </c>
      <c r="L4645" s="17" t="str">
        <f>Raw_Data!L4645</f>
        <v>Pune-West</v>
      </c>
      <c r="M4645" s="13" t="str">
        <f t="shared" si="3"/>
        <v>OK</v>
      </c>
      <c r="N4645" s="18" t="str">
        <f t="shared" si="4"/>
        <v>VALID</v>
      </c>
    </row>
    <row r="4646" ht="15.75" customHeight="1">
      <c r="A4646" s="13" t="str">
        <f>Raw_Data!A4646</f>
        <v>EMP4896</v>
      </c>
      <c r="B4646" s="13" t="str">
        <f>TRIM(CLEAN(Raw_Data!B4646))</f>
        <v>Marketing</v>
      </c>
      <c r="C4646" s="18" t="s">
        <v>30</v>
      </c>
      <c r="D4646" s="14" t="str">
        <f>IF(ISBLANK(Raw_Data!D4646),AVERAGE(Raw_Data!D$2:D$5002),Raw_Data!D4646)</f>
        <v>61401.57</v>
      </c>
      <c r="E4646" s="15" t="str">
        <f>IF(ISBLANK(Raw_Data!E4646),AVERAGE(Raw_Data!E$2:E$5002),Raw_Data!E4646)</f>
        <v>32427.96</v>
      </c>
      <c r="F4646" s="15" t="str">
        <f>IF(ISBLANK(Raw_Data!F4646),AVERAGE(Raw_Data!F$2:F$5002),Raw_Data!F4646)</f>
        <v>37772.55</v>
      </c>
      <c r="G4646" s="14" t="str">
        <f>IF(ISBLANK(Raw_Data!G4646),AVERAGE(Raw_Data!G$2:G$5002),Raw_Data!G4646)</f>
        <v>20573.73</v>
      </c>
      <c r="H4646" s="15" t="str">
        <f t="shared" si="1"/>
        <v>131602.00</v>
      </c>
      <c r="I4646" s="14" t="str">
        <f t="shared" si="2"/>
        <v>111028.00</v>
      </c>
      <c r="J4646" s="16" t="str">
        <f>TEXT(Raw_Data!J4646,"MMM-YYY")</f>
        <v>Feb-2025</v>
      </c>
      <c r="K4646" s="13" t="str">
        <f>Raw_Data!K4646</f>
        <v>2</v>
      </c>
      <c r="L4646" s="17" t="str">
        <f>Raw_Data!L4646</f>
        <v>Hyderabad-South</v>
      </c>
      <c r="M4646" s="13" t="str">
        <f t="shared" si="3"/>
        <v>OK</v>
      </c>
      <c r="N4646" s="18" t="str">
        <f t="shared" si="4"/>
        <v>VALID</v>
      </c>
    </row>
    <row r="4647" ht="15.75" customHeight="1">
      <c r="A4647" s="13" t="str">
        <f>Raw_Data!A4647</f>
        <v>EMP4897</v>
      </c>
      <c r="B4647" s="13" t="str">
        <f>TRIM(CLEAN(Raw_Data!B4647))</f>
        <v>HR</v>
      </c>
      <c r="C4647" s="18" t="s">
        <v>18</v>
      </c>
      <c r="D4647" s="14" t="str">
        <f>IF(ISBLANK(Raw_Data!D4647),AVERAGE(Raw_Data!D$2:D$5002),Raw_Data!D4647)</f>
        <v>61412.45</v>
      </c>
      <c r="E4647" s="15" t="str">
        <f>IF(ISBLANK(Raw_Data!E4647),AVERAGE(Raw_Data!E$2:E$5002),Raw_Data!E4647)</f>
        <v>32431.33</v>
      </c>
      <c r="F4647" s="15" t="str">
        <f>IF(ISBLANK(Raw_Data!F4647),AVERAGE(Raw_Data!F$2:F$5002),Raw_Data!F4647)</f>
        <v>37780.23</v>
      </c>
      <c r="G4647" s="14" t="str">
        <f>IF(ISBLANK(Raw_Data!G4647),AVERAGE(Raw_Data!G$2:G$5002),Raw_Data!G4647)</f>
        <v>20576.23</v>
      </c>
      <c r="H4647" s="15" t="str">
        <f t="shared" si="1"/>
        <v>131624.00</v>
      </c>
      <c r="I4647" s="14" t="str">
        <f t="shared" si="2"/>
        <v>111048.00</v>
      </c>
      <c r="J4647" s="16" t="str">
        <f>TEXT(Raw_Data!J4647,"MMM-YYY")</f>
        <v>Jul-2025</v>
      </c>
      <c r="K4647" s="13" t="str">
        <f>Raw_Data!K4647</f>
        <v>2</v>
      </c>
      <c r="L4647" s="17" t="str">
        <f>Raw_Data!L4647</f>
        <v>Chandigarh-North</v>
      </c>
      <c r="M4647" s="13" t="str">
        <f t="shared" si="3"/>
        <v>OK</v>
      </c>
      <c r="N4647" s="18" t="str">
        <f t="shared" si="4"/>
        <v>VALID</v>
      </c>
    </row>
    <row r="4648" ht="15.75" customHeight="1">
      <c r="A4648" s="13" t="str">
        <f>Raw_Data!A4648</f>
        <v>EMP4898</v>
      </c>
      <c r="B4648" s="13" t="str">
        <f>TRIM(CLEAN(Raw_Data!B4648))</f>
        <v>Finance</v>
      </c>
      <c r="C4648" s="18" t="s">
        <v>33</v>
      </c>
      <c r="D4648" s="14" t="str">
        <f>IF(ISBLANK(Raw_Data!D4648),AVERAGE(Raw_Data!D$2:D$5002),Raw_Data!D4648)</f>
        <v>61423.33</v>
      </c>
      <c r="E4648" s="15" t="str">
        <f>IF(ISBLANK(Raw_Data!E4648),AVERAGE(Raw_Data!E$2:E$5002),Raw_Data!E4648)</f>
        <v>32434.70</v>
      </c>
      <c r="F4648" s="15" t="str">
        <f>IF(ISBLANK(Raw_Data!F4648),AVERAGE(Raw_Data!F$2:F$5002),Raw_Data!F4648)</f>
        <v>37787.91</v>
      </c>
      <c r="G4648" s="14" t="str">
        <f>IF(ISBLANK(Raw_Data!G4648),AVERAGE(Raw_Data!G$2:G$5002),Raw_Data!G4648)</f>
        <v>20578.74</v>
      </c>
      <c r="H4648" s="15" t="str">
        <f t="shared" si="1"/>
        <v>131646.00</v>
      </c>
      <c r="I4648" s="14" t="str">
        <f t="shared" si="2"/>
        <v>111067.00</v>
      </c>
      <c r="J4648" s="16" t="str">
        <f>TEXT(Raw_Data!J4648,"MMM-YYY")</f>
        <v>Dec-2025</v>
      </c>
      <c r="K4648" s="13" t="str">
        <f>Raw_Data!K4648</f>
        <v>14</v>
      </c>
      <c r="L4648" s="17" t="str">
        <f>Raw_Data!L4648</f>
        <v>Ahmedabad-West</v>
      </c>
      <c r="M4648" s="13" t="str">
        <f t="shared" si="3"/>
        <v>OK</v>
      </c>
      <c r="N4648" s="18" t="str">
        <f t="shared" si="4"/>
        <v>VALID</v>
      </c>
    </row>
    <row r="4649" ht="15.75" customHeight="1">
      <c r="A4649" s="13" t="str">
        <f>Raw_Data!A4649</f>
        <v>EMP4899</v>
      </c>
      <c r="B4649" s="13" t="str">
        <f>TRIM(CLEAN(Raw_Data!B4649))</f>
        <v>HR</v>
      </c>
      <c r="C4649" s="18" t="s">
        <v>14</v>
      </c>
      <c r="D4649" s="14" t="str">
        <f>IF(ISBLANK(Raw_Data!D4649),AVERAGE(Raw_Data!D$2:D$5002),Raw_Data!D4649)</f>
        <v>61434.22</v>
      </c>
      <c r="E4649" s="15" t="str">
        <f>IF(ISBLANK(Raw_Data!E4649),AVERAGE(Raw_Data!E$2:E$5002),Raw_Data!E4649)</f>
        <v>32438.06</v>
      </c>
      <c r="F4649" s="15" t="str">
        <f>IF(ISBLANK(Raw_Data!F4649),AVERAGE(Raw_Data!F$2:F$5002),Raw_Data!F4649)</f>
        <v>37795.59</v>
      </c>
      <c r="G4649" s="14" t="str">
        <f>IF(ISBLANK(Raw_Data!G4649),AVERAGE(Raw_Data!G$2:G$5002),Raw_Data!G4649)</f>
        <v>20581.24</v>
      </c>
      <c r="H4649" s="15" t="str">
        <f t="shared" si="1"/>
        <v>131668.00</v>
      </c>
      <c r="I4649" s="14" t="str">
        <f t="shared" si="2"/>
        <v>111087.00</v>
      </c>
      <c r="J4649" s="16" t="str">
        <f>TEXT(Raw_Data!J4649,"MMM-YYY")</f>
        <v>Nov-2025</v>
      </c>
      <c r="K4649" s="13" t="str">
        <f>Raw_Data!K4649</f>
        <v>17</v>
      </c>
      <c r="L4649" s="17" t="str">
        <f>Raw_Data!L4649</f>
        <v>Jaipur-North</v>
      </c>
      <c r="M4649" s="13" t="str">
        <f t="shared" si="3"/>
        <v>OK</v>
      </c>
      <c r="N4649" s="18" t="str">
        <f t="shared" si="4"/>
        <v>VALID</v>
      </c>
    </row>
    <row r="4650" ht="15.75" customHeight="1">
      <c r="A4650" s="13" t="str">
        <f>Raw_Data!A4650</f>
        <v>EMP4900</v>
      </c>
      <c r="B4650" s="13" t="str">
        <f>TRIM(CLEAN(Raw_Data!B4650))</f>
        <v>HR</v>
      </c>
      <c r="C4650" s="18" t="s">
        <v>26</v>
      </c>
      <c r="D4650" s="14" t="str">
        <f>IF(ISBLANK(Raw_Data!D4650),AVERAGE(Raw_Data!D$2:D$5002),Raw_Data!D4650)</f>
        <v>61445.10</v>
      </c>
      <c r="E4650" s="15" t="str">
        <f>IF(ISBLANK(Raw_Data!E4650),AVERAGE(Raw_Data!E$2:E$5002),Raw_Data!E4650)</f>
        <v>32441.43</v>
      </c>
      <c r="F4650" s="15" t="str">
        <f>IF(ISBLANK(Raw_Data!F4650),AVERAGE(Raw_Data!F$2:F$5002),Raw_Data!F4650)</f>
        <v>37803.27</v>
      </c>
      <c r="G4650" s="14" t="str">
        <f>IF(ISBLANK(Raw_Data!G4650),AVERAGE(Raw_Data!G$2:G$5002),Raw_Data!G4650)</f>
        <v>20583.75</v>
      </c>
      <c r="H4650" s="15" t="str">
        <f t="shared" si="1"/>
        <v>131690.00</v>
      </c>
      <c r="I4650" s="14" t="str">
        <f t="shared" si="2"/>
        <v>111106.00</v>
      </c>
      <c r="J4650" s="16" t="str">
        <f>TEXT(Raw_Data!J4650,"MMM-YYY")</f>
        <v>Dec-2025</v>
      </c>
      <c r="K4650" s="13" t="str">
        <f>Raw_Data!K4650</f>
        <v>4</v>
      </c>
      <c r="L4650" s="17" t="str">
        <f>Raw_Data!L4650</f>
        <v>Mumbai-HO</v>
      </c>
      <c r="M4650" s="13" t="str">
        <f t="shared" si="3"/>
        <v>OK</v>
      </c>
      <c r="N4650" s="18" t="str">
        <f t="shared" si="4"/>
        <v>VALID</v>
      </c>
    </row>
    <row r="4651" ht="15.75" customHeight="1">
      <c r="A4651" s="13" t="str">
        <f>Raw_Data!A4651</f>
        <v>EMP4901</v>
      </c>
      <c r="B4651" s="13" t="str">
        <f>TRIM(CLEAN(Raw_Data!B4651))</f>
        <v>Operations</v>
      </c>
      <c r="C4651" s="18" t="s">
        <v>14</v>
      </c>
      <c r="D4651" s="14" t="str">
        <f>IF(ISBLANK(Raw_Data!D4651),AVERAGE(Raw_Data!D$2:D$5002),Raw_Data!D4651)</f>
        <v>61455.98</v>
      </c>
      <c r="E4651" s="15" t="str">
        <f>IF(ISBLANK(Raw_Data!E4651),AVERAGE(Raw_Data!E$2:E$5002),Raw_Data!E4651)</f>
        <v>32444.80</v>
      </c>
      <c r="F4651" s="15" t="str">
        <f>IF(ISBLANK(Raw_Data!F4651),AVERAGE(Raw_Data!F$2:F$5002),Raw_Data!F4651)</f>
        <v>37810.95</v>
      </c>
      <c r="G4651" s="14" t="str">
        <f>IF(ISBLANK(Raw_Data!G4651),AVERAGE(Raw_Data!G$2:G$5002),Raw_Data!G4651)</f>
        <v>20586.26</v>
      </c>
      <c r="H4651" s="15" t="str">
        <f t="shared" si="1"/>
        <v>131712.00</v>
      </c>
      <c r="I4651" s="14" t="str">
        <f t="shared" si="2"/>
        <v>111126.00</v>
      </c>
      <c r="J4651" s="16" t="str">
        <f>TEXT(Raw_Data!J4651,"MMM-YYY")</f>
        <v>Jun-2025</v>
      </c>
      <c r="K4651" s="13" t="str">
        <f>Raw_Data!K4651</f>
        <v>17</v>
      </c>
      <c r="L4651" s="17" t="str">
        <f>Raw_Data!L4651</f>
        <v>Delhi-North</v>
      </c>
      <c r="M4651" s="13" t="str">
        <f t="shared" si="3"/>
        <v>OK</v>
      </c>
      <c r="N4651" s="18" t="str">
        <f t="shared" si="4"/>
        <v>VALID</v>
      </c>
    </row>
    <row r="4652" ht="15.75" customHeight="1">
      <c r="A4652" s="13" t="str">
        <f>Raw_Data!A4652</f>
        <v>EMP4902</v>
      </c>
      <c r="B4652" s="13" t="str">
        <f>TRIM(CLEAN(Raw_Data!B4652))</f>
        <v>Marketing</v>
      </c>
      <c r="C4652" s="18" t="s">
        <v>33</v>
      </c>
      <c r="D4652" s="14" t="str">
        <f>IF(ISBLANK(Raw_Data!D4652),AVERAGE(Raw_Data!D$2:D$5002),Raw_Data!D4652)</f>
        <v>61466.86</v>
      </c>
      <c r="E4652" s="15" t="str">
        <f>IF(ISBLANK(Raw_Data!E4652),AVERAGE(Raw_Data!E$2:E$5002),Raw_Data!E4652)</f>
        <v>32448.17</v>
      </c>
      <c r="F4652" s="15" t="str">
        <f>IF(ISBLANK(Raw_Data!F4652),AVERAGE(Raw_Data!F$2:F$5002),Raw_Data!F4652)</f>
        <v>37818.63</v>
      </c>
      <c r="G4652" s="14" t="str">
        <f>IF(ISBLANK(Raw_Data!G4652),AVERAGE(Raw_Data!G$2:G$5002),Raw_Data!G4652)</f>
        <v>20588.76</v>
      </c>
      <c r="H4652" s="15" t="str">
        <f t="shared" si="1"/>
        <v>131734.00</v>
      </c>
      <c r="I4652" s="14" t="str">
        <f t="shared" si="2"/>
        <v>111145.00</v>
      </c>
      <c r="J4652" s="16" t="str">
        <f>TEXT(Raw_Data!J4652,"MMM-YYY")</f>
        <v>Dec-2025</v>
      </c>
      <c r="K4652" s="13" t="str">
        <f>Raw_Data!K4652</f>
        <v>5</v>
      </c>
      <c r="L4652" s="17" t="str">
        <f>Raw_Data!L4652</f>
        <v>Bangalore-South</v>
      </c>
      <c r="M4652" s="13" t="str">
        <f t="shared" si="3"/>
        <v>OK</v>
      </c>
      <c r="N4652" s="18" t="str">
        <f t="shared" si="4"/>
        <v>VALID</v>
      </c>
    </row>
    <row r="4653" ht="15.75" customHeight="1">
      <c r="A4653" s="13" t="str">
        <f>Raw_Data!A4653</f>
        <v>EMP4903</v>
      </c>
      <c r="B4653" s="13" t="str">
        <f>TRIM(CLEAN(Raw_Data!B4653))</f>
        <v>Customer Support</v>
      </c>
      <c r="C4653" s="18" t="s">
        <v>37</v>
      </c>
      <c r="D4653" s="14" t="str">
        <f>IF(ISBLANK(Raw_Data!D4653),AVERAGE(Raw_Data!D$2:D$5002),Raw_Data!D4653)</f>
        <v>61477.75</v>
      </c>
      <c r="E4653" s="15" t="str">
        <f>IF(ISBLANK(Raw_Data!E4653),AVERAGE(Raw_Data!E$2:E$5002),Raw_Data!E4653)</f>
        <v>32451.53</v>
      </c>
      <c r="F4653" s="15" t="str">
        <f>IF(ISBLANK(Raw_Data!F4653),AVERAGE(Raw_Data!F$2:F$5002),Raw_Data!F4653)</f>
        <v>37826.31</v>
      </c>
      <c r="G4653" s="14" t="str">
        <f>IF(ISBLANK(Raw_Data!G4653),AVERAGE(Raw_Data!G$2:G$5002),Raw_Data!G4653)</f>
        <v>20591.27</v>
      </c>
      <c r="H4653" s="15" t="str">
        <f t="shared" si="1"/>
        <v>131756.00</v>
      </c>
      <c r="I4653" s="14" t="str">
        <f t="shared" si="2"/>
        <v>111165.00</v>
      </c>
      <c r="J4653" s="16" t="str">
        <f>TEXT(Raw_Data!J4653,"MMM-YYY")</f>
        <v>Sep-2025</v>
      </c>
      <c r="K4653" s="13" t="str">
        <f>Raw_Data!K4653</f>
        <v>15</v>
      </c>
      <c r="L4653" s="17" t="str">
        <f>Raw_Data!L4653</f>
        <v>Chennai-South</v>
      </c>
      <c r="M4653" s="13" t="str">
        <f t="shared" si="3"/>
        <v>OK</v>
      </c>
      <c r="N4653" s="18" t="str">
        <f t="shared" si="4"/>
        <v>VALID</v>
      </c>
    </row>
    <row r="4654" ht="15.75" customHeight="1">
      <c r="A4654" s="13" t="str">
        <f>Raw_Data!A4654</f>
        <v>EMP4904</v>
      </c>
      <c r="B4654" s="13" t="str">
        <f>TRIM(CLEAN(Raw_Data!B4654))</f>
        <v>Customer Support</v>
      </c>
      <c r="C4654" s="18" t="s">
        <v>37</v>
      </c>
      <c r="D4654" s="14" t="str">
        <f>IF(ISBLANK(Raw_Data!D4654),AVERAGE(Raw_Data!D$2:D$5002),Raw_Data!D4654)</f>
        <v>61488.63</v>
      </c>
      <c r="E4654" s="15" t="str">
        <f>IF(ISBLANK(Raw_Data!E4654),AVERAGE(Raw_Data!E$2:E$5002),Raw_Data!E4654)</f>
        <v>32454.90</v>
      </c>
      <c r="F4654" s="15" t="str">
        <f>IF(ISBLANK(Raw_Data!F4654),AVERAGE(Raw_Data!F$2:F$5002),Raw_Data!F4654)</f>
        <v>37833.99</v>
      </c>
      <c r="G4654" s="14" t="str">
        <f>IF(ISBLANK(Raw_Data!G4654),AVERAGE(Raw_Data!G$2:G$5002),Raw_Data!G4654)</f>
        <v>20593.77</v>
      </c>
      <c r="H4654" s="15" t="str">
        <f t="shared" si="1"/>
        <v>131778.00</v>
      </c>
      <c r="I4654" s="14" t="str">
        <f t="shared" si="2"/>
        <v>111184.00</v>
      </c>
      <c r="J4654" s="16" t="str">
        <f>TEXT(Raw_Data!J4654,"MMM-YYY")</f>
        <v>Oct-2025</v>
      </c>
      <c r="K4654" s="13" t="str">
        <f>Raw_Data!K4654</f>
        <v>2</v>
      </c>
      <c r="L4654" s="17" t="str">
        <f>Raw_Data!L4654</f>
        <v>Kolkata-East</v>
      </c>
      <c r="M4654" s="13" t="str">
        <f t="shared" si="3"/>
        <v>OK</v>
      </c>
      <c r="N4654" s="18" t="str">
        <f t="shared" si="4"/>
        <v>VALID</v>
      </c>
    </row>
    <row r="4655" ht="15.75" customHeight="1">
      <c r="A4655" s="13" t="str">
        <f>Raw_Data!A4655</f>
        <v>EMP4905</v>
      </c>
      <c r="B4655" s="13" t="str">
        <f>TRIM(CLEAN(Raw_Data!B4655))</f>
        <v>Customer Support</v>
      </c>
      <c r="C4655" s="18" t="s">
        <v>30</v>
      </c>
      <c r="D4655" s="14" t="str">
        <f>IF(ISBLANK(Raw_Data!D4655),AVERAGE(Raw_Data!D$2:D$5002),Raw_Data!D4655)</f>
        <v>61499.51</v>
      </c>
      <c r="E4655" s="15" t="str">
        <f>IF(ISBLANK(Raw_Data!E4655),AVERAGE(Raw_Data!E$2:E$5002),Raw_Data!E4655)</f>
        <v>32458.27</v>
      </c>
      <c r="F4655" s="15" t="str">
        <f>IF(ISBLANK(Raw_Data!F4655),AVERAGE(Raw_Data!F$2:F$5002),Raw_Data!F4655)</f>
        <v>37841.67</v>
      </c>
      <c r="G4655" s="14" t="str">
        <f>IF(ISBLANK(Raw_Data!G4655),AVERAGE(Raw_Data!G$2:G$5002),Raw_Data!G4655)</f>
        <v>20596.28</v>
      </c>
      <c r="H4655" s="15" t="str">
        <f t="shared" si="1"/>
        <v>131799.00</v>
      </c>
      <c r="I4655" s="14" t="str">
        <f t="shared" si="2"/>
        <v>111203.00</v>
      </c>
      <c r="J4655" s="16" t="str">
        <f>TEXT(Raw_Data!J4655,"MMM-YYY")</f>
        <v>Feb-2025</v>
      </c>
      <c r="K4655" s="13" t="str">
        <f>Raw_Data!K4655</f>
        <v>17</v>
      </c>
      <c r="L4655" s="17" t="str">
        <f>Raw_Data!L4655</f>
        <v>Pune-West</v>
      </c>
      <c r="M4655" s="13" t="str">
        <f t="shared" si="3"/>
        <v>OK</v>
      </c>
      <c r="N4655" s="18" t="str">
        <f t="shared" si="4"/>
        <v>VALID</v>
      </c>
    </row>
    <row r="4656" ht="15.75" customHeight="1">
      <c r="A4656" s="13" t="str">
        <f>Raw_Data!A4656</f>
        <v>EMP4906</v>
      </c>
      <c r="B4656" s="13" t="str">
        <f>TRIM(CLEAN(Raw_Data!B4656))</f>
        <v>Finance</v>
      </c>
      <c r="C4656" s="18" t="s">
        <v>26</v>
      </c>
      <c r="D4656" s="14" t="str">
        <f>IF(ISBLANK(Raw_Data!D4656),AVERAGE(Raw_Data!D$2:D$5002),Raw_Data!D4656)</f>
        <v>61510.40</v>
      </c>
      <c r="E4656" s="15" t="str">
        <f>IF(ISBLANK(Raw_Data!E4656),AVERAGE(Raw_Data!E$2:E$5002),Raw_Data!E4656)</f>
        <v>32461.64</v>
      </c>
      <c r="F4656" s="15" t="str">
        <f>IF(ISBLANK(Raw_Data!F4656),AVERAGE(Raw_Data!F$2:F$5002),Raw_Data!F4656)</f>
        <v>37849.35</v>
      </c>
      <c r="G4656" s="14" t="str">
        <f>IF(ISBLANK(Raw_Data!G4656),AVERAGE(Raw_Data!G$2:G$5002),Raw_Data!G4656)</f>
        <v>20598.79</v>
      </c>
      <c r="H4656" s="15" t="str">
        <f t="shared" si="1"/>
        <v>131821.00</v>
      </c>
      <c r="I4656" s="14" t="str">
        <f t="shared" si="2"/>
        <v>111222.00</v>
      </c>
      <c r="J4656" s="16" t="str">
        <f>TEXT(Raw_Data!J4656,"MMM-YYY")</f>
        <v>Oct-2025</v>
      </c>
      <c r="K4656" s="13" t="str">
        <f>Raw_Data!K4656</f>
        <v>2</v>
      </c>
      <c r="L4656" s="17" t="str">
        <f>Raw_Data!L4656</f>
        <v>Hyderabad-South</v>
      </c>
      <c r="M4656" s="13" t="str">
        <f t="shared" si="3"/>
        <v>OK</v>
      </c>
      <c r="N4656" s="18" t="str">
        <f t="shared" si="4"/>
        <v>VALID</v>
      </c>
    </row>
    <row r="4657" ht="15.75" customHeight="1">
      <c r="A4657" s="13" t="str">
        <f>Raw_Data!A4657</f>
        <v>EMP4907</v>
      </c>
      <c r="B4657" s="13" t="str">
        <f>TRIM(CLEAN(Raw_Data!B4657))</f>
        <v>IT</v>
      </c>
      <c r="C4657" s="18" t="s">
        <v>30</v>
      </c>
      <c r="D4657" s="14" t="str">
        <f>IF(ISBLANK(Raw_Data!D4657),AVERAGE(Raw_Data!D$2:D$5002),Raw_Data!D4657)</f>
        <v>61521.28</v>
      </c>
      <c r="E4657" s="15" t="str">
        <f>IF(ISBLANK(Raw_Data!E4657),AVERAGE(Raw_Data!E$2:E$5002),Raw_Data!E4657)</f>
        <v>32465.00</v>
      </c>
      <c r="F4657" s="15" t="str">
        <f>IF(ISBLANK(Raw_Data!F4657),AVERAGE(Raw_Data!F$2:F$5002),Raw_Data!F4657)</f>
        <v>37857.03</v>
      </c>
      <c r="G4657" s="14" t="str">
        <f>IF(ISBLANK(Raw_Data!G4657),AVERAGE(Raw_Data!G$2:G$5002),Raw_Data!G4657)</f>
        <v>20601.29</v>
      </c>
      <c r="H4657" s="15" t="str">
        <f t="shared" si="1"/>
        <v>131843.00</v>
      </c>
      <c r="I4657" s="14" t="str">
        <f t="shared" si="2"/>
        <v>111242.00</v>
      </c>
      <c r="J4657" s="16" t="str">
        <f>TEXT(Raw_Data!J4657,"MMM-YYY")</f>
        <v>Nov-2025</v>
      </c>
      <c r="K4657" s="13" t="str">
        <f>Raw_Data!K4657</f>
        <v>10</v>
      </c>
      <c r="L4657" s="17" t="str">
        <f>Raw_Data!L4657</f>
        <v>Chandigarh-North</v>
      </c>
      <c r="M4657" s="13" t="str">
        <f t="shared" si="3"/>
        <v>OK</v>
      </c>
      <c r="N4657" s="18" t="str">
        <f t="shared" si="4"/>
        <v>VALID</v>
      </c>
    </row>
    <row r="4658" ht="15.75" customHeight="1">
      <c r="A4658" s="13" t="str">
        <f>Raw_Data!A4658</f>
        <v>EMP4908</v>
      </c>
      <c r="B4658" s="13" t="str">
        <f>TRIM(CLEAN(Raw_Data!B4658))</f>
        <v>Operations</v>
      </c>
      <c r="C4658" s="18" t="s">
        <v>18</v>
      </c>
      <c r="D4658" s="14" t="str">
        <f>IF(ISBLANK(Raw_Data!D4658),AVERAGE(Raw_Data!D$2:D$5002),Raw_Data!D4658)</f>
        <v>61532.16</v>
      </c>
      <c r="E4658" s="15" t="str">
        <f>IF(ISBLANK(Raw_Data!E4658),AVERAGE(Raw_Data!E$2:E$5002),Raw_Data!E4658)</f>
        <v>32468.37</v>
      </c>
      <c r="F4658" s="15" t="str">
        <f>IF(ISBLANK(Raw_Data!F4658),AVERAGE(Raw_Data!F$2:F$5002),Raw_Data!F4658)</f>
        <v>37864.71</v>
      </c>
      <c r="G4658" s="14" t="str">
        <f>IF(ISBLANK(Raw_Data!G4658),AVERAGE(Raw_Data!G$2:G$5002),Raw_Data!G4658)</f>
        <v>20603.80</v>
      </c>
      <c r="H4658" s="15" t="str">
        <f t="shared" si="1"/>
        <v>131865.00</v>
      </c>
      <c r="I4658" s="14" t="str">
        <f t="shared" si="2"/>
        <v>111261.00</v>
      </c>
      <c r="J4658" s="16" t="str">
        <f>TEXT(Raw_Data!J4658,"MMM-YYY")</f>
        <v>Jan-2025</v>
      </c>
      <c r="K4658" s="13" t="str">
        <f>Raw_Data!K4658</f>
        <v>21</v>
      </c>
      <c r="L4658" s="17" t="str">
        <f>Raw_Data!L4658</f>
        <v>Ahmedabad-West</v>
      </c>
      <c r="M4658" s="13" t="str">
        <f t="shared" si="3"/>
        <v>OK</v>
      </c>
      <c r="N4658" s="18" t="str">
        <f t="shared" si="4"/>
        <v>VALID</v>
      </c>
    </row>
    <row r="4659" ht="15.75" customHeight="1">
      <c r="A4659" s="13" t="str">
        <f>Raw_Data!A4659</f>
        <v>EMP4909</v>
      </c>
      <c r="B4659" s="13" t="str">
        <f>TRIM(CLEAN(Raw_Data!B4659))</f>
        <v>HR</v>
      </c>
      <c r="C4659" s="18" t="s">
        <v>14</v>
      </c>
      <c r="D4659" s="14" t="str">
        <f>IF(ISBLANK(Raw_Data!D4659),AVERAGE(Raw_Data!D$2:D$5002),Raw_Data!D4659)</f>
        <v>61543.05</v>
      </c>
      <c r="E4659" s="15" t="str">
        <f>IF(ISBLANK(Raw_Data!E4659),AVERAGE(Raw_Data!E$2:E$5002),Raw_Data!E4659)</f>
        <v>32471.74</v>
      </c>
      <c r="F4659" s="15" t="str">
        <f>IF(ISBLANK(Raw_Data!F4659),AVERAGE(Raw_Data!F$2:F$5002),Raw_Data!F4659)</f>
        <v>37872.39</v>
      </c>
      <c r="G4659" s="14" t="str">
        <f>IF(ISBLANK(Raw_Data!G4659),AVERAGE(Raw_Data!G$2:G$5002),Raw_Data!G4659)</f>
        <v>20606.30</v>
      </c>
      <c r="H4659" s="15" t="str">
        <f t="shared" si="1"/>
        <v>131887.00</v>
      </c>
      <c r="I4659" s="14" t="str">
        <f t="shared" si="2"/>
        <v>111281.00</v>
      </c>
      <c r="J4659" s="16" t="str">
        <f>TEXT(Raw_Data!J4659,"MMM-YYY")</f>
        <v>Aug-2025</v>
      </c>
      <c r="K4659" s="13" t="str">
        <f>Raw_Data!K4659</f>
        <v>5</v>
      </c>
      <c r="L4659" s="17" t="str">
        <f>Raw_Data!L4659</f>
        <v>Jaipur-North</v>
      </c>
      <c r="M4659" s="13" t="str">
        <f t="shared" si="3"/>
        <v>OK</v>
      </c>
      <c r="N4659" s="18" t="str">
        <f t="shared" si="4"/>
        <v>VALID</v>
      </c>
    </row>
    <row r="4660" ht="15.75" customHeight="1">
      <c r="A4660" s="13" t="str">
        <f>Raw_Data!A4660</f>
        <v>EMP4910</v>
      </c>
      <c r="B4660" s="13" t="s">
        <v>53</v>
      </c>
      <c r="C4660" s="18" t="s">
        <v>30</v>
      </c>
      <c r="D4660" s="14" t="str">
        <f>IF(ISBLANK(Raw_Data!D4660),AVERAGE(Raw_Data!D$2:D$5002),Raw_Data!D4660)</f>
        <v>61553.93</v>
      </c>
      <c r="E4660" s="15" t="str">
        <f>IF(ISBLANK(Raw_Data!E4660),AVERAGE(Raw_Data!E$2:E$5002),Raw_Data!E4660)</f>
        <v>32475.11</v>
      </c>
      <c r="F4660" s="15" t="str">
        <f>IF(ISBLANK(Raw_Data!F4660),AVERAGE(Raw_Data!F$2:F$5002),Raw_Data!F4660)</f>
        <v>37880.07</v>
      </c>
      <c r="G4660" s="14" t="str">
        <f>IF(ISBLANK(Raw_Data!G4660),AVERAGE(Raw_Data!G$2:G$5002),Raw_Data!G4660)</f>
        <v>20608.81</v>
      </c>
      <c r="H4660" s="15" t="str">
        <f t="shared" si="1"/>
        <v>131909.00</v>
      </c>
      <c r="I4660" s="14" t="str">
        <f t="shared" si="2"/>
        <v>111300.00</v>
      </c>
      <c r="J4660" s="16" t="str">
        <f>TEXT(Raw_Data!J4660,"MMM-YYY")</f>
        <v>Jan-2025</v>
      </c>
      <c r="K4660" s="13" t="str">
        <f>Raw_Data!K4660</f>
        <v>13</v>
      </c>
      <c r="L4660" s="17" t="str">
        <f>Raw_Data!L4660</f>
        <v>Mumbai-HO</v>
      </c>
      <c r="M4660" s="13" t="str">
        <f t="shared" si="3"/>
        <v>OK</v>
      </c>
      <c r="N4660" s="18" t="str">
        <f t="shared" si="4"/>
        <v>VALID</v>
      </c>
    </row>
    <row r="4661" ht="15.75" customHeight="1">
      <c r="A4661" s="13" t="str">
        <f>Raw_Data!A4661</f>
        <v>EMP4911</v>
      </c>
      <c r="B4661" s="13" t="str">
        <f>TRIM(CLEAN(Raw_Data!B4661))</f>
        <v>Operations</v>
      </c>
      <c r="C4661" s="18" t="s">
        <v>30</v>
      </c>
      <c r="D4661" s="14" t="str">
        <f>IF(ISBLANK(Raw_Data!D4661),AVERAGE(Raw_Data!D$2:D$5002),Raw_Data!D4661)</f>
        <v>61564.81</v>
      </c>
      <c r="E4661" s="15" t="str">
        <f>IF(ISBLANK(Raw_Data!E4661),AVERAGE(Raw_Data!E$2:E$5002),Raw_Data!E4661)</f>
        <v>32478.47</v>
      </c>
      <c r="F4661" s="15" t="str">
        <f>IF(ISBLANK(Raw_Data!F4661),AVERAGE(Raw_Data!F$2:F$5002),Raw_Data!F4661)</f>
        <v>37887.75</v>
      </c>
      <c r="G4661" s="14" t="str">
        <f>IF(ISBLANK(Raw_Data!G4661),AVERAGE(Raw_Data!G$2:G$5002),Raw_Data!G4661)</f>
        <v>20611.32</v>
      </c>
      <c r="H4661" s="15" t="str">
        <f t="shared" si="1"/>
        <v>131931.00</v>
      </c>
      <c r="I4661" s="14" t="str">
        <f t="shared" si="2"/>
        <v>111320.00</v>
      </c>
      <c r="J4661" s="16" t="str">
        <f>TEXT(Raw_Data!J4661,"MMM-YYY")</f>
        <v>Feb-2025</v>
      </c>
      <c r="K4661" s="13" t="str">
        <f>Raw_Data!K4661</f>
        <v>16</v>
      </c>
      <c r="L4661" s="17" t="str">
        <f>Raw_Data!L4661</f>
        <v>Delhi-North</v>
      </c>
      <c r="M4661" s="13" t="str">
        <f t="shared" si="3"/>
        <v>OK</v>
      </c>
      <c r="N4661" s="18" t="str">
        <f t="shared" si="4"/>
        <v>VALID</v>
      </c>
    </row>
    <row r="4662" ht="15.75" customHeight="1">
      <c r="A4662" s="13" t="str">
        <f>Raw_Data!A4662</f>
        <v>EMP4912</v>
      </c>
      <c r="B4662" s="13" t="str">
        <f>TRIM(CLEAN(Raw_Data!B4662))</f>
        <v>Customer Support</v>
      </c>
      <c r="C4662" s="18" t="s">
        <v>37</v>
      </c>
      <c r="D4662" s="14" t="str">
        <f>IF(ISBLANK(Raw_Data!D4662),AVERAGE(Raw_Data!D$2:D$5002),Raw_Data!D4662)</f>
        <v>61575.69</v>
      </c>
      <c r="E4662" s="15" t="str">
        <f>IF(ISBLANK(Raw_Data!E4662),AVERAGE(Raw_Data!E$2:E$5002),Raw_Data!E4662)</f>
        <v>32481.84</v>
      </c>
      <c r="F4662" s="15" t="str">
        <f>IF(ISBLANK(Raw_Data!F4662),AVERAGE(Raw_Data!F$2:F$5002),Raw_Data!F4662)</f>
        <v>37895.43</v>
      </c>
      <c r="G4662" s="14" t="str">
        <f>IF(ISBLANK(Raw_Data!G4662),AVERAGE(Raw_Data!G$2:G$5002),Raw_Data!G4662)</f>
        <v>20613.82</v>
      </c>
      <c r="H4662" s="15" t="str">
        <f t="shared" si="1"/>
        <v>131953.00</v>
      </c>
      <c r="I4662" s="14" t="str">
        <f t="shared" si="2"/>
        <v>111339.00</v>
      </c>
      <c r="J4662" s="16" t="str">
        <f>TEXT(Raw_Data!J4662,"MMM-YYY")</f>
        <v>Jan-2025</v>
      </c>
      <c r="K4662" s="13" t="str">
        <f>Raw_Data!K4662</f>
        <v>18</v>
      </c>
      <c r="L4662" s="17" t="str">
        <f>Raw_Data!L4662</f>
        <v>Bangalore-South</v>
      </c>
      <c r="M4662" s="13" t="str">
        <f t="shared" si="3"/>
        <v>OK</v>
      </c>
      <c r="N4662" s="18" t="str">
        <f t="shared" si="4"/>
        <v>VALID</v>
      </c>
    </row>
    <row r="4663" ht="15.75" customHeight="1">
      <c r="A4663" s="13" t="str">
        <f>Raw_Data!A4663</f>
        <v>EMP4913</v>
      </c>
      <c r="B4663" s="13" t="str">
        <f>TRIM(CLEAN(Raw_Data!B4663))</f>
        <v>Customer Support</v>
      </c>
      <c r="C4663" s="18" t="s">
        <v>18</v>
      </c>
      <c r="D4663" s="14" t="str">
        <f>IF(ISBLANK(Raw_Data!D4663),AVERAGE(Raw_Data!D$2:D$5002),Raw_Data!D4663)</f>
        <v>61586.58</v>
      </c>
      <c r="E4663" s="15" t="str">
        <f>IF(ISBLANK(Raw_Data!E4663),AVERAGE(Raw_Data!E$2:E$5002),Raw_Data!E4663)</f>
        <v>32485.21</v>
      </c>
      <c r="F4663" s="15" t="str">
        <f>IF(ISBLANK(Raw_Data!F4663),AVERAGE(Raw_Data!F$2:F$5002),Raw_Data!F4663)</f>
        <v>37903.11</v>
      </c>
      <c r="G4663" s="14" t="str">
        <f>IF(ISBLANK(Raw_Data!G4663),AVERAGE(Raw_Data!G$2:G$5002),Raw_Data!G4663)</f>
        <v>20616.33</v>
      </c>
      <c r="H4663" s="15" t="str">
        <f t="shared" si="1"/>
        <v>131975.00</v>
      </c>
      <c r="I4663" s="14" t="str">
        <f t="shared" si="2"/>
        <v>111359.00</v>
      </c>
      <c r="J4663" s="16" t="str">
        <f>TEXT(Raw_Data!J4663,"MMM-YYY")</f>
        <v>Dec-2025</v>
      </c>
      <c r="K4663" s="13" t="str">
        <f>Raw_Data!K4663</f>
        <v>12</v>
      </c>
      <c r="L4663" s="17" t="str">
        <f>Raw_Data!L4663</f>
        <v>Chennai-South</v>
      </c>
      <c r="M4663" s="13" t="str">
        <f t="shared" si="3"/>
        <v>OK</v>
      </c>
      <c r="N4663" s="18" t="str">
        <f t="shared" si="4"/>
        <v>VALID</v>
      </c>
    </row>
    <row r="4664" ht="15.75" customHeight="1">
      <c r="A4664" s="13" t="str">
        <f>Raw_Data!A4664</f>
        <v>EMP4914</v>
      </c>
      <c r="B4664" s="13" t="str">
        <f>TRIM(CLEAN(Raw_Data!B4664))</f>
        <v>Operations</v>
      </c>
      <c r="C4664" s="18" t="s">
        <v>33</v>
      </c>
      <c r="D4664" s="14" t="str">
        <f>IF(ISBLANK(Raw_Data!D4664),AVERAGE(Raw_Data!D$2:D$5002),Raw_Data!D4664)</f>
        <v>61597.46</v>
      </c>
      <c r="E4664" s="15" t="str">
        <f>IF(ISBLANK(Raw_Data!E4664),AVERAGE(Raw_Data!E$2:E$5002),Raw_Data!E4664)</f>
        <v>32488.58</v>
      </c>
      <c r="F4664" s="15" t="str">
        <f>IF(ISBLANK(Raw_Data!F4664),AVERAGE(Raw_Data!F$2:F$5002),Raw_Data!F4664)</f>
        <v>37910.79</v>
      </c>
      <c r="G4664" s="14" t="str">
        <f>IF(ISBLANK(Raw_Data!G4664),AVERAGE(Raw_Data!G$2:G$5002),Raw_Data!G4664)</f>
        <v>20618.84</v>
      </c>
      <c r="H4664" s="15" t="str">
        <f t="shared" si="1"/>
        <v>131997.00</v>
      </c>
      <c r="I4664" s="14" t="str">
        <f t="shared" si="2"/>
        <v>111378.00</v>
      </c>
      <c r="J4664" s="16" t="str">
        <f>TEXT(Raw_Data!J4664,"MMM-YYY")</f>
        <v>Jul-2025</v>
      </c>
      <c r="K4664" s="13" t="str">
        <f>Raw_Data!K4664</f>
        <v>22</v>
      </c>
      <c r="L4664" s="17" t="str">
        <f>Raw_Data!L4664</f>
        <v>Kolkata-East</v>
      </c>
      <c r="M4664" s="13" t="str">
        <f t="shared" si="3"/>
        <v>OK</v>
      </c>
      <c r="N4664" s="18" t="str">
        <f t="shared" si="4"/>
        <v>VALID</v>
      </c>
    </row>
    <row r="4665" ht="15.75" customHeight="1">
      <c r="A4665" s="13" t="str">
        <f>Raw_Data!A4665</f>
        <v>EMP4915</v>
      </c>
      <c r="B4665" s="13" t="str">
        <f>TRIM(CLEAN(Raw_Data!B4665))</f>
        <v>Operations</v>
      </c>
      <c r="C4665" s="18" t="s">
        <v>18</v>
      </c>
      <c r="D4665" s="14" t="str">
        <f>IF(ISBLANK(Raw_Data!D4665),AVERAGE(Raw_Data!D$2:D$5002),Raw_Data!D4665)</f>
        <v>61608.34</v>
      </c>
      <c r="E4665" s="15" t="str">
        <f>IF(ISBLANK(Raw_Data!E4665),AVERAGE(Raw_Data!E$2:E$5002),Raw_Data!E4665)</f>
        <v>32491.94</v>
      </c>
      <c r="F4665" s="15" t="str">
        <f>IF(ISBLANK(Raw_Data!F4665),AVERAGE(Raw_Data!F$2:F$5002),Raw_Data!F4665)</f>
        <v>37918.47</v>
      </c>
      <c r="G4665" s="14" t="str">
        <f>IF(ISBLANK(Raw_Data!G4665),AVERAGE(Raw_Data!G$2:G$5002),Raw_Data!G4665)</f>
        <v>20621.34</v>
      </c>
      <c r="H4665" s="15" t="str">
        <f t="shared" si="1"/>
        <v>132019.00</v>
      </c>
      <c r="I4665" s="14" t="str">
        <f t="shared" si="2"/>
        <v>111398.00</v>
      </c>
      <c r="J4665" s="16" t="str">
        <f>TEXT(Raw_Data!J4665,"MMM-YYY")</f>
        <v>Nov-2025</v>
      </c>
      <c r="K4665" s="13" t="str">
        <f>Raw_Data!K4665</f>
        <v>1</v>
      </c>
      <c r="L4665" s="17" t="str">
        <f>Raw_Data!L4665</f>
        <v>Pune-West</v>
      </c>
      <c r="M4665" s="13" t="str">
        <f t="shared" si="3"/>
        <v>OK</v>
      </c>
      <c r="N4665" s="18" t="str">
        <f t="shared" si="4"/>
        <v>VALID</v>
      </c>
    </row>
    <row r="4666" ht="15.75" customHeight="1">
      <c r="A4666" s="13" t="str">
        <f>Raw_Data!A4666</f>
        <v>EMP4916</v>
      </c>
      <c r="B4666" s="13" t="str">
        <f>TRIM(CLEAN(Raw_Data!B4666))</f>
        <v>IT</v>
      </c>
      <c r="C4666" s="18" t="s">
        <v>30</v>
      </c>
      <c r="D4666" s="14" t="str">
        <f>IF(ISBLANK(Raw_Data!D4666),AVERAGE(Raw_Data!D$2:D$5002),Raw_Data!D4666)</f>
        <v>61619.23</v>
      </c>
      <c r="E4666" s="15" t="str">
        <f>IF(ISBLANK(Raw_Data!E4666),AVERAGE(Raw_Data!E$2:E$5002),Raw_Data!E4666)</f>
        <v>32495.31</v>
      </c>
      <c r="F4666" s="15" t="str">
        <f>IF(ISBLANK(Raw_Data!F4666),AVERAGE(Raw_Data!F$2:F$5002),Raw_Data!F4666)</f>
        <v>37926.15</v>
      </c>
      <c r="G4666" s="14" t="str">
        <f>IF(ISBLANK(Raw_Data!G4666),AVERAGE(Raw_Data!G$2:G$5002),Raw_Data!G4666)</f>
        <v>20623.85</v>
      </c>
      <c r="H4666" s="15" t="str">
        <f t="shared" si="1"/>
        <v>132041.00</v>
      </c>
      <c r="I4666" s="14" t="str">
        <f t="shared" si="2"/>
        <v>111417.00</v>
      </c>
      <c r="J4666" s="16" t="str">
        <f>TEXT(Raw_Data!J4666,"MMM-YYY")</f>
        <v>Mar-2025</v>
      </c>
      <c r="K4666" s="13" t="str">
        <f>Raw_Data!K4666</f>
        <v>5</v>
      </c>
      <c r="L4666" s="17" t="str">
        <f>Raw_Data!L4666</f>
        <v>Hyderabad-South</v>
      </c>
      <c r="M4666" s="13" t="str">
        <f t="shared" si="3"/>
        <v>OK</v>
      </c>
      <c r="N4666" s="18" t="str">
        <f t="shared" si="4"/>
        <v>VALID</v>
      </c>
    </row>
    <row r="4667" ht="15.75" customHeight="1">
      <c r="A4667" s="13" t="str">
        <f>Raw_Data!A4667</f>
        <v>EMP4917</v>
      </c>
      <c r="B4667" s="13" t="str">
        <f>TRIM(CLEAN(Raw_Data!B4667))</f>
        <v>Sales</v>
      </c>
      <c r="C4667" s="18" t="s">
        <v>30</v>
      </c>
      <c r="D4667" s="14" t="str">
        <f>IF(ISBLANK(Raw_Data!D4667),AVERAGE(Raw_Data!D$2:D$5002),Raw_Data!D4667)</f>
        <v>61630.11</v>
      </c>
      <c r="E4667" s="15" t="str">
        <f>IF(ISBLANK(Raw_Data!E4667),AVERAGE(Raw_Data!E$2:E$5002),Raw_Data!E4667)</f>
        <v>32498.68</v>
      </c>
      <c r="F4667" s="15" t="str">
        <f>IF(ISBLANK(Raw_Data!F4667),AVERAGE(Raw_Data!F$2:F$5002),Raw_Data!F4667)</f>
        <v>37933.83</v>
      </c>
      <c r="G4667" s="14" t="str">
        <f>IF(ISBLANK(Raw_Data!G4667),AVERAGE(Raw_Data!G$2:G$5002),Raw_Data!G4667)</f>
        <v>20626.35</v>
      </c>
      <c r="H4667" s="15" t="str">
        <f t="shared" si="1"/>
        <v>132063.00</v>
      </c>
      <c r="I4667" s="14" t="str">
        <f t="shared" si="2"/>
        <v>111437.00</v>
      </c>
      <c r="J4667" s="16" t="str">
        <f>TEXT(Raw_Data!J4667,"MMM-YYY")</f>
        <v>Aug-2025</v>
      </c>
      <c r="K4667" s="13" t="str">
        <f>Raw_Data!K4667</f>
        <v>12</v>
      </c>
      <c r="L4667" s="17" t="str">
        <f>Raw_Data!L4667</f>
        <v>Chandigarh-North</v>
      </c>
      <c r="M4667" s="13" t="str">
        <f t="shared" si="3"/>
        <v>OK</v>
      </c>
      <c r="N4667" s="18" t="str">
        <f t="shared" si="4"/>
        <v>VALID</v>
      </c>
    </row>
    <row r="4668" ht="15.75" customHeight="1">
      <c r="A4668" s="13" t="str">
        <f>Raw_Data!A4668</f>
        <v>EMP4918</v>
      </c>
      <c r="B4668" s="13" t="str">
        <f>TRIM(CLEAN(Raw_Data!B4668))</f>
        <v>Finance</v>
      </c>
      <c r="C4668" s="18" t="s">
        <v>33</v>
      </c>
      <c r="D4668" s="14" t="str">
        <f>IF(ISBLANK(Raw_Data!D4668),AVERAGE(Raw_Data!D$2:D$5002),Raw_Data!D4668)</f>
        <v>61640.99</v>
      </c>
      <c r="E4668" s="15" t="str">
        <f>IF(ISBLANK(Raw_Data!E4668),AVERAGE(Raw_Data!E$2:E$5002),Raw_Data!E4668)</f>
        <v>32502.05</v>
      </c>
      <c r="F4668" s="15" t="str">
        <f>IF(ISBLANK(Raw_Data!F4668),AVERAGE(Raw_Data!F$2:F$5002),Raw_Data!F4668)</f>
        <v>37941.51</v>
      </c>
      <c r="G4668" s="14" t="str">
        <f>IF(ISBLANK(Raw_Data!G4668),AVERAGE(Raw_Data!G$2:G$5002),Raw_Data!G4668)</f>
        <v>20628.86</v>
      </c>
      <c r="H4668" s="15" t="str">
        <f t="shared" si="1"/>
        <v>132085.00</v>
      </c>
      <c r="I4668" s="14" t="str">
        <f t="shared" si="2"/>
        <v>111456.00</v>
      </c>
      <c r="J4668" s="16" t="str">
        <f>TEXT(Raw_Data!J4668,"MMM-YYY")</f>
        <v>Apr-2025</v>
      </c>
      <c r="K4668" s="13" t="str">
        <f>Raw_Data!K4668</f>
        <v>8</v>
      </c>
      <c r="L4668" s="17" t="str">
        <f>Raw_Data!L4668</f>
        <v>Ahmedabad-West</v>
      </c>
      <c r="M4668" s="13" t="str">
        <f t="shared" si="3"/>
        <v>OK</v>
      </c>
      <c r="N4668" s="18" t="str">
        <f t="shared" si="4"/>
        <v>VALID</v>
      </c>
    </row>
    <row r="4669" ht="15.75" customHeight="1">
      <c r="A4669" s="13" t="str">
        <f>Raw_Data!A4669</f>
        <v>EMP4919</v>
      </c>
      <c r="B4669" s="13" t="str">
        <f>TRIM(CLEAN(Raw_Data!B4669))</f>
        <v>Customer Support</v>
      </c>
      <c r="C4669" s="18" t="s">
        <v>14</v>
      </c>
      <c r="D4669" s="14" t="str">
        <f>IF(ISBLANK(Raw_Data!D4669),AVERAGE(Raw_Data!D$2:D$5002),Raw_Data!D4669)</f>
        <v>61651.87</v>
      </c>
      <c r="E4669" s="15" t="str">
        <f>IF(ISBLANK(Raw_Data!E4669),AVERAGE(Raw_Data!E$2:E$5002),Raw_Data!E4669)</f>
        <v>32505.42</v>
      </c>
      <c r="F4669" s="15" t="str">
        <f>IF(ISBLANK(Raw_Data!F4669),AVERAGE(Raw_Data!F$2:F$5002),Raw_Data!F4669)</f>
        <v>37949.19</v>
      </c>
      <c r="G4669" s="14" t="str">
        <f>IF(ISBLANK(Raw_Data!G4669),AVERAGE(Raw_Data!G$2:G$5002),Raw_Data!G4669)</f>
        <v>20631.37</v>
      </c>
      <c r="H4669" s="15" t="str">
        <f t="shared" si="1"/>
        <v>132106.00</v>
      </c>
      <c r="I4669" s="14" t="str">
        <f t="shared" si="2"/>
        <v>111475.00</v>
      </c>
      <c r="J4669" s="16" t="str">
        <f>TEXT(Raw_Data!J4669,"MMM-YYY")</f>
        <v>Feb-2025</v>
      </c>
      <c r="K4669" s="13" t="str">
        <f>Raw_Data!K4669</f>
        <v>15</v>
      </c>
      <c r="L4669" s="17" t="str">
        <f>Raw_Data!L4669</f>
        <v>Jaipur-North</v>
      </c>
      <c r="M4669" s="13" t="str">
        <f t="shared" si="3"/>
        <v>OK</v>
      </c>
      <c r="N4669" s="18" t="str">
        <f t="shared" si="4"/>
        <v>VALID</v>
      </c>
    </row>
    <row r="4670" ht="15.75" customHeight="1">
      <c r="A4670" s="13" t="str">
        <f>Raw_Data!A4670</f>
        <v>EMP4920</v>
      </c>
      <c r="B4670" s="13" t="str">
        <f>TRIM(CLEAN(Raw_Data!B4670))</f>
        <v>Finance</v>
      </c>
      <c r="C4670" s="18" t="s">
        <v>14</v>
      </c>
      <c r="D4670" s="14" t="str">
        <f>IF(ISBLANK(Raw_Data!D4670),AVERAGE(Raw_Data!D$2:D$5002),Raw_Data!D4670)</f>
        <v>61662.76</v>
      </c>
      <c r="E4670" s="15" t="str">
        <f>IF(ISBLANK(Raw_Data!E4670),AVERAGE(Raw_Data!E$2:E$5002),Raw_Data!E4670)</f>
        <v>32508.78</v>
      </c>
      <c r="F4670" s="15" t="str">
        <f>IF(ISBLANK(Raw_Data!F4670),AVERAGE(Raw_Data!F$2:F$5002),Raw_Data!F4670)</f>
        <v>37956.87</v>
      </c>
      <c r="G4670" s="14" t="str">
        <f>IF(ISBLANK(Raw_Data!G4670),AVERAGE(Raw_Data!G$2:G$5002),Raw_Data!G4670)</f>
        <v>20633.87</v>
      </c>
      <c r="H4670" s="15" t="str">
        <f t="shared" si="1"/>
        <v>132128.00</v>
      </c>
      <c r="I4670" s="14" t="str">
        <f t="shared" si="2"/>
        <v>111494.00</v>
      </c>
      <c r="J4670" s="16" t="str">
        <f>TEXT(Raw_Data!J4670,"MMM-YYY")</f>
        <v>Jan-2025</v>
      </c>
      <c r="K4670" s="13" t="str">
        <f>Raw_Data!K4670</f>
        <v>23</v>
      </c>
      <c r="L4670" s="17" t="str">
        <f>Raw_Data!L4670</f>
        <v>Mumbai-HO</v>
      </c>
      <c r="M4670" s="13" t="str">
        <f t="shared" si="3"/>
        <v>OK</v>
      </c>
      <c r="N4670" s="18" t="str">
        <f t="shared" si="4"/>
        <v>VALID</v>
      </c>
    </row>
    <row r="4671" ht="15.75" customHeight="1">
      <c r="A4671" s="13" t="str">
        <f>Raw_Data!A4671</f>
        <v>EMP4921</v>
      </c>
      <c r="B4671" s="13" t="str">
        <f>TRIM(CLEAN(Raw_Data!B4671))</f>
        <v>HR</v>
      </c>
      <c r="C4671" s="18" t="s">
        <v>26</v>
      </c>
      <c r="D4671" s="14" t="str">
        <f>IF(ISBLANK(Raw_Data!D4671),AVERAGE(Raw_Data!D$2:D$5002),Raw_Data!D4671)</f>
        <v>61673.64</v>
      </c>
      <c r="E4671" s="15" t="str">
        <f>IF(ISBLANK(Raw_Data!E4671),AVERAGE(Raw_Data!E$2:E$5002),Raw_Data!E4671)</f>
        <v>32512.15</v>
      </c>
      <c r="F4671" s="15" t="str">
        <f>IF(ISBLANK(Raw_Data!F4671),AVERAGE(Raw_Data!F$2:F$5002),Raw_Data!F4671)</f>
        <v>37964.55</v>
      </c>
      <c r="G4671" s="14" t="str">
        <f>IF(ISBLANK(Raw_Data!G4671),AVERAGE(Raw_Data!G$2:G$5002),Raw_Data!G4671)</f>
        <v>20636.38</v>
      </c>
      <c r="H4671" s="15" t="str">
        <f t="shared" si="1"/>
        <v>132150.00</v>
      </c>
      <c r="I4671" s="14" t="str">
        <f t="shared" si="2"/>
        <v>111514.00</v>
      </c>
      <c r="J4671" s="16" t="str">
        <f>TEXT(Raw_Data!J4671,"MMM-YYY")</f>
        <v>Nov-2025</v>
      </c>
      <c r="K4671" s="13" t="str">
        <f>Raw_Data!K4671</f>
        <v>13</v>
      </c>
      <c r="L4671" s="17" t="str">
        <f>Raw_Data!L4671</f>
        <v>Delhi-North</v>
      </c>
      <c r="M4671" s="13" t="str">
        <f t="shared" si="3"/>
        <v>OK</v>
      </c>
      <c r="N4671" s="18" t="str">
        <f t="shared" si="4"/>
        <v>VALID</v>
      </c>
    </row>
    <row r="4672" ht="15.75" customHeight="1">
      <c r="A4672" s="13" t="str">
        <f>Raw_Data!A4672</f>
        <v>EMP4922</v>
      </c>
      <c r="B4672" s="13" t="str">
        <f>TRIM(CLEAN(Raw_Data!B4672))</f>
        <v>Sales</v>
      </c>
      <c r="C4672" s="18" t="s">
        <v>37</v>
      </c>
      <c r="D4672" s="14" t="str">
        <f>IF(ISBLANK(Raw_Data!D4672),AVERAGE(Raw_Data!D$2:D$5002),Raw_Data!D4672)</f>
        <v>61684.52</v>
      </c>
      <c r="E4672" s="15" t="str">
        <f>IF(ISBLANK(Raw_Data!E4672),AVERAGE(Raw_Data!E$2:E$5002),Raw_Data!E4672)</f>
        <v>32515.52</v>
      </c>
      <c r="F4672" s="15" t="str">
        <f>IF(ISBLANK(Raw_Data!F4672),AVERAGE(Raw_Data!F$2:F$5002),Raw_Data!F4672)</f>
        <v>37972.23</v>
      </c>
      <c r="G4672" s="14" t="str">
        <f>IF(ISBLANK(Raw_Data!G4672),AVERAGE(Raw_Data!G$2:G$5002),Raw_Data!G4672)</f>
        <v>20638.88</v>
      </c>
      <c r="H4672" s="15" t="str">
        <f t="shared" si="1"/>
        <v>132172.00</v>
      </c>
      <c r="I4672" s="14" t="str">
        <f t="shared" si="2"/>
        <v>111533.00</v>
      </c>
      <c r="J4672" s="16" t="str">
        <f>TEXT(Raw_Data!J4672,"MMM-YYY")</f>
        <v>Apr-2025</v>
      </c>
      <c r="K4672" s="13" t="str">
        <f>Raw_Data!K4672</f>
        <v>2</v>
      </c>
      <c r="L4672" s="17" t="str">
        <f>Raw_Data!L4672</f>
        <v>Bangalore-South</v>
      </c>
      <c r="M4672" s="13" t="str">
        <f t="shared" si="3"/>
        <v>OK</v>
      </c>
      <c r="N4672" s="18" t="str">
        <f t="shared" si="4"/>
        <v>VALID</v>
      </c>
    </row>
    <row r="4673" ht="15.75" customHeight="1">
      <c r="A4673" s="13" t="str">
        <f>Raw_Data!A4673</f>
        <v>EMP4923</v>
      </c>
      <c r="B4673" s="13" t="str">
        <f>TRIM(CLEAN(Raw_Data!B4673))</f>
        <v>Sales</v>
      </c>
      <c r="C4673" s="18" t="s">
        <v>18</v>
      </c>
      <c r="D4673" s="14" t="str">
        <f>IF(ISBLANK(Raw_Data!D4673),AVERAGE(Raw_Data!D$2:D$5002),Raw_Data!D4673)</f>
        <v>61695.41</v>
      </c>
      <c r="E4673" s="15" t="str">
        <f>IF(ISBLANK(Raw_Data!E4673),AVERAGE(Raw_Data!E$2:E$5002),Raw_Data!E4673)</f>
        <v>32518.89</v>
      </c>
      <c r="F4673" s="15" t="str">
        <f>IF(ISBLANK(Raw_Data!F4673),AVERAGE(Raw_Data!F$2:F$5002),Raw_Data!F4673)</f>
        <v>37979.91</v>
      </c>
      <c r="G4673" s="14" t="str">
        <f>IF(ISBLANK(Raw_Data!G4673),AVERAGE(Raw_Data!G$2:G$5002),Raw_Data!G4673)</f>
        <v>20641.39</v>
      </c>
      <c r="H4673" s="15" t="str">
        <f t="shared" si="1"/>
        <v>132194.00</v>
      </c>
      <c r="I4673" s="14" t="str">
        <f t="shared" si="2"/>
        <v>111553.00</v>
      </c>
      <c r="J4673" s="16" t="str">
        <f>TEXT(Raw_Data!J4673,"MMM-YYY")</f>
        <v>May-2025</v>
      </c>
      <c r="K4673" s="13" t="str">
        <f>Raw_Data!K4673</f>
        <v>25</v>
      </c>
      <c r="L4673" s="17" t="str">
        <f>Raw_Data!L4673</f>
        <v>Chennai-South</v>
      </c>
      <c r="M4673" s="13" t="str">
        <f t="shared" si="3"/>
        <v>OK</v>
      </c>
      <c r="N4673" s="18" t="str">
        <f t="shared" si="4"/>
        <v>VALID</v>
      </c>
    </row>
    <row r="4674" ht="15.75" customHeight="1">
      <c r="A4674" s="13" t="str">
        <f>Raw_Data!A4674</f>
        <v>EMP4924</v>
      </c>
      <c r="B4674" s="13" t="str">
        <f>TRIM(CLEAN(Raw_Data!B4674))</f>
        <v>Sales</v>
      </c>
      <c r="C4674" s="18" t="s">
        <v>14</v>
      </c>
      <c r="D4674" s="14" t="str">
        <f>IF(ISBLANK(Raw_Data!D4674),AVERAGE(Raw_Data!D$2:D$5002),Raw_Data!D4674)</f>
        <v>61706.29</v>
      </c>
      <c r="E4674" s="15" t="str">
        <f>IF(ISBLANK(Raw_Data!E4674),AVERAGE(Raw_Data!E$2:E$5002),Raw_Data!E4674)</f>
        <v>32522.25</v>
      </c>
      <c r="F4674" s="15" t="str">
        <f>IF(ISBLANK(Raw_Data!F4674),AVERAGE(Raw_Data!F$2:F$5002),Raw_Data!F4674)</f>
        <v>37987.59</v>
      </c>
      <c r="G4674" s="14" t="str">
        <f>IF(ISBLANK(Raw_Data!G4674),AVERAGE(Raw_Data!G$2:G$5002),Raw_Data!G4674)</f>
        <v>20643.90</v>
      </c>
      <c r="H4674" s="15" t="str">
        <f t="shared" si="1"/>
        <v>132216.00</v>
      </c>
      <c r="I4674" s="14" t="str">
        <f t="shared" si="2"/>
        <v>111572.00</v>
      </c>
      <c r="J4674" s="16" t="str">
        <f>TEXT(Raw_Data!J4674,"MMM-YYY")</f>
        <v>Nov-2025</v>
      </c>
      <c r="K4674" s="13" t="str">
        <f>Raw_Data!K4674</f>
        <v>10</v>
      </c>
      <c r="L4674" s="17" t="str">
        <f>Raw_Data!L4674</f>
        <v>Kolkata-East</v>
      </c>
      <c r="M4674" s="13" t="str">
        <f t="shared" si="3"/>
        <v>OK</v>
      </c>
      <c r="N4674" s="18" t="str">
        <f t="shared" si="4"/>
        <v>VALID</v>
      </c>
    </row>
    <row r="4675" ht="15.75" customHeight="1">
      <c r="A4675" s="13" t="str">
        <f>Raw_Data!A4675</f>
        <v>EMP4925</v>
      </c>
      <c r="B4675" s="13" t="str">
        <f>TRIM(CLEAN(Raw_Data!B4675))</f>
        <v>Finance</v>
      </c>
      <c r="C4675" s="18" t="s">
        <v>54</v>
      </c>
      <c r="D4675" s="14" t="str">
        <f>IF(ISBLANK(Raw_Data!D4675),AVERAGE(Raw_Data!D$2:D$5002),Raw_Data!D4675)</f>
        <v>61717.17</v>
      </c>
      <c r="E4675" s="15" t="str">
        <f>IF(ISBLANK(Raw_Data!E4675),AVERAGE(Raw_Data!E$2:E$5002),Raw_Data!E4675)</f>
        <v>32525.62</v>
      </c>
      <c r="F4675" s="15" t="str">
        <f>IF(ISBLANK(Raw_Data!F4675),AVERAGE(Raw_Data!F$2:F$5002),Raw_Data!F4675)</f>
        <v>37995.27</v>
      </c>
      <c r="G4675" s="14" t="str">
        <f>IF(ISBLANK(Raw_Data!G4675),AVERAGE(Raw_Data!G$2:G$5002),Raw_Data!G4675)</f>
        <v>20646.40</v>
      </c>
      <c r="H4675" s="15" t="str">
        <f t="shared" si="1"/>
        <v>132238.00</v>
      </c>
      <c r="I4675" s="14" t="str">
        <f t="shared" si="2"/>
        <v>111592.00</v>
      </c>
      <c r="J4675" s="16" t="str">
        <f>TEXT(Raw_Data!J4675,"MMM-YYY")</f>
        <v>Sep-2025</v>
      </c>
      <c r="K4675" s="13" t="str">
        <f>Raw_Data!K4675</f>
        <v>9</v>
      </c>
      <c r="L4675" s="17" t="str">
        <f>Raw_Data!L4675</f>
        <v>Pune-West</v>
      </c>
      <c r="M4675" s="13" t="str">
        <f t="shared" si="3"/>
        <v>OK</v>
      </c>
      <c r="N4675" s="18" t="str">
        <f t="shared" si="4"/>
        <v>VALID</v>
      </c>
    </row>
    <row r="4676" ht="15.75" customHeight="1">
      <c r="A4676" s="13" t="str">
        <f>Raw_Data!A4676</f>
        <v>EMP4926</v>
      </c>
      <c r="B4676" s="13" t="str">
        <f>TRIM(CLEAN(Raw_Data!B4676))</f>
        <v>Finance</v>
      </c>
      <c r="C4676" s="18" t="s">
        <v>30</v>
      </c>
      <c r="D4676" s="14" t="str">
        <f>IF(ISBLANK(Raw_Data!D4676),AVERAGE(Raw_Data!D$2:D$5002),Raw_Data!D4676)</f>
        <v>61728.06</v>
      </c>
      <c r="E4676" s="15" t="str">
        <f>IF(ISBLANK(Raw_Data!E4676),AVERAGE(Raw_Data!E$2:E$5002),Raw_Data!E4676)</f>
        <v>32528.99</v>
      </c>
      <c r="F4676" s="15" t="str">
        <f>IF(ISBLANK(Raw_Data!F4676),AVERAGE(Raw_Data!F$2:F$5002),Raw_Data!F4676)</f>
        <v>38002.95</v>
      </c>
      <c r="G4676" s="14" t="str">
        <f>IF(ISBLANK(Raw_Data!G4676),AVERAGE(Raw_Data!G$2:G$5002),Raw_Data!G4676)</f>
        <v>20648.91</v>
      </c>
      <c r="H4676" s="15" t="str">
        <f t="shared" si="1"/>
        <v>132260.00</v>
      </c>
      <c r="I4676" s="14" t="str">
        <f t="shared" si="2"/>
        <v>111611.00</v>
      </c>
      <c r="J4676" s="16" t="str">
        <f>TEXT(Raw_Data!J4676,"MMM-YYY")</f>
        <v>Dec-2025</v>
      </c>
      <c r="K4676" s="13" t="str">
        <f>Raw_Data!K4676</f>
        <v>18</v>
      </c>
      <c r="L4676" s="17" t="str">
        <f>Raw_Data!L4676</f>
        <v>Hyderabad-South</v>
      </c>
      <c r="M4676" s="13" t="str">
        <f t="shared" si="3"/>
        <v>OK</v>
      </c>
      <c r="N4676" s="18" t="str">
        <f t="shared" si="4"/>
        <v>VALID</v>
      </c>
    </row>
    <row r="4677" ht="15.75" customHeight="1">
      <c r="A4677" s="13" t="str">
        <f>Raw_Data!A4677</f>
        <v>EMP4927</v>
      </c>
      <c r="B4677" s="13" t="str">
        <f>TRIM(CLEAN(Raw_Data!B4677))</f>
        <v>Marketing</v>
      </c>
      <c r="C4677" s="18" t="s">
        <v>37</v>
      </c>
      <c r="D4677" s="14" t="str">
        <f>IF(ISBLANK(Raw_Data!D4677),AVERAGE(Raw_Data!D$2:D$5002),Raw_Data!D4677)</f>
        <v>61738.94</v>
      </c>
      <c r="E4677" s="15" t="str">
        <f>IF(ISBLANK(Raw_Data!E4677),AVERAGE(Raw_Data!E$2:E$5002),Raw_Data!E4677)</f>
        <v>32532.36</v>
      </c>
      <c r="F4677" s="15" t="str">
        <f>IF(ISBLANK(Raw_Data!F4677),AVERAGE(Raw_Data!F$2:F$5002),Raw_Data!F4677)</f>
        <v>38010.63</v>
      </c>
      <c r="G4677" s="14" t="str">
        <f>IF(ISBLANK(Raw_Data!G4677),AVERAGE(Raw_Data!G$2:G$5002),Raw_Data!G4677)</f>
        <v>20651.42</v>
      </c>
      <c r="H4677" s="15" t="str">
        <f t="shared" si="1"/>
        <v>132282.00</v>
      </c>
      <c r="I4677" s="14" t="str">
        <f t="shared" si="2"/>
        <v>111631.00</v>
      </c>
      <c r="J4677" s="16" t="str">
        <f>TEXT(Raw_Data!J4677,"MMM-YYY")</f>
        <v>Jun-2025</v>
      </c>
      <c r="K4677" s="13" t="str">
        <f>Raw_Data!K4677</f>
        <v>22</v>
      </c>
      <c r="L4677" s="17" t="str">
        <f>Raw_Data!L4677</f>
        <v>Chandigarh-North</v>
      </c>
      <c r="M4677" s="13" t="str">
        <f t="shared" si="3"/>
        <v>OK</v>
      </c>
      <c r="N4677" s="18" t="str">
        <f t="shared" si="4"/>
        <v>VALID</v>
      </c>
    </row>
    <row r="4678" ht="15.75" customHeight="1">
      <c r="A4678" s="13" t="str">
        <f>Raw_Data!A4678</f>
        <v>EMP4928</v>
      </c>
      <c r="B4678" s="13" t="str">
        <f>TRIM(CLEAN(Raw_Data!B4678))</f>
        <v>Finance</v>
      </c>
      <c r="C4678" s="18" t="s">
        <v>54</v>
      </c>
      <c r="D4678" s="14" t="str">
        <f>IF(ISBLANK(Raw_Data!D4678),AVERAGE(Raw_Data!D$2:D$5002),Raw_Data!D4678)</f>
        <v>61749.82</v>
      </c>
      <c r="E4678" s="15" t="str">
        <f>IF(ISBLANK(Raw_Data!E4678),AVERAGE(Raw_Data!E$2:E$5002),Raw_Data!E4678)</f>
        <v>32535.72</v>
      </c>
      <c r="F4678" s="15" t="str">
        <f>IF(ISBLANK(Raw_Data!F4678),AVERAGE(Raw_Data!F$2:F$5002),Raw_Data!F4678)</f>
        <v>38018.31</v>
      </c>
      <c r="G4678" s="14" t="str">
        <f>IF(ISBLANK(Raw_Data!G4678),AVERAGE(Raw_Data!G$2:G$5002),Raw_Data!G4678)</f>
        <v>20653.92</v>
      </c>
      <c r="H4678" s="15" t="str">
        <f t="shared" si="1"/>
        <v>132304.00</v>
      </c>
      <c r="I4678" s="14" t="str">
        <f t="shared" si="2"/>
        <v>111650.00</v>
      </c>
      <c r="J4678" s="16" t="str">
        <f>TEXT(Raw_Data!J4678,"MMM-YYY")</f>
        <v>Jul-2025</v>
      </c>
      <c r="K4678" s="13" t="str">
        <f>Raw_Data!K4678</f>
        <v>10</v>
      </c>
      <c r="L4678" s="17" t="str">
        <f>Raw_Data!L4678</f>
        <v>Ahmedabad-West</v>
      </c>
      <c r="M4678" s="13" t="str">
        <f t="shared" si="3"/>
        <v>OK</v>
      </c>
      <c r="N4678" s="18" t="str">
        <f t="shared" si="4"/>
        <v>VALID</v>
      </c>
    </row>
    <row r="4679" ht="15.75" customHeight="1">
      <c r="A4679" s="13" t="str">
        <f>Raw_Data!A4679</f>
        <v>EMP4929</v>
      </c>
      <c r="B4679" s="13" t="str">
        <f>TRIM(CLEAN(Raw_Data!B4679))</f>
        <v>Finance</v>
      </c>
      <c r="C4679" s="18" t="s">
        <v>18</v>
      </c>
      <c r="D4679" s="14" t="str">
        <f>IF(ISBLANK(Raw_Data!D4679),AVERAGE(Raw_Data!D$2:D$5002),Raw_Data!D4679)</f>
        <v>61760.70</v>
      </c>
      <c r="E4679" s="15" t="str">
        <f>IF(ISBLANK(Raw_Data!E4679),AVERAGE(Raw_Data!E$2:E$5002),Raw_Data!E4679)</f>
        <v>32539.09</v>
      </c>
      <c r="F4679" s="15" t="str">
        <f>IF(ISBLANK(Raw_Data!F4679),AVERAGE(Raw_Data!F$2:F$5002),Raw_Data!F4679)</f>
        <v>38025.99</v>
      </c>
      <c r="G4679" s="14" t="str">
        <f>IF(ISBLANK(Raw_Data!G4679),AVERAGE(Raw_Data!G$2:G$5002),Raw_Data!G4679)</f>
        <v>20656.43</v>
      </c>
      <c r="H4679" s="15" t="str">
        <f t="shared" si="1"/>
        <v>132326.00</v>
      </c>
      <c r="I4679" s="14" t="str">
        <f t="shared" si="2"/>
        <v>111670.00</v>
      </c>
      <c r="J4679" s="16" t="str">
        <f>TEXT(Raw_Data!J4679,"MMM-YYY")</f>
        <v>Apr-2025</v>
      </c>
      <c r="K4679" s="13" t="str">
        <f>Raw_Data!K4679</f>
        <v>14</v>
      </c>
      <c r="L4679" s="17" t="str">
        <f>Raw_Data!L4679</f>
        <v>Jaipur-North</v>
      </c>
      <c r="M4679" s="13" t="str">
        <f t="shared" si="3"/>
        <v>OK</v>
      </c>
      <c r="N4679" s="18" t="str">
        <f t="shared" si="4"/>
        <v>VALID</v>
      </c>
    </row>
    <row r="4680" ht="15.75" customHeight="1">
      <c r="A4680" s="13" t="str">
        <f>Raw_Data!A4680</f>
        <v>EMP4930</v>
      </c>
      <c r="B4680" s="13" t="str">
        <f>TRIM(CLEAN(Raw_Data!B4680))</f>
        <v>Sales</v>
      </c>
      <c r="C4680" s="18" t="s">
        <v>54</v>
      </c>
      <c r="D4680" s="14" t="str">
        <f>IF(ISBLANK(Raw_Data!D4680),AVERAGE(Raw_Data!D$2:D$5002),Raw_Data!D4680)</f>
        <v>61771.59</v>
      </c>
      <c r="E4680" s="15" t="str">
        <f>IF(ISBLANK(Raw_Data!E4680),AVERAGE(Raw_Data!E$2:E$5002),Raw_Data!E4680)</f>
        <v>32542.46</v>
      </c>
      <c r="F4680" s="15" t="str">
        <f>IF(ISBLANK(Raw_Data!F4680),AVERAGE(Raw_Data!F$2:F$5002),Raw_Data!F4680)</f>
        <v>38033.67</v>
      </c>
      <c r="G4680" s="14" t="str">
        <f>IF(ISBLANK(Raw_Data!G4680),AVERAGE(Raw_Data!G$2:G$5002),Raw_Data!G4680)</f>
        <v>20658.93</v>
      </c>
      <c r="H4680" s="15" t="str">
        <f t="shared" si="1"/>
        <v>132348.00</v>
      </c>
      <c r="I4680" s="14" t="str">
        <f t="shared" si="2"/>
        <v>111689.00</v>
      </c>
      <c r="J4680" s="16" t="str">
        <f>TEXT(Raw_Data!J4680,"MMM-YYY")</f>
        <v>Sep-2025</v>
      </c>
      <c r="K4680" s="13" t="str">
        <f>Raw_Data!K4680</f>
        <v>15</v>
      </c>
      <c r="L4680" s="17" t="str">
        <f>Raw_Data!L4680</f>
        <v>Mumbai-HO</v>
      </c>
      <c r="M4680" s="13" t="str">
        <f t="shared" si="3"/>
        <v>OK</v>
      </c>
      <c r="N4680" s="18" t="str">
        <f t="shared" si="4"/>
        <v>VALID</v>
      </c>
    </row>
    <row r="4681" ht="15.75" customHeight="1">
      <c r="A4681" s="13" t="str">
        <f>Raw_Data!A4681</f>
        <v>EMP4931</v>
      </c>
      <c r="B4681" s="13" t="str">
        <f>TRIM(CLEAN(Raw_Data!B4681))</f>
        <v>IT</v>
      </c>
      <c r="C4681" s="18" t="s">
        <v>18</v>
      </c>
      <c r="D4681" s="14" t="str">
        <f>IF(ISBLANK(Raw_Data!D4681),AVERAGE(Raw_Data!D$2:D$5002),Raw_Data!D4681)</f>
        <v>61782.47</v>
      </c>
      <c r="E4681" s="15" t="str">
        <f>IF(ISBLANK(Raw_Data!E4681),AVERAGE(Raw_Data!E$2:E$5002),Raw_Data!E4681)</f>
        <v>32545.83</v>
      </c>
      <c r="F4681" s="15" t="str">
        <f>IF(ISBLANK(Raw_Data!F4681),AVERAGE(Raw_Data!F$2:F$5002),Raw_Data!F4681)</f>
        <v>38041.35</v>
      </c>
      <c r="G4681" s="14" t="str">
        <f>IF(ISBLANK(Raw_Data!G4681),AVERAGE(Raw_Data!G$2:G$5002),Raw_Data!G4681)</f>
        <v>20661.44</v>
      </c>
      <c r="H4681" s="15" t="str">
        <f t="shared" si="1"/>
        <v>132370.00</v>
      </c>
      <c r="I4681" s="14" t="str">
        <f t="shared" si="2"/>
        <v>111709.00</v>
      </c>
      <c r="J4681" s="16" t="str">
        <f>TEXT(Raw_Data!J4681,"MMM-YYY")</f>
        <v>Apr-2025</v>
      </c>
      <c r="K4681" s="13" t="str">
        <f>Raw_Data!K4681</f>
        <v>1</v>
      </c>
      <c r="L4681" s="17" t="str">
        <f>Raw_Data!L4681</f>
        <v>Delhi-North</v>
      </c>
      <c r="M4681" s="13" t="str">
        <f t="shared" si="3"/>
        <v>OK</v>
      </c>
      <c r="N4681" s="18" t="str">
        <f t="shared" si="4"/>
        <v>VALID</v>
      </c>
    </row>
    <row r="4682" ht="15.75" customHeight="1">
      <c r="A4682" s="13" t="str">
        <f>Raw_Data!A4682</f>
        <v>EMP4932</v>
      </c>
      <c r="B4682" s="13" t="str">
        <f>TRIM(CLEAN(Raw_Data!B4682))</f>
        <v>HR</v>
      </c>
      <c r="C4682" s="18" t="s">
        <v>26</v>
      </c>
      <c r="D4682" s="14" t="str">
        <f>IF(ISBLANK(Raw_Data!D4682),AVERAGE(Raw_Data!D$2:D$5002),Raw_Data!D4682)</f>
        <v>61793.35</v>
      </c>
      <c r="E4682" s="15" t="str">
        <f>IF(ISBLANK(Raw_Data!E4682),AVERAGE(Raw_Data!E$2:E$5002),Raw_Data!E4682)</f>
        <v>32549.19</v>
      </c>
      <c r="F4682" s="15" t="str">
        <f>IF(ISBLANK(Raw_Data!F4682),AVERAGE(Raw_Data!F$2:F$5002),Raw_Data!F4682)</f>
        <v>38049.03</v>
      </c>
      <c r="G4682" s="14" t="str">
        <f>IF(ISBLANK(Raw_Data!G4682),AVERAGE(Raw_Data!G$2:G$5002),Raw_Data!G4682)</f>
        <v>20663.95</v>
      </c>
      <c r="H4682" s="15" t="str">
        <f t="shared" si="1"/>
        <v>132392.00</v>
      </c>
      <c r="I4682" s="14" t="str">
        <f t="shared" si="2"/>
        <v>111728.00</v>
      </c>
      <c r="J4682" s="16" t="str">
        <f>TEXT(Raw_Data!J4682,"MMM-YYY")</f>
        <v>Sep-2025</v>
      </c>
      <c r="K4682" s="13" t="str">
        <f>Raw_Data!K4682</f>
        <v>25</v>
      </c>
      <c r="L4682" s="17" t="str">
        <f>Raw_Data!L4682</f>
        <v>Bangalore-South</v>
      </c>
      <c r="M4682" s="13" t="str">
        <f t="shared" si="3"/>
        <v>OK</v>
      </c>
      <c r="N4682" s="18" t="str">
        <f t="shared" si="4"/>
        <v>VALID</v>
      </c>
    </row>
    <row r="4683" ht="15.75" customHeight="1">
      <c r="A4683" s="13" t="str">
        <f>Raw_Data!A4683</f>
        <v>EMP4933</v>
      </c>
      <c r="B4683" s="13" t="str">
        <f>TRIM(CLEAN(Raw_Data!B4683))</f>
        <v>Operations</v>
      </c>
      <c r="C4683" s="18" t="s">
        <v>37</v>
      </c>
      <c r="D4683" s="14" t="str">
        <f>IF(ISBLANK(Raw_Data!D4683),AVERAGE(Raw_Data!D$2:D$5002),Raw_Data!D4683)</f>
        <v>61804.24</v>
      </c>
      <c r="E4683" s="15" t="str">
        <f>IF(ISBLANK(Raw_Data!E4683),AVERAGE(Raw_Data!E$2:E$5002),Raw_Data!E4683)</f>
        <v>32552.56</v>
      </c>
      <c r="F4683" s="15" t="str">
        <f>IF(ISBLANK(Raw_Data!F4683),AVERAGE(Raw_Data!F$2:F$5002),Raw_Data!F4683)</f>
        <v>38056.71</v>
      </c>
      <c r="G4683" s="14" t="str">
        <f>IF(ISBLANK(Raw_Data!G4683),AVERAGE(Raw_Data!G$2:G$5002),Raw_Data!G4683)</f>
        <v>20666.45</v>
      </c>
      <c r="H4683" s="15" t="str">
        <f t="shared" si="1"/>
        <v>132414.00</v>
      </c>
      <c r="I4683" s="14" t="str">
        <f t="shared" si="2"/>
        <v>111748.00</v>
      </c>
      <c r="J4683" s="16" t="str">
        <f>TEXT(Raw_Data!J4683,"MMM-YYY")</f>
        <v>Oct-2025</v>
      </c>
      <c r="K4683" s="13" t="str">
        <f>Raw_Data!K4683</f>
        <v>22</v>
      </c>
      <c r="L4683" s="17" t="str">
        <f>Raw_Data!L4683</f>
        <v>Chennai-South</v>
      </c>
      <c r="M4683" s="13" t="str">
        <f t="shared" si="3"/>
        <v>OK</v>
      </c>
      <c r="N4683" s="18" t="str">
        <f t="shared" si="4"/>
        <v>VALID</v>
      </c>
    </row>
    <row r="4684" ht="15.75" customHeight="1">
      <c r="A4684" s="13" t="str">
        <f>Raw_Data!A4684</f>
        <v>EMP4934</v>
      </c>
      <c r="B4684" s="13" t="str">
        <f>TRIM(CLEAN(Raw_Data!B4684))</f>
        <v>Operations</v>
      </c>
      <c r="C4684" s="18" t="s">
        <v>30</v>
      </c>
      <c r="D4684" s="14" t="str">
        <f>IF(ISBLANK(Raw_Data!D4684),AVERAGE(Raw_Data!D$2:D$5002),Raw_Data!D4684)</f>
        <v>61815.12</v>
      </c>
      <c r="E4684" s="15" t="str">
        <f>IF(ISBLANK(Raw_Data!E4684),AVERAGE(Raw_Data!E$2:E$5002),Raw_Data!E4684)</f>
        <v>32555.93</v>
      </c>
      <c r="F4684" s="15" t="str">
        <f>IF(ISBLANK(Raw_Data!F4684),AVERAGE(Raw_Data!F$2:F$5002),Raw_Data!F4684)</f>
        <v>38064.39</v>
      </c>
      <c r="G4684" s="14" t="str">
        <f>IF(ISBLANK(Raw_Data!G4684),AVERAGE(Raw_Data!G$2:G$5002),Raw_Data!G4684)</f>
        <v>20668.96</v>
      </c>
      <c r="H4684" s="15" t="str">
        <f t="shared" si="1"/>
        <v>132435.00</v>
      </c>
      <c r="I4684" s="14" t="str">
        <f t="shared" si="2"/>
        <v>111766.00</v>
      </c>
      <c r="J4684" s="16" t="str">
        <f>TEXT(Raw_Data!J4684,"MMM-YYY")</f>
        <v>Nov-2025</v>
      </c>
      <c r="K4684" s="13" t="str">
        <f>Raw_Data!K4684</f>
        <v>18</v>
      </c>
      <c r="L4684" s="17" t="str">
        <f>Raw_Data!L4684</f>
        <v>Kolkata-East</v>
      </c>
      <c r="M4684" s="13" t="str">
        <f t="shared" si="3"/>
        <v>OK</v>
      </c>
      <c r="N4684" s="18" t="str">
        <f t="shared" si="4"/>
        <v>VALID</v>
      </c>
    </row>
    <row r="4685" ht="15.75" customHeight="1">
      <c r="A4685" s="13" t="str">
        <f>Raw_Data!A4685</f>
        <v>EMP4935</v>
      </c>
      <c r="B4685" s="13" t="str">
        <f>TRIM(CLEAN(Raw_Data!B4685))</f>
        <v>Operations</v>
      </c>
      <c r="C4685" s="18" t="s">
        <v>30</v>
      </c>
      <c r="D4685" s="14" t="str">
        <f>IF(ISBLANK(Raw_Data!D4685),AVERAGE(Raw_Data!D$2:D$5002),Raw_Data!D4685)</f>
        <v>61826.00</v>
      </c>
      <c r="E4685" s="15" t="str">
        <f>IF(ISBLANK(Raw_Data!E4685),AVERAGE(Raw_Data!E$2:E$5002),Raw_Data!E4685)</f>
        <v>32559.30</v>
      </c>
      <c r="F4685" s="15" t="str">
        <f>IF(ISBLANK(Raw_Data!F4685),AVERAGE(Raw_Data!F$2:F$5002),Raw_Data!F4685)</f>
        <v>38072.07</v>
      </c>
      <c r="G4685" s="14" t="str">
        <f>IF(ISBLANK(Raw_Data!G4685),AVERAGE(Raw_Data!G$2:G$5002),Raw_Data!G4685)</f>
        <v>20671.46</v>
      </c>
      <c r="H4685" s="15" t="str">
        <f t="shared" si="1"/>
        <v>132457.00</v>
      </c>
      <c r="I4685" s="14" t="str">
        <f t="shared" si="2"/>
        <v>111786.00</v>
      </c>
      <c r="J4685" s="16" t="str">
        <f>TEXT(Raw_Data!J4685,"MMM-YYY")</f>
        <v>Jan-2025</v>
      </c>
      <c r="K4685" s="13" t="str">
        <f>Raw_Data!K4685</f>
        <v>8</v>
      </c>
      <c r="L4685" s="17" t="str">
        <f>Raw_Data!L4685</f>
        <v>Pune-West</v>
      </c>
      <c r="M4685" s="13" t="str">
        <f t="shared" si="3"/>
        <v>OK</v>
      </c>
      <c r="N4685" s="18" t="str">
        <f t="shared" si="4"/>
        <v>VALID</v>
      </c>
    </row>
    <row r="4686" ht="15.75" customHeight="1">
      <c r="A4686" s="13" t="str">
        <f>Raw_Data!A4686</f>
        <v>EMP4936</v>
      </c>
      <c r="B4686" s="13" t="str">
        <f>TRIM(CLEAN(Raw_Data!B4686))</f>
        <v>IT</v>
      </c>
      <c r="C4686" s="18" t="s">
        <v>18</v>
      </c>
      <c r="D4686" s="14" t="str">
        <f>IF(ISBLANK(Raw_Data!D4686),AVERAGE(Raw_Data!D$2:D$5002),Raw_Data!D4686)</f>
        <v>61836.89</v>
      </c>
      <c r="E4686" s="15" t="str">
        <f>IF(ISBLANK(Raw_Data!E4686),AVERAGE(Raw_Data!E$2:E$5002),Raw_Data!E4686)</f>
        <v>32562.66</v>
      </c>
      <c r="F4686" s="15" t="str">
        <f>IF(ISBLANK(Raw_Data!F4686),AVERAGE(Raw_Data!F$2:F$5002),Raw_Data!F4686)</f>
        <v>38079.75</v>
      </c>
      <c r="G4686" s="14" t="str">
        <f>IF(ISBLANK(Raw_Data!G4686),AVERAGE(Raw_Data!G$2:G$5002),Raw_Data!G4686)</f>
        <v>20673.97</v>
      </c>
      <c r="H4686" s="15" t="str">
        <f t="shared" si="1"/>
        <v>132479.00</v>
      </c>
      <c r="I4686" s="14" t="str">
        <f t="shared" si="2"/>
        <v>111805.00</v>
      </c>
      <c r="J4686" s="16" t="str">
        <f>TEXT(Raw_Data!J4686,"MMM-YYY")</f>
        <v>Aug-2025</v>
      </c>
      <c r="K4686" s="13" t="str">
        <f>Raw_Data!K4686</f>
        <v>23</v>
      </c>
      <c r="L4686" s="17" t="str">
        <f>Raw_Data!L4686</f>
        <v>Hyderabad-South</v>
      </c>
      <c r="M4686" s="13" t="str">
        <f t="shared" si="3"/>
        <v>OK</v>
      </c>
      <c r="N4686" s="18" t="str">
        <f t="shared" si="4"/>
        <v>VALID</v>
      </c>
    </row>
    <row r="4687" ht="15.75" customHeight="1">
      <c r="A4687" s="13" t="str">
        <f>Raw_Data!A4687</f>
        <v>EMP4937</v>
      </c>
      <c r="B4687" s="13" t="str">
        <f>TRIM(CLEAN(Raw_Data!B4687))</f>
        <v>HR</v>
      </c>
      <c r="C4687" s="18" t="s">
        <v>30</v>
      </c>
      <c r="D4687" s="14" t="str">
        <f>IF(ISBLANK(Raw_Data!D4687),AVERAGE(Raw_Data!D$2:D$5002),Raw_Data!D4687)</f>
        <v>61847.77</v>
      </c>
      <c r="E4687" s="15" t="str">
        <f>IF(ISBLANK(Raw_Data!E4687),AVERAGE(Raw_Data!E$2:E$5002),Raw_Data!E4687)</f>
        <v>32566.03</v>
      </c>
      <c r="F4687" s="15" t="str">
        <f>IF(ISBLANK(Raw_Data!F4687),AVERAGE(Raw_Data!F$2:F$5002),Raw_Data!F4687)</f>
        <v>38087.43</v>
      </c>
      <c r="G4687" s="14" t="str">
        <f>IF(ISBLANK(Raw_Data!G4687),AVERAGE(Raw_Data!G$2:G$5002),Raw_Data!G4687)</f>
        <v>20676.48</v>
      </c>
      <c r="H4687" s="15" t="str">
        <f t="shared" si="1"/>
        <v>132501.00</v>
      </c>
      <c r="I4687" s="14" t="str">
        <f t="shared" si="2"/>
        <v>111825.00</v>
      </c>
      <c r="J4687" s="16" t="str">
        <f>TEXT(Raw_Data!J4687,"MMM-YYY")</f>
        <v>Sep-2025</v>
      </c>
      <c r="K4687" s="13" t="str">
        <f>Raw_Data!K4687</f>
        <v>7</v>
      </c>
      <c r="L4687" s="17" t="str">
        <f>Raw_Data!L4687</f>
        <v>Chandigarh-North</v>
      </c>
      <c r="M4687" s="13" t="str">
        <f t="shared" si="3"/>
        <v>OK</v>
      </c>
      <c r="N4687" s="18" t="str">
        <f t="shared" si="4"/>
        <v>VALID</v>
      </c>
    </row>
    <row r="4688" ht="15.75" customHeight="1">
      <c r="A4688" s="13" t="str">
        <f>Raw_Data!A4688</f>
        <v>EMP4938</v>
      </c>
      <c r="B4688" s="13" t="str">
        <f>TRIM(CLEAN(Raw_Data!B4688))</f>
        <v>Marketing</v>
      </c>
      <c r="C4688" s="18" t="s">
        <v>26</v>
      </c>
      <c r="D4688" s="14" t="str">
        <f>IF(ISBLANK(Raw_Data!D4688),AVERAGE(Raw_Data!D$2:D$5002),Raw_Data!D4688)</f>
        <v>61858.65</v>
      </c>
      <c r="E4688" s="15" t="str">
        <f>IF(ISBLANK(Raw_Data!E4688),AVERAGE(Raw_Data!E$2:E$5002),Raw_Data!E4688)</f>
        <v>32569.40</v>
      </c>
      <c r="F4688" s="15" t="str">
        <f>IF(ISBLANK(Raw_Data!F4688),AVERAGE(Raw_Data!F$2:F$5002),Raw_Data!F4688)</f>
        <v>38095.11</v>
      </c>
      <c r="G4688" s="14" t="str">
        <f>IF(ISBLANK(Raw_Data!G4688),AVERAGE(Raw_Data!G$2:G$5002),Raw_Data!G4688)</f>
        <v>20678.98</v>
      </c>
      <c r="H4688" s="15" t="str">
        <f t="shared" si="1"/>
        <v>132523.00</v>
      </c>
      <c r="I4688" s="14" t="str">
        <f t="shared" si="2"/>
        <v>111844.00</v>
      </c>
      <c r="J4688" s="16" t="str">
        <f>TEXT(Raw_Data!J4688,"MMM-YYY")</f>
        <v>May-2025</v>
      </c>
      <c r="K4688" s="13" t="str">
        <f>Raw_Data!K4688</f>
        <v>10</v>
      </c>
      <c r="L4688" s="17" t="str">
        <f>Raw_Data!L4688</f>
        <v>Ahmedabad-West</v>
      </c>
      <c r="M4688" s="13" t="str">
        <f t="shared" si="3"/>
        <v>OK</v>
      </c>
      <c r="N4688" s="18" t="str">
        <f t="shared" si="4"/>
        <v>VALID</v>
      </c>
    </row>
    <row r="4689" ht="15.75" customHeight="1">
      <c r="A4689" s="13" t="str">
        <f>Raw_Data!A4689</f>
        <v>EMP4939</v>
      </c>
      <c r="B4689" s="13" t="str">
        <f>TRIM(CLEAN(Raw_Data!B4689))</f>
        <v>Operations</v>
      </c>
      <c r="C4689" s="18" t="s">
        <v>14</v>
      </c>
      <c r="D4689" s="14" t="str">
        <f>IF(ISBLANK(Raw_Data!D4689),AVERAGE(Raw_Data!D$2:D$5002),Raw_Data!D4689)</f>
        <v>61869.53</v>
      </c>
      <c r="E4689" s="15" t="str">
        <f>IF(ISBLANK(Raw_Data!E4689),AVERAGE(Raw_Data!E$2:E$5002),Raw_Data!E4689)</f>
        <v>32572.77</v>
      </c>
      <c r="F4689" s="15" t="str">
        <f>IF(ISBLANK(Raw_Data!F4689),AVERAGE(Raw_Data!F$2:F$5002),Raw_Data!F4689)</f>
        <v>38102.79</v>
      </c>
      <c r="G4689" s="14" t="str">
        <f>IF(ISBLANK(Raw_Data!G4689),AVERAGE(Raw_Data!G$2:G$5002),Raw_Data!G4689)</f>
        <v>20681.49</v>
      </c>
      <c r="H4689" s="15" t="str">
        <f t="shared" si="1"/>
        <v>132545.00</v>
      </c>
      <c r="I4689" s="14" t="str">
        <f t="shared" si="2"/>
        <v>111864.00</v>
      </c>
      <c r="J4689" s="16" t="str">
        <f>TEXT(Raw_Data!J4689,"MMM-YYY")</f>
        <v>Dec-2025</v>
      </c>
      <c r="K4689" s="13" t="str">
        <f>Raw_Data!K4689</f>
        <v>5</v>
      </c>
      <c r="L4689" s="17" t="str">
        <f>Raw_Data!L4689</f>
        <v>Jaipur-North</v>
      </c>
      <c r="M4689" s="13" t="str">
        <f t="shared" si="3"/>
        <v>OK</v>
      </c>
      <c r="N4689" s="18" t="str">
        <f t="shared" si="4"/>
        <v>VALID</v>
      </c>
    </row>
    <row r="4690" ht="15.75" customHeight="1">
      <c r="A4690" s="13" t="str">
        <f>Raw_Data!A4690</f>
        <v>EMP4940</v>
      </c>
      <c r="B4690" s="13" t="str">
        <f>TRIM(CLEAN(Raw_Data!B4690))</f>
        <v>Customer Support</v>
      </c>
      <c r="C4690" s="18" t="s">
        <v>37</v>
      </c>
      <c r="D4690" s="14" t="str">
        <f>IF(ISBLANK(Raw_Data!D4690),AVERAGE(Raw_Data!D$2:D$5002),Raw_Data!D4690)</f>
        <v>61880.42</v>
      </c>
      <c r="E4690" s="15" t="str">
        <f>IF(ISBLANK(Raw_Data!E4690),AVERAGE(Raw_Data!E$2:E$5002),Raw_Data!E4690)</f>
        <v>32576.14</v>
      </c>
      <c r="F4690" s="15" t="str">
        <f>IF(ISBLANK(Raw_Data!F4690),AVERAGE(Raw_Data!F$2:F$5002),Raw_Data!F4690)</f>
        <v>38110.47</v>
      </c>
      <c r="G4690" s="14" t="str">
        <f>IF(ISBLANK(Raw_Data!G4690),AVERAGE(Raw_Data!G$2:G$5002),Raw_Data!G4690)</f>
        <v>20684.00</v>
      </c>
      <c r="H4690" s="15" t="str">
        <f t="shared" si="1"/>
        <v>132567.00</v>
      </c>
      <c r="I4690" s="14" t="str">
        <f t="shared" si="2"/>
        <v>111883.00</v>
      </c>
      <c r="J4690" s="16" t="str">
        <f>TEXT(Raw_Data!J4690,"MMM-YYY")</f>
        <v>Jul-2025</v>
      </c>
      <c r="K4690" s="13" t="str">
        <f>Raw_Data!K4690</f>
        <v>15</v>
      </c>
      <c r="L4690" s="17" t="str">
        <f>Raw_Data!L4690</f>
        <v>Mumbai-HO</v>
      </c>
      <c r="M4690" s="13" t="str">
        <f t="shared" si="3"/>
        <v>OK</v>
      </c>
      <c r="N4690" s="18" t="str">
        <f t="shared" si="4"/>
        <v>VALID</v>
      </c>
    </row>
    <row r="4691" ht="15.75" customHeight="1">
      <c r="A4691" s="13" t="str">
        <f>Raw_Data!A4691</f>
        <v>EMP4941</v>
      </c>
      <c r="B4691" s="13" t="str">
        <f>TRIM(CLEAN(Raw_Data!B4691))</f>
        <v>Finance</v>
      </c>
      <c r="C4691" s="18" t="s">
        <v>54</v>
      </c>
      <c r="D4691" s="14" t="str">
        <f>IF(ISBLANK(Raw_Data!D4691),AVERAGE(Raw_Data!D$2:D$5002),Raw_Data!D4691)</f>
        <v>61891.30</v>
      </c>
      <c r="E4691" s="15" t="str">
        <f>IF(ISBLANK(Raw_Data!E4691),AVERAGE(Raw_Data!E$2:E$5002),Raw_Data!E4691)</f>
        <v>32579.50</v>
      </c>
      <c r="F4691" s="15" t="str">
        <f>IF(ISBLANK(Raw_Data!F4691),AVERAGE(Raw_Data!F$2:F$5002),Raw_Data!F4691)</f>
        <v>38118.15</v>
      </c>
      <c r="G4691" s="14" t="str">
        <f>IF(ISBLANK(Raw_Data!G4691),AVERAGE(Raw_Data!G$2:G$5002),Raw_Data!G4691)</f>
        <v>20686.50</v>
      </c>
      <c r="H4691" s="15" t="str">
        <f t="shared" si="1"/>
        <v>132589.00</v>
      </c>
      <c r="I4691" s="14" t="str">
        <f t="shared" si="2"/>
        <v>111902.00</v>
      </c>
      <c r="J4691" s="16" t="str">
        <f>TEXT(Raw_Data!J4691,"MMM-YYY")</f>
        <v>Sep-2025</v>
      </c>
      <c r="K4691" s="13" t="str">
        <f>Raw_Data!K4691</f>
        <v>13</v>
      </c>
      <c r="L4691" s="17" t="str">
        <f>Raw_Data!L4691</f>
        <v>Delhi-North</v>
      </c>
      <c r="M4691" s="13" t="str">
        <f t="shared" si="3"/>
        <v>OK</v>
      </c>
      <c r="N4691" s="18" t="str">
        <f t="shared" si="4"/>
        <v>VALID</v>
      </c>
    </row>
    <row r="4692" ht="15.75" customHeight="1">
      <c r="A4692" s="13" t="str">
        <f>Raw_Data!A4692</f>
        <v>EMP4942</v>
      </c>
      <c r="B4692" s="13" t="str">
        <f>TRIM(CLEAN(Raw_Data!B4692))</f>
        <v>HR</v>
      </c>
      <c r="C4692" s="18" t="s">
        <v>30</v>
      </c>
      <c r="D4692" s="14" t="str">
        <f>IF(ISBLANK(Raw_Data!D4692),AVERAGE(Raw_Data!D$2:D$5002),Raw_Data!D4692)</f>
        <v>61902.18</v>
      </c>
      <c r="E4692" s="15" t="str">
        <f>IF(ISBLANK(Raw_Data!E4692),AVERAGE(Raw_Data!E$2:E$5002),Raw_Data!E4692)</f>
        <v>32582.87</v>
      </c>
      <c r="F4692" s="15" t="str">
        <f>IF(ISBLANK(Raw_Data!F4692),AVERAGE(Raw_Data!F$2:F$5002),Raw_Data!F4692)</f>
        <v>38125.83</v>
      </c>
      <c r="G4692" s="14" t="str">
        <f>IF(ISBLANK(Raw_Data!G4692),AVERAGE(Raw_Data!G$2:G$5002),Raw_Data!G4692)</f>
        <v>20689.01</v>
      </c>
      <c r="H4692" s="15" t="str">
        <f t="shared" si="1"/>
        <v>132611.00</v>
      </c>
      <c r="I4692" s="14" t="str">
        <f t="shared" si="2"/>
        <v>111922.00</v>
      </c>
      <c r="J4692" s="16" t="str">
        <f>TEXT(Raw_Data!J4692,"MMM-YYY")</f>
        <v>Apr-2025</v>
      </c>
      <c r="K4692" s="13" t="str">
        <f>Raw_Data!K4692</f>
        <v>16</v>
      </c>
      <c r="L4692" s="17" t="str">
        <f>Raw_Data!L4692</f>
        <v>Bangalore-South</v>
      </c>
      <c r="M4692" s="13" t="str">
        <f t="shared" si="3"/>
        <v>OK</v>
      </c>
      <c r="N4692" s="18" t="str">
        <f t="shared" si="4"/>
        <v>VALID</v>
      </c>
    </row>
    <row r="4693" ht="15.75" customHeight="1">
      <c r="A4693" s="13" t="str">
        <f>Raw_Data!A4693</f>
        <v>EMP4943</v>
      </c>
      <c r="B4693" s="13" t="str">
        <f>TRIM(CLEAN(Raw_Data!B4693))</f>
        <v>HR</v>
      </c>
      <c r="C4693" s="18" t="s">
        <v>54</v>
      </c>
      <c r="D4693" s="14" t="str">
        <f>IF(ISBLANK(Raw_Data!D4693),AVERAGE(Raw_Data!D$2:D$5002),Raw_Data!D4693)</f>
        <v>61913.07</v>
      </c>
      <c r="E4693" s="15" t="str">
        <f>IF(ISBLANK(Raw_Data!E4693),AVERAGE(Raw_Data!E$2:E$5002),Raw_Data!E4693)</f>
        <v>32586.24</v>
      </c>
      <c r="F4693" s="15" t="str">
        <f>IF(ISBLANK(Raw_Data!F4693),AVERAGE(Raw_Data!F$2:F$5002),Raw_Data!F4693)</f>
        <v>38133.51</v>
      </c>
      <c r="G4693" s="14" t="str">
        <f>IF(ISBLANK(Raw_Data!G4693),AVERAGE(Raw_Data!G$2:G$5002),Raw_Data!G4693)</f>
        <v>20691.51</v>
      </c>
      <c r="H4693" s="15" t="str">
        <f t="shared" si="1"/>
        <v>132633.00</v>
      </c>
      <c r="I4693" s="14" t="str">
        <f t="shared" si="2"/>
        <v>111941.00</v>
      </c>
      <c r="J4693" s="16" t="str">
        <f>TEXT(Raw_Data!J4693,"MMM-YYY")</f>
        <v>Nov-2025</v>
      </c>
      <c r="K4693" s="13" t="str">
        <f>Raw_Data!K4693</f>
        <v>15</v>
      </c>
      <c r="L4693" s="17" t="str">
        <f>Raw_Data!L4693</f>
        <v>Chennai-South</v>
      </c>
      <c r="M4693" s="13" t="str">
        <f t="shared" si="3"/>
        <v>OK</v>
      </c>
      <c r="N4693" s="18" t="str">
        <f t="shared" si="4"/>
        <v>VALID</v>
      </c>
    </row>
    <row r="4694" ht="15.75" customHeight="1">
      <c r="A4694" s="13" t="str">
        <f>Raw_Data!A4694</f>
        <v>EMP4944</v>
      </c>
      <c r="B4694" s="13" t="str">
        <f>TRIM(CLEAN(Raw_Data!B4694))</f>
        <v>HR</v>
      </c>
      <c r="C4694" s="18" t="s">
        <v>14</v>
      </c>
      <c r="D4694" s="14" t="str">
        <f>IF(ISBLANK(Raw_Data!D4694),AVERAGE(Raw_Data!D$2:D$5002),Raw_Data!D4694)</f>
        <v>61923.95</v>
      </c>
      <c r="E4694" s="15" t="str">
        <f>IF(ISBLANK(Raw_Data!E4694),AVERAGE(Raw_Data!E$2:E$5002),Raw_Data!E4694)</f>
        <v>32589.61</v>
      </c>
      <c r="F4694" s="15" t="str">
        <f>IF(ISBLANK(Raw_Data!F4694),AVERAGE(Raw_Data!F$2:F$5002),Raw_Data!F4694)</f>
        <v>38141.19</v>
      </c>
      <c r="G4694" s="14" t="str">
        <f>IF(ISBLANK(Raw_Data!G4694),AVERAGE(Raw_Data!G$2:G$5002),Raw_Data!G4694)</f>
        <v>20694.02</v>
      </c>
      <c r="H4694" s="15" t="str">
        <f t="shared" si="1"/>
        <v>132655.00</v>
      </c>
      <c r="I4694" s="14" t="str">
        <f t="shared" si="2"/>
        <v>111961.00</v>
      </c>
      <c r="J4694" s="16" t="str">
        <f>TEXT(Raw_Data!J4694,"MMM-YYY")</f>
        <v>Dec-2025</v>
      </c>
      <c r="K4694" s="13" t="str">
        <f>Raw_Data!K4694</f>
        <v>12</v>
      </c>
      <c r="L4694" s="17" t="str">
        <f>Raw_Data!L4694</f>
        <v>Kolkata-East</v>
      </c>
      <c r="M4694" s="13" t="str">
        <f t="shared" si="3"/>
        <v>OK</v>
      </c>
      <c r="N4694" s="18" t="str">
        <f t="shared" si="4"/>
        <v>VALID</v>
      </c>
    </row>
    <row r="4695" ht="15.75" customHeight="1">
      <c r="A4695" s="13" t="str">
        <f>Raw_Data!A4695</f>
        <v>EMP4945</v>
      </c>
      <c r="B4695" s="13" t="str">
        <f>TRIM(CLEAN(Raw_Data!B4695))</f>
        <v>HR</v>
      </c>
      <c r="C4695" s="18" t="s">
        <v>26</v>
      </c>
      <c r="D4695" s="14" t="str">
        <f>IF(ISBLANK(Raw_Data!D4695),AVERAGE(Raw_Data!D$2:D$5002),Raw_Data!D4695)</f>
        <v>61934.83</v>
      </c>
      <c r="E4695" s="15" t="str">
        <f>IF(ISBLANK(Raw_Data!E4695),AVERAGE(Raw_Data!E$2:E$5002),Raw_Data!E4695)</f>
        <v>32592.97</v>
      </c>
      <c r="F4695" s="15" t="str">
        <f>IF(ISBLANK(Raw_Data!F4695),AVERAGE(Raw_Data!F$2:F$5002),Raw_Data!F4695)</f>
        <v>38148.87</v>
      </c>
      <c r="G4695" s="14" t="str">
        <f>IF(ISBLANK(Raw_Data!G4695),AVERAGE(Raw_Data!G$2:G$5002),Raw_Data!G4695)</f>
        <v>20696.53</v>
      </c>
      <c r="H4695" s="15" t="str">
        <f t="shared" si="1"/>
        <v>132677.00</v>
      </c>
      <c r="I4695" s="14" t="str">
        <f t="shared" si="2"/>
        <v>111980.00</v>
      </c>
      <c r="J4695" s="16" t="str">
        <f>TEXT(Raw_Data!J4695,"MMM-YYY")</f>
        <v>Dec-2025</v>
      </c>
      <c r="K4695" s="13" t="str">
        <f>Raw_Data!K4695</f>
        <v>10</v>
      </c>
      <c r="L4695" s="17" t="str">
        <f>Raw_Data!L4695</f>
        <v>Pune-West</v>
      </c>
      <c r="M4695" s="13" t="str">
        <f t="shared" si="3"/>
        <v>OK</v>
      </c>
      <c r="N4695" s="18" t="str">
        <f t="shared" si="4"/>
        <v>VALID</v>
      </c>
    </row>
    <row r="4696" ht="15.75" customHeight="1">
      <c r="A4696" s="13" t="str">
        <f>Raw_Data!A4696</f>
        <v>EMP4947</v>
      </c>
      <c r="B4696" s="13" t="str">
        <f>TRIM(CLEAN(Raw_Data!B4696))</f>
        <v>Customer Support</v>
      </c>
      <c r="C4696" s="18" t="s">
        <v>33</v>
      </c>
      <c r="D4696" s="14" t="str">
        <f>IF(ISBLANK(Raw_Data!D4696),AVERAGE(Raw_Data!D$2:D$5002),Raw_Data!D4696)</f>
        <v>61956.60</v>
      </c>
      <c r="E4696" s="15" t="str">
        <f>IF(ISBLANK(Raw_Data!E4696),AVERAGE(Raw_Data!E$2:E$5002),Raw_Data!E4696)</f>
        <v>32599.71</v>
      </c>
      <c r="F4696" s="15" t="str">
        <f>IF(ISBLANK(Raw_Data!F4696),AVERAGE(Raw_Data!F$2:F$5002),Raw_Data!F4696)</f>
        <v>38164.23</v>
      </c>
      <c r="G4696" s="14" t="str">
        <f>IF(ISBLANK(Raw_Data!G4696),AVERAGE(Raw_Data!G$2:G$5002),Raw_Data!G4696)</f>
        <v>20701.54</v>
      </c>
      <c r="H4696" s="15" t="str">
        <f t="shared" si="1"/>
        <v>132721.00</v>
      </c>
      <c r="I4696" s="14" t="str">
        <f t="shared" si="2"/>
        <v>112019.00</v>
      </c>
      <c r="J4696" s="16" t="str">
        <f>TEXT(Raw_Data!J4696,"MMM-YYY")</f>
        <v>Jan-2025</v>
      </c>
      <c r="K4696" s="13" t="str">
        <f>Raw_Data!K4696</f>
        <v>3</v>
      </c>
      <c r="L4696" s="17" t="str">
        <f>Raw_Data!L4696</f>
        <v>Chandigarh-North</v>
      </c>
      <c r="M4696" s="13" t="str">
        <f t="shared" si="3"/>
        <v>OK</v>
      </c>
      <c r="N4696" s="18" t="str">
        <f t="shared" si="4"/>
        <v>VALID</v>
      </c>
    </row>
    <row r="4697" ht="15.75" customHeight="1">
      <c r="A4697" s="13" t="str">
        <f>Raw_Data!A4697</f>
        <v>EMP4948</v>
      </c>
      <c r="B4697" s="13" t="str">
        <f>TRIM(CLEAN(Raw_Data!B4697))</f>
        <v>IT</v>
      </c>
      <c r="C4697" s="18" t="s">
        <v>54</v>
      </c>
      <c r="D4697" s="14" t="str">
        <f>IF(ISBLANK(Raw_Data!D4697),AVERAGE(Raw_Data!D$2:D$5002),Raw_Data!D4697)</f>
        <v>61967.48</v>
      </c>
      <c r="E4697" s="15" t="str">
        <f>IF(ISBLANK(Raw_Data!E4697),AVERAGE(Raw_Data!E$2:E$5002),Raw_Data!E4697)</f>
        <v>32603.08</v>
      </c>
      <c r="F4697" s="15" t="str">
        <f>IF(ISBLANK(Raw_Data!F4697),AVERAGE(Raw_Data!F$2:F$5002),Raw_Data!F4697)</f>
        <v>38171.91</v>
      </c>
      <c r="G4697" s="14" t="str">
        <f>IF(ISBLANK(Raw_Data!G4697),AVERAGE(Raw_Data!G$2:G$5002),Raw_Data!G4697)</f>
        <v>20704.04</v>
      </c>
      <c r="H4697" s="15" t="str">
        <f t="shared" si="1"/>
        <v>132742.00</v>
      </c>
      <c r="I4697" s="14" t="str">
        <f t="shared" si="2"/>
        <v>112038.00</v>
      </c>
      <c r="J4697" s="16" t="str">
        <f>TEXT(Raw_Data!J4697,"MMM-YYY")</f>
        <v>Dec-2025</v>
      </c>
      <c r="K4697" s="13" t="str">
        <f>Raw_Data!K4697</f>
        <v>3</v>
      </c>
      <c r="L4697" s="17" t="str">
        <f>Raw_Data!L4697</f>
        <v>Ahmedabad-West</v>
      </c>
      <c r="M4697" s="13" t="str">
        <f t="shared" si="3"/>
        <v>OK</v>
      </c>
      <c r="N4697" s="18" t="str">
        <f t="shared" si="4"/>
        <v>VALID</v>
      </c>
    </row>
    <row r="4698" ht="15.75" customHeight="1">
      <c r="A4698" s="13" t="str">
        <f>Raw_Data!A4698</f>
        <v>EMP4949</v>
      </c>
      <c r="B4698" s="13" t="str">
        <f>TRIM(CLEAN(Raw_Data!B4698))</f>
        <v>HR</v>
      </c>
      <c r="C4698" s="18" t="s">
        <v>14</v>
      </c>
      <c r="D4698" s="14" t="str">
        <f>IF(ISBLANK(Raw_Data!D4698),AVERAGE(Raw_Data!D$2:D$5002),Raw_Data!D4698)</f>
        <v>61978.36</v>
      </c>
      <c r="E4698" s="15" t="str">
        <f>IF(ISBLANK(Raw_Data!E4698),AVERAGE(Raw_Data!E$2:E$5002),Raw_Data!E4698)</f>
        <v>32606.44</v>
      </c>
      <c r="F4698" s="15" t="str">
        <f>IF(ISBLANK(Raw_Data!F4698),AVERAGE(Raw_Data!F$2:F$5002),Raw_Data!F4698)</f>
        <v>38179.59</v>
      </c>
      <c r="G4698" s="14" t="str">
        <f>IF(ISBLANK(Raw_Data!G4698),AVERAGE(Raw_Data!G$2:G$5002),Raw_Data!G4698)</f>
        <v>20706.55</v>
      </c>
      <c r="H4698" s="15" t="str">
        <f t="shared" si="1"/>
        <v>132764.00</v>
      </c>
      <c r="I4698" s="14" t="str">
        <f t="shared" si="2"/>
        <v>112057.00</v>
      </c>
      <c r="J4698" s="16" t="str">
        <f>TEXT(Raw_Data!J4698,"MMM-YYY")</f>
        <v>Nov-2025</v>
      </c>
      <c r="K4698" s="13" t="str">
        <f>Raw_Data!K4698</f>
        <v>8</v>
      </c>
      <c r="L4698" s="17" t="str">
        <f>Raw_Data!L4698</f>
        <v>Jaipur-North</v>
      </c>
      <c r="M4698" s="13" t="str">
        <f t="shared" si="3"/>
        <v>OK</v>
      </c>
      <c r="N4698" s="18" t="str">
        <f t="shared" si="4"/>
        <v>VALID</v>
      </c>
    </row>
    <row r="4699" ht="15.75" customHeight="1">
      <c r="A4699" s="13" t="str">
        <f>Raw_Data!A4699</f>
        <v>EMP4950</v>
      </c>
      <c r="B4699" s="13" t="str">
        <f>TRIM(CLEAN(Raw_Data!B4699))</f>
        <v>Sales</v>
      </c>
      <c r="C4699" s="18" t="s">
        <v>33</v>
      </c>
      <c r="D4699" s="14" t="str">
        <f>IF(ISBLANK(Raw_Data!D4699),AVERAGE(Raw_Data!D$2:D$5002),Raw_Data!D4699)</f>
        <v>61989.25</v>
      </c>
      <c r="E4699" s="15" t="str">
        <f>IF(ISBLANK(Raw_Data!E4699),AVERAGE(Raw_Data!E$2:E$5002),Raw_Data!E4699)</f>
        <v>32609.81</v>
      </c>
      <c r="F4699" s="15" t="str">
        <f>IF(ISBLANK(Raw_Data!F4699),AVERAGE(Raw_Data!F$2:F$5002),Raw_Data!F4699)</f>
        <v>38187.27</v>
      </c>
      <c r="G4699" s="14" t="str">
        <f>IF(ISBLANK(Raw_Data!G4699),AVERAGE(Raw_Data!G$2:G$5002),Raw_Data!G4699)</f>
        <v>20709.06</v>
      </c>
      <c r="H4699" s="15" t="str">
        <f t="shared" si="1"/>
        <v>132786.00</v>
      </c>
      <c r="I4699" s="14" t="str">
        <f t="shared" si="2"/>
        <v>112077.00</v>
      </c>
      <c r="J4699" s="16" t="str">
        <f>TEXT(Raw_Data!J4699,"MMM-YYY")</f>
        <v>Sep-2025</v>
      </c>
      <c r="K4699" s="13" t="str">
        <f>Raw_Data!K4699</f>
        <v>11</v>
      </c>
      <c r="L4699" s="17" t="str">
        <f>Raw_Data!L4699</f>
        <v>Mumbai-HO</v>
      </c>
      <c r="M4699" s="13" t="str">
        <f t="shared" si="3"/>
        <v>OK</v>
      </c>
      <c r="N4699" s="18" t="str">
        <f t="shared" si="4"/>
        <v>VALID</v>
      </c>
    </row>
    <row r="4700" ht="15.75" customHeight="1">
      <c r="A4700" s="13" t="str">
        <f>Raw_Data!A4700</f>
        <v>EMP4951</v>
      </c>
      <c r="B4700" s="13" t="str">
        <f>TRIM(CLEAN(Raw_Data!B4700))</f>
        <v>HR</v>
      </c>
      <c r="C4700" s="18" t="s">
        <v>37</v>
      </c>
      <c r="D4700" s="14" t="str">
        <f>IF(ISBLANK(Raw_Data!D4700),AVERAGE(Raw_Data!D$2:D$5002),Raw_Data!D4700)</f>
        <v>62000.13</v>
      </c>
      <c r="E4700" s="15" t="str">
        <f>IF(ISBLANK(Raw_Data!E4700),AVERAGE(Raw_Data!E$2:E$5002),Raw_Data!E4700)</f>
        <v>32613.18</v>
      </c>
      <c r="F4700" s="15" t="str">
        <f>IF(ISBLANK(Raw_Data!F4700),AVERAGE(Raw_Data!F$2:F$5002),Raw_Data!F4700)</f>
        <v>38194.95</v>
      </c>
      <c r="G4700" s="14" t="str">
        <f>IF(ISBLANK(Raw_Data!G4700),AVERAGE(Raw_Data!G$2:G$5002),Raw_Data!G4700)</f>
        <v>20711.56</v>
      </c>
      <c r="H4700" s="15" t="str">
        <f t="shared" si="1"/>
        <v>132808.00</v>
      </c>
      <c r="I4700" s="14" t="str">
        <f t="shared" si="2"/>
        <v>112096.00</v>
      </c>
      <c r="J4700" s="16" t="str">
        <f>TEXT(Raw_Data!J4700,"MMM-YYY")</f>
        <v>May-2025</v>
      </c>
      <c r="K4700" s="13" t="str">
        <f>Raw_Data!K4700</f>
        <v>18</v>
      </c>
      <c r="L4700" s="17" t="str">
        <f>Raw_Data!L4700</f>
        <v>Delhi-North</v>
      </c>
      <c r="M4700" s="13" t="str">
        <f t="shared" si="3"/>
        <v>OK</v>
      </c>
      <c r="N4700" s="18" t="str">
        <f t="shared" si="4"/>
        <v>VALID</v>
      </c>
    </row>
    <row r="4701" ht="15.75" customHeight="1">
      <c r="A4701" s="13" t="str">
        <f>Raw_Data!A4701</f>
        <v>EMP4952</v>
      </c>
      <c r="B4701" s="13" t="str">
        <f>TRIM(CLEAN(Raw_Data!B4701))</f>
        <v>Operations</v>
      </c>
      <c r="C4701" s="18" t="s">
        <v>18</v>
      </c>
      <c r="D4701" s="14" t="str">
        <f>IF(ISBLANK(Raw_Data!D4701),AVERAGE(Raw_Data!D$2:D$5002),Raw_Data!D4701)</f>
        <v>62011.01</v>
      </c>
      <c r="E4701" s="15" t="str">
        <f>IF(ISBLANK(Raw_Data!E4701),AVERAGE(Raw_Data!E$2:E$5002),Raw_Data!E4701)</f>
        <v>32616.55</v>
      </c>
      <c r="F4701" s="15" t="str">
        <f>IF(ISBLANK(Raw_Data!F4701),AVERAGE(Raw_Data!F$2:F$5002),Raw_Data!F4701)</f>
        <v>38202.63</v>
      </c>
      <c r="G4701" s="14" t="str">
        <f>IF(ISBLANK(Raw_Data!G4701),AVERAGE(Raw_Data!G$2:G$5002),Raw_Data!G4701)</f>
        <v>20714.07</v>
      </c>
      <c r="H4701" s="15" t="str">
        <f t="shared" si="1"/>
        <v>132830.00</v>
      </c>
      <c r="I4701" s="14" t="str">
        <f t="shared" si="2"/>
        <v>112116.00</v>
      </c>
      <c r="J4701" s="16" t="str">
        <f>TEXT(Raw_Data!J4701,"MMM-YYY")</f>
        <v>Mar-2025</v>
      </c>
      <c r="K4701" s="13" t="str">
        <f>Raw_Data!K4701</f>
        <v>6</v>
      </c>
      <c r="L4701" s="17" t="str">
        <f>Raw_Data!L4701</f>
        <v>Bangalore-South</v>
      </c>
      <c r="M4701" s="13" t="str">
        <f t="shared" si="3"/>
        <v>OK</v>
      </c>
      <c r="N4701" s="18" t="str">
        <f t="shared" si="4"/>
        <v>VALID</v>
      </c>
    </row>
    <row r="4702" ht="15.75" customHeight="1">
      <c r="A4702" s="13" t="str">
        <f>Raw_Data!A4702</f>
        <v>EMP4953</v>
      </c>
      <c r="B4702" s="13" t="str">
        <f>TRIM(CLEAN(Raw_Data!B4702))</f>
        <v>Customer Support</v>
      </c>
      <c r="C4702" s="18" t="s">
        <v>30</v>
      </c>
      <c r="D4702" s="14" t="str">
        <f>IF(ISBLANK(Raw_Data!D4702),AVERAGE(Raw_Data!D$2:D$5002),Raw_Data!D4702)</f>
        <v>62021.90</v>
      </c>
      <c r="E4702" s="15" t="str">
        <f>IF(ISBLANK(Raw_Data!E4702),AVERAGE(Raw_Data!E$2:E$5002),Raw_Data!E4702)</f>
        <v>32619.91</v>
      </c>
      <c r="F4702" s="15" t="str">
        <f>IF(ISBLANK(Raw_Data!F4702),AVERAGE(Raw_Data!F$2:F$5002),Raw_Data!F4702)</f>
        <v>38210.31</v>
      </c>
      <c r="G4702" s="14" t="str">
        <f>IF(ISBLANK(Raw_Data!G4702),AVERAGE(Raw_Data!G$2:G$5002),Raw_Data!G4702)</f>
        <v>20716.58</v>
      </c>
      <c r="H4702" s="15" t="str">
        <f t="shared" si="1"/>
        <v>132852.00</v>
      </c>
      <c r="I4702" s="14" t="str">
        <f t="shared" si="2"/>
        <v>112135.00</v>
      </c>
      <c r="J4702" s="16" t="str">
        <f>TEXT(Raw_Data!J4702,"MMM-YYY")</f>
        <v>May-2025</v>
      </c>
      <c r="K4702" s="13" t="str">
        <f>Raw_Data!K4702</f>
        <v>8</v>
      </c>
      <c r="L4702" s="17" t="str">
        <f>Raw_Data!L4702</f>
        <v>Chennai-South</v>
      </c>
      <c r="M4702" s="13" t="str">
        <f t="shared" si="3"/>
        <v>OK</v>
      </c>
      <c r="N4702" s="18" t="str">
        <f t="shared" si="4"/>
        <v>VALID</v>
      </c>
    </row>
    <row r="4703" ht="15.75" customHeight="1">
      <c r="A4703" s="13" t="str">
        <f>Raw_Data!A4703</f>
        <v>EMP4954</v>
      </c>
      <c r="B4703" s="13" t="str">
        <f>TRIM(CLEAN(Raw_Data!B4703))</f>
        <v>Finance</v>
      </c>
      <c r="C4703" s="18" t="s">
        <v>33</v>
      </c>
      <c r="D4703" s="14" t="str">
        <f>IF(ISBLANK(Raw_Data!D4703),AVERAGE(Raw_Data!D$2:D$5002),Raw_Data!D4703)</f>
        <v>71831.17</v>
      </c>
      <c r="E4703" s="15" t="str">
        <f>IF(ISBLANK(Raw_Data!E4703),AVERAGE(Raw_Data!E$2:E$5002),Raw_Data!E4703)</f>
        <v>32623.28</v>
      </c>
      <c r="F4703" s="15" t="str">
        <f>IF(ISBLANK(Raw_Data!F4703),AVERAGE(Raw_Data!F$2:F$5002),Raw_Data!F4703)</f>
        <v>38217.99</v>
      </c>
      <c r="G4703" s="14" t="str">
        <f>IF(ISBLANK(Raw_Data!G4703),AVERAGE(Raw_Data!G$2:G$5002),Raw_Data!G4703)</f>
        <v>20719.08</v>
      </c>
      <c r="H4703" s="15" t="str">
        <f t="shared" si="1"/>
        <v>142672.00</v>
      </c>
      <c r="I4703" s="14" t="str">
        <f t="shared" si="2"/>
        <v>121953.00</v>
      </c>
      <c r="J4703" s="16" t="str">
        <f>TEXT(Raw_Data!J4703,"MMM-YYY")</f>
        <v>Jul-2025</v>
      </c>
      <c r="K4703" s="13" t="str">
        <f>Raw_Data!K4703</f>
        <v>17</v>
      </c>
      <c r="L4703" s="17" t="str">
        <f>Raw_Data!L4703</f>
        <v>Kolkata-East</v>
      </c>
      <c r="M4703" s="13" t="str">
        <f t="shared" si="3"/>
        <v>OK</v>
      </c>
      <c r="N4703" s="18" t="str">
        <f t="shared" si="4"/>
        <v>VALID</v>
      </c>
    </row>
    <row r="4704" ht="15.75" customHeight="1">
      <c r="A4704" s="13" t="str">
        <f>Raw_Data!A4704</f>
        <v>EMP4955</v>
      </c>
      <c r="B4704" s="13" t="str">
        <f>TRIM(CLEAN(Raw_Data!B4704))</f>
        <v>Customer Support</v>
      </c>
      <c r="C4704" s="18" t="s">
        <v>37</v>
      </c>
      <c r="D4704" s="14" t="str">
        <f>IF(ISBLANK(Raw_Data!D4704),AVERAGE(Raw_Data!D$2:D$5002),Raw_Data!D4704)</f>
        <v>62043.66</v>
      </c>
      <c r="E4704" s="15" t="str">
        <f>IF(ISBLANK(Raw_Data!E4704),AVERAGE(Raw_Data!E$2:E$5002),Raw_Data!E4704)</f>
        <v>32626.65</v>
      </c>
      <c r="F4704" s="15" t="str">
        <f>IF(ISBLANK(Raw_Data!F4704),AVERAGE(Raw_Data!F$2:F$5002),Raw_Data!F4704)</f>
        <v>38225.67</v>
      </c>
      <c r="G4704" s="14" t="str">
        <f>IF(ISBLANK(Raw_Data!G4704),AVERAGE(Raw_Data!G$2:G$5002),Raw_Data!G4704)</f>
        <v>20721.59</v>
      </c>
      <c r="H4704" s="15" t="str">
        <f t="shared" si="1"/>
        <v>132896.00</v>
      </c>
      <c r="I4704" s="14" t="str">
        <f t="shared" si="2"/>
        <v>112174.00</v>
      </c>
      <c r="J4704" s="16" t="str">
        <f>TEXT(Raw_Data!J4704,"MMM-YYY")</f>
        <v>Feb-2025</v>
      </c>
      <c r="K4704" s="13" t="str">
        <f>Raw_Data!K4704</f>
        <v>15</v>
      </c>
      <c r="L4704" s="17" t="str">
        <f>Raw_Data!L4704</f>
        <v>Pune-West</v>
      </c>
      <c r="M4704" s="13" t="str">
        <f t="shared" si="3"/>
        <v>OK</v>
      </c>
      <c r="N4704" s="18" t="str">
        <f t="shared" si="4"/>
        <v>VALID</v>
      </c>
    </row>
    <row r="4705" ht="15.75" customHeight="1">
      <c r="A4705" s="13" t="str">
        <f>Raw_Data!A4705</f>
        <v>EMP4957</v>
      </c>
      <c r="B4705" s="13" t="str">
        <f>TRIM(CLEAN(Raw_Data!B4705))</f>
        <v>Customer Support</v>
      </c>
      <c r="C4705" s="18" t="s">
        <v>14</v>
      </c>
      <c r="D4705" s="14" t="str">
        <f>IF(ISBLANK(Raw_Data!D4705),AVERAGE(Raw_Data!D$2:D$5002),Raw_Data!D4705)</f>
        <v>62065.43</v>
      </c>
      <c r="E4705" s="15" t="str">
        <f>IF(ISBLANK(Raw_Data!E4705),AVERAGE(Raw_Data!E$2:E$5002),Raw_Data!E4705)</f>
        <v>32633.38</v>
      </c>
      <c r="F4705" s="15" t="str">
        <f>IF(ISBLANK(Raw_Data!F4705),AVERAGE(Raw_Data!F$2:F$5002),Raw_Data!F4705)</f>
        <v>38241.03</v>
      </c>
      <c r="G4705" s="14" t="str">
        <f>IF(ISBLANK(Raw_Data!G4705),AVERAGE(Raw_Data!G$2:G$5002),Raw_Data!G4705)</f>
        <v>20726.60</v>
      </c>
      <c r="H4705" s="15" t="str">
        <f t="shared" si="1"/>
        <v>132940.00</v>
      </c>
      <c r="I4705" s="14" t="str">
        <f t="shared" si="2"/>
        <v>112213.00</v>
      </c>
      <c r="J4705" s="16" t="str">
        <f>TEXT(Raw_Data!J4705,"MMM-YYY")</f>
        <v>Aug-2025</v>
      </c>
      <c r="K4705" s="13" t="str">
        <f>Raw_Data!K4705</f>
        <v>1</v>
      </c>
      <c r="L4705" s="17" t="str">
        <f>Raw_Data!L4705</f>
        <v>Chandigarh-North</v>
      </c>
      <c r="M4705" s="13" t="str">
        <f t="shared" si="3"/>
        <v>OK</v>
      </c>
      <c r="N4705" s="18" t="str">
        <f t="shared" si="4"/>
        <v>VALID</v>
      </c>
    </row>
    <row r="4706" ht="15.75" customHeight="1">
      <c r="A4706" s="13" t="str">
        <f>Raw_Data!A4706</f>
        <v>EMP4958</v>
      </c>
      <c r="B4706" s="13" t="str">
        <f>TRIM(CLEAN(Raw_Data!B4706))</f>
        <v>Customer Support</v>
      </c>
      <c r="C4706" s="18" t="s">
        <v>37</v>
      </c>
      <c r="D4706" s="14" t="str">
        <f>IF(ISBLANK(Raw_Data!D4706),AVERAGE(Raw_Data!D$2:D$5002),Raw_Data!D4706)</f>
        <v>62076.31</v>
      </c>
      <c r="E4706" s="15" t="str">
        <f>IF(ISBLANK(Raw_Data!E4706),AVERAGE(Raw_Data!E$2:E$5002),Raw_Data!E4706)</f>
        <v>32636.75</v>
      </c>
      <c r="F4706" s="15" t="str">
        <f>IF(ISBLANK(Raw_Data!F4706),AVERAGE(Raw_Data!F$2:F$5002),Raw_Data!F4706)</f>
        <v>38248.71</v>
      </c>
      <c r="G4706" s="14" t="str">
        <f>IF(ISBLANK(Raw_Data!G4706),AVERAGE(Raw_Data!G$2:G$5002),Raw_Data!G4706)</f>
        <v>20729.11</v>
      </c>
      <c r="H4706" s="15" t="str">
        <f t="shared" si="1"/>
        <v>132962.00</v>
      </c>
      <c r="I4706" s="14" t="str">
        <f t="shared" si="2"/>
        <v>112233.00</v>
      </c>
      <c r="J4706" s="16" t="str">
        <f>TEXT(Raw_Data!J4706,"MMM-YYY")</f>
        <v>Feb-2025</v>
      </c>
      <c r="K4706" s="13" t="str">
        <f>Raw_Data!K4706</f>
        <v>16</v>
      </c>
      <c r="L4706" s="17" t="str">
        <f>Raw_Data!L4706</f>
        <v>Ahmedabad-West</v>
      </c>
      <c r="M4706" s="13" t="str">
        <f t="shared" si="3"/>
        <v>OK</v>
      </c>
      <c r="N4706" s="18" t="str">
        <f t="shared" si="4"/>
        <v>VALID</v>
      </c>
    </row>
    <row r="4707" ht="15.75" customHeight="1">
      <c r="A4707" s="13" t="str">
        <f>Raw_Data!A4707</f>
        <v>EMP4959</v>
      </c>
      <c r="B4707" s="13" t="str">
        <f>TRIM(CLEAN(Raw_Data!B4707))</f>
        <v>Finance</v>
      </c>
      <c r="C4707" s="18" t="s">
        <v>37</v>
      </c>
      <c r="D4707" s="14" t="str">
        <f>IF(ISBLANK(Raw_Data!D4707),AVERAGE(Raw_Data!D$2:D$5002),Raw_Data!D4707)</f>
        <v>62087.19</v>
      </c>
      <c r="E4707" s="15" t="str">
        <f>IF(ISBLANK(Raw_Data!E4707),AVERAGE(Raw_Data!E$2:E$5002),Raw_Data!E4707)</f>
        <v>32640.12</v>
      </c>
      <c r="F4707" s="15" t="str">
        <f>IF(ISBLANK(Raw_Data!F4707),AVERAGE(Raw_Data!F$2:F$5002),Raw_Data!F4707)</f>
        <v>382.00</v>
      </c>
      <c r="G4707" s="14" t="str">
        <f>IF(ISBLANK(Raw_Data!G4707),AVERAGE(Raw_Data!G$2:G$5002),Raw_Data!G4707)</f>
        <v>20731.61</v>
      </c>
      <c r="H4707" s="15" t="str">
        <f t="shared" si="1"/>
        <v>95109.00</v>
      </c>
      <c r="I4707" s="14" t="str">
        <f t="shared" si="2"/>
        <v>74377.00</v>
      </c>
      <c r="J4707" s="16" t="str">
        <f>TEXT(Raw_Data!J4707,"MMM-YYY")</f>
        <v>Oct-2025</v>
      </c>
      <c r="K4707" s="13" t="str">
        <f>Raw_Data!K4707</f>
        <v>16</v>
      </c>
      <c r="L4707" s="17" t="str">
        <f>Raw_Data!L4707</f>
        <v>Jaipur-North</v>
      </c>
      <c r="M4707" s="13" t="str">
        <f t="shared" si="3"/>
        <v>OK</v>
      </c>
      <c r="N4707" s="18" t="str">
        <f t="shared" si="4"/>
        <v>VALID</v>
      </c>
    </row>
    <row r="4708" ht="15.75" customHeight="1">
      <c r="A4708" s="13" t="str">
        <f>Raw_Data!A4708</f>
        <v>EMP4960</v>
      </c>
      <c r="B4708" s="13" t="str">
        <f>TRIM(CLEAN(Raw_Data!B4708))</f>
        <v>Marketing</v>
      </c>
      <c r="C4708" s="18" t="s">
        <v>18</v>
      </c>
      <c r="D4708" s="14" t="str">
        <f>IF(ISBLANK(Raw_Data!D4708),AVERAGE(Raw_Data!D$2:D$5002),Raw_Data!D4708)</f>
        <v>62098.08</v>
      </c>
      <c r="E4708" s="15" t="str">
        <f>IF(ISBLANK(Raw_Data!E4708),AVERAGE(Raw_Data!E$2:E$5002),Raw_Data!E4708)</f>
        <v>32643.49</v>
      </c>
      <c r="F4708" s="15" t="str">
        <f>IF(ISBLANK(Raw_Data!F4708),AVERAGE(Raw_Data!F$2:F$5002),Raw_Data!F4708)</f>
        <v>38264.07</v>
      </c>
      <c r="G4708" s="14" t="str">
        <f>IF(ISBLANK(Raw_Data!G4708),AVERAGE(Raw_Data!G$2:G$5002),Raw_Data!G4708)</f>
        <v>20734.12</v>
      </c>
      <c r="H4708" s="15" t="str">
        <f t="shared" si="1"/>
        <v>133006.00</v>
      </c>
      <c r="I4708" s="14" t="str">
        <f t="shared" si="2"/>
        <v>112272.00</v>
      </c>
      <c r="J4708" s="16" t="str">
        <f>TEXT(Raw_Data!J4708,"MMM-YYY")</f>
        <v>Sep-2025</v>
      </c>
      <c r="K4708" s="13" t="str">
        <f>Raw_Data!K4708</f>
        <v>2</v>
      </c>
      <c r="L4708" s="17" t="str">
        <f>Raw_Data!L4708</f>
        <v>Mumbai-HO</v>
      </c>
      <c r="M4708" s="13" t="str">
        <f t="shared" si="3"/>
        <v>OK</v>
      </c>
      <c r="N4708" s="18" t="str">
        <f t="shared" si="4"/>
        <v>VALID</v>
      </c>
    </row>
    <row r="4709" ht="15.75" customHeight="1">
      <c r="A4709" s="13" t="str">
        <f>Raw_Data!A4709</f>
        <v>EMP4961</v>
      </c>
      <c r="B4709" s="13" t="str">
        <f>TRIM(CLEAN(Raw_Data!B4709))</f>
        <v>Operations</v>
      </c>
      <c r="C4709" s="18" t="s">
        <v>30</v>
      </c>
      <c r="D4709" s="14" t="str">
        <f>IF(ISBLANK(Raw_Data!D4709),AVERAGE(Raw_Data!D$2:D$5002),Raw_Data!D4709)</f>
        <v>62108.96</v>
      </c>
      <c r="E4709" s="15" t="str">
        <f>IF(ISBLANK(Raw_Data!E4709),AVERAGE(Raw_Data!E$2:E$5002),Raw_Data!E4709)</f>
        <v>32646.86</v>
      </c>
      <c r="F4709" s="15" t="str">
        <f>IF(ISBLANK(Raw_Data!F4709),AVERAGE(Raw_Data!F$2:F$5002),Raw_Data!F4709)</f>
        <v>38271.75</v>
      </c>
      <c r="G4709" s="14" t="str">
        <f>IF(ISBLANK(Raw_Data!G4709),AVERAGE(Raw_Data!G$2:G$5002),Raw_Data!G4709)</f>
        <v>20736.62</v>
      </c>
      <c r="H4709" s="15" t="str">
        <f t="shared" si="1"/>
        <v>133028.00</v>
      </c>
      <c r="I4709" s="14" t="str">
        <f t="shared" si="2"/>
        <v>112291.00</v>
      </c>
      <c r="J4709" s="16" t="str">
        <f>TEXT(Raw_Data!J4709,"MMM-YYY")</f>
        <v>Apr-2025</v>
      </c>
      <c r="K4709" s="13" t="str">
        <f>Raw_Data!K4709</f>
        <v>9</v>
      </c>
      <c r="L4709" s="17" t="str">
        <f>Raw_Data!L4709</f>
        <v>Delhi-North</v>
      </c>
      <c r="M4709" s="13" t="str">
        <f t="shared" si="3"/>
        <v>OK</v>
      </c>
      <c r="N4709" s="18" t="str">
        <f t="shared" si="4"/>
        <v>VALID</v>
      </c>
    </row>
    <row r="4710" ht="15.75" customHeight="1">
      <c r="A4710" s="13" t="str">
        <f>Raw_Data!A4710</f>
        <v>EMP4962</v>
      </c>
      <c r="B4710" s="13" t="str">
        <f>TRIM(CLEAN(Raw_Data!B4710))</f>
        <v>Finance</v>
      </c>
      <c r="C4710" s="18" t="s">
        <v>37</v>
      </c>
      <c r="D4710" s="14" t="str">
        <f>IF(ISBLANK(Raw_Data!D4710),AVERAGE(Raw_Data!D$2:D$5002),Raw_Data!D4710)</f>
        <v>62119.84</v>
      </c>
      <c r="E4710" s="15" t="str">
        <f>IF(ISBLANK(Raw_Data!E4710),AVERAGE(Raw_Data!E$2:E$5002),Raw_Data!E4710)</f>
        <v>32650.22</v>
      </c>
      <c r="F4710" s="15" t="str">
        <f>IF(ISBLANK(Raw_Data!F4710),AVERAGE(Raw_Data!F$2:F$5002),Raw_Data!F4710)</f>
        <v>38279.43</v>
      </c>
      <c r="G4710" s="14" t="str">
        <f>IF(ISBLANK(Raw_Data!G4710),AVERAGE(Raw_Data!G$2:G$5002),Raw_Data!G4710)</f>
        <v>20739.13</v>
      </c>
      <c r="H4710" s="15" t="str">
        <f t="shared" si="1"/>
        <v>133049.00</v>
      </c>
      <c r="I4710" s="14" t="str">
        <f t="shared" si="2"/>
        <v>112310.00</v>
      </c>
      <c r="J4710" s="16" t="str">
        <f>TEXT(Raw_Data!J4710,"MMM-YYY")</f>
        <v>Feb-2025</v>
      </c>
      <c r="K4710" s="13" t="str">
        <f>Raw_Data!K4710</f>
        <v>14</v>
      </c>
      <c r="L4710" s="17" t="str">
        <f>Raw_Data!L4710</f>
        <v>Bangalore-South</v>
      </c>
      <c r="M4710" s="13" t="str">
        <f t="shared" si="3"/>
        <v>OK</v>
      </c>
      <c r="N4710" s="18" t="str">
        <f t="shared" si="4"/>
        <v>VALID</v>
      </c>
    </row>
    <row r="4711" ht="15.75" customHeight="1">
      <c r="A4711" s="13" t="str">
        <f>Raw_Data!A4711</f>
        <v>EMP4963</v>
      </c>
      <c r="B4711" s="13" t="str">
        <f>TRIM(CLEAN(Raw_Data!B4711))</f>
        <v>Sales</v>
      </c>
      <c r="C4711" s="18" t="s">
        <v>14</v>
      </c>
      <c r="D4711" s="14" t="str">
        <f>IF(ISBLANK(Raw_Data!D4711),AVERAGE(Raw_Data!D$2:D$5002),Raw_Data!D4711)</f>
        <v>62130.73</v>
      </c>
      <c r="E4711" s="15" t="str">
        <f>IF(ISBLANK(Raw_Data!E4711),AVERAGE(Raw_Data!E$2:E$5002),Raw_Data!E4711)</f>
        <v>32653.59</v>
      </c>
      <c r="F4711" s="15" t="str">
        <f>IF(ISBLANK(Raw_Data!F4711),AVERAGE(Raw_Data!F$2:F$5002),Raw_Data!F4711)</f>
        <v>382.00</v>
      </c>
      <c r="G4711" s="14" t="str">
        <f>IF(ISBLANK(Raw_Data!G4711),AVERAGE(Raw_Data!G$2:G$5002),Raw_Data!G4711)</f>
        <v>20741.64</v>
      </c>
      <c r="H4711" s="15" t="str">
        <f t="shared" si="1"/>
        <v>95166.00</v>
      </c>
      <c r="I4711" s="14" t="str">
        <f t="shared" si="2"/>
        <v>74424.00</v>
      </c>
      <c r="J4711" s="16" t="str">
        <f>TEXT(Raw_Data!J4711,"MMM-YYY")</f>
        <v>Nov-2025</v>
      </c>
      <c r="K4711" s="13" t="str">
        <f>Raw_Data!K4711</f>
        <v>15</v>
      </c>
      <c r="L4711" s="17" t="str">
        <f>Raw_Data!L4711</f>
        <v>Chennai-South</v>
      </c>
      <c r="M4711" s="13" t="str">
        <f t="shared" si="3"/>
        <v>OK</v>
      </c>
      <c r="N4711" s="18" t="str">
        <f t="shared" si="4"/>
        <v>VALID</v>
      </c>
    </row>
    <row r="4712" ht="15.75" customHeight="1">
      <c r="A4712" s="13" t="str">
        <f>Raw_Data!A4712</f>
        <v>EMP4964</v>
      </c>
      <c r="B4712" s="13" t="str">
        <f>TRIM(CLEAN(Raw_Data!B4712))</f>
        <v>IT</v>
      </c>
      <c r="C4712" s="18" t="s">
        <v>37</v>
      </c>
      <c r="D4712" s="14" t="str">
        <f>IF(ISBLANK(Raw_Data!D4712),AVERAGE(Raw_Data!D$2:D$5002),Raw_Data!D4712)</f>
        <v>62141.61</v>
      </c>
      <c r="E4712" s="15" t="str">
        <f>IF(ISBLANK(Raw_Data!E4712),AVERAGE(Raw_Data!E$2:E$5002),Raw_Data!E4712)</f>
        <v>32656.96</v>
      </c>
      <c r="F4712" s="15" t="str">
        <f>IF(ISBLANK(Raw_Data!F4712),AVERAGE(Raw_Data!F$2:F$5002),Raw_Data!F4712)</f>
        <v>38294.79</v>
      </c>
      <c r="G4712" s="14" t="str">
        <f>IF(ISBLANK(Raw_Data!G4712),AVERAGE(Raw_Data!G$2:G$5002),Raw_Data!G4712)</f>
        <v>20744.14</v>
      </c>
      <c r="H4712" s="15" t="str">
        <f t="shared" si="1"/>
        <v>133093.00</v>
      </c>
      <c r="I4712" s="14" t="str">
        <f t="shared" si="2"/>
        <v>112349.00</v>
      </c>
      <c r="J4712" s="16" t="str">
        <f>TEXT(Raw_Data!J4712,"MMM-YYY")</f>
        <v>Dec-2025</v>
      </c>
      <c r="K4712" s="13" t="str">
        <f>Raw_Data!K4712</f>
        <v>7</v>
      </c>
      <c r="L4712" s="17" t="str">
        <f>Raw_Data!L4712</f>
        <v>Kolkata-East</v>
      </c>
      <c r="M4712" s="13" t="str">
        <f t="shared" si="3"/>
        <v>OK</v>
      </c>
      <c r="N4712" s="18" t="str">
        <f t="shared" si="4"/>
        <v>VALID</v>
      </c>
    </row>
    <row r="4713" ht="15.75" customHeight="1">
      <c r="A4713" s="13" t="str">
        <f>Raw_Data!A4713</f>
        <v>EMP4965</v>
      </c>
      <c r="B4713" s="13" t="str">
        <f>TRIM(CLEAN(Raw_Data!B4713))</f>
        <v>Operations</v>
      </c>
      <c r="C4713" s="18" t="s">
        <v>37</v>
      </c>
      <c r="D4713" s="14" t="str">
        <f>IF(ISBLANK(Raw_Data!D4713),AVERAGE(Raw_Data!D$2:D$5002),Raw_Data!D4713)</f>
        <v>62152.49</v>
      </c>
      <c r="E4713" s="15" t="str">
        <f>IF(ISBLANK(Raw_Data!E4713),AVERAGE(Raw_Data!E$2:E$5002),Raw_Data!E4713)</f>
        <v>32660.33</v>
      </c>
      <c r="F4713" s="15" t="str">
        <f>IF(ISBLANK(Raw_Data!F4713),AVERAGE(Raw_Data!F$2:F$5002),Raw_Data!F4713)</f>
        <v>38302.47</v>
      </c>
      <c r="G4713" s="14" t="str">
        <f>IF(ISBLANK(Raw_Data!G4713),AVERAGE(Raw_Data!G$2:G$5002),Raw_Data!G4713)</f>
        <v>20746.65</v>
      </c>
      <c r="H4713" s="15" t="str">
        <f t="shared" si="1"/>
        <v>133115.00</v>
      </c>
      <c r="I4713" s="14" t="str">
        <f t="shared" si="2"/>
        <v>112368.00</v>
      </c>
      <c r="J4713" s="16" t="str">
        <f>TEXT(Raw_Data!J4713,"MMM-YYY")</f>
        <v>Jul-2025</v>
      </c>
      <c r="K4713" s="13" t="str">
        <f>Raw_Data!K4713</f>
        <v>24</v>
      </c>
      <c r="L4713" s="17" t="str">
        <f>Raw_Data!L4713</f>
        <v>Pune-West</v>
      </c>
      <c r="M4713" s="13" t="str">
        <f t="shared" si="3"/>
        <v>OK</v>
      </c>
      <c r="N4713" s="18" t="str">
        <f t="shared" si="4"/>
        <v>VALID</v>
      </c>
    </row>
    <row r="4714" ht="15.75" customHeight="1">
      <c r="A4714" s="13" t="str">
        <f>Raw_Data!A4714</f>
        <v>EMP4967</v>
      </c>
      <c r="B4714" s="13" t="str">
        <f>TRIM(CLEAN(Raw_Data!B4714))</f>
        <v>IT</v>
      </c>
      <c r="C4714" s="18" t="s">
        <v>30</v>
      </c>
      <c r="D4714" s="14" t="str">
        <f>IF(ISBLANK(Raw_Data!D4714),AVERAGE(Raw_Data!D$2:D$5002),Raw_Data!D4714)</f>
        <v>62174.26</v>
      </c>
      <c r="E4714" s="15" t="str">
        <f>IF(ISBLANK(Raw_Data!E4714),AVERAGE(Raw_Data!E$2:E$5002),Raw_Data!E4714)</f>
        <v>32667.06</v>
      </c>
      <c r="F4714" s="15" t="str">
        <f>IF(ISBLANK(Raw_Data!F4714),AVERAGE(Raw_Data!F$2:F$5002),Raw_Data!F4714)</f>
        <v>38317.83</v>
      </c>
      <c r="G4714" s="14" t="str">
        <f>IF(ISBLANK(Raw_Data!G4714),AVERAGE(Raw_Data!G$2:G$5002),Raw_Data!G4714)</f>
        <v>20751.66</v>
      </c>
      <c r="H4714" s="15" t="str">
        <f t="shared" si="1"/>
        <v>133159.00</v>
      </c>
      <c r="I4714" s="14" t="str">
        <f t="shared" si="2"/>
        <v>112407.00</v>
      </c>
      <c r="J4714" s="16" t="str">
        <f>TEXT(Raw_Data!J4714,"MMM-YYY")</f>
        <v>Aug-2025</v>
      </c>
      <c r="K4714" s="13" t="str">
        <f>Raw_Data!K4714</f>
        <v>7</v>
      </c>
      <c r="L4714" s="17" t="str">
        <f>Raw_Data!L4714</f>
        <v>Chandigarh-North</v>
      </c>
      <c r="M4714" s="13" t="str">
        <f t="shared" si="3"/>
        <v>OK</v>
      </c>
      <c r="N4714" s="18" t="str">
        <f t="shared" si="4"/>
        <v>VALID</v>
      </c>
    </row>
    <row r="4715" ht="15.75" customHeight="1">
      <c r="A4715" s="13" t="str">
        <f>Raw_Data!A4715</f>
        <v>EMP4968</v>
      </c>
      <c r="B4715" s="13" t="str">
        <f>TRIM(CLEAN(Raw_Data!B4715))</f>
        <v>Sales</v>
      </c>
      <c r="C4715" s="18" t="s">
        <v>14</v>
      </c>
      <c r="D4715" s="14" t="str">
        <f>IF(ISBLANK(Raw_Data!D4715),AVERAGE(Raw_Data!D$2:D$5002),Raw_Data!D4715)</f>
        <v>62185.14</v>
      </c>
      <c r="E4715" s="15" t="str">
        <f>IF(ISBLANK(Raw_Data!E4715),AVERAGE(Raw_Data!E$2:E$5002),Raw_Data!E4715)</f>
        <v>32670.43</v>
      </c>
      <c r="F4715" s="15" t="str">
        <f>IF(ISBLANK(Raw_Data!F4715),AVERAGE(Raw_Data!F$2:F$5002),Raw_Data!F4715)</f>
        <v>38325.51</v>
      </c>
      <c r="G4715" s="14" t="str">
        <f>IF(ISBLANK(Raw_Data!G4715),AVERAGE(Raw_Data!G$2:G$5002),Raw_Data!G4715)</f>
        <v>20754.17</v>
      </c>
      <c r="H4715" s="15" t="str">
        <f t="shared" si="1"/>
        <v>133181.00</v>
      </c>
      <c r="I4715" s="14" t="str">
        <f t="shared" si="2"/>
        <v>112427.00</v>
      </c>
      <c r="J4715" s="16" t="str">
        <f>TEXT(Raw_Data!J4715,"MMM-YYY")</f>
        <v>Nov-2025</v>
      </c>
      <c r="K4715" s="13" t="str">
        <f>Raw_Data!K4715</f>
        <v>16</v>
      </c>
      <c r="L4715" s="17" t="str">
        <f>Raw_Data!L4715</f>
        <v>Ahmedabad-West</v>
      </c>
      <c r="M4715" s="13" t="str">
        <f t="shared" si="3"/>
        <v>OK</v>
      </c>
      <c r="N4715" s="18" t="str">
        <f t="shared" si="4"/>
        <v>VALID</v>
      </c>
    </row>
    <row r="4716" ht="15.75" customHeight="1">
      <c r="A4716" s="13" t="str">
        <f>Raw_Data!A4716</f>
        <v>EMP4969</v>
      </c>
      <c r="B4716" s="13" t="str">
        <f>TRIM(CLEAN(Raw_Data!B4716))</f>
        <v>HR</v>
      </c>
      <c r="C4716" s="18" t="s">
        <v>54</v>
      </c>
      <c r="D4716" s="14" t="str">
        <f>IF(ISBLANK(Raw_Data!D4716),AVERAGE(Raw_Data!D$2:D$5002),Raw_Data!D4716)</f>
        <v>62196.02</v>
      </c>
      <c r="E4716" s="15" t="str">
        <f>IF(ISBLANK(Raw_Data!E4716),AVERAGE(Raw_Data!E$2:E$5002),Raw_Data!E4716)</f>
        <v>32673.80</v>
      </c>
      <c r="F4716" s="15" t="str">
        <f>IF(ISBLANK(Raw_Data!F4716),AVERAGE(Raw_Data!F$2:F$5002),Raw_Data!F4716)</f>
        <v>38333.19</v>
      </c>
      <c r="G4716" s="14" t="str">
        <f>IF(ISBLANK(Raw_Data!G4716),AVERAGE(Raw_Data!G$2:G$5002),Raw_Data!G4716)</f>
        <v>20756.67</v>
      </c>
      <c r="H4716" s="15" t="str">
        <f t="shared" si="1"/>
        <v>133203.00</v>
      </c>
      <c r="I4716" s="14" t="str">
        <f t="shared" si="2"/>
        <v>112446.00</v>
      </c>
      <c r="J4716" s="16" t="str">
        <f>TEXT(Raw_Data!J4716,"MMM-YYY")</f>
        <v>Apr-2025</v>
      </c>
      <c r="K4716" s="13" t="str">
        <f>Raw_Data!K4716</f>
        <v>22</v>
      </c>
      <c r="L4716" s="17" t="str">
        <f>Raw_Data!L4716</f>
        <v>Jaipur-North</v>
      </c>
      <c r="M4716" s="13" t="str">
        <f t="shared" si="3"/>
        <v>OK</v>
      </c>
      <c r="N4716" s="18" t="str">
        <f t="shared" si="4"/>
        <v>VALID</v>
      </c>
    </row>
    <row r="4717" ht="15.75" customHeight="1">
      <c r="A4717" s="13" t="str">
        <f>Raw_Data!A4717</f>
        <v>EMP4970</v>
      </c>
      <c r="B4717" s="13" t="str">
        <f>TRIM(CLEAN(Raw_Data!B4717))</f>
        <v>Operations</v>
      </c>
      <c r="C4717" s="18" t="s">
        <v>33</v>
      </c>
      <c r="D4717" s="14" t="str">
        <f>IF(ISBLANK(Raw_Data!D4717),AVERAGE(Raw_Data!D$2:D$5002),Raw_Data!D4717)</f>
        <v>62206.91</v>
      </c>
      <c r="E4717" s="15" t="str">
        <f>IF(ISBLANK(Raw_Data!E4717),AVERAGE(Raw_Data!E$2:E$5002),Raw_Data!E4717)</f>
        <v>32677.16</v>
      </c>
      <c r="F4717" s="15" t="str">
        <f>IF(ISBLANK(Raw_Data!F4717),AVERAGE(Raw_Data!F$2:F$5002),Raw_Data!F4717)</f>
        <v>3834.00</v>
      </c>
      <c r="G4717" s="14" t="str">
        <f>IF(ISBLANK(Raw_Data!G4717),AVERAGE(Raw_Data!G$2:G$5002),Raw_Data!G4717)</f>
        <v>20759.18</v>
      </c>
      <c r="H4717" s="15" t="str">
        <f t="shared" si="1"/>
        <v>98718.00</v>
      </c>
      <c r="I4717" s="14" t="str">
        <f t="shared" si="2"/>
        <v>77959.00</v>
      </c>
      <c r="J4717" s="16" t="str">
        <f>TEXT(Raw_Data!J4717,"MMM-YYY")</f>
        <v>Nov-2025</v>
      </c>
      <c r="K4717" s="13" t="str">
        <f>Raw_Data!K4717</f>
        <v>19</v>
      </c>
      <c r="L4717" s="17" t="str">
        <f>Raw_Data!L4717</f>
        <v>Mumbai-HO</v>
      </c>
      <c r="M4717" s="13" t="str">
        <f t="shared" si="3"/>
        <v>OK</v>
      </c>
      <c r="N4717" s="18" t="str">
        <f t="shared" si="4"/>
        <v>VALID</v>
      </c>
    </row>
    <row r="4718" ht="15.75" customHeight="1">
      <c r="A4718" s="13" t="str">
        <f>Raw_Data!A4718</f>
        <v>EMP4971</v>
      </c>
      <c r="B4718" s="13" t="str">
        <f>TRIM(CLEAN(Raw_Data!B4718))</f>
        <v>Finance</v>
      </c>
      <c r="C4718" s="18" t="s">
        <v>26</v>
      </c>
      <c r="D4718" s="14" t="str">
        <f>IF(ISBLANK(Raw_Data!D4718),AVERAGE(Raw_Data!D$2:D$5002),Raw_Data!D4718)</f>
        <v>62217.79</v>
      </c>
      <c r="E4718" s="15" t="str">
        <f>IF(ISBLANK(Raw_Data!E4718),AVERAGE(Raw_Data!E$2:E$5002),Raw_Data!E4718)</f>
        <v>32680.53</v>
      </c>
      <c r="F4718" s="15" t="str">
        <f>IF(ISBLANK(Raw_Data!F4718),AVERAGE(Raw_Data!F$2:F$5002),Raw_Data!F4718)</f>
        <v>38348.55</v>
      </c>
      <c r="G4718" s="14" t="str">
        <f>IF(ISBLANK(Raw_Data!G4718),AVERAGE(Raw_Data!G$2:G$5002),Raw_Data!G4718)</f>
        <v>20761.69</v>
      </c>
      <c r="H4718" s="15" t="str">
        <f t="shared" si="1"/>
        <v>133247.00</v>
      </c>
      <c r="I4718" s="14" t="str">
        <f t="shared" si="2"/>
        <v>112485.00</v>
      </c>
      <c r="J4718" s="16" t="str">
        <f>TEXT(Raw_Data!J4718,"MMM-YYY")</f>
        <v>May-2025</v>
      </c>
      <c r="K4718" s="13" t="str">
        <f>Raw_Data!K4718</f>
        <v>14</v>
      </c>
      <c r="L4718" s="17" t="str">
        <f>Raw_Data!L4718</f>
        <v>Delhi-North</v>
      </c>
      <c r="M4718" s="13" t="str">
        <f t="shared" si="3"/>
        <v>OK</v>
      </c>
      <c r="N4718" s="18" t="str">
        <f t="shared" si="4"/>
        <v>VALID</v>
      </c>
    </row>
    <row r="4719" ht="15.75" customHeight="1">
      <c r="A4719" s="13" t="str">
        <f>Raw_Data!A4719</f>
        <v>EMP4972</v>
      </c>
      <c r="B4719" s="13" t="str">
        <f>TRIM(CLEAN(Raw_Data!B4719))</f>
        <v>Marketing</v>
      </c>
      <c r="C4719" s="18" t="s">
        <v>30</v>
      </c>
      <c r="D4719" s="14" t="str">
        <f>IF(ISBLANK(Raw_Data!D4719),AVERAGE(Raw_Data!D$2:D$5002),Raw_Data!D4719)</f>
        <v>62228.67</v>
      </c>
      <c r="E4719" s="15" t="str">
        <f>IF(ISBLANK(Raw_Data!E4719),AVERAGE(Raw_Data!E$2:E$5002),Raw_Data!E4719)</f>
        <v>32683.90</v>
      </c>
      <c r="F4719" s="15" t="str">
        <f>IF(ISBLANK(Raw_Data!F4719),AVERAGE(Raw_Data!F$2:F$5002),Raw_Data!F4719)</f>
        <v>38356.23</v>
      </c>
      <c r="G4719" s="14" t="str">
        <f>IF(ISBLANK(Raw_Data!G4719),AVERAGE(Raw_Data!G$2:G$5002),Raw_Data!G4719)</f>
        <v>20764.19</v>
      </c>
      <c r="H4719" s="15" t="str">
        <f t="shared" si="1"/>
        <v>133269.00</v>
      </c>
      <c r="I4719" s="14" t="str">
        <f t="shared" si="2"/>
        <v>112505.00</v>
      </c>
      <c r="J4719" s="16" t="str">
        <f>TEXT(Raw_Data!J4719,"MMM-YYY")</f>
        <v>Jul-2025</v>
      </c>
      <c r="K4719" s="13" t="str">
        <f>Raw_Data!K4719</f>
        <v>15</v>
      </c>
      <c r="L4719" s="17" t="str">
        <f>Raw_Data!L4719</f>
        <v>Bangalore-South</v>
      </c>
      <c r="M4719" s="13" t="str">
        <f t="shared" si="3"/>
        <v>OK</v>
      </c>
      <c r="N4719" s="18" t="str">
        <f t="shared" si="4"/>
        <v>VALID</v>
      </c>
    </row>
    <row r="4720" ht="15.75" customHeight="1">
      <c r="A4720" s="13" t="str">
        <f>Raw_Data!A4720</f>
        <v>EMP4973</v>
      </c>
      <c r="B4720" s="13" t="str">
        <f>TRIM(CLEAN(Raw_Data!B4720))</f>
        <v>IT</v>
      </c>
      <c r="C4720" s="18" t="s">
        <v>33</v>
      </c>
      <c r="D4720" s="14" t="str">
        <f>IF(ISBLANK(Raw_Data!D4720),AVERAGE(Raw_Data!D$2:D$5002),Raw_Data!D4720)</f>
        <v>62239.56</v>
      </c>
      <c r="E4720" s="15" t="str">
        <f>IF(ISBLANK(Raw_Data!E4720),AVERAGE(Raw_Data!E$2:E$5002),Raw_Data!E4720)</f>
        <v>32687.27</v>
      </c>
      <c r="F4720" s="15" t="str">
        <f>IF(ISBLANK(Raw_Data!F4720),AVERAGE(Raw_Data!F$2:F$5002),Raw_Data!F4720)</f>
        <v>38363.91</v>
      </c>
      <c r="G4720" s="14" t="str">
        <f>IF(ISBLANK(Raw_Data!G4720),AVERAGE(Raw_Data!G$2:G$5002),Raw_Data!G4720)</f>
        <v>20766.70</v>
      </c>
      <c r="H4720" s="15" t="str">
        <f t="shared" si="1"/>
        <v>133291.00</v>
      </c>
      <c r="I4720" s="14" t="str">
        <f t="shared" si="2"/>
        <v>112524.00</v>
      </c>
      <c r="J4720" s="16" t="str">
        <f>TEXT(Raw_Data!J4720,"MMM-YYY")</f>
        <v>Jun-2025</v>
      </c>
      <c r="K4720" s="13" t="str">
        <f>Raw_Data!K4720</f>
        <v>1</v>
      </c>
      <c r="L4720" s="17" t="str">
        <f>Raw_Data!L4720</f>
        <v>Chennai-South</v>
      </c>
      <c r="M4720" s="13" t="str">
        <f t="shared" si="3"/>
        <v>OK</v>
      </c>
      <c r="N4720" s="18" t="str">
        <f t="shared" si="4"/>
        <v>VALID</v>
      </c>
    </row>
    <row r="4721" ht="15.75" customHeight="1">
      <c r="A4721" s="13" t="str">
        <f>Raw_Data!A4721</f>
        <v>EMP4974</v>
      </c>
      <c r="B4721" s="13" t="str">
        <f>TRIM(CLEAN(Raw_Data!B4721))</f>
        <v>IT</v>
      </c>
      <c r="C4721" s="18" t="s">
        <v>26</v>
      </c>
      <c r="D4721" s="14" t="str">
        <f>IF(ISBLANK(Raw_Data!D4721),AVERAGE(Raw_Data!D$2:D$5002),Raw_Data!D4721)</f>
        <v>62250.44</v>
      </c>
      <c r="E4721" s="15" t="str">
        <f>IF(ISBLANK(Raw_Data!E4721),AVERAGE(Raw_Data!E$2:E$5002),Raw_Data!E4721)</f>
        <v>32690.63</v>
      </c>
      <c r="F4721" s="15" t="str">
        <f>IF(ISBLANK(Raw_Data!F4721),AVERAGE(Raw_Data!F$2:F$5002),Raw_Data!F4721)</f>
        <v>38371.59</v>
      </c>
      <c r="G4721" s="14" t="str">
        <f>IF(ISBLANK(Raw_Data!G4721),AVERAGE(Raw_Data!G$2:G$5002),Raw_Data!G4721)</f>
        <v>20769.20</v>
      </c>
      <c r="H4721" s="15" t="str">
        <f t="shared" si="1"/>
        <v>133313.00</v>
      </c>
      <c r="I4721" s="14" t="str">
        <f t="shared" si="2"/>
        <v>112544.00</v>
      </c>
      <c r="J4721" s="16" t="str">
        <f>TEXT(Raw_Data!J4721,"MMM-YYY")</f>
        <v>Jan-2025</v>
      </c>
      <c r="K4721" s="13" t="str">
        <f>Raw_Data!K4721</f>
        <v>17</v>
      </c>
      <c r="L4721" s="17" t="str">
        <f>Raw_Data!L4721</f>
        <v>Kolkata-East</v>
      </c>
      <c r="M4721" s="13" t="str">
        <f t="shared" si="3"/>
        <v>OK</v>
      </c>
      <c r="N4721" s="18" t="str">
        <f t="shared" si="4"/>
        <v>VALID</v>
      </c>
    </row>
    <row r="4722" ht="15.75" customHeight="1">
      <c r="A4722" s="13" t="str">
        <f>Raw_Data!A4722</f>
        <v>EMP4975</v>
      </c>
      <c r="B4722" s="13" t="str">
        <f>TRIM(CLEAN(Raw_Data!B4722))</f>
        <v>HR</v>
      </c>
      <c r="C4722" s="18" t="s">
        <v>14</v>
      </c>
      <c r="D4722" s="14" t="str">
        <f>IF(ISBLANK(Raw_Data!D4722),AVERAGE(Raw_Data!D$2:D$5002),Raw_Data!D4722)</f>
        <v>62261.32</v>
      </c>
      <c r="E4722" s="15" t="str">
        <f>IF(ISBLANK(Raw_Data!E4722),AVERAGE(Raw_Data!E$2:E$5002),Raw_Data!E4722)</f>
        <v>32694.00</v>
      </c>
      <c r="F4722" s="15" t="str">
        <f>IF(ISBLANK(Raw_Data!F4722),AVERAGE(Raw_Data!F$2:F$5002),Raw_Data!F4722)</f>
        <v>38379.27</v>
      </c>
      <c r="G4722" s="14" t="str">
        <f>IF(ISBLANK(Raw_Data!G4722),AVERAGE(Raw_Data!G$2:G$5002),Raw_Data!G4722)</f>
        <v>20771.71</v>
      </c>
      <c r="H4722" s="15" t="str">
        <f t="shared" si="1"/>
        <v>133335.00</v>
      </c>
      <c r="I4722" s="14" t="str">
        <f t="shared" si="2"/>
        <v>112563.00</v>
      </c>
      <c r="J4722" s="16" t="str">
        <f>TEXT(Raw_Data!J4722,"MMM-YYY")</f>
        <v>Apr-2025</v>
      </c>
      <c r="K4722" s="13" t="str">
        <f>Raw_Data!K4722</f>
        <v>13</v>
      </c>
      <c r="L4722" s="17" t="str">
        <f>Raw_Data!L4722</f>
        <v>Pune-West</v>
      </c>
      <c r="M4722" s="13" t="str">
        <f t="shared" si="3"/>
        <v>OK</v>
      </c>
      <c r="N4722" s="18" t="str">
        <f t="shared" si="4"/>
        <v>VALID</v>
      </c>
    </row>
    <row r="4723" ht="15.75" customHeight="1">
      <c r="A4723" s="13" t="str">
        <f>Raw_Data!A4723</f>
        <v>EMP4976</v>
      </c>
      <c r="B4723" s="13" t="str">
        <f>TRIM(CLEAN(Raw_Data!B4723))</f>
        <v>Operations</v>
      </c>
      <c r="C4723" s="18" t="s">
        <v>54</v>
      </c>
      <c r="D4723" s="14" t="str">
        <f>IF(ISBLANK(Raw_Data!D4723),AVERAGE(Raw_Data!D$2:D$5002),Raw_Data!D4723)</f>
        <v>62272.20</v>
      </c>
      <c r="E4723" s="15" t="str">
        <f>IF(ISBLANK(Raw_Data!E4723),AVERAGE(Raw_Data!E$2:E$5002),Raw_Data!E4723)</f>
        <v>32697.37</v>
      </c>
      <c r="F4723" s="15" t="str">
        <f>IF(ISBLANK(Raw_Data!F4723),AVERAGE(Raw_Data!F$2:F$5002),Raw_Data!F4723)</f>
        <v>38386.95</v>
      </c>
      <c r="G4723" s="14" t="str">
        <f>IF(ISBLANK(Raw_Data!G4723),AVERAGE(Raw_Data!G$2:G$5002),Raw_Data!G4723)</f>
        <v>20774.22</v>
      </c>
      <c r="H4723" s="15" t="str">
        <f t="shared" si="1"/>
        <v>133357.00</v>
      </c>
      <c r="I4723" s="14" t="str">
        <f t="shared" si="2"/>
        <v>112583.00</v>
      </c>
      <c r="J4723" s="16" t="str">
        <f>TEXT(Raw_Data!J4723,"MMM-YYY")</f>
        <v>May-2025</v>
      </c>
      <c r="K4723" s="13" t="str">
        <f>Raw_Data!K4723</f>
        <v>16</v>
      </c>
      <c r="L4723" s="17" t="str">
        <f>Raw_Data!L4723</f>
        <v>Hyderabad-South</v>
      </c>
      <c r="M4723" s="13" t="str">
        <f t="shared" si="3"/>
        <v>OK</v>
      </c>
      <c r="N4723" s="18" t="str">
        <f t="shared" si="4"/>
        <v>VALID</v>
      </c>
    </row>
    <row r="4724" ht="15.75" customHeight="1">
      <c r="A4724" s="13" t="str">
        <f>Raw_Data!A4724</f>
        <v>EMP4977</v>
      </c>
      <c r="B4724" s="13" t="str">
        <f>TRIM(CLEAN(Raw_Data!B4724))</f>
        <v>Operations</v>
      </c>
      <c r="C4724" s="18" t="s">
        <v>26</v>
      </c>
      <c r="D4724" s="14" t="str">
        <f>IF(ISBLANK(Raw_Data!D4724),AVERAGE(Raw_Data!D$2:D$5002),Raw_Data!D4724)</f>
        <v>62283.09</v>
      </c>
      <c r="E4724" s="15" t="str">
        <f>IF(ISBLANK(Raw_Data!E4724),AVERAGE(Raw_Data!E$2:E$5002),Raw_Data!E4724)</f>
        <v>32700.74</v>
      </c>
      <c r="F4724" s="15" t="str">
        <f>IF(ISBLANK(Raw_Data!F4724),AVERAGE(Raw_Data!F$2:F$5002),Raw_Data!F4724)</f>
        <v>38394.63</v>
      </c>
      <c r="G4724" s="14" t="str">
        <f>IF(ISBLANK(Raw_Data!G4724),AVERAGE(Raw_Data!G$2:G$5002),Raw_Data!G4724)</f>
        <v>20776.72</v>
      </c>
      <c r="H4724" s="15" t="str">
        <f t="shared" si="1"/>
        <v>133378.00</v>
      </c>
      <c r="I4724" s="14" t="str">
        <f t="shared" si="2"/>
        <v>112601.00</v>
      </c>
      <c r="J4724" s="16" t="str">
        <f>TEXT(Raw_Data!J4724,"MMM-YYY")</f>
        <v>May-2025</v>
      </c>
      <c r="K4724" s="13" t="str">
        <f>Raw_Data!K4724</f>
        <v>11</v>
      </c>
      <c r="L4724" s="17" t="str">
        <f>Raw_Data!L4724</f>
        <v>Chandigarh-North</v>
      </c>
      <c r="M4724" s="13" t="str">
        <f t="shared" si="3"/>
        <v>OK</v>
      </c>
      <c r="N4724" s="18" t="str">
        <f t="shared" si="4"/>
        <v>VALID</v>
      </c>
    </row>
    <row r="4725" ht="15.75" customHeight="1">
      <c r="A4725" s="13" t="str">
        <f>Raw_Data!A4725</f>
        <v>EMP4978</v>
      </c>
      <c r="B4725" s="13" t="str">
        <f>TRIM(CLEAN(Raw_Data!B4725))</f>
        <v>HR</v>
      </c>
      <c r="C4725" s="18" t="s">
        <v>33</v>
      </c>
      <c r="D4725" s="14" t="str">
        <f>IF(ISBLANK(Raw_Data!D4725),AVERAGE(Raw_Data!D$2:D$5002),Raw_Data!D4725)</f>
        <v>62293.97</v>
      </c>
      <c r="E4725" s="15" t="str">
        <f>IF(ISBLANK(Raw_Data!E4725),AVERAGE(Raw_Data!E$2:E$5002),Raw_Data!E4725)</f>
        <v>32704.10</v>
      </c>
      <c r="F4725" s="15" t="str">
        <f>IF(ISBLANK(Raw_Data!F4725),AVERAGE(Raw_Data!F$2:F$5002),Raw_Data!F4725)</f>
        <v>38402.31</v>
      </c>
      <c r="G4725" s="14" t="str">
        <f>IF(ISBLANK(Raw_Data!G4725),AVERAGE(Raw_Data!G$2:G$5002),Raw_Data!G4725)</f>
        <v>20779.23</v>
      </c>
      <c r="H4725" s="15" t="str">
        <f t="shared" si="1"/>
        <v>133400.00</v>
      </c>
      <c r="I4725" s="14" t="str">
        <f t="shared" si="2"/>
        <v>112621.00</v>
      </c>
      <c r="J4725" s="16" t="str">
        <f>TEXT(Raw_Data!J4725,"MMM-YYY")</f>
        <v>Nov-2025</v>
      </c>
      <c r="K4725" s="13" t="str">
        <f>Raw_Data!K4725</f>
        <v>22</v>
      </c>
      <c r="L4725" s="17" t="str">
        <f>Raw_Data!L4725</f>
        <v>Ahmedabad-West</v>
      </c>
      <c r="M4725" s="13" t="str">
        <f t="shared" si="3"/>
        <v>OK</v>
      </c>
      <c r="N4725" s="18" t="str">
        <f t="shared" si="4"/>
        <v>VALID</v>
      </c>
    </row>
    <row r="4726" ht="15.75" customHeight="1">
      <c r="A4726" s="13" t="str">
        <f>Raw_Data!A4726</f>
        <v>EMP4979</v>
      </c>
      <c r="B4726" s="13" t="str">
        <f>TRIM(CLEAN(Raw_Data!B4726))</f>
        <v>Sales</v>
      </c>
      <c r="C4726" s="18" t="s">
        <v>54</v>
      </c>
      <c r="D4726" s="14" t="str">
        <f>IF(ISBLANK(Raw_Data!D4726),AVERAGE(Raw_Data!D$2:D$5002),Raw_Data!D4726)</f>
        <v>62304.85</v>
      </c>
      <c r="E4726" s="15" t="str">
        <f>IF(ISBLANK(Raw_Data!E4726),AVERAGE(Raw_Data!E$2:E$5002),Raw_Data!E4726)</f>
        <v>32707.47</v>
      </c>
      <c r="F4726" s="15" t="str">
        <f>IF(ISBLANK(Raw_Data!F4726),AVERAGE(Raw_Data!F$2:F$5002),Raw_Data!F4726)</f>
        <v>38409.99</v>
      </c>
      <c r="G4726" s="14" t="str">
        <f>IF(ISBLANK(Raw_Data!G4726),AVERAGE(Raw_Data!G$2:G$5002),Raw_Data!G4726)</f>
        <v>20781.74</v>
      </c>
      <c r="H4726" s="15" t="str">
        <f t="shared" si="1"/>
        <v>133422.00</v>
      </c>
      <c r="I4726" s="14" t="str">
        <f t="shared" si="2"/>
        <v>112640.00</v>
      </c>
      <c r="J4726" s="16" t="str">
        <f>TEXT(Raw_Data!J4726,"MMM-YYY")</f>
        <v>Jan-2025</v>
      </c>
      <c r="K4726" s="13" t="str">
        <f>Raw_Data!K4726</f>
        <v>13</v>
      </c>
      <c r="L4726" s="17" t="str">
        <f>Raw_Data!L4726</f>
        <v>Jaipur-North</v>
      </c>
      <c r="M4726" s="13" t="str">
        <f t="shared" si="3"/>
        <v>OK</v>
      </c>
      <c r="N4726" s="18" t="str">
        <f t="shared" si="4"/>
        <v>VALID</v>
      </c>
    </row>
    <row r="4727" ht="15.75" customHeight="1">
      <c r="A4727" s="13" t="str">
        <f>Raw_Data!A4727</f>
        <v>EMP4980</v>
      </c>
      <c r="B4727" s="13" t="str">
        <f>TRIM(CLEAN(Raw_Data!B4727))</f>
        <v>IT</v>
      </c>
      <c r="C4727" s="18" t="s">
        <v>37</v>
      </c>
      <c r="D4727" s="14" t="str">
        <f>IF(ISBLANK(Raw_Data!D4727),AVERAGE(Raw_Data!D$2:D$5002),Raw_Data!D4727)</f>
        <v>62315.74</v>
      </c>
      <c r="E4727" s="15" t="str">
        <f>IF(ISBLANK(Raw_Data!E4727),AVERAGE(Raw_Data!E$2:E$5002),Raw_Data!E4727)</f>
        <v>32710.84</v>
      </c>
      <c r="F4727" s="15" t="str">
        <f>IF(ISBLANK(Raw_Data!F4727),AVERAGE(Raw_Data!F$2:F$5002),Raw_Data!F4727)</f>
        <v>38417.67</v>
      </c>
      <c r="G4727" s="14" t="str">
        <f>IF(ISBLANK(Raw_Data!G4727),AVERAGE(Raw_Data!G$2:G$5002),Raw_Data!G4727)</f>
        <v>20784.24</v>
      </c>
      <c r="H4727" s="15" t="str">
        <f t="shared" si="1"/>
        <v>133444.00</v>
      </c>
      <c r="I4727" s="14" t="str">
        <f t="shared" si="2"/>
        <v>112660.00</v>
      </c>
      <c r="J4727" s="16" t="str">
        <f>TEXT(Raw_Data!J4727,"MMM-YYY")</f>
        <v>Aug-2025</v>
      </c>
      <c r="K4727" s="13" t="str">
        <f>Raw_Data!K4727</f>
        <v>2</v>
      </c>
      <c r="L4727" s="17" t="str">
        <f>Raw_Data!L4727</f>
        <v>Mumbai-HO</v>
      </c>
      <c r="M4727" s="13" t="str">
        <f t="shared" si="3"/>
        <v>OK</v>
      </c>
      <c r="N4727" s="18" t="str">
        <f t="shared" si="4"/>
        <v>VALID</v>
      </c>
    </row>
    <row r="4728" ht="15.75" customHeight="1">
      <c r="A4728" s="13" t="str">
        <f>Raw_Data!A4728</f>
        <v>EMP4981</v>
      </c>
      <c r="B4728" s="13" t="str">
        <f>TRIM(CLEAN(Raw_Data!B4728))</f>
        <v>Finance</v>
      </c>
      <c r="C4728" s="18" t="s">
        <v>26</v>
      </c>
      <c r="D4728" s="14" t="str">
        <f>IF(ISBLANK(Raw_Data!D4728),AVERAGE(Raw_Data!D$2:D$5002),Raw_Data!D4728)</f>
        <v>62326.62</v>
      </c>
      <c r="E4728" s="15" t="str">
        <f>IF(ISBLANK(Raw_Data!E4728),AVERAGE(Raw_Data!E$2:E$5002),Raw_Data!E4728)</f>
        <v>32714.21</v>
      </c>
      <c r="F4728" s="15" t="str">
        <f>IF(ISBLANK(Raw_Data!F4728),AVERAGE(Raw_Data!F$2:F$5002),Raw_Data!F4728)</f>
        <v>38425.35</v>
      </c>
      <c r="G4728" s="14" t="str">
        <f>IF(ISBLANK(Raw_Data!G4728),AVERAGE(Raw_Data!G$2:G$5002),Raw_Data!G4728)</f>
        <v>20786.75</v>
      </c>
      <c r="H4728" s="15" t="str">
        <f t="shared" si="1"/>
        <v>133466.00</v>
      </c>
      <c r="I4728" s="14" t="str">
        <f t="shared" si="2"/>
        <v>112679.00</v>
      </c>
      <c r="J4728" s="16" t="str">
        <f>TEXT(Raw_Data!J4728,"MMM-YYY")</f>
        <v>Mar-2025</v>
      </c>
      <c r="K4728" s="13" t="str">
        <f>Raw_Data!K4728</f>
        <v>24</v>
      </c>
      <c r="L4728" s="17" t="str">
        <f>Raw_Data!L4728</f>
        <v>Delhi-North</v>
      </c>
      <c r="M4728" s="13" t="str">
        <f t="shared" si="3"/>
        <v>OK</v>
      </c>
      <c r="N4728" s="18" t="str">
        <f t="shared" si="4"/>
        <v>VALID</v>
      </c>
    </row>
    <row r="4729" ht="15.75" customHeight="1">
      <c r="A4729" s="13" t="str">
        <f>Raw_Data!A4729</f>
        <v>EMP4982</v>
      </c>
      <c r="B4729" s="13" t="str">
        <f>TRIM(CLEAN(Raw_Data!B4729))</f>
        <v>Sales</v>
      </c>
      <c r="C4729" s="18" t="s">
        <v>37</v>
      </c>
      <c r="D4729" s="14" t="str">
        <f>IF(ISBLANK(Raw_Data!D4729),AVERAGE(Raw_Data!D$2:D$5002),Raw_Data!D4729)</f>
        <v>62337.50</v>
      </c>
      <c r="E4729" s="15" t="str">
        <f>IF(ISBLANK(Raw_Data!E4729),AVERAGE(Raw_Data!E$2:E$5002),Raw_Data!E4729)</f>
        <v>32717.58</v>
      </c>
      <c r="F4729" s="15" t="str">
        <f>IF(ISBLANK(Raw_Data!F4729),AVERAGE(Raw_Data!F$2:F$5002),Raw_Data!F4729)</f>
        <v>38433.03</v>
      </c>
      <c r="G4729" s="14" t="str">
        <f>IF(ISBLANK(Raw_Data!G4729),AVERAGE(Raw_Data!G$2:G$5002),Raw_Data!G4729)</f>
        <v>20789.25</v>
      </c>
      <c r="H4729" s="15" t="str">
        <f t="shared" si="1"/>
        <v>133488.00</v>
      </c>
      <c r="I4729" s="14" t="str">
        <f t="shared" si="2"/>
        <v>112699.00</v>
      </c>
      <c r="J4729" s="16" t="str">
        <f>TEXT(Raw_Data!J4729,"MMM-YYY")</f>
        <v>Mar-2025</v>
      </c>
      <c r="K4729" s="13" t="str">
        <f>Raw_Data!K4729</f>
        <v>6</v>
      </c>
      <c r="L4729" s="17" t="str">
        <f>Raw_Data!L4729</f>
        <v>Bangalore-South</v>
      </c>
      <c r="M4729" s="13" t="str">
        <f t="shared" si="3"/>
        <v>OK</v>
      </c>
      <c r="N4729" s="18" t="str">
        <f t="shared" si="4"/>
        <v>VALID</v>
      </c>
    </row>
    <row r="4730" ht="15.75" customHeight="1">
      <c r="A4730" s="13" t="str">
        <f>Raw_Data!A4730</f>
        <v>EMP4983</v>
      </c>
      <c r="B4730" s="13" t="str">
        <f>TRIM(CLEAN(Raw_Data!B4730))</f>
        <v>HR</v>
      </c>
      <c r="C4730" s="18" t="s">
        <v>26</v>
      </c>
      <c r="D4730" s="14" t="str">
        <f>IF(ISBLANK(Raw_Data!D4730),AVERAGE(Raw_Data!D$2:D$5002),Raw_Data!D4730)</f>
        <v>62348.38</v>
      </c>
      <c r="E4730" s="15" t="str">
        <f>IF(ISBLANK(Raw_Data!E4730),AVERAGE(Raw_Data!E$2:E$5002),Raw_Data!E4730)</f>
        <v>32720.94</v>
      </c>
      <c r="F4730" s="15" t="str">
        <f>IF(ISBLANK(Raw_Data!F4730),AVERAGE(Raw_Data!F$2:F$5002),Raw_Data!F4730)</f>
        <v>38440.71</v>
      </c>
      <c r="G4730" s="14" t="str">
        <f>IF(ISBLANK(Raw_Data!G4730),AVERAGE(Raw_Data!G$2:G$5002),Raw_Data!G4730)</f>
        <v>20791.76</v>
      </c>
      <c r="H4730" s="15" t="str">
        <f t="shared" si="1"/>
        <v>133510.00</v>
      </c>
      <c r="I4730" s="14" t="str">
        <f t="shared" si="2"/>
        <v>112718.00</v>
      </c>
      <c r="J4730" s="16" t="str">
        <f>TEXT(Raw_Data!J4730,"MMM-YYY")</f>
        <v>Oct-2025</v>
      </c>
      <c r="K4730" s="13" t="str">
        <f>Raw_Data!K4730</f>
        <v>1</v>
      </c>
      <c r="L4730" s="17" t="str">
        <f>Raw_Data!L4730</f>
        <v>Chennai-South</v>
      </c>
      <c r="M4730" s="13" t="str">
        <f t="shared" si="3"/>
        <v>OK</v>
      </c>
      <c r="N4730" s="18" t="str">
        <f t="shared" si="4"/>
        <v>VALID</v>
      </c>
    </row>
    <row r="4731" ht="15.75" customHeight="1">
      <c r="A4731" s="13" t="str">
        <f>Raw_Data!A4731</f>
        <v>EMP4984</v>
      </c>
      <c r="B4731" s="13" t="str">
        <f>TRIM(CLEAN(Raw_Data!B4731))</f>
        <v>IT</v>
      </c>
      <c r="C4731" s="18" t="s">
        <v>26</v>
      </c>
      <c r="D4731" s="14" t="str">
        <f>IF(ISBLANK(Raw_Data!D4731),AVERAGE(Raw_Data!D$2:D$5002),Raw_Data!D4731)</f>
        <v>62359.27</v>
      </c>
      <c r="E4731" s="15" t="str">
        <f>IF(ISBLANK(Raw_Data!E4731),AVERAGE(Raw_Data!E$2:E$5002),Raw_Data!E4731)</f>
        <v>32724.31</v>
      </c>
      <c r="F4731" s="15" t="str">
        <f>IF(ISBLANK(Raw_Data!F4731),AVERAGE(Raw_Data!F$2:F$5002),Raw_Data!F4731)</f>
        <v>38448.39</v>
      </c>
      <c r="G4731" s="14" t="str">
        <f>IF(ISBLANK(Raw_Data!G4731),AVERAGE(Raw_Data!G$2:G$5002),Raw_Data!G4731)</f>
        <v>20794.27</v>
      </c>
      <c r="H4731" s="15" t="str">
        <f t="shared" si="1"/>
        <v>133532.00</v>
      </c>
      <c r="I4731" s="14" t="str">
        <f t="shared" si="2"/>
        <v>112738.00</v>
      </c>
      <c r="J4731" s="16" t="str">
        <f>TEXT(Raw_Data!J4731,"MMM-YYY")</f>
        <v>Jun-2025</v>
      </c>
      <c r="K4731" s="13" t="str">
        <f>Raw_Data!K4731</f>
        <v>15</v>
      </c>
      <c r="L4731" s="17" t="str">
        <f>Raw_Data!L4731</f>
        <v>Kolkata-East</v>
      </c>
      <c r="M4731" s="13" t="str">
        <f t="shared" si="3"/>
        <v>OK</v>
      </c>
      <c r="N4731" s="18" t="str">
        <f t="shared" si="4"/>
        <v>VALID</v>
      </c>
    </row>
    <row r="4732" ht="15.75" customHeight="1">
      <c r="A4732" s="13" t="str">
        <f>Raw_Data!A4732</f>
        <v>EMP4985</v>
      </c>
      <c r="B4732" s="13" t="str">
        <f>TRIM(CLEAN(Raw_Data!B4732))</f>
        <v>Marketing</v>
      </c>
      <c r="C4732" s="18" t="s">
        <v>30</v>
      </c>
      <c r="D4732" s="14" t="str">
        <f>IF(ISBLANK(Raw_Data!D4732),AVERAGE(Raw_Data!D$2:D$5002),Raw_Data!D4732)</f>
        <v>62370.15</v>
      </c>
      <c r="E4732" s="15" t="str">
        <f>IF(ISBLANK(Raw_Data!E4732),AVERAGE(Raw_Data!E$2:E$5002),Raw_Data!E4732)</f>
        <v>32727.68</v>
      </c>
      <c r="F4732" s="15" t="str">
        <f>IF(ISBLANK(Raw_Data!F4732),AVERAGE(Raw_Data!F$2:F$5002),Raw_Data!F4732)</f>
        <v>38456.07</v>
      </c>
      <c r="G4732" s="14" t="str">
        <f>IF(ISBLANK(Raw_Data!G4732),AVERAGE(Raw_Data!G$2:G$5002),Raw_Data!G4732)</f>
        <v>20796.77</v>
      </c>
      <c r="H4732" s="15" t="str">
        <f t="shared" si="1"/>
        <v>133554.00</v>
      </c>
      <c r="I4732" s="14" t="str">
        <f t="shared" si="2"/>
        <v>112757.00</v>
      </c>
      <c r="J4732" s="16" t="str">
        <f>TEXT(Raw_Data!J4732,"MMM-YYY")</f>
        <v>Sep-2025</v>
      </c>
      <c r="K4732" s="13" t="str">
        <f>Raw_Data!K4732</f>
        <v>3</v>
      </c>
      <c r="L4732" s="17" t="str">
        <f>Raw_Data!L4732</f>
        <v>Pune-West</v>
      </c>
      <c r="M4732" s="13" t="str">
        <f t="shared" si="3"/>
        <v>OK</v>
      </c>
      <c r="N4732" s="18" t="str">
        <f t="shared" si="4"/>
        <v>VALID</v>
      </c>
    </row>
    <row r="4733" ht="15.75" customHeight="1">
      <c r="A4733" s="13" t="str">
        <f>Raw_Data!A4733</f>
        <v>EMP4986</v>
      </c>
      <c r="B4733" s="13" t="str">
        <f>TRIM(CLEAN(Raw_Data!B4733))</f>
        <v>Marketing</v>
      </c>
      <c r="C4733" s="18" t="s">
        <v>26</v>
      </c>
      <c r="D4733" s="14" t="str">
        <f>IF(ISBLANK(Raw_Data!D4733),AVERAGE(Raw_Data!D$2:D$5002),Raw_Data!D4733)</f>
        <v>62381.03</v>
      </c>
      <c r="E4733" s="15" t="str">
        <f>IF(ISBLANK(Raw_Data!E4733),AVERAGE(Raw_Data!E$2:E$5002),Raw_Data!E4733)</f>
        <v>32731.05</v>
      </c>
      <c r="F4733" s="15" t="str">
        <f>IF(ISBLANK(Raw_Data!F4733),AVERAGE(Raw_Data!F$2:F$5002),Raw_Data!F4733)</f>
        <v>38463.75</v>
      </c>
      <c r="G4733" s="14" t="str">
        <f>IF(ISBLANK(Raw_Data!G4733),AVERAGE(Raw_Data!G$2:G$5002),Raw_Data!G4733)</f>
        <v>20799.28</v>
      </c>
      <c r="H4733" s="15" t="str">
        <f t="shared" si="1"/>
        <v>133576.00</v>
      </c>
      <c r="I4733" s="14" t="str">
        <f t="shared" si="2"/>
        <v>112777.00</v>
      </c>
      <c r="J4733" s="16" t="str">
        <f>TEXT(Raw_Data!J4733,"MMM-YYY")</f>
        <v>May-2025</v>
      </c>
      <c r="K4733" s="13" t="str">
        <f>Raw_Data!K4733</f>
        <v>13</v>
      </c>
      <c r="L4733" s="17" t="str">
        <f>Raw_Data!L4733</f>
        <v>Hyderabad-South</v>
      </c>
      <c r="M4733" s="13" t="str">
        <f t="shared" si="3"/>
        <v>OK</v>
      </c>
      <c r="N4733" s="18" t="str">
        <f t="shared" si="4"/>
        <v>VALID</v>
      </c>
    </row>
    <row r="4734" ht="15.75" customHeight="1">
      <c r="A4734" s="13" t="str">
        <f>Raw_Data!A4734</f>
        <v>EMP4987</v>
      </c>
      <c r="B4734" s="13" t="str">
        <f>TRIM(CLEAN(Raw_Data!B4734))</f>
        <v>IT</v>
      </c>
      <c r="C4734" s="18" t="s">
        <v>37</v>
      </c>
      <c r="D4734" s="14" t="str">
        <f>IF(ISBLANK(Raw_Data!D4734),AVERAGE(Raw_Data!D$2:D$5002),Raw_Data!D4734)</f>
        <v>62391.92</v>
      </c>
      <c r="E4734" s="15" t="str">
        <f>IF(ISBLANK(Raw_Data!E4734),AVERAGE(Raw_Data!E$2:E$5002),Raw_Data!E4734)</f>
        <v>32734.41</v>
      </c>
      <c r="F4734" s="15" t="str">
        <f>IF(ISBLANK(Raw_Data!F4734),AVERAGE(Raw_Data!F$2:F$5002),Raw_Data!F4734)</f>
        <v>38471.43</v>
      </c>
      <c r="G4734" s="14" t="str">
        <f>IF(ISBLANK(Raw_Data!G4734),AVERAGE(Raw_Data!G$2:G$5002),Raw_Data!G4734)</f>
        <v>20801.78</v>
      </c>
      <c r="H4734" s="15" t="str">
        <f t="shared" si="1"/>
        <v>133598.00</v>
      </c>
      <c r="I4734" s="14" t="str">
        <f t="shared" si="2"/>
        <v>112796.00</v>
      </c>
      <c r="J4734" s="16" t="str">
        <f>TEXT(Raw_Data!J4734,"MMM-YYY")</f>
        <v>Nov-2025</v>
      </c>
      <c r="K4734" s="13" t="str">
        <f>Raw_Data!K4734</f>
        <v>13</v>
      </c>
      <c r="L4734" s="17" t="str">
        <f>Raw_Data!L4734</f>
        <v>Chandigarh-North</v>
      </c>
      <c r="M4734" s="13" t="str">
        <f t="shared" si="3"/>
        <v>OK</v>
      </c>
      <c r="N4734" s="18" t="str">
        <f t="shared" si="4"/>
        <v>VALID</v>
      </c>
    </row>
    <row r="4735" ht="15.75" customHeight="1">
      <c r="A4735" s="13" t="str">
        <f>Raw_Data!A4735</f>
        <v>EMP4988</v>
      </c>
      <c r="B4735" s="13" t="str">
        <f>TRIM(CLEAN(Raw_Data!B4735))</f>
        <v>Finance</v>
      </c>
      <c r="C4735" s="18" t="s">
        <v>37</v>
      </c>
      <c r="D4735" s="14" t="str">
        <f>IF(ISBLANK(Raw_Data!D4735),AVERAGE(Raw_Data!D$2:D$5002),Raw_Data!D4735)</f>
        <v>62402.80</v>
      </c>
      <c r="E4735" s="15" t="str">
        <f>IF(ISBLANK(Raw_Data!E4735),AVERAGE(Raw_Data!E$2:E$5002),Raw_Data!E4735)</f>
        <v>32737.78</v>
      </c>
      <c r="F4735" s="15" t="str">
        <f>IF(ISBLANK(Raw_Data!F4735),AVERAGE(Raw_Data!F$2:F$5002),Raw_Data!F4735)</f>
        <v>38479.11</v>
      </c>
      <c r="G4735" s="14" t="str">
        <f>IF(ISBLANK(Raw_Data!G4735),AVERAGE(Raw_Data!G$2:G$5002),Raw_Data!G4735)</f>
        <v>20804.29</v>
      </c>
      <c r="H4735" s="15" t="str">
        <f t="shared" si="1"/>
        <v>133620.00</v>
      </c>
      <c r="I4735" s="14" t="str">
        <f t="shared" si="2"/>
        <v>112816.00</v>
      </c>
      <c r="J4735" s="16" t="str">
        <f>TEXT(Raw_Data!J4735,"MMM-YYY")</f>
        <v>Dec-2025</v>
      </c>
      <c r="K4735" s="13" t="str">
        <f>Raw_Data!K4735</f>
        <v>14</v>
      </c>
      <c r="L4735" s="17" t="str">
        <f>Raw_Data!L4735</f>
        <v>Ahmedabad-West</v>
      </c>
      <c r="M4735" s="13" t="str">
        <f t="shared" si="3"/>
        <v>OK</v>
      </c>
      <c r="N4735" s="18" t="str">
        <f t="shared" si="4"/>
        <v>VALID</v>
      </c>
    </row>
    <row r="4736" ht="15.75" customHeight="1">
      <c r="A4736" s="13" t="str">
        <f>Raw_Data!A4736</f>
        <v>EMP4989</v>
      </c>
      <c r="B4736" s="13" t="str">
        <f>TRIM(CLEAN(Raw_Data!B4736))</f>
        <v>Operations</v>
      </c>
      <c r="C4736" s="18" t="s">
        <v>30</v>
      </c>
      <c r="D4736" s="14" t="str">
        <f>IF(ISBLANK(Raw_Data!D4736),AVERAGE(Raw_Data!D$2:D$5002),Raw_Data!D4736)</f>
        <v>62413.68</v>
      </c>
      <c r="E4736" s="15" t="str">
        <f>IF(ISBLANK(Raw_Data!E4736),AVERAGE(Raw_Data!E$2:E$5002),Raw_Data!E4736)</f>
        <v>32741.15</v>
      </c>
      <c r="F4736" s="15" t="str">
        <f>IF(ISBLANK(Raw_Data!F4736),AVERAGE(Raw_Data!F$2:F$5002),Raw_Data!F4736)</f>
        <v>38486.79</v>
      </c>
      <c r="G4736" s="14" t="str">
        <f>IF(ISBLANK(Raw_Data!G4736),AVERAGE(Raw_Data!G$2:G$5002),Raw_Data!G4736)</f>
        <v>20806.80</v>
      </c>
      <c r="H4736" s="15" t="str">
        <f t="shared" si="1"/>
        <v>133642.00</v>
      </c>
      <c r="I4736" s="14" t="str">
        <f t="shared" si="2"/>
        <v>112835.00</v>
      </c>
      <c r="J4736" s="16" t="str">
        <f>TEXT(Raw_Data!J4736,"MMM-YYY")</f>
        <v>Oct-2025</v>
      </c>
      <c r="K4736" s="13" t="str">
        <f>Raw_Data!K4736</f>
        <v>17</v>
      </c>
      <c r="L4736" s="17" t="str">
        <f>Raw_Data!L4736</f>
        <v>Jaipur-North</v>
      </c>
      <c r="M4736" s="13" t="str">
        <f t="shared" si="3"/>
        <v>OK</v>
      </c>
      <c r="N4736" s="18" t="str">
        <f t="shared" si="4"/>
        <v>VALID</v>
      </c>
    </row>
    <row r="4737" ht="15.75" customHeight="1">
      <c r="A4737" s="13" t="str">
        <f>Raw_Data!A4737</f>
        <v>EMP4990</v>
      </c>
      <c r="B4737" s="13" t="str">
        <f>TRIM(CLEAN(Raw_Data!B4737))</f>
        <v>IT</v>
      </c>
      <c r="C4737" s="18" t="s">
        <v>30</v>
      </c>
      <c r="D4737" s="14" t="str">
        <f>IF(ISBLANK(Raw_Data!D4737),AVERAGE(Raw_Data!D$2:D$5002),Raw_Data!D4737)</f>
        <v>62424.57</v>
      </c>
      <c r="E4737" s="15" t="str">
        <f>IF(ISBLANK(Raw_Data!E4737),AVERAGE(Raw_Data!E$2:E$5002),Raw_Data!E4737)</f>
        <v>32744.52</v>
      </c>
      <c r="F4737" s="15" t="str">
        <f>IF(ISBLANK(Raw_Data!F4737),AVERAGE(Raw_Data!F$2:F$5002),Raw_Data!F4737)</f>
        <v>384.00</v>
      </c>
      <c r="G4737" s="14" t="str">
        <f>IF(ISBLANK(Raw_Data!G4737),AVERAGE(Raw_Data!G$2:G$5002),Raw_Data!G4737)</f>
        <v>20809.30</v>
      </c>
      <c r="H4737" s="15" t="str">
        <f t="shared" si="1"/>
        <v>95553.00</v>
      </c>
      <c r="I4737" s="14" t="str">
        <f t="shared" si="2"/>
        <v>74744.00</v>
      </c>
      <c r="J4737" s="16" t="str">
        <f>TEXT(Raw_Data!J4737,"MMM-YYY")</f>
        <v>Sep-2025</v>
      </c>
      <c r="K4737" s="13" t="str">
        <f>Raw_Data!K4737</f>
        <v>17</v>
      </c>
      <c r="L4737" s="17" t="str">
        <f>Raw_Data!L4737</f>
        <v>Mumbai-HO</v>
      </c>
      <c r="M4737" s="13" t="str">
        <f t="shared" si="3"/>
        <v>OK</v>
      </c>
      <c r="N4737" s="18" t="str">
        <f t="shared" si="4"/>
        <v>VALID</v>
      </c>
    </row>
    <row r="4738" ht="15.75" customHeight="1">
      <c r="A4738" s="13" t="str">
        <f>Raw_Data!A4738</f>
        <v>EMP4991</v>
      </c>
      <c r="B4738" s="13" t="str">
        <f>TRIM(CLEAN(Raw_Data!B4738))</f>
        <v>Operations</v>
      </c>
      <c r="C4738" s="18" t="s">
        <v>30</v>
      </c>
      <c r="D4738" s="14" t="str">
        <f>IF(ISBLANK(Raw_Data!D4738),AVERAGE(Raw_Data!D$2:D$5002),Raw_Data!D4738)</f>
        <v>62435.45</v>
      </c>
      <c r="E4738" s="15" t="str">
        <f>IF(ISBLANK(Raw_Data!E4738),AVERAGE(Raw_Data!E$2:E$5002),Raw_Data!E4738)</f>
        <v>32747.88</v>
      </c>
      <c r="F4738" s="15" t="str">
        <f>IF(ISBLANK(Raw_Data!F4738),AVERAGE(Raw_Data!F$2:F$5002),Raw_Data!F4738)</f>
        <v>38502.15</v>
      </c>
      <c r="G4738" s="14" t="str">
        <f>IF(ISBLANK(Raw_Data!G4738),AVERAGE(Raw_Data!G$2:G$5002),Raw_Data!G4738)</f>
        <v>14562.73</v>
      </c>
      <c r="H4738" s="15" t="str">
        <f t="shared" si="1"/>
        <v>133685.00</v>
      </c>
      <c r="I4738" s="14" t="str">
        <f t="shared" si="2"/>
        <v>119122.00</v>
      </c>
      <c r="J4738" s="16" t="str">
        <f>TEXT(Raw_Data!J4738,"MMM-YYY")</f>
        <v>Oct-2025</v>
      </c>
      <c r="K4738" s="13" t="str">
        <f>Raw_Data!K4738</f>
        <v>22</v>
      </c>
      <c r="L4738" s="17" t="str">
        <f>Raw_Data!L4738</f>
        <v>Delhi-North</v>
      </c>
      <c r="M4738" s="13" t="str">
        <f t="shared" si="3"/>
        <v>OK</v>
      </c>
      <c r="N4738" s="18" t="str">
        <f t="shared" si="4"/>
        <v>VALID</v>
      </c>
    </row>
    <row r="4739" ht="15.75" customHeight="1">
      <c r="A4739" s="13" t="str">
        <f>Raw_Data!A4739</f>
        <v>EMP4992</v>
      </c>
      <c r="B4739" s="13" t="str">
        <f>TRIM(CLEAN(Raw_Data!B4739))</f>
        <v>Finance</v>
      </c>
      <c r="C4739" s="18" t="s">
        <v>37</v>
      </c>
      <c r="D4739" s="14" t="str">
        <f>IF(ISBLANK(Raw_Data!D4739),AVERAGE(Raw_Data!D$2:D$5002),Raw_Data!D4739)</f>
        <v>71831.17</v>
      </c>
      <c r="E4739" s="15" t="str">
        <f>IF(ISBLANK(Raw_Data!E4739),AVERAGE(Raw_Data!E$2:E$5002),Raw_Data!E4739)</f>
        <v>32751.25</v>
      </c>
      <c r="F4739" s="15" t="str">
        <f>IF(ISBLANK(Raw_Data!F4739),AVERAGE(Raw_Data!F$2:F$5002),Raw_Data!F4739)</f>
        <v>38509.83</v>
      </c>
      <c r="G4739" s="14" t="str">
        <f>IF(ISBLANK(Raw_Data!G4739),AVERAGE(Raw_Data!G$2:G$5002),Raw_Data!G4739)</f>
        <v>20814.31</v>
      </c>
      <c r="H4739" s="15" t="str">
        <f t="shared" si="1"/>
        <v>143092.00</v>
      </c>
      <c r="I4739" s="14" t="str">
        <f t="shared" si="2"/>
        <v>122278.00</v>
      </c>
      <c r="J4739" s="16" t="str">
        <f>TEXT(Raw_Data!J4739,"MMM-YYY")</f>
        <v>Mar-2025</v>
      </c>
      <c r="K4739" s="13" t="str">
        <f>Raw_Data!K4739</f>
        <v>11</v>
      </c>
      <c r="L4739" s="17" t="str">
        <f>Raw_Data!L4739</f>
        <v>Bangalore-South</v>
      </c>
      <c r="M4739" s="13" t="str">
        <f t="shared" si="3"/>
        <v>OK</v>
      </c>
      <c r="N4739" s="18" t="str">
        <f t="shared" si="4"/>
        <v>VALID</v>
      </c>
    </row>
    <row r="4740" ht="15.75" customHeight="1">
      <c r="A4740" s="13" t="str">
        <f>Raw_Data!A4740</f>
        <v>EMP4993</v>
      </c>
      <c r="B4740" s="13" t="str">
        <f>TRIM(CLEAN(Raw_Data!B4740))</f>
        <v>HR</v>
      </c>
      <c r="C4740" s="18" t="s">
        <v>14</v>
      </c>
      <c r="D4740" s="14" t="str">
        <f>IF(ISBLANK(Raw_Data!D4740),AVERAGE(Raw_Data!D$2:D$5002),Raw_Data!D4740)</f>
        <v>62457.21</v>
      </c>
      <c r="E4740" s="15" t="str">
        <f>IF(ISBLANK(Raw_Data!E4740),AVERAGE(Raw_Data!E$2:E$5002),Raw_Data!E4740)</f>
        <v>32754.62</v>
      </c>
      <c r="F4740" s="15" t="str">
        <f>IF(ISBLANK(Raw_Data!F4740),AVERAGE(Raw_Data!F$2:F$5002),Raw_Data!F4740)</f>
        <v>38517.51</v>
      </c>
      <c r="G4740" s="14" t="str">
        <f>IF(ISBLANK(Raw_Data!G4740),AVERAGE(Raw_Data!G$2:G$5002),Raw_Data!G4740)</f>
        <v>20816.82</v>
      </c>
      <c r="H4740" s="15" t="str">
        <f t="shared" si="1"/>
        <v>133729.00</v>
      </c>
      <c r="I4740" s="14" t="str">
        <f t="shared" si="2"/>
        <v>112912.00</v>
      </c>
      <c r="J4740" s="16" t="str">
        <f>TEXT(Raw_Data!J4740,"MMM-YYY")</f>
        <v>Jul-2025</v>
      </c>
      <c r="K4740" s="13" t="str">
        <f>Raw_Data!K4740</f>
        <v>14</v>
      </c>
      <c r="L4740" s="17" t="str">
        <f>Raw_Data!L4740</f>
        <v>Chennai-South</v>
      </c>
      <c r="M4740" s="13" t="str">
        <f t="shared" si="3"/>
        <v>OK</v>
      </c>
      <c r="N4740" s="18" t="str">
        <f t="shared" si="4"/>
        <v>VALID</v>
      </c>
    </row>
    <row r="4741" ht="15.75" customHeight="1">
      <c r="A4741" s="13" t="str">
        <f>Raw_Data!A4741</f>
        <v>EMP4994</v>
      </c>
      <c r="B4741" s="13" t="str">
        <f>TRIM(CLEAN(Raw_Data!B4741))</f>
        <v>Finance</v>
      </c>
      <c r="C4741" s="18" t="s">
        <v>54</v>
      </c>
      <c r="D4741" s="14" t="str">
        <f>IF(ISBLANK(Raw_Data!D4741),AVERAGE(Raw_Data!D$2:D$5002),Raw_Data!D4741)</f>
        <v>62468.10</v>
      </c>
      <c r="E4741" s="15" t="str">
        <f>IF(ISBLANK(Raw_Data!E4741),AVERAGE(Raw_Data!E$2:E$5002),Raw_Data!E4741)</f>
        <v>32757.99</v>
      </c>
      <c r="F4741" s="15" t="str">
        <f>IF(ISBLANK(Raw_Data!F4741),AVERAGE(Raw_Data!F$2:F$5002),Raw_Data!F4741)</f>
        <v>38525.19</v>
      </c>
      <c r="G4741" s="14" t="str">
        <f>IF(ISBLANK(Raw_Data!G4741),AVERAGE(Raw_Data!G$2:G$5002),Raw_Data!G4741)</f>
        <v>20819.33</v>
      </c>
      <c r="H4741" s="15" t="str">
        <f t="shared" si="1"/>
        <v>133751.00</v>
      </c>
      <c r="I4741" s="14" t="str">
        <f t="shared" si="2"/>
        <v>112932.00</v>
      </c>
      <c r="J4741" s="16" t="str">
        <f>TEXT(Raw_Data!J4741,"MMM-YYY")</f>
        <v>May-2025</v>
      </c>
      <c r="K4741" s="13" t="str">
        <f>Raw_Data!K4741</f>
        <v>2</v>
      </c>
      <c r="L4741" s="17" t="str">
        <f>Raw_Data!L4741</f>
        <v>Kolkata-East</v>
      </c>
      <c r="M4741" s="13" t="str">
        <f t="shared" si="3"/>
        <v>OK</v>
      </c>
      <c r="N4741" s="18" t="str">
        <f t="shared" si="4"/>
        <v>VALID</v>
      </c>
    </row>
    <row r="4742" ht="15.75" customHeight="1">
      <c r="A4742" s="13" t="str">
        <f>Raw_Data!A4742</f>
        <v>EMP4995</v>
      </c>
      <c r="B4742" s="13" t="str">
        <f>TRIM(CLEAN(Raw_Data!B4742))</f>
        <v>Finance</v>
      </c>
      <c r="C4742" s="18" t="s">
        <v>54</v>
      </c>
      <c r="D4742" s="14" t="str">
        <f>IF(ISBLANK(Raw_Data!D4742),AVERAGE(Raw_Data!D$2:D$5002),Raw_Data!D4742)</f>
        <v>62478.98</v>
      </c>
      <c r="E4742" s="15" t="str">
        <f>IF(ISBLANK(Raw_Data!E4742),AVERAGE(Raw_Data!E$2:E$5002),Raw_Data!E4742)</f>
        <v>32761.35</v>
      </c>
      <c r="F4742" s="15" t="str">
        <f>IF(ISBLANK(Raw_Data!F4742),AVERAGE(Raw_Data!F$2:F$5002),Raw_Data!F4742)</f>
        <v>38532.87</v>
      </c>
      <c r="G4742" s="14" t="str">
        <f>IF(ISBLANK(Raw_Data!G4742),AVERAGE(Raw_Data!G$2:G$5002),Raw_Data!G4742)</f>
        <v>20821.83</v>
      </c>
      <c r="H4742" s="15" t="str">
        <f t="shared" si="1"/>
        <v>133773.00</v>
      </c>
      <c r="I4742" s="14" t="str">
        <f t="shared" si="2"/>
        <v>112951.00</v>
      </c>
      <c r="J4742" s="16" t="str">
        <f>TEXT(Raw_Data!J4742,"MMM-YYY")</f>
        <v>Apr-2025</v>
      </c>
      <c r="K4742" s="13" t="str">
        <f>Raw_Data!K4742</f>
        <v>11</v>
      </c>
      <c r="L4742" s="17" t="str">
        <f>Raw_Data!L4742</f>
        <v>Pune-West</v>
      </c>
      <c r="M4742" s="13" t="str">
        <f t="shared" si="3"/>
        <v>OK</v>
      </c>
      <c r="N4742" s="18" t="str">
        <f t="shared" si="4"/>
        <v>VALID</v>
      </c>
    </row>
    <row r="4743" ht="15.75" customHeight="1">
      <c r="A4743" s="13" t="str">
        <f>Raw_Data!A4743</f>
        <v>EMP4997</v>
      </c>
      <c r="B4743" s="13" t="str">
        <f>TRIM(CLEAN(Raw_Data!B4743))</f>
        <v>Customer Support</v>
      </c>
      <c r="C4743" s="18" t="s">
        <v>26</v>
      </c>
      <c r="D4743" s="14" t="str">
        <f>IF(ISBLANK(Raw_Data!D4743),AVERAGE(Raw_Data!D$2:D$5002),Raw_Data!D4743)</f>
        <v>62500.75</v>
      </c>
      <c r="E4743" s="15" t="str">
        <f>IF(ISBLANK(Raw_Data!E4743),AVERAGE(Raw_Data!E$2:E$5002),Raw_Data!E4743)</f>
        <v>32768.09</v>
      </c>
      <c r="F4743" s="15" t="str">
        <f>IF(ISBLANK(Raw_Data!F4743),AVERAGE(Raw_Data!F$2:F$5002),Raw_Data!F4743)</f>
        <v>38548.23</v>
      </c>
      <c r="G4743" s="14" t="str">
        <f>IF(ISBLANK(Raw_Data!G4743),AVERAGE(Raw_Data!G$2:G$5002),Raw_Data!G4743)</f>
        <v>14562.73</v>
      </c>
      <c r="H4743" s="15" t="str">
        <f t="shared" si="1"/>
        <v>133817.00</v>
      </c>
      <c r="I4743" s="14" t="str">
        <f t="shared" si="2"/>
        <v>119254.00</v>
      </c>
      <c r="J4743" s="16" t="str">
        <f>TEXT(Raw_Data!J4743,"MMM-YYY")</f>
        <v>Feb-2025</v>
      </c>
      <c r="K4743" s="13" t="str">
        <f>Raw_Data!K4743</f>
        <v>14</v>
      </c>
      <c r="L4743" s="17" t="str">
        <f>Raw_Data!L4743</f>
        <v>Chandigarh-North</v>
      </c>
      <c r="M4743" s="13" t="str">
        <f t="shared" si="3"/>
        <v>OK</v>
      </c>
      <c r="N4743" s="18" t="str">
        <f t="shared" si="4"/>
        <v>VALID</v>
      </c>
    </row>
    <row r="4744" ht="15.75" customHeight="1">
      <c r="A4744" s="13" t="str">
        <f>Raw_Data!A4744</f>
        <v>EMP4998</v>
      </c>
      <c r="B4744" s="13" t="str">
        <f>TRIM(CLEAN(Raw_Data!B4744))</f>
        <v>IT</v>
      </c>
      <c r="C4744" s="18" t="s">
        <v>33</v>
      </c>
      <c r="D4744" s="14" t="str">
        <f>IF(ISBLANK(Raw_Data!D4744),AVERAGE(Raw_Data!D$2:D$5002),Raw_Data!D4744)</f>
        <v>62511.63</v>
      </c>
      <c r="E4744" s="15" t="str">
        <f>IF(ISBLANK(Raw_Data!E4744),AVERAGE(Raw_Data!E$2:E$5002),Raw_Data!E4744)</f>
        <v>32771.46</v>
      </c>
      <c r="F4744" s="15" t="str">
        <f>IF(ISBLANK(Raw_Data!F4744),AVERAGE(Raw_Data!F$2:F$5002),Raw_Data!F4744)</f>
        <v>38555.91</v>
      </c>
      <c r="G4744" s="14" t="str">
        <f>IF(ISBLANK(Raw_Data!G4744),AVERAGE(Raw_Data!G$2:G$5002),Raw_Data!G4744)</f>
        <v>20829.35</v>
      </c>
      <c r="H4744" s="15" t="str">
        <f t="shared" si="1"/>
        <v>133839.00</v>
      </c>
      <c r="I4744" s="14" t="str">
        <f t="shared" si="2"/>
        <v>113010.00</v>
      </c>
      <c r="J4744" s="16" t="str">
        <f>TEXT(Raw_Data!J4744,"MMM-YYY")</f>
        <v>Aug-2025</v>
      </c>
      <c r="K4744" s="13" t="str">
        <f>Raw_Data!K4744</f>
        <v>22</v>
      </c>
      <c r="L4744" s="17" t="str">
        <f>Raw_Data!L4744</f>
        <v>Ahmedabad-West</v>
      </c>
      <c r="M4744" s="13" t="str">
        <f t="shared" si="3"/>
        <v>OK</v>
      </c>
      <c r="N4744" s="18" t="str">
        <f t="shared" si="4"/>
        <v>VALID</v>
      </c>
    </row>
    <row r="4745" ht="15.75" customHeight="1">
      <c r="A4745" s="13" t="str">
        <f>Raw_Data!A4745</f>
        <v>EMP4999</v>
      </c>
      <c r="B4745" s="13" t="str">
        <f>TRIM(CLEAN(Raw_Data!B4745))</f>
        <v>Marketing</v>
      </c>
      <c r="C4745" s="18" t="s">
        <v>14</v>
      </c>
      <c r="D4745" s="14" t="str">
        <f>IF(ISBLANK(Raw_Data!D4745),AVERAGE(Raw_Data!D$2:D$5002),Raw_Data!D4745)</f>
        <v>62522.51</v>
      </c>
      <c r="E4745" s="15" t="str">
        <f>IF(ISBLANK(Raw_Data!E4745),AVERAGE(Raw_Data!E$2:E$5002),Raw_Data!E4745)</f>
        <v>32774.82</v>
      </c>
      <c r="F4745" s="15" t="str">
        <f>IF(ISBLANK(Raw_Data!F4745),AVERAGE(Raw_Data!F$2:F$5002),Raw_Data!F4745)</f>
        <v>38563.59</v>
      </c>
      <c r="G4745" s="14" t="str">
        <f>IF(ISBLANK(Raw_Data!G4745),AVERAGE(Raw_Data!G$2:G$5002),Raw_Data!G4745)</f>
        <v>20831.86</v>
      </c>
      <c r="H4745" s="15" t="str">
        <f t="shared" si="1"/>
        <v>133861.00</v>
      </c>
      <c r="I4745" s="14" t="str">
        <f t="shared" si="2"/>
        <v>113029.00</v>
      </c>
      <c r="J4745" s="16" t="str">
        <f>TEXT(Raw_Data!J4745,"MMM-YYY")</f>
        <v>Dec-2025</v>
      </c>
      <c r="K4745" s="13" t="str">
        <f>Raw_Data!K4745</f>
        <v>1</v>
      </c>
      <c r="L4745" s="17" t="str">
        <f>Raw_Data!L4745</f>
        <v>Jaipur-North</v>
      </c>
      <c r="M4745" s="13" t="str">
        <f t="shared" si="3"/>
        <v>OK</v>
      </c>
      <c r="N4745" s="18" t="str">
        <f t="shared" si="4"/>
        <v>VALID</v>
      </c>
    </row>
    <row r="4746" ht="15.75" customHeight="1">
      <c r="A4746" s="19" t="str">
        <f>Raw_Data!A4746</f>
        <v>EMP5000</v>
      </c>
      <c r="B4746" s="19" t="str">
        <f>TRIM(CLEAN(Raw_Data!B4746))</f>
        <v>HR</v>
      </c>
      <c r="C4746" s="20" t="s">
        <v>33</v>
      </c>
      <c r="D4746" s="21" t="str">
        <f>IF(ISBLANK(Raw_Data!D4746),AVERAGE(Raw_Data!D$2:D$5002),Raw_Data!D4746)</f>
        <v>62533.40</v>
      </c>
      <c r="E4746" s="22" t="str">
        <f>IF(ISBLANK(Raw_Data!E4746),AVERAGE(Raw_Data!E$2:E$5002),Raw_Data!E4746)</f>
        <v>32778.19</v>
      </c>
      <c r="F4746" s="22" t="str">
        <f>IF(ISBLANK(Raw_Data!F4746),AVERAGE(Raw_Data!F$2:F$5002),Raw_Data!F4746)</f>
        <v>38571.27</v>
      </c>
      <c r="G4746" s="21" t="str">
        <f>IF(ISBLANK(Raw_Data!G4746),AVERAGE(Raw_Data!G$2:G$5002),Raw_Data!G4746)</f>
        <v>20834.36</v>
      </c>
      <c r="H4746" s="22" t="str">
        <f t="shared" si="1"/>
        <v>133883.00</v>
      </c>
      <c r="I4746" s="21" t="str">
        <f t="shared" si="2"/>
        <v>113049.00</v>
      </c>
      <c r="J4746" s="16" t="str">
        <f>TEXT(Raw_Data!J4746,"MMM-YYY")</f>
        <v>Feb-2025</v>
      </c>
      <c r="K4746" s="19" t="str">
        <f>Raw_Data!K4746</f>
        <v>14</v>
      </c>
      <c r="L4746" s="23" t="str">
        <f>Raw_Data!L4746</f>
        <v>Mumbai-HO</v>
      </c>
      <c r="M4746" s="19" t="str">
        <f t="shared" si="3"/>
        <v>OK</v>
      </c>
      <c r="N4746" s="20" t="str">
        <f t="shared" si="4"/>
        <v>VALID</v>
      </c>
    </row>
    <row r="4747" ht="15.0" hidden="1" customHeight="1">
      <c r="A4747" s="19"/>
      <c r="B4747" s="19"/>
      <c r="C4747" s="20"/>
      <c r="D4747" s="21"/>
      <c r="E4747" s="22"/>
      <c r="F4747" s="22"/>
      <c r="G4747" s="21"/>
      <c r="H4747" s="21"/>
      <c r="I4747" s="21"/>
      <c r="J4747" s="24"/>
      <c r="K4747" s="19"/>
      <c r="L4747" s="23"/>
      <c r="M4747" s="19"/>
      <c r="N4747" s="20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3" width="14.0"/>
    <col customWidth="1" min="4" max="4" width="8.71"/>
    <col customWidth="1" min="5" max="5" width="18.0"/>
    <col customWidth="1" min="6" max="6" width="22.0"/>
    <col customWidth="1" min="7" max="7" width="19.43"/>
    <col customWidth="1" min="8" max="8" width="38.0"/>
  </cols>
  <sheetData>
    <row r="1">
      <c r="A1" s="25" t="s">
        <v>4842</v>
      </c>
      <c r="B1" s="26"/>
      <c r="C1" s="26"/>
      <c r="D1" s="26"/>
      <c r="E1" s="26"/>
      <c r="F1" s="26"/>
      <c r="G1" s="26"/>
      <c r="H1" s="27"/>
    </row>
    <row r="2">
      <c r="A2" s="28" t="s">
        <v>4843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29" t="s">
        <v>4844</v>
      </c>
      <c r="B4" s="29" t="s">
        <v>4845</v>
      </c>
      <c r="C4" s="29" t="s">
        <v>4846</v>
      </c>
      <c r="D4" s="1"/>
      <c r="E4" s="30" t="s">
        <v>4847</v>
      </c>
      <c r="F4" s="30"/>
      <c r="G4" s="30"/>
      <c r="H4" s="30"/>
    </row>
    <row r="5">
      <c r="A5" s="31" t="s">
        <v>4848</v>
      </c>
      <c r="B5" s="31">
        <v>5000.0</v>
      </c>
      <c r="C5" s="32" t="s">
        <v>4849</v>
      </c>
      <c r="D5" s="1"/>
      <c r="E5" s="33" t="s">
        <v>0</v>
      </c>
      <c r="F5" s="34" t="s">
        <v>4850</v>
      </c>
      <c r="G5" s="34" t="s">
        <v>4851</v>
      </c>
      <c r="H5" s="35" t="s">
        <v>4852</v>
      </c>
    </row>
    <row r="6">
      <c r="A6" s="31" t="s">
        <v>4853</v>
      </c>
      <c r="B6" s="31">
        <v>4746.0</v>
      </c>
      <c r="C6" s="32" t="s">
        <v>4849</v>
      </c>
      <c r="D6" s="1"/>
      <c r="E6" s="36" t="s">
        <v>35</v>
      </c>
      <c r="F6" s="37" t="s">
        <v>4854</v>
      </c>
      <c r="G6" s="38">
        <v>46129.95</v>
      </c>
      <c r="H6" s="39" t="s">
        <v>4855</v>
      </c>
    </row>
    <row r="7">
      <c r="A7" s="31" t="s">
        <v>4856</v>
      </c>
      <c r="B7" s="31">
        <v>254.0</v>
      </c>
      <c r="C7" s="32" t="s">
        <v>4849</v>
      </c>
      <c r="D7" s="1"/>
      <c r="E7" s="36" t="s">
        <v>35</v>
      </c>
      <c r="F7" s="37" t="s">
        <v>4857</v>
      </c>
      <c r="G7" s="38">
        <v>51129.95</v>
      </c>
      <c r="H7" s="39" t="s">
        <v>4858</v>
      </c>
    </row>
    <row r="8">
      <c r="A8" s="31" t="s">
        <v>4859</v>
      </c>
      <c r="B8" s="31">
        <v>254.0</v>
      </c>
      <c r="C8" s="32" t="s">
        <v>4849</v>
      </c>
      <c r="D8" s="1"/>
      <c r="E8" s="36" t="s">
        <v>59</v>
      </c>
      <c r="F8" s="37" t="s">
        <v>4860</v>
      </c>
      <c r="G8" s="37"/>
      <c r="H8" s="39" t="s">
        <v>4861</v>
      </c>
    </row>
    <row r="9">
      <c r="A9" s="31" t="s">
        <v>4862</v>
      </c>
      <c r="B9" s="31">
        <v>30.0</v>
      </c>
      <c r="C9" s="32" t="s">
        <v>4849</v>
      </c>
      <c r="D9" s="1"/>
      <c r="E9" s="36" t="s">
        <v>59</v>
      </c>
      <c r="F9" s="37" t="s">
        <v>4857</v>
      </c>
      <c r="G9" s="38">
        <v>30407.27</v>
      </c>
      <c r="H9" s="39" t="s">
        <v>4858</v>
      </c>
    </row>
    <row r="10">
      <c r="A10" s="31" t="s">
        <v>4863</v>
      </c>
      <c r="B10" s="31">
        <v>90.0</v>
      </c>
      <c r="C10" s="32" t="s">
        <v>4849</v>
      </c>
      <c r="D10" s="1"/>
      <c r="E10" s="36" t="s">
        <v>77</v>
      </c>
      <c r="F10" s="37" t="s">
        <v>4860</v>
      </c>
      <c r="G10" s="37"/>
      <c r="H10" s="39" t="s">
        <v>4861</v>
      </c>
    </row>
    <row r="11">
      <c r="A11" s="31" t="s">
        <v>4864</v>
      </c>
      <c r="B11" s="31">
        <v>90.0</v>
      </c>
      <c r="C11" s="32" t="s">
        <v>4849</v>
      </c>
      <c r="D11" s="1"/>
      <c r="E11" s="36" t="s">
        <v>77</v>
      </c>
      <c r="F11" s="37" t="s">
        <v>4857</v>
      </c>
      <c r="G11" s="38">
        <v>110600.56</v>
      </c>
      <c r="H11" s="39" t="s">
        <v>4858</v>
      </c>
    </row>
    <row r="12">
      <c r="A12" s="31" t="s">
        <v>4865</v>
      </c>
      <c r="B12" s="31">
        <v>3896.0</v>
      </c>
      <c r="C12" s="32" t="s">
        <v>4849</v>
      </c>
      <c r="D12" s="1"/>
      <c r="E12" s="36" t="s">
        <v>91</v>
      </c>
      <c r="F12" s="37" t="s">
        <v>4866</v>
      </c>
      <c r="G12" s="37"/>
      <c r="H12" s="39" t="s">
        <v>4867</v>
      </c>
    </row>
    <row r="13">
      <c r="A13" s="31" t="s">
        <v>4868</v>
      </c>
      <c r="B13" s="31">
        <v>4028.0</v>
      </c>
      <c r="C13" s="32" t="s">
        <v>4849</v>
      </c>
      <c r="D13" s="1"/>
      <c r="E13" s="36" t="s">
        <v>92</v>
      </c>
      <c r="F13" s="37" t="s">
        <v>4869</v>
      </c>
      <c r="G13" s="37"/>
      <c r="H13" s="39" t="s">
        <v>4861</v>
      </c>
    </row>
    <row r="14">
      <c r="A14" s="31" t="s">
        <v>4870</v>
      </c>
      <c r="B14" s="31">
        <v>0.0</v>
      </c>
      <c r="C14" s="40" t="s">
        <v>4871</v>
      </c>
      <c r="D14" s="1"/>
      <c r="E14" s="36" t="s">
        <v>92</v>
      </c>
      <c r="F14" s="37" t="s">
        <v>4854</v>
      </c>
      <c r="G14" s="38">
        <v>25731.7</v>
      </c>
      <c r="H14" s="39" t="s">
        <v>4855</v>
      </c>
    </row>
    <row r="15">
      <c r="A15" s="31" t="s">
        <v>4872</v>
      </c>
      <c r="B15" s="31">
        <v>0.0</v>
      </c>
      <c r="C15" s="40" t="s">
        <v>4871</v>
      </c>
      <c r="D15" s="1"/>
      <c r="E15" s="36" t="s">
        <v>111</v>
      </c>
      <c r="F15" s="37" t="s">
        <v>4869</v>
      </c>
      <c r="G15" s="37"/>
      <c r="H15" s="39" t="s">
        <v>4861</v>
      </c>
    </row>
    <row r="16">
      <c r="A16" s="31" t="s">
        <v>4873</v>
      </c>
      <c r="B16" s="31">
        <v>0.0</v>
      </c>
      <c r="C16" s="40" t="s">
        <v>4871</v>
      </c>
      <c r="D16" s="1"/>
      <c r="E16" s="36" t="s">
        <v>111</v>
      </c>
      <c r="F16" s="37" t="s">
        <v>4854</v>
      </c>
      <c r="G16" s="38">
        <v>112351.64</v>
      </c>
      <c r="H16" s="39" t="s">
        <v>4855</v>
      </c>
    </row>
    <row r="17">
      <c r="A17" s="31" t="s">
        <v>4874</v>
      </c>
      <c r="B17" s="31">
        <v>0.0</v>
      </c>
      <c r="C17" s="40" t="s">
        <v>4871</v>
      </c>
      <c r="D17" s="1"/>
      <c r="E17" s="36" t="s">
        <v>163</v>
      </c>
      <c r="F17" s="37" t="s">
        <v>4866</v>
      </c>
      <c r="G17" s="37"/>
      <c r="H17" s="39" t="s">
        <v>4867</v>
      </c>
    </row>
    <row r="18">
      <c r="A18" s="1"/>
      <c r="B18" s="1"/>
      <c r="C18" s="1"/>
      <c r="D18" s="1"/>
      <c r="E18" s="36" t="s">
        <v>165</v>
      </c>
      <c r="F18" s="37" t="s">
        <v>4854</v>
      </c>
      <c r="G18" s="38">
        <v>33565.78</v>
      </c>
      <c r="H18" s="39" t="s">
        <v>4855</v>
      </c>
    </row>
    <row r="19">
      <c r="A19" s="41" t="s">
        <v>4875</v>
      </c>
      <c r="B19" s="42" t="str">
        <f>IF(SUM(B14:B16)=0,"PASS","CHECK")</f>
        <v>PASS</v>
      </c>
      <c r="C19" s="1"/>
      <c r="D19" s="1"/>
      <c r="E19" s="36" t="s">
        <v>165</v>
      </c>
      <c r="F19" s="37" t="s">
        <v>4857</v>
      </c>
      <c r="G19" s="38">
        <v>38565.78</v>
      </c>
      <c r="H19" s="39" t="s">
        <v>4858</v>
      </c>
    </row>
    <row r="20">
      <c r="A20" s="1"/>
      <c r="B20" s="1"/>
      <c r="C20" s="1"/>
      <c r="D20" s="1"/>
      <c r="E20" s="36" t="s">
        <v>220</v>
      </c>
      <c r="F20" s="37" t="s">
        <v>4854</v>
      </c>
      <c r="G20" s="38">
        <v>78840.54</v>
      </c>
      <c r="H20" s="39" t="s">
        <v>4855</v>
      </c>
    </row>
    <row r="21" ht="15.75" customHeight="1">
      <c r="A21" s="1"/>
      <c r="B21" s="1"/>
      <c r="C21" s="1"/>
      <c r="D21" s="1"/>
      <c r="E21" s="36" t="s">
        <v>220</v>
      </c>
      <c r="F21" s="37" t="s">
        <v>4857</v>
      </c>
      <c r="G21" s="38">
        <v>83840.54</v>
      </c>
      <c r="H21" s="39" t="s">
        <v>4858</v>
      </c>
    </row>
    <row r="22" ht="15.75" customHeight="1">
      <c r="A22" s="1"/>
      <c r="B22" s="1"/>
      <c r="C22" s="1"/>
      <c r="D22" s="1"/>
      <c r="E22" s="36" t="s">
        <v>226</v>
      </c>
      <c r="F22" s="37" t="s">
        <v>4860</v>
      </c>
      <c r="G22" s="37"/>
      <c r="H22" s="39" t="s">
        <v>4861</v>
      </c>
    </row>
    <row r="23" ht="15.75" customHeight="1">
      <c r="A23" s="1"/>
      <c r="B23" s="1"/>
      <c r="C23" s="1"/>
      <c r="D23" s="1"/>
      <c r="E23" s="36" t="s">
        <v>226</v>
      </c>
      <c r="F23" s="37" t="s">
        <v>4857</v>
      </c>
      <c r="G23" s="38">
        <v>37220.32</v>
      </c>
      <c r="H23" s="39" t="s">
        <v>4858</v>
      </c>
    </row>
    <row r="24" ht="15.75" customHeight="1">
      <c r="A24" s="1"/>
      <c r="B24" s="1"/>
      <c r="C24" s="1"/>
      <c r="D24" s="1"/>
      <c r="E24" s="36" t="s">
        <v>244</v>
      </c>
      <c r="F24" s="37" t="s">
        <v>4860</v>
      </c>
      <c r="G24" s="37"/>
      <c r="H24" s="39" t="s">
        <v>4861</v>
      </c>
    </row>
    <row r="25" ht="15.75" customHeight="1">
      <c r="A25" s="1"/>
      <c r="B25" s="1"/>
      <c r="C25" s="1"/>
      <c r="D25" s="1"/>
      <c r="E25" s="36" t="s">
        <v>244</v>
      </c>
      <c r="F25" s="37" t="s">
        <v>4857</v>
      </c>
      <c r="G25" s="38">
        <v>93399.48</v>
      </c>
      <c r="H25" s="39" t="s">
        <v>4858</v>
      </c>
    </row>
    <row r="26" ht="15.75" customHeight="1">
      <c r="A26" s="1"/>
      <c r="B26" s="1"/>
      <c r="C26" s="1"/>
      <c r="D26" s="1"/>
      <c r="E26" s="36" t="s">
        <v>249</v>
      </c>
      <c r="F26" s="37" t="s">
        <v>4869</v>
      </c>
      <c r="G26" s="37"/>
      <c r="H26" s="39" t="s">
        <v>4861</v>
      </c>
    </row>
    <row r="27" ht="15.75" customHeight="1">
      <c r="A27" s="1"/>
      <c r="B27" s="1"/>
      <c r="C27" s="1"/>
      <c r="D27" s="1"/>
      <c r="E27" s="36" t="s">
        <v>249</v>
      </c>
      <c r="F27" s="37" t="s">
        <v>4854</v>
      </c>
      <c r="G27" s="38">
        <v>39259.94</v>
      </c>
      <c r="H27" s="39" t="s">
        <v>4855</v>
      </c>
    </row>
    <row r="28" ht="15.75" customHeight="1">
      <c r="A28" s="1"/>
      <c r="B28" s="1"/>
      <c r="C28" s="1"/>
      <c r="D28" s="1"/>
      <c r="E28" s="36" t="s">
        <v>267</v>
      </c>
      <c r="F28" s="37" t="s">
        <v>4869</v>
      </c>
      <c r="G28" s="37"/>
      <c r="H28" s="39" t="s">
        <v>4861</v>
      </c>
    </row>
    <row r="29" ht="15.75" customHeight="1">
      <c r="A29" s="1"/>
      <c r="B29" s="1"/>
      <c r="C29" s="1"/>
      <c r="D29" s="1"/>
      <c r="E29" s="36" t="s">
        <v>267</v>
      </c>
      <c r="F29" s="37" t="s">
        <v>4854</v>
      </c>
      <c r="G29" s="38">
        <v>90055.01</v>
      </c>
      <c r="H29" s="39" t="s">
        <v>4855</v>
      </c>
    </row>
    <row r="30" ht="15.75" customHeight="1">
      <c r="A30" s="1"/>
      <c r="B30" s="1"/>
      <c r="C30" s="1"/>
      <c r="D30" s="1"/>
      <c r="E30" s="36" t="s">
        <v>281</v>
      </c>
      <c r="F30" s="37" t="s">
        <v>4866</v>
      </c>
      <c r="G30" s="37"/>
      <c r="H30" s="39" t="s">
        <v>4867</v>
      </c>
    </row>
    <row r="31" ht="15.75" customHeight="1">
      <c r="A31" s="1"/>
      <c r="B31" s="1"/>
      <c r="C31" s="1"/>
      <c r="D31" s="1"/>
      <c r="E31" s="36" t="s">
        <v>287</v>
      </c>
      <c r="F31" s="37" t="s">
        <v>4860</v>
      </c>
      <c r="G31" s="37"/>
      <c r="H31" s="39" t="s">
        <v>4861</v>
      </c>
    </row>
    <row r="32" ht="15.75" customHeight="1">
      <c r="A32" s="1"/>
      <c r="B32" s="1"/>
      <c r="C32" s="1"/>
      <c r="D32" s="1"/>
      <c r="E32" s="36" t="s">
        <v>287</v>
      </c>
      <c r="F32" s="37" t="s">
        <v>4857</v>
      </c>
      <c r="G32" s="38">
        <v>36110.2</v>
      </c>
      <c r="H32" s="39" t="s">
        <v>4858</v>
      </c>
    </row>
    <row r="33" ht="15.75" customHeight="1">
      <c r="A33" s="1"/>
      <c r="B33" s="1"/>
      <c r="C33" s="1"/>
      <c r="D33" s="1"/>
      <c r="E33" s="36" t="s">
        <v>289</v>
      </c>
      <c r="F33" s="37" t="s">
        <v>4860</v>
      </c>
      <c r="G33" s="37"/>
      <c r="H33" s="39" t="s">
        <v>4861</v>
      </c>
    </row>
    <row r="34" ht="15.75" customHeight="1">
      <c r="A34" s="1"/>
      <c r="B34" s="1"/>
      <c r="C34" s="1"/>
      <c r="D34" s="1"/>
      <c r="E34" s="36" t="s">
        <v>289</v>
      </c>
      <c r="F34" s="37" t="s">
        <v>4857</v>
      </c>
      <c r="G34" s="38">
        <v>26274.59</v>
      </c>
      <c r="H34" s="39" t="s">
        <v>4858</v>
      </c>
    </row>
    <row r="35" ht="15.75" customHeight="1">
      <c r="A35" s="1"/>
      <c r="B35" s="1"/>
      <c r="C35" s="1"/>
      <c r="D35" s="1"/>
      <c r="E35" s="36" t="s">
        <v>317</v>
      </c>
      <c r="F35" s="37" t="s">
        <v>4860</v>
      </c>
      <c r="G35" s="37"/>
      <c r="H35" s="39" t="s">
        <v>4861</v>
      </c>
    </row>
    <row r="36" ht="15.75" customHeight="1">
      <c r="A36" s="1"/>
      <c r="B36" s="1"/>
      <c r="C36" s="1"/>
      <c r="D36" s="1"/>
      <c r="E36" s="36" t="s">
        <v>317</v>
      </c>
      <c r="F36" s="37" t="s">
        <v>4857</v>
      </c>
      <c r="G36" s="38">
        <v>45096.32</v>
      </c>
      <c r="H36" s="39" t="s">
        <v>4858</v>
      </c>
    </row>
    <row r="37" ht="15.75" customHeight="1">
      <c r="A37" s="1"/>
      <c r="B37" s="1"/>
      <c r="C37" s="1"/>
      <c r="D37" s="1"/>
      <c r="E37" s="36" t="s">
        <v>318</v>
      </c>
      <c r="F37" s="37" t="s">
        <v>4869</v>
      </c>
      <c r="G37" s="37"/>
      <c r="H37" s="39" t="s">
        <v>4861</v>
      </c>
    </row>
    <row r="38" ht="15.75" customHeight="1">
      <c r="A38" s="1"/>
      <c r="B38" s="1"/>
      <c r="C38" s="1"/>
      <c r="D38" s="1"/>
      <c r="E38" s="36" t="s">
        <v>318</v>
      </c>
      <c r="F38" s="37" t="s">
        <v>4854</v>
      </c>
      <c r="G38" s="38">
        <v>175085.23</v>
      </c>
      <c r="H38" s="39" t="s">
        <v>4855</v>
      </c>
    </row>
    <row r="39" ht="15.75" customHeight="1">
      <c r="A39" s="1"/>
      <c r="B39" s="1"/>
      <c r="C39" s="1"/>
      <c r="D39" s="1"/>
      <c r="E39" s="36" t="s">
        <v>347</v>
      </c>
      <c r="F39" s="37" t="s">
        <v>4854</v>
      </c>
      <c r="G39" s="38">
        <v>50204.85</v>
      </c>
      <c r="H39" s="39" t="s">
        <v>4855</v>
      </c>
    </row>
    <row r="40" ht="15.75" customHeight="1">
      <c r="A40" s="1"/>
      <c r="B40" s="1"/>
      <c r="C40" s="1"/>
      <c r="D40" s="1"/>
      <c r="E40" s="36" t="s">
        <v>347</v>
      </c>
      <c r="F40" s="37" t="s">
        <v>4857</v>
      </c>
      <c r="G40" s="38">
        <v>55204.85</v>
      </c>
      <c r="H40" s="39" t="s">
        <v>4858</v>
      </c>
    </row>
    <row r="41" ht="15.75" customHeight="1">
      <c r="A41" s="1"/>
      <c r="B41" s="1"/>
      <c r="C41" s="1"/>
      <c r="D41" s="1"/>
      <c r="E41" s="36" t="s">
        <v>373</v>
      </c>
      <c r="F41" s="37" t="s">
        <v>4869</v>
      </c>
      <c r="G41" s="37"/>
      <c r="H41" s="39" t="s">
        <v>4861</v>
      </c>
    </row>
    <row r="42" ht="15.75" customHeight="1">
      <c r="A42" s="1"/>
      <c r="B42" s="1"/>
      <c r="C42" s="1"/>
      <c r="D42" s="1"/>
      <c r="E42" s="36" t="s">
        <v>373</v>
      </c>
      <c r="F42" s="37" t="s">
        <v>4854</v>
      </c>
      <c r="G42" s="38">
        <v>79080.4</v>
      </c>
      <c r="H42" s="39" t="s">
        <v>4855</v>
      </c>
    </row>
    <row r="43" ht="15.75" customHeight="1">
      <c r="A43" s="1"/>
      <c r="B43" s="1"/>
      <c r="C43" s="1"/>
      <c r="D43" s="1"/>
      <c r="E43" s="36" t="s">
        <v>385</v>
      </c>
      <c r="F43" s="37" t="s">
        <v>4866</v>
      </c>
      <c r="G43" s="37"/>
      <c r="H43" s="39" t="s">
        <v>4867</v>
      </c>
    </row>
    <row r="44" ht="15.75" customHeight="1">
      <c r="A44" s="1"/>
      <c r="B44" s="1"/>
      <c r="C44" s="1"/>
      <c r="D44" s="1"/>
      <c r="E44" s="36" t="s">
        <v>410</v>
      </c>
      <c r="F44" s="37" t="s">
        <v>4860</v>
      </c>
      <c r="G44" s="37"/>
      <c r="H44" s="39" t="s">
        <v>4861</v>
      </c>
    </row>
    <row r="45" ht="15.75" customHeight="1">
      <c r="A45" s="1"/>
      <c r="B45" s="1"/>
      <c r="C45" s="1"/>
      <c r="D45" s="1"/>
      <c r="E45" s="36" t="s">
        <v>410</v>
      </c>
      <c r="F45" s="37" t="s">
        <v>4857</v>
      </c>
      <c r="G45" s="38">
        <v>31603.64</v>
      </c>
      <c r="H45" s="39" t="s">
        <v>4858</v>
      </c>
    </row>
    <row r="46" ht="15.75" customHeight="1">
      <c r="A46" s="1"/>
      <c r="B46" s="1"/>
      <c r="C46" s="1"/>
      <c r="D46" s="1"/>
      <c r="E46" s="36" t="s">
        <v>412</v>
      </c>
      <c r="F46" s="37" t="s">
        <v>4860</v>
      </c>
      <c r="G46" s="37"/>
      <c r="H46" s="39" t="s">
        <v>4861</v>
      </c>
    </row>
    <row r="47" ht="15.75" customHeight="1">
      <c r="A47" s="1"/>
      <c r="B47" s="1"/>
      <c r="C47" s="1"/>
      <c r="D47" s="1"/>
      <c r="E47" s="36" t="s">
        <v>412</v>
      </c>
      <c r="F47" s="37" t="s">
        <v>4857</v>
      </c>
      <c r="G47" s="38">
        <v>52885.68</v>
      </c>
      <c r="H47" s="39" t="s">
        <v>4858</v>
      </c>
    </row>
    <row r="48" ht="15.75" customHeight="1">
      <c r="A48" s="1"/>
      <c r="B48" s="1"/>
      <c r="C48" s="1"/>
      <c r="D48" s="1"/>
      <c r="E48" s="36" t="s">
        <v>424</v>
      </c>
      <c r="F48" s="37" t="s">
        <v>4869</v>
      </c>
      <c r="G48" s="37"/>
      <c r="H48" s="39" t="s">
        <v>4861</v>
      </c>
    </row>
    <row r="49" ht="15.75" customHeight="1">
      <c r="A49" s="1"/>
      <c r="B49" s="1"/>
      <c r="C49" s="1"/>
      <c r="D49" s="1"/>
      <c r="E49" s="36" t="s">
        <v>424</v>
      </c>
      <c r="F49" s="37" t="s">
        <v>4854</v>
      </c>
      <c r="G49" s="38">
        <v>67910.12</v>
      </c>
      <c r="H49" s="39" t="s">
        <v>4855</v>
      </c>
    </row>
    <row r="50" ht="15.75" customHeight="1">
      <c r="A50" s="1"/>
      <c r="B50" s="1"/>
      <c r="C50" s="1"/>
      <c r="D50" s="1"/>
      <c r="E50" s="36" t="s">
        <v>427</v>
      </c>
      <c r="F50" s="37" t="s">
        <v>4869</v>
      </c>
      <c r="G50" s="37"/>
      <c r="H50" s="39" t="s">
        <v>4861</v>
      </c>
    </row>
    <row r="51" ht="15.75" customHeight="1">
      <c r="A51" s="1"/>
      <c r="B51" s="1"/>
      <c r="C51" s="1"/>
      <c r="D51" s="1"/>
      <c r="E51" s="36" t="s">
        <v>427</v>
      </c>
      <c r="F51" s="37" t="s">
        <v>4854</v>
      </c>
      <c r="G51" s="38">
        <v>31746.05</v>
      </c>
      <c r="H51" s="39" t="s">
        <v>4855</v>
      </c>
    </row>
    <row r="52" ht="15.75" customHeight="1">
      <c r="A52" s="1"/>
      <c r="B52" s="1"/>
      <c r="C52" s="1"/>
      <c r="D52" s="1"/>
      <c r="E52" s="36" t="s">
        <v>446</v>
      </c>
      <c r="F52" s="37" t="s">
        <v>4869</v>
      </c>
      <c r="G52" s="37"/>
      <c r="H52" s="39" t="s">
        <v>4861</v>
      </c>
    </row>
    <row r="53" ht="15.75" customHeight="1">
      <c r="A53" s="1"/>
      <c r="B53" s="1"/>
      <c r="C53" s="1"/>
      <c r="D53" s="1"/>
      <c r="E53" s="36" t="s">
        <v>446</v>
      </c>
      <c r="F53" s="37" t="s">
        <v>4854</v>
      </c>
      <c r="G53" s="38">
        <v>161888.87</v>
      </c>
      <c r="H53" s="39" t="s">
        <v>4855</v>
      </c>
    </row>
    <row r="54" ht="15.75" customHeight="1">
      <c r="A54" s="1"/>
      <c r="B54" s="1"/>
      <c r="C54" s="1"/>
      <c r="D54" s="1"/>
      <c r="E54" s="36" t="s">
        <v>470</v>
      </c>
      <c r="F54" s="37" t="s">
        <v>4860</v>
      </c>
      <c r="G54" s="37"/>
      <c r="H54" s="39" t="s">
        <v>4861</v>
      </c>
    </row>
    <row r="55" ht="15.75" customHeight="1">
      <c r="A55" s="1"/>
      <c r="B55" s="1"/>
      <c r="C55" s="1"/>
      <c r="D55" s="1"/>
      <c r="E55" s="36" t="s">
        <v>470</v>
      </c>
      <c r="F55" s="37" t="s">
        <v>4857</v>
      </c>
      <c r="G55" s="38">
        <v>87668.38</v>
      </c>
      <c r="H55" s="39" t="s">
        <v>4858</v>
      </c>
    </row>
    <row r="56" ht="15.75" customHeight="1">
      <c r="A56" s="1"/>
      <c r="B56" s="1"/>
      <c r="C56" s="1"/>
      <c r="D56" s="1"/>
      <c r="E56" s="36" t="s">
        <v>547</v>
      </c>
      <c r="F56" s="37" t="s">
        <v>4866</v>
      </c>
      <c r="G56" s="37"/>
      <c r="H56" s="39" t="s">
        <v>4867</v>
      </c>
    </row>
    <row r="57" ht="15.75" customHeight="1">
      <c r="A57" s="1"/>
      <c r="B57" s="1"/>
      <c r="C57" s="1"/>
      <c r="D57" s="1"/>
      <c r="E57" s="36" t="s">
        <v>558</v>
      </c>
      <c r="F57" s="37" t="s">
        <v>4854</v>
      </c>
      <c r="G57" s="38">
        <v>16477.89</v>
      </c>
      <c r="H57" s="39" t="s">
        <v>4855</v>
      </c>
    </row>
    <row r="58" ht="15.75" customHeight="1">
      <c r="A58" s="1"/>
      <c r="B58" s="1"/>
      <c r="C58" s="1"/>
      <c r="D58" s="1"/>
      <c r="E58" s="36" t="s">
        <v>558</v>
      </c>
      <c r="F58" s="37" t="s">
        <v>4857</v>
      </c>
      <c r="G58" s="38">
        <v>21477.89</v>
      </c>
      <c r="H58" s="39" t="s">
        <v>4858</v>
      </c>
    </row>
    <row r="59" ht="15.75" customHeight="1">
      <c r="A59" s="1"/>
      <c r="B59" s="1"/>
      <c r="C59" s="1"/>
      <c r="D59" s="1"/>
      <c r="E59" s="36" t="s">
        <v>559</v>
      </c>
      <c r="F59" s="37" t="s">
        <v>4860</v>
      </c>
      <c r="G59" s="37"/>
      <c r="H59" s="39" t="s">
        <v>4861</v>
      </c>
    </row>
    <row r="60" ht="15.75" customHeight="1">
      <c r="A60" s="1"/>
      <c r="B60" s="1"/>
      <c r="C60" s="1"/>
      <c r="D60" s="1"/>
      <c r="E60" s="36" t="s">
        <v>559</v>
      </c>
      <c r="F60" s="37" t="s">
        <v>4857</v>
      </c>
      <c r="G60" s="38">
        <v>84551.53</v>
      </c>
      <c r="H60" s="39" t="s">
        <v>4858</v>
      </c>
    </row>
    <row r="61" ht="15.75" customHeight="1">
      <c r="A61" s="1"/>
      <c r="B61" s="1"/>
      <c r="C61" s="1"/>
      <c r="D61" s="1"/>
      <c r="E61" s="36" t="s">
        <v>566</v>
      </c>
      <c r="F61" s="37" t="s">
        <v>4854</v>
      </c>
      <c r="G61" s="38">
        <v>55924.64</v>
      </c>
      <c r="H61" s="39" t="s">
        <v>4855</v>
      </c>
    </row>
    <row r="62" ht="15.75" customHeight="1">
      <c r="A62" s="1"/>
      <c r="B62" s="1"/>
      <c r="C62" s="1"/>
      <c r="D62" s="1"/>
      <c r="E62" s="36" t="s">
        <v>566</v>
      </c>
      <c r="F62" s="37" t="s">
        <v>4857</v>
      </c>
      <c r="G62" s="38">
        <v>60924.64</v>
      </c>
      <c r="H62" s="39" t="s">
        <v>4858</v>
      </c>
    </row>
    <row r="63" ht="15.75" customHeight="1">
      <c r="A63" s="1"/>
      <c r="B63" s="1"/>
      <c r="C63" s="1"/>
      <c r="D63" s="1"/>
      <c r="E63" s="36" t="s">
        <v>578</v>
      </c>
      <c r="F63" s="37" t="s">
        <v>4860</v>
      </c>
      <c r="G63" s="37"/>
      <c r="H63" s="39" t="s">
        <v>4861</v>
      </c>
    </row>
    <row r="64" ht="15.75" customHeight="1">
      <c r="A64" s="1"/>
      <c r="B64" s="1"/>
      <c r="C64" s="1"/>
      <c r="D64" s="1"/>
      <c r="E64" s="36" t="s">
        <v>578</v>
      </c>
      <c r="F64" s="37" t="s">
        <v>4857</v>
      </c>
      <c r="G64" s="38">
        <v>27136.31</v>
      </c>
      <c r="H64" s="39" t="s">
        <v>4858</v>
      </c>
    </row>
    <row r="65" ht="15.75" customHeight="1">
      <c r="A65" s="1"/>
      <c r="B65" s="1"/>
      <c r="C65" s="1"/>
      <c r="D65" s="1"/>
      <c r="E65" s="36" t="s">
        <v>594</v>
      </c>
      <c r="F65" s="37" t="s">
        <v>4860</v>
      </c>
      <c r="G65" s="37"/>
      <c r="H65" s="39" t="s">
        <v>4861</v>
      </c>
    </row>
    <row r="66" ht="15.75" customHeight="1">
      <c r="A66" s="1"/>
      <c r="B66" s="1"/>
      <c r="C66" s="1"/>
      <c r="D66" s="1"/>
      <c r="E66" s="36" t="s">
        <v>594</v>
      </c>
      <c r="F66" s="37" t="s">
        <v>4857</v>
      </c>
      <c r="G66" s="38">
        <v>47053.93</v>
      </c>
      <c r="H66" s="39" t="s">
        <v>4858</v>
      </c>
    </row>
    <row r="67" ht="15.75" customHeight="1">
      <c r="A67" s="1"/>
      <c r="B67" s="1"/>
      <c r="C67" s="1"/>
      <c r="D67" s="1"/>
      <c r="E67" s="36" t="s">
        <v>611</v>
      </c>
      <c r="F67" s="37" t="s">
        <v>4860</v>
      </c>
      <c r="G67" s="37"/>
      <c r="H67" s="39" t="s">
        <v>4861</v>
      </c>
    </row>
    <row r="68" ht="15.75" customHeight="1">
      <c r="A68" s="1"/>
      <c r="B68" s="1"/>
      <c r="C68" s="1"/>
      <c r="D68" s="1"/>
      <c r="E68" s="36" t="s">
        <v>611</v>
      </c>
      <c r="F68" s="37" t="s">
        <v>4857</v>
      </c>
      <c r="G68" s="38">
        <v>41093.66</v>
      </c>
      <c r="H68" s="39" t="s">
        <v>4858</v>
      </c>
    </row>
    <row r="69" ht="15.75" customHeight="1">
      <c r="A69" s="1"/>
      <c r="B69" s="1"/>
      <c r="C69" s="1"/>
      <c r="D69" s="1"/>
      <c r="E69" s="36" t="s">
        <v>641</v>
      </c>
      <c r="F69" s="37" t="s">
        <v>4869</v>
      </c>
      <c r="G69" s="37"/>
      <c r="H69" s="39" t="s">
        <v>4861</v>
      </c>
    </row>
    <row r="70" ht="15.75" customHeight="1">
      <c r="A70" s="1"/>
      <c r="B70" s="1"/>
      <c r="C70" s="1"/>
      <c r="D70" s="1"/>
      <c r="E70" s="36" t="s">
        <v>641</v>
      </c>
      <c r="F70" s="37" t="s">
        <v>4854</v>
      </c>
      <c r="G70" s="38">
        <v>118547.21</v>
      </c>
      <c r="H70" s="39" t="s">
        <v>4855</v>
      </c>
    </row>
    <row r="71" ht="15.75" customHeight="1">
      <c r="A71" s="1"/>
      <c r="B71" s="1"/>
      <c r="C71" s="1"/>
      <c r="D71" s="1"/>
      <c r="E71" s="36" t="s">
        <v>663</v>
      </c>
      <c r="F71" s="37" t="s">
        <v>4860</v>
      </c>
      <c r="G71" s="37"/>
      <c r="H71" s="39" t="s">
        <v>4861</v>
      </c>
    </row>
    <row r="72" ht="15.75" customHeight="1">
      <c r="A72" s="1"/>
      <c r="B72" s="1"/>
      <c r="C72" s="1"/>
      <c r="D72" s="1"/>
      <c r="E72" s="36" t="s">
        <v>663</v>
      </c>
      <c r="F72" s="37" t="s">
        <v>4857</v>
      </c>
      <c r="G72" s="38">
        <v>82984.89</v>
      </c>
      <c r="H72" s="39" t="s">
        <v>4858</v>
      </c>
    </row>
    <row r="73" ht="15.75" customHeight="1">
      <c r="A73" s="1"/>
      <c r="B73" s="1"/>
      <c r="C73" s="1"/>
      <c r="D73" s="1"/>
      <c r="E73" s="36" t="s">
        <v>713</v>
      </c>
      <c r="F73" s="37" t="s">
        <v>4866</v>
      </c>
      <c r="G73" s="37"/>
      <c r="H73" s="39" t="s">
        <v>4867</v>
      </c>
    </row>
    <row r="74" ht="15.75" customHeight="1">
      <c r="A74" s="1"/>
      <c r="B74" s="1"/>
      <c r="C74" s="1"/>
      <c r="D74" s="1"/>
      <c r="E74" s="36" t="s">
        <v>751</v>
      </c>
      <c r="F74" s="37" t="s">
        <v>4854</v>
      </c>
      <c r="G74" s="38">
        <v>24927.24</v>
      </c>
      <c r="H74" s="39" t="s">
        <v>4855</v>
      </c>
    </row>
    <row r="75" ht="15.75" customHeight="1">
      <c r="A75" s="1"/>
      <c r="B75" s="1"/>
      <c r="C75" s="1"/>
      <c r="D75" s="1"/>
      <c r="E75" s="36" t="s">
        <v>751</v>
      </c>
      <c r="F75" s="37" t="s">
        <v>4857</v>
      </c>
      <c r="G75" s="38">
        <v>29927.24</v>
      </c>
      <c r="H75" s="39" t="s">
        <v>4858</v>
      </c>
    </row>
    <row r="76" ht="15.75" customHeight="1">
      <c r="A76" s="1"/>
      <c r="B76" s="1"/>
      <c r="C76" s="1"/>
      <c r="D76" s="1"/>
      <c r="E76" s="36" t="s">
        <v>758</v>
      </c>
      <c r="F76" s="37" t="s">
        <v>4869</v>
      </c>
      <c r="G76" s="37"/>
      <c r="H76" s="39" t="s">
        <v>4861</v>
      </c>
    </row>
    <row r="77" ht="15.75" customHeight="1">
      <c r="A77" s="1"/>
      <c r="B77" s="1"/>
      <c r="C77" s="1"/>
      <c r="D77" s="1"/>
      <c r="E77" s="36" t="s">
        <v>758</v>
      </c>
      <c r="F77" s="37" t="s">
        <v>4854</v>
      </c>
      <c r="G77" s="38">
        <v>102178.18</v>
      </c>
      <c r="H77" s="39" t="s">
        <v>4855</v>
      </c>
    </row>
    <row r="78" ht="15.75" customHeight="1">
      <c r="A78" s="1"/>
      <c r="B78" s="1"/>
      <c r="C78" s="1"/>
      <c r="D78" s="1"/>
      <c r="E78" s="36" t="s">
        <v>768</v>
      </c>
      <c r="F78" s="37" t="s">
        <v>4869</v>
      </c>
      <c r="G78" s="37"/>
      <c r="H78" s="39" t="s">
        <v>4861</v>
      </c>
    </row>
    <row r="79" ht="15.75" customHeight="1">
      <c r="A79" s="1"/>
      <c r="B79" s="1"/>
      <c r="C79" s="1"/>
      <c r="D79" s="1"/>
      <c r="E79" s="36" t="s">
        <v>768</v>
      </c>
      <c r="F79" s="37" t="s">
        <v>4854</v>
      </c>
      <c r="G79" s="38">
        <v>47122.67</v>
      </c>
      <c r="H79" s="39" t="s">
        <v>4855</v>
      </c>
    </row>
    <row r="80" ht="15.75" customHeight="1">
      <c r="A80" s="1"/>
      <c r="B80" s="1"/>
      <c r="C80" s="1"/>
      <c r="D80" s="1"/>
      <c r="E80" s="36" t="s">
        <v>809</v>
      </c>
      <c r="F80" s="37" t="s">
        <v>4869</v>
      </c>
      <c r="G80" s="37"/>
      <c r="H80" s="39" t="s">
        <v>4861</v>
      </c>
    </row>
    <row r="81" ht="15.75" customHeight="1">
      <c r="A81" s="1"/>
      <c r="B81" s="1"/>
      <c r="C81" s="1"/>
      <c r="D81" s="1"/>
      <c r="E81" s="36" t="s">
        <v>809</v>
      </c>
      <c r="F81" s="37" t="s">
        <v>4854</v>
      </c>
      <c r="G81" s="38">
        <v>45023.2</v>
      </c>
      <c r="H81" s="39" t="s">
        <v>4855</v>
      </c>
    </row>
    <row r="82" ht="15.75" customHeight="1">
      <c r="A82" s="1"/>
      <c r="B82" s="1"/>
      <c r="C82" s="1"/>
      <c r="D82" s="1"/>
      <c r="E82" s="36" t="s">
        <v>814</v>
      </c>
      <c r="F82" s="37" t="s">
        <v>4869</v>
      </c>
      <c r="G82" s="37"/>
      <c r="H82" s="39" t="s">
        <v>4861</v>
      </c>
    </row>
    <row r="83" ht="15.75" customHeight="1">
      <c r="A83" s="1"/>
      <c r="B83" s="1"/>
      <c r="C83" s="1"/>
      <c r="D83" s="1"/>
      <c r="E83" s="36" t="s">
        <v>814</v>
      </c>
      <c r="F83" s="37" t="s">
        <v>4854</v>
      </c>
      <c r="G83" s="38">
        <v>119366.95</v>
      </c>
      <c r="H83" s="39" t="s">
        <v>4855</v>
      </c>
    </row>
    <row r="84" ht="15.75" customHeight="1">
      <c r="A84" s="1"/>
      <c r="B84" s="1"/>
      <c r="C84" s="1"/>
      <c r="D84" s="1"/>
      <c r="E84" s="36" t="s">
        <v>817</v>
      </c>
      <c r="F84" s="37" t="s">
        <v>4860</v>
      </c>
      <c r="G84" s="37"/>
      <c r="H84" s="39" t="s">
        <v>4861</v>
      </c>
    </row>
    <row r="85" ht="15.75" customHeight="1">
      <c r="A85" s="1"/>
      <c r="B85" s="1"/>
      <c r="C85" s="1"/>
      <c r="D85" s="1"/>
      <c r="E85" s="36" t="s">
        <v>817</v>
      </c>
      <c r="F85" s="37" t="s">
        <v>4857</v>
      </c>
      <c r="G85" s="38">
        <v>63666.05</v>
      </c>
      <c r="H85" s="39" t="s">
        <v>4858</v>
      </c>
    </row>
    <row r="86" ht="15.75" customHeight="1">
      <c r="A86" s="1"/>
      <c r="B86" s="1"/>
      <c r="C86" s="1"/>
      <c r="D86" s="1"/>
      <c r="E86" s="36" t="s">
        <v>829</v>
      </c>
      <c r="F86" s="37" t="s">
        <v>4854</v>
      </c>
      <c r="G86" s="38">
        <v>68423.07</v>
      </c>
      <c r="H86" s="39" t="s">
        <v>4855</v>
      </c>
    </row>
    <row r="87" ht="15.75" customHeight="1">
      <c r="A87" s="1"/>
      <c r="B87" s="1"/>
      <c r="C87" s="1"/>
      <c r="D87" s="1"/>
      <c r="E87" s="36" t="s">
        <v>829</v>
      </c>
      <c r="F87" s="37" t="s">
        <v>4857</v>
      </c>
      <c r="G87" s="38">
        <v>73423.07</v>
      </c>
      <c r="H87" s="39" t="s">
        <v>4858</v>
      </c>
    </row>
    <row r="88" ht="15.75" customHeight="1">
      <c r="A88" s="1"/>
      <c r="B88" s="1"/>
      <c r="C88" s="1"/>
      <c r="D88" s="1"/>
      <c r="E88" s="36" t="s">
        <v>870</v>
      </c>
      <c r="F88" s="37" t="s">
        <v>4869</v>
      </c>
      <c r="G88" s="37"/>
      <c r="H88" s="39" t="s">
        <v>4861</v>
      </c>
    </row>
    <row r="89" ht="15.75" customHeight="1">
      <c r="A89" s="1"/>
      <c r="B89" s="1"/>
      <c r="C89" s="1"/>
      <c r="D89" s="1"/>
      <c r="E89" s="36" t="s">
        <v>870</v>
      </c>
      <c r="F89" s="37" t="s">
        <v>4854</v>
      </c>
      <c r="G89" s="38">
        <v>81927.29</v>
      </c>
      <c r="H89" s="39" t="s">
        <v>4855</v>
      </c>
    </row>
    <row r="90" ht="15.75" customHeight="1">
      <c r="A90" s="1"/>
      <c r="B90" s="1"/>
      <c r="C90" s="1"/>
      <c r="D90" s="1"/>
      <c r="E90" s="36" t="s">
        <v>879</v>
      </c>
      <c r="F90" s="37" t="s">
        <v>4866</v>
      </c>
      <c r="G90" s="37"/>
      <c r="H90" s="39" t="s">
        <v>4867</v>
      </c>
    </row>
    <row r="91" ht="15.75" customHeight="1">
      <c r="A91" s="1"/>
      <c r="B91" s="1"/>
      <c r="C91" s="1"/>
      <c r="D91" s="1"/>
      <c r="E91" s="36" t="s">
        <v>881</v>
      </c>
      <c r="F91" s="37" t="s">
        <v>4869</v>
      </c>
      <c r="G91" s="37"/>
      <c r="H91" s="39" t="s">
        <v>4861</v>
      </c>
    </row>
    <row r="92" ht="15.75" customHeight="1">
      <c r="A92" s="1"/>
      <c r="B92" s="1"/>
      <c r="C92" s="1"/>
      <c r="D92" s="1"/>
      <c r="E92" s="36" t="s">
        <v>881</v>
      </c>
      <c r="F92" s="37" t="s">
        <v>4854</v>
      </c>
      <c r="G92" s="38">
        <v>39918.27</v>
      </c>
      <c r="H92" s="39" t="s">
        <v>4855</v>
      </c>
    </row>
    <row r="93" ht="15.75" customHeight="1">
      <c r="A93" s="1"/>
      <c r="B93" s="1"/>
      <c r="C93" s="1"/>
      <c r="D93" s="1"/>
      <c r="E93" s="36" t="s">
        <v>910</v>
      </c>
      <c r="F93" s="37" t="s">
        <v>4869</v>
      </c>
      <c r="G93" s="37"/>
      <c r="H93" s="39" t="s">
        <v>4861</v>
      </c>
    </row>
    <row r="94" ht="15.75" customHeight="1">
      <c r="A94" s="1"/>
      <c r="B94" s="1"/>
      <c r="C94" s="1"/>
      <c r="D94" s="1"/>
      <c r="E94" s="36" t="s">
        <v>910</v>
      </c>
      <c r="F94" s="37" t="s">
        <v>4854</v>
      </c>
      <c r="G94" s="38">
        <v>30812.78</v>
      </c>
      <c r="H94" s="39" t="s">
        <v>4855</v>
      </c>
    </row>
    <row r="95" ht="15.75" customHeight="1">
      <c r="A95" s="1"/>
      <c r="B95" s="1"/>
      <c r="C95" s="1"/>
      <c r="D95" s="1"/>
      <c r="E95" s="36" t="s">
        <v>914</v>
      </c>
      <c r="F95" s="37" t="s">
        <v>4854</v>
      </c>
      <c r="G95" s="38">
        <v>35978.1</v>
      </c>
      <c r="H95" s="39" t="s">
        <v>4855</v>
      </c>
    </row>
    <row r="96" ht="15.75" customHeight="1">
      <c r="A96" s="1"/>
      <c r="B96" s="1"/>
      <c r="C96" s="1"/>
      <c r="D96" s="1"/>
      <c r="E96" s="36" t="s">
        <v>914</v>
      </c>
      <c r="F96" s="37" t="s">
        <v>4857</v>
      </c>
      <c r="G96" s="38">
        <v>40978.1</v>
      </c>
      <c r="H96" s="39" t="s">
        <v>4858</v>
      </c>
    </row>
    <row r="97" ht="15.75" customHeight="1">
      <c r="A97" s="1"/>
      <c r="B97" s="1"/>
      <c r="C97" s="1"/>
      <c r="D97" s="1"/>
      <c r="E97" s="36" t="s">
        <v>940</v>
      </c>
      <c r="F97" s="37" t="s">
        <v>4854</v>
      </c>
      <c r="G97" s="38">
        <v>19994.92</v>
      </c>
      <c r="H97" s="39" t="s">
        <v>4855</v>
      </c>
    </row>
    <row r="98" ht="15.75" customHeight="1">
      <c r="A98" s="1"/>
      <c r="B98" s="1"/>
      <c r="C98" s="1"/>
      <c r="D98" s="1"/>
      <c r="E98" s="36" t="s">
        <v>940</v>
      </c>
      <c r="F98" s="37" t="s">
        <v>4857</v>
      </c>
      <c r="G98" s="38">
        <v>24994.92</v>
      </c>
      <c r="H98" s="39" t="s">
        <v>4858</v>
      </c>
    </row>
    <row r="99" ht="15.75" customHeight="1">
      <c r="A99" s="1"/>
      <c r="B99" s="1"/>
      <c r="C99" s="1"/>
      <c r="D99" s="1"/>
      <c r="E99" s="36" t="s">
        <v>963</v>
      </c>
      <c r="F99" s="37" t="s">
        <v>4869</v>
      </c>
      <c r="G99" s="37"/>
      <c r="H99" s="39" t="s">
        <v>4861</v>
      </c>
    </row>
    <row r="100" ht="15.75" customHeight="1">
      <c r="A100" s="1"/>
      <c r="B100" s="1"/>
      <c r="C100" s="1"/>
      <c r="D100" s="1"/>
      <c r="E100" s="36" t="s">
        <v>963</v>
      </c>
      <c r="F100" s="37" t="s">
        <v>4854</v>
      </c>
      <c r="G100" s="38">
        <v>75145.41</v>
      </c>
      <c r="H100" s="39" t="s">
        <v>4855</v>
      </c>
    </row>
    <row r="101" ht="15.75" customHeight="1">
      <c r="A101" s="1"/>
      <c r="B101" s="1"/>
      <c r="C101" s="1"/>
      <c r="D101" s="1"/>
      <c r="E101" s="36" t="s">
        <v>985</v>
      </c>
      <c r="F101" s="37" t="s">
        <v>4854</v>
      </c>
      <c r="G101" s="38">
        <v>44329.08</v>
      </c>
      <c r="H101" s="39" t="s">
        <v>4855</v>
      </c>
    </row>
    <row r="102" ht="15.75" customHeight="1">
      <c r="A102" s="1"/>
      <c r="B102" s="1"/>
      <c r="C102" s="1"/>
      <c r="D102" s="1"/>
      <c r="E102" s="36" t="s">
        <v>985</v>
      </c>
      <c r="F102" s="37" t="s">
        <v>4857</v>
      </c>
      <c r="G102" s="38">
        <v>49329.08</v>
      </c>
      <c r="H102" s="39" t="s">
        <v>4858</v>
      </c>
    </row>
    <row r="103" ht="15.75" customHeight="1">
      <c r="A103" s="1"/>
      <c r="B103" s="1"/>
      <c r="C103" s="1"/>
      <c r="D103" s="1"/>
      <c r="E103" s="36" t="s">
        <v>1011</v>
      </c>
      <c r="F103" s="37" t="s">
        <v>4857</v>
      </c>
      <c r="G103" s="38">
        <v>67031.7909971171</v>
      </c>
      <c r="H103" s="39" t="s">
        <v>4858</v>
      </c>
    </row>
    <row r="104" ht="15.75" customHeight="1">
      <c r="A104" s="1"/>
      <c r="B104" s="1"/>
      <c r="C104" s="1"/>
      <c r="D104" s="1"/>
      <c r="E104" s="36" t="s">
        <v>1013</v>
      </c>
      <c r="F104" s="37" t="s">
        <v>4857</v>
      </c>
      <c r="G104" s="38">
        <v>67035.1724715369</v>
      </c>
      <c r="H104" s="39" t="s">
        <v>4858</v>
      </c>
    </row>
    <row r="105" ht="15.75" customHeight="1">
      <c r="A105" s="1"/>
      <c r="B105" s="1"/>
      <c r="C105" s="1"/>
      <c r="D105" s="1"/>
      <c r="E105" s="36" t="s">
        <v>1015</v>
      </c>
      <c r="F105" s="37" t="s">
        <v>4854</v>
      </c>
      <c r="G105" s="38">
        <v>126713.2</v>
      </c>
      <c r="H105" s="39" t="s">
        <v>4855</v>
      </c>
    </row>
    <row r="106" ht="15.75" customHeight="1">
      <c r="A106" s="1"/>
      <c r="B106" s="1"/>
      <c r="C106" s="1"/>
      <c r="D106" s="1"/>
      <c r="E106" s="36" t="s">
        <v>1015</v>
      </c>
      <c r="F106" s="37" t="s">
        <v>4857</v>
      </c>
      <c r="G106" s="38">
        <v>67038.5539459568</v>
      </c>
      <c r="H106" s="39" t="s">
        <v>4858</v>
      </c>
    </row>
    <row r="107" ht="15.75" customHeight="1">
      <c r="A107" s="1"/>
      <c r="B107" s="1"/>
      <c r="C107" s="1"/>
      <c r="D107" s="1"/>
      <c r="E107" s="36" t="s">
        <v>1017</v>
      </c>
      <c r="F107" s="37" t="s">
        <v>4857</v>
      </c>
      <c r="G107" s="38">
        <v>67041.9354203766</v>
      </c>
      <c r="H107" s="39" t="s">
        <v>4858</v>
      </c>
    </row>
    <row r="108" ht="15.75" customHeight="1">
      <c r="A108" s="1"/>
      <c r="B108" s="1"/>
      <c r="C108" s="1"/>
      <c r="D108" s="1"/>
      <c r="E108" s="36" t="s">
        <v>1019</v>
      </c>
      <c r="F108" s="37" t="s">
        <v>4857</v>
      </c>
      <c r="G108" s="38">
        <v>67045.3168947964</v>
      </c>
      <c r="H108" s="39" t="s">
        <v>4858</v>
      </c>
    </row>
    <row r="109" ht="15.75" customHeight="1">
      <c r="A109" s="1"/>
      <c r="B109" s="1"/>
      <c r="C109" s="1"/>
      <c r="D109" s="1"/>
      <c r="E109" s="36" t="s">
        <v>1020</v>
      </c>
      <c r="F109" s="37" t="s">
        <v>4857</v>
      </c>
      <c r="G109" s="38">
        <v>67052.079843636</v>
      </c>
      <c r="H109" s="39" t="s">
        <v>4858</v>
      </c>
    </row>
    <row r="110" ht="15.75" customHeight="1">
      <c r="A110" s="1"/>
      <c r="B110" s="1"/>
      <c r="C110" s="1"/>
      <c r="D110" s="1"/>
      <c r="E110" s="36" t="s">
        <v>1022</v>
      </c>
      <c r="F110" s="37" t="s">
        <v>4857</v>
      </c>
      <c r="G110" s="38">
        <v>67055.4613180558</v>
      </c>
      <c r="H110" s="39" t="s">
        <v>4858</v>
      </c>
    </row>
    <row r="111" ht="15.75" customHeight="1">
      <c r="A111" s="1"/>
      <c r="B111" s="1"/>
      <c r="C111" s="1"/>
      <c r="D111" s="1"/>
      <c r="E111" s="36" t="s">
        <v>1024</v>
      </c>
      <c r="F111" s="37" t="s">
        <v>4857</v>
      </c>
      <c r="G111" s="38">
        <v>67058.8427924756</v>
      </c>
      <c r="H111" s="39" t="s">
        <v>4858</v>
      </c>
    </row>
    <row r="112" ht="15.75" customHeight="1">
      <c r="A112" s="1"/>
      <c r="B112" s="1"/>
      <c r="C112" s="1"/>
      <c r="D112" s="1"/>
      <c r="E112" s="36" t="s">
        <v>1025</v>
      </c>
      <c r="F112" s="37" t="s">
        <v>4857</v>
      </c>
      <c r="G112" s="38">
        <v>67062.2242668955</v>
      </c>
      <c r="H112" s="39" t="s">
        <v>4858</v>
      </c>
    </row>
    <row r="113" ht="15.75" customHeight="1">
      <c r="A113" s="1"/>
      <c r="B113" s="1"/>
      <c r="C113" s="1"/>
      <c r="D113" s="1"/>
      <c r="E113" s="36" t="s">
        <v>1027</v>
      </c>
      <c r="F113" s="37" t="s">
        <v>4857</v>
      </c>
      <c r="G113" s="38">
        <v>67065.6057413153</v>
      </c>
      <c r="H113" s="39" t="s">
        <v>4858</v>
      </c>
    </row>
    <row r="114" ht="15.75" customHeight="1">
      <c r="A114" s="1"/>
      <c r="B114" s="1"/>
      <c r="C114" s="1"/>
      <c r="D114" s="1"/>
      <c r="E114" s="36" t="s">
        <v>1028</v>
      </c>
      <c r="F114" s="37" t="s">
        <v>4857</v>
      </c>
      <c r="G114" s="38">
        <v>67068.9872157351</v>
      </c>
      <c r="H114" s="39" t="s">
        <v>4858</v>
      </c>
    </row>
    <row r="115" ht="15.75" customHeight="1">
      <c r="A115" s="1"/>
      <c r="B115" s="1"/>
      <c r="C115" s="1"/>
      <c r="D115" s="1"/>
      <c r="E115" s="36" t="s">
        <v>1029</v>
      </c>
      <c r="F115" s="37" t="s">
        <v>4857</v>
      </c>
      <c r="G115" s="38">
        <v>67072.3686901549</v>
      </c>
      <c r="H115" s="39" t="s">
        <v>4858</v>
      </c>
    </row>
    <row r="116" ht="15.75" customHeight="1">
      <c r="A116" s="1"/>
      <c r="B116" s="1"/>
      <c r="C116" s="1"/>
      <c r="D116" s="1"/>
      <c r="E116" s="36" t="s">
        <v>1030</v>
      </c>
      <c r="F116" s="37" t="s">
        <v>4857</v>
      </c>
      <c r="G116" s="38">
        <v>67075.7501645747</v>
      </c>
      <c r="H116" s="39" t="s">
        <v>4858</v>
      </c>
    </row>
    <row r="117" ht="15.75" customHeight="1">
      <c r="A117" s="1"/>
      <c r="B117" s="1"/>
      <c r="C117" s="1"/>
      <c r="D117" s="1"/>
      <c r="E117" s="36" t="s">
        <v>1032</v>
      </c>
      <c r="F117" s="37" t="s">
        <v>4857</v>
      </c>
      <c r="G117" s="38">
        <v>67079.1316389945</v>
      </c>
      <c r="H117" s="39" t="s">
        <v>4858</v>
      </c>
    </row>
    <row r="118" ht="15.75" customHeight="1">
      <c r="A118" s="1"/>
      <c r="B118" s="1"/>
      <c r="C118" s="1"/>
      <c r="D118" s="1"/>
      <c r="E118" s="36" t="s">
        <v>1033</v>
      </c>
      <c r="F118" s="37" t="s">
        <v>4854</v>
      </c>
      <c r="G118" s="38">
        <v>62445.88</v>
      </c>
      <c r="H118" s="39" t="s">
        <v>4855</v>
      </c>
    </row>
    <row r="119" ht="15.75" customHeight="1">
      <c r="A119" s="1"/>
      <c r="B119" s="1"/>
      <c r="C119" s="1"/>
      <c r="D119" s="1"/>
      <c r="E119" s="36" t="s">
        <v>1033</v>
      </c>
      <c r="F119" s="37" t="s">
        <v>4857</v>
      </c>
      <c r="G119" s="38">
        <v>67082.5131134143</v>
      </c>
      <c r="H119" s="39" t="s">
        <v>4858</v>
      </c>
    </row>
    <row r="120" ht="15.75" customHeight="1">
      <c r="A120" s="1"/>
      <c r="B120" s="1"/>
      <c r="C120" s="1"/>
      <c r="D120" s="1"/>
      <c r="E120" s="36" t="s">
        <v>1035</v>
      </c>
      <c r="F120" s="37" t="s">
        <v>4857</v>
      </c>
      <c r="G120" s="38">
        <v>67085.8945878342</v>
      </c>
      <c r="H120" s="39" t="s">
        <v>4858</v>
      </c>
    </row>
    <row r="121" ht="15.75" customHeight="1">
      <c r="A121" s="1"/>
      <c r="B121" s="1"/>
      <c r="C121" s="1"/>
      <c r="D121" s="1"/>
      <c r="E121" s="36" t="s">
        <v>1036</v>
      </c>
      <c r="F121" s="37" t="s">
        <v>4857</v>
      </c>
      <c r="G121" s="38">
        <v>67089.276062254</v>
      </c>
      <c r="H121" s="39" t="s">
        <v>4858</v>
      </c>
    </row>
    <row r="122" ht="15.75" customHeight="1">
      <c r="A122" s="1"/>
      <c r="B122" s="1"/>
      <c r="C122" s="1"/>
      <c r="D122" s="1"/>
      <c r="E122" s="36" t="s">
        <v>1037</v>
      </c>
      <c r="F122" s="37" t="s">
        <v>4857</v>
      </c>
      <c r="G122" s="38">
        <v>67092.6575366738</v>
      </c>
      <c r="H122" s="39" t="s">
        <v>4858</v>
      </c>
    </row>
    <row r="123" ht="15.75" customHeight="1">
      <c r="A123" s="1"/>
      <c r="B123" s="1"/>
      <c r="C123" s="1"/>
      <c r="D123" s="1"/>
      <c r="E123" s="36" t="s">
        <v>1038</v>
      </c>
      <c r="F123" s="37" t="s">
        <v>4857</v>
      </c>
      <c r="G123" s="38">
        <v>67096.0390110936</v>
      </c>
      <c r="H123" s="39" t="s">
        <v>4858</v>
      </c>
    </row>
    <row r="124" ht="15.75" customHeight="1">
      <c r="A124" s="1"/>
      <c r="B124" s="1"/>
      <c r="C124" s="1"/>
      <c r="D124" s="1"/>
      <c r="E124" s="36" t="s">
        <v>1039</v>
      </c>
      <c r="F124" s="37" t="s">
        <v>4857</v>
      </c>
      <c r="G124" s="38">
        <v>67099.4204855134</v>
      </c>
      <c r="H124" s="39" t="s">
        <v>4858</v>
      </c>
    </row>
    <row r="125" ht="15.75" customHeight="1">
      <c r="A125" s="1"/>
      <c r="B125" s="1"/>
      <c r="C125" s="1"/>
      <c r="D125" s="1"/>
      <c r="E125" s="36" t="s">
        <v>1041</v>
      </c>
      <c r="F125" s="37" t="s">
        <v>4857</v>
      </c>
      <c r="G125" s="38">
        <v>67102.8019599332</v>
      </c>
      <c r="H125" s="39" t="s">
        <v>4858</v>
      </c>
    </row>
    <row r="126" ht="15.75" customHeight="1">
      <c r="A126" s="1"/>
      <c r="B126" s="1"/>
      <c r="C126" s="1"/>
      <c r="D126" s="1"/>
      <c r="E126" s="36" t="s">
        <v>1043</v>
      </c>
      <c r="F126" s="37" t="s">
        <v>4857</v>
      </c>
      <c r="G126" s="38">
        <v>67106.183434353</v>
      </c>
      <c r="H126" s="39" t="s">
        <v>4858</v>
      </c>
    </row>
    <row r="127" ht="15.75" customHeight="1">
      <c r="A127" s="1"/>
      <c r="B127" s="1"/>
      <c r="C127" s="1"/>
      <c r="D127" s="1"/>
      <c r="E127" s="36" t="s">
        <v>1044</v>
      </c>
      <c r="F127" s="37" t="s">
        <v>4857</v>
      </c>
      <c r="G127" s="38">
        <v>67109.5649087729</v>
      </c>
      <c r="H127" s="39" t="s">
        <v>4858</v>
      </c>
    </row>
    <row r="128" ht="15.75" customHeight="1">
      <c r="A128" s="1"/>
      <c r="B128" s="1"/>
      <c r="C128" s="1"/>
      <c r="D128" s="1"/>
      <c r="E128" s="36" t="s">
        <v>1045</v>
      </c>
      <c r="F128" s="37" t="s">
        <v>4857</v>
      </c>
      <c r="G128" s="38">
        <v>67112.9463831927</v>
      </c>
      <c r="H128" s="39" t="s">
        <v>4858</v>
      </c>
    </row>
    <row r="129" ht="15.75" customHeight="1">
      <c r="A129" s="1"/>
      <c r="B129" s="1"/>
      <c r="C129" s="1"/>
      <c r="D129" s="1"/>
      <c r="E129" s="36" t="s">
        <v>1046</v>
      </c>
      <c r="F129" s="37" t="s">
        <v>4857</v>
      </c>
      <c r="G129" s="38">
        <v>67116.3278576125</v>
      </c>
      <c r="H129" s="39" t="s">
        <v>4858</v>
      </c>
    </row>
    <row r="130" ht="15.75" customHeight="1">
      <c r="A130" s="1"/>
      <c r="B130" s="1"/>
      <c r="C130" s="1"/>
      <c r="D130" s="1"/>
      <c r="E130" s="36" t="s">
        <v>1047</v>
      </c>
      <c r="F130" s="37" t="s">
        <v>4857</v>
      </c>
      <c r="G130" s="38">
        <v>67119.7093320323</v>
      </c>
      <c r="H130" s="39" t="s">
        <v>4858</v>
      </c>
    </row>
    <row r="131" ht="15.75" customHeight="1">
      <c r="A131" s="1"/>
      <c r="B131" s="1"/>
      <c r="C131" s="1"/>
      <c r="D131" s="1"/>
      <c r="E131" s="36" t="s">
        <v>1048</v>
      </c>
      <c r="F131" s="37" t="s">
        <v>4857</v>
      </c>
      <c r="G131" s="38">
        <v>67123.0908064521</v>
      </c>
      <c r="H131" s="39" t="s">
        <v>4858</v>
      </c>
    </row>
    <row r="132" ht="15.75" customHeight="1">
      <c r="A132" s="1"/>
      <c r="B132" s="1"/>
      <c r="C132" s="1"/>
      <c r="D132" s="1"/>
      <c r="E132" s="36" t="s">
        <v>1049</v>
      </c>
      <c r="F132" s="37" t="s">
        <v>4854</v>
      </c>
      <c r="G132" s="38">
        <v>119274.21</v>
      </c>
      <c r="H132" s="39" t="s">
        <v>4855</v>
      </c>
    </row>
    <row r="133" ht="15.75" customHeight="1">
      <c r="A133" s="1"/>
      <c r="B133" s="1"/>
      <c r="C133" s="1"/>
      <c r="D133" s="1"/>
      <c r="E133" s="36" t="s">
        <v>1049</v>
      </c>
      <c r="F133" s="37" t="s">
        <v>4857</v>
      </c>
      <c r="G133" s="38">
        <v>67126.4722808719</v>
      </c>
      <c r="H133" s="39" t="s">
        <v>4858</v>
      </c>
    </row>
    <row r="134" ht="15.75" customHeight="1">
      <c r="A134" s="1"/>
      <c r="B134" s="1"/>
      <c r="C134" s="1"/>
      <c r="D134" s="1"/>
      <c r="E134" s="36" t="s">
        <v>1050</v>
      </c>
      <c r="F134" s="37" t="s">
        <v>4857</v>
      </c>
      <c r="G134" s="38">
        <v>67129.8537552918</v>
      </c>
      <c r="H134" s="39" t="s">
        <v>4858</v>
      </c>
    </row>
    <row r="135" ht="15.75" customHeight="1">
      <c r="A135" s="1"/>
      <c r="B135" s="1"/>
      <c r="C135" s="1"/>
      <c r="D135" s="1"/>
      <c r="E135" s="36" t="s">
        <v>1051</v>
      </c>
      <c r="F135" s="37" t="s">
        <v>4857</v>
      </c>
      <c r="G135" s="38">
        <v>67133.2352297116</v>
      </c>
      <c r="H135" s="39" t="s">
        <v>4858</v>
      </c>
    </row>
    <row r="136" ht="15.75" customHeight="1">
      <c r="A136" s="1"/>
      <c r="B136" s="1"/>
      <c r="C136" s="1"/>
      <c r="D136" s="1"/>
      <c r="E136" s="36" t="s">
        <v>1052</v>
      </c>
      <c r="F136" s="37" t="s">
        <v>4857</v>
      </c>
      <c r="G136" s="38">
        <v>67136.6167041314</v>
      </c>
      <c r="H136" s="39" t="s">
        <v>4858</v>
      </c>
    </row>
    <row r="137" ht="15.75" customHeight="1">
      <c r="A137" s="1"/>
      <c r="B137" s="1"/>
      <c r="C137" s="1"/>
      <c r="D137" s="1"/>
      <c r="E137" s="36" t="s">
        <v>1053</v>
      </c>
      <c r="F137" s="37" t="s">
        <v>4857</v>
      </c>
      <c r="G137" s="38">
        <v>67139.9981785512</v>
      </c>
      <c r="H137" s="39" t="s">
        <v>4858</v>
      </c>
    </row>
    <row r="138" ht="15.75" customHeight="1">
      <c r="A138" s="1"/>
      <c r="B138" s="1"/>
      <c r="C138" s="1"/>
      <c r="D138" s="1"/>
      <c r="E138" s="36" t="s">
        <v>1054</v>
      </c>
      <c r="F138" s="37" t="s">
        <v>4857</v>
      </c>
      <c r="G138" s="38">
        <v>67143.379652971</v>
      </c>
      <c r="H138" s="39" t="s">
        <v>4858</v>
      </c>
    </row>
    <row r="139" ht="15.75" customHeight="1">
      <c r="A139" s="1"/>
      <c r="B139" s="1"/>
      <c r="C139" s="1"/>
      <c r="D139" s="1"/>
      <c r="E139" s="36" t="s">
        <v>1055</v>
      </c>
      <c r="F139" s="37" t="s">
        <v>4857</v>
      </c>
      <c r="G139" s="38">
        <v>67146.7611273908</v>
      </c>
      <c r="H139" s="39" t="s">
        <v>4858</v>
      </c>
    </row>
    <row r="140" ht="15.75" customHeight="1">
      <c r="A140" s="1"/>
      <c r="B140" s="1"/>
      <c r="C140" s="1"/>
      <c r="D140" s="1"/>
      <c r="E140" s="36" t="s">
        <v>1056</v>
      </c>
      <c r="F140" s="37" t="s">
        <v>4857</v>
      </c>
      <c r="G140" s="38">
        <v>67150.1426018106</v>
      </c>
      <c r="H140" s="39" t="s">
        <v>4858</v>
      </c>
    </row>
    <row r="141" ht="15.75" customHeight="1">
      <c r="A141" s="1"/>
      <c r="B141" s="1"/>
      <c r="C141" s="1"/>
      <c r="D141" s="1"/>
      <c r="E141" s="36" t="s">
        <v>1057</v>
      </c>
      <c r="F141" s="37" t="s">
        <v>4857</v>
      </c>
      <c r="G141" s="38">
        <v>67153.5240762305</v>
      </c>
      <c r="H141" s="39" t="s">
        <v>4858</v>
      </c>
    </row>
    <row r="142" ht="15.75" customHeight="1">
      <c r="A142" s="1"/>
      <c r="B142" s="1"/>
      <c r="C142" s="1"/>
      <c r="D142" s="1"/>
      <c r="E142" s="36" t="s">
        <v>1058</v>
      </c>
      <c r="F142" s="37" t="s">
        <v>4857</v>
      </c>
      <c r="G142" s="38">
        <v>67156.9055506503</v>
      </c>
      <c r="H142" s="39" t="s">
        <v>4858</v>
      </c>
    </row>
    <row r="143" ht="15.75" customHeight="1">
      <c r="A143" s="1"/>
      <c r="B143" s="1"/>
      <c r="C143" s="1"/>
      <c r="D143" s="1"/>
      <c r="E143" s="36" t="s">
        <v>1059</v>
      </c>
      <c r="F143" s="37" t="s">
        <v>4857</v>
      </c>
      <c r="G143" s="38">
        <v>67160.2870250701</v>
      </c>
      <c r="H143" s="39" t="s">
        <v>4858</v>
      </c>
    </row>
    <row r="144" ht="15.75" customHeight="1">
      <c r="A144" s="1"/>
      <c r="B144" s="1"/>
      <c r="C144" s="1"/>
      <c r="D144" s="1"/>
      <c r="E144" s="36" t="s">
        <v>1060</v>
      </c>
      <c r="F144" s="37" t="s">
        <v>4857</v>
      </c>
      <c r="G144" s="38">
        <v>67163.6684994899</v>
      </c>
      <c r="H144" s="39" t="s">
        <v>4858</v>
      </c>
    </row>
    <row r="145" ht="15.75" customHeight="1">
      <c r="A145" s="1"/>
      <c r="B145" s="1"/>
      <c r="C145" s="1"/>
      <c r="D145" s="1"/>
      <c r="E145" s="36" t="s">
        <v>1061</v>
      </c>
      <c r="F145" s="37" t="s">
        <v>4857</v>
      </c>
      <c r="G145" s="38">
        <v>67167.0499739097</v>
      </c>
      <c r="H145" s="39" t="s">
        <v>4858</v>
      </c>
    </row>
    <row r="146" ht="15.75" customHeight="1">
      <c r="A146" s="1"/>
      <c r="B146" s="1"/>
      <c r="C146" s="1"/>
      <c r="D146" s="1"/>
      <c r="E146" s="36" t="s">
        <v>1063</v>
      </c>
      <c r="F146" s="37" t="s">
        <v>4866</v>
      </c>
      <c r="G146" s="37"/>
      <c r="H146" s="39" t="s">
        <v>4867</v>
      </c>
    </row>
    <row r="147" ht="15.75" customHeight="1">
      <c r="A147" s="1"/>
      <c r="B147" s="1"/>
      <c r="C147" s="1"/>
      <c r="D147" s="1"/>
      <c r="E147" s="36" t="s">
        <v>1063</v>
      </c>
      <c r="F147" s="37" t="s">
        <v>4857</v>
      </c>
      <c r="G147" s="38">
        <v>67170.4314483295</v>
      </c>
      <c r="H147" s="39" t="s">
        <v>4858</v>
      </c>
    </row>
    <row r="148" ht="15.75" customHeight="1">
      <c r="A148" s="1"/>
      <c r="B148" s="1"/>
      <c r="C148" s="1"/>
      <c r="D148" s="1"/>
      <c r="E148" s="36" t="s">
        <v>1064</v>
      </c>
      <c r="F148" s="37" t="s">
        <v>4857</v>
      </c>
      <c r="G148" s="38">
        <v>67173.8129227493</v>
      </c>
      <c r="H148" s="39" t="s">
        <v>4858</v>
      </c>
    </row>
    <row r="149" ht="15.75" customHeight="1">
      <c r="A149" s="1"/>
      <c r="B149" s="1"/>
      <c r="C149" s="1"/>
      <c r="D149" s="1"/>
      <c r="E149" s="36" t="s">
        <v>1065</v>
      </c>
      <c r="F149" s="37" t="s">
        <v>4857</v>
      </c>
      <c r="G149" s="38">
        <v>67177.1943971692</v>
      </c>
      <c r="H149" s="39" t="s">
        <v>4858</v>
      </c>
    </row>
    <row r="150" ht="15.75" customHeight="1">
      <c r="A150" s="1"/>
      <c r="B150" s="1"/>
      <c r="C150" s="1"/>
      <c r="D150" s="1"/>
      <c r="E150" s="36" t="s">
        <v>1066</v>
      </c>
      <c r="F150" s="37" t="s">
        <v>4857</v>
      </c>
      <c r="G150" s="38">
        <v>67180.575871589</v>
      </c>
      <c r="H150" s="39" t="s">
        <v>4858</v>
      </c>
    </row>
    <row r="151" ht="15.75" customHeight="1">
      <c r="A151" s="1"/>
      <c r="B151" s="1"/>
      <c r="C151" s="1"/>
      <c r="D151" s="1"/>
      <c r="E151" s="36" t="s">
        <v>1067</v>
      </c>
      <c r="F151" s="37" t="s">
        <v>4857</v>
      </c>
      <c r="G151" s="38">
        <v>67183.9573460088</v>
      </c>
      <c r="H151" s="39" t="s">
        <v>4858</v>
      </c>
    </row>
    <row r="152" ht="15.75" customHeight="1">
      <c r="A152" s="1"/>
      <c r="B152" s="1"/>
      <c r="C152" s="1"/>
      <c r="D152" s="1"/>
      <c r="E152" s="36" t="s">
        <v>1068</v>
      </c>
      <c r="F152" s="37" t="s">
        <v>4857</v>
      </c>
      <c r="G152" s="38">
        <v>67187.3388204286</v>
      </c>
      <c r="H152" s="39" t="s">
        <v>4858</v>
      </c>
    </row>
    <row r="153" ht="15.75" customHeight="1">
      <c r="A153" s="1"/>
      <c r="B153" s="1"/>
      <c r="C153" s="1"/>
      <c r="D153" s="1"/>
      <c r="E153" s="36" t="s">
        <v>1069</v>
      </c>
      <c r="F153" s="37" t="s">
        <v>4854</v>
      </c>
      <c r="G153" s="38">
        <v>96980.56</v>
      </c>
      <c r="H153" s="39" t="s">
        <v>4855</v>
      </c>
    </row>
    <row r="154" ht="15.75" customHeight="1">
      <c r="A154" s="1"/>
      <c r="B154" s="1"/>
      <c r="C154" s="1"/>
      <c r="D154" s="1"/>
      <c r="E154" s="36" t="s">
        <v>1069</v>
      </c>
      <c r="F154" s="37" t="s">
        <v>4857</v>
      </c>
      <c r="G154" s="38">
        <v>67190.7202948484</v>
      </c>
      <c r="H154" s="39" t="s">
        <v>4858</v>
      </c>
    </row>
    <row r="155" ht="15.75" customHeight="1">
      <c r="A155" s="1"/>
      <c r="B155" s="1"/>
      <c r="C155" s="1"/>
      <c r="D155" s="1"/>
      <c r="E155" s="36" t="s">
        <v>1070</v>
      </c>
      <c r="F155" s="37" t="s">
        <v>4869</v>
      </c>
      <c r="G155" s="37"/>
      <c r="H155" s="39" t="s">
        <v>4861</v>
      </c>
    </row>
    <row r="156" ht="15.75" customHeight="1">
      <c r="A156" s="1"/>
      <c r="B156" s="1"/>
      <c r="C156" s="1"/>
      <c r="D156" s="1"/>
      <c r="E156" s="36" t="s">
        <v>1070</v>
      </c>
      <c r="F156" s="37" t="s">
        <v>4854</v>
      </c>
      <c r="G156" s="38">
        <v>48437.79</v>
      </c>
      <c r="H156" s="39" t="s">
        <v>4855</v>
      </c>
    </row>
    <row r="157" ht="15.75" customHeight="1">
      <c r="A157" s="1"/>
      <c r="B157" s="1"/>
      <c r="C157" s="1"/>
      <c r="D157" s="1"/>
      <c r="E157" s="36" t="s">
        <v>1070</v>
      </c>
      <c r="F157" s="37" t="s">
        <v>4857</v>
      </c>
      <c r="G157" s="38">
        <v>67197.483243688</v>
      </c>
      <c r="H157" s="39" t="s">
        <v>4858</v>
      </c>
    </row>
    <row r="158" ht="15.75" customHeight="1">
      <c r="A158" s="1"/>
      <c r="B158" s="1"/>
      <c r="C158" s="1"/>
      <c r="D158" s="1"/>
      <c r="E158" s="36" t="s">
        <v>1071</v>
      </c>
      <c r="F158" s="37" t="s">
        <v>4857</v>
      </c>
      <c r="G158" s="38">
        <v>67200.8647181079</v>
      </c>
      <c r="H158" s="39" t="s">
        <v>4858</v>
      </c>
    </row>
    <row r="159" ht="15.75" customHeight="1">
      <c r="A159" s="1"/>
      <c r="B159" s="1"/>
      <c r="C159" s="1"/>
      <c r="D159" s="1"/>
      <c r="E159" s="36" t="s">
        <v>1072</v>
      </c>
      <c r="F159" s="37" t="s">
        <v>4857</v>
      </c>
      <c r="G159" s="38">
        <v>67204.2461925277</v>
      </c>
      <c r="H159" s="39" t="s">
        <v>4858</v>
      </c>
    </row>
    <row r="160" ht="15.75" customHeight="1">
      <c r="A160" s="1"/>
      <c r="B160" s="1"/>
      <c r="C160" s="1"/>
      <c r="D160" s="1"/>
      <c r="E160" s="36" t="s">
        <v>1073</v>
      </c>
      <c r="F160" s="37" t="s">
        <v>4857</v>
      </c>
      <c r="G160" s="38">
        <v>67207.6276669475</v>
      </c>
      <c r="H160" s="39" t="s">
        <v>4858</v>
      </c>
    </row>
    <row r="161" ht="15.75" customHeight="1">
      <c r="A161" s="1"/>
      <c r="B161" s="1"/>
      <c r="C161" s="1"/>
      <c r="D161" s="1"/>
      <c r="E161" s="36" t="s">
        <v>1074</v>
      </c>
      <c r="F161" s="37" t="s">
        <v>4866</v>
      </c>
      <c r="G161" s="37"/>
      <c r="H161" s="39" t="s">
        <v>4867</v>
      </c>
    </row>
    <row r="162" ht="15.75" customHeight="1">
      <c r="A162" s="1"/>
      <c r="B162" s="1"/>
      <c r="C162" s="1"/>
      <c r="D162" s="1"/>
      <c r="E162" s="36" t="s">
        <v>1074</v>
      </c>
      <c r="F162" s="37" t="s">
        <v>4857</v>
      </c>
      <c r="G162" s="38">
        <v>67211.0091413673</v>
      </c>
      <c r="H162" s="39" t="s">
        <v>4858</v>
      </c>
    </row>
    <row r="163" ht="15.75" customHeight="1">
      <c r="A163" s="1"/>
      <c r="B163" s="1"/>
      <c r="C163" s="1"/>
      <c r="D163" s="1"/>
      <c r="E163" s="36" t="s">
        <v>1075</v>
      </c>
      <c r="F163" s="37" t="s">
        <v>4857</v>
      </c>
      <c r="G163" s="38">
        <v>67214.3906157871</v>
      </c>
      <c r="H163" s="39" t="s">
        <v>4858</v>
      </c>
    </row>
    <row r="164" ht="15.75" customHeight="1">
      <c r="A164" s="1"/>
      <c r="B164" s="1"/>
      <c r="C164" s="1"/>
      <c r="D164" s="1"/>
      <c r="E164" s="36" t="s">
        <v>1076</v>
      </c>
      <c r="F164" s="37" t="s">
        <v>4857</v>
      </c>
      <c r="G164" s="38">
        <v>67217.7720902069</v>
      </c>
      <c r="H164" s="39" t="s">
        <v>4858</v>
      </c>
    </row>
    <row r="165" ht="15.75" customHeight="1">
      <c r="A165" s="1"/>
      <c r="B165" s="1"/>
      <c r="C165" s="1"/>
      <c r="D165" s="1"/>
      <c r="E165" s="36" t="s">
        <v>1077</v>
      </c>
      <c r="F165" s="37" t="s">
        <v>4857</v>
      </c>
      <c r="G165" s="38">
        <v>67221.1535646267</v>
      </c>
      <c r="H165" s="39" t="s">
        <v>4858</v>
      </c>
    </row>
    <row r="166" ht="15.75" customHeight="1">
      <c r="A166" s="1"/>
      <c r="B166" s="1"/>
      <c r="C166" s="1"/>
      <c r="D166" s="1"/>
      <c r="E166" s="36" t="s">
        <v>1078</v>
      </c>
      <c r="F166" s="37" t="s">
        <v>4857</v>
      </c>
      <c r="G166" s="38">
        <v>67224.5350390466</v>
      </c>
      <c r="H166" s="39" t="s">
        <v>4858</v>
      </c>
    </row>
    <row r="167" ht="15.75" customHeight="1">
      <c r="A167" s="1"/>
      <c r="B167" s="1"/>
      <c r="C167" s="1"/>
      <c r="D167" s="1"/>
      <c r="E167" s="36" t="s">
        <v>1079</v>
      </c>
      <c r="F167" s="37" t="s">
        <v>4857</v>
      </c>
      <c r="G167" s="38">
        <v>67227.9165134664</v>
      </c>
      <c r="H167" s="39" t="s">
        <v>4858</v>
      </c>
    </row>
    <row r="168" ht="15.75" customHeight="1">
      <c r="A168" s="1"/>
      <c r="B168" s="1"/>
      <c r="C168" s="1"/>
      <c r="D168" s="1"/>
      <c r="E168" s="36" t="s">
        <v>1080</v>
      </c>
      <c r="F168" s="37" t="s">
        <v>4857</v>
      </c>
      <c r="G168" s="38">
        <v>67231.2979878862</v>
      </c>
      <c r="H168" s="39" t="s">
        <v>4858</v>
      </c>
    </row>
    <row r="169" ht="15.75" customHeight="1">
      <c r="A169" s="1"/>
      <c r="B169" s="1"/>
      <c r="C169" s="1"/>
      <c r="D169" s="1"/>
      <c r="E169" s="36" t="s">
        <v>1081</v>
      </c>
      <c r="F169" s="37" t="s">
        <v>4854</v>
      </c>
      <c r="G169" s="38">
        <v>85786.09</v>
      </c>
      <c r="H169" s="39" t="s">
        <v>4855</v>
      </c>
    </row>
    <row r="170" ht="15.75" customHeight="1">
      <c r="A170" s="1"/>
      <c r="B170" s="1"/>
      <c r="C170" s="1"/>
      <c r="D170" s="1"/>
      <c r="E170" s="36" t="s">
        <v>1081</v>
      </c>
      <c r="F170" s="37" t="s">
        <v>4857</v>
      </c>
      <c r="G170" s="38">
        <v>67234.679462306</v>
      </c>
      <c r="H170" s="39" t="s">
        <v>4858</v>
      </c>
    </row>
    <row r="171" ht="15.75" customHeight="1">
      <c r="A171" s="1"/>
      <c r="B171" s="1"/>
      <c r="C171" s="1"/>
      <c r="D171" s="1"/>
      <c r="E171" s="36" t="s">
        <v>1082</v>
      </c>
      <c r="F171" s="37" t="s">
        <v>4857</v>
      </c>
      <c r="G171" s="38">
        <v>67238.0609367258</v>
      </c>
      <c r="H171" s="39" t="s">
        <v>4858</v>
      </c>
    </row>
    <row r="172" ht="15.75" customHeight="1">
      <c r="A172" s="1"/>
      <c r="B172" s="1"/>
      <c r="C172" s="1"/>
      <c r="D172" s="1"/>
      <c r="E172" s="36" t="s">
        <v>1083</v>
      </c>
      <c r="F172" s="37" t="s">
        <v>4857</v>
      </c>
      <c r="G172" s="38">
        <v>67241.4424111456</v>
      </c>
      <c r="H172" s="39" t="s">
        <v>4858</v>
      </c>
    </row>
    <row r="173" ht="15.75" customHeight="1">
      <c r="A173" s="1"/>
      <c r="B173" s="1"/>
      <c r="C173" s="1"/>
      <c r="D173" s="1"/>
      <c r="E173" s="36" t="s">
        <v>1084</v>
      </c>
      <c r="F173" s="37" t="s">
        <v>4857</v>
      </c>
      <c r="G173" s="38">
        <v>67244.8238855654</v>
      </c>
      <c r="H173" s="39" t="s">
        <v>4858</v>
      </c>
    </row>
    <row r="174" ht="15.75" customHeight="1">
      <c r="A174" s="1"/>
      <c r="B174" s="1"/>
      <c r="C174" s="1"/>
      <c r="D174" s="1"/>
      <c r="E174" s="36" t="s">
        <v>1085</v>
      </c>
      <c r="F174" s="37" t="s">
        <v>4857</v>
      </c>
      <c r="G174" s="38">
        <v>67248.2053599853</v>
      </c>
      <c r="H174" s="39" t="s">
        <v>4858</v>
      </c>
    </row>
    <row r="175" ht="15.75" customHeight="1">
      <c r="A175" s="1"/>
      <c r="B175" s="1"/>
      <c r="C175" s="1"/>
      <c r="D175" s="1"/>
      <c r="E175" s="36" t="s">
        <v>1086</v>
      </c>
      <c r="F175" s="37" t="s">
        <v>4857</v>
      </c>
      <c r="G175" s="38">
        <v>67251.5868344051</v>
      </c>
      <c r="H175" s="39" t="s">
        <v>4858</v>
      </c>
    </row>
    <row r="176" ht="15.75" customHeight="1">
      <c r="A176" s="1"/>
      <c r="B176" s="1"/>
      <c r="C176" s="1"/>
      <c r="D176" s="1"/>
      <c r="E176" s="36" t="s">
        <v>1087</v>
      </c>
      <c r="F176" s="37" t="s">
        <v>4857</v>
      </c>
      <c r="G176" s="38">
        <v>67254.9683088249</v>
      </c>
      <c r="H176" s="39" t="s">
        <v>4858</v>
      </c>
    </row>
    <row r="177" ht="15.75" customHeight="1">
      <c r="A177" s="1"/>
      <c r="B177" s="1"/>
      <c r="C177" s="1"/>
      <c r="D177" s="1"/>
      <c r="E177" s="36" t="s">
        <v>1088</v>
      </c>
      <c r="F177" s="37" t="s">
        <v>4857</v>
      </c>
      <c r="G177" s="38">
        <v>67258.3497832447</v>
      </c>
      <c r="H177" s="39" t="s">
        <v>4858</v>
      </c>
    </row>
    <row r="178" ht="15.75" customHeight="1">
      <c r="A178" s="1"/>
      <c r="B178" s="1"/>
      <c r="C178" s="1"/>
      <c r="D178" s="1"/>
      <c r="E178" s="36" t="s">
        <v>1089</v>
      </c>
      <c r="F178" s="37" t="s">
        <v>4857</v>
      </c>
      <c r="G178" s="38">
        <v>67261.7312576645</v>
      </c>
      <c r="H178" s="39" t="s">
        <v>4858</v>
      </c>
    </row>
    <row r="179" ht="15.75" customHeight="1">
      <c r="A179" s="1"/>
      <c r="B179" s="1"/>
      <c r="C179" s="1"/>
      <c r="D179" s="1"/>
      <c r="E179" s="36" t="s">
        <v>1090</v>
      </c>
      <c r="F179" s="37" t="s">
        <v>4854</v>
      </c>
      <c r="G179" s="38">
        <v>167204.35</v>
      </c>
      <c r="H179" s="39" t="s">
        <v>4855</v>
      </c>
    </row>
    <row r="180" ht="15.75" customHeight="1">
      <c r="A180" s="1"/>
      <c r="B180" s="1"/>
      <c r="C180" s="1"/>
      <c r="D180" s="1"/>
      <c r="E180" s="36" t="s">
        <v>1090</v>
      </c>
      <c r="F180" s="37" t="s">
        <v>4857</v>
      </c>
      <c r="G180" s="38">
        <v>67265.1127320843</v>
      </c>
      <c r="H180" s="39" t="s">
        <v>4858</v>
      </c>
    </row>
    <row r="181" ht="15.75" customHeight="1">
      <c r="A181" s="1"/>
      <c r="B181" s="1"/>
      <c r="C181" s="1"/>
      <c r="D181" s="1"/>
      <c r="E181" s="36" t="s">
        <v>1091</v>
      </c>
      <c r="F181" s="37" t="s">
        <v>4857</v>
      </c>
      <c r="G181" s="38">
        <v>67268.4942065041</v>
      </c>
      <c r="H181" s="39" t="s">
        <v>4858</v>
      </c>
    </row>
    <row r="182" ht="15.75" customHeight="1">
      <c r="A182" s="1"/>
      <c r="B182" s="1"/>
      <c r="C182" s="1"/>
      <c r="D182" s="1"/>
      <c r="E182" s="36" t="s">
        <v>1092</v>
      </c>
      <c r="F182" s="37" t="s">
        <v>4857</v>
      </c>
      <c r="G182" s="38">
        <v>67271.875680924</v>
      </c>
      <c r="H182" s="39" t="s">
        <v>4858</v>
      </c>
    </row>
    <row r="183" ht="15.75" customHeight="1">
      <c r="A183" s="1"/>
      <c r="B183" s="1"/>
      <c r="C183" s="1"/>
      <c r="D183" s="1"/>
      <c r="E183" s="36" t="s">
        <v>1093</v>
      </c>
      <c r="F183" s="37" t="s">
        <v>4857</v>
      </c>
      <c r="G183" s="38">
        <v>67275.2571553438</v>
      </c>
      <c r="H183" s="39" t="s">
        <v>4858</v>
      </c>
    </row>
    <row r="184" ht="15.75" customHeight="1">
      <c r="A184" s="1"/>
      <c r="B184" s="1"/>
      <c r="C184" s="1"/>
      <c r="D184" s="1"/>
      <c r="E184" s="36" t="s">
        <v>1094</v>
      </c>
      <c r="F184" s="37" t="s">
        <v>4857</v>
      </c>
      <c r="G184" s="38">
        <v>67278.6386297636</v>
      </c>
      <c r="H184" s="39" t="s">
        <v>4858</v>
      </c>
    </row>
    <row r="185" ht="15.75" customHeight="1">
      <c r="A185" s="1"/>
      <c r="B185" s="1"/>
      <c r="C185" s="1"/>
      <c r="D185" s="1"/>
      <c r="E185" s="36" t="s">
        <v>1095</v>
      </c>
      <c r="F185" s="37" t="s">
        <v>4857</v>
      </c>
      <c r="G185" s="38">
        <v>67282.0201041834</v>
      </c>
      <c r="H185" s="39" t="s">
        <v>4858</v>
      </c>
    </row>
    <row r="186" ht="15.75" customHeight="1">
      <c r="A186" s="1"/>
      <c r="B186" s="1"/>
      <c r="C186" s="1"/>
      <c r="D186" s="1"/>
      <c r="E186" s="36" t="s">
        <v>1096</v>
      </c>
      <c r="F186" s="37" t="s">
        <v>4857</v>
      </c>
      <c r="G186" s="38">
        <v>67285.4015786032</v>
      </c>
      <c r="H186" s="39" t="s">
        <v>4858</v>
      </c>
    </row>
    <row r="187" ht="15.75" customHeight="1">
      <c r="A187" s="1"/>
      <c r="B187" s="1"/>
      <c r="C187" s="1"/>
      <c r="D187" s="1"/>
      <c r="E187" s="36" t="s">
        <v>1097</v>
      </c>
      <c r="F187" s="37" t="s">
        <v>4857</v>
      </c>
      <c r="G187" s="38">
        <v>67288.783053023</v>
      </c>
      <c r="H187" s="39" t="s">
        <v>4858</v>
      </c>
    </row>
    <row r="188" ht="15.75" customHeight="1">
      <c r="A188" s="1"/>
      <c r="B188" s="1"/>
      <c r="C188" s="1"/>
      <c r="D188" s="1"/>
      <c r="E188" s="36" t="s">
        <v>1098</v>
      </c>
      <c r="F188" s="37" t="s">
        <v>4857</v>
      </c>
      <c r="G188" s="38">
        <v>67292.1645274428</v>
      </c>
      <c r="H188" s="39" t="s">
        <v>4858</v>
      </c>
    </row>
    <row r="189" ht="15.75" customHeight="1">
      <c r="A189" s="1"/>
      <c r="B189" s="1"/>
      <c r="C189" s="1"/>
      <c r="D189" s="1"/>
      <c r="E189" s="36" t="s">
        <v>1099</v>
      </c>
      <c r="F189" s="37" t="s">
        <v>4857</v>
      </c>
      <c r="G189" s="38">
        <v>67295.5460018626</v>
      </c>
      <c r="H189" s="39" t="s">
        <v>4858</v>
      </c>
    </row>
    <row r="190" ht="15.75" customHeight="1">
      <c r="A190" s="1"/>
      <c r="B190" s="1"/>
      <c r="C190" s="1"/>
      <c r="D190" s="1"/>
      <c r="E190" s="36" t="s">
        <v>1100</v>
      </c>
      <c r="F190" s="37" t="s">
        <v>4857</v>
      </c>
      <c r="G190" s="38">
        <v>67298.9274762825</v>
      </c>
      <c r="H190" s="39" t="s">
        <v>4858</v>
      </c>
    </row>
    <row r="191" ht="15.75" customHeight="1">
      <c r="A191" s="1"/>
      <c r="B191" s="1"/>
      <c r="C191" s="1"/>
      <c r="D191" s="1"/>
      <c r="E191" s="36" t="s">
        <v>1101</v>
      </c>
      <c r="F191" s="37" t="s">
        <v>4857</v>
      </c>
      <c r="G191" s="38">
        <v>67302.3089507023</v>
      </c>
      <c r="H191" s="39" t="s">
        <v>4858</v>
      </c>
    </row>
    <row r="192" ht="15.75" customHeight="1">
      <c r="A192" s="1"/>
      <c r="B192" s="1"/>
      <c r="C192" s="1"/>
      <c r="D192" s="1"/>
      <c r="E192" s="36" t="s">
        <v>1102</v>
      </c>
      <c r="F192" s="37" t="s">
        <v>4857</v>
      </c>
      <c r="G192" s="38">
        <v>67305.6904251221</v>
      </c>
      <c r="H192" s="39" t="s">
        <v>4858</v>
      </c>
    </row>
    <row r="193" ht="15.75" customHeight="1">
      <c r="A193" s="1"/>
      <c r="B193" s="1"/>
      <c r="C193" s="1"/>
      <c r="D193" s="1"/>
      <c r="E193" s="36" t="s">
        <v>1103</v>
      </c>
      <c r="F193" s="37" t="s">
        <v>4857</v>
      </c>
      <c r="G193" s="38">
        <v>67309.0718995419</v>
      </c>
      <c r="H193" s="39" t="s">
        <v>4858</v>
      </c>
    </row>
    <row r="194" ht="15.75" customHeight="1">
      <c r="A194" s="1"/>
      <c r="B194" s="1"/>
      <c r="C194" s="1"/>
      <c r="D194" s="1"/>
      <c r="E194" s="36" t="s">
        <v>1104</v>
      </c>
      <c r="F194" s="37" t="s">
        <v>4857</v>
      </c>
      <c r="G194" s="38">
        <v>67312.4533739617</v>
      </c>
      <c r="H194" s="39" t="s">
        <v>4858</v>
      </c>
    </row>
    <row r="195" ht="15.75" customHeight="1">
      <c r="A195" s="1"/>
      <c r="B195" s="1"/>
      <c r="C195" s="1"/>
      <c r="D195" s="1"/>
      <c r="E195" s="36" t="s">
        <v>1105</v>
      </c>
      <c r="F195" s="37" t="s">
        <v>4857</v>
      </c>
      <c r="G195" s="38">
        <v>67315.8348483815</v>
      </c>
      <c r="H195" s="39" t="s">
        <v>4858</v>
      </c>
    </row>
    <row r="196" ht="15.75" customHeight="1">
      <c r="A196" s="1"/>
      <c r="B196" s="1"/>
      <c r="C196" s="1"/>
      <c r="D196" s="1"/>
      <c r="E196" s="36" t="s">
        <v>1106</v>
      </c>
      <c r="F196" s="37" t="s">
        <v>4857</v>
      </c>
      <c r="G196" s="38">
        <v>67322.5977972212</v>
      </c>
      <c r="H196" s="39" t="s">
        <v>4858</v>
      </c>
    </row>
    <row r="197" ht="15.75" customHeight="1">
      <c r="A197" s="1"/>
      <c r="B197" s="1"/>
      <c r="C197" s="1"/>
      <c r="D197" s="1"/>
      <c r="E197" s="36" t="s">
        <v>1107</v>
      </c>
      <c r="F197" s="37" t="s">
        <v>4857</v>
      </c>
      <c r="G197" s="38">
        <v>67325.979271641</v>
      </c>
      <c r="H197" s="39" t="s">
        <v>4858</v>
      </c>
    </row>
    <row r="198" ht="15.75" customHeight="1">
      <c r="A198" s="1"/>
      <c r="B198" s="1"/>
      <c r="C198" s="1"/>
      <c r="D198" s="1"/>
      <c r="E198" s="36" t="s">
        <v>1108</v>
      </c>
      <c r="F198" s="37" t="s">
        <v>4857</v>
      </c>
      <c r="G198" s="38">
        <v>67329.3607460608</v>
      </c>
      <c r="H198" s="39" t="s">
        <v>4858</v>
      </c>
    </row>
    <row r="199" ht="15.75" customHeight="1">
      <c r="A199" s="1"/>
      <c r="B199" s="1"/>
      <c r="C199" s="1"/>
      <c r="D199" s="1"/>
      <c r="E199" s="36" t="s">
        <v>1109</v>
      </c>
      <c r="F199" s="37" t="s">
        <v>4857</v>
      </c>
      <c r="G199" s="38">
        <v>67332.7422204806</v>
      </c>
      <c r="H199" s="39" t="s">
        <v>4858</v>
      </c>
    </row>
    <row r="200" ht="15.75" customHeight="1">
      <c r="A200" s="1"/>
      <c r="B200" s="1"/>
      <c r="C200" s="1"/>
      <c r="D200" s="1"/>
      <c r="E200" s="36" t="s">
        <v>1110</v>
      </c>
      <c r="F200" s="37" t="s">
        <v>4869</v>
      </c>
      <c r="G200" s="37"/>
      <c r="H200" s="39" t="s">
        <v>4861</v>
      </c>
    </row>
    <row r="201" ht="15.75" customHeight="1">
      <c r="A201" s="1"/>
      <c r="B201" s="1"/>
      <c r="C201" s="1"/>
      <c r="D201" s="1"/>
      <c r="E201" s="36" t="s">
        <v>1110</v>
      </c>
      <c r="F201" s="37" t="s">
        <v>4854</v>
      </c>
      <c r="G201" s="38">
        <v>75240.35</v>
      </c>
      <c r="H201" s="39" t="s">
        <v>4855</v>
      </c>
    </row>
    <row r="202" ht="15.75" customHeight="1">
      <c r="A202" s="1"/>
      <c r="B202" s="1"/>
      <c r="C202" s="1"/>
      <c r="D202" s="1"/>
      <c r="E202" s="36" t="s">
        <v>1110</v>
      </c>
      <c r="F202" s="37" t="s">
        <v>4857</v>
      </c>
      <c r="G202" s="38">
        <v>67336.1236949004</v>
      </c>
      <c r="H202" s="39" t="s">
        <v>4858</v>
      </c>
    </row>
    <row r="203" ht="15.75" customHeight="1">
      <c r="A203" s="1"/>
      <c r="B203" s="1"/>
      <c r="C203" s="1"/>
      <c r="D203" s="1"/>
      <c r="E203" s="36" t="s">
        <v>1111</v>
      </c>
      <c r="F203" s="37" t="s">
        <v>4857</v>
      </c>
      <c r="G203" s="38">
        <v>67339.5051693202</v>
      </c>
      <c r="H203" s="39" t="s">
        <v>4858</v>
      </c>
    </row>
    <row r="204" ht="15.75" customHeight="1">
      <c r="A204" s="1"/>
      <c r="B204" s="1"/>
      <c r="C204" s="1"/>
      <c r="D204" s="1"/>
      <c r="E204" s="36" t="s">
        <v>1112</v>
      </c>
      <c r="F204" s="37" t="s">
        <v>4857</v>
      </c>
      <c r="G204" s="38">
        <v>67342.8866437401</v>
      </c>
      <c r="H204" s="39" t="s">
        <v>4858</v>
      </c>
    </row>
    <row r="205" ht="15.75" customHeight="1">
      <c r="A205" s="1"/>
      <c r="B205" s="1"/>
      <c r="C205" s="1"/>
      <c r="D205" s="1"/>
      <c r="E205" s="36" t="s">
        <v>1113</v>
      </c>
      <c r="F205" s="37" t="s">
        <v>4857</v>
      </c>
      <c r="G205" s="38">
        <v>67346.2681181599</v>
      </c>
      <c r="H205" s="39" t="s">
        <v>4858</v>
      </c>
    </row>
    <row r="206" ht="15.75" customHeight="1">
      <c r="A206" s="1"/>
      <c r="B206" s="1"/>
      <c r="C206" s="1"/>
      <c r="D206" s="1"/>
      <c r="E206" s="36" t="s">
        <v>1114</v>
      </c>
      <c r="F206" s="37" t="s">
        <v>4857</v>
      </c>
      <c r="G206" s="38">
        <v>67353.0310669995</v>
      </c>
      <c r="H206" s="39" t="s">
        <v>4858</v>
      </c>
    </row>
    <row r="207" ht="15.75" customHeight="1">
      <c r="A207" s="1"/>
      <c r="B207" s="1"/>
      <c r="C207" s="1"/>
      <c r="D207" s="1"/>
      <c r="E207" s="36" t="s">
        <v>1115</v>
      </c>
      <c r="F207" s="37" t="s">
        <v>4854</v>
      </c>
      <c r="G207" s="38">
        <v>78826.44</v>
      </c>
      <c r="H207" s="39" t="s">
        <v>4855</v>
      </c>
    </row>
    <row r="208" ht="15.75" customHeight="1">
      <c r="A208" s="1"/>
      <c r="B208" s="1"/>
      <c r="C208" s="1"/>
      <c r="D208" s="1"/>
      <c r="E208" s="36" t="s">
        <v>1115</v>
      </c>
      <c r="F208" s="37" t="s">
        <v>4857</v>
      </c>
      <c r="G208" s="38">
        <v>67356.4125414193</v>
      </c>
      <c r="H208" s="39" t="s">
        <v>4858</v>
      </c>
    </row>
    <row r="209" ht="15.75" customHeight="1">
      <c r="A209" s="1"/>
      <c r="B209" s="1"/>
      <c r="C209" s="1"/>
      <c r="D209" s="1"/>
      <c r="E209" s="36" t="s">
        <v>1116</v>
      </c>
      <c r="F209" s="37" t="s">
        <v>4857</v>
      </c>
      <c r="G209" s="38">
        <v>67359.7940158391</v>
      </c>
      <c r="H209" s="39" t="s">
        <v>4858</v>
      </c>
    </row>
    <row r="210" ht="15.75" customHeight="1">
      <c r="A210" s="1"/>
      <c r="B210" s="1"/>
      <c r="C210" s="1"/>
      <c r="D210" s="1"/>
      <c r="E210" s="36" t="s">
        <v>1117</v>
      </c>
      <c r="F210" s="37" t="s">
        <v>4857</v>
      </c>
      <c r="G210" s="38">
        <v>67363.1754902589</v>
      </c>
      <c r="H210" s="39" t="s">
        <v>4858</v>
      </c>
    </row>
    <row r="211" ht="15.75" customHeight="1">
      <c r="A211" s="1"/>
      <c r="B211" s="1"/>
      <c r="C211" s="1"/>
      <c r="D211" s="1"/>
      <c r="E211" s="36" t="s">
        <v>1118</v>
      </c>
      <c r="F211" s="37" t="s">
        <v>4857</v>
      </c>
      <c r="G211" s="38">
        <v>67366.5569646788</v>
      </c>
      <c r="H211" s="39" t="s">
        <v>4858</v>
      </c>
    </row>
    <row r="212" ht="15.75" customHeight="1">
      <c r="A212" s="1"/>
      <c r="B212" s="1"/>
      <c r="C212" s="1"/>
      <c r="D212" s="1"/>
      <c r="E212" s="36" t="s">
        <v>1119</v>
      </c>
      <c r="F212" s="37" t="s">
        <v>4857</v>
      </c>
      <c r="G212" s="38">
        <v>67369.9384390986</v>
      </c>
      <c r="H212" s="39" t="s">
        <v>4858</v>
      </c>
    </row>
    <row r="213" ht="15.75" customHeight="1">
      <c r="A213" s="1"/>
      <c r="B213" s="1"/>
      <c r="C213" s="1"/>
      <c r="D213" s="1"/>
      <c r="E213" s="36" t="s">
        <v>1120</v>
      </c>
      <c r="F213" s="37" t="s">
        <v>4857</v>
      </c>
      <c r="G213" s="38">
        <v>67373.3199135184</v>
      </c>
      <c r="H213" s="39" t="s">
        <v>4858</v>
      </c>
    </row>
    <row r="214" ht="15.75" customHeight="1">
      <c r="A214" s="1"/>
      <c r="B214" s="1"/>
      <c r="C214" s="1"/>
      <c r="D214" s="1"/>
      <c r="E214" s="36" t="s">
        <v>1121</v>
      </c>
      <c r="F214" s="37" t="s">
        <v>4857</v>
      </c>
      <c r="G214" s="38">
        <v>67376.7013879382</v>
      </c>
      <c r="H214" s="39" t="s">
        <v>4858</v>
      </c>
    </row>
    <row r="215" ht="15.75" customHeight="1">
      <c r="A215" s="1"/>
      <c r="B215" s="1"/>
      <c r="C215" s="1"/>
      <c r="D215" s="1"/>
      <c r="E215" s="36" t="s">
        <v>1122</v>
      </c>
      <c r="F215" s="37" t="s">
        <v>4857</v>
      </c>
      <c r="G215" s="38">
        <v>67380.082862358</v>
      </c>
      <c r="H215" s="39" t="s">
        <v>4858</v>
      </c>
    </row>
    <row r="216" ht="15.75" customHeight="1">
      <c r="A216" s="1"/>
      <c r="B216" s="1"/>
      <c r="C216" s="1"/>
      <c r="D216" s="1"/>
      <c r="E216" s="36" t="s">
        <v>1123</v>
      </c>
      <c r="F216" s="37" t="s">
        <v>4857</v>
      </c>
      <c r="G216" s="38">
        <v>67383.4643367778</v>
      </c>
      <c r="H216" s="39" t="s">
        <v>4858</v>
      </c>
    </row>
    <row r="217" ht="15.75" customHeight="1">
      <c r="A217" s="1"/>
      <c r="B217" s="1"/>
      <c r="C217" s="1"/>
      <c r="D217" s="1"/>
      <c r="E217" s="36" t="s">
        <v>1124</v>
      </c>
      <c r="F217" s="37" t="s">
        <v>4857</v>
      </c>
      <c r="G217" s="38">
        <v>67386.8458111977</v>
      </c>
      <c r="H217" s="39" t="s">
        <v>4858</v>
      </c>
    </row>
    <row r="218" ht="15.75" customHeight="1">
      <c r="A218" s="1"/>
      <c r="B218" s="1"/>
      <c r="C218" s="1"/>
      <c r="D218" s="1"/>
      <c r="E218" s="36" t="s">
        <v>1125</v>
      </c>
      <c r="F218" s="37" t="s">
        <v>4857</v>
      </c>
      <c r="G218" s="38">
        <v>67390.2272856175</v>
      </c>
      <c r="H218" s="39" t="s">
        <v>4858</v>
      </c>
    </row>
    <row r="219" ht="15.75" customHeight="1">
      <c r="A219" s="1"/>
      <c r="B219" s="1"/>
      <c r="C219" s="1"/>
      <c r="D219" s="1"/>
      <c r="E219" s="36" t="s">
        <v>1126</v>
      </c>
      <c r="F219" s="37" t="s">
        <v>4857</v>
      </c>
      <c r="G219" s="38">
        <v>67393.6087600373</v>
      </c>
      <c r="H219" s="39" t="s">
        <v>4858</v>
      </c>
    </row>
    <row r="220" ht="15.75" customHeight="1">
      <c r="A220" s="1"/>
      <c r="B220" s="1"/>
      <c r="C220" s="1"/>
      <c r="D220" s="1"/>
      <c r="E220" s="36" t="s">
        <v>1127</v>
      </c>
      <c r="F220" s="37" t="s">
        <v>4857</v>
      </c>
      <c r="G220" s="38">
        <v>67396.9902344571</v>
      </c>
      <c r="H220" s="39" t="s">
        <v>4858</v>
      </c>
    </row>
    <row r="221" ht="15.75" customHeight="1">
      <c r="A221" s="1"/>
      <c r="B221" s="1"/>
      <c r="C221" s="1"/>
      <c r="D221" s="1"/>
      <c r="E221" s="36" t="s">
        <v>1128</v>
      </c>
      <c r="F221" s="37" t="s">
        <v>4857</v>
      </c>
      <c r="G221" s="38">
        <v>67400.3717088769</v>
      </c>
      <c r="H221" s="39" t="s">
        <v>4858</v>
      </c>
    </row>
    <row r="222" ht="15.75" customHeight="1">
      <c r="A222" s="1"/>
      <c r="B222" s="1"/>
      <c r="C222" s="1"/>
      <c r="D222" s="1"/>
      <c r="E222" s="36" t="s">
        <v>1129</v>
      </c>
      <c r="F222" s="37" t="s">
        <v>4857</v>
      </c>
      <c r="G222" s="38">
        <v>67403.7531832967</v>
      </c>
      <c r="H222" s="39" t="s">
        <v>4858</v>
      </c>
    </row>
    <row r="223" ht="15.75" customHeight="1">
      <c r="A223" s="1"/>
      <c r="B223" s="1"/>
      <c r="C223" s="1"/>
      <c r="D223" s="1"/>
      <c r="E223" s="36" t="s">
        <v>1130</v>
      </c>
      <c r="F223" s="37" t="s">
        <v>4857</v>
      </c>
      <c r="G223" s="38">
        <v>67407.1346577165</v>
      </c>
      <c r="H223" s="39" t="s">
        <v>4858</v>
      </c>
    </row>
    <row r="224" ht="15.75" customHeight="1">
      <c r="A224" s="1"/>
      <c r="B224" s="1"/>
      <c r="C224" s="1"/>
      <c r="D224" s="1"/>
      <c r="E224" s="36" t="s">
        <v>1131</v>
      </c>
      <c r="F224" s="37" t="s">
        <v>4857</v>
      </c>
      <c r="G224" s="38">
        <v>67410.5161321363</v>
      </c>
      <c r="H224" s="39" t="s">
        <v>4858</v>
      </c>
    </row>
    <row r="225" ht="15.75" customHeight="1">
      <c r="A225" s="1"/>
      <c r="B225" s="1"/>
      <c r="C225" s="1"/>
      <c r="D225" s="1"/>
      <c r="E225" s="36" t="s">
        <v>1132</v>
      </c>
      <c r="F225" s="37" t="s">
        <v>4857</v>
      </c>
      <c r="G225" s="38">
        <v>67413.8976065562</v>
      </c>
      <c r="H225" s="39" t="s">
        <v>4858</v>
      </c>
    </row>
    <row r="226" ht="15.75" customHeight="1">
      <c r="A226" s="1"/>
      <c r="B226" s="1"/>
      <c r="C226" s="1"/>
      <c r="D226" s="1"/>
      <c r="E226" s="36" t="s">
        <v>1133</v>
      </c>
      <c r="F226" s="37" t="s">
        <v>4857</v>
      </c>
      <c r="G226" s="38">
        <v>67417.279080976</v>
      </c>
      <c r="H226" s="39" t="s">
        <v>4858</v>
      </c>
    </row>
    <row r="227" ht="15.75" customHeight="1">
      <c r="A227" s="1"/>
      <c r="B227" s="1"/>
      <c r="C227" s="1"/>
      <c r="D227" s="1"/>
      <c r="E227" s="36" t="s">
        <v>1134</v>
      </c>
      <c r="F227" s="37" t="s">
        <v>4857</v>
      </c>
      <c r="G227" s="38">
        <v>67420.6605553958</v>
      </c>
      <c r="H227" s="39" t="s">
        <v>4858</v>
      </c>
    </row>
    <row r="228" ht="15.75" customHeight="1">
      <c r="A228" s="1"/>
      <c r="B228" s="1"/>
      <c r="C228" s="1"/>
      <c r="D228" s="1"/>
      <c r="E228" s="36" t="s">
        <v>1135</v>
      </c>
      <c r="F228" s="37" t="s">
        <v>4857</v>
      </c>
      <c r="G228" s="38">
        <v>67424.0420298156</v>
      </c>
      <c r="H228" s="39" t="s">
        <v>4858</v>
      </c>
    </row>
    <row r="229" ht="15.75" customHeight="1">
      <c r="A229" s="1"/>
      <c r="B229" s="1"/>
      <c r="C229" s="1"/>
      <c r="D229" s="1"/>
      <c r="E229" s="36" t="s">
        <v>1136</v>
      </c>
      <c r="F229" s="37" t="s">
        <v>4857</v>
      </c>
      <c r="G229" s="38">
        <v>67427.4235042354</v>
      </c>
      <c r="H229" s="39" t="s">
        <v>4858</v>
      </c>
    </row>
    <row r="230" ht="15.75" customHeight="1">
      <c r="A230" s="1"/>
      <c r="B230" s="1"/>
      <c r="C230" s="1"/>
      <c r="D230" s="1"/>
      <c r="E230" s="36" t="s">
        <v>1137</v>
      </c>
      <c r="F230" s="37" t="s">
        <v>4854</v>
      </c>
      <c r="G230" s="38">
        <v>88889.39</v>
      </c>
      <c r="H230" s="39" t="s">
        <v>4855</v>
      </c>
    </row>
    <row r="231" ht="15.75" customHeight="1">
      <c r="A231" s="1"/>
      <c r="B231" s="1"/>
      <c r="C231" s="1"/>
      <c r="D231" s="1"/>
      <c r="E231" s="36" t="s">
        <v>1137</v>
      </c>
      <c r="F231" s="37" t="s">
        <v>4857</v>
      </c>
      <c r="G231" s="38">
        <v>93889.39</v>
      </c>
      <c r="H231" s="39" t="s">
        <v>4858</v>
      </c>
    </row>
    <row r="232" ht="15.75" customHeight="1">
      <c r="A232" s="1"/>
      <c r="B232" s="1"/>
      <c r="C232" s="1"/>
      <c r="D232" s="1"/>
      <c r="E232" s="36" t="s">
        <v>1138</v>
      </c>
      <c r="F232" s="37" t="s">
        <v>4857</v>
      </c>
      <c r="G232" s="38">
        <v>67434.186453075</v>
      </c>
      <c r="H232" s="39" t="s">
        <v>4858</v>
      </c>
    </row>
    <row r="233" ht="15.75" customHeight="1">
      <c r="A233" s="1"/>
      <c r="B233" s="1"/>
      <c r="C233" s="1"/>
      <c r="D233" s="1"/>
      <c r="E233" s="36" t="s">
        <v>1139</v>
      </c>
      <c r="F233" s="37" t="s">
        <v>4857</v>
      </c>
      <c r="G233" s="38">
        <v>67437.5679274949</v>
      </c>
      <c r="H233" s="39" t="s">
        <v>4858</v>
      </c>
    </row>
    <row r="234" ht="15.75" customHeight="1">
      <c r="A234" s="1"/>
      <c r="B234" s="1"/>
      <c r="C234" s="1"/>
      <c r="D234" s="1"/>
      <c r="E234" s="36" t="s">
        <v>1140</v>
      </c>
      <c r="F234" s="37" t="s">
        <v>4857</v>
      </c>
      <c r="G234" s="38">
        <v>67440.9494019147</v>
      </c>
      <c r="H234" s="39" t="s">
        <v>4858</v>
      </c>
    </row>
    <row r="235" ht="15.75" customHeight="1">
      <c r="A235" s="1"/>
      <c r="B235" s="1"/>
      <c r="C235" s="1"/>
      <c r="D235" s="1"/>
      <c r="E235" s="36" t="s">
        <v>1141</v>
      </c>
      <c r="F235" s="37" t="s">
        <v>4857</v>
      </c>
      <c r="G235" s="38">
        <v>67444.3308763345</v>
      </c>
      <c r="H235" s="39" t="s">
        <v>4858</v>
      </c>
    </row>
    <row r="236" ht="15.75" customHeight="1">
      <c r="A236" s="1"/>
      <c r="B236" s="1"/>
      <c r="C236" s="1"/>
      <c r="D236" s="1"/>
      <c r="E236" s="36" t="s">
        <v>1142</v>
      </c>
      <c r="F236" s="37" t="s">
        <v>4857</v>
      </c>
      <c r="G236" s="38">
        <v>67447.7123507543</v>
      </c>
      <c r="H236" s="39" t="s">
        <v>4858</v>
      </c>
    </row>
    <row r="237" ht="15.75" customHeight="1">
      <c r="A237" s="1"/>
      <c r="B237" s="1"/>
      <c r="C237" s="1"/>
      <c r="D237" s="1"/>
      <c r="E237" s="36" t="s">
        <v>1143</v>
      </c>
      <c r="F237" s="37" t="s">
        <v>4857</v>
      </c>
      <c r="G237" s="38">
        <v>67451.0938251741</v>
      </c>
      <c r="H237" s="39" t="s">
        <v>4858</v>
      </c>
    </row>
    <row r="238" ht="15.75" customHeight="1">
      <c r="A238" s="1"/>
      <c r="B238" s="1"/>
      <c r="C238" s="1"/>
      <c r="D238" s="1"/>
      <c r="E238" s="36" t="s">
        <v>1144</v>
      </c>
      <c r="F238" s="37" t="s">
        <v>4857</v>
      </c>
      <c r="G238" s="38">
        <v>67454.4752995939</v>
      </c>
      <c r="H238" s="39" t="s">
        <v>4858</v>
      </c>
    </row>
    <row r="239" ht="15.75" customHeight="1">
      <c r="A239" s="1"/>
      <c r="B239" s="1"/>
      <c r="C239" s="1"/>
      <c r="D239" s="1"/>
      <c r="E239" s="36" t="s">
        <v>1145</v>
      </c>
      <c r="F239" s="37" t="s">
        <v>4857</v>
      </c>
      <c r="G239" s="38">
        <v>67457.8567740138</v>
      </c>
      <c r="H239" s="39" t="s">
        <v>4858</v>
      </c>
    </row>
    <row r="240" ht="15.75" customHeight="1">
      <c r="A240" s="1"/>
      <c r="B240" s="1"/>
      <c r="C240" s="1"/>
      <c r="D240" s="1"/>
      <c r="E240" s="36" t="s">
        <v>1146</v>
      </c>
      <c r="F240" s="37" t="s">
        <v>4857</v>
      </c>
      <c r="G240" s="38">
        <v>67461.2382484336</v>
      </c>
      <c r="H240" s="39" t="s">
        <v>4858</v>
      </c>
    </row>
    <row r="241" ht="15.75" customHeight="1">
      <c r="A241" s="1"/>
      <c r="B241" s="1"/>
      <c r="C241" s="1"/>
      <c r="D241" s="1"/>
      <c r="E241" s="36" t="s">
        <v>1147</v>
      </c>
      <c r="F241" s="37" t="s">
        <v>4857</v>
      </c>
      <c r="G241" s="38">
        <v>67464.6197228534</v>
      </c>
      <c r="H241" s="39" t="s">
        <v>4858</v>
      </c>
    </row>
    <row r="242" ht="15.75" customHeight="1">
      <c r="A242" s="1"/>
      <c r="B242" s="1"/>
      <c r="C242" s="1"/>
      <c r="D242" s="1"/>
      <c r="E242" s="36" t="s">
        <v>1148</v>
      </c>
      <c r="F242" s="37" t="s">
        <v>4857</v>
      </c>
      <c r="G242" s="38">
        <v>67468.0011972732</v>
      </c>
      <c r="H242" s="39" t="s">
        <v>4858</v>
      </c>
    </row>
    <row r="243" ht="15.75" customHeight="1">
      <c r="A243" s="1"/>
      <c r="B243" s="1"/>
      <c r="C243" s="1"/>
      <c r="D243" s="1"/>
      <c r="E243" s="36" t="s">
        <v>1149</v>
      </c>
      <c r="F243" s="37" t="s">
        <v>4857</v>
      </c>
      <c r="G243" s="38">
        <v>67471.382671693</v>
      </c>
      <c r="H243" s="39" t="s">
        <v>4858</v>
      </c>
    </row>
    <row r="244" ht="15.75" customHeight="1">
      <c r="A244" s="1"/>
      <c r="B244" s="1"/>
      <c r="C244" s="1"/>
      <c r="D244" s="1"/>
      <c r="E244" s="36" t="s">
        <v>1150</v>
      </c>
      <c r="F244" s="37" t="s">
        <v>4857</v>
      </c>
      <c r="G244" s="38">
        <v>67474.7641461128</v>
      </c>
      <c r="H244" s="39" t="s">
        <v>4858</v>
      </c>
    </row>
    <row r="245" ht="15.75" customHeight="1">
      <c r="A245" s="1"/>
      <c r="B245" s="1"/>
      <c r="C245" s="1"/>
      <c r="D245" s="1"/>
      <c r="E245" s="36" t="s">
        <v>1151</v>
      </c>
      <c r="F245" s="37" t="s">
        <v>4857</v>
      </c>
      <c r="G245" s="38">
        <v>67478.1456205326</v>
      </c>
      <c r="H245" s="39" t="s">
        <v>4858</v>
      </c>
    </row>
    <row r="246" ht="15.75" customHeight="1">
      <c r="A246" s="1"/>
      <c r="B246" s="1"/>
      <c r="C246" s="1"/>
      <c r="D246" s="1"/>
      <c r="E246" s="36" t="s">
        <v>1152</v>
      </c>
      <c r="F246" s="37" t="s">
        <v>4857</v>
      </c>
      <c r="G246" s="38">
        <v>67481.5270949525</v>
      </c>
      <c r="H246" s="39" t="s">
        <v>4858</v>
      </c>
    </row>
    <row r="247" ht="15.75" customHeight="1">
      <c r="A247" s="1"/>
      <c r="B247" s="1"/>
      <c r="C247" s="1"/>
      <c r="D247" s="1"/>
      <c r="E247" s="36" t="s">
        <v>1153</v>
      </c>
      <c r="F247" s="37" t="s">
        <v>4857</v>
      </c>
      <c r="G247" s="38">
        <v>67484.9085693723</v>
      </c>
      <c r="H247" s="39" t="s">
        <v>4858</v>
      </c>
    </row>
    <row r="248" ht="15.75" customHeight="1">
      <c r="A248" s="1"/>
      <c r="B248" s="1"/>
      <c r="C248" s="1"/>
      <c r="D248" s="1"/>
      <c r="E248" s="36" t="s">
        <v>1154</v>
      </c>
      <c r="F248" s="37" t="s">
        <v>4857</v>
      </c>
      <c r="G248" s="38">
        <v>67488.2900437921</v>
      </c>
      <c r="H248" s="39" t="s">
        <v>4858</v>
      </c>
    </row>
    <row r="249" ht="15.75" customHeight="1">
      <c r="A249" s="1"/>
      <c r="B249" s="1"/>
      <c r="C249" s="1"/>
      <c r="D249" s="1"/>
      <c r="E249" s="36" t="s">
        <v>1155</v>
      </c>
      <c r="F249" s="37" t="s">
        <v>4857</v>
      </c>
      <c r="G249" s="38">
        <v>67491.6715182119</v>
      </c>
      <c r="H249" s="39" t="s">
        <v>4858</v>
      </c>
    </row>
    <row r="250" ht="15.75" customHeight="1">
      <c r="A250" s="1"/>
      <c r="B250" s="1"/>
      <c r="C250" s="1"/>
      <c r="D250" s="1"/>
      <c r="E250" s="36" t="s">
        <v>1156</v>
      </c>
      <c r="F250" s="37" t="s">
        <v>4857</v>
      </c>
      <c r="G250" s="38">
        <v>67495.0529926317</v>
      </c>
      <c r="H250" s="39" t="s">
        <v>4858</v>
      </c>
    </row>
    <row r="251" ht="15.75" customHeight="1">
      <c r="A251" s="1"/>
      <c r="B251" s="1"/>
      <c r="C251" s="1"/>
      <c r="D251" s="1"/>
      <c r="E251" s="36" t="s">
        <v>1157</v>
      </c>
      <c r="F251" s="37" t="s">
        <v>4857</v>
      </c>
      <c r="G251" s="38">
        <v>67498.4344670515</v>
      </c>
      <c r="H251" s="39" t="s">
        <v>4858</v>
      </c>
    </row>
    <row r="252" ht="15.75" customHeight="1">
      <c r="A252" s="1"/>
      <c r="B252" s="1"/>
      <c r="C252" s="1"/>
      <c r="D252" s="1"/>
      <c r="E252" s="36" t="s">
        <v>1158</v>
      </c>
      <c r="F252" s="37" t="s">
        <v>4857</v>
      </c>
      <c r="G252" s="38">
        <v>67501.8159414713</v>
      </c>
      <c r="H252" s="39" t="s">
        <v>4858</v>
      </c>
    </row>
    <row r="253" ht="15.75" customHeight="1">
      <c r="A253" s="1"/>
      <c r="B253" s="1"/>
      <c r="C253" s="1"/>
      <c r="D253" s="1"/>
      <c r="E253" s="36" t="s">
        <v>1159</v>
      </c>
      <c r="F253" s="37" t="s">
        <v>4857</v>
      </c>
      <c r="G253" s="38">
        <v>67505.1974158911</v>
      </c>
      <c r="H253" s="39" t="s">
        <v>4858</v>
      </c>
    </row>
    <row r="254" ht="15.75" customHeight="1">
      <c r="A254" s="1"/>
      <c r="B254" s="1"/>
      <c r="C254" s="1"/>
      <c r="D254" s="1"/>
      <c r="E254" s="43" t="s">
        <v>1160</v>
      </c>
      <c r="F254" s="44" t="s">
        <v>4857</v>
      </c>
      <c r="G254" s="45">
        <v>67508.578890311</v>
      </c>
      <c r="H254" s="46" t="s">
        <v>4858</v>
      </c>
    </row>
    <row r="255" ht="15.75" customHeight="1">
      <c r="A255" s="1"/>
      <c r="B255" s="1"/>
      <c r="C255" s="1"/>
      <c r="D255" s="1"/>
      <c r="E255" s="37" t="s">
        <v>1161</v>
      </c>
      <c r="F255" s="37" t="s">
        <v>4857</v>
      </c>
      <c r="G255" s="38">
        <v>67511.9603647308</v>
      </c>
      <c r="H255" s="37" t="s">
        <v>4858</v>
      </c>
    </row>
    <row r="256" ht="15.0" customHeight="1">
      <c r="A256" s="1"/>
      <c r="B256" s="1"/>
      <c r="C256" s="1"/>
      <c r="D256" s="1"/>
    </row>
    <row r="257" ht="15.0" customHeight="1">
      <c r="A257" s="1"/>
      <c r="B257" s="1"/>
      <c r="C257" s="1"/>
      <c r="D257" s="1"/>
    </row>
    <row r="258" ht="15.0" customHeight="1">
      <c r="A258" s="1"/>
      <c r="B258" s="1"/>
      <c r="C258" s="1"/>
      <c r="D258" s="1"/>
    </row>
    <row r="259" ht="15.0" customHeight="1">
      <c r="A259" s="1"/>
      <c r="B259" s="1"/>
      <c r="C259" s="1"/>
      <c r="D259" s="1"/>
    </row>
    <row r="260" ht="15.0" customHeight="1">
      <c r="A260" s="1"/>
      <c r="B260" s="1"/>
      <c r="C260" s="1"/>
      <c r="D260" s="1"/>
    </row>
    <row r="261" ht="15.0" customHeight="1">
      <c r="A261" s="1"/>
      <c r="B261" s="1"/>
      <c r="C261" s="1"/>
      <c r="D261" s="1"/>
    </row>
    <row r="262" ht="15.0" customHeight="1">
      <c r="A262" s="1"/>
      <c r="B262" s="1"/>
      <c r="C262" s="1"/>
      <c r="D262" s="1"/>
    </row>
    <row r="263" ht="15.0" customHeight="1">
      <c r="A263" s="1"/>
      <c r="B263" s="1"/>
      <c r="C263" s="1"/>
      <c r="D263" s="1"/>
    </row>
    <row r="264" ht="15.0" customHeight="1">
      <c r="A264" s="1"/>
      <c r="B264" s="1"/>
      <c r="C264" s="1"/>
      <c r="D264" s="1"/>
    </row>
    <row r="265" ht="15.0" customHeight="1">
      <c r="A265" s="1"/>
      <c r="B265" s="1"/>
      <c r="C265" s="1"/>
      <c r="D265" s="1"/>
    </row>
    <row r="266" ht="15.0" customHeight="1">
      <c r="A266" s="1"/>
      <c r="B266" s="1"/>
      <c r="C266" s="1"/>
      <c r="D266" s="1"/>
    </row>
    <row r="267" ht="15.0" customHeight="1">
      <c r="A267" s="1"/>
      <c r="B267" s="1"/>
      <c r="C267" s="1"/>
      <c r="D267" s="1"/>
    </row>
    <row r="268" ht="15.0" customHeight="1">
      <c r="A268" s="1"/>
      <c r="B268" s="1"/>
      <c r="C268" s="1"/>
      <c r="D268" s="1"/>
    </row>
    <row r="269" ht="15.0" customHeight="1">
      <c r="A269" s="1"/>
      <c r="B269" s="1"/>
      <c r="C269" s="1"/>
      <c r="D269" s="1"/>
    </row>
    <row r="270" ht="15.0" customHeight="1">
      <c r="A270" s="1"/>
      <c r="B270" s="1"/>
      <c r="C270" s="1"/>
      <c r="D270" s="1"/>
    </row>
    <row r="271" ht="15.0" customHeight="1">
      <c r="A271" s="1"/>
      <c r="B271" s="1"/>
      <c r="C271" s="1"/>
      <c r="D271" s="1"/>
    </row>
    <row r="272" ht="15.0" customHeight="1">
      <c r="A272" s="1"/>
      <c r="B272" s="1"/>
      <c r="C272" s="1"/>
      <c r="D272" s="1"/>
    </row>
    <row r="273" ht="15.0" customHeight="1">
      <c r="A273" s="1"/>
      <c r="B273" s="1"/>
      <c r="C273" s="1"/>
      <c r="D273" s="1"/>
    </row>
    <row r="274" ht="15.0" customHeight="1">
      <c r="A274" s="1"/>
      <c r="B274" s="1"/>
      <c r="C274" s="1"/>
      <c r="D274" s="1"/>
    </row>
    <row r="275" ht="15.0" customHeight="1">
      <c r="A275" s="1"/>
      <c r="B275" s="1"/>
      <c r="C275" s="1"/>
      <c r="D275" s="1"/>
    </row>
    <row r="276" ht="15.0" customHeight="1">
      <c r="A276" s="1"/>
      <c r="B276" s="1"/>
      <c r="C276" s="1"/>
      <c r="D276" s="1"/>
    </row>
    <row r="277" ht="15.0" customHeight="1">
      <c r="A277" s="1"/>
      <c r="B277" s="1"/>
      <c r="C277" s="1"/>
      <c r="D277" s="1"/>
    </row>
    <row r="278" ht="15.0" customHeight="1">
      <c r="A278" s="1"/>
      <c r="B278" s="1"/>
      <c r="C278" s="1"/>
      <c r="D278" s="1"/>
    </row>
    <row r="279" ht="15.0" customHeight="1">
      <c r="A279" s="1"/>
      <c r="B279" s="1"/>
      <c r="C279" s="1"/>
      <c r="D279" s="1"/>
    </row>
    <row r="280" ht="15.0" customHeight="1">
      <c r="A280" s="1"/>
      <c r="B280" s="1"/>
      <c r="C280" s="1"/>
      <c r="D280" s="1"/>
    </row>
    <row r="281" ht="15.0" customHeight="1">
      <c r="A281" s="1"/>
      <c r="B281" s="1"/>
      <c r="C281" s="1"/>
      <c r="D281" s="1"/>
    </row>
    <row r="282" ht="15.0" customHeight="1">
      <c r="A282" s="1"/>
      <c r="B282" s="1"/>
      <c r="C282" s="1"/>
      <c r="D282" s="1"/>
    </row>
    <row r="283" ht="15.0" customHeight="1">
      <c r="A283" s="1"/>
      <c r="B283" s="1"/>
      <c r="C283" s="1"/>
      <c r="D283" s="1"/>
    </row>
    <row r="284" ht="15.0" customHeight="1">
      <c r="A284" s="1"/>
      <c r="B284" s="1"/>
      <c r="C284" s="1"/>
      <c r="D284" s="1"/>
    </row>
    <row r="285" ht="15.0" customHeight="1">
      <c r="A285" s="1"/>
      <c r="B285" s="1"/>
      <c r="C285" s="1"/>
      <c r="D285" s="1"/>
    </row>
    <row r="286" ht="15.0" customHeight="1">
      <c r="A286" s="1"/>
      <c r="B286" s="1"/>
      <c r="C286" s="1"/>
      <c r="D286" s="1"/>
    </row>
    <row r="287" ht="15.0" customHeight="1">
      <c r="A287" s="1"/>
      <c r="B287" s="1"/>
      <c r="C287" s="1"/>
      <c r="D287" s="1"/>
    </row>
    <row r="288" ht="15.0" customHeight="1">
      <c r="A288" s="1"/>
      <c r="B288" s="1"/>
      <c r="C288" s="1"/>
      <c r="D288" s="1"/>
    </row>
    <row r="289" ht="15.0" customHeight="1">
      <c r="A289" s="1"/>
      <c r="B289" s="1"/>
      <c r="C289" s="1"/>
      <c r="D289" s="1"/>
    </row>
    <row r="290" ht="15.0" customHeight="1">
      <c r="A290" s="1"/>
      <c r="B290" s="1"/>
      <c r="C290" s="1"/>
      <c r="D290" s="1"/>
    </row>
    <row r="291" ht="15.0" customHeight="1">
      <c r="A291" s="1"/>
      <c r="B291" s="1"/>
      <c r="C291" s="1"/>
      <c r="D291" s="1"/>
    </row>
    <row r="292" ht="15.0" customHeight="1">
      <c r="A292" s="1"/>
      <c r="B292" s="1"/>
      <c r="C292" s="1"/>
      <c r="D292" s="1"/>
    </row>
    <row r="293" ht="15.0" customHeight="1">
      <c r="A293" s="1"/>
      <c r="B293" s="1"/>
      <c r="C293" s="1"/>
      <c r="D293" s="1"/>
    </row>
    <row r="294" ht="15.0" customHeight="1">
      <c r="A294" s="1"/>
      <c r="B294" s="1"/>
      <c r="C294" s="1"/>
      <c r="D294" s="1"/>
    </row>
    <row r="295" ht="15.0" customHeight="1">
      <c r="A295" s="1"/>
      <c r="B295" s="1"/>
      <c r="C295" s="1"/>
      <c r="D295" s="1"/>
    </row>
    <row r="296" ht="15.0" customHeight="1">
      <c r="A296" s="1"/>
      <c r="B296" s="1"/>
      <c r="C296" s="1"/>
      <c r="D296" s="1"/>
    </row>
    <row r="297" ht="15.0" customHeight="1">
      <c r="A297" s="1"/>
      <c r="B297" s="1"/>
      <c r="C297" s="1"/>
      <c r="D297" s="1"/>
    </row>
    <row r="298" ht="15.0" customHeight="1">
      <c r="A298" s="1"/>
      <c r="B298" s="1"/>
      <c r="C298" s="1"/>
      <c r="D298" s="1"/>
    </row>
    <row r="299" ht="15.0" customHeight="1">
      <c r="A299" s="1"/>
      <c r="B299" s="1"/>
      <c r="C299" s="1"/>
      <c r="D299" s="1"/>
    </row>
    <row r="300" ht="15.0" customHeight="1">
      <c r="A300" s="1"/>
      <c r="B300" s="1"/>
      <c r="C300" s="1"/>
      <c r="D300" s="1"/>
    </row>
    <row r="301" ht="15.0" customHeight="1">
      <c r="A301" s="1"/>
      <c r="B301" s="1"/>
      <c r="C301" s="1"/>
      <c r="D301" s="1"/>
    </row>
    <row r="302" ht="15.0" customHeight="1">
      <c r="A302" s="1"/>
      <c r="B302" s="1"/>
      <c r="C302" s="1"/>
      <c r="D302" s="1"/>
    </row>
    <row r="303" ht="15.0" customHeight="1">
      <c r="A303" s="1"/>
      <c r="B303" s="1"/>
      <c r="C303" s="1"/>
      <c r="D303" s="1"/>
    </row>
    <row r="304" ht="15.0" customHeight="1">
      <c r="A304" s="1"/>
      <c r="B304" s="1"/>
      <c r="C304" s="1"/>
      <c r="D304" s="1"/>
    </row>
    <row r="305" ht="15.0" customHeight="1">
      <c r="A305" s="1"/>
      <c r="B305" s="1"/>
      <c r="C305" s="1"/>
      <c r="D305" s="1"/>
    </row>
    <row r="306" ht="15.0" customHeight="1">
      <c r="A306" s="1"/>
      <c r="B306" s="1"/>
      <c r="C306" s="1"/>
      <c r="D306" s="1"/>
    </row>
    <row r="307" ht="15.0" customHeight="1">
      <c r="A307" s="1"/>
      <c r="B307" s="1"/>
      <c r="C307" s="1"/>
      <c r="D307" s="1"/>
    </row>
    <row r="308" ht="15.0" customHeight="1">
      <c r="A308" s="1"/>
      <c r="B308" s="1"/>
      <c r="C308" s="1"/>
      <c r="D308" s="1"/>
    </row>
    <row r="309" ht="15.0" customHeight="1">
      <c r="A309" s="1"/>
      <c r="B309" s="1"/>
      <c r="C309" s="1"/>
      <c r="D309" s="1"/>
    </row>
    <row r="310" ht="15.0" customHeight="1">
      <c r="A310" s="1"/>
      <c r="B310" s="1"/>
      <c r="C310" s="1"/>
      <c r="D310" s="1"/>
    </row>
    <row r="311" ht="15.0" customHeight="1">
      <c r="A311" s="1"/>
      <c r="B311" s="1"/>
      <c r="C311" s="1"/>
      <c r="D311" s="1"/>
    </row>
    <row r="312" ht="15.0" customHeight="1">
      <c r="A312" s="1"/>
      <c r="B312" s="1"/>
      <c r="C312" s="1"/>
      <c r="D312" s="1"/>
    </row>
    <row r="313" ht="15.0" customHeight="1">
      <c r="A313" s="1"/>
      <c r="B313" s="1"/>
      <c r="C313" s="1"/>
      <c r="D313" s="1"/>
    </row>
    <row r="314" ht="15.0" customHeight="1">
      <c r="A314" s="1"/>
      <c r="B314" s="1"/>
      <c r="C314" s="1"/>
      <c r="D314" s="1"/>
    </row>
    <row r="315" ht="15.0" customHeight="1">
      <c r="A315" s="1"/>
      <c r="B315" s="1"/>
      <c r="C315" s="1"/>
      <c r="D315" s="1"/>
    </row>
    <row r="316" ht="15.0" customHeight="1">
      <c r="A316" s="1"/>
      <c r="B316" s="1"/>
      <c r="C316" s="1"/>
      <c r="D316" s="1"/>
    </row>
    <row r="317" ht="15.0" customHeight="1">
      <c r="A317" s="1"/>
      <c r="B317" s="1"/>
      <c r="C317" s="1"/>
      <c r="D317" s="1"/>
    </row>
    <row r="318" ht="15.0" customHeight="1">
      <c r="A318" s="1"/>
      <c r="B318" s="1"/>
      <c r="C318" s="1"/>
      <c r="D318" s="1"/>
    </row>
    <row r="319" ht="15.0" customHeight="1">
      <c r="A319" s="1"/>
      <c r="B319" s="1"/>
      <c r="C319" s="1"/>
      <c r="D319" s="1"/>
    </row>
    <row r="320" ht="15.0" customHeight="1">
      <c r="A320" s="1"/>
      <c r="B320" s="1"/>
      <c r="C320" s="1"/>
      <c r="D320" s="1"/>
    </row>
    <row r="321" ht="15.0" customHeight="1">
      <c r="A321" s="1"/>
      <c r="B321" s="1"/>
      <c r="C321" s="1"/>
      <c r="D321" s="1"/>
    </row>
    <row r="322" ht="15.0" customHeight="1">
      <c r="A322" s="1"/>
      <c r="B322" s="1"/>
      <c r="C322" s="1"/>
      <c r="D322" s="1"/>
    </row>
    <row r="323" ht="15.0" customHeight="1">
      <c r="A323" s="1"/>
      <c r="B323" s="1"/>
      <c r="C323" s="1"/>
      <c r="D323" s="1"/>
    </row>
    <row r="324" ht="15.0" customHeight="1">
      <c r="A324" s="1"/>
      <c r="B324" s="1"/>
      <c r="C324" s="1"/>
      <c r="D324" s="1"/>
    </row>
    <row r="325" ht="15.0" customHeight="1">
      <c r="A325" s="1"/>
      <c r="B325" s="1"/>
      <c r="C325" s="1"/>
      <c r="D325" s="1"/>
    </row>
    <row r="326" ht="15.0" customHeight="1">
      <c r="A326" s="1"/>
      <c r="B326" s="1"/>
      <c r="C326" s="1"/>
      <c r="D326" s="1"/>
    </row>
    <row r="327" ht="15.0" customHeight="1">
      <c r="A327" s="1"/>
      <c r="B327" s="1"/>
      <c r="C327" s="1"/>
      <c r="D327" s="1"/>
    </row>
    <row r="328" ht="15.0" customHeight="1">
      <c r="A328" s="1"/>
      <c r="B328" s="1"/>
      <c r="C328" s="1"/>
      <c r="D328" s="1"/>
    </row>
    <row r="329" ht="15.0" customHeight="1">
      <c r="A329" s="1"/>
      <c r="B329" s="1"/>
      <c r="C329" s="1"/>
      <c r="D329" s="1"/>
    </row>
    <row r="330" ht="15.0" customHeight="1">
      <c r="A330" s="1"/>
      <c r="B330" s="1"/>
      <c r="C330" s="1"/>
      <c r="D330" s="1"/>
    </row>
    <row r="331" ht="15.0" customHeight="1">
      <c r="A331" s="1"/>
      <c r="B331" s="1"/>
      <c r="C331" s="1"/>
      <c r="D331" s="1"/>
    </row>
    <row r="332" ht="15.0" customHeight="1">
      <c r="A332" s="1"/>
      <c r="B332" s="1"/>
      <c r="C332" s="1"/>
      <c r="D332" s="1"/>
    </row>
    <row r="333" ht="15.0" customHeight="1">
      <c r="A333" s="1"/>
      <c r="B333" s="1"/>
      <c r="C333" s="1"/>
      <c r="D333" s="1"/>
    </row>
    <row r="334" ht="15.0" customHeight="1">
      <c r="A334" s="1"/>
      <c r="B334" s="1"/>
      <c r="C334" s="1"/>
      <c r="D334" s="1"/>
    </row>
    <row r="335" ht="15.0" customHeight="1">
      <c r="A335" s="1"/>
      <c r="B335" s="1"/>
      <c r="C335" s="1"/>
      <c r="D335" s="1"/>
    </row>
    <row r="336" ht="15.0" customHeight="1">
      <c r="A336" s="1"/>
      <c r="B336" s="1"/>
      <c r="C336" s="1"/>
      <c r="D336" s="1"/>
    </row>
    <row r="337" ht="15.0" customHeight="1">
      <c r="A337" s="1"/>
      <c r="B337" s="1"/>
      <c r="C337" s="1"/>
      <c r="D337" s="1"/>
    </row>
    <row r="338" ht="15.0" customHeight="1">
      <c r="A338" s="1"/>
      <c r="B338" s="1"/>
      <c r="C338" s="1"/>
      <c r="D338" s="1"/>
    </row>
    <row r="339" ht="15.0" customHeight="1">
      <c r="A339" s="1"/>
      <c r="B339" s="1"/>
      <c r="C339" s="1"/>
      <c r="D339" s="1"/>
    </row>
    <row r="340" ht="15.0" customHeight="1">
      <c r="A340" s="1"/>
      <c r="B340" s="1"/>
      <c r="C340" s="1"/>
      <c r="D340" s="1"/>
    </row>
    <row r="341" ht="15.0" customHeight="1">
      <c r="A341" s="1"/>
      <c r="B341" s="1"/>
      <c r="C341" s="1"/>
      <c r="D341" s="1"/>
    </row>
    <row r="342" ht="15.0" customHeight="1">
      <c r="A342" s="1"/>
      <c r="B342" s="1"/>
      <c r="C342" s="1"/>
      <c r="D342" s="1"/>
    </row>
    <row r="343" ht="15.0" customHeight="1">
      <c r="A343" s="1"/>
      <c r="B343" s="1"/>
      <c r="C343" s="1"/>
      <c r="D343" s="1"/>
    </row>
    <row r="344" ht="15.0" customHeight="1">
      <c r="A344" s="1"/>
      <c r="B344" s="1"/>
      <c r="C344" s="1"/>
      <c r="D344" s="1"/>
    </row>
    <row r="345" ht="15.0" customHeight="1">
      <c r="A345" s="1"/>
      <c r="B345" s="1"/>
      <c r="C345" s="1"/>
      <c r="D345" s="1"/>
    </row>
    <row r="346" ht="15.0" customHeight="1">
      <c r="A346" s="1"/>
      <c r="B346" s="1"/>
      <c r="C346" s="1"/>
      <c r="D346" s="1"/>
    </row>
    <row r="347" ht="15.0" customHeight="1">
      <c r="A347" s="1"/>
      <c r="B347" s="1"/>
      <c r="C347" s="1"/>
      <c r="D347" s="1"/>
    </row>
    <row r="348" ht="15.0" customHeight="1">
      <c r="A348" s="1"/>
      <c r="B348" s="1"/>
      <c r="C348" s="1"/>
      <c r="D348" s="1"/>
    </row>
    <row r="349" ht="15.0" customHeight="1">
      <c r="A349" s="1"/>
      <c r="B349" s="1"/>
      <c r="C349" s="1"/>
      <c r="D349" s="1"/>
    </row>
    <row r="350" ht="15.0" customHeight="1">
      <c r="A350" s="1"/>
      <c r="B350" s="1"/>
      <c r="C350" s="1"/>
      <c r="D350" s="1"/>
    </row>
    <row r="351" ht="15.0" customHeight="1">
      <c r="A351" s="1"/>
      <c r="B351" s="1"/>
      <c r="C351" s="1"/>
      <c r="D351" s="1"/>
    </row>
    <row r="352" ht="15.0" customHeight="1">
      <c r="A352" s="1"/>
      <c r="B352" s="1"/>
      <c r="C352" s="1"/>
      <c r="D352" s="1"/>
    </row>
    <row r="353" ht="15.0" customHeight="1">
      <c r="A353" s="1"/>
      <c r="B353" s="1"/>
      <c r="C353" s="1"/>
      <c r="D353" s="1"/>
    </row>
    <row r="354" ht="15.0" customHeight="1">
      <c r="A354" s="1"/>
      <c r="B354" s="1"/>
      <c r="C354" s="1"/>
      <c r="D354" s="1"/>
    </row>
    <row r="355" ht="15.0" customHeight="1">
      <c r="A355" s="1"/>
      <c r="B355" s="1"/>
      <c r="C355" s="1"/>
      <c r="D355" s="1"/>
    </row>
    <row r="356" ht="15.0" customHeight="1">
      <c r="A356" s="1"/>
      <c r="B356" s="1"/>
      <c r="C356" s="1"/>
      <c r="D356" s="1"/>
    </row>
    <row r="357" ht="15.0" customHeight="1">
      <c r="A357" s="1"/>
      <c r="B357" s="1"/>
      <c r="C357" s="1"/>
      <c r="D357" s="1"/>
    </row>
    <row r="358" ht="15.0" customHeight="1">
      <c r="A358" s="1"/>
      <c r="B358" s="1"/>
      <c r="C358" s="1"/>
      <c r="D358" s="1"/>
    </row>
    <row r="359" ht="15.0" customHeight="1">
      <c r="A359" s="1"/>
      <c r="B359" s="1"/>
      <c r="C359" s="1"/>
      <c r="D359" s="1"/>
    </row>
    <row r="360" ht="15.0" customHeight="1">
      <c r="A360" s="1"/>
      <c r="B360" s="1"/>
      <c r="C360" s="1"/>
      <c r="D360" s="1"/>
    </row>
    <row r="361" ht="15.0" customHeight="1">
      <c r="A361" s="1"/>
      <c r="B361" s="1"/>
      <c r="C361" s="1"/>
      <c r="D361" s="1"/>
    </row>
    <row r="362" ht="15.0" customHeight="1">
      <c r="A362" s="1"/>
      <c r="B362" s="1"/>
      <c r="C362" s="1"/>
      <c r="D362" s="1"/>
    </row>
    <row r="363" ht="15.0" customHeight="1">
      <c r="A363" s="1"/>
      <c r="B363" s="1"/>
      <c r="C363" s="1"/>
      <c r="D363" s="1"/>
    </row>
    <row r="364" ht="15.0" customHeight="1">
      <c r="A364" s="1"/>
      <c r="B364" s="1"/>
      <c r="C364" s="1"/>
      <c r="D364" s="1"/>
    </row>
    <row r="365" ht="15.0" customHeight="1">
      <c r="A365" s="1"/>
      <c r="B365" s="1"/>
      <c r="C365" s="1"/>
      <c r="D365" s="1"/>
    </row>
    <row r="366" ht="15.0" customHeight="1">
      <c r="A366" s="1"/>
      <c r="B366" s="1"/>
      <c r="C366" s="1"/>
      <c r="D366" s="1"/>
    </row>
    <row r="367" ht="15.0" customHeight="1">
      <c r="A367" s="1"/>
      <c r="B367" s="1"/>
      <c r="C367" s="1"/>
      <c r="D367" s="1"/>
    </row>
    <row r="368" ht="15.0" customHeight="1">
      <c r="A368" s="1"/>
      <c r="B368" s="1"/>
      <c r="C368" s="1"/>
      <c r="D368" s="1"/>
    </row>
    <row r="369" ht="15.0" customHeight="1">
      <c r="A369" s="1"/>
      <c r="B369" s="1"/>
      <c r="C369" s="1"/>
      <c r="D369" s="1"/>
    </row>
    <row r="370" ht="15.0" customHeight="1">
      <c r="A370" s="1"/>
      <c r="B370" s="1"/>
      <c r="C370" s="1"/>
      <c r="D370" s="1"/>
    </row>
    <row r="371" ht="15.0" customHeight="1">
      <c r="A371" s="1"/>
      <c r="B371" s="1"/>
      <c r="C371" s="1"/>
      <c r="D371" s="1"/>
    </row>
    <row r="372" ht="15.0" customHeight="1">
      <c r="A372" s="1"/>
      <c r="B372" s="1"/>
      <c r="C372" s="1"/>
      <c r="D372" s="1"/>
    </row>
    <row r="373" ht="15.0" customHeight="1">
      <c r="A373" s="1"/>
      <c r="B373" s="1"/>
      <c r="C373" s="1"/>
      <c r="D373" s="1"/>
    </row>
    <row r="374" ht="15.0" customHeight="1">
      <c r="A374" s="1"/>
      <c r="B374" s="1"/>
      <c r="C374" s="1"/>
      <c r="D374" s="1"/>
    </row>
    <row r="375" ht="15.0" customHeight="1">
      <c r="A375" s="1"/>
      <c r="B375" s="1"/>
      <c r="C375" s="1"/>
      <c r="D375" s="1"/>
    </row>
    <row r="376" ht="15.0" customHeight="1">
      <c r="A376" s="1"/>
      <c r="B376" s="1"/>
      <c r="C376" s="1"/>
      <c r="D376" s="1"/>
    </row>
    <row r="377" ht="15.0" customHeight="1">
      <c r="A377" s="1"/>
      <c r="B377" s="1"/>
      <c r="C377" s="1"/>
      <c r="D377" s="1"/>
    </row>
    <row r="378" ht="15.0" customHeight="1">
      <c r="A378" s="1"/>
      <c r="B378" s="1"/>
      <c r="C378" s="1"/>
      <c r="D378" s="1"/>
    </row>
    <row r="379" ht="15.0" customHeight="1">
      <c r="A379" s="1"/>
      <c r="B379" s="1"/>
      <c r="C379" s="1"/>
      <c r="D379" s="1"/>
    </row>
    <row r="380" ht="15.0" customHeight="1">
      <c r="A380" s="1"/>
      <c r="B380" s="1"/>
      <c r="C380" s="1"/>
      <c r="D380" s="1"/>
    </row>
    <row r="381" ht="15.0" customHeight="1">
      <c r="A381" s="1"/>
      <c r="B381" s="1"/>
      <c r="C381" s="1"/>
      <c r="D381" s="1"/>
    </row>
    <row r="382" ht="15.0" customHeight="1">
      <c r="A382" s="1"/>
      <c r="B382" s="1"/>
      <c r="C382" s="1"/>
      <c r="D382" s="1"/>
    </row>
    <row r="383" ht="15.0" customHeight="1">
      <c r="A383" s="1"/>
      <c r="B383" s="1"/>
      <c r="C383" s="1"/>
      <c r="D383" s="1"/>
    </row>
    <row r="384" ht="15.0" customHeight="1">
      <c r="A384" s="1"/>
      <c r="B384" s="1"/>
      <c r="C384" s="1"/>
      <c r="D384" s="1"/>
    </row>
    <row r="385" ht="15.0" customHeight="1">
      <c r="A385" s="1"/>
      <c r="B385" s="1"/>
      <c r="C385" s="1"/>
      <c r="D385" s="1"/>
    </row>
    <row r="386" ht="15.0" customHeight="1">
      <c r="A386" s="1"/>
      <c r="B386" s="1"/>
      <c r="C386" s="1"/>
      <c r="D386" s="1"/>
    </row>
    <row r="387" ht="15.0" customHeight="1">
      <c r="A387" s="1"/>
      <c r="B387" s="1"/>
      <c r="C387" s="1"/>
      <c r="D387" s="1"/>
    </row>
    <row r="388" ht="15.0" customHeight="1">
      <c r="A388" s="1"/>
      <c r="B388" s="1"/>
      <c r="C388" s="1"/>
      <c r="D388" s="1"/>
    </row>
    <row r="389" ht="15.0" customHeight="1">
      <c r="A389" s="1"/>
      <c r="B389" s="1"/>
      <c r="C389" s="1"/>
      <c r="D389" s="1"/>
    </row>
    <row r="390" ht="15.0" customHeight="1">
      <c r="A390" s="1"/>
      <c r="B390" s="1"/>
      <c r="C390" s="1"/>
      <c r="D390" s="1"/>
    </row>
    <row r="391" ht="15.0" customHeight="1">
      <c r="A391" s="1"/>
      <c r="B391" s="1"/>
      <c r="C391" s="1"/>
      <c r="D391" s="1"/>
    </row>
    <row r="392" ht="15.0" customHeight="1">
      <c r="A392" s="1"/>
      <c r="B392" s="1"/>
      <c r="C392" s="1"/>
      <c r="D392" s="1"/>
    </row>
    <row r="393" ht="15.0" customHeight="1">
      <c r="A393" s="1"/>
      <c r="B393" s="1"/>
      <c r="C393" s="1"/>
      <c r="D393" s="1"/>
    </row>
    <row r="394" ht="15.0" customHeight="1">
      <c r="A394" s="1"/>
      <c r="B394" s="1"/>
      <c r="C394" s="1"/>
      <c r="D394" s="1"/>
    </row>
    <row r="395" ht="15.0" customHeight="1">
      <c r="A395" s="1"/>
      <c r="B395" s="1"/>
      <c r="C395" s="1"/>
      <c r="D395" s="1"/>
    </row>
    <row r="396" ht="15.0" customHeight="1">
      <c r="A396" s="1"/>
      <c r="B396" s="1"/>
      <c r="C396" s="1"/>
      <c r="D396" s="1"/>
    </row>
    <row r="397" ht="15.0" customHeight="1">
      <c r="A397" s="1"/>
      <c r="B397" s="1"/>
      <c r="C397" s="1"/>
      <c r="D397" s="1"/>
    </row>
    <row r="398" ht="15.0" customHeight="1">
      <c r="A398" s="1"/>
      <c r="B398" s="1"/>
      <c r="C398" s="1"/>
      <c r="D398" s="1"/>
    </row>
    <row r="399" ht="15.0" customHeight="1">
      <c r="A399" s="1"/>
      <c r="B399" s="1"/>
      <c r="C399" s="1"/>
      <c r="D399" s="1"/>
    </row>
    <row r="400" ht="15.0" customHeight="1">
      <c r="A400" s="1"/>
      <c r="B400" s="1"/>
      <c r="C400" s="1"/>
      <c r="D400" s="1"/>
    </row>
    <row r="401" ht="15.0" customHeight="1">
      <c r="A401" s="1"/>
      <c r="B401" s="1"/>
      <c r="C401" s="1"/>
      <c r="D401" s="1"/>
    </row>
    <row r="402" ht="15.0" customHeight="1">
      <c r="A402" s="1"/>
      <c r="B402" s="1"/>
      <c r="C402" s="1"/>
      <c r="D402" s="1"/>
    </row>
    <row r="403" ht="15.0" customHeight="1">
      <c r="A403" s="1"/>
      <c r="B403" s="1"/>
      <c r="C403" s="1"/>
      <c r="D403" s="1"/>
    </row>
    <row r="404" ht="15.0" customHeight="1">
      <c r="A404" s="1"/>
      <c r="B404" s="1"/>
      <c r="C404" s="1"/>
      <c r="D404" s="1"/>
    </row>
    <row r="405" ht="15.0" customHeight="1">
      <c r="A405" s="1"/>
      <c r="B405" s="1"/>
      <c r="C405" s="1"/>
      <c r="D405" s="1"/>
    </row>
    <row r="406" ht="15.0" customHeight="1">
      <c r="A406" s="1"/>
      <c r="B406" s="1"/>
      <c r="C406" s="1"/>
      <c r="D406" s="1"/>
    </row>
    <row r="407" ht="15.0" customHeight="1">
      <c r="A407" s="1"/>
      <c r="B407" s="1"/>
      <c r="C407" s="1"/>
      <c r="D407" s="1"/>
    </row>
    <row r="408" ht="15.0" customHeight="1">
      <c r="A408" s="1"/>
      <c r="B408" s="1"/>
      <c r="C408" s="1"/>
      <c r="D408" s="1"/>
    </row>
    <row r="409" ht="15.0" customHeight="1">
      <c r="A409" s="1"/>
      <c r="B409" s="1"/>
      <c r="C409" s="1"/>
      <c r="D409" s="1"/>
    </row>
    <row r="410" ht="15.0" customHeight="1">
      <c r="A410" s="1"/>
      <c r="B410" s="1"/>
      <c r="C410" s="1"/>
      <c r="D410" s="1"/>
    </row>
    <row r="411" ht="15.0" customHeight="1">
      <c r="A411" s="1"/>
      <c r="B411" s="1"/>
      <c r="C411" s="1"/>
      <c r="D411" s="1"/>
    </row>
    <row r="412" ht="15.0" customHeight="1">
      <c r="A412" s="1"/>
      <c r="B412" s="1"/>
      <c r="C412" s="1"/>
      <c r="D412" s="1"/>
    </row>
    <row r="413" ht="15.0" customHeight="1">
      <c r="A413" s="1"/>
      <c r="B413" s="1"/>
      <c r="C413" s="1"/>
      <c r="D413" s="1"/>
    </row>
    <row r="414" ht="15.0" customHeight="1">
      <c r="A414" s="1"/>
      <c r="B414" s="1"/>
      <c r="C414" s="1"/>
      <c r="D414" s="1"/>
    </row>
    <row r="415" ht="15.0" customHeight="1">
      <c r="A415" s="1"/>
      <c r="B415" s="1"/>
      <c r="C415" s="1"/>
      <c r="D415" s="1"/>
    </row>
    <row r="416" ht="15.0" customHeight="1">
      <c r="A416" s="1"/>
      <c r="B416" s="1"/>
      <c r="C416" s="1"/>
      <c r="D416" s="1"/>
    </row>
    <row r="417" ht="15.0" customHeight="1">
      <c r="A417" s="1"/>
      <c r="B417" s="1"/>
      <c r="C417" s="1"/>
      <c r="D417" s="1"/>
    </row>
    <row r="418" ht="15.0" customHeight="1">
      <c r="A418" s="1"/>
      <c r="B418" s="1"/>
      <c r="C418" s="1"/>
      <c r="D418" s="1"/>
    </row>
    <row r="419" ht="15.0" customHeight="1">
      <c r="A419" s="1"/>
      <c r="B419" s="1"/>
      <c r="C419" s="1"/>
      <c r="D419" s="1"/>
    </row>
    <row r="420" ht="15.0" customHeight="1">
      <c r="A420" s="1"/>
      <c r="B420" s="1"/>
      <c r="C420" s="1"/>
      <c r="D420" s="1"/>
    </row>
    <row r="421" ht="15.0" customHeight="1">
      <c r="A421" s="1"/>
      <c r="B421" s="1"/>
      <c r="C421" s="1"/>
      <c r="D421" s="1"/>
    </row>
    <row r="422" ht="15.0" customHeight="1">
      <c r="A422" s="1"/>
      <c r="B422" s="1"/>
      <c r="C422" s="1"/>
      <c r="D422" s="1"/>
    </row>
    <row r="423" ht="15.0" customHeight="1">
      <c r="A423" s="1"/>
      <c r="B423" s="1"/>
      <c r="C423" s="1"/>
      <c r="D423" s="1"/>
    </row>
    <row r="424" ht="15.0" customHeight="1">
      <c r="A424" s="1"/>
      <c r="B424" s="1"/>
      <c r="C424" s="1"/>
      <c r="D424" s="1"/>
    </row>
    <row r="425" ht="15.0" customHeight="1">
      <c r="A425" s="1"/>
      <c r="B425" s="1"/>
      <c r="C425" s="1"/>
      <c r="D425" s="1"/>
    </row>
    <row r="426" ht="15.0" customHeight="1">
      <c r="A426" s="1"/>
      <c r="B426" s="1"/>
      <c r="C426" s="1"/>
      <c r="D426" s="1"/>
    </row>
    <row r="427" ht="15.0" customHeight="1">
      <c r="A427" s="1"/>
      <c r="B427" s="1"/>
      <c r="C427" s="1"/>
      <c r="D427" s="1"/>
    </row>
    <row r="428" ht="15.0" customHeight="1">
      <c r="A428" s="1"/>
      <c r="B428" s="1"/>
      <c r="C428" s="1"/>
      <c r="D428" s="1"/>
    </row>
    <row r="429" ht="15.0" customHeight="1">
      <c r="A429" s="1"/>
      <c r="B429" s="1"/>
      <c r="C429" s="1"/>
      <c r="D429" s="1"/>
    </row>
    <row r="430" ht="15.0" customHeight="1">
      <c r="A430" s="1"/>
      <c r="B430" s="1"/>
      <c r="C430" s="1"/>
      <c r="D430" s="1"/>
    </row>
    <row r="431" ht="15.0" customHeight="1">
      <c r="A431" s="1"/>
      <c r="B431" s="1"/>
      <c r="C431" s="1"/>
      <c r="D431" s="1"/>
    </row>
    <row r="432" ht="15.0" customHeight="1">
      <c r="A432" s="1"/>
      <c r="B432" s="1"/>
      <c r="C432" s="1"/>
      <c r="D432" s="1"/>
    </row>
    <row r="433" ht="15.0" customHeight="1">
      <c r="A433" s="1"/>
      <c r="B433" s="1"/>
      <c r="C433" s="1"/>
      <c r="D433" s="1"/>
    </row>
    <row r="434" ht="15.0" customHeight="1">
      <c r="A434" s="1"/>
      <c r="B434" s="1"/>
      <c r="C434" s="1"/>
      <c r="D434" s="1"/>
    </row>
    <row r="435" ht="15.0" customHeight="1">
      <c r="A435" s="1"/>
      <c r="B435" s="1"/>
      <c r="C435" s="1"/>
      <c r="D435" s="1"/>
    </row>
    <row r="436" ht="15.0" customHeight="1">
      <c r="A436" s="1"/>
      <c r="B436" s="1"/>
      <c r="C436" s="1"/>
      <c r="D436" s="1"/>
    </row>
    <row r="437" ht="15.0" customHeight="1">
      <c r="A437" s="1"/>
      <c r="B437" s="1"/>
      <c r="C437" s="1"/>
      <c r="D437" s="1"/>
    </row>
    <row r="438" ht="15.0" customHeight="1">
      <c r="A438" s="1"/>
      <c r="B438" s="1"/>
      <c r="C438" s="1"/>
      <c r="D438" s="1"/>
    </row>
    <row r="439" ht="15.0" customHeight="1">
      <c r="A439" s="1"/>
      <c r="B439" s="1"/>
      <c r="C439" s="1"/>
      <c r="D439" s="1"/>
    </row>
    <row r="440" ht="15.0" customHeight="1">
      <c r="A440" s="1"/>
      <c r="B440" s="1"/>
      <c r="C440" s="1"/>
      <c r="D440" s="1"/>
    </row>
    <row r="441" ht="15.0" customHeight="1">
      <c r="A441" s="1"/>
      <c r="B441" s="1"/>
      <c r="C441" s="1"/>
      <c r="D441" s="1"/>
    </row>
    <row r="442" ht="15.0" customHeight="1">
      <c r="A442" s="1"/>
      <c r="B442" s="1"/>
      <c r="C442" s="1"/>
      <c r="D442" s="1"/>
    </row>
    <row r="443" ht="15.0" customHeight="1">
      <c r="A443" s="1"/>
      <c r="B443" s="1"/>
      <c r="C443" s="1"/>
      <c r="D443" s="1"/>
    </row>
    <row r="444" ht="15.0" customHeight="1">
      <c r="A444" s="1"/>
      <c r="B444" s="1"/>
      <c r="C444" s="1"/>
      <c r="D444" s="1"/>
    </row>
    <row r="445" ht="15.0" customHeight="1">
      <c r="A445" s="1"/>
      <c r="B445" s="1"/>
      <c r="C445" s="1"/>
      <c r="D445" s="1"/>
    </row>
    <row r="446" ht="15.0" customHeight="1">
      <c r="A446" s="1"/>
      <c r="B446" s="1"/>
      <c r="C446" s="1"/>
      <c r="D446" s="1"/>
    </row>
    <row r="447" ht="15.0" customHeight="1">
      <c r="A447" s="1"/>
      <c r="B447" s="1"/>
      <c r="C447" s="1"/>
      <c r="D447" s="1"/>
    </row>
    <row r="448" ht="15.0" customHeight="1">
      <c r="A448" s="1"/>
      <c r="B448" s="1"/>
      <c r="C448" s="1"/>
      <c r="D448" s="1"/>
    </row>
    <row r="449" ht="15.0" customHeight="1">
      <c r="A449" s="1"/>
      <c r="B449" s="1"/>
      <c r="C449" s="1"/>
      <c r="D449" s="1"/>
    </row>
    <row r="450" ht="15.0" customHeight="1">
      <c r="A450" s="1"/>
      <c r="B450" s="1"/>
      <c r="C450" s="1"/>
      <c r="D450" s="1"/>
    </row>
    <row r="451" ht="15.0" customHeight="1">
      <c r="A451" s="1"/>
      <c r="B451" s="1"/>
      <c r="C451" s="1"/>
      <c r="D451" s="1"/>
    </row>
    <row r="452" ht="15.0" customHeight="1">
      <c r="A452" s="1"/>
      <c r="B452" s="1"/>
      <c r="C452" s="1"/>
      <c r="D452" s="1"/>
    </row>
    <row r="453" ht="15.0" customHeight="1">
      <c r="A453" s="1"/>
      <c r="B453" s="1"/>
      <c r="C453" s="1"/>
      <c r="D453" s="1"/>
    </row>
    <row r="454" ht="15.0" customHeight="1">
      <c r="A454" s="1"/>
      <c r="B454" s="1"/>
      <c r="C454" s="1"/>
      <c r="D454" s="1"/>
    </row>
    <row r="455" ht="15.0" customHeight="1">
      <c r="A455" s="1"/>
      <c r="B455" s="1"/>
      <c r="C455" s="1"/>
      <c r="D455" s="1"/>
    </row>
  </sheetData>
  <mergeCells count="2">
    <mergeCell ref="A2:H2"/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8.0"/>
    <col customWidth="1" min="2" max="2" width="23.0"/>
    <col customWidth="1" min="3" max="3" width="14.0"/>
    <col customWidth="1" min="4" max="4" width="26.29"/>
    <col customWidth="1" min="5" max="5" width="17.43"/>
    <col customWidth="1" min="6" max="6" width="10.0"/>
    <col customWidth="1" min="7" max="7" width="23.29"/>
    <col customWidth="1" min="8" max="8" width="14.0"/>
    <col customWidth="1" min="9" max="9" width="18.0"/>
  </cols>
  <sheetData>
    <row r="1">
      <c r="A1" s="25" t="s">
        <v>4876</v>
      </c>
      <c r="B1" s="26"/>
      <c r="C1" s="26"/>
      <c r="D1" s="26"/>
      <c r="E1" s="26"/>
      <c r="F1" s="26"/>
      <c r="G1" s="26"/>
      <c r="H1" s="26"/>
      <c r="I1" s="27"/>
    </row>
    <row r="2">
      <c r="A2" s="28" t="s">
        <v>4877</v>
      </c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29" t="s">
        <v>4878</v>
      </c>
      <c r="B4" s="29" t="s">
        <v>4879</v>
      </c>
      <c r="C4" s="29" t="s">
        <v>4880</v>
      </c>
      <c r="D4" s="1"/>
      <c r="E4" s="1"/>
      <c r="F4" s="1"/>
      <c r="G4" s="1"/>
      <c r="H4" s="1"/>
      <c r="I4" s="1"/>
    </row>
    <row r="5">
      <c r="A5" s="47">
        <v>0.0</v>
      </c>
      <c r="B5" s="47">
        <v>250000.0</v>
      </c>
      <c r="C5" s="48">
        <v>0.0</v>
      </c>
      <c r="D5" s="1"/>
      <c r="E5" s="1"/>
      <c r="F5" s="1"/>
      <c r="G5" s="1"/>
      <c r="H5" s="1"/>
      <c r="I5" s="1"/>
    </row>
    <row r="6">
      <c r="A6" s="47">
        <v>250000.0</v>
      </c>
      <c r="B6" s="47">
        <v>500000.0</v>
      </c>
      <c r="C6" s="48">
        <v>0.05</v>
      </c>
      <c r="D6" s="1"/>
      <c r="E6" s="1"/>
      <c r="F6" s="1"/>
      <c r="G6" s="1"/>
      <c r="H6" s="1"/>
      <c r="I6" s="1"/>
    </row>
    <row r="7">
      <c r="A7" s="47">
        <v>500000.0</v>
      </c>
      <c r="B7" s="47">
        <v>1000000.0</v>
      </c>
      <c r="C7" s="48">
        <v>0.2</v>
      </c>
      <c r="D7" s="1"/>
      <c r="E7" s="1"/>
      <c r="F7" s="1"/>
      <c r="G7" s="1"/>
      <c r="H7" s="1"/>
      <c r="I7" s="1"/>
    </row>
    <row r="8">
      <c r="A8" s="47">
        <v>1000000.0</v>
      </c>
      <c r="B8" t="s">
        <v>4881</v>
      </c>
      <c r="C8" s="48">
        <v>0.3</v>
      </c>
      <c r="D8" s="1"/>
      <c r="E8" s="1"/>
      <c r="F8" s="1"/>
      <c r="G8" s="1"/>
      <c r="H8" s="1"/>
      <c r="I8" s="1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49" t="s">
        <v>0</v>
      </c>
      <c r="B10" s="49" t="s">
        <v>1</v>
      </c>
      <c r="C10" s="49" t="s">
        <v>2</v>
      </c>
      <c r="D10" s="49" t="s">
        <v>4882</v>
      </c>
      <c r="E10" s="49" t="s">
        <v>4883</v>
      </c>
      <c r="F10" s="49" t="s">
        <v>4884</v>
      </c>
      <c r="G10" s="49" t="s">
        <v>4885</v>
      </c>
      <c r="H10" s="49" t="s">
        <v>4886</v>
      </c>
      <c r="I10" s="49" t="s">
        <v>4887</v>
      </c>
    </row>
    <row r="11">
      <c r="A11" s="50" t="s">
        <v>12</v>
      </c>
      <c r="B11" s="50" t="s">
        <v>13</v>
      </c>
      <c r="C11" s="50" t="s">
        <v>14</v>
      </c>
      <c r="D11" s="51">
        <v>24634.11</v>
      </c>
      <c r="E11" s="51" t="str">
        <f t="shared" ref="E11:E4754" si="1">D11*12</f>
        <v>₹295,609.32</v>
      </c>
      <c r="F11" s="52" t="str">
        <f t="shared" ref="F11:F4754" si="2">IF(E11&lt;=250000,0,IF(E11&lt;=500000,5%,IF(E11&lt;=1000000,20%,30%)))</f>
        <v>5.0%</v>
      </c>
      <c r="G11" s="51" t="str">
        <f t="shared" ref="G11:G4754" si="3">E11*F11</f>
        <v>₹14,780.47</v>
      </c>
      <c r="H11" s="51" t="str">
        <f t="shared" ref="H11:H4754" si="4">G11/12</f>
        <v>₹1,231.71</v>
      </c>
      <c r="I11" s="51" t="str">
        <f>23416.71-H11</f>
        <v>₹22,185.00</v>
      </c>
    </row>
    <row r="12">
      <c r="A12" s="53" t="s">
        <v>16</v>
      </c>
      <c r="B12" s="53" t="s">
        <v>17</v>
      </c>
      <c r="C12" s="53" t="s">
        <v>18</v>
      </c>
      <c r="D12" s="54">
        <v>118724.8</v>
      </c>
      <c r="E12" s="54" t="str">
        <f t="shared" si="1"/>
        <v>₹1,424,697.60</v>
      </c>
      <c r="F12" s="55" t="str">
        <f t="shared" si="2"/>
        <v>30.0%</v>
      </c>
      <c r="G12" s="54" t="str">
        <f t="shared" si="3"/>
        <v>₹427,409.28</v>
      </c>
      <c r="H12" s="54" t="str">
        <f t="shared" si="4"/>
        <v>₹35,617.44</v>
      </c>
      <c r="I12" s="54" t="str">
        <f>103798.8-H12</f>
        <v>₹68,181.36</v>
      </c>
    </row>
    <row r="13">
      <c r="A13" s="50" t="s">
        <v>20</v>
      </c>
      <c r="B13" s="50" t="s">
        <v>17</v>
      </c>
      <c r="C13" s="50" t="s">
        <v>14</v>
      </c>
      <c r="D13" s="51">
        <v>27424.83</v>
      </c>
      <c r="E13" s="51" t="str">
        <f t="shared" si="1"/>
        <v>₹329,097.96</v>
      </c>
      <c r="F13" s="52" t="str">
        <f t="shared" si="2"/>
        <v>5.0%</v>
      </c>
      <c r="G13" s="51" t="str">
        <f t="shared" si="3"/>
        <v>₹16,454.90</v>
      </c>
      <c r="H13" s="51" t="str">
        <f t="shared" si="4"/>
        <v>₹1,371.24</v>
      </c>
      <c r="I13" s="51" t="str">
        <f>27269-H13</f>
        <v>₹25,897.76</v>
      </c>
    </row>
    <row r="14">
      <c r="A14" s="53" t="s">
        <v>22</v>
      </c>
      <c r="B14" s="53" t="s">
        <v>13</v>
      </c>
      <c r="C14" s="53" t="s">
        <v>18</v>
      </c>
      <c r="D14" s="54">
        <v>115188.48</v>
      </c>
      <c r="E14" s="54" t="str">
        <f t="shared" si="1"/>
        <v>₹1,382,261.76</v>
      </c>
      <c r="F14" s="55" t="str">
        <f t="shared" si="2"/>
        <v>30.0%</v>
      </c>
      <c r="G14" s="54" t="str">
        <f t="shared" si="3"/>
        <v>₹414,678.53</v>
      </c>
      <c r="H14" s="54" t="str">
        <f t="shared" si="4"/>
        <v>₹34,556.54</v>
      </c>
      <c r="I14" s="54" t="str">
        <f>103971.58-H14</f>
        <v>₹69,415.04</v>
      </c>
    </row>
    <row r="15">
      <c r="A15" s="50" t="s">
        <v>24</v>
      </c>
      <c r="B15" s="50" t="s">
        <v>25</v>
      </c>
      <c r="C15" s="50" t="s">
        <v>26</v>
      </c>
      <c r="D15" s="51">
        <v>131846.6</v>
      </c>
      <c r="E15" s="51" t="str">
        <f t="shared" si="1"/>
        <v>₹1,582,159.20</v>
      </c>
      <c r="F15" s="52" t="str">
        <f t="shared" si="2"/>
        <v>30.0%</v>
      </c>
      <c r="G15" s="51" t="str">
        <f t="shared" si="3"/>
        <v>₹474,647.76</v>
      </c>
      <c r="H15" s="51" t="str">
        <f t="shared" si="4"/>
        <v>₹39,553.98</v>
      </c>
      <c r="I15" s="51" t="str">
        <f>112947.84-H15</f>
        <v>₹73,393.86</v>
      </c>
    </row>
    <row r="16">
      <c r="A16" s="53" t="s">
        <v>28</v>
      </c>
      <c r="B16" s="53" t="s">
        <v>29</v>
      </c>
      <c r="C16" s="53" t="s">
        <v>30</v>
      </c>
      <c r="D16" s="54">
        <v>34711.89</v>
      </c>
      <c r="E16" s="54" t="str">
        <f t="shared" si="1"/>
        <v>₹416,542.68</v>
      </c>
      <c r="F16" s="55" t="str">
        <f t="shared" si="2"/>
        <v>5.0%</v>
      </c>
      <c r="G16" s="54" t="str">
        <f t="shared" si="3"/>
        <v>₹20,827.13</v>
      </c>
      <c r="H16" s="54" t="str">
        <f t="shared" si="4"/>
        <v>₹1,735.59</v>
      </c>
      <c r="I16" s="54" t="str">
        <f>33979.2-H16</f>
        <v>₹32,243.61</v>
      </c>
    </row>
    <row r="17">
      <c r="A17" s="50" t="s">
        <v>32</v>
      </c>
      <c r="B17" s="50" t="s">
        <v>17</v>
      </c>
      <c r="C17" s="50" t="s">
        <v>33</v>
      </c>
      <c r="D17" s="51">
        <v>47559.36</v>
      </c>
      <c r="E17" s="51" t="str">
        <f t="shared" si="1"/>
        <v>₹570,712.32</v>
      </c>
      <c r="F17" s="52" t="str">
        <f t="shared" si="2"/>
        <v>20.0%</v>
      </c>
      <c r="G17" s="51" t="str">
        <f t="shared" si="3"/>
        <v>₹114,142.46</v>
      </c>
      <c r="H17" s="51" t="str">
        <f t="shared" si="4"/>
        <v>₹9,511.87</v>
      </c>
      <c r="I17" s="51" t="str">
        <f>39453.79-H17</f>
        <v>₹29,941.92</v>
      </c>
    </row>
    <row r="18">
      <c r="A18" s="53" t="s">
        <v>35</v>
      </c>
      <c r="B18" s="53" t="s">
        <v>36</v>
      </c>
      <c r="C18" s="53" t="s">
        <v>37</v>
      </c>
      <c r="D18" s="54">
        <v>70136.04</v>
      </c>
      <c r="E18" s="54" t="str">
        <f t="shared" si="1"/>
        <v>₹841,632.48</v>
      </c>
      <c r="F18" s="55" t="str">
        <f t="shared" si="2"/>
        <v>20.0%</v>
      </c>
      <c r="G18" s="54" t="str">
        <f t="shared" si="3"/>
        <v>₹168,326.50</v>
      </c>
      <c r="H18" s="54" t="str">
        <f t="shared" si="4"/>
        <v>₹14,027.21</v>
      </c>
      <c r="I18" s="54" t="str">
        <f>69019.12-H18</f>
        <v>₹54,991.91</v>
      </c>
    </row>
    <row r="19">
      <c r="A19" s="50" t="s">
        <v>39</v>
      </c>
      <c r="B19" s="50" t="s">
        <v>25</v>
      </c>
      <c r="C19" s="50" t="s">
        <v>18</v>
      </c>
      <c r="D19" s="51">
        <v>119379.66</v>
      </c>
      <c r="E19" s="51" t="str">
        <f t="shared" si="1"/>
        <v>₹1,432,555.92</v>
      </c>
      <c r="F19" s="52" t="str">
        <f t="shared" si="2"/>
        <v>30.0%</v>
      </c>
      <c r="G19" s="51" t="str">
        <f t="shared" si="3"/>
        <v>₹429,766.78</v>
      </c>
      <c r="H19" s="51" t="str">
        <f t="shared" si="4"/>
        <v>₹35,813.90</v>
      </c>
      <c r="I19" s="51" t="str">
        <f>105335.88-H19</f>
        <v>₹69,521.98</v>
      </c>
    </row>
    <row r="20">
      <c r="A20" s="53" t="s">
        <v>41</v>
      </c>
      <c r="B20" s="53" t="s">
        <v>17</v>
      </c>
      <c r="C20" s="53" t="s">
        <v>14</v>
      </c>
      <c r="D20" s="54">
        <v>33108.61</v>
      </c>
      <c r="E20" s="54" t="str">
        <f t="shared" si="1"/>
        <v>₹397,303.32</v>
      </c>
      <c r="F20" s="55" t="str">
        <f t="shared" si="2"/>
        <v>5.0%</v>
      </c>
      <c r="G20" s="54" t="str">
        <f t="shared" si="3"/>
        <v>₹19,865.17</v>
      </c>
      <c r="H20" s="54" t="str">
        <f t="shared" si="4"/>
        <v>₹1,655.43</v>
      </c>
      <c r="I20" s="54" t="str">
        <f>26381.19-H20</f>
        <v>₹24,725.76</v>
      </c>
    </row>
    <row r="21" ht="15.75" customHeight="1">
      <c r="A21" s="50" t="s">
        <v>43</v>
      </c>
      <c r="B21" s="50" t="s">
        <v>25</v>
      </c>
      <c r="C21" s="50" t="s">
        <v>14</v>
      </c>
      <c r="D21" s="51">
        <v>28838.45</v>
      </c>
      <c r="E21" s="51" t="str">
        <f t="shared" si="1"/>
        <v>₹346,061.40</v>
      </c>
      <c r="F21" s="52" t="str">
        <f t="shared" si="2"/>
        <v>5.0%</v>
      </c>
      <c r="G21" s="51" t="str">
        <f t="shared" si="3"/>
        <v>₹17,303.07</v>
      </c>
      <c r="H21" s="51" t="str">
        <f t="shared" si="4"/>
        <v>₹1,441.92</v>
      </c>
      <c r="I21" s="51" t="str">
        <f>23649.39-H21</f>
        <v>₹22,207.47</v>
      </c>
    </row>
    <row r="22" ht="15.75" customHeight="1">
      <c r="A22" s="53" t="s">
        <v>44</v>
      </c>
      <c r="B22" s="53" t="s">
        <v>29</v>
      </c>
      <c r="C22" s="53" t="s">
        <v>33</v>
      </c>
      <c r="D22" s="54">
        <v>36670.35</v>
      </c>
      <c r="E22" s="54" t="str">
        <f t="shared" si="1"/>
        <v>₹440,044.20</v>
      </c>
      <c r="F22" s="55" t="str">
        <f t="shared" si="2"/>
        <v>5.0%</v>
      </c>
      <c r="G22" s="54" t="str">
        <f t="shared" si="3"/>
        <v>₹22,002.21</v>
      </c>
      <c r="H22" s="54" t="str">
        <f t="shared" si="4"/>
        <v>₹1,833.52</v>
      </c>
      <c r="I22" s="54" t="str">
        <f>29056.73-H22</f>
        <v>₹27,223.21</v>
      </c>
    </row>
    <row r="23" ht="15.75" customHeight="1">
      <c r="A23" s="50" t="s">
        <v>45</v>
      </c>
      <c r="B23" s="50" t="s">
        <v>17</v>
      </c>
      <c r="C23" s="50" t="s">
        <v>37</v>
      </c>
      <c r="D23" s="51">
        <v>79386.75</v>
      </c>
      <c r="E23" s="51" t="str">
        <f t="shared" si="1"/>
        <v>₹952,641.00</v>
      </c>
      <c r="F23" s="52" t="str">
        <f t="shared" si="2"/>
        <v>20.0%</v>
      </c>
      <c r="G23" s="51" t="str">
        <f t="shared" si="3"/>
        <v>₹190,528.20</v>
      </c>
      <c r="H23" s="51" t="str">
        <f t="shared" si="4"/>
        <v>₹15,877.35</v>
      </c>
      <c r="I23" s="51" t="str">
        <f>75242.37-H23</f>
        <v>₹59,365.02</v>
      </c>
    </row>
    <row r="24" ht="15.75" customHeight="1">
      <c r="A24" s="53" t="s">
        <v>46</v>
      </c>
      <c r="B24" s="53" t="s">
        <v>36</v>
      </c>
      <c r="C24" s="53" t="s">
        <v>33</v>
      </c>
      <c r="D24" s="54">
        <v>49830.39</v>
      </c>
      <c r="E24" s="54" t="str">
        <f t="shared" si="1"/>
        <v>₹597,964.68</v>
      </c>
      <c r="F24" s="55" t="str">
        <f t="shared" si="2"/>
        <v>20.0%</v>
      </c>
      <c r="G24" s="54" t="str">
        <f t="shared" si="3"/>
        <v>₹119,592.94</v>
      </c>
      <c r="H24" s="54" t="str">
        <f t="shared" si="4"/>
        <v>₹9,966.08</v>
      </c>
      <c r="I24" s="54" t="str">
        <f>43999.92-H24</f>
        <v>₹34,033.84</v>
      </c>
    </row>
    <row r="25" ht="15.75" customHeight="1">
      <c r="A25" s="50" t="s">
        <v>47</v>
      </c>
      <c r="B25" s="50" t="s">
        <v>29</v>
      </c>
      <c r="C25" s="50" t="s">
        <v>26</v>
      </c>
      <c r="D25" s="51">
        <v>154273.4</v>
      </c>
      <c r="E25" s="51" t="str">
        <f t="shared" si="1"/>
        <v>₹1,851,280.80</v>
      </c>
      <c r="F25" s="52" t="str">
        <f t="shared" si="2"/>
        <v>30.0%</v>
      </c>
      <c r="G25" s="51" t="str">
        <f t="shared" si="3"/>
        <v>₹555,384.24</v>
      </c>
      <c r="H25" s="51" t="str">
        <f t="shared" si="4"/>
        <v>₹46,282.02</v>
      </c>
      <c r="I25" s="51" t="str">
        <f>125265.59-H25</f>
        <v>₹78,983.57</v>
      </c>
    </row>
    <row r="26" ht="15.75" customHeight="1">
      <c r="A26" s="53" t="s">
        <v>48</v>
      </c>
      <c r="B26" s="53" t="s">
        <v>36</v>
      </c>
      <c r="C26" s="53" t="s">
        <v>33</v>
      </c>
      <c r="D26" s="54">
        <v>38047.02</v>
      </c>
      <c r="E26" s="54" t="str">
        <f t="shared" si="1"/>
        <v>₹456,564.24</v>
      </c>
      <c r="F26" s="55" t="str">
        <f t="shared" si="2"/>
        <v>5.0%</v>
      </c>
      <c r="G26" s="54" t="str">
        <f t="shared" si="3"/>
        <v>₹22,828.21</v>
      </c>
      <c r="H26" s="54" t="str">
        <f t="shared" si="4"/>
        <v>₹1,902.35</v>
      </c>
      <c r="I26" s="54" t="str">
        <f>33680.55-H26</f>
        <v>₹31,778.20</v>
      </c>
    </row>
    <row r="27" ht="15.75" customHeight="1">
      <c r="A27" s="50" t="s">
        <v>49</v>
      </c>
      <c r="B27" s="50" t="s">
        <v>29</v>
      </c>
      <c r="C27" s="50" t="s">
        <v>30</v>
      </c>
      <c r="D27" s="51">
        <v>38295.39</v>
      </c>
      <c r="E27" s="51" t="str">
        <f t="shared" si="1"/>
        <v>₹459,544.68</v>
      </c>
      <c r="F27" s="52" t="str">
        <f t="shared" si="2"/>
        <v>5.0%</v>
      </c>
      <c r="G27" s="51" t="str">
        <f t="shared" si="3"/>
        <v>₹22,977.23</v>
      </c>
      <c r="H27" s="51" t="str">
        <f t="shared" si="4"/>
        <v>₹1,914.77</v>
      </c>
      <c r="I27" s="51" t="str">
        <f>30676.88-H27</f>
        <v>₹28,762.11</v>
      </c>
    </row>
    <row r="28" ht="15.75" customHeight="1">
      <c r="A28" s="53" t="s">
        <v>50</v>
      </c>
      <c r="B28" s="53" t="s">
        <v>51</v>
      </c>
      <c r="C28" s="53" t="s">
        <v>33</v>
      </c>
      <c r="D28" s="54">
        <v>38248.18</v>
      </c>
      <c r="E28" s="54" t="str">
        <f t="shared" si="1"/>
        <v>₹458,978.16</v>
      </c>
      <c r="F28" s="55" t="str">
        <f t="shared" si="2"/>
        <v>5.0%</v>
      </c>
      <c r="G28" s="54" t="str">
        <f t="shared" si="3"/>
        <v>₹22,948.91</v>
      </c>
      <c r="H28" s="54" t="str">
        <f t="shared" si="4"/>
        <v>₹1,912.41</v>
      </c>
      <c r="I28" s="54" t="str">
        <f>33980.08-H28</f>
        <v>₹32,067.67</v>
      </c>
    </row>
    <row r="29" ht="15.75" customHeight="1">
      <c r="A29" s="50" t="s">
        <v>52</v>
      </c>
      <c r="B29" s="50" t="s">
        <v>53</v>
      </c>
      <c r="C29" s="50" t="s">
        <v>54</v>
      </c>
      <c r="D29" s="51">
        <v>65640.24</v>
      </c>
      <c r="E29" s="51" t="str">
        <f t="shared" si="1"/>
        <v>₹787,682.88</v>
      </c>
      <c r="F29" s="52" t="str">
        <f t="shared" si="2"/>
        <v>20.0%</v>
      </c>
      <c r="G29" s="51" t="str">
        <f t="shared" si="3"/>
        <v>₹157,536.58</v>
      </c>
      <c r="H29" s="51" t="str">
        <f t="shared" si="4"/>
        <v>₹13,128.05</v>
      </c>
      <c r="I29" s="51" t="str">
        <f>62510.35-H29</f>
        <v>₹49,382.30</v>
      </c>
    </row>
    <row r="30" ht="15.75" customHeight="1">
      <c r="A30" s="53" t="s">
        <v>55</v>
      </c>
      <c r="B30" s="53" t="s">
        <v>53</v>
      </c>
      <c r="C30" s="53" t="s">
        <v>54</v>
      </c>
      <c r="D30" s="54">
        <v>47496.36</v>
      </c>
      <c r="E30" s="54" t="str">
        <f t="shared" si="1"/>
        <v>₹569,956.32</v>
      </c>
      <c r="F30" s="55" t="str">
        <f t="shared" si="2"/>
        <v>20.0%</v>
      </c>
      <c r="G30" s="54" t="str">
        <f t="shared" si="3"/>
        <v>₹113,991.26</v>
      </c>
      <c r="H30" s="54" t="str">
        <f t="shared" si="4"/>
        <v>₹9,499.27</v>
      </c>
      <c r="I30" s="54" t="str">
        <f>46303.18-H30</f>
        <v>₹36,803.91</v>
      </c>
    </row>
    <row r="31" ht="15.75" customHeight="1">
      <c r="A31" s="50" t="s">
        <v>56</v>
      </c>
      <c r="B31" s="50" t="s">
        <v>51</v>
      </c>
      <c r="C31" s="50" t="s">
        <v>26</v>
      </c>
      <c r="D31" s="51">
        <v>162503.97</v>
      </c>
      <c r="E31" s="51" t="str">
        <f t="shared" si="1"/>
        <v>₹1,950,047.64</v>
      </c>
      <c r="F31" s="52" t="str">
        <f t="shared" si="2"/>
        <v>30.0%</v>
      </c>
      <c r="G31" s="51" t="str">
        <f t="shared" si="3"/>
        <v>₹585,014.29</v>
      </c>
      <c r="H31" s="51" t="str">
        <f t="shared" si="4"/>
        <v>₹48,751.19</v>
      </c>
      <c r="I31" s="51" t="str">
        <f>149287.52-H31</f>
        <v>₹100,536.33</v>
      </c>
    </row>
    <row r="32" ht="15.75" customHeight="1">
      <c r="A32" s="53" t="s">
        <v>58</v>
      </c>
      <c r="B32" s="53" t="s">
        <v>36</v>
      </c>
      <c r="C32" s="53" t="s">
        <v>37</v>
      </c>
      <c r="D32" s="54">
        <v>69862.83</v>
      </c>
      <c r="E32" s="54" t="str">
        <f t="shared" si="1"/>
        <v>₹838,353.96</v>
      </c>
      <c r="F32" s="55" t="str">
        <f t="shared" si="2"/>
        <v>20.0%</v>
      </c>
      <c r="G32" s="54" t="str">
        <f t="shared" si="3"/>
        <v>₹167,670.79</v>
      </c>
      <c r="H32" s="54" t="str">
        <f t="shared" si="4"/>
        <v>₹13,972.57</v>
      </c>
      <c r="I32" s="54" t="str">
        <f>55860.54-H32</f>
        <v>₹41,887.97</v>
      </c>
    </row>
    <row r="33" ht="15.75" customHeight="1">
      <c r="A33" s="50" t="s">
        <v>59</v>
      </c>
      <c r="B33" s="50" t="s">
        <v>13</v>
      </c>
      <c r="C33" s="50" t="s">
        <v>14</v>
      </c>
      <c r="D33" s="51">
        <v>32241.02</v>
      </c>
      <c r="E33" s="51" t="str">
        <f t="shared" si="1"/>
        <v>₹386,892.24</v>
      </c>
      <c r="F33" s="52" t="str">
        <f t="shared" si="2"/>
        <v>5.0%</v>
      </c>
      <c r="G33" s="51" t="str">
        <f t="shared" si="3"/>
        <v>₹19,344.61</v>
      </c>
      <c r="H33" s="51" t="str">
        <f t="shared" si="4"/>
        <v>₹1,612.05</v>
      </c>
      <c r="I33" s="51" t="str">
        <f>17913.64-H33</f>
        <v>₹16,301.59</v>
      </c>
    </row>
    <row r="34" ht="15.75" customHeight="1">
      <c r="A34" s="53" t="s">
        <v>60</v>
      </c>
      <c r="B34" s="53" t="s">
        <v>29</v>
      </c>
      <c r="C34" s="53" t="s">
        <v>14</v>
      </c>
      <c r="D34" s="54">
        <v>26783.37</v>
      </c>
      <c r="E34" s="54" t="str">
        <f t="shared" si="1"/>
        <v>₹321,400.44</v>
      </c>
      <c r="F34" s="55" t="str">
        <f t="shared" si="2"/>
        <v>5.0%</v>
      </c>
      <c r="G34" s="54" t="str">
        <f t="shared" si="3"/>
        <v>₹16,070.02</v>
      </c>
      <c r="H34" s="54" t="str">
        <f t="shared" si="4"/>
        <v>₹1,339.17</v>
      </c>
      <c r="I34" s="54" t="str">
        <f>26763.79-H34</f>
        <v>₹25,424.62</v>
      </c>
    </row>
    <row r="35" ht="15.75" customHeight="1">
      <c r="A35" s="50" t="s">
        <v>62</v>
      </c>
      <c r="B35" s="50" t="s">
        <v>13</v>
      </c>
      <c r="C35" s="50" t="s">
        <v>33</v>
      </c>
      <c r="D35" s="51">
        <v>50425.43</v>
      </c>
      <c r="E35" s="51" t="str">
        <f t="shared" si="1"/>
        <v>₹605,105.16</v>
      </c>
      <c r="F35" s="52" t="str">
        <f t="shared" si="2"/>
        <v>20.0%</v>
      </c>
      <c r="G35" s="51" t="str">
        <f t="shared" si="3"/>
        <v>₹121,021.03</v>
      </c>
      <c r="H35" s="51" t="str">
        <f t="shared" si="4"/>
        <v>₹10,085.09</v>
      </c>
      <c r="I35" s="51" t="str">
        <f>45137.59-H35</f>
        <v>₹35,052.50</v>
      </c>
    </row>
    <row r="36" ht="15.75" customHeight="1">
      <c r="A36" s="53" t="s">
        <v>63</v>
      </c>
      <c r="B36" s="53" t="s">
        <v>25</v>
      </c>
      <c r="C36" s="53" t="s">
        <v>18</v>
      </c>
      <c r="D36" s="54">
        <v>103885.37</v>
      </c>
      <c r="E36" s="54" t="str">
        <f t="shared" si="1"/>
        <v>₹1,246,624.44</v>
      </c>
      <c r="F36" s="55" t="str">
        <f t="shared" si="2"/>
        <v>30.0%</v>
      </c>
      <c r="G36" s="54" t="str">
        <f t="shared" si="3"/>
        <v>₹373,987.33</v>
      </c>
      <c r="H36" s="54" t="str">
        <f t="shared" si="4"/>
        <v>₹31,165.61</v>
      </c>
      <c r="I36" s="54" t="str">
        <f>90592.85-H36</f>
        <v>₹59,427.24</v>
      </c>
    </row>
    <row r="37" ht="15.75" customHeight="1">
      <c r="A37" s="50" t="s">
        <v>64</v>
      </c>
      <c r="B37" s="50" t="s">
        <v>29</v>
      </c>
      <c r="C37" s="50" t="s">
        <v>26</v>
      </c>
      <c r="D37" s="51">
        <v>142832.56</v>
      </c>
      <c r="E37" s="51" t="str">
        <f t="shared" si="1"/>
        <v>₹1,713,990.72</v>
      </c>
      <c r="F37" s="52" t="str">
        <f t="shared" si="2"/>
        <v>30.0%</v>
      </c>
      <c r="G37" s="51" t="str">
        <f t="shared" si="3"/>
        <v>₹514,197.22</v>
      </c>
      <c r="H37" s="51" t="str">
        <f t="shared" si="4"/>
        <v>₹42,849.77</v>
      </c>
      <c r="I37" s="51" t="str">
        <f>116317.44-H37</f>
        <v>₹73,467.67</v>
      </c>
    </row>
    <row r="38" ht="15.75" customHeight="1">
      <c r="A38" s="53" t="s">
        <v>65</v>
      </c>
      <c r="B38" s="53" t="s">
        <v>53</v>
      </c>
      <c r="C38" s="53" t="s">
        <v>33</v>
      </c>
      <c r="D38" s="54">
        <v>39520.54</v>
      </c>
      <c r="E38" s="54" t="str">
        <f t="shared" si="1"/>
        <v>₹474,246.48</v>
      </c>
      <c r="F38" s="55" t="str">
        <f t="shared" si="2"/>
        <v>5.0%</v>
      </c>
      <c r="G38" s="54" t="str">
        <f t="shared" si="3"/>
        <v>₹23,712.32</v>
      </c>
      <c r="H38" s="54" t="str">
        <f t="shared" si="4"/>
        <v>₹1,976.03</v>
      </c>
      <c r="I38" s="54" t="str">
        <f>36266.12-H38</f>
        <v>₹34,290.09</v>
      </c>
    </row>
    <row r="39" ht="15.75" customHeight="1">
      <c r="A39" s="50" t="s">
        <v>66</v>
      </c>
      <c r="B39" s="50" t="s">
        <v>51</v>
      </c>
      <c r="C39" s="50" t="s">
        <v>14</v>
      </c>
      <c r="D39" s="51">
        <v>27893.84</v>
      </c>
      <c r="E39" s="51" t="str">
        <f t="shared" si="1"/>
        <v>₹334,726.08</v>
      </c>
      <c r="F39" s="52" t="str">
        <f t="shared" si="2"/>
        <v>5.0%</v>
      </c>
      <c r="G39" s="51" t="str">
        <f t="shared" si="3"/>
        <v>₹16,736.30</v>
      </c>
      <c r="H39" s="51" t="str">
        <f t="shared" si="4"/>
        <v>₹1,394.69</v>
      </c>
      <c r="I39" s="51" t="str">
        <f>27427.58-H39</f>
        <v>₹26,032.89</v>
      </c>
    </row>
    <row r="40" ht="15.75" customHeight="1">
      <c r="A40" s="53" t="s">
        <v>67</v>
      </c>
      <c r="B40" s="53" t="s">
        <v>36</v>
      </c>
      <c r="C40" s="53" t="s">
        <v>26</v>
      </c>
      <c r="D40" s="54">
        <v>134309.01</v>
      </c>
      <c r="E40" s="54" t="str">
        <f t="shared" si="1"/>
        <v>₹1,611,708.12</v>
      </c>
      <c r="F40" s="55" t="str">
        <f t="shared" si="2"/>
        <v>30.0%</v>
      </c>
      <c r="G40" s="54" t="str">
        <f t="shared" si="3"/>
        <v>₹483,512.44</v>
      </c>
      <c r="H40" s="54" t="str">
        <f t="shared" si="4"/>
        <v>₹40,292.70</v>
      </c>
      <c r="I40" s="54" t="str">
        <f>113059.02-H40</f>
        <v>₹72,766.32</v>
      </c>
    </row>
    <row r="41" ht="15.75" customHeight="1">
      <c r="A41" s="50" t="s">
        <v>68</v>
      </c>
      <c r="B41" s="50" t="s">
        <v>13</v>
      </c>
      <c r="C41" s="50" t="s">
        <v>54</v>
      </c>
      <c r="D41" s="51">
        <v>64326.31</v>
      </c>
      <c r="E41" s="51" t="str">
        <f t="shared" si="1"/>
        <v>₹771,915.72</v>
      </c>
      <c r="F41" s="52" t="str">
        <f t="shared" si="2"/>
        <v>20.0%</v>
      </c>
      <c r="G41" s="51" t="str">
        <f t="shared" si="3"/>
        <v>₹154,383.14</v>
      </c>
      <c r="H41" s="51" t="str">
        <f t="shared" si="4"/>
        <v>₹12,865.26</v>
      </c>
      <c r="I41" s="51" t="str">
        <f>56687.3-H41</f>
        <v>₹43,822.04</v>
      </c>
    </row>
    <row r="42" ht="15.75" customHeight="1">
      <c r="A42" s="53" t="s">
        <v>69</v>
      </c>
      <c r="B42" s="53" t="s">
        <v>36</v>
      </c>
      <c r="C42" s="53" t="s">
        <v>30</v>
      </c>
      <c r="D42" s="54">
        <v>43784.71</v>
      </c>
      <c r="E42" s="54" t="str">
        <f t="shared" si="1"/>
        <v>₹525,416.52</v>
      </c>
      <c r="F42" s="55" t="str">
        <f t="shared" si="2"/>
        <v>20.0%</v>
      </c>
      <c r="G42" s="54" t="str">
        <f t="shared" si="3"/>
        <v>₹105,083.30</v>
      </c>
      <c r="H42" s="54" t="str">
        <f t="shared" si="4"/>
        <v>₹8,756.94</v>
      </c>
      <c r="I42" s="54" t="str">
        <f>37539.8-H42</f>
        <v>₹28,782.86</v>
      </c>
    </row>
    <row r="43" ht="15.75" customHeight="1">
      <c r="A43" s="50" t="s">
        <v>70</v>
      </c>
      <c r="B43" s="50" t="s">
        <v>29</v>
      </c>
      <c r="C43" s="50" t="s">
        <v>54</v>
      </c>
      <c r="D43" s="51">
        <v>69971.7</v>
      </c>
      <c r="E43" s="51" t="str">
        <f t="shared" si="1"/>
        <v>₹839,660.40</v>
      </c>
      <c r="F43" s="52" t="str">
        <f t="shared" si="2"/>
        <v>20.0%</v>
      </c>
      <c r="G43" s="51" t="str">
        <f t="shared" si="3"/>
        <v>₹167,932.08</v>
      </c>
      <c r="H43" s="51" t="str">
        <f t="shared" si="4"/>
        <v>₹13,994.34</v>
      </c>
      <c r="I43" s="51" t="str">
        <f>63540.55-H43</f>
        <v>₹49,546.21</v>
      </c>
    </row>
    <row r="44" ht="15.75" customHeight="1">
      <c r="A44" s="53" t="s">
        <v>71</v>
      </c>
      <c r="B44" s="53" t="s">
        <v>36</v>
      </c>
      <c r="C44" s="53" t="s">
        <v>14</v>
      </c>
      <c r="D44" s="54">
        <v>25973.75</v>
      </c>
      <c r="E44" s="54" t="str">
        <f t="shared" si="1"/>
        <v>₹311,685.00</v>
      </c>
      <c r="F44" s="55" t="str">
        <f t="shared" si="2"/>
        <v>5.0%</v>
      </c>
      <c r="G44" s="54" t="str">
        <f t="shared" si="3"/>
        <v>₹15,584.25</v>
      </c>
      <c r="H44" s="54" t="str">
        <f t="shared" si="4"/>
        <v>₹1,298.69</v>
      </c>
      <c r="I44" s="54" t="str">
        <f>25848.9-H44</f>
        <v>₹24,550.21</v>
      </c>
    </row>
    <row r="45" ht="15.75" customHeight="1">
      <c r="A45" s="50" t="s">
        <v>72</v>
      </c>
      <c r="B45" s="50" t="s">
        <v>51</v>
      </c>
      <c r="C45" s="50" t="s">
        <v>37</v>
      </c>
      <c r="D45" s="51">
        <v>64348.3</v>
      </c>
      <c r="E45" s="51" t="str">
        <f t="shared" si="1"/>
        <v>₹772,179.60</v>
      </c>
      <c r="F45" s="52" t="str">
        <f t="shared" si="2"/>
        <v>20.0%</v>
      </c>
      <c r="G45" s="51" t="str">
        <f t="shared" si="3"/>
        <v>₹154,435.92</v>
      </c>
      <c r="H45" s="51" t="str">
        <f t="shared" si="4"/>
        <v>₹12,869.66</v>
      </c>
      <c r="I45" s="51" t="str">
        <f>55077.92-H45</f>
        <v>₹42,208.26</v>
      </c>
    </row>
    <row r="46" ht="15.75" customHeight="1">
      <c r="A46" s="53" t="s">
        <v>73</v>
      </c>
      <c r="B46" s="53" t="s">
        <v>36</v>
      </c>
      <c r="C46" s="53" t="s">
        <v>30</v>
      </c>
      <c r="D46" s="54">
        <v>38638.09</v>
      </c>
      <c r="E46" s="54" t="str">
        <f t="shared" si="1"/>
        <v>₹463,657.08</v>
      </c>
      <c r="F46" s="55" t="str">
        <f t="shared" si="2"/>
        <v>5.0%</v>
      </c>
      <c r="G46" s="54" t="str">
        <f t="shared" si="3"/>
        <v>₹23,182.85</v>
      </c>
      <c r="H46" s="54" t="str">
        <f t="shared" si="4"/>
        <v>₹1,931.90</v>
      </c>
      <c r="I46" s="54" t="str">
        <f>31558.22-H46</f>
        <v>₹29,626.32</v>
      </c>
    </row>
    <row r="47" ht="15.75" customHeight="1">
      <c r="A47" s="50" t="s">
        <v>74</v>
      </c>
      <c r="B47" s="50" t="s">
        <v>36</v>
      </c>
      <c r="C47" s="50" t="s">
        <v>30</v>
      </c>
      <c r="D47" s="51">
        <v>42244.13</v>
      </c>
      <c r="E47" s="51" t="str">
        <f t="shared" si="1"/>
        <v>₹506,929.56</v>
      </c>
      <c r="F47" s="52" t="str">
        <f t="shared" si="2"/>
        <v>20.0%</v>
      </c>
      <c r="G47" s="51" t="str">
        <f t="shared" si="3"/>
        <v>₹101,385.91</v>
      </c>
      <c r="H47" s="51" t="str">
        <f t="shared" si="4"/>
        <v>₹8,448.83</v>
      </c>
      <c r="I47" s="51" t="str">
        <f>40593.01-H47</f>
        <v>₹32,144.18</v>
      </c>
    </row>
    <row r="48" ht="15.75" customHeight="1">
      <c r="A48" s="53" t="s">
        <v>75</v>
      </c>
      <c r="B48" s="53" t="s">
        <v>13</v>
      </c>
      <c r="C48" s="53" t="s">
        <v>54</v>
      </c>
      <c r="D48" s="54">
        <v>55233.76</v>
      </c>
      <c r="E48" s="54" t="str">
        <f t="shared" si="1"/>
        <v>₹662,805.12</v>
      </c>
      <c r="F48" s="55" t="str">
        <f t="shared" si="2"/>
        <v>20.0%</v>
      </c>
      <c r="G48" s="54" t="str">
        <f t="shared" si="3"/>
        <v>₹132,561.02</v>
      </c>
      <c r="H48" s="54" t="str">
        <f t="shared" si="4"/>
        <v>₹11,046.75</v>
      </c>
      <c r="I48" s="54" t="str">
        <f>44878.04-H48</f>
        <v>₹33,831.29</v>
      </c>
    </row>
    <row r="49" ht="15.75" customHeight="1">
      <c r="A49" s="50" t="s">
        <v>76</v>
      </c>
      <c r="B49" s="50" t="s">
        <v>13</v>
      </c>
      <c r="C49" s="50" t="s">
        <v>18</v>
      </c>
      <c r="D49" s="51">
        <v>119547.89</v>
      </c>
      <c r="E49" s="51" t="str">
        <f t="shared" si="1"/>
        <v>₹1,434,574.68</v>
      </c>
      <c r="F49" s="52" t="str">
        <f t="shared" si="2"/>
        <v>30.0%</v>
      </c>
      <c r="G49" s="51" t="str">
        <f t="shared" si="3"/>
        <v>₹430,372.40</v>
      </c>
      <c r="H49" s="51" t="str">
        <f t="shared" si="4"/>
        <v>₹35,864.37</v>
      </c>
      <c r="I49" s="51" t="str">
        <f>108606.06-H49</f>
        <v>₹72,741.69</v>
      </c>
    </row>
    <row r="50" ht="15.75" customHeight="1">
      <c r="A50" s="53" t="s">
        <v>77</v>
      </c>
      <c r="B50" s="53" t="s">
        <v>25</v>
      </c>
      <c r="C50" s="53" t="s">
        <v>26</v>
      </c>
      <c r="D50" s="54">
        <v>125713.15</v>
      </c>
      <c r="E50" s="54" t="str">
        <f t="shared" si="1"/>
        <v>₹1,508,557.80</v>
      </c>
      <c r="F50" s="55" t="str">
        <f t="shared" si="2"/>
        <v>30.0%</v>
      </c>
      <c r="G50" s="54" t="str">
        <f t="shared" si="3"/>
        <v>₹452,567.34</v>
      </c>
      <c r="H50" s="54" t="str">
        <f t="shared" si="4"/>
        <v>₹37,713.95</v>
      </c>
      <c r="I50" s="54" t="str">
        <f>111078.71-H50</f>
        <v>₹73,364.77</v>
      </c>
    </row>
    <row r="51" ht="15.75" customHeight="1">
      <c r="A51" s="50" t="s">
        <v>78</v>
      </c>
      <c r="B51" s="50" t="s">
        <v>36</v>
      </c>
      <c r="C51" s="50" t="s">
        <v>30</v>
      </c>
      <c r="D51" s="51">
        <v>33008.17</v>
      </c>
      <c r="E51" s="51" t="str">
        <f t="shared" si="1"/>
        <v>₹396,098.04</v>
      </c>
      <c r="F51" s="52" t="str">
        <f t="shared" si="2"/>
        <v>5.0%</v>
      </c>
      <c r="G51" s="51" t="str">
        <f t="shared" si="3"/>
        <v>₹19,804.90</v>
      </c>
      <c r="H51" s="51" t="str">
        <f t="shared" si="4"/>
        <v>₹1,650.41</v>
      </c>
      <c r="I51" s="51" t="str">
        <f>26235.68-H51</f>
        <v>₹24,585.27</v>
      </c>
    </row>
    <row r="52" ht="15.75" customHeight="1">
      <c r="A52" s="53" t="s">
        <v>79</v>
      </c>
      <c r="B52" s="53" t="s">
        <v>25</v>
      </c>
      <c r="C52" s="53" t="s">
        <v>26</v>
      </c>
      <c r="D52" s="54">
        <v>159425.01</v>
      </c>
      <c r="E52" s="54" t="str">
        <f t="shared" si="1"/>
        <v>₹1,913,100.12</v>
      </c>
      <c r="F52" s="55" t="str">
        <f t="shared" si="2"/>
        <v>30.0%</v>
      </c>
      <c r="G52" s="54" t="str">
        <f t="shared" si="3"/>
        <v>₹573,930.04</v>
      </c>
      <c r="H52" s="54" t="str">
        <f t="shared" si="4"/>
        <v>₹47,827.50</v>
      </c>
      <c r="I52" s="54" t="str">
        <f>135788.38-H52</f>
        <v>₹87,960.88</v>
      </c>
    </row>
    <row r="53" ht="15.75" customHeight="1">
      <c r="A53" s="50" t="s">
        <v>80</v>
      </c>
      <c r="B53" s="50" t="s">
        <v>25</v>
      </c>
      <c r="C53" s="50" t="s">
        <v>14</v>
      </c>
      <c r="D53" s="51">
        <v>37097.33</v>
      </c>
      <c r="E53" s="51" t="str">
        <f t="shared" si="1"/>
        <v>₹445,167.96</v>
      </c>
      <c r="F53" s="52" t="str">
        <f t="shared" si="2"/>
        <v>5.0%</v>
      </c>
      <c r="G53" s="51" t="str">
        <f t="shared" si="3"/>
        <v>₹22,258.40</v>
      </c>
      <c r="H53" s="51" t="str">
        <f t="shared" si="4"/>
        <v>₹1,854.87</v>
      </c>
      <c r="I53" s="51" t="str">
        <f>30738.03-H53</f>
        <v>₹28,883.16</v>
      </c>
    </row>
    <row r="54" ht="15.75" customHeight="1">
      <c r="A54" s="53" t="s">
        <v>81</v>
      </c>
      <c r="B54" s="53" t="s">
        <v>36</v>
      </c>
      <c r="C54" s="53" t="s">
        <v>54</v>
      </c>
      <c r="D54" s="54">
        <v>61478.66</v>
      </c>
      <c r="E54" s="54" t="str">
        <f t="shared" si="1"/>
        <v>₹737,743.92</v>
      </c>
      <c r="F54" s="55" t="str">
        <f t="shared" si="2"/>
        <v>20.0%</v>
      </c>
      <c r="G54" s="54" t="str">
        <f t="shared" si="3"/>
        <v>₹147,548.78</v>
      </c>
      <c r="H54" s="54" t="str">
        <f t="shared" si="4"/>
        <v>₹12,295.73</v>
      </c>
      <c r="I54" s="54" t="str">
        <f>50178.54-H54</f>
        <v>₹37,882.81</v>
      </c>
    </row>
    <row r="55" ht="15.75" customHeight="1">
      <c r="A55" s="50" t="s">
        <v>82</v>
      </c>
      <c r="B55" s="50" t="s">
        <v>36</v>
      </c>
      <c r="C55" s="50" t="s">
        <v>14</v>
      </c>
      <c r="D55" s="51">
        <v>33953.5</v>
      </c>
      <c r="E55" s="51" t="str">
        <f t="shared" si="1"/>
        <v>₹407,442.00</v>
      </c>
      <c r="F55" s="52" t="str">
        <f t="shared" si="2"/>
        <v>5.0%</v>
      </c>
      <c r="G55" s="51" t="str">
        <f t="shared" si="3"/>
        <v>₹20,372.10</v>
      </c>
      <c r="H55" s="51" t="str">
        <f t="shared" si="4"/>
        <v>₹1,697.68</v>
      </c>
      <c r="I55" s="51" t="str">
        <f>28050.81-H55</f>
        <v>₹26,353.14</v>
      </c>
    </row>
    <row r="56" ht="15.75" customHeight="1">
      <c r="A56" s="53" t="s">
        <v>83</v>
      </c>
      <c r="B56" s="53" t="s">
        <v>29</v>
      </c>
      <c r="C56" s="53" t="s">
        <v>54</v>
      </c>
      <c r="D56" s="54">
        <v>64716.32</v>
      </c>
      <c r="E56" s="54" t="str">
        <f t="shared" si="1"/>
        <v>₹776,595.84</v>
      </c>
      <c r="F56" s="55" t="str">
        <f t="shared" si="2"/>
        <v>20.0%</v>
      </c>
      <c r="G56" s="54" t="str">
        <f t="shared" si="3"/>
        <v>₹155,319.17</v>
      </c>
      <c r="H56" s="54" t="str">
        <f t="shared" si="4"/>
        <v>₹12,943.26</v>
      </c>
      <c r="I56" s="54" t="str">
        <f>54199.16-H56</f>
        <v>₹41,255.90</v>
      </c>
    </row>
    <row r="57" ht="15.75" customHeight="1">
      <c r="A57" s="50" t="s">
        <v>85</v>
      </c>
      <c r="B57" s="50" t="s">
        <v>13</v>
      </c>
      <c r="C57" s="50" t="s">
        <v>54</v>
      </c>
      <c r="D57" s="51">
        <v>50522.87</v>
      </c>
      <c r="E57" s="51" t="str">
        <f t="shared" si="1"/>
        <v>₹606,274.44</v>
      </c>
      <c r="F57" s="52" t="str">
        <f t="shared" si="2"/>
        <v>20.0%</v>
      </c>
      <c r="G57" s="51" t="str">
        <f t="shared" si="3"/>
        <v>₹121,254.89</v>
      </c>
      <c r="H57" s="51" t="str">
        <f t="shared" si="4"/>
        <v>₹10,104.57</v>
      </c>
      <c r="I57" s="51" t="str">
        <f>39721.62-H57</f>
        <v>₹29,617.05</v>
      </c>
    </row>
    <row r="58" ht="15.75" customHeight="1">
      <c r="A58" s="53" t="s">
        <v>86</v>
      </c>
      <c r="B58" s="53" t="s">
        <v>13</v>
      </c>
      <c r="C58" s="53" t="s">
        <v>37</v>
      </c>
      <c r="D58" s="54">
        <v>62817.67</v>
      </c>
      <c r="E58" s="54" t="str">
        <f t="shared" si="1"/>
        <v>₹753,812.04</v>
      </c>
      <c r="F58" s="55" t="str">
        <f t="shared" si="2"/>
        <v>20.0%</v>
      </c>
      <c r="G58" s="54" t="str">
        <f t="shared" si="3"/>
        <v>₹150,762.41</v>
      </c>
      <c r="H58" s="54" t="str">
        <f t="shared" si="4"/>
        <v>₹12,563.53</v>
      </c>
      <c r="I58" s="54" t="str">
        <f>62124.24-H58</f>
        <v>₹49,560.71</v>
      </c>
    </row>
    <row r="59" ht="15.75" customHeight="1">
      <c r="A59" s="50" t="s">
        <v>87</v>
      </c>
      <c r="B59" s="50" t="s">
        <v>53</v>
      </c>
      <c r="C59" s="50" t="s">
        <v>26</v>
      </c>
      <c r="D59" s="51">
        <v>143098.05</v>
      </c>
      <c r="E59" s="51" t="str">
        <f t="shared" si="1"/>
        <v>₹1,717,176.60</v>
      </c>
      <c r="F59" s="52" t="str">
        <f t="shared" si="2"/>
        <v>30.0%</v>
      </c>
      <c r="G59" s="51" t="str">
        <f t="shared" si="3"/>
        <v>₹515,152.98</v>
      </c>
      <c r="H59" s="51" t="str">
        <f t="shared" si="4"/>
        <v>₹42,929.42</v>
      </c>
      <c r="I59" s="51" t="str">
        <f>126473.69-H59</f>
        <v>₹83,544.28</v>
      </c>
    </row>
    <row r="60" ht="15.75" customHeight="1">
      <c r="A60" s="53" t="s">
        <v>88</v>
      </c>
      <c r="B60" s="53" t="s">
        <v>17</v>
      </c>
      <c r="C60" s="53" t="s">
        <v>37</v>
      </c>
      <c r="D60" s="54">
        <v>68057.52</v>
      </c>
      <c r="E60" s="54" t="str">
        <f t="shared" si="1"/>
        <v>₹816,690.24</v>
      </c>
      <c r="F60" s="55" t="str">
        <f t="shared" si="2"/>
        <v>20.0%</v>
      </c>
      <c r="G60" s="54" t="str">
        <f t="shared" si="3"/>
        <v>₹163,338.05</v>
      </c>
      <c r="H60" s="54" t="str">
        <f t="shared" si="4"/>
        <v>₹13,611.50</v>
      </c>
      <c r="I60" s="54" t="str">
        <f>62458.37-H60</f>
        <v>₹48,846.87</v>
      </c>
    </row>
    <row r="61" ht="15.75" customHeight="1">
      <c r="A61" s="50" t="s">
        <v>89</v>
      </c>
      <c r="B61" s="50" t="s">
        <v>51</v>
      </c>
      <c r="C61" s="50" t="s">
        <v>37</v>
      </c>
      <c r="D61" s="51">
        <v>79311.82</v>
      </c>
      <c r="E61" s="51" t="str">
        <f t="shared" si="1"/>
        <v>₹951,741.84</v>
      </c>
      <c r="F61" s="52" t="str">
        <f t="shared" si="2"/>
        <v>20.0%</v>
      </c>
      <c r="G61" s="51" t="str">
        <f t="shared" si="3"/>
        <v>₹190,348.37</v>
      </c>
      <c r="H61" s="51" t="str">
        <f t="shared" si="4"/>
        <v>₹15,862.36</v>
      </c>
      <c r="I61" s="51" t="str">
        <f>72306.4-H61</f>
        <v>₹56,444.04</v>
      </c>
    </row>
    <row r="62" ht="15.75" customHeight="1">
      <c r="A62" s="53" t="s">
        <v>90</v>
      </c>
      <c r="B62" s="53" t="s">
        <v>53</v>
      </c>
      <c r="C62" s="53" t="s">
        <v>37</v>
      </c>
      <c r="D62" s="54">
        <v>68546.95</v>
      </c>
      <c r="E62" s="54" t="str">
        <f t="shared" si="1"/>
        <v>₹822,563.40</v>
      </c>
      <c r="F62" s="55" t="str">
        <f t="shared" si="2"/>
        <v>20.0%</v>
      </c>
      <c r="G62" s="54" t="str">
        <f t="shared" si="3"/>
        <v>₹164,512.68</v>
      </c>
      <c r="H62" s="54" t="str">
        <f t="shared" si="4"/>
        <v>₹13,709.39</v>
      </c>
      <c r="I62" s="54" t="str">
        <f>58361.49-H62</f>
        <v>₹44,652.10</v>
      </c>
    </row>
    <row r="63" ht="15.75" customHeight="1">
      <c r="A63" s="50" t="s">
        <v>91</v>
      </c>
      <c r="B63" s="50" t="s">
        <v>36</v>
      </c>
      <c r="C63" s="50" t="s">
        <v>33</v>
      </c>
      <c r="D63" s="51">
        <v>41535.36</v>
      </c>
      <c r="E63" s="51" t="str">
        <f t="shared" si="1"/>
        <v>₹498,424.32</v>
      </c>
      <c r="F63" s="52" t="str">
        <f t="shared" si="2"/>
        <v>5.0%</v>
      </c>
      <c r="G63" s="51" t="str">
        <f t="shared" si="3"/>
        <v>₹24,921.22</v>
      </c>
      <c r="H63" s="51" t="str">
        <f t="shared" si="4"/>
        <v>₹2,076.77</v>
      </c>
      <c r="I63" s="51" t="str">
        <f>38929.18-H63</f>
        <v>₹36,852.41</v>
      </c>
    </row>
    <row r="64" ht="15.75" customHeight="1">
      <c r="A64" s="53" t="s">
        <v>92</v>
      </c>
      <c r="B64" s="53" t="s">
        <v>25</v>
      </c>
      <c r="C64" s="53" t="s">
        <v>14</v>
      </c>
      <c r="D64" s="54">
        <v>79444.81</v>
      </c>
      <c r="E64" s="54" t="str">
        <f t="shared" si="1"/>
        <v>₹953,337.72</v>
      </c>
      <c r="F64" s="55" t="str">
        <f t="shared" si="2"/>
        <v>20.0%</v>
      </c>
      <c r="G64" s="54" t="str">
        <f t="shared" si="3"/>
        <v>₹190,667.54</v>
      </c>
      <c r="H64" s="54" t="str">
        <f t="shared" si="4"/>
        <v>₹15,888.96</v>
      </c>
      <c r="I64" s="54" t="str">
        <f>76393.32-H64</f>
        <v>₹60,504.36</v>
      </c>
    </row>
    <row r="65" ht="15.75" customHeight="1">
      <c r="A65" s="50" t="s">
        <v>93</v>
      </c>
      <c r="B65" s="50" t="s">
        <v>17</v>
      </c>
      <c r="C65" s="50" t="s">
        <v>37</v>
      </c>
      <c r="D65" s="51">
        <v>66078.12</v>
      </c>
      <c r="E65" s="51" t="str">
        <f t="shared" si="1"/>
        <v>₹792,937.44</v>
      </c>
      <c r="F65" s="52" t="str">
        <f t="shared" si="2"/>
        <v>20.0%</v>
      </c>
      <c r="G65" s="51" t="str">
        <f t="shared" si="3"/>
        <v>₹158,587.49</v>
      </c>
      <c r="H65" s="51" t="str">
        <f t="shared" si="4"/>
        <v>₹13,215.62</v>
      </c>
      <c r="I65" s="51" t="str">
        <f>52404.91-H65</f>
        <v>₹39,189.29</v>
      </c>
    </row>
    <row r="66" ht="15.75" customHeight="1">
      <c r="A66" s="53" t="s">
        <v>94</v>
      </c>
      <c r="B66" s="53" t="s">
        <v>51</v>
      </c>
      <c r="C66" s="53" t="s">
        <v>33</v>
      </c>
      <c r="D66" s="54">
        <v>38645.51</v>
      </c>
      <c r="E66" s="54" t="str">
        <f t="shared" si="1"/>
        <v>₹463,746.12</v>
      </c>
      <c r="F66" s="55" t="str">
        <f t="shared" si="2"/>
        <v>5.0%</v>
      </c>
      <c r="G66" s="54" t="str">
        <f t="shared" si="3"/>
        <v>₹23,187.31</v>
      </c>
      <c r="H66" s="54" t="str">
        <f t="shared" si="4"/>
        <v>₹1,932.28</v>
      </c>
      <c r="I66" s="54" t="str">
        <f>34106.95-H66</f>
        <v>₹32,174.67</v>
      </c>
    </row>
    <row r="67" ht="15.75" customHeight="1">
      <c r="A67" s="50" t="s">
        <v>95</v>
      </c>
      <c r="B67" s="50" t="s">
        <v>53</v>
      </c>
      <c r="C67" s="50" t="s">
        <v>26</v>
      </c>
      <c r="D67" s="51">
        <v>147783.74</v>
      </c>
      <c r="E67" s="51" t="str">
        <f t="shared" si="1"/>
        <v>₹1,773,404.88</v>
      </c>
      <c r="F67" s="52" t="str">
        <f t="shared" si="2"/>
        <v>30.0%</v>
      </c>
      <c r="G67" s="51" t="str">
        <f t="shared" si="3"/>
        <v>₹532,021.46</v>
      </c>
      <c r="H67" s="51" t="str">
        <f t="shared" si="4"/>
        <v>₹44,335.12</v>
      </c>
      <c r="I67" s="51" t="str">
        <f>119950.77-H67</f>
        <v>₹75,615.65</v>
      </c>
    </row>
    <row r="68" ht="15.75" customHeight="1">
      <c r="A68" s="53" t="s">
        <v>96</v>
      </c>
      <c r="B68" s="53" t="s">
        <v>13</v>
      </c>
      <c r="C68" s="53" t="s">
        <v>14</v>
      </c>
      <c r="D68" s="54">
        <v>32853.41</v>
      </c>
      <c r="E68" s="54" t="str">
        <f t="shared" si="1"/>
        <v>₹394,240.92</v>
      </c>
      <c r="F68" s="55" t="str">
        <f t="shared" si="2"/>
        <v>5.0%</v>
      </c>
      <c r="G68" s="54" t="str">
        <f t="shared" si="3"/>
        <v>₹19,712.05</v>
      </c>
      <c r="H68" s="54" t="str">
        <f t="shared" si="4"/>
        <v>₹1,642.67</v>
      </c>
      <c r="I68" s="54" t="str">
        <f>31996-H68</f>
        <v>₹30,353.33</v>
      </c>
    </row>
    <row r="69" ht="15.75" customHeight="1">
      <c r="A69" s="50" t="s">
        <v>97</v>
      </c>
      <c r="B69" s="50" t="s">
        <v>13</v>
      </c>
      <c r="C69" s="50" t="s">
        <v>37</v>
      </c>
      <c r="D69" s="51">
        <v>64830.96</v>
      </c>
      <c r="E69" s="51" t="str">
        <f t="shared" si="1"/>
        <v>₹777,971.52</v>
      </c>
      <c r="F69" s="52" t="str">
        <f t="shared" si="2"/>
        <v>20.0%</v>
      </c>
      <c r="G69" s="51" t="str">
        <f t="shared" si="3"/>
        <v>₹155,594.30</v>
      </c>
      <c r="H69" s="51" t="str">
        <f t="shared" si="4"/>
        <v>₹12,966.19</v>
      </c>
      <c r="I69" s="51" t="str">
        <f>61810.65-H69</f>
        <v>₹48,844.46</v>
      </c>
    </row>
    <row r="70" ht="15.75" customHeight="1">
      <c r="A70" s="53" t="s">
        <v>98</v>
      </c>
      <c r="B70" s="53" t="s">
        <v>51</v>
      </c>
      <c r="C70" s="53" t="s">
        <v>18</v>
      </c>
      <c r="D70" s="54">
        <v>110239.67</v>
      </c>
      <c r="E70" s="54" t="str">
        <f t="shared" si="1"/>
        <v>₹1,322,876.04</v>
      </c>
      <c r="F70" s="55" t="str">
        <f t="shared" si="2"/>
        <v>30.0%</v>
      </c>
      <c r="G70" s="54" t="str">
        <f t="shared" si="3"/>
        <v>₹396,862.81</v>
      </c>
      <c r="H70" s="54" t="str">
        <f t="shared" si="4"/>
        <v>₹33,071.90</v>
      </c>
      <c r="I70" s="54" t="str">
        <f>98296.5-H70</f>
        <v>₹65,224.60</v>
      </c>
    </row>
    <row r="71" ht="15.75" customHeight="1">
      <c r="A71" s="50" t="s">
        <v>99</v>
      </c>
      <c r="B71" s="50" t="s">
        <v>17</v>
      </c>
      <c r="C71" s="50" t="s">
        <v>18</v>
      </c>
      <c r="D71" s="51">
        <v>103023.12</v>
      </c>
      <c r="E71" s="51" t="str">
        <f t="shared" si="1"/>
        <v>₹1,236,277.44</v>
      </c>
      <c r="F71" s="52" t="str">
        <f t="shared" si="2"/>
        <v>30.0%</v>
      </c>
      <c r="G71" s="51" t="str">
        <f t="shared" si="3"/>
        <v>₹370,883.23</v>
      </c>
      <c r="H71" s="51" t="str">
        <f t="shared" si="4"/>
        <v>₹30,906.94</v>
      </c>
      <c r="I71" s="51" t="str">
        <f>102942.26-H71</f>
        <v>₹72,035.32</v>
      </c>
    </row>
    <row r="72" ht="15.75" customHeight="1">
      <c r="A72" s="53" t="s">
        <v>100</v>
      </c>
      <c r="B72" s="53" t="s">
        <v>13</v>
      </c>
      <c r="C72" s="53" t="s">
        <v>33</v>
      </c>
      <c r="D72" s="54">
        <v>36952.53</v>
      </c>
      <c r="E72" s="54" t="str">
        <f t="shared" si="1"/>
        <v>₹443,430.36</v>
      </c>
      <c r="F72" s="55" t="str">
        <f t="shared" si="2"/>
        <v>5.0%</v>
      </c>
      <c r="G72" s="54" t="str">
        <f t="shared" si="3"/>
        <v>₹22,171.52</v>
      </c>
      <c r="H72" s="54" t="str">
        <f t="shared" si="4"/>
        <v>₹1,847.63</v>
      </c>
      <c r="I72" s="54" t="str">
        <f>31317.95-H72</f>
        <v>₹29,470.32</v>
      </c>
    </row>
    <row r="73" ht="15.75" customHeight="1">
      <c r="A73" s="50" t="s">
        <v>101</v>
      </c>
      <c r="B73" s="50" t="s">
        <v>17</v>
      </c>
      <c r="C73" s="50" t="s">
        <v>14</v>
      </c>
      <c r="D73" s="51">
        <v>27379.16</v>
      </c>
      <c r="E73" s="51" t="str">
        <f t="shared" si="1"/>
        <v>₹328,549.92</v>
      </c>
      <c r="F73" s="52" t="str">
        <f t="shared" si="2"/>
        <v>5.0%</v>
      </c>
      <c r="G73" s="51" t="str">
        <f t="shared" si="3"/>
        <v>₹16,427.50</v>
      </c>
      <c r="H73" s="51" t="str">
        <f t="shared" si="4"/>
        <v>₹1,368.96</v>
      </c>
      <c r="I73" s="51" t="str">
        <f>22351.03-H73</f>
        <v>₹20,982.07</v>
      </c>
    </row>
    <row r="74" ht="15.75" customHeight="1">
      <c r="A74" s="53" t="s">
        <v>102</v>
      </c>
      <c r="B74" s="53" t="s">
        <v>17</v>
      </c>
      <c r="C74" s="53" t="s">
        <v>26</v>
      </c>
      <c r="D74" s="54">
        <v>145693.57</v>
      </c>
      <c r="E74" s="54" t="str">
        <f t="shared" si="1"/>
        <v>₹1,748,322.84</v>
      </c>
      <c r="F74" s="55" t="str">
        <f t="shared" si="2"/>
        <v>30.0%</v>
      </c>
      <c r="G74" s="54" t="str">
        <f t="shared" si="3"/>
        <v>₹524,496.85</v>
      </c>
      <c r="H74" s="54" t="str">
        <f t="shared" si="4"/>
        <v>₹43,708.07</v>
      </c>
      <c r="I74" s="54" t="str">
        <f>132375.54-H74</f>
        <v>₹88,667.47</v>
      </c>
    </row>
    <row r="75" ht="15.75" customHeight="1">
      <c r="A75" s="50" t="s">
        <v>103</v>
      </c>
      <c r="B75" s="50" t="s">
        <v>29</v>
      </c>
      <c r="C75" s="50" t="s">
        <v>33</v>
      </c>
      <c r="D75" s="51">
        <v>49598.76</v>
      </c>
      <c r="E75" s="51" t="str">
        <f t="shared" si="1"/>
        <v>₹595,185.12</v>
      </c>
      <c r="F75" s="52" t="str">
        <f t="shared" si="2"/>
        <v>20.0%</v>
      </c>
      <c r="G75" s="51" t="str">
        <f t="shared" si="3"/>
        <v>₹119,037.02</v>
      </c>
      <c r="H75" s="51" t="str">
        <f t="shared" si="4"/>
        <v>₹9,919.75</v>
      </c>
      <c r="I75" s="51" t="str">
        <f>40822.22-H75</f>
        <v>₹30,902.47</v>
      </c>
    </row>
    <row r="76" ht="15.75" customHeight="1">
      <c r="A76" s="53" t="s">
        <v>104</v>
      </c>
      <c r="B76" s="53" t="s">
        <v>51</v>
      </c>
      <c r="C76" s="53" t="s">
        <v>18</v>
      </c>
      <c r="D76" s="54">
        <v>94403.8</v>
      </c>
      <c r="E76" s="54" t="str">
        <f t="shared" si="1"/>
        <v>₹1,132,845.60</v>
      </c>
      <c r="F76" s="55" t="str">
        <f t="shared" si="2"/>
        <v>30.0%</v>
      </c>
      <c r="G76" s="54" t="str">
        <f t="shared" si="3"/>
        <v>₹339,853.68</v>
      </c>
      <c r="H76" s="54" t="str">
        <f t="shared" si="4"/>
        <v>₹28,321.14</v>
      </c>
      <c r="I76" s="54" t="str">
        <f>77673.17-H76</f>
        <v>₹49,352.03</v>
      </c>
    </row>
    <row r="77" ht="15.75" customHeight="1">
      <c r="A77" s="50" t="s">
        <v>105</v>
      </c>
      <c r="B77" s="50" t="s">
        <v>53</v>
      </c>
      <c r="C77" s="50" t="s">
        <v>18</v>
      </c>
      <c r="D77" s="51">
        <v>102559.69</v>
      </c>
      <c r="E77" s="51" t="str">
        <f t="shared" si="1"/>
        <v>₹1,230,716.28</v>
      </c>
      <c r="F77" s="52" t="str">
        <f t="shared" si="2"/>
        <v>30.0%</v>
      </c>
      <c r="G77" s="51" t="str">
        <f t="shared" si="3"/>
        <v>₹369,214.88</v>
      </c>
      <c r="H77" s="51" t="str">
        <f t="shared" si="4"/>
        <v>₹30,767.91</v>
      </c>
      <c r="I77" s="51" t="str">
        <f>84657.58-H77</f>
        <v>₹53,889.67</v>
      </c>
    </row>
    <row r="78" ht="15.75" customHeight="1">
      <c r="A78" s="53" t="s">
        <v>106</v>
      </c>
      <c r="B78" s="53" t="s">
        <v>36</v>
      </c>
      <c r="C78" s="53" t="s">
        <v>14</v>
      </c>
      <c r="D78" s="54">
        <v>28645.75</v>
      </c>
      <c r="E78" s="54" t="str">
        <f t="shared" si="1"/>
        <v>₹343,749.00</v>
      </c>
      <c r="F78" s="55" t="str">
        <f t="shared" si="2"/>
        <v>5.0%</v>
      </c>
      <c r="G78" s="54" t="str">
        <f t="shared" si="3"/>
        <v>₹17,187.45</v>
      </c>
      <c r="H78" s="54" t="str">
        <f t="shared" si="4"/>
        <v>₹1,432.29</v>
      </c>
      <c r="I78" s="54" t="str">
        <f>24117.75-H78</f>
        <v>₹22,685.46</v>
      </c>
    </row>
    <row r="79" ht="15.75" customHeight="1">
      <c r="A79" s="50" t="s">
        <v>107</v>
      </c>
      <c r="B79" s="50" t="s">
        <v>25</v>
      </c>
      <c r="C79" s="50" t="s">
        <v>18</v>
      </c>
      <c r="D79" s="51">
        <v>127887.9</v>
      </c>
      <c r="E79" s="51" t="str">
        <f t="shared" si="1"/>
        <v>₹1,534,654.80</v>
      </c>
      <c r="F79" s="52" t="str">
        <f t="shared" si="2"/>
        <v>30.0%</v>
      </c>
      <c r="G79" s="51" t="str">
        <f t="shared" si="3"/>
        <v>₹460,396.44</v>
      </c>
      <c r="H79" s="51" t="str">
        <f t="shared" si="4"/>
        <v>₹38,366.37</v>
      </c>
      <c r="I79" s="51" t="str">
        <f>120887-H79</f>
        <v>₹82,520.63</v>
      </c>
    </row>
    <row r="80" ht="15.75" customHeight="1">
      <c r="A80" s="53" t="s">
        <v>108</v>
      </c>
      <c r="B80" s="53" t="s">
        <v>17</v>
      </c>
      <c r="C80" s="53" t="s">
        <v>54</v>
      </c>
      <c r="D80" s="54">
        <v>69480.32</v>
      </c>
      <c r="E80" s="54" t="str">
        <f t="shared" si="1"/>
        <v>₹833,763.84</v>
      </c>
      <c r="F80" s="55" t="str">
        <f t="shared" si="2"/>
        <v>20.0%</v>
      </c>
      <c r="G80" s="54" t="str">
        <f t="shared" si="3"/>
        <v>₹166,752.77</v>
      </c>
      <c r="H80" s="54" t="str">
        <f t="shared" si="4"/>
        <v>₹13,896.06</v>
      </c>
      <c r="I80" s="54" t="str">
        <f>66329.97-H80</f>
        <v>₹52,433.91</v>
      </c>
    </row>
    <row r="81" ht="15.75" customHeight="1">
      <c r="A81" s="50" t="s">
        <v>109</v>
      </c>
      <c r="B81" s="50" t="s">
        <v>29</v>
      </c>
      <c r="C81" s="50" t="s">
        <v>33</v>
      </c>
      <c r="D81" s="51">
        <v>48953.49</v>
      </c>
      <c r="E81" s="51" t="str">
        <f t="shared" si="1"/>
        <v>₹587,441.88</v>
      </c>
      <c r="F81" s="52" t="str">
        <f t="shared" si="2"/>
        <v>20.0%</v>
      </c>
      <c r="G81" s="51" t="str">
        <f t="shared" si="3"/>
        <v>₹117,488.38</v>
      </c>
      <c r="H81" s="51" t="str">
        <f t="shared" si="4"/>
        <v>₹9,790.70</v>
      </c>
      <c r="I81" s="51" t="str">
        <f>46732.81-H81</f>
        <v>₹36,942.11</v>
      </c>
    </row>
    <row r="82" ht="15.75" customHeight="1">
      <c r="A82" s="53" t="s">
        <v>110</v>
      </c>
      <c r="B82" s="53" t="s">
        <v>51</v>
      </c>
      <c r="C82" s="53" t="s">
        <v>54</v>
      </c>
      <c r="D82" s="54">
        <v>58319.3</v>
      </c>
      <c r="E82" s="54" t="str">
        <f t="shared" si="1"/>
        <v>₹699,831.60</v>
      </c>
      <c r="F82" s="55" t="str">
        <f t="shared" si="2"/>
        <v>20.0%</v>
      </c>
      <c r="G82" s="54" t="str">
        <f t="shared" si="3"/>
        <v>₹139,966.32</v>
      </c>
      <c r="H82" s="54" t="str">
        <f t="shared" si="4"/>
        <v>₹11,663.86</v>
      </c>
      <c r="I82" s="54" t="str">
        <f>46833.91-H82</f>
        <v>₹35,170.05</v>
      </c>
    </row>
    <row r="83" ht="15.75" customHeight="1">
      <c r="A83" s="50" t="s">
        <v>111</v>
      </c>
      <c r="B83" s="50" t="s">
        <v>29</v>
      </c>
      <c r="C83" s="50" t="s">
        <v>18</v>
      </c>
      <c r="D83" s="51">
        <v>106317.96</v>
      </c>
      <c r="E83" s="51" t="str">
        <f t="shared" si="1"/>
        <v>₹1,275,815.52</v>
      </c>
      <c r="F83" s="52" t="str">
        <f t="shared" si="2"/>
        <v>30.0%</v>
      </c>
      <c r="G83" s="51" t="str">
        <f t="shared" si="3"/>
        <v>₹382,744.66</v>
      </c>
      <c r="H83" s="51" t="str">
        <f t="shared" si="4"/>
        <v>₹31,895.39</v>
      </c>
      <c r="I83" s="51" t="str">
        <f>86514.39-H83</f>
        <v>₹54,619.00</v>
      </c>
    </row>
    <row r="84" ht="15.75" customHeight="1">
      <c r="A84" s="53" t="s">
        <v>112</v>
      </c>
      <c r="B84" s="53" t="s">
        <v>17</v>
      </c>
      <c r="C84" s="53" t="s">
        <v>14</v>
      </c>
      <c r="D84" s="54">
        <v>32879.35</v>
      </c>
      <c r="E84" s="54" t="str">
        <f t="shared" si="1"/>
        <v>₹394,552.20</v>
      </c>
      <c r="F84" s="55" t="str">
        <f t="shared" si="2"/>
        <v>5.0%</v>
      </c>
      <c r="G84" s="54" t="str">
        <f t="shared" si="3"/>
        <v>₹19,727.61</v>
      </c>
      <c r="H84" s="54" t="str">
        <f t="shared" si="4"/>
        <v>₹1,643.97</v>
      </c>
      <c r="I84" s="54" t="str">
        <f>28644.29-H84</f>
        <v>₹27,000.32</v>
      </c>
    </row>
    <row r="85" ht="15.75" customHeight="1">
      <c r="A85" s="50" t="s">
        <v>113</v>
      </c>
      <c r="B85" s="50" t="s">
        <v>17</v>
      </c>
      <c r="C85" s="50" t="s">
        <v>14</v>
      </c>
      <c r="D85" s="51">
        <v>30525.34</v>
      </c>
      <c r="E85" s="51" t="str">
        <f t="shared" si="1"/>
        <v>₹366,304.08</v>
      </c>
      <c r="F85" s="52" t="str">
        <f t="shared" si="2"/>
        <v>5.0%</v>
      </c>
      <c r="G85" s="51" t="str">
        <f t="shared" si="3"/>
        <v>₹18,315.20</v>
      </c>
      <c r="H85" s="51" t="str">
        <f t="shared" si="4"/>
        <v>₹1,526.27</v>
      </c>
      <c r="I85" s="51" t="str">
        <f>25265.24-H85</f>
        <v>₹23,738.97</v>
      </c>
    </row>
    <row r="86" ht="15.75" customHeight="1">
      <c r="A86" s="53" t="s">
        <v>114</v>
      </c>
      <c r="B86" s="53" t="s">
        <v>53</v>
      </c>
      <c r="C86" s="53" t="s">
        <v>37</v>
      </c>
      <c r="D86" s="54">
        <v>69676.14</v>
      </c>
      <c r="E86" s="54" t="str">
        <f t="shared" si="1"/>
        <v>₹836,113.68</v>
      </c>
      <c r="F86" s="55" t="str">
        <f t="shared" si="2"/>
        <v>20.0%</v>
      </c>
      <c r="G86" s="54" t="str">
        <f t="shared" si="3"/>
        <v>₹167,222.74</v>
      </c>
      <c r="H86" s="54" t="str">
        <f t="shared" si="4"/>
        <v>₹13,935.23</v>
      </c>
      <c r="I86" s="54" t="str">
        <f>66991.38-H86</f>
        <v>₹53,056.15</v>
      </c>
    </row>
    <row r="87" ht="15.75" customHeight="1">
      <c r="A87" s="50" t="s">
        <v>115</v>
      </c>
      <c r="B87" s="50" t="s">
        <v>13</v>
      </c>
      <c r="C87" s="50" t="s">
        <v>54</v>
      </c>
      <c r="D87" s="51">
        <v>52014.19</v>
      </c>
      <c r="E87" s="51" t="str">
        <f t="shared" si="1"/>
        <v>₹624,170.28</v>
      </c>
      <c r="F87" s="52" t="str">
        <f t="shared" si="2"/>
        <v>20.0%</v>
      </c>
      <c r="G87" s="51" t="str">
        <f t="shared" si="3"/>
        <v>₹124,834.06</v>
      </c>
      <c r="H87" s="51" t="str">
        <f t="shared" si="4"/>
        <v>₹10,402.84</v>
      </c>
      <c r="I87" s="51" t="str">
        <f>46356.62-H87</f>
        <v>₹35,953.78</v>
      </c>
    </row>
    <row r="88" ht="15.75" customHeight="1">
      <c r="A88" s="53" t="s">
        <v>116</v>
      </c>
      <c r="B88" s="53" t="s">
        <v>13</v>
      </c>
      <c r="C88" s="53" t="s">
        <v>18</v>
      </c>
      <c r="D88" s="54">
        <v>113172.26</v>
      </c>
      <c r="E88" s="54" t="str">
        <f t="shared" si="1"/>
        <v>₹1,358,067.12</v>
      </c>
      <c r="F88" s="55" t="str">
        <f t="shared" si="2"/>
        <v>30.0%</v>
      </c>
      <c r="G88" s="54" t="str">
        <f t="shared" si="3"/>
        <v>₹407,420.14</v>
      </c>
      <c r="H88" s="54" t="str">
        <f t="shared" si="4"/>
        <v>₹33,951.68</v>
      </c>
      <c r="I88" s="54" t="str">
        <f>111441.74-H88</f>
        <v>₹77,490.06</v>
      </c>
    </row>
    <row r="89" ht="15.75" customHeight="1">
      <c r="A89" s="50" t="s">
        <v>117</v>
      </c>
      <c r="B89" s="50" t="s">
        <v>29</v>
      </c>
      <c r="C89" s="50" t="s">
        <v>37</v>
      </c>
      <c r="D89" s="51">
        <v>74436.1</v>
      </c>
      <c r="E89" s="51" t="str">
        <f t="shared" si="1"/>
        <v>₹893,233.20</v>
      </c>
      <c r="F89" s="52" t="str">
        <f t="shared" si="2"/>
        <v>20.0%</v>
      </c>
      <c r="G89" s="51" t="str">
        <f t="shared" si="3"/>
        <v>₹178,646.64</v>
      </c>
      <c r="H89" s="51" t="str">
        <f t="shared" si="4"/>
        <v>₹14,887.22</v>
      </c>
      <c r="I89" s="51" t="str">
        <f>63499.33-H89</f>
        <v>₹48,612.11</v>
      </c>
    </row>
    <row r="90" ht="15.75" customHeight="1">
      <c r="A90" s="53" t="s">
        <v>118</v>
      </c>
      <c r="B90" s="53" t="s">
        <v>53</v>
      </c>
      <c r="C90" s="53" t="s">
        <v>33</v>
      </c>
      <c r="D90" s="54">
        <v>43235.58</v>
      </c>
      <c r="E90" s="54" t="str">
        <f t="shared" si="1"/>
        <v>₹518,826.96</v>
      </c>
      <c r="F90" s="55" t="str">
        <f t="shared" si="2"/>
        <v>20.0%</v>
      </c>
      <c r="G90" s="54" t="str">
        <f t="shared" si="3"/>
        <v>₹103,765.39</v>
      </c>
      <c r="H90" s="54" t="str">
        <f t="shared" si="4"/>
        <v>₹8,647.12</v>
      </c>
      <c r="I90" s="54" t="str">
        <f>36611.63-H90</f>
        <v>₹27,964.51</v>
      </c>
    </row>
    <row r="91" ht="15.75" customHeight="1">
      <c r="A91" s="50" t="s">
        <v>119</v>
      </c>
      <c r="B91" s="50" t="s">
        <v>51</v>
      </c>
      <c r="C91" s="50" t="s">
        <v>30</v>
      </c>
      <c r="D91" s="51">
        <v>38243.37</v>
      </c>
      <c r="E91" s="51" t="str">
        <f t="shared" si="1"/>
        <v>₹458,920.44</v>
      </c>
      <c r="F91" s="52" t="str">
        <f t="shared" si="2"/>
        <v>5.0%</v>
      </c>
      <c r="G91" s="51" t="str">
        <f t="shared" si="3"/>
        <v>₹22,946.02</v>
      </c>
      <c r="H91" s="51" t="str">
        <f t="shared" si="4"/>
        <v>₹1,912.17</v>
      </c>
      <c r="I91" s="51" t="str">
        <f>33021.26-H91</f>
        <v>₹31,109.09</v>
      </c>
    </row>
    <row r="92" ht="15.75" customHeight="1">
      <c r="A92" s="53" t="s">
        <v>120</v>
      </c>
      <c r="B92" s="53" t="s">
        <v>53</v>
      </c>
      <c r="C92" s="53" t="s">
        <v>37</v>
      </c>
      <c r="D92" s="54">
        <v>71067.31</v>
      </c>
      <c r="E92" s="54" t="str">
        <f t="shared" si="1"/>
        <v>₹852,807.72</v>
      </c>
      <c r="F92" s="55" t="str">
        <f t="shared" si="2"/>
        <v>20.0%</v>
      </c>
      <c r="G92" s="54" t="str">
        <f t="shared" si="3"/>
        <v>₹170,561.54</v>
      </c>
      <c r="H92" s="54" t="str">
        <f t="shared" si="4"/>
        <v>₹14,213.46</v>
      </c>
      <c r="I92" s="54" t="str">
        <f>71061.17-H92</f>
        <v>₹56,847.71</v>
      </c>
    </row>
    <row r="93" ht="15.75" customHeight="1">
      <c r="A93" s="50" t="s">
        <v>121</v>
      </c>
      <c r="B93" s="50" t="s">
        <v>51</v>
      </c>
      <c r="C93" s="50" t="s">
        <v>54</v>
      </c>
      <c r="D93" s="51">
        <v>65382.17</v>
      </c>
      <c r="E93" s="51" t="str">
        <f t="shared" si="1"/>
        <v>₹784,586.04</v>
      </c>
      <c r="F93" s="52" t="str">
        <f t="shared" si="2"/>
        <v>20.0%</v>
      </c>
      <c r="G93" s="51" t="str">
        <f t="shared" si="3"/>
        <v>₹156,917.21</v>
      </c>
      <c r="H93" s="51" t="str">
        <f t="shared" si="4"/>
        <v>₹13,076.43</v>
      </c>
      <c r="I93" s="51" t="str">
        <f>60935.07-H93</f>
        <v>₹47,858.64</v>
      </c>
    </row>
    <row r="94" ht="15.75" customHeight="1">
      <c r="A94" s="53" t="s">
        <v>123</v>
      </c>
      <c r="B94" s="53" t="s">
        <v>36</v>
      </c>
      <c r="C94" s="53" t="s">
        <v>18</v>
      </c>
      <c r="D94" s="54">
        <v>98400.36</v>
      </c>
      <c r="E94" s="54" t="str">
        <f t="shared" si="1"/>
        <v>₹1,180,804.32</v>
      </c>
      <c r="F94" s="55" t="str">
        <f t="shared" si="2"/>
        <v>30.0%</v>
      </c>
      <c r="G94" s="54" t="str">
        <f t="shared" si="3"/>
        <v>₹354,241.30</v>
      </c>
      <c r="H94" s="54" t="str">
        <f t="shared" si="4"/>
        <v>₹29,520.11</v>
      </c>
      <c r="I94" s="54" t="str">
        <f>79325.18-H94</f>
        <v>₹49,805.07</v>
      </c>
    </row>
    <row r="95" ht="15.75" customHeight="1">
      <c r="A95" s="50" t="s">
        <v>124</v>
      </c>
      <c r="B95" s="50" t="s">
        <v>51</v>
      </c>
      <c r="C95" s="50" t="s">
        <v>18</v>
      </c>
      <c r="D95" s="51">
        <v>94294.24</v>
      </c>
      <c r="E95" s="51" t="str">
        <f t="shared" si="1"/>
        <v>₹1,131,530.88</v>
      </c>
      <c r="F95" s="52" t="str">
        <f t="shared" si="2"/>
        <v>30.0%</v>
      </c>
      <c r="G95" s="51" t="str">
        <f t="shared" si="3"/>
        <v>₹339,459.26</v>
      </c>
      <c r="H95" s="51" t="str">
        <f t="shared" si="4"/>
        <v>₹28,288.27</v>
      </c>
      <c r="I95" s="51" t="str">
        <f>81533.26-H95</f>
        <v>₹53,244.99</v>
      </c>
    </row>
    <row r="96" ht="15.75" customHeight="1">
      <c r="A96" s="53" t="s">
        <v>125</v>
      </c>
      <c r="B96" s="53" t="s">
        <v>17</v>
      </c>
      <c r="C96" s="53" t="s">
        <v>26</v>
      </c>
      <c r="D96" s="54">
        <v>167391.11</v>
      </c>
      <c r="E96" s="54" t="str">
        <f t="shared" si="1"/>
        <v>₹2,008,693.32</v>
      </c>
      <c r="F96" s="55" t="str">
        <f t="shared" si="2"/>
        <v>30.0%</v>
      </c>
      <c r="G96" s="54" t="str">
        <f t="shared" si="3"/>
        <v>₹602,608.00</v>
      </c>
      <c r="H96" s="54" t="str">
        <f t="shared" si="4"/>
        <v>₹50,217.33</v>
      </c>
      <c r="I96" s="54" t="str">
        <f>155818.18-H96</f>
        <v>₹105,600.85</v>
      </c>
    </row>
    <row r="97" ht="15.75" customHeight="1">
      <c r="A97" s="50" t="s">
        <v>126</v>
      </c>
      <c r="B97" s="50" t="s">
        <v>51</v>
      </c>
      <c r="C97" s="50" t="s">
        <v>14</v>
      </c>
      <c r="D97" s="51">
        <v>27440.21</v>
      </c>
      <c r="E97" s="51" t="str">
        <f t="shared" si="1"/>
        <v>₹329,282.52</v>
      </c>
      <c r="F97" s="52" t="str">
        <f t="shared" si="2"/>
        <v>5.0%</v>
      </c>
      <c r="G97" s="51" t="str">
        <f t="shared" si="3"/>
        <v>₹16,464.13</v>
      </c>
      <c r="H97" s="51" t="str">
        <f t="shared" si="4"/>
        <v>₹1,372.01</v>
      </c>
      <c r="I97" s="51" t="str">
        <f>24078.31-H97</f>
        <v>₹22,706.30</v>
      </c>
    </row>
    <row r="98" ht="15.75" customHeight="1">
      <c r="A98" s="53" t="s">
        <v>127</v>
      </c>
      <c r="B98" s="53" t="s">
        <v>36</v>
      </c>
      <c r="C98" s="53" t="s">
        <v>54</v>
      </c>
      <c r="D98" s="54">
        <v>67085.74</v>
      </c>
      <c r="E98" s="54" t="str">
        <f t="shared" si="1"/>
        <v>₹805,028.88</v>
      </c>
      <c r="F98" s="55" t="str">
        <f t="shared" si="2"/>
        <v>20.0%</v>
      </c>
      <c r="G98" s="54" t="str">
        <f t="shared" si="3"/>
        <v>₹161,005.78</v>
      </c>
      <c r="H98" s="54" t="str">
        <f t="shared" si="4"/>
        <v>₹13,417.15</v>
      </c>
      <c r="I98" s="54" t="str">
        <f>56869.59-H98</f>
        <v>₹43,452.44</v>
      </c>
    </row>
    <row r="99" ht="15.75" customHeight="1">
      <c r="A99" s="50" t="s">
        <v>128</v>
      </c>
      <c r="B99" s="50" t="s">
        <v>36</v>
      </c>
      <c r="C99" s="50" t="s">
        <v>54</v>
      </c>
      <c r="D99" s="51">
        <v>54981.11</v>
      </c>
      <c r="E99" s="51" t="str">
        <f t="shared" si="1"/>
        <v>₹659,773.32</v>
      </c>
      <c r="F99" s="52" t="str">
        <f t="shared" si="2"/>
        <v>20.0%</v>
      </c>
      <c r="G99" s="51" t="str">
        <f t="shared" si="3"/>
        <v>₹131,954.66</v>
      </c>
      <c r="H99" s="51" t="str">
        <f t="shared" si="4"/>
        <v>₹10,996.22</v>
      </c>
      <c r="I99" s="51" t="str">
        <f>54917.21-H99</f>
        <v>₹43,920.99</v>
      </c>
    </row>
    <row r="100" ht="15.75" customHeight="1">
      <c r="A100" s="53" t="s">
        <v>129</v>
      </c>
      <c r="B100" s="53" t="s">
        <v>25</v>
      </c>
      <c r="C100" s="53" t="s">
        <v>54</v>
      </c>
      <c r="D100" s="54">
        <v>55604.4</v>
      </c>
      <c r="E100" s="54" t="str">
        <f t="shared" si="1"/>
        <v>₹667,252.80</v>
      </c>
      <c r="F100" s="55" t="str">
        <f t="shared" si="2"/>
        <v>20.0%</v>
      </c>
      <c r="G100" s="54" t="str">
        <f t="shared" si="3"/>
        <v>₹133,450.56</v>
      </c>
      <c r="H100" s="54" t="str">
        <f t="shared" si="4"/>
        <v>₹11,120.88</v>
      </c>
      <c r="I100" s="54" t="str">
        <f>47657.69-H100</f>
        <v>₹36,536.81</v>
      </c>
    </row>
    <row r="101" ht="15.75" customHeight="1">
      <c r="A101" s="50" t="s">
        <v>130</v>
      </c>
      <c r="B101" s="50" t="s">
        <v>17</v>
      </c>
      <c r="C101" s="50" t="s">
        <v>37</v>
      </c>
      <c r="D101" s="51">
        <v>72727.32</v>
      </c>
      <c r="E101" s="51" t="str">
        <f t="shared" si="1"/>
        <v>₹872,727.84</v>
      </c>
      <c r="F101" s="52" t="str">
        <f t="shared" si="2"/>
        <v>20.0%</v>
      </c>
      <c r="G101" s="51" t="str">
        <f t="shared" si="3"/>
        <v>₹174,545.57</v>
      </c>
      <c r="H101" s="51" t="str">
        <f t="shared" si="4"/>
        <v>₹14,545.46</v>
      </c>
      <c r="I101" s="51" t="str">
        <f>65950.84-H101</f>
        <v>₹51,405.38</v>
      </c>
    </row>
    <row r="102" ht="15.75" customHeight="1">
      <c r="A102" s="53" t="s">
        <v>131</v>
      </c>
      <c r="B102" s="53" t="s">
        <v>13</v>
      </c>
      <c r="C102" s="53" t="s">
        <v>37</v>
      </c>
      <c r="D102" s="54">
        <v>89093.42</v>
      </c>
      <c r="E102" s="54" t="str">
        <f t="shared" si="1"/>
        <v>₹1,069,121.04</v>
      </c>
      <c r="F102" s="55" t="str">
        <f t="shared" si="2"/>
        <v>30.0%</v>
      </c>
      <c r="G102" s="54" t="str">
        <f t="shared" si="3"/>
        <v>₹320,736.31</v>
      </c>
      <c r="H102" s="54" t="str">
        <f t="shared" si="4"/>
        <v>₹26,728.03</v>
      </c>
      <c r="I102" s="54" t="str">
        <f>71199.79-H102</f>
        <v>₹44,471.76</v>
      </c>
    </row>
    <row r="103" ht="15.75" customHeight="1">
      <c r="A103" s="50" t="s">
        <v>132</v>
      </c>
      <c r="B103" s="50" t="s">
        <v>53</v>
      </c>
      <c r="C103" s="50" t="s">
        <v>26</v>
      </c>
      <c r="D103" s="51">
        <v>162362.16</v>
      </c>
      <c r="E103" s="51" t="str">
        <f t="shared" si="1"/>
        <v>₹1,948,345.92</v>
      </c>
      <c r="F103" s="52" t="str">
        <f t="shared" si="2"/>
        <v>30.0%</v>
      </c>
      <c r="G103" s="51" t="str">
        <f t="shared" si="3"/>
        <v>₹584,503.78</v>
      </c>
      <c r="H103" s="51" t="str">
        <f t="shared" si="4"/>
        <v>₹48,708.65</v>
      </c>
      <c r="I103" s="51" t="str">
        <f>133484.8-H103</f>
        <v>₹84,776.15</v>
      </c>
    </row>
    <row r="104" ht="15.75" customHeight="1">
      <c r="A104" s="53" t="s">
        <v>133</v>
      </c>
      <c r="B104" s="53" t="s">
        <v>36</v>
      </c>
      <c r="C104" s="53" t="s">
        <v>30</v>
      </c>
      <c r="D104" s="54">
        <v>39817.26</v>
      </c>
      <c r="E104" s="54" t="str">
        <f t="shared" si="1"/>
        <v>₹477,807.12</v>
      </c>
      <c r="F104" s="55" t="str">
        <f t="shared" si="2"/>
        <v>5.0%</v>
      </c>
      <c r="G104" s="54" t="str">
        <f t="shared" si="3"/>
        <v>₹23,890.36</v>
      </c>
      <c r="H104" s="54" t="str">
        <f t="shared" si="4"/>
        <v>₹1,990.86</v>
      </c>
      <c r="I104" s="54" t="str">
        <f>37597.74-H104</f>
        <v>₹35,606.88</v>
      </c>
    </row>
    <row r="105" ht="15.75" customHeight="1">
      <c r="A105" s="50" t="s">
        <v>135</v>
      </c>
      <c r="B105" s="50" t="s">
        <v>25</v>
      </c>
      <c r="C105" s="50" t="s">
        <v>18</v>
      </c>
      <c r="D105" s="51">
        <v>105104.33</v>
      </c>
      <c r="E105" s="51" t="str">
        <f t="shared" si="1"/>
        <v>₹1,261,251.96</v>
      </c>
      <c r="F105" s="52" t="str">
        <f t="shared" si="2"/>
        <v>30.0%</v>
      </c>
      <c r="G105" s="51" t="str">
        <f t="shared" si="3"/>
        <v>₹378,375.59</v>
      </c>
      <c r="H105" s="51" t="str">
        <f t="shared" si="4"/>
        <v>₹31,531.30</v>
      </c>
      <c r="I105" s="51" t="str">
        <f>94606.49-H105</f>
        <v>₹63,075.19</v>
      </c>
    </row>
    <row r="106" ht="15.75" customHeight="1">
      <c r="A106" s="53" t="s">
        <v>136</v>
      </c>
      <c r="B106" s="53" t="s">
        <v>29</v>
      </c>
      <c r="C106" s="53" t="s">
        <v>54</v>
      </c>
      <c r="D106" s="54">
        <v>48972.29</v>
      </c>
      <c r="E106" s="54" t="str">
        <f t="shared" si="1"/>
        <v>₹587,667.48</v>
      </c>
      <c r="F106" s="55" t="str">
        <f t="shared" si="2"/>
        <v>20.0%</v>
      </c>
      <c r="G106" s="54" t="str">
        <f t="shared" si="3"/>
        <v>₹117,533.50</v>
      </c>
      <c r="H106" s="54" t="str">
        <f t="shared" si="4"/>
        <v>₹9,794.46</v>
      </c>
      <c r="I106" s="54" t="str">
        <f>46030.86-H106</f>
        <v>₹36,236.40</v>
      </c>
    </row>
    <row r="107" ht="15.75" customHeight="1">
      <c r="A107" s="50" t="s">
        <v>137</v>
      </c>
      <c r="B107" s="50" t="s">
        <v>51</v>
      </c>
      <c r="C107" s="50" t="s">
        <v>14</v>
      </c>
      <c r="D107" s="51">
        <v>28672.0</v>
      </c>
      <c r="E107" s="51" t="str">
        <f t="shared" si="1"/>
        <v>₹344,064.00</v>
      </c>
      <c r="F107" s="52" t="str">
        <f t="shared" si="2"/>
        <v>5.0%</v>
      </c>
      <c r="G107" s="51" t="str">
        <f t="shared" si="3"/>
        <v>₹17,203.20</v>
      </c>
      <c r="H107" s="51" t="str">
        <f t="shared" si="4"/>
        <v>₹1,433.60</v>
      </c>
      <c r="I107" s="51" t="str">
        <f>25738.49-H107</f>
        <v>₹24,304.89</v>
      </c>
    </row>
    <row r="108" ht="15.75" customHeight="1">
      <c r="A108" s="53" t="s">
        <v>138</v>
      </c>
      <c r="B108" s="53" t="s">
        <v>51</v>
      </c>
      <c r="C108" s="53" t="s">
        <v>26</v>
      </c>
      <c r="D108" s="54">
        <v>155686.98</v>
      </c>
      <c r="E108" s="54" t="str">
        <f t="shared" si="1"/>
        <v>₹1,868,243.76</v>
      </c>
      <c r="F108" s="55" t="str">
        <f t="shared" si="2"/>
        <v>30.0%</v>
      </c>
      <c r="G108" s="54" t="str">
        <f t="shared" si="3"/>
        <v>₹560,473.13</v>
      </c>
      <c r="H108" s="54" t="str">
        <f t="shared" si="4"/>
        <v>₹46,706.09</v>
      </c>
      <c r="I108" s="54" t="str">
        <f>137266.55-H108</f>
        <v>₹90,560.46</v>
      </c>
    </row>
    <row r="109" ht="15.75" customHeight="1">
      <c r="A109" s="50" t="s">
        <v>139</v>
      </c>
      <c r="B109" s="50" t="s">
        <v>17</v>
      </c>
      <c r="C109" s="50" t="s">
        <v>26</v>
      </c>
      <c r="D109" s="51">
        <v>172227.45</v>
      </c>
      <c r="E109" s="51" t="str">
        <f t="shared" si="1"/>
        <v>₹2,066,729.40</v>
      </c>
      <c r="F109" s="52" t="str">
        <f t="shared" si="2"/>
        <v>30.0%</v>
      </c>
      <c r="G109" s="51" t="str">
        <f t="shared" si="3"/>
        <v>₹620,018.82</v>
      </c>
      <c r="H109" s="51" t="str">
        <f t="shared" si="4"/>
        <v>₹51,668.24</v>
      </c>
      <c r="I109" s="51" t="str">
        <f>154812.4-H109</f>
        <v>₹103,144.17</v>
      </c>
    </row>
    <row r="110" ht="15.75" customHeight="1">
      <c r="A110" s="53" t="s">
        <v>140</v>
      </c>
      <c r="B110" s="53" t="s">
        <v>29</v>
      </c>
      <c r="C110" s="53" t="s">
        <v>26</v>
      </c>
      <c r="D110" s="54">
        <v>153804.57</v>
      </c>
      <c r="E110" s="54" t="str">
        <f t="shared" si="1"/>
        <v>₹1,845,654.84</v>
      </c>
      <c r="F110" s="55" t="str">
        <f t="shared" si="2"/>
        <v>30.0%</v>
      </c>
      <c r="G110" s="54" t="str">
        <f t="shared" si="3"/>
        <v>₹553,696.45</v>
      </c>
      <c r="H110" s="54" t="str">
        <f t="shared" si="4"/>
        <v>₹46,141.37</v>
      </c>
      <c r="I110" s="54" t="str">
        <f>127719.93-H110</f>
        <v>₹81,578.56</v>
      </c>
    </row>
    <row r="111" ht="15.75" customHeight="1">
      <c r="A111" s="50" t="s">
        <v>141</v>
      </c>
      <c r="B111" s="50" t="s">
        <v>13</v>
      </c>
      <c r="C111" s="50" t="s">
        <v>18</v>
      </c>
      <c r="D111" s="51">
        <v>112514.72</v>
      </c>
      <c r="E111" s="51" t="str">
        <f t="shared" si="1"/>
        <v>₹1,350,176.64</v>
      </c>
      <c r="F111" s="52" t="str">
        <f t="shared" si="2"/>
        <v>30.0%</v>
      </c>
      <c r="G111" s="51" t="str">
        <f t="shared" si="3"/>
        <v>₹405,052.99</v>
      </c>
      <c r="H111" s="51" t="str">
        <f t="shared" si="4"/>
        <v>₹33,754.42</v>
      </c>
      <c r="I111" s="51" t="str">
        <f>107274.76-H111</f>
        <v>₹73,520.34</v>
      </c>
    </row>
    <row r="112" ht="15.75" customHeight="1">
      <c r="A112" s="53" t="s">
        <v>143</v>
      </c>
      <c r="B112" s="53" t="s">
        <v>29</v>
      </c>
      <c r="C112" s="53" t="s">
        <v>54</v>
      </c>
      <c r="D112" s="54">
        <v>57589.46</v>
      </c>
      <c r="E112" s="54" t="str">
        <f t="shared" si="1"/>
        <v>₹691,073.52</v>
      </c>
      <c r="F112" s="55" t="str">
        <f t="shared" si="2"/>
        <v>20.0%</v>
      </c>
      <c r="G112" s="54" t="str">
        <f t="shared" si="3"/>
        <v>₹138,214.70</v>
      </c>
      <c r="H112" s="54" t="str">
        <f t="shared" si="4"/>
        <v>₹11,517.89</v>
      </c>
      <c r="I112" s="54" t="str">
        <f>49201.99-H112</f>
        <v>₹37,684.10</v>
      </c>
    </row>
    <row r="113" ht="15.75" customHeight="1">
      <c r="A113" s="50" t="s">
        <v>144</v>
      </c>
      <c r="B113" s="50" t="s">
        <v>13</v>
      </c>
      <c r="C113" s="50" t="s">
        <v>30</v>
      </c>
      <c r="D113" s="51">
        <v>43621.63</v>
      </c>
      <c r="E113" s="51" t="str">
        <f t="shared" si="1"/>
        <v>₹523,459.56</v>
      </c>
      <c r="F113" s="52" t="str">
        <f t="shared" si="2"/>
        <v>20.0%</v>
      </c>
      <c r="G113" s="51" t="str">
        <f t="shared" si="3"/>
        <v>₹104,691.91</v>
      </c>
      <c r="H113" s="51" t="str">
        <f t="shared" si="4"/>
        <v>₹8,724.33</v>
      </c>
      <c r="I113" s="51" t="str">
        <f>34972.71-H113</f>
        <v>₹26,248.38</v>
      </c>
    </row>
    <row r="114" ht="15.75" customHeight="1">
      <c r="A114" s="53" t="s">
        <v>145</v>
      </c>
      <c r="B114" s="53" t="s">
        <v>17</v>
      </c>
      <c r="C114" s="53" t="s">
        <v>54</v>
      </c>
      <c r="D114" s="54">
        <v>62012.24</v>
      </c>
      <c r="E114" s="54" t="str">
        <f t="shared" si="1"/>
        <v>₹744,146.88</v>
      </c>
      <c r="F114" s="55" t="str">
        <f t="shared" si="2"/>
        <v>20.0%</v>
      </c>
      <c r="G114" s="54" t="str">
        <f t="shared" si="3"/>
        <v>₹148,829.38</v>
      </c>
      <c r="H114" s="54" t="str">
        <f t="shared" si="4"/>
        <v>₹12,402.45</v>
      </c>
      <c r="I114" s="54" t="str">
        <f>60922.1-H114</f>
        <v>₹48,519.65</v>
      </c>
    </row>
    <row r="115" ht="15.75" customHeight="1">
      <c r="A115" s="50" t="s">
        <v>146</v>
      </c>
      <c r="B115" s="50" t="s">
        <v>51</v>
      </c>
      <c r="C115" s="50" t="s">
        <v>26</v>
      </c>
      <c r="D115" s="51">
        <v>139679.76</v>
      </c>
      <c r="E115" s="51" t="str">
        <f t="shared" si="1"/>
        <v>₹1,676,157.12</v>
      </c>
      <c r="F115" s="52" t="str">
        <f t="shared" si="2"/>
        <v>30.0%</v>
      </c>
      <c r="G115" s="51" t="str">
        <f t="shared" si="3"/>
        <v>₹502,847.14</v>
      </c>
      <c r="H115" s="51" t="str">
        <f t="shared" si="4"/>
        <v>₹41,903.93</v>
      </c>
      <c r="I115" s="51" t="str">
        <f>127553.61-H115</f>
        <v>₹85,649.68</v>
      </c>
    </row>
    <row r="116" ht="15.75" customHeight="1">
      <c r="A116" s="53" t="s">
        <v>147</v>
      </c>
      <c r="B116" s="53" t="s">
        <v>36</v>
      </c>
      <c r="C116" s="53" t="s">
        <v>33</v>
      </c>
      <c r="D116" s="54">
        <v>41879.47</v>
      </c>
      <c r="E116" s="54" t="str">
        <f t="shared" si="1"/>
        <v>₹502,553.64</v>
      </c>
      <c r="F116" s="55" t="str">
        <f t="shared" si="2"/>
        <v>20.0%</v>
      </c>
      <c r="G116" s="54" t="str">
        <f t="shared" si="3"/>
        <v>₹100,510.73</v>
      </c>
      <c r="H116" s="54" t="str">
        <f t="shared" si="4"/>
        <v>₹8,375.89</v>
      </c>
      <c r="I116" s="54" t="str">
        <f>39510.81-H116</f>
        <v>₹31,134.92</v>
      </c>
    </row>
    <row r="117" ht="15.75" customHeight="1">
      <c r="A117" s="50" t="s">
        <v>148</v>
      </c>
      <c r="B117" s="50" t="s">
        <v>29</v>
      </c>
      <c r="C117" s="50" t="s">
        <v>26</v>
      </c>
      <c r="D117" s="51">
        <v>121193.54</v>
      </c>
      <c r="E117" s="51" t="str">
        <f t="shared" si="1"/>
        <v>₹1,454,322.48</v>
      </c>
      <c r="F117" s="52" t="str">
        <f t="shared" si="2"/>
        <v>30.0%</v>
      </c>
      <c r="G117" s="51" t="str">
        <f t="shared" si="3"/>
        <v>₹436,296.74</v>
      </c>
      <c r="H117" s="51" t="str">
        <f t="shared" si="4"/>
        <v>₹36,358.06</v>
      </c>
      <c r="I117" s="51" t="str">
        <f>106152.06-H117</f>
        <v>₹69,794.00</v>
      </c>
    </row>
    <row r="118" ht="15.75" customHeight="1">
      <c r="A118" s="53" t="s">
        <v>149</v>
      </c>
      <c r="B118" s="53" t="s">
        <v>51</v>
      </c>
      <c r="C118" s="53" t="s">
        <v>18</v>
      </c>
      <c r="D118" s="54">
        <v>99605.59</v>
      </c>
      <c r="E118" s="54" t="str">
        <f t="shared" si="1"/>
        <v>₹1,195,267.08</v>
      </c>
      <c r="F118" s="55" t="str">
        <f t="shared" si="2"/>
        <v>30.0%</v>
      </c>
      <c r="G118" s="54" t="str">
        <f t="shared" si="3"/>
        <v>₹358,580.12</v>
      </c>
      <c r="H118" s="54" t="str">
        <f t="shared" si="4"/>
        <v>₹29,881.68</v>
      </c>
      <c r="I118" s="54" t="str">
        <f>98799.01-H118</f>
        <v>₹68,917.33</v>
      </c>
    </row>
    <row r="119" ht="15.75" customHeight="1">
      <c r="A119" s="50" t="s">
        <v>150</v>
      </c>
      <c r="B119" s="50" t="s">
        <v>51</v>
      </c>
      <c r="C119" s="50" t="s">
        <v>30</v>
      </c>
      <c r="D119" s="51">
        <v>41852.39</v>
      </c>
      <c r="E119" s="51" t="str">
        <f t="shared" si="1"/>
        <v>₹502,228.68</v>
      </c>
      <c r="F119" s="52" t="str">
        <f t="shared" si="2"/>
        <v>20.0%</v>
      </c>
      <c r="G119" s="51" t="str">
        <f t="shared" si="3"/>
        <v>₹100,445.74</v>
      </c>
      <c r="H119" s="51" t="str">
        <f t="shared" si="4"/>
        <v>₹8,370.48</v>
      </c>
      <c r="I119" s="51" t="str">
        <f>39749.48-H119</f>
        <v>₹31,379.00</v>
      </c>
    </row>
    <row r="120" ht="15.75" customHeight="1">
      <c r="A120" s="53" t="s">
        <v>151</v>
      </c>
      <c r="B120" s="53" t="s">
        <v>51</v>
      </c>
      <c r="C120" s="53" t="s">
        <v>37</v>
      </c>
      <c r="D120" s="54">
        <v>81075.94</v>
      </c>
      <c r="E120" s="54" t="str">
        <f t="shared" si="1"/>
        <v>₹972,911.28</v>
      </c>
      <c r="F120" s="55" t="str">
        <f t="shared" si="2"/>
        <v>20.0%</v>
      </c>
      <c r="G120" s="54" t="str">
        <f t="shared" si="3"/>
        <v>₹194,582.26</v>
      </c>
      <c r="H120" s="54" t="str">
        <f t="shared" si="4"/>
        <v>₹16,215.19</v>
      </c>
      <c r="I120" s="54" t="str">
        <f>79154.18-H120</f>
        <v>₹62,938.99</v>
      </c>
    </row>
    <row r="121" ht="15.75" customHeight="1">
      <c r="A121" s="50" t="s">
        <v>152</v>
      </c>
      <c r="B121" s="50" t="s">
        <v>29</v>
      </c>
      <c r="C121" s="50" t="s">
        <v>14</v>
      </c>
      <c r="D121" s="51">
        <v>32934.53</v>
      </c>
      <c r="E121" s="51" t="str">
        <f t="shared" si="1"/>
        <v>₹395,214.36</v>
      </c>
      <c r="F121" s="52" t="str">
        <f t="shared" si="2"/>
        <v>5.0%</v>
      </c>
      <c r="G121" s="51" t="str">
        <f t="shared" si="3"/>
        <v>₹19,760.72</v>
      </c>
      <c r="H121" s="51" t="str">
        <f t="shared" si="4"/>
        <v>₹1,646.73</v>
      </c>
      <c r="I121" s="51" t="str">
        <f>29105.51-H121</f>
        <v>₹27,458.78</v>
      </c>
    </row>
    <row r="122" ht="15.75" customHeight="1">
      <c r="A122" s="53" t="s">
        <v>153</v>
      </c>
      <c r="B122" s="53" t="s">
        <v>36</v>
      </c>
      <c r="C122" s="53" t="s">
        <v>18</v>
      </c>
      <c r="D122" s="54">
        <v>99511.45</v>
      </c>
      <c r="E122" s="54" t="str">
        <f t="shared" si="1"/>
        <v>₹1,194,137.40</v>
      </c>
      <c r="F122" s="55" t="str">
        <f t="shared" si="2"/>
        <v>30.0%</v>
      </c>
      <c r="G122" s="54" t="str">
        <f t="shared" si="3"/>
        <v>₹358,241.22</v>
      </c>
      <c r="H122" s="54" t="str">
        <f t="shared" si="4"/>
        <v>₹29,853.44</v>
      </c>
      <c r="I122" s="54" t="str">
        <f>82030.43-H122</f>
        <v>₹52,177.00</v>
      </c>
    </row>
    <row r="123" ht="15.75" customHeight="1">
      <c r="A123" s="50" t="s">
        <v>154</v>
      </c>
      <c r="B123" s="50" t="s">
        <v>17</v>
      </c>
      <c r="C123" s="50" t="s">
        <v>18</v>
      </c>
      <c r="D123" s="51">
        <v>125079.21</v>
      </c>
      <c r="E123" s="51" t="str">
        <f t="shared" si="1"/>
        <v>₹1,500,950.52</v>
      </c>
      <c r="F123" s="52" t="str">
        <f t="shared" si="2"/>
        <v>30.0%</v>
      </c>
      <c r="G123" s="51" t="str">
        <f t="shared" si="3"/>
        <v>₹450,285.16</v>
      </c>
      <c r="H123" s="51" t="str">
        <f t="shared" si="4"/>
        <v>₹37,523.76</v>
      </c>
      <c r="I123" s="51" t="str">
        <f>109753.49-H123</f>
        <v>₹72,229.73</v>
      </c>
    </row>
    <row r="124" ht="15.75" customHeight="1">
      <c r="A124" s="53" t="s">
        <v>155</v>
      </c>
      <c r="B124" s="53" t="s">
        <v>25</v>
      </c>
      <c r="C124" s="53" t="s">
        <v>37</v>
      </c>
      <c r="D124" s="54">
        <v>80916.75</v>
      </c>
      <c r="E124" s="54" t="str">
        <f t="shared" si="1"/>
        <v>₹971,001.00</v>
      </c>
      <c r="F124" s="55" t="str">
        <f t="shared" si="2"/>
        <v>20.0%</v>
      </c>
      <c r="G124" s="54" t="str">
        <f t="shared" si="3"/>
        <v>₹194,200.20</v>
      </c>
      <c r="H124" s="54" t="str">
        <f t="shared" si="4"/>
        <v>₹16,183.35</v>
      </c>
      <c r="I124" s="54" t="str">
        <f>73323.22-H124</f>
        <v>₹57,139.87</v>
      </c>
    </row>
    <row r="125" ht="15.75" customHeight="1">
      <c r="A125" s="50" t="s">
        <v>156</v>
      </c>
      <c r="B125" s="50" t="s">
        <v>17</v>
      </c>
      <c r="C125" s="50" t="s">
        <v>37</v>
      </c>
      <c r="D125" s="51">
        <v>73795.87</v>
      </c>
      <c r="E125" s="51" t="str">
        <f t="shared" si="1"/>
        <v>₹885,550.44</v>
      </c>
      <c r="F125" s="52" t="str">
        <f t="shared" si="2"/>
        <v>20.0%</v>
      </c>
      <c r="G125" s="51" t="str">
        <f t="shared" si="3"/>
        <v>₹177,110.09</v>
      </c>
      <c r="H125" s="51" t="str">
        <f t="shared" si="4"/>
        <v>₹14,759.17</v>
      </c>
      <c r="I125" s="51" t="str">
        <f>66656.24-H125</f>
        <v>₹51,897.07</v>
      </c>
    </row>
    <row r="126" ht="15.75" customHeight="1">
      <c r="A126" s="53" t="s">
        <v>157</v>
      </c>
      <c r="B126" s="53" t="s">
        <v>17</v>
      </c>
      <c r="C126" s="53" t="s">
        <v>54</v>
      </c>
      <c r="D126" s="54">
        <v>69145.29</v>
      </c>
      <c r="E126" s="54" t="str">
        <f t="shared" si="1"/>
        <v>₹829,743.48</v>
      </c>
      <c r="F126" s="55" t="str">
        <f t="shared" si="2"/>
        <v>20.0%</v>
      </c>
      <c r="G126" s="54" t="str">
        <f t="shared" si="3"/>
        <v>₹165,948.70</v>
      </c>
      <c r="H126" s="54" t="str">
        <f t="shared" si="4"/>
        <v>₹13,829.06</v>
      </c>
      <c r="I126" s="54" t="str">
        <f>57099.77-H126</f>
        <v>₹43,270.71</v>
      </c>
    </row>
    <row r="127" ht="15.75" customHeight="1">
      <c r="A127" s="50" t="s">
        <v>158</v>
      </c>
      <c r="B127" s="50" t="s">
        <v>51</v>
      </c>
      <c r="C127" s="50" t="s">
        <v>54</v>
      </c>
      <c r="D127" s="51">
        <v>52615.24</v>
      </c>
      <c r="E127" s="51" t="str">
        <f t="shared" si="1"/>
        <v>₹631,382.88</v>
      </c>
      <c r="F127" s="52" t="str">
        <f t="shared" si="2"/>
        <v>20.0%</v>
      </c>
      <c r="G127" s="51" t="str">
        <f t="shared" si="3"/>
        <v>₹126,276.58</v>
      </c>
      <c r="H127" s="51" t="str">
        <f t="shared" si="4"/>
        <v>₹10,523.05</v>
      </c>
      <c r="I127" s="51" t="str">
        <f>45304.24-H127</f>
        <v>₹34,781.19</v>
      </c>
    </row>
    <row r="128" ht="15.75" customHeight="1">
      <c r="A128" s="53" t="s">
        <v>159</v>
      </c>
      <c r="B128" s="53" t="s">
        <v>25</v>
      </c>
      <c r="C128" s="53" t="s">
        <v>37</v>
      </c>
      <c r="D128" s="54">
        <v>82106.87</v>
      </c>
      <c r="E128" s="54" t="str">
        <f t="shared" si="1"/>
        <v>₹985,282.44</v>
      </c>
      <c r="F128" s="55" t="str">
        <f t="shared" si="2"/>
        <v>20.0%</v>
      </c>
      <c r="G128" s="54" t="str">
        <f t="shared" si="3"/>
        <v>₹197,056.49</v>
      </c>
      <c r="H128" s="54" t="str">
        <f t="shared" si="4"/>
        <v>₹16,421.37</v>
      </c>
      <c r="I128" s="54" t="str">
        <f>67505.35-H128</f>
        <v>₹51,083.98</v>
      </c>
    </row>
    <row r="129" ht="15.75" customHeight="1">
      <c r="A129" s="50" t="s">
        <v>160</v>
      </c>
      <c r="B129" s="50" t="s">
        <v>29</v>
      </c>
      <c r="C129" s="50" t="s">
        <v>33</v>
      </c>
      <c r="D129" s="51">
        <v>49141.01</v>
      </c>
      <c r="E129" s="51" t="str">
        <f t="shared" si="1"/>
        <v>₹589,692.12</v>
      </c>
      <c r="F129" s="52" t="str">
        <f t="shared" si="2"/>
        <v>20.0%</v>
      </c>
      <c r="G129" s="51" t="str">
        <f t="shared" si="3"/>
        <v>₹117,938.42</v>
      </c>
      <c r="H129" s="51" t="str">
        <f t="shared" si="4"/>
        <v>₹9,828.20</v>
      </c>
      <c r="I129" s="51" t="str">
        <f>48269.6-H129</f>
        <v>₹38,441.40</v>
      </c>
    </row>
    <row r="130" ht="15.75" customHeight="1">
      <c r="A130" s="53" t="s">
        <v>161</v>
      </c>
      <c r="B130" s="53" t="s">
        <v>51</v>
      </c>
      <c r="C130" s="53" t="s">
        <v>26</v>
      </c>
      <c r="D130" s="54">
        <v>151776.43</v>
      </c>
      <c r="E130" s="54" t="str">
        <f t="shared" si="1"/>
        <v>₹1,821,317.16</v>
      </c>
      <c r="F130" s="55" t="str">
        <f t="shared" si="2"/>
        <v>30.0%</v>
      </c>
      <c r="G130" s="54" t="str">
        <f t="shared" si="3"/>
        <v>₹546,395.15</v>
      </c>
      <c r="H130" s="54" t="str">
        <f t="shared" si="4"/>
        <v>₹45,532.93</v>
      </c>
      <c r="I130" s="54" t="str">
        <f>139641.63-H130</f>
        <v>₹94,108.70</v>
      </c>
    </row>
    <row r="131" ht="15.75" customHeight="1">
      <c r="A131" s="50" t="s">
        <v>162</v>
      </c>
      <c r="B131" s="50" t="s">
        <v>36</v>
      </c>
      <c r="C131" s="50" t="s">
        <v>26</v>
      </c>
      <c r="D131" s="51">
        <v>142127.48</v>
      </c>
      <c r="E131" s="51" t="str">
        <f t="shared" si="1"/>
        <v>₹1,705,529.76</v>
      </c>
      <c r="F131" s="52" t="str">
        <f t="shared" si="2"/>
        <v>30.0%</v>
      </c>
      <c r="G131" s="51" t="str">
        <f t="shared" si="3"/>
        <v>₹511,658.93</v>
      </c>
      <c r="H131" s="51" t="str">
        <f t="shared" si="4"/>
        <v>₹42,638.24</v>
      </c>
      <c r="I131" s="51" t="str">
        <f>131301.72-H131</f>
        <v>₹88,663.48</v>
      </c>
    </row>
    <row r="132" ht="15.75" customHeight="1">
      <c r="A132" s="53" t="s">
        <v>163</v>
      </c>
      <c r="B132" s="53" t="s">
        <v>36</v>
      </c>
      <c r="C132" s="53" t="s">
        <v>33</v>
      </c>
      <c r="D132" s="54">
        <v>48684.61</v>
      </c>
      <c r="E132" s="54" t="str">
        <f t="shared" si="1"/>
        <v>₹584,215.32</v>
      </c>
      <c r="F132" s="55" t="str">
        <f t="shared" si="2"/>
        <v>20.0%</v>
      </c>
      <c r="G132" s="54" t="str">
        <f t="shared" si="3"/>
        <v>₹116,843.06</v>
      </c>
      <c r="H132" s="54" t="str">
        <f t="shared" si="4"/>
        <v>₹9,736.92</v>
      </c>
      <c r="I132" s="54" t="str">
        <f>45882.98-H132</f>
        <v>₹36,146.06</v>
      </c>
    </row>
    <row r="133" ht="15.75" customHeight="1">
      <c r="A133" s="50" t="s">
        <v>164</v>
      </c>
      <c r="B133" s="50" t="s">
        <v>53</v>
      </c>
      <c r="C133" s="50" t="s">
        <v>30</v>
      </c>
      <c r="D133" s="51">
        <v>32856.24</v>
      </c>
      <c r="E133" s="51" t="str">
        <f t="shared" si="1"/>
        <v>₹394,274.88</v>
      </c>
      <c r="F133" s="52" t="str">
        <f t="shared" si="2"/>
        <v>5.0%</v>
      </c>
      <c r="G133" s="51" t="str">
        <f t="shared" si="3"/>
        <v>₹19,713.74</v>
      </c>
      <c r="H133" s="51" t="str">
        <f t="shared" si="4"/>
        <v>₹1,642.81</v>
      </c>
      <c r="I133" s="51" t="str">
        <f>29521.2-H133</f>
        <v>₹27,878.39</v>
      </c>
    </row>
    <row r="134" ht="15.75" customHeight="1">
      <c r="A134" s="53" t="s">
        <v>165</v>
      </c>
      <c r="B134" s="53" t="s">
        <v>13</v>
      </c>
      <c r="C134" s="53" t="s">
        <v>54</v>
      </c>
      <c r="D134" s="54">
        <v>61578.84</v>
      </c>
      <c r="E134" s="54" t="str">
        <f t="shared" si="1"/>
        <v>₹738,946.08</v>
      </c>
      <c r="F134" s="55" t="str">
        <f t="shared" si="2"/>
        <v>20.0%</v>
      </c>
      <c r="G134" s="54" t="str">
        <f t="shared" si="3"/>
        <v>₹147,789.22</v>
      </c>
      <c r="H134" s="54" t="str">
        <f t="shared" si="4"/>
        <v>₹12,315.77</v>
      </c>
      <c r="I134" s="54" t="str">
        <f>51101.98-H134</f>
        <v>₹38,786.21</v>
      </c>
    </row>
    <row r="135" ht="15.75" customHeight="1">
      <c r="A135" s="50" t="s">
        <v>166</v>
      </c>
      <c r="B135" s="50" t="s">
        <v>29</v>
      </c>
      <c r="C135" s="50" t="s">
        <v>30</v>
      </c>
      <c r="D135" s="51">
        <v>34470.06</v>
      </c>
      <c r="E135" s="51" t="str">
        <f t="shared" si="1"/>
        <v>₹413,640.72</v>
      </c>
      <c r="F135" s="52" t="str">
        <f t="shared" si="2"/>
        <v>5.0%</v>
      </c>
      <c r="G135" s="51" t="str">
        <f t="shared" si="3"/>
        <v>₹20,682.04</v>
      </c>
      <c r="H135" s="51" t="str">
        <f t="shared" si="4"/>
        <v>₹1,723.50</v>
      </c>
      <c r="I135" s="51" t="str">
        <f>29379.07-H135</f>
        <v>₹27,655.57</v>
      </c>
    </row>
    <row r="136" ht="15.75" customHeight="1">
      <c r="A136" s="53" t="s">
        <v>167</v>
      </c>
      <c r="B136" s="53" t="s">
        <v>36</v>
      </c>
      <c r="C136" s="53" t="s">
        <v>37</v>
      </c>
      <c r="D136" s="54">
        <v>75566.38</v>
      </c>
      <c r="E136" s="54" t="str">
        <f t="shared" si="1"/>
        <v>₹906,796.56</v>
      </c>
      <c r="F136" s="55" t="str">
        <f t="shared" si="2"/>
        <v>20.0%</v>
      </c>
      <c r="G136" s="54" t="str">
        <f t="shared" si="3"/>
        <v>₹181,359.31</v>
      </c>
      <c r="H136" s="54" t="str">
        <f t="shared" si="4"/>
        <v>₹15,113.28</v>
      </c>
      <c r="I136" s="54" t="str">
        <f>63357.67-H136</f>
        <v>₹48,244.39</v>
      </c>
    </row>
    <row r="137" ht="15.75" customHeight="1">
      <c r="A137" s="50" t="s">
        <v>168</v>
      </c>
      <c r="B137" s="50" t="s">
        <v>29</v>
      </c>
      <c r="C137" s="50" t="s">
        <v>18</v>
      </c>
      <c r="D137" s="51">
        <v>104546.16</v>
      </c>
      <c r="E137" s="51" t="str">
        <f t="shared" si="1"/>
        <v>₹1,254,553.92</v>
      </c>
      <c r="F137" s="52" t="str">
        <f t="shared" si="2"/>
        <v>30.0%</v>
      </c>
      <c r="G137" s="51" t="str">
        <f t="shared" si="3"/>
        <v>₹376,366.18</v>
      </c>
      <c r="H137" s="51" t="str">
        <f t="shared" si="4"/>
        <v>₹31,363.85</v>
      </c>
      <c r="I137" s="51" t="str">
        <f>99234.74-H137</f>
        <v>₹67,870.89</v>
      </c>
    </row>
    <row r="138" ht="15.75" customHeight="1">
      <c r="A138" s="53" t="s">
        <v>169</v>
      </c>
      <c r="B138" s="53" t="s">
        <v>51</v>
      </c>
      <c r="C138" s="53" t="s">
        <v>33</v>
      </c>
      <c r="D138" s="54">
        <v>36861.66</v>
      </c>
      <c r="E138" s="54" t="str">
        <f t="shared" si="1"/>
        <v>₹442,339.92</v>
      </c>
      <c r="F138" s="55" t="str">
        <f t="shared" si="2"/>
        <v>5.0%</v>
      </c>
      <c r="G138" s="54" t="str">
        <f t="shared" si="3"/>
        <v>₹22,117.00</v>
      </c>
      <c r="H138" s="54" t="str">
        <f t="shared" si="4"/>
        <v>₹1,843.08</v>
      </c>
      <c r="I138" s="54" t="str">
        <f>30871.87-H138</f>
        <v>₹29,028.79</v>
      </c>
    </row>
    <row r="139" ht="15.75" customHeight="1">
      <c r="A139" s="50" t="s">
        <v>170</v>
      </c>
      <c r="B139" s="50" t="s">
        <v>51</v>
      </c>
      <c r="C139" s="50" t="s">
        <v>30</v>
      </c>
      <c r="D139" s="51">
        <v>38625.67</v>
      </c>
      <c r="E139" s="51" t="str">
        <f t="shared" si="1"/>
        <v>₹463,508.04</v>
      </c>
      <c r="F139" s="52" t="str">
        <f t="shared" si="2"/>
        <v>5.0%</v>
      </c>
      <c r="G139" s="51" t="str">
        <f t="shared" si="3"/>
        <v>₹23,175.40</v>
      </c>
      <c r="H139" s="51" t="str">
        <f t="shared" si="4"/>
        <v>₹1,931.28</v>
      </c>
      <c r="I139" s="51" t="str">
        <f>33584.75-H139</f>
        <v>₹31,653.47</v>
      </c>
    </row>
    <row r="140" ht="15.75" customHeight="1">
      <c r="A140" s="53" t="s">
        <v>171</v>
      </c>
      <c r="B140" s="53" t="s">
        <v>53</v>
      </c>
      <c r="C140" s="53" t="s">
        <v>33</v>
      </c>
      <c r="D140" s="54">
        <v>51042.58</v>
      </c>
      <c r="E140" s="54" t="str">
        <f t="shared" si="1"/>
        <v>₹612,510.96</v>
      </c>
      <c r="F140" s="55" t="str">
        <f t="shared" si="2"/>
        <v>20.0%</v>
      </c>
      <c r="G140" s="54" t="str">
        <f t="shared" si="3"/>
        <v>₹122,502.19</v>
      </c>
      <c r="H140" s="54" t="str">
        <f t="shared" si="4"/>
        <v>₹10,208.52</v>
      </c>
      <c r="I140" s="54" t="str">
        <f>47949.31-H140</f>
        <v>₹37,740.79</v>
      </c>
    </row>
    <row r="141" ht="15.75" customHeight="1">
      <c r="A141" s="50" t="s">
        <v>172</v>
      </c>
      <c r="B141" s="50" t="s">
        <v>51</v>
      </c>
      <c r="C141" s="50" t="s">
        <v>33</v>
      </c>
      <c r="D141" s="51">
        <v>35369.71</v>
      </c>
      <c r="E141" s="51" t="str">
        <f t="shared" si="1"/>
        <v>₹424,436.52</v>
      </c>
      <c r="F141" s="52" t="str">
        <f t="shared" si="2"/>
        <v>5.0%</v>
      </c>
      <c r="G141" s="51" t="str">
        <f t="shared" si="3"/>
        <v>₹21,221.83</v>
      </c>
      <c r="H141" s="51" t="str">
        <f t="shared" si="4"/>
        <v>₹1,768.49</v>
      </c>
      <c r="I141" s="51" t="str">
        <f>33300.73-H141</f>
        <v>₹31,532.24</v>
      </c>
    </row>
    <row r="142" ht="15.75" customHeight="1">
      <c r="A142" s="53" t="s">
        <v>173</v>
      </c>
      <c r="B142" s="53" t="s">
        <v>53</v>
      </c>
      <c r="C142" s="53" t="s">
        <v>33</v>
      </c>
      <c r="D142" s="54">
        <v>42373.96</v>
      </c>
      <c r="E142" s="54" t="str">
        <f t="shared" si="1"/>
        <v>₹508,487.52</v>
      </c>
      <c r="F142" s="55" t="str">
        <f t="shared" si="2"/>
        <v>20.0%</v>
      </c>
      <c r="G142" s="54" t="str">
        <f t="shared" si="3"/>
        <v>₹101,697.50</v>
      </c>
      <c r="H142" s="54" t="str">
        <f t="shared" si="4"/>
        <v>₹8,474.79</v>
      </c>
      <c r="I142" s="54" t="str">
        <f>34043.46-H142</f>
        <v>₹25,568.67</v>
      </c>
    </row>
    <row r="143" ht="15.75" customHeight="1">
      <c r="A143" s="50" t="s">
        <v>174</v>
      </c>
      <c r="B143" s="50" t="s">
        <v>17</v>
      </c>
      <c r="C143" s="50" t="s">
        <v>26</v>
      </c>
      <c r="D143" s="51">
        <v>122717.24</v>
      </c>
      <c r="E143" s="51" t="str">
        <f t="shared" si="1"/>
        <v>₹1,472,606.88</v>
      </c>
      <c r="F143" s="52" t="str">
        <f t="shared" si="2"/>
        <v>30.0%</v>
      </c>
      <c r="G143" s="51" t="str">
        <f t="shared" si="3"/>
        <v>₹441,782.06</v>
      </c>
      <c r="H143" s="51" t="str">
        <f t="shared" si="4"/>
        <v>₹36,815.17</v>
      </c>
      <c r="I143" s="51" t="str">
        <f>109728.54-H143</f>
        <v>₹72,913.37</v>
      </c>
    </row>
    <row r="144" ht="15.75" customHeight="1">
      <c r="A144" s="53" t="s">
        <v>175</v>
      </c>
      <c r="B144" s="53" t="s">
        <v>51</v>
      </c>
      <c r="C144" s="53" t="s">
        <v>14</v>
      </c>
      <c r="D144" s="54">
        <v>29178.69</v>
      </c>
      <c r="E144" s="54" t="str">
        <f t="shared" si="1"/>
        <v>₹350,144.28</v>
      </c>
      <c r="F144" s="55" t="str">
        <f t="shared" si="2"/>
        <v>5.0%</v>
      </c>
      <c r="G144" s="54" t="str">
        <f t="shared" si="3"/>
        <v>₹17,507.21</v>
      </c>
      <c r="H144" s="54" t="str">
        <f t="shared" si="4"/>
        <v>₹1,458.93</v>
      </c>
      <c r="I144" s="54" t="str">
        <f>28500.4-H144</f>
        <v>₹27,041.47</v>
      </c>
    </row>
    <row r="145" ht="15.75" customHeight="1">
      <c r="A145" s="50" t="s">
        <v>176</v>
      </c>
      <c r="B145" s="50" t="s">
        <v>36</v>
      </c>
      <c r="C145" s="50" t="s">
        <v>54</v>
      </c>
      <c r="D145" s="51">
        <v>51384.99</v>
      </c>
      <c r="E145" s="51" t="str">
        <f t="shared" si="1"/>
        <v>₹616,619.88</v>
      </c>
      <c r="F145" s="52" t="str">
        <f t="shared" si="2"/>
        <v>20.0%</v>
      </c>
      <c r="G145" s="51" t="str">
        <f t="shared" si="3"/>
        <v>₹123,323.98</v>
      </c>
      <c r="H145" s="51" t="str">
        <f t="shared" si="4"/>
        <v>₹10,277.00</v>
      </c>
      <c r="I145" s="51" t="str">
        <f>50805.41-H145</f>
        <v>₹40,528.41</v>
      </c>
    </row>
    <row r="146" ht="15.75" customHeight="1">
      <c r="A146" s="53" t="s">
        <v>177</v>
      </c>
      <c r="B146" s="53" t="s">
        <v>25</v>
      </c>
      <c r="C146" s="53" t="s">
        <v>37</v>
      </c>
      <c r="D146" s="54">
        <v>81767.22</v>
      </c>
      <c r="E146" s="54" t="str">
        <f t="shared" si="1"/>
        <v>₹981,206.64</v>
      </c>
      <c r="F146" s="55" t="str">
        <f t="shared" si="2"/>
        <v>20.0%</v>
      </c>
      <c r="G146" s="54" t="str">
        <f t="shared" si="3"/>
        <v>₹196,241.33</v>
      </c>
      <c r="H146" s="54" t="str">
        <f t="shared" si="4"/>
        <v>₹16,353.44</v>
      </c>
      <c r="I146" s="54" t="str">
        <f>77144.59-H146</f>
        <v>₹60,791.15</v>
      </c>
    </row>
    <row r="147" ht="15.75" customHeight="1">
      <c r="A147" s="50" t="s">
        <v>178</v>
      </c>
      <c r="B147" s="50" t="s">
        <v>25</v>
      </c>
      <c r="C147" s="50" t="s">
        <v>54</v>
      </c>
      <c r="D147" s="51">
        <v>63412.6</v>
      </c>
      <c r="E147" s="51" t="str">
        <f t="shared" si="1"/>
        <v>₹760,951.20</v>
      </c>
      <c r="F147" s="52" t="str">
        <f t="shared" si="2"/>
        <v>20.0%</v>
      </c>
      <c r="G147" s="51" t="str">
        <f t="shared" si="3"/>
        <v>₹152,190.24</v>
      </c>
      <c r="H147" s="51" t="str">
        <f t="shared" si="4"/>
        <v>₹12,682.52</v>
      </c>
      <c r="I147" s="51" t="str">
        <f>60468.16-H147</f>
        <v>₹47,785.64</v>
      </c>
    </row>
    <row r="148" ht="15.75" customHeight="1">
      <c r="A148" s="53" t="s">
        <v>179</v>
      </c>
      <c r="B148" s="53" t="s">
        <v>36</v>
      </c>
      <c r="C148" s="53" t="s">
        <v>54</v>
      </c>
      <c r="D148" s="54">
        <v>64872.66</v>
      </c>
      <c r="E148" s="54" t="str">
        <f t="shared" si="1"/>
        <v>₹778,471.92</v>
      </c>
      <c r="F148" s="55" t="str">
        <f t="shared" si="2"/>
        <v>20.0%</v>
      </c>
      <c r="G148" s="54" t="str">
        <f t="shared" si="3"/>
        <v>₹155,694.38</v>
      </c>
      <c r="H148" s="54" t="str">
        <f t="shared" si="4"/>
        <v>₹12,974.53</v>
      </c>
      <c r="I148" s="54" t="str">
        <f>56447.5-H148</f>
        <v>₹43,472.97</v>
      </c>
    </row>
    <row r="149" ht="15.75" customHeight="1">
      <c r="A149" s="50" t="s">
        <v>180</v>
      </c>
      <c r="B149" s="50" t="s">
        <v>29</v>
      </c>
      <c r="C149" s="50" t="s">
        <v>37</v>
      </c>
      <c r="D149" s="51">
        <v>79881.67</v>
      </c>
      <c r="E149" s="51" t="str">
        <f t="shared" si="1"/>
        <v>₹958,580.04</v>
      </c>
      <c r="F149" s="52" t="str">
        <f t="shared" si="2"/>
        <v>20.0%</v>
      </c>
      <c r="G149" s="51" t="str">
        <f t="shared" si="3"/>
        <v>₹191,716.01</v>
      </c>
      <c r="H149" s="51" t="str">
        <f t="shared" si="4"/>
        <v>₹15,976.33</v>
      </c>
      <c r="I149" s="51" t="str">
        <f>67408.54-H149</f>
        <v>₹51,432.21</v>
      </c>
    </row>
    <row r="150" ht="15.75" customHeight="1">
      <c r="A150" s="53" t="s">
        <v>181</v>
      </c>
      <c r="B150" s="53" t="s">
        <v>13</v>
      </c>
      <c r="C150" s="53" t="s">
        <v>30</v>
      </c>
      <c r="D150" s="54">
        <v>32022.6</v>
      </c>
      <c r="E150" s="54" t="str">
        <f t="shared" si="1"/>
        <v>₹384,271.20</v>
      </c>
      <c r="F150" s="55" t="str">
        <f t="shared" si="2"/>
        <v>5.0%</v>
      </c>
      <c r="G150" s="54" t="str">
        <f t="shared" si="3"/>
        <v>₹19,213.56</v>
      </c>
      <c r="H150" s="54" t="str">
        <f t="shared" si="4"/>
        <v>₹1,601.13</v>
      </c>
      <c r="I150" s="54" t="str">
        <f>30271.9-H150</f>
        <v>₹28,670.77</v>
      </c>
    </row>
    <row r="151" ht="15.75" customHeight="1">
      <c r="A151" s="50" t="s">
        <v>182</v>
      </c>
      <c r="B151" s="50" t="s">
        <v>17</v>
      </c>
      <c r="C151" s="50" t="s">
        <v>30</v>
      </c>
      <c r="D151" s="51">
        <v>30614.95</v>
      </c>
      <c r="E151" s="51" t="str">
        <f t="shared" si="1"/>
        <v>₹367,379.40</v>
      </c>
      <c r="F151" s="52" t="str">
        <f t="shared" si="2"/>
        <v>5.0%</v>
      </c>
      <c r="G151" s="51" t="str">
        <f t="shared" si="3"/>
        <v>₹18,368.97</v>
      </c>
      <c r="H151" s="51" t="str">
        <f t="shared" si="4"/>
        <v>₹1,530.75</v>
      </c>
      <c r="I151" s="51" t="str">
        <f>26691.6-H151</f>
        <v>₹25,160.85</v>
      </c>
    </row>
    <row r="152" ht="15.75" customHeight="1">
      <c r="A152" s="53" t="s">
        <v>183</v>
      </c>
      <c r="B152" s="53" t="s">
        <v>17</v>
      </c>
      <c r="C152" s="53" t="s">
        <v>30</v>
      </c>
      <c r="D152" s="54">
        <v>33283.24</v>
      </c>
      <c r="E152" s="54" t="str">
        <f t="shared" si="1"/>
        <v>₹399,398.88</v>
      </c>
      <c r="F152" s="55" t="str">
        <f t="shared" si="2"/>
        <v>5.0%</v>
      </c>
      <c r="G152" s="54" t="str">
        <f t="shared" si="3"/>
        <v>₹19,969.94</v>
      </c>
      <c r="H152" s="54" t="str">
        <f t="shared" si="4"/>
        <v>₹1,664.16</v>
      </c>
      <c r="I152" s="54" t="str">
        <f>26956.02-H152</f>
        <v>₹25,291.86</v>
      </c>
    </row>
    <row r="153" ht="15.75" customHeight="1">
      <c r="A153" s="50" t="s">
        <v>184</v>
      </c>
      <c r="B153" s="50" t="s">
        <v>13</v>
      </c>
      <c r="C153" s="50" t="s">
        <v>30</v>
      </c>
      <c r="D153" s="51">
        <v>43917.07</v>
      </c>
      <c r="E153" s="51" t="str">
        <f t="shared" si="1"/>
        <v>₹527,004.84</v>
      </c>
      <c r="F153" s="52" t="str">
        <f t="shared" si="2"/>
        <v>20.0%</v>
      </c>
      <c r="G153" s="51" t="str">
        <f t="shared" si="3"/>
        <v>₹105,400.97</v>
      </c>
      <c r="H153" s="51" t="str">
        <f t="shared" si="4"/>
        <v>₹8,783.41</v>
      </c>
      <c r="I153" s="51" t="str">
        <f>38267.09-H153</f>
        <v>₹29,483.68</v>
      </c>
    </row>
    <row r="154" ht="15.75" customHeight="1">
      <c r="A154" s="53" t="s">
        <v>185</v>
      </c>
      <c r="B154" s="53" t="s">
        <v>25</v>
      </c>
      <c r="C154" s="53" t="s">
        <v>30</v>
      </c>
      <c r="D154" s="54">
        <v>36267.13</v>
      </c>
      <c r="E154" s="54" t="str">
        <f t="shared" si="1"/>
        <v>₹435,205.56</v>
      </c>
      <c r="F154" s="55" t="str">
        <f t="shared" si="2"/>
        <v>5.0%</v>
      </c>
      <c r="G154" s="54" t="str">
        <f t="shared" si="3"/>
        <v>₹21,760.28</v>
      </c>
      <c r="H154" s="54" t="str">
        <f t="shared" si="4"/>
        <v>₹1,813.36</v>
      </c>
      <c r="I154" s="54" t="str">
        <f>31265.86-H154</f>
        <v>₹29,452.50</v>
      </c>
    </row>
    <row r="155" ht="15.75" customHeight="1">
      <c r="A155" s="50" t="s">
        <v>186</v>
      </c>
      <c r="B155" s="50" t="s">
        <v>25</v>
      </c>
      <c r="C155" s="50" t="s">
        <v>30</v>
      </c>
      <c r="D155" s="51">
        <v>30167.84</v>
      </c>
      <c r="E155" s="51" t="str">
        <f t="shared" si="1"/>
        <v>₹362,014.08</v>
      </c>
      <c r="F155" s="52" t="str">
        <f t="shared" si="2"/>
        <v>5.0%</v>
      </c>
      <c r="G155" s="51" t="str">
        <f t="shared" si="3"/>
        <v>₹18,100.70</v>
      </c>
      <c r="H155" s="51" t="str">
        <f t="shared" si="4"/>
        <v>₹1,508.39</v>
      </c>
      <c r="I155" s="51" t="str">
        <f>28079.61-H155</f>
        <v>₹26,571.22</v>
      </c>
    </row>
    <row r="156" ht="15.75" customHeight="1">
      <c r="A156" s="53" t="s">
        <v>187</v>
      </c>
      <c r="B156" s="53" t="s">
        <v>25</v>
      </c>
      <c r="C156" s="53" t="s">
        <v>37</v>
      </c>
      <c r="D156" s="54">
        <v>85464.65</v>
      </c>
      <c r="E156" s="54" t="str">
        <f t="shared" si="1"/>
        <v>₹1,025,575.80</v>
      </c>
      <c r="F156" s="55" t="str">
        <f t="shared" si="2"/>
        <v>30.0%</v>
      </c>
      <c r="G156" s="54" t="str">
        <f t="shared" si="3"/>
        <v>₹307,672.74</v>
      </c>
      <c r="H156" s="54" t="str">
        <f t="shared" si="4"/>
        <v>₹25,639.40</v>
      </c>
      <c r="I156" s="54" t="str">
        <f>76805.72-H156</f>
        <v>₹51,166.33</v>
      </c>
    </row>
    <row r="157" ht="15.75" customHeight="1">
      <c r="A157" s="50" t="s">
        <v>188</v>
      </c>
      <c r="B157" s="50" t="s">
        <v>13</v>
      </c>
      <c r="C157" s="50" t="s">
        <v>54</v>
      </c>
      <c r="D157" s="51">
        <v>67481.01</v>
      </c>
      <c r="E157" s="51" t="str">
        <f t="shared" si="1"/>
        <v>₹809,772.12</v>
      </c>
      <c r="F157" s="52" t="str">
        <f t="shared" si="2"/>
        <v>20.0%</v>
      </c>
      <c r="G157" s="51" t="str">
        <f t="shared" si="3"/>
        <v>₹161,954.42</v>
      </c>
      <c r="H157" s="51" t="str">
        <f t="shared" si="4"/>
        <v>₹13,496.20</v>
      </c>
      <c r="I157" s="51" t="str">
        <f>60341.11-H157</f>
        <v>₹46,844.91</v>
      </c>
    </row>
    <row r="158" ht="15.75" customHeight="1">
      <c r="A158" s="53" t="s">
        <v>189</v>
      </c>
      <c r="B158" s="53" t="s">
        <v>17</v>
      </c>
      <c r="C158" s="53" t="s">
        <v>30</v>
      </c>
      <c r="D158" s="54">
        <v>44697.74</v>
      </c>
      <c r="E158" s="54" t="str">
        <f t="shared" si="1"/>
        <v>₹536,372.88</v>
      </c>
      <c r="F158" s="55" t="str">
        <f t="shared" si="2"/>
        <v>20.0%</v>
      </c>
      <c r="G158" s="54" t="str">
        <f t="shared" si="3"/>
        <v>₹107,274.58</v>
      </c>
      <c r="H158" s="54" t="str">
        <f t="shared" si="4"/>
        <v>₹8,939.55</v>
      </c>
      <c r="I158" s="54" t="str">
        <f>39440.74-H158</f>
        <v>₹30,501.19</v>
      </c>
    </row>
    <row r="159" ht="15.75" customHeight="1">
      <c r="A159" s="50" t="s">
        <v>191</v>
      </c>
      <c r="B159" s="50" t="s">
        <v>25</v>
      </c>
      <c r="C159" s="50" t="s">
        <v>18</v>
      </c>
      <c r="D159" s="51">
        <v>122216.62</v>
      </c>
      <c r="E159" s="51" t="str">
        <f t="shared" si="1"/>
        <v>₹1,466,599.44</v>
      </c>
      <c r="F159" s="52" t="str">
        <f t="shared" si="2"/>
        <v>30.0%</v>
      </c>
      <c r="G159" s="51" t="str">
        <f t="shared" si="3"/>
        <v>₹439,979.83</v>
      </c>
      <c r="H159" s="51" t="str">
        <f t="shared" si="4"/>
        <v>₹36,664.99</v>
      </c>
      <c r="I159" s="51" t="str">
        <f>102446.69-H159</f>
        <v>₹65,781.70</v>
      </c>
    </row>
    <row r="160" ht="15.75" customHeight="1">
      <c r="A160" s="53" t="s">
        <v>192</v>
      </c>
      <c r="B160" s="53" t="s">
        <v>36</v>
      </c>
      <c r="C160" s="53" t="s">
        <v>37</v>
      </c>
      <c r="D160" s="54">
        <v>84138.56</v>
      </c>
      <c r="E160" s="54" t="str">
        <f t="shared" si="1"/>
        <v>₹1,009,662.72</v>
      </c>
      <c r="F160" s="55" t="str">
        <f t="shared" si="2"/>
        <v>30.0%</v>
      </c>
      <c r="G160" s="54" t="str">
        <f t="shared" si="3"/>
        <v>₹302,898.82</v>
      </c>
      <c r="H160" s="54" t="str">
        <f t="shared" si="4"/>
        <v>₹25,241.57</v>
      </c>
      <c r="I160" s="54" t="str">
        <f>81049.95-H160</f>
        <v>₹55,808.38</v>
      </c>
    </row>
    <row r="161" ht="15.75" customHeight="1">
      <c r="A161" s="50" t="s">
        <v>193</v>
      </c>
      <c r="B161" s="50" t="s">
        <v>36</v>
      </c>
      <c r="C161" s="50" t="s">
        <v>18</v>
      </c>
      <c r="D161" s="51">
        <v>128722.25</v>
      </c>
      <c r="E161" s="51" t="str">
        <f t="shared" si="1"/>
        <v>₹1,544,667.00</v>
      </c>
      <c r="F161" s="52" t="str">
        <f t="shared" si="2"/>
        <v>30.0%</v>
      </c>
      <c r="G161" s="51" t="str">
        <f t="shared" si="3"/>
        <v>₹463,400.10</v>
      </c>
      <c r="H161" s="51" t="str">
        <f t="shared" si="4"/>
        <v>₹38,616.68</v>
      </c>
      <c r="I161" s="51" t="str">
        <f>116571.96-H161</f>
        <v>₹77,955.29</v>
      </c>
    </row>
    <row r="162" ht="15.75" customHeight="1">
      <c r="A162" s="53" t="s">
        <v>194</v>
      </c>
      <c r="B162" s="53" t="s">
        <v>29</v>
      </c>
      <c r="C162" s="53" t="s">
        <v>33</v>
      </c>
      <c r="D162" s="54">
        <v>46650.0</v>
      </c>
      <c r="E162" s="54" t="str">
        <f t="shared" si="1"/>
        <v>₹559,800.00</v>
      </c>
      <c r="F162" s="55" t="str">
        <f t="shared" si="2"/>
        <v>20.0%</v>
      </c>
      <c r="G162" s="54" t="str">
        <f t="shared" si="3"/>
        <v>₹111,960.00</v>
      </c>
      <c r="H162" s="54" t="str">
        <f t="shared" si="4"/>
        <v>₹9,330.00</v>
      </c>
      <c r="I162" s="54" t="str">
        <f>43513.43-H162</f>
        <v>₹34,183.43</v>
      </c>
    </row>
    <row r="163" ht="15.75" customHeight="1">
      <c r="A163" s="50" t="s">
        <v>195</v>
      </c>
      <c r="B163" s="50" t="s">
        <v>36</v>
      </c>
      <c r="C163" s="50" t="s">
        <v>33</v>
      </c>
      <c r="D163" s="51">
        <v>43646.52</v>
      </c>
      <c r="E163" s="51" t="str">
        <f t="shared" si="1"/>
        <v>₹523,758.24</v>
      </c>
      <c r="F163" s="52" t="str">
        <f t="shared" si="2"/>
        <v>20.0%</v>
      </c>
      <c r="G163" s="51" t="str">
        <f t="shared" si="3"/>
        <v>₹104,751.65</v>
      </c>
      <c r="H163" s="51" t="str">
        <f t="shared" si="4"/>
        <v>₹8,729.30</v>
      </c>
      <c r="I163" s="51" t="str">
        <f>36431.09-H163</f>
        <v>₹27,701.79</v>
      </c>
    </row>
    <row r="164" ht="15.75" customHeight="1">
      <c r="A164" s="53" t="s">
        <v>196</v>
      </c>
      <c r="B164" s="53" t="s">
        <v>36</v>
      </c>
      <c r="C164" s="53" t="s">
        <v>14</v>
      </c>
      <c r="D164" s="54">
        <v>27654.08</v>
      </c>
      <c r="E164" s="54" t="str">
        <f t="shared" si="1"/>
        <v>₹331,848.96</v>
      </c>
      <c r="F164" s="55" t="str">
        <f t="shared" si="2"/>
        <v>5.0%</v>
      </c>
      <c r="G164" s="54" t="str">
        <f t="shared" si="3"/>
        <v>₹16,592.45</v>
      </c>
      <c r="H164" s="54" t="str">
        <f t="shared" si="4"/>
        <v>₹1,382.70</v>
      </c>
      <c r="I164" s="54" t="str">
        <f>21755.98-H164</f>
        <v>₹20,373.28</v>
      </c>
    </row>
    <row r="165" ht="15.75" customHeight="1">
      <c r="A165" s="50" t="s">
        <v>198</v>
      </c>
      <c r="B165" s="50" t="s">
        <v>25</v>
      </c>
      <c r="C165" s="50" t="s">
        <v>37</v>
      </c>
      <c r="D165" s="51">
        <v>77817.08</v>
      </c>
      <c r="E165" s="51" t="str">
        <f t="shared" si="1"/>
        <v>₹933,804.96</v>
      </c>
      <c r="F165" s="52" t="str">
        <f t="shared" si="2"/>
        <v>20.0%</v>
      </c>
      <c r="G165" s="51" t="str">
        <f t="shared" si="3"/>
        <v>₹186,760.99</v>
      </c>
      <c r="H165" s="51" t="str">
        <f t="shared" si="4"/>
        <v>₹15,563.42</v>
      </c>
      <c r="I165" s="51" t="str">
        <f>62207.93-H165</f>
        <v>₹46,644.51</v>
      </c>
    </row>
    <row r="166" ht="15.75" customHeight="1">
      <c r="A166" s="53" t="s">
        <v>199</v>
      </c>
      <c r="B166" s="53" t="s">
        <v>36</v>
      </c>
      <c r="C166" s="53" t="s">
        <v>14</v>
      </c>
      <c r="D166" s="54">
        <v>26555.9</v>
      </c>
      <c r="E166" s="54" t="str">
        <f t="shared" si="1"/>
        <v>₹318,670.80</v>
      </c>
      <c r="F166" s="55" t="str">
        <f t="shared" si="2"/>
        <v>5.0%</v>
      </c>
      <c r="G166" s="54" t="str">
        <f t="shared" si="3"/>
        <v>₹15,933.54</v>
      </c>
      <c r="H166" s="54" t="str">
        <f t="shared" si="4"/>
        <v>₹1,327.80</v>
      </c>
      <c r="I166" s="54" t="str">
        <f>22164.61-H166</f>
        <v>₹20,836.82</v>
      </c>
    </row>
    <row r="167" ht="15.75" customHeight="1">
      <c r="A167" s="50" t="s">
        <v>200</v>
      </c>
      <c r="B167" s="50" t="s">
        <v>36</v>
      </c>
      <c r="C167" s="50" t="s">
        <v>26</v>
      </c>
      <c r="D167" s="51">
        <v>124321.68</v>
      </c>
      <c r="E167" s="51" t="str">
        <f t="shared" si="1"/>
        <v>₹1,491,860.16</v>
      </c>
      <c r="F167" s="52" t="str">
        <f t="shared" si="2"/>
        <v>30.0%</v>
      </c>
      <c r="G167" s="51" t="str">
        <f t="shared" si="3"/>
        <v>₹447,558.05</v>
      </c>
      <c r="H167" s="51" t="str">
        <f t="shared" si="4"/>
        <v>₹37,296.50</v>
      </c>
      <c r="I167" s="51" t="str">
        <f>120711.3-H167</f>
        <v>₹83,414.80</v>
      </c>
    </row>
    <row r="168" ht="15.75" customHeight="1">
      <c r="A168" s="53" t="s">
        <v>201</v>
      </c>
      <c r="B168" s="53" t="s">
        <v>36</v>
      </c>
      <c r="C168" s="53" t="s">
        <v>18</v>
      </c>
      <c r="D168" s="54">
        <v>101331.33</v>
      </c>
      <c r="E168" s="54" t="str">
        <f t="shared" si="1"/>
        <v>₹1,215,975.96</v>
      </c>
      <c r="F168" s="55" t="str">
        <f t="shared" si="2"/>
        <v>30.0%</v>
      </c>
      <c r="G168" s="54" t="str">
        <f t="shared" si="3"/>
        <v>₹364,792.79</v>
      </c>
      <c r="H168" s="54" t="str">
        <f t="shared" si="4"/>
        <v>₹30,399.40</v>
      </c>
      <c r="I168" s="54" t="str">
        <f>86663.94-H168</f>
        <v>₹56,264.54</v>
      </c>
    </row>
    <row r="169" ht="15.75" customHeight="1">
      <c r="A169" s="50" t="s">
        <v>202</v>
      </c>
      <c r="B169" s="50" t="s">
        <v>13</v>
      </c>
      <c r="C169" s="50" t="s">
        <v>30</v>
      </c>
      <c r="D169" s="51">
        <v>32222.63</v>
      </c>
      <c r="E169" s="51" t="str">
        <f t="shared" si="1"/>
        <v>₹386,671.56</v>
      </c>
      <c r="F169" s="52" t="str">
        <f t="shared" si="2"/>
        <v>5.0%</v>
      </c>
      <c r="G169" s="51" t="str">
        <f t="shared" si="3"/>
        <v>₹19,333.58</v>
      </c>
      <c r="H169" s="51" t="str">
        <f t="shared" si="4"/>
        <v>₹1,611.13</v>
      </c>
      <c r="I169" s="51" t="str">
        <f>29195.18-H169</f>
        <v>₹27,584.05</v>
      </c>
    </row>
    <row r="170" ht="15.75" customHeight="1">
      <c r="A170" s="53" t="s">
        <v>203</v>
      </c>
      <c r="B170" s="53" t="s">
        <v>25</v>
      </c>
      <c r="C170" s="53" t="s">
        <v>14</v>
      </c>
      <c r="D170" s="54">
        <v>28220.08</v>
      </c>
      <c r="E170" s="54" t="str">
        <f t="shared" si="1"/>
        <v>₹338,640.96</v>
      </c>
      <c r="F170" s="55" t="str">
        <f t="shared" si="2"/>
        <v>5.0%</v>
      </c>
      <c r="G170" s="54" t="str">
        <f t="shared" si="3"/>
        <v>₹16,932.05</v>
      </c>
      <c r="H170" s="54" t="str">
        <f t="shared" si="4"/>
        <v>₹1,411.00</v>
      </c>
      <c r="I170" s="54" t="str">
        <f>22897.09-H170</f>
        <v>₹21,486.09</v>
      </c>
    </row>
    <row r="171" ht="15.75" customHeight="1">
      <c r="A171" s="50" t="s">
        <v>204</v>
      </c>
      <c r="B171" s="50" t="s">
        <v>13</v>
      </c>
      <c r="C171" s="50" t="s">
        <v>33</v>
      </c>
      <c r="D171" s="51">
        <v>40760.74</v>
      </c>
      <c r="E171" s="51" t="str">
        <f t="shared" si="1"/>
        <v>₹489,128.88</v>
      </c>
      <c r="F171" s="52" t="str">
        <f t="shared" si="2"/>
        <v>5.0%</v>
      </c>
      <c r="G171" s="51" t="str">
        <f t="shared" si="3"/>
        <v>₹24,456.44</v>
      </c>
      <c r="H171" s="51" t="str">
        <f t="shared" si="4"/>
        <v>₹2,038.04</v>
      </c>
      <c r="I171" s="51" t="str">
        <f>33226.01-H171</f>
        <v>₹31,187.97</v>
      </c>
    </row>
    <row r="172" ht="15.75" customHeight="1">
      <c r="A172" s="53" t="s">
        <v>205</v>
      </c>
      <c r="B172" s="53" t="s">
        <v>51</v>
      </c>
      <c r="C172" s="53" t="s">
        <v>54</v>
      </c>
      <c r="D172" s="54">
        <v>58810.2</v>
      </c>
      <c r="E172" s="54" t="str">
        <f t="shared" si="1"/>
        <v>₹705,722.40</v>
      </c>
      <c r="F172" s="55" t="str">
        <f t="shared" si="2"/>
        <v>20.0%</v>
      </c>
      <c r="G172" s="54" t="str">
        <f t="shared" si="3"/>
        <v>₹141,144.48</v>
      </c>
      <c r="H172" s="54" t="str">
        <f t="shared" si="4"/>
        <v>₹11,762.04</v>
      </c>
      <c r="I172" s="54" t="str">
        <f>46996.17-H172</f>
        <v>₹35,234.13</v>
      </c>
    </row>
    <row r="173" ht="15.75" customHeight="1">
      <c r="A173" s="50" t="s">
        <v>206</v>
      </c>
      <c r="B173" s="50" t="s">
        <v>13</v>
      </c>
      <c r="C173" s="50" t="s">
        <v>30</v>
      </c>
      <c r="D173" s="51">
        <v>40120.04</v>
      </c>
      <c r="E173" s="51" t="str">
        <f t="shared" si="1"/>
        <v>₹481,440.48</v>
      </c>
      <c r="F173" s="52" t="str">
        <f t="shared" si="2"/>
        <v>5.0%</v>
      </c>
      <c r="G173" s="51" t="str">
        <f t="shared" si="3"/>
        <v>₹24,072.02</v>
      </c>
      <c r="H173" s="51" t="str">
        <f t="shared" si="4"/>
        <v>₹2,006.00</v>
      </c>
      <c r="I173" s="51" t="str">
        <f>33103.97-H173</f>
        <v>₹31,097.97</v>
      </c>
    </row>
    <row r="174" ht="15.75" customHeight="1">
      <c r="A174" s="53" t="s">
        <v>207</v>
      </c>
      <c r="B174" s="53" t="s">
        <v>29</v>
      </c>
      <c r="C174" s="53" t="s">
        <v>26</v>
      </c>
      <c r="D174" s="54">
        <v>158531.71</v>
      </c>
      <c r="E174" s="54" t="str">
        <f t="shared" si="1"/>
        <v>₹1,902,380.52</v>
      </c>
      <c r="F174" s="55" t="str">
        <f t="shared" si="2"/>
        <v>30.0%</v>
      </c>
      <c r="G174" s="54" t="str">
        <f t="shared" si="3"/>
        <v>₹570,714.16</v>
      </c>
      <c r="H174" s="54" t="str">
        <f t="shared" si="4"/>
        <v>₹47,559.51</v>
      </c>
      <c r="I174" s="54" t="str">
        <f>149344.09-H174</f>
        <v>₹101,784.58</v>
      </c>
    </row>
    <row r="175" ht="15.75" customHeight="1">
      <c r="A175" s="50" t="s">
        <v>208</v>
      </c>
      <c r="B175" s="50" t="s">
        <v>25</v>
      </c>
      <c r="C175" s="50" t="s">
        <v>37</v>
      </c>
      <c r="D175" s="51">
        <v>79387.45</v>
      </c>
      <c r="E175" s="51" t="str">
        <f t="shared" si="1"/>
        <v>₹952,649.40</v>
      </c>
      <c r="F175" s="52" t="str">
        <f t="shared" si="2"/>
        <v>20.0%</v>
      </c>
      <c r="G175" s="51" t="str">
        <f t="shared" si="3"/>
        <v>₹190,529.88</v>
      </c>
      <c r="H175" s="51" t="str">
        <f t="shared" si="4"/>
        <v>₹15,877.49</v>
      </c>
      <c r="I175" s="51" t="str">
        <f>64996.79-H175</f>
        <v>₹49,119.30</v>
      </c>
    </row>
    <row r="176" ht="15.75" customHeight="1">
      <c r="A176" s="53" t="s">
        <v>209</v>
      </c>
      <c r="B176" s="53" t="s">
        <v>29</v>
      </c>
      <c r="C176" s="53" t="s">
        <v>26</v>
      </c>
      <c r="D176" s="54">
        <v>139331.32</v>
      </c>
      <c r="E176" s="54" t="str">
        <f t="shared" si="1"/>
        <v>₹1,671,975.84</v>
      </c>
      <c r="F176" s="55" t="str">
        <f t="shared" si="2"/>
        <v>30.0%</v>
      </c>
      <c r="G176" s="54" t="str">
        <f t="shared" si="3"/>
        <v>₹501,592.75</v>
      </c>
      <c r="H176" s="54" t="str">
        <f t="shared" si="4"/>
        <v>₹41,799.40</v>
      </c>
      <c r="I176" s="54" t="str">
        <f>122727.78-H176</f>
        <v>₹80,928.38</v>
      </c>
    </row>
    <row r="177" ht="15.75" customHeight="1">
      <c r="A177" s="50" t="s">
        <v>210</v>
      </c>
      <c r="B177" s="50" t="s">
        <v>25</v>
      </c>
      <c r="C177" s="50" t="s">
        <v>26</v>
      </c>
      <c r="D177" s="51">
        <v>142892.48</v>
      </c>
      <c r="E177" s="51" t="str">
        <f t="shared" si="1"/>
        <v>₹1,714,709.76</v>
      </c>
      <c r="F177" s="52" t="str">
        <f t="shared" si="2"/>
        <v>30.0%</v>
      </c>
      <c r="G177" s="51" t="str">
        <f t="shared" si="3"/>
        <v>₹514,412.93</v>
      </c>
      <c r="H177" s="51" t="str">
        <f t="shared" si="4"/>
        <v>₹42,867.74</v>
      </c>
      <c r="I177" s="51" t="str">
        <f>128023.82-H177</f>
        <v>₹85,156.08</v>
      </c>
    </row>
    <row r="178" ht="15.75" customHeight="1">
      <c r="A178" s="53" t="s">
        <v>211</v>
      </c>
      <c r="B178" s="53" t="s">
        <v>36</v>
      </c>
      <c r="C178" s="53" t="s">
        <v>18</v>
      </c>
      <c r="D178" s="54">
        <v>122445.77</v>
      </c>
      <c r="E178" s="54" t="str">
        <f t="shared" si="1"/>
        <v>₹1,469,349.24</v>
      </c>
      <c r="F178" s="55" t="str">
        <f t="shared" si="2"/>
        <v>30.0%</v>
      </c>
      <c r="G178" s="54" t="str">
        <f t="shared" si="3"/>
        <v>₹440,804.77</v>
      </c>
      <c r="H178" s="54" t="str">
        <f t="shared" si="4"/>
        <v>₹36,733.73</v>
      </c>
      <c r="I178" s="54" t="str">
        <f>118539.6-H178</f>
        <v>₹81,805.87</v>
      </c>
    </row>
    <row r="179" ht="15.75" customHeight="1">
      <c r="A179" s="50" t="s">
        <v>212</v>
      </c>
      <c r="B179" s="50" t="s">
        <v>51</v>
      </c>
      <c r="C179" s="50" t="s">
        <v>37</v>
      </c>
      <c r="D179" s="51">
        <v>85230.99</v>
      </c>
      <c r="E179" s="51" t="str">
        <f t="shared" si="1"/>
        <v>₹1,022,771.88</v>
      </c>
      <c r="F179" s="52" t="str">
        <f t="shared" si="2"/>
        <v>30.0%</v>
      </c>
      <c r="G179" s="51" t="str">
        <f t="shared" si="3"/>
        <v>₹306,831.56</v>
      </c>
      <c r="H179" s="51" t="str">
        <f t="shared" si="4"/>
        <v>₹25,569.30</v>
      </c>
      <c r="I179" s="51" t="str">
        <f>83352.88-H179</f>
        <v>₹57,783.58</v>
      </c>
    </row>
    <row r="180" ht="15.75" customHeight="1">
      <c r="A180" s="53" t="s">
        <v>213</v>
      </c>
      <c r="B180" s="53" t="s">
        <v>17</v>
      </c>
      <c r="C180" s="53" t="s">
        <v>37</v>
      </c>
      <c r="D180" s="54">
        <v>79992.76</v>
      </c>
      <c r="E180" s="54" t="str">
        <f t="shared" si="1"/>
        <v>₹959,913.12</v>
      </c>
      <c r="F180" s="55" t="str">
        <f t="shared" si="2"/>
        <v>20.0%</v>
      </c>
      <c r="G180" s="54" t="str">
        <f t="shared" si="3"/>
        <v>₹191,982.62</v>
      </c>
      <c r="H180" s="54" t="str">
        <f t="shared" si="4"/>
        <v>₹15,998.55</v>
      </c>
      <c r="I180" s="54" t="str">
        <f>77337.94-H180</f>
        <v>₹61,339.39</v>
      </c>
    </row>
    <row r="181" ht="15.75" customHeight="1">
      <c r="A181" s="50" t="s">
        <v>214</v>
      </c>
      <c r="B181" s="50" t="s">
        <v>51</v>
      </c>
      <c r="C181" s="50" t="s">
        <v>14</v>
      </c>
      <c r="D181" s="51">
        <v>31938.81</v>
      </c>
      <c r="E181" s="51" t="str">
        <f t="shared" si="1"/>
        <v>₹383,265.72</v>
      </c>
      <c r="F181" s="52" t="str">
        <f t="shared" si="2"/>
        <v>5.0%</v>
      </c>
      <c r="G181" s="51" t="str">
        <f t="shared" si="3"/>
        <v>₹19,163.29</v>
      </c>
      <c r="H181" s="51" t="str">
        <f t="shared" si="4"/>
        <v>₹1,596.94</v>
      </c>
      <c r="I181" s="51" t="str">
        <f>29767.24-H181</f>
        <v>₹28,170.30</v>
      </c>
    </row>
    <row r="182" ht="15.75" customHeight="1">
      <c r="A182" s="53" t="s">
        <v>215</v>
      </c>
      <c r="B182" s="53" t="s">
        <v>36</v>
      </c>
      <c r="C182" s="53" t="s">
        <v>18</v>
      </c>
      <c r="D182" s="54">
        <v>91623.23</v>
      </c>
      <c r="E182" s="54" t="str">
        <f t="shared" si="1"/>
        <v>₹1,099,478.76</v>
      </c>
      <c r="F182" s="55" t="str">
        <f t="shared" si="2"/>
        <v>30.0%</v>
      </c>
      <c r="G182" s="54" t="str">
        <f t="shared" si="3"/>
        <v>₹329,843.63</v>
      </c>
      <c r="H182" s="54" t="str">
        <f t="shared" si="4"/>
        <v>₹27,486.97</v>
      </c>
      <c r="I182" s="54" t="str">
        <f>78050.8-H182</f>
        <v>₹50,563.83</v>
      </c>
    </row>
    <row r="183" ht="15.75" customHeight="1">
      <c r="A183" s="50" t="s">
        <v>216</v>
      </c>
      <c r="B183" s="50" t="s">
        <v>36</v>
      </c>
      <c r="C183" s="50" t="s">
        <v>33</v>
      </c>
      <c r="D183" s="51">
        <v>46198.07</v>
      </c>
      <c r="E183" s="51" t="str">
        <f t="shared" si="1"/>
        <v>₹554,376.84</v>
      </c>
      <c r="F183" s="52" t="str">
        <f t="shared" si="2"/>
        <v>20.0%</v>
      </c>
      <c r="G183" s="51" t="str">
        <f t="shared" si="3"/>
        <v>₹110,875.37</v>
      </c>
      <c r="H183" s="51" t="str">
        <f t="shared" si="4"/>
        <v>₹9,239.61</v>
      </c>
      <c r="I183" s="51" t="str">
        <f>41620.93-H183</f>
        <v>₹32,381.32</v>
      </c>
    </row>
    <row r="184" ht="15.75" customHeight="1">
      <c r="A184" s="53" t="s">
        <v>217</v>
      </c>
      <c r="B184" s="53" t="s">
        <v>17</v>
      </c>
      <c r="C184" s="53" t="s">
        <v>37</v>
      </c>
      <c r="D184" s="54">
        <v>65936.95</v>
      </c>
      <c r="E184" s="54" t="str">
        <f t="shared" si="1"/>
        <v>₹791,243.40</v>
      </c>
      <c r="F184" s="55" t="str">
        <f t="shared" si="2"/>
        <v>20.0%</v>
      </c>
      <c r="G184" s="54" t="str">
        <f t="shared" si="3"/>
        <v>₹158,248.68</v>
      </c>
      <c r="H184" s="54" t="str">
        <f t="shared" si="4"/>
        <v>₹13,187.39</v>
      </c>
      <c r="I184" s="54" t="str">
        <f>53164.15-H184</f>
        <v>₹39,976.76</v>
      </c>
    </row>
    <row r="185" ht="15.75" customHeight="1">
      <c r="A185" s="50" t="s">
        <v>218</v>
      </c>
      <c r="B185" s="50" t="s">
        <v>13</v>
      </c>
      <c r="C185" s="50" t="s">
        <v>14</v>
      </c>
      <c r="D185" s="51">
        <v>27877.88</v>
      </c>
      <c r="E185" s="51" t="str">
        <f t="shared" si="1"/>
        <v>₹334,534.56</v>
      </c>
      <c r="F185" s="52" t="str">
        <f t="shared" si="2"/>
        <v>5.0%</v>
      </c>
      <c r="G185" s="51" t="str">
        <f t="shared" si="3"/>
        <v>₹16,726.73</v>
      </c>
      <c r="H185" s="51" t="str">
        <f t="shared" si="4"/>
        <v>₹1,393.89</v>
      </c>
      <c r="I185" s="51" t="str">
        <f>23861.58-H185</f>
        <v>₹22,467.69</v>
      </c>
    </row>
    <row r="186" ht="15.75" customHeight="1">
      <c r="A186" s="53" t="s">
        <v>219</v>
      </c>
      <c r="B186" s="53" t="s">
        <v>36</v>
      </c>
      <c r="C186" s="53" t="s">
        <v>30</v>
      </c>
      <c r="D186" s="54">
        <v>41617.92</v>
      </c>
      <c r="E186" s="54" t="str">
        <f t="shared" si="1"/>
        <v>₹499,415.04</v>
      </c>
      <c r="F186" s="55" t="str">
        <f t="shared" si="2"/>
        <v>5.0%</v>
      </c>
      <c r="G186" s="54" t="str">
        <f t="shared" si="3"/>
        <v>₹24,970.75</v>
      </c>
      <c r="H186" s="54" t="str">
        <f t="shared" si="4"/>
        <v>₹2,080.90</v>
      </c>
      <c r="I186" s="54" t="str">
        <f>41230.12-H186</f>
        <v>₹39,149.22</v>
      </c>
    </row>
    <row r="187" ht="15.75" customHeight="1">
      <c r="A187" s="50" t="s">
        <v>220</v>
      </c>
      <c r="B187" s="50" t="s">
        <v>13</v>
      </c>
      <c r="C187" s="50" t="s">
        <v>26</v>
      </c>
      <c r="D187" s="51">
        <v>128804.88</v>
      </c>
      <c r="E187" s="51" t="str">
        <f t="shared" si="1"/>
        <v>₹1,545,658.56</v>
      </c>
      <c r="F187" s="52" t="str">
        <f t="shared" si="2"/>
        <v>30.0%</v>
      </c>
      <c r="G187" s="51" t="str">
        <f t="shared" si="3"/>
        <v>₹463,697.57</v>
      </c>
      <c r="H187" s="51" t="str">
        <f t="shared" si="4"/>
        <v>₹38,641.46</v>
      </c>
      <c r="I187" s="51" t="str">
        <f>111163.37-H187</f>
        <v>₹72,521.91</v>
      </c>
    </row>
    <row r="188" ht="15.75" customHeight="1">
      <c r="A188" s="53" t="s">
        <v>221</v>
      </c>
      <c r="B188" s="53" t="s">
        <v>53</v>
      </c>
      <c r="C188" s="53" t="s">
        <v>18</v>
      </c>
      <c r="D188" s="54">
        <v>105649.97</v>
      </c>
      <c r="E188" s="54" t="str">
        <f t="shared" si="1"/>
        <v>₹1,267,799.64</v>
      </c>
      <c r="F188" s="55" t="str">
        <f t="shared" si="2"/>
        <v>30.0%</v>
      </c>
      <c r="G188" s="54" t="str">
        <f t="shared" si="3"/>
        <v>₹380,339.89</v>
      </c>
      <c r="H188" s="54" t="str">
        <f t="shared" si="4"/>
        <v>₹31,694.99</v>
      </c>
      <c r="I188" s="54" t="str">
        <f>102590.33-H188</f>
        <v>₹70,895.34</v>
      </c>
    </row>
    <row r="189" ht="15.75" customHeight="1">
      <c r="A189" s="50" t="s">
        <v>222</v>
      </c>
      <c r="B189" s="50" t="s">
        <v>13</v>
      </c>
      <c r="C189" s="50" t="s">
        <v>33</v>
      </c>
      <c r="D189" s="51">
        <v>42421.53</v>
      </c>
      <c r="E189" s="51" t="str">
        <f t="shared" si="1"/>
        <v>₹509,058.36</v>
      </c>
      <c r="F189" s="52" t="str">
        <f t="shared" si="2"/>
        <v>20.0%</v>
      </c>
      <c r="G189" s="51" t="str">
        <f t="shared" si="3"/>
        <v>₹101,811.67</v>
      </c>
      <c r="H189" s="51" t="str">
        <f t="shared" si="4"/>
        <v>₹8,484.31</v>
      </c>
      <c r="I189" s="51" t="str">
        <f>34440.38-H189</f>
        <v>₹25,956.07</v>
      </c>
    </row>
    <row r="190" ht="15.75" customHeight="1">
      <c r="A190" s="53" t="s">
        <v>223</v>
      </c>
      <c r="B190" s="53" t="s">
        <v>29</v>
      </c>
      <c r="C190" s="53" t="s">
        <v>18</v>
      </c>
      <c r="D190" s="54">
        <v>104145.16</v>
      </c>
      <c r="E190" s="54" t="str">
        <f t="shared" si="1"/>
        <v>₹1,249,741.92</v>
      </c>
      <c r="F190" s="55" t="str">
        <f t="shared" si="2"/>
        <v>30.0%</v>
      </c>
      <c r="G190" s="54" t="str">
        <f t="shared" si="3"/>
        <v>₹374,922.58</v>
      </c>
      <c r="H190" s="54" t="str">
        <f t="shared" si="4"/>
        <v>₹31,243.55</v>
      </c>
      <c r="I190" s="54" t="str">
        <f>81683.09-H190</f>
        <v>₹50,439.54</v>
      </c>
    </row>
    <row r="191" ht="15.75" customHeight="1">
      <c r="A191" s="50" t="s">
        <v>224</v>
      </c>
      <c r="B191" s="50" t="s">
        <v>29</v>
      </c>
      <c r="C191" s="50" t="s">
        <v>18</v>
      </c>
      <c r="D191" s="51">
        <v>129443.99</v>
      </c>
      <c r="E191" s="51" t="str">
        <f t="shared" si="1"/>
        <v>₹1,553,327.88</v>
      </c>
      <c r="F191" s="52" t="str">
        <f t="shared" si="2"/>
        <v>30.0%</v>
      </c>
      <c r="G191" s="51" t="str">
        <f t="shared" si="3"/>
        <v>₹465,998.36</v>
      </c>
      <c r="H191" s="51" t="str">
        <f t="shared" si="4"/>
        <v>₹38,833.20</v>
      </c>
      <c r="I191" s="51" t="str">
        <f>117107.67-H191</f>
        <v>₹78,274.47</v>
      </c>
    </row>
    <row r="192" ht="15.75" customHeight="1">
      <c r="A192" s="53" t="s">
        <v>225</v>
      </c>
      <c r="B192" s="53" t="s">
        <v>51</v>
      </c>
      <c r="C192" s="53" t="s">
        <v>54</v>
      </c>
      <c r="D192" s="54">
        <v>62032.11</v>
      </c>
      <c r="E192" s="54" t="str">
        <f t="shared" si="1"/>
        <v>₹744,385.32</v>
      </c>
      <c r="F192" s="55" t="str">
        <f t="shared" si="2"/>
        <v>20.0%</v>
      </c>
      <c r="G192" s="54" t="str">
        <f t="shared" si="3"/>
        <v>₹148,877.06</v>
      </c>
      <c r="H192" s="54" t="str">
        <f t="shared" si="4"/>
        <v>₹12,406.42</v>
      </c>
      <c r="I192" s="54" t="str">
        <f>56660.97-H192</f>
        <v>₹44,254.55</v>
      </c>
    </row>
    <row r="193" ht="15.75" customHeight="1">
      <c r="A193" s="50" t="s">
        <v>226</v>
      </c>
      <c r="B193" s="50" t="s">
        <v>53</v>
      </c>
      <c r="C193" s="50" t="s">
        <v>33</v>
      </c>
      <c r="D193" s="51">
        <v>47467.3</v>
      </c>
      <c r="E193" s="51" t="str">
        <f t="shared" si="1"/>
        <v>₹569,607.60</v>
      </c>
      <c r="F193" s="52" t="str">
        <f t="shared" si="2"/>
        <v>20.0%</v>
      </c>
      <c r="G193" s="51" t="str">
        <f t="shared" si="3"/>
        <v>₹113,921.52</v>
      </c>
      <c r="H193" s="51" t="str">
        <f t="shared" si="4"/>
        <v>₹9,493.46</v>
      </c>
      <c r="I193" s="51" t="str">
        <f>32701.99-H193</f>
        <v>₹23,208.53</v>
      </c>
    </row>
    <row r="194" ht="15.75" customHeight="1">
      <c r="A194" s="53" t="s">
        <v>227</v>
      </c>
      <c r="B194" s="53" t="s">
        <v>36</v>
      </c>
      <c r="C194" s="53" t="s">
        <v>33</v>
      </c>
      <c r="D194" s="54">
        <v>36944.62</v>
      </c>
      <c r="E194" s="54" t="str">
        <f t="shared" si="1"/>
        <v>₹443,335.44</v>
      </c>
      <c r="F194" s="55" t="str">
        <f t="shared" si="2"/>
        <v>5.0%</v>
      </c>
      <c r="G194" s="54" t="str">
        <f t="shared" si="3"/>
        <v>₹22,166.77</v>
      </c>
      <c r="H194" s="54" t="str">
        <f t="shared" si="4"/>
        <v>₹1,847.23</v>
      </c>
      <c r="I194" s="54" t="str">
        <f>31088.37-H194</f>
        <v>₹29,241.14</v>
      </c>
    </row>
    <row r="195" ht="15.75" customHeight="1">
      <c r="A195" s="50" t="s">
        <v>228</v>
      </c>
      <c r="B195" s="50" t="s">
        <v>53</v>
      </c>
      <c r="C195" s="50" t="s">
        <v>18</v>
      </c>
      <c r="D195" s="51">
        <v>115378.82</v>
      </c>
      <c r="E195" s="51" t="str">
        <f t="shared" si="1"/>
        <v>₹1,384,545.84</v>
      </c>
      <c r="F195" s="52" t="str">
        <f t="shared" si="2"/>
        <v>30.0%</v>
      </c>
      <c r="G195" s="51" t="str">
        <f t="shared" si="3"/>
        <v>₹415,363.75</v>
      </c>
      <c r="H195" s="51" t="str">
        <f t="shared" si="4"/>
        <v>₹34,613.65</v>
      </c>
      <c r="I195" s="51" t="str">
        <f>108689.18-H195</f>
        <v>₹74,075.53</v>
      </c>
    </row>
    <row r="196" ht="15.75" customHeight="1">
      <c r="A196" s="53" t="s">
        <v>229</v>
      </c>
      <c r="B196" s="53" t="s">
        <v>53</v>
      </c>
      <c r="C196" s="53" t="s">
        <v>26</v>
      </c>
      <c r="D196" s="54">
        <v>146562.65</v>
      </c>
      <c r="E196" s="54" t="str">
        <f t="shared" si="1"/>
        <v>₹1,758,751.80</v>
      </c>
      <c r="F196" s="55" t="str">
        <f t="shared" si="2"/>
        <v>30.0%</v>
      </c>
      <c r="G196" s="54" t="str">
        <f t="shared" si="3"/>
        <v>₹527,625.54</v>
      </c>
      <c r="H196" s="54" t="str">
        <f t="shared" si="4"/>
        <v>₹43,968.80</v>
      </c>
      <c r="I196" s="54" t="str">
        <f>127436.06-H196</f>
        <v>₹83,467.27</v>
      </c>
    </row>
    <row r="197" ht="15.75" customHeight="1">
      <c r="A197" s="50" t="s">
        <v>230</v>
      </c>
      <c r="B197" s="50" t="s">
        <v>25</v>
      </c>
      <c r="C197" s="50" t="s">
        <v>18</v>
      </c>
      <c r="D197" s="51">
        <v>122008.82</v>
      </c>
      <c r="E197" s="51" t="str">
        <f t="shared" si="1"/>
        <v>₹1,464,105.84</v>
      </c>
      <c r="F197" s="52" t="str">
        <f t="shared" si="2"/>
        <v>30.0%</v>
      </c>
      <c r="G197" s="51" t="str">
        <f t="shared" si="3"/>
        <v>₹439,231.75</v>
      </c>
      <c r="H197" s="51" t="str">
        <f t="shared" si="4"/>
        <v>₹36,602.65</v>
      </c>
      <c r="I197" s="51" t="str">
        <f>118522.83-H197</f>
        <v>₹81,920.18</v>
      </c>
    </row>
    <row r="198" ht="15.75" customHeight="1">
      <c r="A198" s="53" t="s">
        <v>231</v>
      </c>
      <c r="B198" s="53" t="s">
        <v>13</v>
      </c>
      <c r="C198" s="53" t="s">
        <v>18</v>
      </c>
      <c r="D198" s="54">
        <v>96246.09</v>
      </c>
      <c r="E198" s="54" t="str">
        <f t="shared" si="1"/>
        <v>₹1,154,953.08</v>
      </c>
      <c r="F198" s="55" t="str">
        <f t="shared" si="2"/>
        <v>30.0%</v>
      </c>
      <c r="G198" s="54" t="str">
        <f t="shared" si="3"/>
        <v>₹346,485.92</v>
      </c>
      <c r="H198" s="54" t="str">
        <f t="shared" si="4"/>
        <v>₹28,873.83</v>
      </c>
      <c r="I198" s="54" t="str">
        <f>95585.22-H198</f>
        <v>₹66,711.39</v>
      </c>
    </row>
    <row r="199" ht="15.75" customHeight="1">
      <c r="A199" s="50" t="s">
        <v>232</v>
      </c>
      <c r="B199" s="50" t="s">
        <v>13</v>
      </c>
      <c r="C199" s="50" t="s">
        <v>30</v>
      </c>
      <c r="D199" s="51">
        <v>30976.42</v>
      </c>
      <c r="E199" s="51" t="str">
        <f t="shared" si="1"/>
        <v>₹371,717.04</v>
      </c>
      <c r="F199" s="52" t="str">
        <f t="shared" si="2"/>
        <v>5.0%</v>
      </c>
      <c r="G199" s="51" t="str">
        <f t="shared" si="3"/>
        <v>₹18,585.85</v>
      </c>
      <c r="H199" s="51" t="str">
        <f t="shared" si="4"/>
        <v>₹1,548.82</v>
      </c>
      <c r="I199" s="51" t="str">
        <f>25865.18-H199</f>
        <v>₹24,316.36</v>
      </c>
    </row>
    <row r="200" ht="15.75" customHeight="1">
      <c r="A200" s="53" t="s">
        <v>233</v>
      </c>
      <c r="B200" s="53" t="s">
        <v>51</v>
      </c>
      <c r="C200" s="53" t="s">
        <v>30</v>
      </c>
      <c r="D200" s="54">
        <v>42667.38</v>
      </c>
      <c r="E200" s="54" t="str">
        <f t="shared" si="1"/>
        <v>₹512,008.56</v>
      </c>
      <c r="F200" s="55" t="str">
        <f t="shared" si="2"/>
        <v>20.0%</v>
      </c>
      <c r="G200" s="54" t="str">
        <f t="shared" si="3"/>
        <v>₹102,401.71</v>
      </c>
      <c r="H200" s="54" t="str">
        <f t="shared" si="4"/>
        <v>₹8,533.48</v>
      </c>
      <c r="I200" s="54" t="str">
        <f>39493.06-H200</f>
        <v>₹30,959.58</v>
      </c>
    </row>
    <row r="201" ht="15.75" customHeight="1">
      <c r="A201" s="50" t="s">
        <v>234</v>
      </c>
      <c r="B201" s="50" t="s">
        <v>29</v>
      </c>
      <c r="C201" s="50" t="s">
        <v>26</v>
      </c>
      <c r="D201" s="51">
        <v>142236.45</v>
      </c>
      <c r="E201" s="51" t="str">
        <f t="shared" si="1"/>
        <v>₹1,706,837.40</v>
      </c>
      <c r="F201" s="52" t="str">
        <f t="shared" si="2"/>
        <v>30.0%</v>
      </c>
      <c r="G201" s="51" t="str">
        <f t="shared" si="3"/>
        <v>₹512,051.22</v>
      </c>
      <c r="H201" s="51" t="str">
        <f t="shared" si="4"/>
        <v>₹42,670.94</v>
      </c>
      <c r="I201" s="51" t="str">
        <f>115065.48-H201</f>
        <v>₹72,394.55</v>
      </c>
    </row>
    <row r="202" ht="15.75" customHeight="1">
      <c r="A202" s="53" t="s">
        <v>235</v>
      </c>
      <c r="B202" s="53" t="s">
        <v>13</v>
      </c>
      <c r="C202" s="53" t="s">
        <v>26</v>
      </c>
      <c r="D202" s="54">
        <v>135205.79</v>
      </c>
      <c r="E202" s="54" t="str">
        <f t="shared" si="1"/>
        <v>₹1,622,469.48</v>
      </c>
      <c r="F202" s="55" t="str">
        <f t="shared" si="2"/>
        <v>30.0%</v>
      </c>
      <c r="G202" s="54" t="str">
        <f t="shared" si="3"/>
        <v>₹486,740.84</v>
      </c>
      <c r="H202" s="54" t="str">
        <f t="shared" si="4"/>
        <v>₹40,561.74</v>
      </c>
      <c r="I202" s="54" t="str">
        <f>105685.29-H202</f>
        <v>₹65,123.55</v>
      </c>
    </row>
    <row r="203" ht="15.75" customHeight="1">
      <c r="A203" s="50" t="s">
        <v>236</v>
      </c>
      <c r="B203" s="50" t="s">
        <v>25</v>
      </c>
      <c r="C203" s="50" t="s">
        <v>30</v>
      </c>
      <c r="D203" s="51">
        <v>42722.92</v>
      </c>
      <c r="E203" s="51" t="str">
        <f t="shared" si="1"/>
        <v>₹512,675.04</v>
      </c>
      <c r="F203" s="52" t="str">
        <f t="shared" si="2"/>
        <v>20.0%</v>
      </c>
      <c r="G203" s="51" t="str">
        <f t="shared" si="3"/>
        <v>₹102,535.01</v>
      </c>
      <c r="H203" s="51" t="str">
        <f t="shared" si="4"/>
        <v>₹8,544.58</v>
      </c>
      <c r="I203" s="51" t="str">
        <f>34030.08-H203</f>
        <v>₹25,485.50</v>
      </c>
    </row>
    <row r="204" ht="15.75" customHeight="1">
      <c r="A204" s="53" t="s">
        <v>237</v>
      </c>
      <c r="B204" s="53" t="s">
        <v>29</v>
      </c>
      <c r="C204" s="53" t="s">
        <v>14</v>
      </c>
      <c r="D204" s="54">
        <v>30866.73</v>
      </c>
      <c r="E204" s="54" t="str">
        <f t="shared" si="1"/>
        <v>₹370,400.76</v>
      </c>
      <c r="F204" s="55" t="str">
        <f t="shared" si="2"/>
        <v>5.0%</v>
      </c>
      <c r="G204" s="54" t="str">
        <f t="shared" si="3"/>
        <v>₹18,520.04</v>
      </c>
      <c r="H204" s="54" t="str">
        <f t="shared" si="4"/>
        <v>₹1,543.34</v>
      </c>
      <c r="I204" s="54" t="str">
        <f>27052.84-H204</f>
        <v>₹25,509.50</v>
      </c>
    </row>
    <row r="205" ht="15.75" customHeight="1">
      <c r="A205" s="50" t="s">
        <v>238</v>
      </c>
      <c r="B205" s="50" t="s">
        <v>29</v>
      </c>
      <c r="C205" s="50" t="s">
        <v>18</v>
      </c>
      <c r="D205" s="51">
        <v>114245.77</v>
      </c>
      <c r="E205" s="51" t="str">
        <f t="shared" si="1"/>
        <v>₹1,370,949.24</v>
      </c>
      <c r="F205" s="52" t="str">
        <f t="shared" si="2"/>
        <v>30.0%</v>
      </c>
      <c r="G205" s="51" t="str">
        <f t="shared" si="3"/>
        <v>₹411,284.77</v>
      </c>
      <c r="H205" s="51" t="str">
        <f t="shared" si="4"/>
        <v>₹34,273.73</v>
      </c>
      <c r="I205" s="51" t="str">
        <f>104589.71-H205</f>
        <v>₹70,315.98</v>
      </c>
    </row>
    <row r="206" ht="15.75" customHeight="1">
      <c r="A206" s="53" t="s">
        <v>239</v>
      </c>
      <c r="B206" s="53" t="s">
        <v>29</v>
      </c>
      <c r="C206" s="53" t="s">
        <v>14</v>
      </c>
      <c r="D206" s="54">
        <v>31871.95</v>
      </c>
      <c r="E206" s="54" t="str">
        <f t="shared" si="1"/>
        <v>₹382,463.40</v>
      </c>
      <c r="F206" s="55" t="str">
        <f t="shared" si="2"/>
        <v>5.0%</v>
      </c>
      <c r="G206" s="54" t="str">
        <f t="shared" si="3"/>
        <v>₹19,123.17</v>
      </c>
      <c r="H206" s="54" t="str">
        <f t="shared" si="4"/>
        <v>₹1,593.60</v>
      </c>
      <c r="I206" s="54" t="str">
        <f>27623.32-H206</f>
        <v>₹26,029.72</v>
      </c>
    </row>
    <row r="207" ht="15.75" customHeight="1">
      <c r="A207" s="50" t="s">
        <v>240</v>
      </c>
      <c r="B207" s="50" t="s">
        <v>29</v>
      </c>
      <c r="C207" s="50" t="s">
        <v>37</v>
      </c>
      <c r="D207" s="51">
        <v>64299.32</v>
      </c>
      <c r="E207" s="51" t="str">
        <f t="shared" si="1"/>
        <v>₹771,591.84</v>
      </c>
      <c r="F207" s="52" t="str">
        <f t="shared" si="2"/>
        <v>20.0%</v>
      </c>
      <c r="G207" s="51" t="str">
        <f t="shared" si="3"/>
        <v>₹154,318.37</v>
      </c>
      <c r="H207" s="51" t="str">
        <f t="shared" si="4"/>
        <v>₹12,859.86</v>
      </c>
      <c r="I207" s="51" t="str">
        <f>52192.45-H207</f>
        <v>₹39,332.59</v>
      </c>
    </row>
    <row r="208" ht="15.75" customHeight="1">
      <c r="A208" s="53" t="s">
        <v>241</v>
      </c>
      <c r="B208" s="53" t="s">
        <v>29</v>
      </c>
      <c r="C208" s="53" t="s">
        <v>18</v>
      </c>
      <c r="D208" s="54">
        <v>100414.27</v>
      </c>
      <c r="E208" s="54" t="str">
        <f t="shared" si="1"/>
        <v>₹1,204,971.24</v>
      </c>
      <c r="F208" s="55" t="str">
        <f t="shared" si="2"/>
        <v>30.0%</v>
      </c>
      <c r="G208" s="54" t="str">
        <f t="shared" si="3"/>
        <v>₹361,491.37</v>
      </c>
      <c r="H208" s="54" t="str">
        <f t="shared" si="4"/>
        <v>₹30,124.28</v>
      </c>
      <c r="I208" s="54" t="str">
        <f>78948.6-H208</f>
        <v>₹48,824.32</v>
      </c>
    </row>
    <row r="209" ht="15.75" customHeight="1">
      <c r="A209" s="50" t="s">
        <v>242</v>
      </c>
      <c r="B209" s="50" t="s">
        <v>36</v>
      </c>
      <c r="C209" s="50" t="s">
        <v>14</v>
      </c>
      <c r="D209" s="51">
        <v>27628.02</v>
      </c>
      <c r="E209" s="51" t="str">
        <f t="shared" si="1"/>
        <v>₹331,536.24</v>
      </c>
      <c r="F209" s="52" t="str">
        <f t="shared" si="2"/>
        <v>5.0%</v>
      </c>
      <c r="G209" s="51" t="str">
        <f t="shared" si="3"/>
        <v>₹16,576.81</v>
      </c>
      <c r="H209" s="51" t="str">
        <f t="shared" si="4"/>
        <v>₹1,381.40</v>
      </c>
      <c r="I209" s="51" t="str">
        <f>26866.95-H209</f>
        <v>₹25,485.55</v>
      </c>
    </row>
    <row r="210" ht="15.75" customHeight="1">
      <c r="A210" s="53" t="s">
        <v>243</v>
      </c>
      <c r="B210" s="53" t="s">
        <v>29</v>
      </c>
      <c r="C210" s="53" t="s">
        <v>18</v>
      </c>
      <c r="D210" s="54">
        <v>129081.75</v>
      </c>
      <c r="E210" s="54" t="str">
        <f t="shared" si="1"/>
        <v>₹1,548,981.00</v>
      </c>
      <c r="F210" s="55" t="str">
        <f t="shared" si="2"/>
        <v>30.0%</v>
      </c>
      <c r="G210" s="54" t="str">
        <f t="shared" si="3"/>
        <v>₹464,694.30</v>
      </c>
      <c r="H210" s="54" t="str">
        <f t="shared" si="4"/>
        <v>₹38,724.53</v>
      </c>
      <c r="I210" s="54" t="str">
        <f>114547.78-H210</f>
        <v>₹75,823.26</v>
      </c>
    </row>
    <row r="211" ht="15.75" customHeight="1">
      <c r="A211" s="50" t="s">
        <v>244</v>
      </c>
      <c r="B211" s="50" t="s">
        <v>13</v>
      </c>
      <c r="C211" s="50" t="s">
        <v>18</v>
      </c>
      <c r="D211" s="51">
        <v>95449.75</v>
      </c>
      <c r="E211" s="51" t="str">
        <f t="shared" si="1"/>
        <v>₹1,145,397.00</v>
      </c>
      <c r="F211" s="52" t="str">
        <f t="shared" si="2"/>
        <v>30.0%</v>
      </c>
      <c r="G211" s="51" t="str">
        <f t="shared" si="3"/>
        <v>₹343,619.10</v>
      </c>
      <c r="H211" s="51" t="str">
        <f t="shared" si="4"/>
        <v>₹28,634.93</v>
      </c>
      <c r="I211" s="51" t="str">
        <f>81122.37-H211</f>
        <v>₹52,487.45</v>
      </c>
    </row>
    <row r="212" ht="15.75" customHeight="1">
      <c r="A212" s="53" t="s">
        <v>245</v>
      </c>
      <c r="B212" s="53" t="s">
        <v>36</v>
      </c>
      <c r="C212" s="53" t="s">
        <v>54</v>
      </c>
      <c r="D212" s="54">
        <v>71065.08</v>
      </c>
      <c r="E212" s="54" t="str">
        <f t="shared" si="1"/>
        <v>₹852,780.96</v>
      </c>
      <c r="F212" s="55" t="str">
        <f t="shared" si="2"/>
        <v>20.0%</v>
      </c>
      <c r="G212" s="54" t="str">
        <f t="shared" si="3"/>
        <v>₹170,556.19</v>
      </c>
      <c r="H212" s="54" t="str">
        <f t="shared" si="4"/>
        <v>₹14,213.02</v>
      </c>
      <c r="I212" s="54" t="str">
        <f>69625.2-H212</f>
        <v>₹55,412.18</v>
      </c>
    </row>
    <row r="213" ht="15.75" customHeight="1">
      <c r="A213" s="50" t="s">
        <v>246</v>
      </c>
      <c r="B213" s="50" t="s">
        <v>29</v>
      </c>
      <c r="C213" s="50" t="s">
        <v>37</v>
      </c>
      <c r="D213" s="51">
        <v>87496.31</v>
      </c>
      <c r="E213" s="51" t="str">
        <f t="shared" si="1"/>
        <v>₹1,049,955.72</v>
      </c>
      <c r="F213" s="52" t="str">
        <f t="shared" si="2"/>
        <v>30.0%</v>
      </c>
      <c r="G213" s="51" t="str">
        <f t="shared" si="3"/>
        <v>₹314,986.72</v>
      </c>
      <c r="H213" s="51" t="str">
        <f t="shared" si="4"/>
        <v>₹26,248.89</v>
      </c>
      <c r="I213" s="51" t="str">
        <f>86384.06-H213</f>
        <v>₹60,135.17</v>
      </c>
    </row>
    <row r="214" ht="15.75" customHeight="1">
      <c r="A214" s="53" t="s">
        <v>247</v>
      </c>
      <c r="B214" s="53" t="s">
        <v>13</v>
      </c>
      <c r="C214" s="53" t="s">
        <v>18</v>
      </c>
      <c r="D214" s="54">
        <v>105027.5</v>
      </c>
      <c r="E214" s="54" t="str">
        <f t="shared" si="1"/>
        <v>₹1,260,330.00</v>
      </c>
      <c r="F214" s="55" t="str">
        <f t="shared" si="2"/>
        <v>30.0%</v>
      </c>
      <c r="G214" s="54" t="str">
        <f t="shared" si="3"/>
        <v>₹378,099.00</v>
      </c>
      <c r="H214" s="54" t="str">
        <f t="shared" si="4"/>
        <v>₹31,508.25</v>
      </c>
      <c r="I214" s="54" t="str">
        <f>86020.32-H214</f>
        <v>₹54,512.07</v>
      </c>
    </row>
    <row r="215" ht="15.75" customHeight="1">
      <c r="A215" s="50" t="s">
        <v>248</v>
      </c>
      <c r="B215" s="50" t="s">
        <v>51</v>
      </c>
      <c r="C215" s="50" t="s">
        <v>26</v>
      </c>
      <c r="D215" s="51">
        <v>144936.13</v>
      </c>
      <c r="E215" s="51" t="str">
        <f t="shared" si="1"/>
        <v>₹1,739,233.56</v>
      </c>
      <c r="F215" s="52" t="str">
        <f t="shared" si="2"/>
        <v>30.0%</v>
      </c>
      <c r="G215" s="51" t="str">
        <f t="shared" si="3"/>
        <v>₹521,770.07</v>
      </c>
      <c r="H215" s="51" t="str">
        <f t="shared" si="4"/>
        <v>₹43,480.84</v>
      </c>
      <c r="I215" s="51" t="str">
        <f>119611.38-H215</f>
        <v>₹76,130.54</v>
      </c>
    </row>
    <row r="216" ht="15.75" customHeight="1">
      <c r="A216" s="53" t="s">
        <v>249</v>
      </c>
      <c r="B216" s="53" t="s">
        <v>53</v>
      </c>
      <c r="C216" s="53" t="s">
        <v>30</v>
      </c>
      <c r="D216" s="54">
        <v>82265.02</v>
      </c>
      <c r="E216" s="54" t="str">
        <f t="shared" si="1"/>
        <v>₹987,180.24</v>
      </c>
      <c r="F216" s="55" t="str">
        <f t="shared" si="2"/>
        <v>20.0%</v>
      </c>
      <c r="G216" s="54" t="str">
        <f t="shared" si="3"/>
        <v>₹197,436.05</v>
      </c>
      <c r="H216" s="54" t="str">
        <f t="shared" si="4"/>
        <v>₹16,453.00</v>
      </c>
      <c r="I216" s="54" t="str">
        <f>75492.04-H216</f>
        <v>₹59,039.04</v>
      </c>
    </row>
    <row r="217" ht="15.75" customHeight="1">
      <c r="A217" s="50" t="s">
        <v>250</v>
      </c>
      <c r="B217" s="50" t="s">
        <v>17</v>
      </c>
      <c r="C217" s="50" t="s">
        <v>33</v>
      </c>
      <c r="D217" s="51">
        <v>44631.12</v>
      </c>
      <c r="E217" s="51" t="str">
        <f t="shared" si="1"/>
        <v>₹535,573.44</v>
      </c>
      <c r="F217" s="52" t="str">
        <f t="shared" si="2"/>
        <v>20.0%</v>
      </c>
      <c r="G217" s="51" t="str">
        <f t="shared" si="3"/>
        <v>₹107,114.69</v>
      </c>
      <c r="H217" s="51" t="str">
        <f t="shared" si="4"/>
        <v>₹8,926.22</v>
      </c>
      <c r="I217" s="51" t="str">
        <f>43321.42-H217</f>
        <v>₹34,395.20</v>
      </c>
    </row>
    <row r="218" ht="15.75" customHeight="1">
      <c r="A218" s="53" t="s">
        <v>251</v>
      </c>
      <c r="B218" s="53" t="s">
        <v>25</v>
      </c>
      <c r="C218" s="53" t="s">
        <v>30</v>
      </c>
      <c r="D218" s="54">
        <v>33837.55</v>
      </c>
      <c r="E218" s="54" t="str">
        <f t="shared" si="1"/>
        <v>₹406,050.60</v>
      </c>
      <c r="F218" s="55" t="str">
        <f t="shared" si="2"/>
        <v>5.0%</v>
      </c>
      <c r="G218" s="54" t="str">
        <f t="shared" si="3"/>
        <v>₹20,302.53</v>
      </c>
      <c r="H218" s="54" t="str">
        <f t="shared" si="4"/>
        <v>₹1,691.88</v>
      </c>
      <c r="I218" s="54" t="str">
        <f>32929.4-H218</f>
        <v>₹31,237.52</v>
      </c>
    </row>
    <row r="219" ht="15.75" customHeight="1">
      <c r="A219" s="50" t="s">
        <v>252</v>
      </c>
      <c r="B219" s="50" t="s">
        <v>25</v>
      </c>
      <c r="C219" s="50" t="s">
        <v>26</v>
      </c>
      <c r="D219" s="51">
        <v>134517.74</v>
      </c>
      <c r="E219" s="51" t="str">
        <f t="shared" si="1"/>
        <v>₹1,614,212.88</v>
      </c>
      <c r="F219" s="52" t="str">
        <f t="shared" si="2"/>
        <v>30.0%</v>
      </c>
      <c r="G219" s="51" t="str">
        <f t="shared" si="3"/>
        <v>₹484,263.86</v>
      </c>
      <c r="H219" s="51" t="str">
        <f t="shared" si="4"/>
        <v>₹40,355.32</v>
      </c>
      <c r="I219" s="51" t="str">
        <f>129365.34-H219</f>
        <v>₹89,010.02</v>
      </c>
    </row>
    <row r="220" ht="15.75" customHeight="1">
      <c r="A220" s="53" t="s">
        <v>253</v>
      </c>
      <c r="B220" s="53" t="s">
        <v>51</v>
      </c>
      <c r="C220" s="53" t="s">
        <v>18</v>
      </c>
      <c r="D220" s="54">
        <v>100454.68</v>
      </c>
      <c r="E220" s="54" t="str">
        <f t="shared" si="1"/>
        <v>₹1,205,456.16</v>
      </c>
      <c r="F220" s="55" t="str">
        <f t="shared" si="2"/>
        <v>30.0%</v>
      </c>
      <c r="G220" s="54" t="str">
        <f t="shared" si="3"/>
        <v>₹361,636.85</v>
      </c>
      <c r="H220" s="54" t="str">
        <f t="shared" si="4"/>
        <v>₹30,136.40</v>
      </c>
      <c r="I220" s="54" t="str">
        <f>99006.61-H220</f>
        <v>₹68,870.21</v>
      </c>
    </row>
    <row r="221" ht="15.75" customHeight="1">
      <c r="A221" s="50" t="s">
        <v>254</v>
      </c>
      <c r="B221" s="50" t="s">
        <v>25</v>
      </c>
      <c r="C221" s="50" t="s">
        <v>33</v>
      </c>
      <c r="D221" s="51">
        <v>39829.3</v>
      </c>
      <c r="E221" s="51" t="str">
        <f t="shared" si="1"/>
        <v>₹477,951.60</v>
      </c>
      <c r="F221" s="52" t="str">
        <f t="shared" si="2"/>
        <v>5.0%</v>
      </c>
      <c r="G221" s="51" t="str">
        <f t="shared" si="3"/>
        <v>₹23,897.58</v>
      </c>
      <c r="H221" s="51" t="str">
        <f t="shared" si="4"/>
        <v>₹1,991.47</v>
      </c>
      <c r="I221" s="51" t="str">
        <f>35274.74-H221</f>
        <v>₹33,283.28</v>
      </c>
    </row>
    <row r="222" ht="15.75" customHeight="1">
      <c r="A222" s="53" t="s">
        <v>255</v>
      </c>
      <c r="B222" s="53" t="s">
        <v>17</v>
      </c>
      <c r="C222" s="53" t="s">
        <v>18</v>
      </c>
      <c r="D222" s="54">
        <v>125774.84</v>
      </c>
      <c r="E222" s="54" t="str">
        <f t="shared" si="1"/>
        <v>₹1,509,298.08</v>
      </c>
      <c r="F222" s="55" t="str">
        <f t="shared" si="2"/>
        <v>30.0%</v>
      </c>
      <c r="G222" s="54" t="str">
        <f t="shared" si="3"/>
        <v>₹452,789.42</v>
      </c>
      <c r="H222" s="54" t="str">
        <f t="shared" si="4"/>
        <v>₹37,732.45</v>
      </c>
      <c r="I222" s="54" t="str">
        <f>112420.91-H222</f>
        <v>₹74,688.46</v>
      </c>
    </row>
    <row r="223" ht="15.75" customHeight="1">
      <c r="A223" s="50" t="s">
        <v>256</v>
      </c>
      <c r="B223" s="50" t="s">
        <v>13</v>
      </c>
      <c r="C223" s="50" t="s">
        <v>14</v>
      </c>
      <c r="D223" s="51">
        <v>25735.61</v>
      </c>
      <c r="E223" s="51" t="str">
        <f t="shared" si="1"/>
        <v>₹308,827.32</v>
      </c>
      <c r="F223" s="52" t="str">
        <f t="shared" si="2"/>
        <v>5.0%</v>
      </c>
      <c r="G223" s="51" t="str">
        <f t="shared" si="3"/>
        <v>₹15,441.37</v>
      </c>
      <c r="H223" s="51" t="str">
        <f t="shared" si="4"/>
        <v>₹1,286.78</v>
      </c>
      <c r="I223" s="51" t="str">
        <f>23514.11-H223</f>
        <v>₹22,227.33</v>
      </c>
    </row>
    <row r="224" ht="15.75" customHeight="1">
      <c r="A224" s="53" t="s">
        <v>257</v>
      </c>
      <c r="B224" s="53" t="s">
        <v>17</v>
      </c>
      <c r="C224" s="53" t="s">
        <v>54</v>
      </c>
      <c r="D224" s="54">
        <v>62455.43</v>
      </c>
      <c r="E224" s="54" t="str">
        <f t="shared" si="1"/>
        <v>₹749,465.16</v>
      </c>
      <c r="F224" s="55" t="str">
        <f t="shared" si="2"/>
        <v>20.0%</v>
      </c>
      <c r="G224" s="54" t="str">
        <f t="shared" si="3"/>
        <v>₹149,893.03</v>
      </c>
      <c r="H224" s="54" t="str">
        <f t="shared" si="4"/>
        <v>₹12,491.09</v>
      </c>
      <c r="I224" s="54" t="str">
        <f>50322.45-H224</f>
        <v>₹37,831.36</v>
      </c>
    </row>
    <row r="225" ht="15.75" customHeight="1">
      <c r="A225" s="50" t="s">
        <v>258</v>
      </c>
      <c r="B225" s="50" t="s">
        <v>53</v>
      </c>
      <c r="C225" s="50" t="s">
        <v>30</v>
      </c>
      <c r="D225" s="51">
        <v>30593.26</v>
      </c>
      <c r="E225" s="51" t="str">
        <f t="shared" si="1"/>
        <v>₹367,119.12</v>
      </c>
      <c r="F225" s="52" t="str">
        <f t="shared" si="2"/>
        <v>5.0%</v>
      </c>
      <c r="G225" s="51" t="str">
        <f t="shared" si="3"/>
        <v>₹18,355.96</v>
      </c>
      <c r="H225" s="51" t="str">
        <f t="shared" si="4"/>
        <v>₹1,529.66</v>
      </c>
      <c r="I225" s="51" t="str">
        <f>26305.18-H225</f>
        <v>₹24,775.52</v>
      </c>
    </row>
    <row r="226" ht="15.75" customHeight="1">
      <c r="A226" s="53" t="s">
        <v>259</v>
      </c>
      <c r="B226" s="53" t="s">
        <v>13</v>
      </c>
      <c r="C226" s="53" t="s">
        <v>33</v>
      </c>
      <c r="D226" s="54">
        <v>40893.81</v>
      </c>
      <c r="E226" s="54" t="str">
        <f t="shared" si="1"/>
        <v>₹490,725.72</v>
      </c>
      <c r="F226" s="55" t="str">
        <f t="shared" si="2"/>
        <v>5.0%</v>
      </c>
      <c r="G226" s="54" t="str">
        <f t="shared" si="3"/>
        <v>₹24,536.29</v>
      </c>
      <c r="H226" s="54" t="str">
        <f t="shared" si="4"/>
        <v>₹2,044.69</v>
      </c>
      <c r="I226" s="54" t="str">
        <f>38345.09-H226</f>
        <v>₹36,300.40</v>
      </c>
    </row>
    <row r="227" ht="15.75" customHeight="1">
      <c r="A227" s="50" t="s">
        <v>260</v>
      </c>
      <c r="B227" s="50" t="s">
        <v>53</v>
      </c>
      <c r="C227" s="50" t="s">
        <v>54</v>
      </c>
      <c r="D227" s="51">
        <v>52412.39</v>
      </c>
      <c r="E227" s="51" t="str">
        <f t="shared" si="1"/>
        <v>₹628,948.68</v>
      </c>
      <c r="F227" s="52" t="str">
        <f t="shared" si="2"/>
        <v>20.0%</v>
      </c>
      <c r="G227" s="51" t="str">
        <f t="shared" si="3"/>
        <v>₹125,789.74</v>
      </c>
      <c r="H227" s="51" t="str">
        <f t="shared" si="4"/>
        <v>₹10,482.48</v>
      </c>
      <c r="I227" s="51" t="str">
        <f>43102.84-H227</f>
        <v>₹32,620.36</v>
      </c>
    </row>
    <row r="228" ht="15.75" customHeight="1">
      <c r="A228" s="53" t="s">
        <v>261</v>
      </c>
      <c r="B228" s="53" t="s">
        <v>25</v>
      </c>
      <c r="C228" s="53" t="s">
        <v>37</v>
      </c>
      <c r="D228" s="54">
        <v>77860.86</v>
      </c>
      <c r="E228" s="54" t="str">
        <f t="shared" si="1"/>
        <v>₹934,330.32</v>
      </c>
      <c r="F228" s="55" t="str">
        <f t="shared" si="2"/>
        <v>20.0%</v>
      </c>
      <c r="G228" s="54" t="str">
        <f t="shared" si="3"/>
        <v>₹186,866.06</v>
      </c>
      <c r="H228" s="54" t="str">
        <f t="shared" si="4"/>
        <v>₹15,572.17</v>
      </c>
      <c r="I228" s="54" t="str">
        <f>70007.17-H228</f>
        <v>₹54,435.00</v>
      </c>
    </row>
    <row r="229" ht="15.75" customHeight="1">
      <c r="A229" s="50" t="s">
        <v>262</v>
      </c>
      <c r="B229" s="50" t="s">
        <v>36</v>
      </c>
      <c r="C229" s="50" t="s">
        <v>33</v>
      </c>
      <c r="D229" s="51">
        <v>45909.93</v>
      </c>
      <c r="E229" s="51" t="str">
        <f t="shared" si="1"/>
        <v>₹550,919.16</v>
      </c>
      <c r="F229" s="52" t="str">
        <f t="shared" si="2"/>
        <v>20.0%</v>
      </c>
      <c r="G229" s="51" t="str">
        <f t="shared" si="3"/>
        <v>₹110,183.83</v>
      </c>
      <c r="H229" s="51" t="str">
        <f t="shared" si="4"/>
        <v>₹9,181.99</v>
      </c>
      <c r="I229" s="51" t="str">
        <f>38626.75-H229</f>
        <v>₹29,444.76</v>
      </c>
    </row>
    <row r="230" ht="15.75" customHeight="1">
      <c r="A230" s="53" t="s">
        <v>263</v>
      </c>
      <c r="B230" s="53" t="s">
        <v>36</v>
      </c>
      <c r="C230" s="53" t="s">
        <v>33</v>
      </c>
      <c r="D230" s="54">
        <v>43515.81</v>
      </c>
      <c r="E230" s="54" t="str">
        <f t="shared" si="1"/>
        <v>₹522,189.72</v>
      </c>
      <c r="F230" s="55" t="str">
        <f t="shared" si="2"/>
        <v>20.0%</v>
      </c>
      <c r="G230" s="54" t="str">
        <f t="shared" si="3"/>
        <v>₹104,437.94</v>
      </c>
      <c r="H230" s="54" t="str">
        <f t="shared" si="4"/>
        <v>₹8,703.16</v>
      </c>
      <c r="I230" s="54" t="str">
        <f>42066.45-H230</f>
        <v>₹33,363.29</v>
      </c>
    </row>
    <row r="231" ht="15.75" customHeight="1">
      <c r="A231" s="50" t="s">
        <v>264</v>
      </c>
      <c r="B231" s="50" t="s">
        <v>17</v>
      </c>
      <c r="C231" s="50" t="s">
        <v>14</v>
      </c>
      <c r="D231" s="51">
        <v>31632.68</v>
      </c>
      <c r="E231" s="51" t="str">
        <f t="shared" si="1"/>
        <v>₹379,592.16</v>
      </c>
      <c r="F231" s="52" t="str">
        <f t="shared" si="2"/>
        <v>5.0%</v>
      </c>
      <c r="G231" s="51" t="str">
        <f t="shared" si="3"/>
        <v>₹18,979.61</v>
      </c>
      <c r="H231" s="51" t="str">
        <f t="shared" si="4"/>
        <v>₹1,581.63</v>
      </c>
      <c r="I231" s="51" t="str">
        <f>30937.74-H231</f>
        <v>₹29,356.11</v>
      </c>
    </row>
    <row r="232" ht="15.75" customHeight="1">
      <c r="A232" s="53" t="s">
        <v>265</v>
      </c>
      <c r="B232" s="53" t="s">
        <v>29</v>
      </c>
      <c r="C232" s="53" t="s">
        <v>26</v>
      </c>
      <c r="D232" s="54">
        <v>124225.26</v>
      </c>
      <c r="E232" s="54" t="str">
        <f t="shared" si="1"/>
        <v>₹1,490,703.12</v>
      </c>
      <c r="F232" s="55" t="str">
        <f t="shared" si="2"/>
        <v>30.0%</v>
      </c>
      <c r="G232" s="54" t="str">
        <f t="shared" si="3"/>
        <v>₹447,210.94</v>
      </c>
      <c r="H232" s="54" t="str">
        <f t="shared" si="4"/>
        <v>₹37,267.58</v>
      </c>
      <c r="I232" s="54" t="str">
        <f>97052.1-H232</f>
        <v>₹59,784.52</v>
      </c>
    </row>
    <row r="233" ht="15.75" customHeight="1">
      <c r="A233" s="50" t="s">
        <v>266</v>
      </c>
      <c r="B233" s="50" t="s">
        <v>29</v>
      </c>
      <c r="C233" s="50" t="s">
        <v>18</v>
      </c>
      <c r="D233" s="51">
        <v>93452.93</v>
      </c>
      <c r="E233" s="51" t="str">
        <f t="shared" si="1"/>
        <v>₹1,121,435.16</v>
      </c>
      <c r="F233" s="52" t="str">
        <f t="shared" si="2"/>
        <v>30.0%</v>
      </c>
      <c r="G233" s="51" t="str">
        <f t="shared" si="3"/>
        <v>₹336,430.55</v>
      </c>
      <c r="H233" s="51" t="str">
        <f t="shared" si="4"/>
        <v>₹28,035.88</v>
      </c>
      <c r="I233" s="51" t="str">
        <f>79844.45-H233</f>
        <v>₹51,808.57</v>
      </c>
    </row>
    <row r="234" ht="15.75" customHeight="1">
      <c r="A234" s="53" t="s">
        <v>267</v>
      </c>
      <c r="B234" s="53" t="s">
        <v>25</v>
      </c>
      <c r="C234" s="53" t="s">
        <v>18</v>
      </c>
      <c r="D234" s="54">
        <v>95497.59</v>
      </c>
      <c r="E234" s="54" t="str">
        <f t="shared" si="1"/>
        <v>₹1,145,971.08</v>
      </c>
      <c r="F234" s="55" t="str">
        <f t="shared" si="2"/>
        <v>30.0%</v>
      </c>
      <c r="G234" s="54" t="str">
        <f t="shared" si="3"/>
        <v>₹343,791.32</v>
      </c>
      <c r="H234" s="54" t="str">
        <f t="shared" si="4"/>
        <v>₹28,649.28</v>
      </c>
      <c r="I234" s="54" t="str">
        <f>89279.46-H234</f>
        <v>₹60,630.18</v>
      </c>
    </row>
    <row r="235" ht="15.75" customHeight="1">
      <c r="A235" s="50" t="s">
        <v>268</v>
      </c>
      <c r="B235" s="50" t="s">
        <v>53</v>
      </c>
      <c r="C235" s="50" t="s">
        <v>37</v>
      </c>
      <c r="D235" s="51">
        <v>69891.68</v>
      </c>
      <c r="E235" s="51" t="str">
        <f t="shared" si="1"/>
        <v>₹838,700.16</v>
      </c>
      <c r="F235" s="52" t="str">
        <f t="shared" si="2"/>
        <v>20.0%</v>
      </c>
      <c r="G235" s="51" t="str">
        <f t="shared" si="3"/>
        <v>₹167,740.03</v>
      </c>
      <c r="H235" s="51" t="str">
        <f t="shared" si="4"/>
        <v>₹13,978.34</v>
      </c>
      <c r="I235" s="51" t="str">
        <f>66606.76-H235</f>
        <v>₹52,628.42</v>
      </c>
    </row>
    <row r="236" ht="15.75" customHeight="1">
      <c r="A236" s="53" t="s">
        <v>269</v>
      </c>
      <c r="B236" s="53" t="s">
        <v>29</v>
      </c>
      <c r="C236" s="53" t="s">
        <v>26</v>
      </c>
      <c r="D236" s="54">
        <v>145561.29</v>
      </c>
      <c r="E236" s="54" t="str">
        <f t="shared" si="1"/>
        <v>₹1,746,735.48</v>
      </c>
      <c r="F236" s="55" t="str">
        <f t="shared" si="2"/>
        <v>30.0%</v>
      </c>
      <c r="G236" s="54" t="str">
        <f t="shared" si="3"/>
        <v>₹524,020.64</v>
      </c>
      <c r="H236" s="54" t="str">
        <f t="shared" si="4"/>
        <v>₹43,668.39</v>
      </c>
      <c r="I236" s="54" t="str">
        <f>136366.4-H236</f>
        <v>₹92,698.01</v>
      </c>
    </row>
    <row r="237" ht="15.75" customHeight="1">
      <c r="A237" s="50" t="s">
        <v>270</v>
      </c>
      <c r="B237" s="50" t="s">
        <v>25</v>
      </c>
      <c r="C237" s="50" t="s">
        <v>54</v>
      </c>
      <c r="D237" s="51">
        <v>70009.85</v>
      </c>
      <c r="E237" s="51" t="str">
        <f t="shared" si="1"/>
        <v>₹840,118.20</v>
      </c>
      <c r="F237" s="52" t="str">
        <f t="shared" si="2"/>
        <v>20.0%</v>
      </c>
      <c r="G237" s="51" t="str">
        <f t="shared" si="3"/>
        <v>₹168,023.64</v>
      </c>
      <c r="H237" s="51" t="str">
        <f t="shared" si="4"/>
        <v>₹14,001.97</v>
      </c>
      <c r="I237" s="51" t="str">
        <f>58511.24-H237</f>
        <v>₹44,509.27</v>
      </c>
    </row>
    <row r="238" ht="15.75" customHeight="1">
      <c r="A238" s="53" t="s">
        <v>271</v>
      </c>
      <c r="B238" s="53" t="s">
        <v>13</v>
      </c>
      <c r="C238" s="53" t="s">
        <v>18</v>
      </c>
      <c r="D238" s="54">
        <v>112997.8</v>
      </c>
      <c r="E238" s="54" t="str">
        <f t="shared" si="1"/>
        <v>₹1,355,973.60</v>
      </c>
      <c r="F238" s="55" t="str">
        <f t="shared" si="2"/>
        <v>30.0%</v>
      </c>
      <c r="G238" s="54" t="str">
        <f t="shared" si="3"/>
        <v>₹406,792.08</v>
      </c>
      <c r="H238" s="54" t="str">
        <f t="shared" si="4"/>
        <v>₹33,899.34</v>
      </c>
      <c r="I238" s="54" t="str">
        <f>97313.41-H238</f>
        <v>₹63,414.07</v>
      </c>
    </row>
    <row r="239" ht="15.75" customHeight="1">
      <c r="A239" s="50" t="s">
        <v>272</v>
      </c>
      <c r="B239" s="50" t="s">
        <v>29</v>
      </c>
      <c r="C239" s="50" t="s">
        <v>14</v>
      </c>
      <c r="D239" s="51">
        <v>27800.98</v>
      </c>
      <c r="E239" s="51" t="str">
        <f t="shared" si="1"/>
        <v>₹333,611.76</v>
      </c>
      <c r="F239" s="52" t="str">
        <f t="shared" si="2"/>
        <v>5.0%</v>
      </c>
      <c r="G239" s="51" t="str">
        <f t="shared" si="3"/>
        <v>₹16,680.59</v>
      </c>
      <c r="H239" s="51" t="str">
        <f t="shared" si="4"/>
        <v>₹1,390.05</v>
      </c>
      <c r="I239" s="51" t="str">
        <f>26012.05-H239</f>
        <v>₹24,622.00</v>
      </c>
    </row>
    <row r="240" ht="15.75" customHeight="1">
      <c r="A240" s="53" t="s">
        <v>273</v>
      </c>
      <c r="B240" s="53" t="s">
        <v>29</v>
      </c>
      <c r="C240" s="53" t="s">
        <v>14</v>
      </c>
      <c r="D240" s="54">
        <v>25651.09</v>
      </c>
      <c r="E240" s="54" t="str">
        <f t="shared" si="1"/>
        <v>₹307,813.08</v>
      </c>
      <c r="F240" s="55" t="str">
        <f t="shared" si="2"/>
        <v>5.0%</v>
      </c>
      <c r="G240" s="54" t="str">
        <f t="shared" si="3"/>
        <v>₹15,390.65</v>
      </c>
      <c r="H240" s="54" t="str">
        <f t="shared" si="4"/>
        <v>₹1,282.55</v>
      </c>
      <c r="I240" s="54" t="str">
        <f>21843.86-H240</f>
        <v>₹20,561.31</v>
      </c>
    </row>
    <row r="241" ht="15.75" customHeight="1">
      <c r="A241" s="50" t="s">
        <v>274</v>
      </c>
      <c r="B241" s="50" t="s">
        <v>51</v>
      </c>
      <c r="C241" s="50" t="s">
        <v>18</v>
      </c>
      <c r="D241" s="51">
        <v>106400.69</v>
      </c>
      <c r="E241" s="51" t="str">
        <f t="shared" si="1"/>
        <v>₹1,276,808.28</v>
      </c>
      <c r="F241" s="52" t="str">
        <f t="shared" si="2"/>
        <v>30.0%</v>
      </c>
      <c r="G241" s="51" t="str">
        <f t="shared" si="3"/>
        <v>₹383,042.48</v>
      </c>
      <c r="H241" s="51" t="str">
        <f t="shared" si="4"/>
        <v>₹31,920.21</v>
      </c>
      <c r="I241" s="51" t="str">
        <f>88166.66-H241</f>
        <v>₹56,246.45</v>
      </c>
    </row>
    <row r="242" ht="15.75" customHeight="1">
      <c r="A242" s="53" t="s">
        <v>275</v>
      </c>
      <c r="B242" s="53" t="s">
        <v>36</v>
      </c>
      <c r="C242" s="53" t="s">
        <v>54</v>
      </c>
      <c r="D242" s="54">
        <v>55058.16</v>
      </c>
      <c r="E242" s="54" t="str">
        <f t="shared" si="1"/>
        <v>₹660,697.92</v>
      </c>
      <c r="F242" s="55" t="str">
        <f t="shared" si="2"/>
        <v>20.0%</v>
      </c>
      <c r="G242" s="54" t="str">
        <f t="shared" si="3"/>
        <v>₹132,139.58</v>
      </c>
      <c r="H242" s="54" t="str">
        <f t="shared" si="4"/>
        <v>₹11,011.63</v>
      </c>
      <c r="I242" s="54" t="str">
        <f>51192.2-H242</f>
        <v>₹40,180.57</v>
      </c>
    </row>
    <row r="243" ht="15.75" customHeight="1">
      <c r="A243" s="50" t="s">
        <v>277</v>
      </c>
      <c r="B243" s="50" t="s">
        <v>25</v>
      </c>
      <c r="C243" s="50" t="s">
        <v>37</v>
      </c>
      <c r="D243" s="51">
        <v>82297.73</v>
      </c>
      <c r="E243" s="51" t="str">
        <f t="shared" si="1"/>
        <v>₹987,572.76</v>
      </c>
      <c r="F243" s="52" t="str">
        <f t="shared" si="2"/>
        <v>20.0%</v>
      </c>
      <c r="G243" s="51" t="str">
        <f t="shared" si="3"/>
        <v>₹197,514.55</v>
      </c>
      <c r="H243" s="51" t="str">
        <f t="shared" si="4"/>
        <v>₹16,459.55</v>
      </c>
      <c r="I243" s="51" t="str">
        <f>79696.49-H243</f>
        <v>₹63,236.94</v>
      </c>
    </row>
    <row r="244" ht="15.75" customHeight="1">
      <c r="A244" s="53" t="s">
        <v>278</v>
      </c>
      <c r="B244" s="53" t="s">
        <v>17</v>
      </c>
      <c r="C244" s="53" t="s">
        <v>18</v>
      </c>
      <c r="D244" s="54">
        <v>93205.91</v>
      </c>
      <c r="E244" s="54" t="str">
        <f t="shared" si="1"/>
        <v>₹1,118,470.92</v>
      </c>
      <c r="F244" s="55" t="str">
        <f t="shared" si="2"/>
        <v>30.0%</v>
      </c>
      <c r="G244" s="54" t="str">
        <f t="shared" si="3"/>
        <v>₹335,541.28</v>
      </c>
      <c r="H244" s="54" t="str">
        <f t="shared" si="4"/>
        <v>₹27,961.77</v>
      </c>
      <c r="I244" s="54" t="str">
        <f>84667.81-H244</f>
        <v>₹56,706.04</v>
      </c>
    </row>
    <row r="245" ht="15.75" customHeight="1">
      <c r="A245" s="50" t="s">
        <v>279</v>
      </c>
      <c r="B245" s="50" t="s">
        <v>36</v>
      </c>
      <c r="C245" s="50" t="s">
        <v>54</v>
      </c>
      <c r="D245" s="51">
        <v>56333.67</v>
      </c>
      <c r="E245" s="51" t="str">
        <f t="shared" si="1"/>
        <v>₹676,004.04</v>
      </c>
      <c r="F245" s="52" t="str">
        <f t="shared" si="2"/>
        <v>20.0%</v>
      </c>
      <c r="G245" s="51" t="str">
        <f t="shared" si="3"/>
        <v>₹135,200.81</v>
      </c>
      <c r="H245" s="51" t="str">
        <f t="shared" si="4"/>
        <v>₹11,266.73</v>
      </c>
      <c r="I245" s="51" t="str">
        <f>55008-H245</f>
        <v>₹43,741.27</v>
      </c>
    </row>
    <row r="246" ht="15.75" customHeight="1">
      <c r="A246" s="53" t="s">
        <v>280</v>
      </c>
      <c r="B246" s="53" t="s">
        <v>17</v>
      </c>
      <c r="C246" s="53" t="s">
        <v>33</v>
      </c>
      <c r="D246" s="54">
        <v>45087.05</v>
      </c>
      <c r="E246" s="54" t="str">
        <f t="shared" si="1"/>
        <v>₹541,044.60</v>
      </c>
      <c r="F246" s="55" t="str">
        <f t="shared" si="2"/>
        <v>20.0%</v>
      </c>
      <c r="G246" s="54" t="str">
        <f t="shared" si="3"/>
        <v>₹108,208.92</v>
      </c>
      <c r="H246" s="54" t="str">
        <f t="shared" si="4"/>
        <v>₹9,017.41</v>
      </c>
      <c r="I246" s="54" t="str">
        <f>40062.92-H246</f>
        <v>₹31,045.51</v>
      </c>
    </row>
    <row r="247" ht="15.75" customHeight="1">
      <c r="A247" s="50" t="s">
        <v>281</v>
      </c>
      <c r="B247" s="50" t="s">
        <v>36</v>
      </c>
      <c r="C247" s="50" t="s">
        <v>30</v>
      </c>
      <c r="D247" s="51">
        <v>36175.78</v>
      </c>
      <c r="E247" s="51" t="str">
        <f t="shared" si="1"/>
        <v>₹434,109.36</v>
      </c>
      <c r="F247" s="52" t="str">
        <f t="shared" si="2"/>
        <v>5.0%</v>
      </c>
      <c r="G247" s="51" t="str">
        <f t="shared" si="3"/>
        <v>₹21,705.47</v>
      </c>
      <c r="H247" s="51" t="str">
        <f t="shared" si="4"/>
        <v>₹1,808.79</v>
      </c>
      <c r="I247" s="51" t="str">
        <f>36117.02-H247</f>
        <v>₹34,308.23</v>
      </c>
    </row>
    <row r="248" ht="15.75" customHeight="1">
      <c r="A248" s="53" t="s">
        <v>282</v>
      </c>
      <c r="B248" s="53" t="s">
        <v>51</v>
      </c>
      <c r="C248" s="53" t="s">
        <v>26</v>
      </c>
      <c r="D248" s="54">
        <v>128274.41</v>
      </c>
      <c r="E248" s="54" t="str">
        <f t="shared" si="1"/>
        <v>₹1,539,292.92</v>
      </c>
      <c r="F248" s="55" t="str">
        <f t="shared" si="2"/>
        <v>30.0%</v>
      </c>
      <c r="G248" s="54" t="str">
        <f t="shared" si="3"/>
        <v>₹461,787.88</v>
      </c>
      <c r="H248" s="54" t="str">
        <f t="shared" si="4"/>
        <v>₹38,482.32</v>
      </c>
      <c r="I248" s="54" t="str">
        <f>118928.78-H248</f>
        <v>₹80,446.46</v>
      </c>
    </row>
    <row r="249" ht="15.75" customHeight="1">
      <c r="A249" s="50" t="s">
        <v>283</v>
      </c>
      <c r="B249" s="50" t="s">
        <v>36</v>
      </c>
      <c r="C249" s="50" t="s">
        <v>18</v>
      </c>
      <c r="D249" s="51">
        <v>101024.85</v>
      </c>
      <c r="E249" s="51" t="str">
        <f t="shared" si="1"/>
        <v>₹1,212,298.20</v>
      </c>
      <c r="F249" s="52" t="str">
        <f t="shared" si="2"/>
        <v>30.0%</v>
      </c>
      <c r="G249" s="51" t="str">
        <f t="shared" si="3"/>
        <v>₹363,689.46</v>
      </c>
      <c r="H249" s="51" t="str">
        <f t="shared" si="4"/>
        <v>₹30,307.46</v>
      </c>
      <c r="I249" s="51" t="str">
        <f>88850.49-H249</f>
        <v>₹58,543.04</v>
      </c>
    </row>
    <row r="250" ht="15.75" customHeight="1">
      <c r="A250" s="53" t="s">
        <v>284</v>
      </c>
      <c r="B250" s="53" t="s">
        <v>53</v>
      </c>
      <c r="C250" s="53" t="s">
        <v>37</v>
      </c>
      <c r="D250" s="54">
        <v>87674.95</v>
      </c>
      <c r="E250" s="54" t="str">
        <f t="shared" si="1"/>
        <v>₹1,052,099.40</v>
      </c>
      <c r="F250" s="55" t="str">
        <f t="shared" si="2"/>
        <v>30.0%</v>
      </c>
      <c r="G250" s="54" t="str">
        <f t="shared" si="3"/>
        <v>₹315,629.82</v>
      </c>
      <c r="H250" s="54" t="str">
        <f t="shared" si="4"/>
        <v>₹26,302.49</v>
      </c>
      <c r="I250" s="54" t="str">
        <f>86377.58-H250</f>
        <v>₹60,075.10</v>
      </c>
    </row>
    <row r="251" ht="15.75" customHeight="1">
      <c r="A251" s="50" t="s">
        <v>285</v>
      </c>
      <c r="B251" s="50" t="s">
        <v>17</v>
      </c>
      <c r="C251" s="50" t="s">
        <v>54</v>
      </c>
      <c r="D251" s="51">
        <v>52337.57</v>
      </c>
      <c r="E251" s="51" t="str">
        <f t="shared" si="1"/>
        <v>₹628,050.84</v>
      </c>
      <c r="F251" s="52" t="str">
        <f t="shared" si="2"/>
        <v>20.0%</v>
      </c>
      <c r="G251" s="51" t="str">
        <f t="shared" si="3"/>
        <v>₹125,610.17</v>
      </c>
      <c r="H251" s="51" t="str">
        <f t="shared" si="4"/>
        <v>₹10,467.51</v>
      </c>
      <c r="I251" s="51" t="str">
        <f>43217.55-H251</f>
        <v>₹32,750.04</v>
      </c>
    </row>
    <row r="252" ht="15.75" customHeight="1">
      <c r="A252" s="53" t="s">
        <v>286</v>
      </c>
      <c r="B252" s="53" t="s">
        <v>36</v>
      </c>
      <c r="C252" s="53" t="s">
        <v>37</v>
      </c>
      <c r="D252" s="54">
        <v>74656.76</v>
      </c>
      <c r="E252" s="54" t="str">
        <f t="shared" si="1"/>
        <v>₹895,881.12</v>
      </c>
      <c r="F252" s="55" t="str">
        <f t="shared" si="2"/>
        <v>20.0%</v>
      </c>
      <c r="G252" s="54" t="str">
        <f t="shared" si="3"/>
        <v>₹179,176.22</v>
      </c>
      <c r="H252" s="54" t="str">
        <f t="shared" si="4"/>
        <v>₹14,931.35</v>
      </c>
      <c r="I252" s="54" t="str">
        <f>70116.04-H252</f>
        <v>₹55,184.69</v>
      </c>
    </row>
    <row r="253" ht="15.75" customHeight="1">
      <c r="A253" s="50" t="s">
        <v>287</v>
      </c>
      <c r="B253" s="50" t="s">
        <v>17</v>
      </c>
      <c r="C253" s="50" t="s">
        <v>33</v>
      </c>
      <c r="D253" s="51">
        <v>39798.16</v>
      </c>
      <c r="E253" s="51" t="str">
        <f t="shared" si="1"/>
        <v>₹477,577.92</v>
      </c>
      <c r="F253" s="52" t="str">
        <f t="shared" si="2"/>
        <v>5.0%</v>
      </c>
      <c r="G253" s="51" t="str">
        <f t="shared" si="3"/>
        <v>₹23,878.90</v>
      </c>
      <c r="H253" s="51" t="str">
        <f t="shared" si="4"/>
        <v>₹1,989.91</v>
      </c>
      <c r="I253" s="51" t="str">
        <f>25062.64-H253</f>
        <v>₹23,072.73</v>
      </c>
    </row>
    <row r="254" ht="15.75" customHeight="1">
      <c r="A254" s="53" t="s">
        <v>288</v>
      </c>
      <c r="B254" s="53" t="s">
        <v>29</v>
      </c>
      <c r="C254" s="53" t="s">
        <v>14</v>
      </c>
      <c r="D254" s="54">
        <v>27935.3</v>
      </c>
      <c r="E254" s="54" t="str">
        <f t="shared" si="1"/>
        <v>₹335,223.60</v>
      </c>
      <c r="F254" s="55" t="str">
        <f t="shared" si="2"/>
        <v>5.0%</v>
      </c>
      <c r="G254" s="54" t="str">
        <f t="shared" si="3"/>
        <v>₹16,761.18</v>
      </c>
      <c r="H254" s="54" t="str">
        <f t="shared" si="4"/>
        <v>₹1,396.77</v>
      </c>
      <c r="I254" s="54" t="str">
        <f>25171.67-H254</f>
        <v>₹23,774.91</v>
      </c>
    </row>
    <row r="255" ht="15.75" customHeight="1">
      <c r="A255" s="50" t="s">
        <v>289</v>
      </c>
      <c r="B255" s="50" t="s">
        <v>53</v>
      </c>
      <c r="C255" s="50" t="s">
        <v>14</v>
      </c>
      <c r="D255" s="51">
        <v>28398.2</v>
      </c>
      <c r="E255" s="51" t="str">
        <f t="shared" si="1"/>
        <v>₹340,778.40</v>
      </c>
      <c r="F255" s="52" t="str">
        <f t="shared" si="2"/>
        <v>5.0%</v>
      </c>
      <c r="G255" s="51" t="str">
        <f t="shared" si="3"/>
        <v>₹17,038.92</v>
      </c>
      <c r="H255" s="51" t="str">
        <f t="shared" si="4"/>
        <v>₹1,419.91</v>
      </c>
      <c r="I255" s="51" t="str">
        <f>13632.89-H255</f>
        <v>₹12,212.98</v>
      </c>
    </row>
    <row r="256" ht="15.75" customHeight="1">
      <c r="A256" s="53" t="s">
        <v>290</v>
      </c>
      <c r="B256" s="53" t="s">
        <v>25</v>
      </c>
      <c r="C256" s="53" t="s">
        <v>30</v>
      </c>
      <c r="D256" s="54">
        <v>32345.09</v>
      </c>
      <c r="E256" s="54" t="str">
        <f t="shared" si="1"/>
        <v>₹388,141.08</v>
      </c>
      <c r="F256" s="55" t="str">
        <f t="shared" si="2"/>
        <v>5.0%</v>
      </c>
      <c r="G256" s="54" t="str">
        <f t="shared" si="3"/>
        <v>₹19,407.05</v>
      </c>
      <c r="H256" s="54" t="str">
        <f t="shared" si="4"/>
        <v>₹1,617.25</v>
      </c>
      <c r="I256" s="54" t="str">
        <f>28736.11-H256</f>
        <v>₹27,118.86</v>
      </c>
    </row>
    <row r="257" ht="15.75" customHeight="1">
      <c r="A257" s="50" t="s">
        <v>291</v>
      </c>
      <c r="B257" s="50" t="s">
        <v>25</v>
      </c>
      <c r="C257" s="50" t="s">
        <v>33</v>
      </c>
      <c r="D257" s="51">
        <v>42528.28</v>
      </c>
      <c r="E257" s="51" t="str">
        <f t="shared" si="1"/>
        <v>₹510,339.36</v>
      </c>
      <c r="F257" s="52" t="str">
        <f t="shared" si="2"/>
        <v>20.0%</v>
      </c>
      <c r="G257" s="51" t="str">
        <f t="shared" si="3"/>
        <v>₹102,067.87</v>
      </c>
      <c r="H257" s="51" t="str">
        <f t="shared" si="4"/>
        <v>₹8,505.66</v>
      </c>
      <c r="I257" s="51" t="str">
        <f>37007.61-H257</f>
        <v>₹28,501.95</v>
      </c>
    </row>
    <row r="258" ht="15.75" customHeight="1">
      <c r="A258" s="53" t="s">
        <v>292</v>
      </c>
      <c r="B258" s="53" t="s">
        <v>51</v>
      </c>
      <c r="C258" s="53" t="s">
        <v>14</v>
      </c>
      <c r="D258" s="54">
        <v>25522.5</v>
      </c>
      <c r="E258" s="54" t="str">
        <f t="shared" si="1"/>
        <v>₹306,270.00</v>
      </c>
      <c r="F258" s="55" t="str">
        <f t="shared" si="2"/>
        <v>5.0%</v>
      </c>
      <c r="G258" s="54" t="str">
        <f t="shared" si="3"/>
        <v>₹15,313.50</v>
      </c>
      <c r="H258" s="54" t="str">
        <f t="shared" si="4"/>
        <v>₹1,276.13</v>
      </c>
      <c r="I258" s="54" t="str">
        <f>22078.99-H258</f>
        <v>₹20,802.87</v>
      </c>
    </row>
    <row r="259" ht="15.75" customHeight="1">
      <c r="A259" s="50" t="s">
        <v>293</v>
      </c>
      <c r="B259" s="50" t="s">
        <v>17</v>
      </c>
      <c r="C259" s="50" t="s">
        <v>30</v>
      </c>
      <c r="D259" s="51">
        <v>43297.11</v>
      </c>
      <c r="E259" s="51" t="str">
        <f t="shared" si="1"/>
        <v>₹519,565.32</v>
      </c>
      <c r="F259" s="52" t="str">
        <f t="shared" si="2"/>
        <v>20.0%</v>
      </c>
      <c r="G259" s="51" t="str">
        <f t="shared" si="3"/>
        <v>₹103,913.06</v>
      </c>
      <c r="H259" s="51" t="str">
        <f t="shared" si="4"/>
        <v>₹8,659.42</v>
      </c>
      <c r="I259" s="51" t="str">
        <f>39069.84-H259</f>
        <v>₹30,410.42</v>
      </c>
    </row>
    <row r="260" ht="15.75" customHeight="1">
      <c r="A260" s="53" t="s">
        <v>294</v>
      </c>
      <c r="B260" s="53" t="s">
        <v>25</v>
      </c>
      <c r="C260" s="53" t="s">
        <v>37</v>
      </c>
      <c r="D260" s="54">
        <v>78815.26</v>
      </c>
      <c r="E260" s="54" t="str">
        <f t="shared" si="1"/>
        <v>₹945,783.12</v>
      </c>
      <c r="F260" s="55" t="str">
        <f t="shared" si="2"/>
        <v>20.0%</v>
      </c>
      <c r="G260" s="54" t="str">
        <f t="shared" si="3"/>
        <v>₹189,156.62</v>
      </c>
      <c r="H260" s="54" t="str">
        <f t="shared" si="4"/>
        <v>₹15,763.05</v>
      </c>
      <c r="I260" s="54" t="str">
        <f>69826.24-H260</f>
        <v>₹54,063.19</v>
      </c>
    </row>
    <row r="261" ht="15.75" customHeight="1">
      <c r="A261" s="50" t="s">
        <v>295</v>
      </c>
      <c r="B261" s="50" t="s">
        <v>53</v>
      </c>
      <c r="C261" s="50" t="s">
        <v>33</v>
      </c>
      <c r="D261" s="51">
        <v>47955.44</v>
      </c>
      <c r="E261" s="51" t="str">
        <f t="shared" si="1"/>
        <v>₹575,465.28</v>
      </c>
      <c r="F261" s="52" t="str">
        <f t="shared" si="2"/>
        <v>20.0%</v>
      </c>
      <c r="G261" s="51" t="str">
        <f t="shared" si="3"/>
        <v>₹115,093.06</v>
      </c>
      <c r="H261" s="51" t="str">
        <f t="shared" si="4"/>
        <v>₹9,591.09</v>
      </c>
      <c r="I261" s="51" t="str">
        <f>46431.87-H261</f>
        <v>₹36,840.78</v>
      </c>
    </row>
    <row r="262" ht="15.75" customHeight="1">
      <c r="A262" s="53" t="s">
        <v>296</v>
      </c>
      <c r="B262" s="53" t="s">
        <v>36</v>
      </c>
      <c r="C262" s="53" t="s">
        <v>54</v>
      </c>
      <c r="D262" s="54">
        <v>63973.33</v>
      </c>
      <c r="E262" s="54" t="str">
        <f t="shared" si="1"/>
        <v>₹767,679.96</v>
      </c>
      <c r="F262" s="55" t="str">
        <f t="shared" si="2"/>
        <v>20.0%</v>
      </c>
      <c r="G262" s="54" t="str">
        <f t="shared" si="3"/>
        <v>₹153,535.99</v>
      </c>
      <c r="H262" s="54" t="str">
        <f t="shared" si="4"/>
        <v>₹12,794.67</v>
      </c>
      <c r="I262" s="54" t="str">
        <f>56195.09-H262</f>
        <v>₹43,400.42</v>
      </c>
    </row>
    <row r="263" ht="15.75" customHeight="1">
      <c r="A263" s="50" t="s">
        <v>297</v>
      </c>
      <c r="B263" s="50" t="s">
        <v>53</v>
      </c>
      <c r="C263" s="50" t="s">
        <v>14</v>
      </c>
      <c r="D263" s="51">
        <v>28134.31</v>
      </c>
      <c r="E263" s="51" t="str">
        <f t="shared" si="1"/>
        <v>₹337,611.72</v>
      </c>
      <c r="F263" s="52" t="str">
        <f t="shared" si="2"/>
        <v>5.0%</v>
      </c>
      <c r="G263" s="51" t="str">
        <f t="shared" si="3"/>
        <v>₹16,880.59</v>
      </c>
      <c r="H263" s="51" t="str">
        <f t="shared" si="4"/>
        <v>₹1,406.72</v>
      </c>
      <c r="I263" s="51" t="str">
        <f>27788.96-H263</f>
        <v>₹26,382.24</v>
      </c>
    </row>
    <row r="264" ht="15.75" customHeight="1">
      <c r="A264" s="53" t="s">
        <v>298</v>
      </c>
      <c r="B264" s="53" t="s">
        <v>17</v>
      </c>
      <c r="C264" s="53" t="s">
        <v>18</v>
      </c>
      <c r="D264" s="54">
        <v>128674.24</v>
      </c>
      <c r="E264" s="54" t="str">
        <f t="shared" si="1"/>
        <v>₹1,544,090.88</v>
      </c>
      <c r="F264" s="55" t="str">
        <f t="shared" si="2"/>
        <v>30.0%</v>
      </c>
      <c r="G264" s="54" t="str">
        <f t="shared" si="3"/>
        <v>₹463,227.26</v>
      </c>
      <c r="H264" s="54" t="str">
        <f t="shared" si="4"/>
        <v>₹38,602.27</v>
      </c>
      <c r="I264" s="54" t="str">
        <f>112535.71-H264</f>
        <v>₹73,933.44</v>
      </c>
    </row>
    <row r="265" ht="15.75" customHeight="1">
      <c r="A265" s="50" t="s">
        <v>299</v>
      </c>
      <c r="B265" s="50" t="s">
        <v>36</v>
      </c>
      <c r="C265" s="50" t="s">
        <v>54</v>
      </c>
      <c r="D265" s="51">
        <v>64292.16</v>
      </c>
      <c r="E265" s="51" t="str">
        <f t="shared" si="1"/>
        <v>₹771,505.92</v>
      </c>
      <c r="F265" s="52" t="str">
        <f t="shared" si="2"/>
        <v>20.0%</v>
      </c>
      <c r="G265" s="51" t="str">
        <f t="shared" si="3"/>
        <v>₹154,301.18</v>
      </c>
      <c r="H265" s="51" t="str">
        <f t="shared" si="4"/>
        <v>₹12,858.43</v>
      </c>
      <c r="I265" s="51" t="str">
        <f>54732.46-H265</f>
        <v>₹41,874.03</v>
      </c>
    </row>
    <row r="266" ht="15.75" customHeight="1">
      <c r="A266" s="53" t="s">
        <v>300</v>
      </c>
      <c r="B266" s="53" t="s">
        <v>36</v>
      </c>
      <c r="C266" s="53" t="s">
        <v>26</v>
      </c>
      <c r="D266" s="54">
        <v>147916.62</v>
      </c>
      <c r="E266" s="54" t="str">
        <f t="shared" si="1"/>
        <v>₹1,774,999.44</v>
      </c>
      <c r="F266" s="55" t="str">
        <f t="shared" si="2"/>
        <v>30.0%</v>
      </c>
      <c r="G266" s="54" t="str">
        <f t="shared" si="3"/>
        <v>₹532,499.83</v>
      </c>
      <c r="H266" s="54" t="str">
        <f t="shared" si="4"/>
        <v>₹44,374.99</v>
      </c>
      <c r="I266" s="54" t="str">
        <f>127846.22-H266</f>
        <v>₹83,471.23</v>
      </c>
    </row>
    <row r="267" ht="15.75" customHeight="1">
      <c r="A267" s="50" t="s">
        <v>301</v>
      </c>
      <c r="B267" s="50" t="s">
        <v>51</v>
      </c>
      <c r="C267" s="50" t="s">
        <v>14</v>
      </c>
      <c r="D267" s="51">
        <v>31062.5</v>
      </c>
      <c r="E267" s="51" t="str">
        <f t="shared" si="1"/>
        <v>₹372,750.00</v>
      </c>
      <c r="F267" s="52" t="str">
        <f t="shared" si="2"/>
        <v>5.0%</v>
      </c>
      <c r="G267" s="51" t="str">
        <f t="shared" si="3"/>
        <v>₹18,637.50</v>
      </c>
      <c r="H267" s="51" t="str">
        <f t="shared" si="4"/>
        <v>₹1,553.13</v>
      </c>
      <c r="I267" s="51" t="str">
        <f>25725.79-H267</f>
        <v>₹24,172.67</v>
      </c>
    </row>
    <row r="268" ht="15.75" customHeight="1">
      <c r="A268" s="53" t="s">
        <v>302</v>
      </c>
      <c r="B268" s="53" t="s">
        <v>17</v>
      </c>
      <c r="C268" s="53" t="s">
        <v>37</v>
      </c>
      <c r="D268" s="54">
        <v>74062.71</v>
      </c>
      <c r="E268" s="54" t="str">
        <f t="shared" si="1"/>
        <v>₹888,752.52</v>
      </c>
      <c r="F268" s="55" t="str">
        <f t="shared" si="2"/>
        <v>20.0%</v>
      </c>
      <c r="G268" s="54" t="str">
        <f t="shared" si="3"/>
        <v>₹177,750.50</v>
      </c>
      <c r="H268" s="54" t="str">
        <f t="shared" si="4"/>
        <v>₹14,812.54</v>
      </c>
      <c r="I268" s="54" t="str">
        <f>62040.86-H268</f>
        <v>₹47,228.32</v>
      </c>
    </row>
    <row r="269" ht="15.75" customHeight="1">
      <c r="A269" s="50" t="s">
        <v>303</v>
      </c>
      <c r="B269" s="50" t="s">
        <v>53</v>
      </c>
      <c r="C269" s="50" t="s">
        <v>37</v>
      </c>
      <c r="D269" s="51">
        <v>76843.4</v>
      </c>
      <c r="E269" s="51" t="str">
        <f t="shared" si="1"/>
        <v>₹922,120.80</v>
      </c>
      <c r="F269" s="52" t="str">
        <f t="shared" si="2"/>
        <v>20.0%</v>
      </c>
      <c r="G269" s="51" t="str">
        <f t="shared" si="3"/>
        <v>₹184,424.16</v>
      </c>
      <c r="H269" s="51" t="str">
        <f t="shared" si="4"/>
        <v>₹15,368.68</v>
      </c>
      <c r="I269" s="51" t="str">
        <f>61428.53-H269</f>
        <v>₹46,059.85</v>
      </c>
    </row>
    <row r="270" ht="15.75" customHeight="1">
      <c r="A270" s="53" t="s">
        <v>304</v>
      </c>
      <c r="B270" s="53" t="s">
        <v>36</v>
      </c>
      <c r="C270" s="53" t="s">
        <v>26</v>
      </c>
      <c r="D270" s="54">
        <v>145054.13</v>
      </c>
      <c r="E270" s="54" t="str">
        <f t="shared" si="1"/>
        <v>₹1,740,649.56</v>
      </c>
      <c r="F270" s="55" t="str">
        <f t="shared" si="2"/>
        <v>30.0%</v>
      </c>
      <c r="G270" s="54" t="str">
        <f t="shared" si="3"/>
        <v>₹522,194.87</v>
      </c>
      <c r="H270" s="54" t="str">
        <f t="shared" si="4"/>
        <v>₹43,516.24</v>
      </c>
      <c r="I270" s="54" t="str">
        <f>120860.88-H270</f>
        <v>₹77,344.64</v>
      </c>
    </row>
    <row r="271" ht="15.75" customHeight="1">
      <c r="A271" s="50" t="s">
        <v>305</v>
      </c>
      <c r="B271" s="50" t="s">
        <v>29</v>
      </c>
      <c r="C271" s="50" t="s">
        <v>14</v>
      </c>
      <c r="D271" s="51">
        <v>28759.46</v>
      </c>
      <c r="E271" s="51" t="str">
        <f t="shared" si="1"/>
        <v>₹345,113.52</v>
      </c>
      <c r="F271" s="52" t="str">
        <f t="shared" si="2"/>
        <v>5.0%</v>
      </c>
      <c r="G271" s="51" t="str">
        <f t="shared" si="3"/>
        <v>₹17,255.68</v>
      </c>
      <c r="H271" s="51" t="str">
        <f t="shared" si="4"/>
        <v>₹1,437.97</v>
      </c>
      <c r="I271" s="51" t="str">
        <f>26396.73-H271</f>
        <v>₹24,958.76</v>
      </c>
    </row>
    <row r="272" ht="15.75" customHeight="1">
      <c r="A272" s="53" t="s">
        <v>306</v>
      </c>
      <c r="B272" s="53" t="s">
        <v>13</v>
      </c>
      <c r="C272" s="53" t="s">
        <v>26</v>
      </c>
      <c r="D272" s="54">
        <v>168325.89</v>
      </c>
      <c r="E272" s="54" t="str">
        <f t="shared" si="1"/>
        <v>₹2,019,910.68</v>
      </c>
      <c r="F272" s="55" t="str">
        <f t="shared" si="2"/>
        <v>30.0%</v>
      </c>
      <c r="G272" s="54" t="str">
        <f t="shared" si="3"/>
        <v>₹605,973.20</v>
      </c>
      <c r="H272" s="54" t="str">
        <f t="shared" si="4"/>
        <v>₹50,497.77</v>
      </c>
      <c r="I272" s="54" t="str">
        <f>138555.01-H272</f>
        <v>₹88,057.24</v>
      </c>
    </row>
    <row r="273" ht="15.75" customHeight="1">
      <c r="A273" s="50" t="s">
        <v>307</v>
      </c>
      <c r="B273" s="50" t="s">
        <v>17</v>
      </c>
      <c r="C273" s="50" t="s">
        <v>37</v>
      </c>
      <c r="D273" s="51">
        <v>84469.36</v>
      </c>
      <c r="E273" s="51" t="str">
        <f t="shared" si="1"/>
        <v>₹1,013,632.32</v>
      </c>
      <c r="F273" s="52" t="str">
        <f t="shared" si="2"/>
        <v>30.0%</v>
      </c>
      <c r="G273" s="51" t="str">
        <f t="shared" si="3"/>
        <v>₹304,089.70</v>
      </c>
      <c r="H273" s="51" t="str">
        <f t="shared" si="4"/>
        <v>₹25,340.81</v>
      </c>
      <c r="I273" s="51" t="str">
        <f>79169.51-H273</f>
        <v>₹53,828.70</v>
      </c>
    </row>
    <row r="274" ht="15.75" customHeight="1">
      <c r="A274" s="53" t="s">
        <v>308</v>
      </c>
      <c r="B274" s="53" t="s">
        <v>13</v>
      </c>
      <c r="C274" s="53" t="s">
        <v>18</v>
      </c>
      <c r="D274" s="54">
        <v>106696.52</v>
      </c>
      <c r="E274" s="54" t="str">
        <f t="shared" si="1"/>
        <v>₹1,280,358.24</v>
      </c>
      <c r="F274" s="55" t="str">
        <f t="shared" si="2"/>
        <v>30.0%</v>
      </c>
      <c r="G274" s="54" t="str">
        <f t="shared" si="3"/>
        <v>₹384,107.47</v>
      </c>
      <c r="H274" s="54" t="str">
        <f t="shared" si="4"/>
        <v>₹32,008.96</v>
      </c>
      <c r="I274" s="54" t="str">
        <f>85537.75-H274</f>
        <v>₹53,528.79</v>
      </c>
    </row>
    <row r="275" ht="15.75" customHeight="1">
      <c r="A275" s="50" t="s">
        <v>309</v>
      </c>
      <c r="B275" s="50" t="s">
        <v>53</v>
      </c>
      <c r="C275" s="50" t="s">
        <v>54</v>
      </c>
      <c r="D275" s="51">
        <v>60102.76</v>
      </c>
      <c r="E275" s="51" t="str">
        <f t="shared" si="1"/>
        <v>₹721,233.12</v>
      </c>
      <c r="F275" s="52" t="str">
        <f t="shared" si="2"/>
        <v>20.0%</v>
      </c>
      <c r="G275" s="51" t="str">
        <f t="shared" si="3"/>
        <v>₹144,246.62</v>
      </c>
      <c r="H275" s="51" t="str">
        <f t="shared" si="4"/>
        <v>₹12,020.55</v>
      </c>
      <c r="I275" s="51" t="str">
        <f>58415.54-H275</f>
        <v>₹46,394.99</v>
      </c>
    </row>
    <row r="276" ht="15.75" customHeight="1">
      <c r="A276" s="53" t="s">
        <v>310</v>
      </c>
      <c r="B276" s="53" t="s">
        <v>25</v>
      </c>
      <c r="C276" s="53" t="s">
        <v>18</v>
      </c>
      <c r="D276" s="54">
        <v>134797.25</v>
      </c>
      <c r="E276" s="54" t="str">
        <f t="shared" si="1"/>
        <v>₹1,617,567.00</v>
      </c>
      <c r="F276" s="55" t="str">
        <f t="shared" si="2"/>
        <v>30.0%</v>
      </c>
      <c r="G276" s="54" t="str">
        <f t="shared" si="3"/>
        <v>₹485,270.10</v>
      </c>
      <c r="H276" s="54" t="str">
        <f t="shared" si="4"/>
        <v>₹40,439.18</v>
      </c>
      <c r="I276" s="54" t="str">
        <f>132248.05-H276</f>
        <v>₹91,808.88</v>
      </c>
    </row>
    <row r="277" ht="15.75" customHeight="1">
      <c r="A277" s="50" t="s">
        <v>311</v>
      </c>
      <c r="B277" s="50" t="s">
        <v>36</v>
      </c>
      <c r="C277" s="50" t="s">
        <v>37</v>
      </c>
      <c r="D277" s="51">
        <v>70702.47</v>
      </c>
      <c r="E277" s="51" t="str">
        <f t="shared" si="1"/>
        <v>₹848,429.64</v>
      </c>
      <c r="F277" s="52" t="str">
        <f t="shared" si="2"/>
        <v>20.0%</v>
      </c>
      <c r="G277" s="51" t="str">
        <f t="shared" si="3"/>
        <v>₹169,685.93</v>
      </c>
      <c r="H277" s="51" t="str">
        <f t="shared" si="4"/>
        <v>₹14,140.49</v>
      </c>
      <c r="I277" s="51" t="str">
        <f>67916.71-H277</f>
        <v>₹53,776.22</v>
      </c>
    </row>
    <row r="278" ht="15.75" customHeight="1">
      <c r="A278" s="53" t="s">
        <v>312</v>
      </c>
      <c r="B278" s="53" t="s">
        <v>29</v>
      </c>
      <c r="C278" s="53" t="s">
        <v>26</v>
      </c>
      <c r="D278" s="54">
        <v>144628.41</v>
      </c>
      <c r="E278" s="54" t="str">
        <f t="shared" si="1"/>
        <v>₹1,735,540.92</v>
      </c>
      <c r="F278" s="55" t="str">
        <f t="shared" si="2"/>
        <v>30.0%</v>
      </c>
      <c r="G278" s="54" t="str">
        <f t="shared" si="3"/>
        <v>₹520,662.28</v>
      </c>
      <c r="H278" s="54" t="str">
        <f t="shared" si="4"/>
        <v>₹43,388.52</v>
      </c>
      <c r="I278" s="54" t="str">
        <f>140191.69-H278</f>
        <v>₹96,803.17</v>
      </c>
    </row>
    <row r="279" ht="15.75" customHeight="1">
      <c r="A279" s="50" t="s">
        <v>313</v>
      </c>
      <c r="B279" s="50" t="s">
        <v>29</v>
      </c>
      <c r="C279" s="50" t="s">
        <v>26</v>
      </c>
      <c r="D279" s="51">
        <v>165903.31</v>
      </c>
      <c r="E279" s="51" t="str">
        <f t="shared" si="1"/>
        <v>₹1,990,839.72</v>
      </c>
      <c r="F279" s="52" t="str">
        <f t="shared" si="2"/>
        <v>30.0%</v>
      </c>
      <c r="G279" s="51" t="str">
        <f t="shared" si="3"/>
        <v>₹597,251.92</v>
      </c>
      <c r="H279" s="51" t="str">
        <f t="shared" si="4"/>
        <v>₹49,770.99</v>
      </c>
      <c r="I279" s="51" t="str">
        <f>146735.13-H279</f>
        <v>₹96,964.14</v>
      </c>
    </row>
    <row r="280" ht="15.75" customHeight="1">
      <c r="A280" s="53" t="s">
        <v>314</v>
      </c>
      <c r="B280" s="53" t="s">
        <v>53</v>
      </c>
      <c r="C280" s="53" t="s">
        <v>14</v>
      </c>
      <c r="D280" s="54">
        <v>33586.03</v>
      </c>
      <c r="E280" s="54" t="str">
        <f t="shared" si="1"/>
        <v>₹403,032.36</v>
      </c>
      <c r="F280" s="55" t="str">
        <f t="shared" si="2"/>
        <v>5.0%</v>
      </c>
      <c r="G280" s="54" t="str">
        <f t="shared" si="3"/>
        <v>₹20,151.62</v>
      </c>
      <c r="H280" s="54" t="str">
        <f t="shared" si="4"/>
        <v>₹1,679.30</v>
      </c>
      <c r="I280" s="54" t="str">
        <f>29365.02-H280</f>
        <v>₹27,685.72</v>
      </c>
    </row>
    <row r="281" ht="15.75" customHeight="1">
      <c r="A281" s="50" t="s">
        <v>315</v>
      </c>
      <c r="B281" s="50" t="s">
        <v>36</v>
      </c>
      <c r="C281" s="50" t="s">
        <v>30</v>
      </c>
      <c r="D281" s="51">
        <v>34351.42</v>
      </c>
      <c r="E281" s="51" t="str">
        <f t="shared" si="1"/>
        <v>₹412,217.04</v>
      </c>
      <c r="F281" s="52" t="str">
        <f t="shared" si="2"/>
        <v>5.0%</v>
      </c>
      <c r="G281" s="51" t="str">
        <f t="shared" si="3"/>
        <v>₹20,610.85</v>
      </c>
      <c r="H281" s="51" t="str">
        <f t="shared" si="4"/>
        <v>₹1,717.57</v>
      </c>
      <c r="I281" s="51" t="str">
        <f>28931.89-H281</f>
        <v>₹27,214.32</v>
      </c>
    </row>
    <row r="282" ht="15.75" customHeight="1">
      <c r="A282" s="53" t="s">
        <v>316</v>
      </c>
      <c r="B282" s="53" t="s">
        <v>13</v>
      </c>
      <c r="C282" s="53" t="s">
        <v>54</v>
      </c>
      <c r="D282" s="54">
        <v>48889.86</v>
      </c>
      <c r="E282" s="54" t="str">
        <f t="shared" si="1"/>
        <v>₹586,678.32</v>
      </c>
      <c r="F282" s="55" t="str">
        <f t="shared" si="2"/>
        <v>20.0%</v>
      </c>
      <c r="G282" s="54" t="str">
        <f t="shared" si="3"/>
        <v>₹117,335.66</v>
      </c>
      <c r="H282" s="54" t="str">
        <f t="shared" si="4"/>
        <v>₹9,777.97</v>
      </c>
      <c r="I282" s="54" t="str">
        <f>41202.16-H282</f>
        <v>₹31,424.19</v>
      </c>
    </row>
    <row r="283" ht="15.75" customHeight="1">
      <c r="A283" s="50" t="s">
        <v>317</v>
      </c>
      <c r="B283" s="50" t="s">
        <v>53</v>
      </c>
      <c r="C283" s="50" t="s">
        <v>33</v>
      </c>
      <c r="D283" s="51">
        <v>47379.53</v>
      </c>
      <c r="E283" s="51" t="str">
        <f t="shared" si="1"/>
        <v>₹568,554.36</v>
      </c>
      <c r="F283" s="52" t="str">
        <f t="shared" si="2"/>
        <v>20.0%</v>
      </c>
      <c r="G283" s="51" t="str">
        <f t="shared" si="3"/>
        <v>₹113,710.87</v>
      </c>
      <c r="H283" s="51" t="str">
        <f t="shared" si="4"/>
        <v>₹9,475.91</v>
      </c>
      <c r="I283" s="51" t="str">
        <f>32614.22-H283</f>
        <v>₹23,138.31</v>
      </c>
    </row>
    <row r="284" ht="15.75" customHeight="1">
      <c r="A284" s="53" t="s">
        <v>318</v>
      </c>
      <c r="B284" s="53" t="s">
        <v>29</v>
      </c>
      <c r="C284" s="53" t="s">
        <v>26</v>
      </c>
      <c r="D284" s="54">
        <v>129058.77</v>
      </c>
      <c r="E284" s="54" t="str">
        <f t="shared" si="1"/>
        <v>₹1,548,705.24</v>
      </c>
      <c r="F284" s="55" t="str">
        <f t="shared" si="2"/>
        <v>30.0%</v>
      </c>
      <c r="G284" s="54" t="str">
        <f t="shared" si="3"/>
        <v>₹464,611.57</v>
      </c>
      <c r="H284" s="54" t="str">
        <f t="shared" si="4"/>
        <v>₹38,717.63</v>
      </c>
      <c r="I284" s="54" t="str">
        <f>122176.78-H284</f>
        <v>₹83,459.15</v>
      </c>
    </row>
    <row r="285" ht="15.75" customHeight="1">
      <c r="A285" s="50" t="s">
        <v>319</v>
      </c>
      <c r="B285" s="50" t="s">
        <v>53</v>
      </c>
      <c r="C285" s="50" t="s">
        <v>54</v>
      </c>
      <c r="D285" s="51">
        <v>56239.23</v>
      </c>
      <c r="E285" s="51" t="str">
        <f t="shared" si="1"/>
        <v>₹674,870.76</v>
      </c>
      <c r="F285" s="52" t="str">
        <f t="shared" si="2"/>
        <v>20.0%</v>
      </c>
      <c r="G285" s="51" t="str">
        <f t="shared" si="3"/>
        <v>₹134,974.15</v>
      </c>
      <c r="H285" s="51" t="str">
        <f t="shared" si="4"/>
        <v>₹11,247.85</v>
      </c>
      <c r="I285" s="51" t="str">
        <f>51489.1-H285</f>
        <v>₹40,241.25</v>
      </c>
    </row>
    <row r="286" ht="15.75" customHeight="1">
      <c r="A286" s="53" t="s">
        <v>320</v>
      </c>
      <c r="B286" s="53" t="s">
        <v>36</v>
      </c>
      <c r="C286" s="53" t="s">
        <v>30</v>
      </c>
      <c r="D286" s="54">
        <v>42622.76</v>
      </c>
      <c r="E286" s="54" t="str">
        <f t="shared" si="1"/>
        <v>₹511,473.12</v>
      </c>
      <c r="F286" s="55" t="str">
        <f t="shared" si="2"/>
        <v>20.0%</v>
      </c>
      <c r="G286" s="54" t="str">
        <f t="shared" si="3"/>
        <v>₹102,294.62</v>
      </c>
      <c r="H286" s="54" t="str">
        <f t="shared" si="4"/>
        <v>₹8,524.55</v>
      </c>
      <c r="I286" s="54" t="str">
        <f>41410.86-H286</f>
        <v>₹32,886.31</v>
      </c>
    </row>
    <row r="287" ht="15.75" customHeight="1">
      <c r="A287" s="50" t="s">
        <v>321</v>
      </c>
      <c r="B287" s="50" t="s">
        <v>17</v>
      </c>
      <c r="C287" s="50" t="s">
        <v>18</v>
      </c>
      <c r="D287" s="51">
        <v>106497.41</v>
      </c>
      <c r="E287" s="51" t="str">
        <f t="shared" si="1"/>
        <v>₹1,277,968.92</v>
      </c>
      <c r="F287" s="52" t="str">
        <f t="shared" si="2"/>
        <v>30.0%</v>
      </c>
      <c r="G287" s="51" t="str">
        <f t="shared" si="3"/>
        <v>₹383,390.68</v>
      </c>
      <c r="H287" s="51" t="str">
        <f t="shared" si="4"/>
        <v>₹31,949.22</v>
      </c>
      <c r="I287" s="51" t="str">
        <f>84776.39-H287</f>
        <v>₹52,827.17</v>
      </c>
    </row>
    <row r="288" ht="15.75" customHeight="1">
      <c r="A288" s="53" t="s">
        <v>322</v>
      </c>
      <c r="B288" s="53" t="s">
        <v>36</v>
      </c>
      <c r="C288" s="53" t="s">
        <v>37</v>
      </c>
      <c r="D288" s="54">
        <v>66117.27</v>
      </c>
      <c r="E288" s="54" t="str">
        <f t="shared" si="1"/>
        <v>₹793,407.24</v>
      </c>
      <c r="F288" s="55" t="str">
        <f t="shared" si="2"/>
        <v>20.0%</v>
      </c>
      <c r="G288" s="54" t="str">
        <f t="shared" si="3"/>
        <v>₹158,681.45</v>
      </c>
      <c r="H288" s="54" t="str">
        <f t="shared" si="4"/>
        <v>₹13,223.45</v>
      </c>
      <c r="I288" s="54" t="str">
        <f>52587.65-H288</f>
        <v>₹39,364.20</v>
      </c>
    </row>
    <row r="289" ht="15.75" customHeight="1">
      <c r="A289" s="50" t="s">
        <v>323</v>
      </c>
      <c r="B289" s="50" t="s">
        <v>25</v>
      </c>
      <c r="C289" s="50" t="s">
        <v>54</v>
      </c>
      <c r="D289" s="51">
        <v>70418.32</v>
      </c>
      <c r="E289" s="51" t="str">
        <f t="shared" si="1"/>
        <v>₹845,019.84</v>
      </c>
      <c r="F289" s="52" t="str">
        <f t="shared" si="2"/>
        <v>20.0%</v>
      </c>
      <c r="G289" s="51" t="str">
        <f t="shared" si="3"/>
        <v>₹169,003.97</v>
      </c>
      <c r="H289" s="51" t="str">
        <f t="shared" si="4"/>
        <v>₹14,083.66</v>
      </c>
      <c r="I289" s="51" t="str">
        <f>64520.38-H289</f>
        <v>₹50,436.72</v>
      </c>
    </row>
    <row r="290" ht="15.75" customHeight="1">
      <c r="A290" s="53" t="s">
        <v>324</v>
      </c>
      <c r="B290" s="53" t="s">
        <v>53</v>
      </c>
      <c r="C290" s="53" t="s">
        <v>33</v>
      </c>
      <c r="D290" s="54">
        <v>41006.71</v>
      </c>
      <c r="E290" s="54" t="str">
        <f t="shared" si="1"/>
        <v>₹492,080.52</v>
      </c>
      <c r="F290" s="55" t="str">
        <f t="shared" si="2"/>
        <v>5.0%</v>
      </c>
      <c r="G290" s="54" t="str">
        <f t="shared" si="3"/>
        <v>₹24,604.03</v>
      </c>
      <c r="H290" s="54" t="str">
        <f t="shared" si="4"/>
        <v>₹2,050.34</v>
      </c>
      <c r="I290" s="54" t="str">
        <f>37929.68-H290</f>
        <v>₹35,879.34</v>
      </c>
    </row>
    <row r="291" ht="15.75" customHeight="1">
      <c r="A291" s="50" t="s">
        <v>325</v>
      </c>
      <c r="B291" s="50" t="s">
        <v>29</v>
      </c>
      <c r="C291" s="50" t="s">
        <v>14</v>
      </c>
      <c r="D291" s="51">
        <v>34379.97</v>
      </c>
      <c r="E291" s="51" t="str">
        <f t="shared" si="1"/>
        <v>₹412,559.64</v>
      </c>
      <c r="F291" s="52" t="str">
        <f t="shared" si="2"/>
        <v>5.0%</v>
      </c>
      <c r="G291" s="51" t="str">
        <f t="shared" si="3"/>
        <v>₹20,627.98</v>
      </c>
      <c r="H291" s="51" t="str">
        <f t="shared" si="4"/>
        <v>₹1,719.00</v>
      </c>
      <c r="I291" s="51" t="str">
        <f>28672.04-H291</f>
        <v>₹26,953.04</v>
      </c>
    </row>
    <row r="292" ht="15.75" customHeight="1">
      <c r="A292" s="53" t="s">
        <v>326</v>
      </c>
      <c r="B292" s="53" t="s">
        <v>17</v>
      </c>
      <c r="C292" s="53" t="s">
        <v>33</v>
      </c>
      <c r="D292" s="54">
        <v>47655.28</v>
      </c>
      <c r="E292" s="54" t="str">
        <f t="shared" si="1"/>
        <v>₹571,863.36</v>
      </c>
      <c r="F292" s="55" t="str">
        <f t="shared" si="2"/>
        <v>20.0%</v>
      </c>
      <c r="G292" s="54" t="str">
        <f t="shared" si="3"/>
        <v>₹114,372.67</v>
      </c>
      <c r="H292" s="54" t="str">
        <f t="shared" si="4"/>
        <v>₹9,531.06</v>
      </c>
      <c r="I292" s="54" t="str">
        <f>39134.58-H292</f>
        <v>₹29,603.52</v>
      </c>
    </row>
    <row r="293" ht="15.75" customHeight="1">
      <c r="A293" s="50" t="s">
        <v>327</v>
      </c>
      <c r="B293" s="50" t="s">
        <v>36</v>
      </c>
      <c r="C293" s="50" t="s">
        <v>54</v>
      </c>
      <c r="D293" s="51">
        <v>64601.11</v>
      </c>
      <c r="E293" s="51" t="str">
        <f t="shared" si="1"/>
        <v>₹775,213.32</v>
      </c>
      <c r="F293" s="52" t="str">
        <f t="shared" si="2"/>
        <v>20.0%</v>
      </c>
      <c r="G293" s="51" t="str">
        <f t="shared" si="3"/>
        <v>₹155,042.66</v>
      </c>
      <c r="H293" s="51" t="str">
        <f t="shared" si="4"/>
        <v>₹12,920.22</v>
      </c>
      <c r="I293" s="51" t="str">
        <f>64352.45-H293</f>
        <v>₹51,432.23</v>
      </c>
    </row>
    <row r="294" ht="15.75" customHeight="1">
      <c r="A294" s="53" t="s">
        <v>328</v>
      </c>
      <c r="B294" s="53" t="s">
        <v>25</v>
      </c>
      <c r="C294" s="53" t="s">
        <v>30</v>
      </c>
      <c r="D294" s="54">
        <v>38780.59</v>
      </c>
      <c r="E294" s="54" t="str">
        <f t="shared" si="1"/>
        <v>₹465,367.08</v>
      </c>
      <c r="F294" s="55" t="str">
        <f t="shared" si="2"/>
        <v>5.0%</v>
      </c>
      <c r="G294" s="54" t="str">
        <f t="shared" si="3"/>
        <v>₹23,268.35</v>
      </c>
      <c r="H294" s="54" t="str">
        <f t="shared" si="4"/>
        <v>₹1,939.03</v>
      </c>
      <c r="I294" s="54" t="str">
        <f>34532.64-H294</f>
        <v>₹32,593.61</v>
      </c>
    </row>
    <row r="295" ht="15.75" customHeight="1">
      <c r="A295" s="50" t="s">
        <v>329</v>
      </c>
      <c r="B295" s="50" t="s">
        <v>25</v>
      </c>
      <c r="C295" s="50" t="s">
        <v>33</v>
      </c>
      <c r="D295" s="51">
        <v>36256.47</v>
      </c>
      <c r="E295" s="51" t="str">
        <f t="shared" si="1"/>
        <v>₹435,077.64</v>
      </c>
      <c r="F295" s="52" t="str">
        <f t="shared" si="2"/>
        <v>5.0%</v>
      </c>
      <c r="G295" s="51" t="str">
        <f t="shared" si="3"/>
        <v>₹21,753.88</v>
      </c>
      <c r="H295" s="51" t="str">
        <f t="shared" si="4"/>
        <v>₹1,812.82</v>
      </c>
      <c r="I295" s="51" t="str">
        <f>34298.19-H295</f>
        <v>₹32,485.37</v>
      </c>
    </row>
    <row r="296" ht="15.75" customHeight="1">
      <c r="A296" s="53" t="s">
        <v>330</v>
      </c>
      <c r="B296" s="53" t="s">
        <v>25</v>
      </c>
      <c r="C296" s="53" t="s">
        <v>37</v>
      </c>
      <c r="D296" s="54">
        <v>70376.62</v>
      </c>
      <c r="E296" s="54" t="str">
        <f t="shared" si="1"/>
        <v>₹844,519.44</v>
      </c>
      <c r="F296" s="55" t="str">
        <f t="shared" si="2"/>
        <v>20.0%</v>
      </c>
      <c r="G296" s="54" t="str">
        <f t="shared" si="3"/>
        <v>₹168,903.89</v>
      </c>
      <c r="H296" s="54" t="str">
        <f t="shared" si="4"/>
        <v>₹14,075.32</v>
      </c>
      <c r="I296" s="54" t="str">
        <f>55922.86-H296</f>
        <v>₹41,847.54</v>
      </c>
    </row>
    <row r="297" ht="15.75" customHeight="1">
      <c r="A297" s="50" t="s">
        <v>331</v>
      </c>
      <c r="B297" s="50" t="s">
        <v>53</v>
      </c>
      <c r="C297" s="50" t="s">
        <v>14</v>
      </c>
      <c r="D297" s="51">
        <v>31908.57</v>
      </c>
      <c r="E297" s="51" t="str">
        <f t="shared" si="1"/>
        <v>₹382,902.84</v>
      </c>
      <c r="F297" s="52" t="str">
        <f t="shared" si="2"/>
        <v>5.0%</v>
      </c>
      <c r="G297" s="51" t="str">
        <f t="shared" si="3"/>
        <v>₹19,145.14</v>
      </c>
      <c r="H297" s="51" t="str">
        <f t="shared" si="4"/>
        <v>₹1,595.43</v>
      </c>
      <c r="I297" s="51" t="str">
        <f>27047.6-H297</f>
        <v>₹25,452.17</v>
      </c>
    </row>
    <row r="298" ht="15.75" customHeight="1">
      <c r="A298" s="53" t="s">
        <v>332</v>
      </c>
      <c r="B298" s="53" t="s">
        <v>36</v>
      </c>
      <c r="C298" s="53" t="s">
        <v>14</v>
      </c>
      <c r="D298" s="54">
        <v>30233.63</v>
      </c>
      <c r="E298" s="54" t="str">
        <f t="shared" si="1"/>
        <v>₹362,803.56</v>
      </c>
      <c r="F298" s="55" t="str">
        <f t="shared" si="2"/>
        <v>5.0%</v>
      </c>
      <c r="G298" s="54" t="str">
        <f t="shared" si="3"/>
        <v>₹18,140.18</v>
      </c>
      <c r="H298" s="54" t="str">
        <f t="shared" si="4"/>
        <v>₹1,511.68</v>
      </c>
      <c r="I298" s="54" t="str">
        <f>27430.97-H298</f>
        <v>₹25,919.29</v>
      </c>
    </row>
    <row r="299" ht="15.75" customHeight="1">
      <c r="A299" s="50" t="s">
        <v>333</v>
      </c>
      <c r="B299" s="50" t="s">
        <v>13</v>
      </c>
      <c r="C299" s="50" t="s">
        <v>14</v>
      </c>
      <c r="D299" s="51">
        <v>29869.82</v>
      </c>
      <c r="E299" s="51" t="str">
        <f t="shared" si="1"/>
        <v>₹358,437.84</v>
      </c>
      <c r="F299" s="52" t="str">
        <f t="shared" si="2"/>
        <v>5.0%</v>
      </c>
      <c r="G299" s="51" t="str">
        <f t="shared" si="3"/>
        <v>₹17,921.89</v>
      </c>
      <c r="H299" s="51" t="str">
        <f t="shared" si="4"/>
        <v>₹1,493.49</v>
      </c>
      <c r="I299" s="51" t="str">
        <f>23643.4-H299</f>
        <v>₹22,149.91</v>
      </c>
    </row>
    <row r="300" ht="15.75" customHeight="1">
      <c r="A300" s="53" t="s">
        <v>334</v>
      </c>
      <c r="B300" s="53" t="s">
        <v>53</v>
      </c>
      <c r="C300" s="53" t="s">
        <v>26</v>
      </c>
      <c r="D300" s="54">
        <v>177171.98</v>
      </c>
      <c r="E300" s="54" t="str">
        <f t="shared" si="1"/>
        <v>₹2,126,063.76</v>
      </c>
      <c r="F300" s="55" t="str">
        <f t="shared" si="2"/>
        <v>30.0%</v>
      </c>
      <c r="G300" s="54" t="str">
        <f t="shared" si="3"/>
        <v>₹637,819.13</v>
      </c>
      <c r="H300" s="54" t="str">
        <f t="shared" si="4"/>
        <v>₹53,151.59</v>
      </c>
      <c r="I300" s="54" t="str">
        <f>162462.03-H300</f>
        <v>₹109,310.44</v>
      </c>
    </row>
    <row r="301" ht="15.75" customHeight="1">
      <c r="A301" s="50" t="s">
        <v>335</v>
      </c>
      <c r="B301" s="50" t="s">
        <v>17</v>
      </c>
      <c r="C301" s="50" t="s">
        <v>18</v>
      </c>
      <c r="D301" s="51">
        <v>103180.51</v>
      </c>
      <c r="E301" s="51" t="str">
        <f t="shared" si="1"/>
        <v>₹1,238,166.12</v>
      </c>
      <c r="F301" s="52" t="str">
        <f t="shared" si="2"/>
        <v>30.0%</v>
      </c>
      <c r="G301" s="51" t="str">
        <f t="shared" si="3"/>
        <v>₹371,449.84</v>
      </c>
      <c r="H301" s="51" t="str">
        <f t="shared" si="4"/>
        <v>₹30,954.15</v>
      </c>
      <c r="I301" s="51" t="str">
        <f>86352.68-H301</f>
        <v>₹55,398.53</v>
      </c>
    </row>
    <row r="302" ht="15.75" customHeight="1">
      <c r="A302" s="53" t="s">
        <v>336</v>
      </c>
      <c r="B302" s="53" t="s">
        <v>25</v>
      </c>
      <c r="C302" s="53" t="s">
        <v>14</v>
      </c>
      <c r="D302" s="54">
        <v>29629.85</v>
      </c>
      <c r="E302" s="54" t="str">
        <f t="shared" si="1"/>
        <v>₹355,558.20</v>
      </c>
      <c r="F302" s="55" t="str">
        <f t="shared" si="2"/>
        <v>5.0%</v>
      </c>
      <c r="G302" s="54" t="str">
        <f t="shared" si="3"/>
        <v>₹17,777.91</v>
      </c>
      <c r="H302" s="54" t="str">
        <f t="shared" si="4"/>
        <v>₹1,481.49</v>
      </c>
      <c r="I302" s="54" t="str">
        <f>25769.35-H302</f>
        <v>₹24,287.86</v>
      </c>
    </row>
    <row r="303" ht="15.75" customHeight="1">
      <c r="A303" s="50" t="s">
        <v>337</v>
      </c>
      <c r="B303" s="50" t="s">
        <v>13</v>
      </c>
      <c r="C303" s="50" t="s">
        <v>26</v>
      </c>
      <c r="D303" s="51">
        <v>133466.06</v>
      </c>
      <c r="E303" s="51" t="str">
        <f t="shared" si="1"/>
        <v>₹1,601,592.72</v>
      </c>
      <c r="F303" s="52" t="str">
        <f t="shared" si="2"/>
        <v>30.0%</v>
      </c>
      <c r="G303" s="51" t="str">
        <f t="shared" si="3"/>
        <v>₹480,477.82</v>
      </c>
      <c r="H303" s="51" t="str">
        <f t="shared" si="4"/>
        <v>₹40,039.82</v>
      </c>
      <c r="I303" s="51" t="str">
        <f>116762.84-H303</f>
        <v>₹76,723.02</v>
      </c>
    </row>
    <row r="304" ht="15.75" customHeight="1">
      <c r="A304" s="53" t="s">
        <v>338</v>
      </c>
      <c r="B304" s="53" t="s">
        <v>51</v>
      </c>
      <c r="C304" s="53" t="s">
        <v>26</v>
      </c>
      <c r="D304" s="54">
        <v>164433.54</v>
      </c>
      <c r="E304" s="54" t="str">
        <f t="shared" si="1"/>
        <v>₹1,973,202.48</v>
      </c>
      <c r="F304" s="55" t="str">
        <f t="shared" si="2"/>
        <v>30.0%</v>
      </c>
      <c r="G304" s="54" t="str">
        <f t="shared" si="3"/>
        <v>₹591,960.74</v>
      </c>
      <c r="H304" s="54" t="str">
        <f t="shared" si="4"/>
        <v>₹49,330.06</v>
      </c>
      <c r="I304" s="54" t="str">
        <f>139806.51-H304</f>
        <v>₹90,476.45</v>
      </c>
    </row>
    <row r="305" ht="15.75" customHeight="1">
      <c r="A305" s="50" t="s">
        <v>339</v>
      </c>
      <c r="B305" s="50" t="s">
        <v>51</v>
      </c>
      <c r="C305" s="50" t="s">
        <v>26</v>
      </c>
      <c r="D305" s="51">
        <v>136895.15</v>
      </c>
      <c r="E305" s="51" t="str">
        <f t="shared" si="1"/>
        <v>₹1,642,741.80</v>
      </c>
      <c r="F305" s="52" t="str">
        <f t="shared" si="2"/>
        <v>30.0%</v>
      </c>
      <c r="G305" s="51" t="str">
        <f t="shared" si="3"/>
        <v>₹492,822.54</v>
      </c>
      <c r="H305" s="51" t="str">
        <f t="shared" si="4"/>
        <v>₹41,068.55</v>
      </c>
      <c r="I305" s="51" t="str">
        <f>110043.54-H305</f>
        <v>₹68,975.00</v>
      </c>
    </row>
    <row r="306" ht="15.75" customHeight="1">
      <c r="A306" s="53" t="s">
        <v>340</v>
      </c>
      <c r="B306" s="53" t="s">
        <v>29</v>
      </c>
      <c r="C306" s="53" t="s">
        <v>30</v>
      </c>
      <c r="D306" s="54">
        <v>29994.2</v>
      </c>
      <c r="E306" s="54" t="str">
        <f t="shared" si="1"/>
        <v>₹359,930.40</v>
      </c>
      <c r="F306" s="55" t="str">
        <f t="shared" si="2"/>
        <v>5.0%</v>
      </c>
      <c r="G306" s="54" t="str">
        <f t="shared" si="3"/>
        <v>₹17,996.52</v>
      </c>
      <c r="H306" s="54" t="str">
        <f t="shared" si="4"/>
        <v>₹1,499.71</v>
      </c>
      <c r="I306" s="54" t="str">
        <f>29712.77-H306</f>
        <v>₹28,213.06</v>
      </c>
    </row>
    <row r="307" ht="15.75" customHeight="1">
      <c r="A307" s="50" t="s">
        <v>341</v>
      </c>
      <c r="B307" s="50" t="s">
        <v>51</v>
      </c>
      <c r="C307" s="50" t="s">
        <v>33</v>
      </c>
      <c r="D307" s="51">
        <v>41602.35</v>
      </c>
      <c r="E307" s="51" t="str">
        <f t="shared" si="1"/>
        <v>₹499,228.20</v>
      </c>
      <c r="F307" s="52" t="str">
        <f t="shared" si="2"/>
        <v>5.0%</v>
      </c>
      <c r="G307" s="51" t="str">
        <f t="shared" si="3"/>
        <v>₹24,961.41</v>
      </c>
      <c r="H307" s="51" t="str">
        <f t="shared" si="4"/>
        <v>₹2,080.12</v>
      </c>
      <c r="I307" s="51" t="str">
        <f>34181.66-H307</f>
        <v>₹32,101.54</v>
      </c>
    </row>
    <row r="308" ht="15.75" customHeight="1">
      <c r="A308" s="53" t="s">
        <v>342</v>
      </c>
      <c r="B308" s="53" t="s">
        <v>29</v>
      </c>
      <c r="C308" s="53" t="s">
        <v>14</v>
      </c>
      <c r="D308" s="54">
        <v>32957.83</v>
      </c>
      <c r="E308" s="54" t="str">
        <f t="shared" si="1"/>
        <v>₹395,493.96</v>
      </c>
      <c r="F308" s="55" t="str">
        <f t="shared" si="2"/>
        <v>5.0%</v>
      </c>
      <c r="G308" s="54" t="str">
        <f t="shared" si="3"/>
        <v>₹19,774.70</v>
      </c>
      <c r="H308" s="54" t="str">
        <f t="shared" si="4"/>
        <v>₹1,647.89</v>
      </c>
      <c r="I308" s="54" t="str">
        <f>30107.04-H308</f>
        <v>₹28,459.15</v>
      </c>
    </row>
    <row r="309" ht="15.75" customHeight="1">
      <c r="A309" s="50" t="s">
        <v>343</v>
      </c>
      <c r="B309" s="50" t="s">
        <v>36</v>
      </c>
      <c r="C309" s="50" t="s">
        <v>33</v>
      </c>
      <c r="D309" s="51">
        <v>48605.76</v>
      </c>
      <c r="E309" s="51" t="str">
        <f t="shared" si="1"/>
        <v>₹583,269.12</v>
      </c>
      <c r="F309" s="52" t="str">
        <f t="shared" si="2"/>
        <v>20.0%</v>
      </c>
      <c r="G309" s="51" t="str">
        <f t="shared" si="3"/>
        <v>₹116,653.82</v>
      </c>
      <c r="H309" s="51" t="str">
        <f t="shared" si="4"/>
        <v>₹9,721.15</v>
      </c>
      <c r="I309" s="51" t="str">
        <f>43420.98-H309</f>
        <v>₹33,699.83</v>
      </c>
    </row>
    <row r="310" ht="15.75" customHeight="1">
      <c r="A310" s="53" t="s">
        <v>345</v>
      </c>
      <c r="B310" s="53" t="s">
        <v>29</v>
      </c>
      <c r="C310" s="53" t="s">
        <v>26</v>
      </c>
      <c r="D310" s="54">
        <v>128759.7</v>
      </c>
      <c r="E310" s="54" t="str">
        <f t="shared" si="1"/>
        <v>₹1,545,116.40</v>
      </c>
      <c r="F310" s="55" t="str">
        <f t="shared" si="2"/>
        <v>30.0%</v>
      </c>
      <c r="G310" s="54" t="str">
        <f t="shared" si="3"/>
        <v>₹463,534.92</v>
      </c>
      <c r="H310" s="54" t="str">
        <f t="shared" si="4"/>
        <v>₹38,627.91</v>
      </c>
      <c r="I310" s="54" t="str">
        <f>116749.12-H310</f>
        <v>₹78,121.21</v>
      </c>
    </row>
    <row r="311" ht="15.75" customHeight="1">
      <c r="A311" s="50" t="s">
        <v>346</v>
      </c>
      <c r="B311" s="50" t="s">
        <v>53</v>
      </c>
      <c r="C311" s="50" t="s">
        <v>33</v>
      </c>
      <c r="D311" s="51">
        <v>37127.52</v>
      </c>
      <c r="E311" s="51" t="str">
        <f t="shared" si="1"/>
        <v>₹445,530.24</v>
      </c>
      <c r="F311" s="52" t="str">
        <f t="shared" si="2"/>
        <v>5.0%</v>
      </c>
      <c r="G311" s="51" t="str">
        <f t="shared" si="3"/>
        <v>₹22,276.51</v>
      </c>
      <c r="H311" s="51" t="str">
        <f t="shared" si="4"/>
        <v>₹1,856.38</v>
      </c>
      <c r="I311" s="51" t="str">
        <f>31533.74-H311</f>
        <v>₹29,677.36</v>
      </c>
    </row>
    <row r="312" ht="15.75" customHeight="1">
      <c r="A312" s="53" t="s">
        <v>347</v>
      </c>
      <c r="B312" s="53" t="s">
        <v>36</v>
      </c>
      <c r="C312" s="53" t="s">
        <v>37</v>
      </c>
      <c r="D312" s="54">
        <v>77223.65</v>
      </c>
      <c r="E312" s="54" t="str">
        <f t="shared" si="1"/>
        <v>₹926,683.80</v>
      </c>
      <c r="F312" s="55" t="str">
        <f t="shared" si="2"/>
        <v>20.0%</v>
      </c>
      <c r="G312" s="54" t="str">
        <f t="shared" si="3"/>
        <v>₹185,336.76</v>
      </c>
      <c r="H312" s="54" t="str">
        <f t="shared" si="4"/>
        <v>₹15,444.73</v>
      </c>
      <c r="I312" s="54" t="str">
        <f>69510.57-H312</f>
        <v>₹54,065.84</v>
      </c>
    </row>
    <row r="313" ht="15.75" customHeight="1">
      <c r="A313" s="50" t="s">
        <v>348</v>
      </c>
      <c r="B313" s="50" t="s">
        <v>17</v>
      </c>
      <c r="C313" s="50" t="s">
        <v>18</v>
      </c>
      <c r="D313" s="51">
        <v>120085.58</v>
      </c>
      <c r="E313" s="51" t="str">
        <f t="shared" si="1"/>
        <v>₹1,441,026.96</v>
      </c>
      <c r="F313" s="52" t="str">
        <f t="shared" si="2"/>
        <v>30.0%</v>
      </c>
      <c r="G313" s="51" t="str">
        <f t="shared" si="3"/>
        <v>₹432,308.09</v>
      </c>
      <c r="H313" s="51" t="str">
        <f t="shared" si="4"/>
        <v>₹36,025.67</v>
      </c>
      <c r="I313" s="51" t="str">
        <f>93847.9-H313</f>
        <v>₹57,822.23</v>
      </c>
    </row>
    <row r="314" ht="15.75" customHeight="1">
      <c r="A314" s="53" t="s">
        <v>349</v>
      </c>
      <c r="B314" s="53" t="s">
        <v>13</v>
      </c>
      <c r="C314" s="53" t="s">
        <v>26</v>
      </c>
      <c r="D314" s="54">
        <v>163224.82</v>
      </c>
      <c r="E314" s="54" t="str">
        <f t="shared" si="1"/>
        <v>₹1,958,697.84</v>
      </c>
      <c r="F314" s="55" t="str">
        <f t="shared" si="2"/>
        <v>30.0%</v>
      </c>
      <c r="G314" s="54" t="str">
        <f t="shared" si="3"/>
        <v>₹587,609.35</v>
      </c>
      <c r="H314" s="54" t="str">
        <f t="shared" si="4"/>
        <v>₹48,967.45</v>
      </c>
      <c r="I314" s="54" t="str">
        <f>139485.53-H314</f>
        <v>₹90,518.08</v>
      </c>
    </row>
    <row r="315" ht="15.75" customHeight="1">
      <c r="A315" s="50" t="s">
        <v>350</v>
      </c>
      <c r="B315" s="50" t="s">
        <v>53</v>
      </c>
      <c r="C315" s="50" t="s">
        <v>26</v>
      </c>
      <c r="D315" s="51">
        <v>155838.8</v>
      </c>
      <c r="E315" s="51" t="str">
        <f t="shared" si="1"/>
        <v>₹1,870,065.60</v>
      </c>
      <c r="F315" s="52" t="str">
        <f t="shared" si="2"/>
        <v>30.0%</v>
      </c>
      <c r="G315" s="51" t="str">
        <f t="shared" si="3"/>
        <v>₹561,019.68</v>
      </c>
      <c r="H315" s="51" t="str">
        <f t="shared" si="4"/>
        <v>₹46,751.64</v>
      </c>
      <c r="I315" s="51" t="str">
        <f>154745.8-H315</f>
        <v>₹107,994.16</v>
      </c>
    </row>
    <row r="316" ht="15.75" customHeight="1">
      <c r="A316" s="53" t="s">
        <v>351</v>
      </c>
      <c r="B316" s="53" t="s">
        <v>13</v>
      </c>
      <c r="C316" s="53" t="s">
        <v>26</v>
      </c>
      <c r="D316" s="54">
        <v>140176.87</v>
      </c>
      <c r="E316" s="54" t="str">
        <f t="shared" si="1"/>
        <v>₹1,682,122.44</v>
      </c>
      <c r="F316" s="55" t="str">
        <f t="shared" si="2"/>
        <v>30.0%</v>
      </c>
      <c r="G316" s="54" t="str">
        <f t="shared" si="3"/>
        <v>₹504,636.73</v>
      </c>
      <c r="H316" s="54" t="str">
        <f t="shared" si="4"/>
        <v>₹42,053.06</v>
      </c>
      <c r="I316" s="54" t="str">
        <f>132688.2-H316</f>
        <v>₹90,635.14</v>
      </c>
    </row>
    <row r="317" ht="15.75" customHeight="1">
      <c r="A317" s="50" t="s">
        <v>352</v>
      </c>
      <c r="B317" s="50" t="s">
        <v>29</v>
      </c>
      <c r="C317" s="50" t="s">
        <v>33</v>
      </c>
      <c r="D317" s="51">
        <v>40747.67</v>
      </c>
      <c r="E317" s="51" t="str">
        <f t="shared" si="1"/>
        <v>₹488,972.04</v>
      </c>
      <c r="F317" s="52" t="str">
        <f t="shared" si="2"/>
        <v>5.0%</v>
      </c>
      <c r="G317" s="51" t="str">
        <f t="shared" si="3"/>
        <v>₹24,448.60</v>
      </c>
      <c r="H317" s="51" t="str">
        <f t="shared" si="4"/>
        <v>₹2,037.38</v>
      </c>
      <c r="I317" s="51" t="str">
        <f>35514.47-H317</f>
        <v>₹33,477.09</v>
      </c>
    </row>
    <row r="318" ht="15.75" customHeight="1">
      <c r="A318" s="53" t="s">
        <v>353</v>
      </c>
      <c r="B318" s="53" t="s">
        <v>36</v>
      </c>
      <c r="C318" s="53" t="s">
        <v>33</v>
      </c>
      <c r="D318" s="54">
        <v>41719.35</v>
      </c>
      <c r="E318" s="54" t="str">
        <f t="shared" si="1"/>
        <v>₹500,632.20</v>
      </c>
      <c r="F318" s="55" t="str">
        <f t="shared" si="2"/>
        <v>20.0%</v>
      </c>
      <c r="G318" s="54" t="str">
        <f t="shared" si="3"/>
        <v>₹100,126.44</v>
      </c>
      <c r="H318" s="54" t="str">
        <f t="shared" si="4"/>
        <v>₹8,343.87</v>
      </c>
      <c r="I318" s="54" t="str">
        <f>36774.42-H318</f>
        <v>₹28,430.55</v>
      </c>
    </row>
    <row r="319" ht="15.75" customHeight="1">
      <c r="A319" s="50" t="s">
        <v>354</v>
      </c>
      <c r="B319" s="50" t="s">
        <v>29</v>
      </c>
      <c r="C319" s="50" t="s">
        <v>54</v>
      </c>
      <c r="D319" s="51">
        <v>53417.97</v>
      </c>
      <c r="E319" s="51" t="str">
        <f t="shared" si="1"/>
        <v>₹641,015.64</v>
      </c>
      <c r="F319" s="52" t="str">
        <f t="shared" si="2"/>
        <v>20.0%</v>
      </c>
      <c r="G319" s="51" t="str">
        <f t="shared" si="3"/>
        <v>₹128,203.13</v>
      </c>
      <c r="H319" s="51" t="str">
        <f t="shared" si="4"/>
        <v>₹10,683.59</v>
      </c>
      <c r="I319" s="51" t="str">
        <f>42064.22-H319</f>
        <v>₹31,380.63</v>
      </c>
    </row>
    <row r="320" ht="15.75" customHeight="1">
      <c r="A320" s="53" t="s">
        <v>355</v>
      </c>
      <c r="B320" s="53" t="s">
        <v>13</v>
      </c>
      <c r="C320" s="53" t="s">
        <v>30</v>
      </c>
      <c r="D320" s="54">
        <v>36351.71</v>
      </c>
      <c r="E320" s="54" t="str">
        <f t="shared" si="1"/>
        <v>₹436,220.52</v>
      </c>
      <c r="F320" s="55" t="str">
        <f t="shared" si="2"/>
        <v>5.0%</v>
      </c>
      <c r="G320" s="54" t="str">
        <f t="shared" si="3"/>
        <v>₹21,811.03</v>
      </c>
      <c r="H320" s="54" t="str">
        <f t="shared" si="4"/>
        <v>₹1,817.59</v>
      </c>
      <c r="I320" s="54" t="str">
        <f>31904.68-H320</f>
        <v>₹30,087.09</v>
      </c>
    </row>
    <row r="321" ht="15.75" customHeight="1">
      <c r="A321" s="50" t="s">
        <v>356</v>
      </c>
      <c r="B321" s="50" t="s">
        <v>25</v>
      </c>
      <c r="C321" s="50" t="s">
        <v>33</v>
      </c>
      <c r="D321" s="51">
        <v>43027.47</v>
      </c>
      <c r="E321" s="51" t="str">
        <f t="shared" si="1"/>
        <v>₹516,329.64</v>
      </c>
      <c r="F321" s="52" t="str">
        <f t="shared" si="2"/>
        <v>20.0%</v>
      </c>
      <c r="G321" s="51" t="str">
        <f t="shared" si="3"/>
        <v>₹103,265.93</v>
      </c>
      <c r="H321" s="51" t="str">
        <f t="shared" si="4"/>
        <v>₹8,605.49</v>
      </c>
      <c r="I321" s="51" t="str">
        <f>37146.04-H321</f>
        <v>₹28,540.55</v>
      </c>
    </row>
    <row r="322" ht="15.75" customHeight="1">
      <c r="A322" s="53" t="s">
        <v>357</v>
      </c>
      <c r="B322" s="53" t="s">
        <v>36</v>
      </c>
      <c r="C322" s="53" t="s">
        <v>30</v>
      </c>
      <c r="D322" s="54">
        <v>33939.48</v>
      </c>
      <c r="E322" s="54" t="str">
        <f t="shared" si="1"/>
        <v>₹407,273.76</v>
      </c>
      <c r="F322" s="55" t="str">
        <f t="shared" si="2"/>
        <v>5.0%</v>
      </c>
      <c r="G322" s="54" t="str">
        <f t="shared" si="3"/>
        <v>₹20,363.69</v>
      </c>
      <c r="H322" s="54" t="str">
        <f t="shared" si="4"/>
        <v>₹1,696.97</v>
      </c>
      <c r="I322" s="54" t="str">
        <f>30809.64-H322</f>
        <v>₹29,112.67</v>
      </c>
    </row>
    <row r="323" ht="15.75" customHeight="1">
      <c r="A323" s="50" t="s">
        <v>358</v>
      </c>
      <c r="B323" s="50" t="s">
        <v>36</v>
      </c>
      <c r="C323" s="50" t="s">
        <v>14</v>
      </c>
      <c r="D323" s="51">
        <v>35598.91</v>
      </c>
      <c r="E323" s="51" t="str">
        <f t="shared" si="1"/>
        <v>₹427,186.92</v>
      </c>
      <c r="F323" s="52" t="str">
        <f t="shared" si="2"/>
        <v>5.0%</v>
      </c>
      <c r="G323" s="51" t="str">
        <f t="shared" si="3"/>
        <v>₹21,359.35</v>
      </c>
      <c r="H323" s="51" t="str">
        <f t="shared" si="4"/>
        <v>₹1,779.95</v>
      </c>
      <c r="I323" s="51" t="str">
        <f>28544.2-H323</f>
        <v>₹26,764.25</v>
      </c>
    </row>
    <row r="324" ht="15.75" customHeight="1">
      <c r="A324" s="53" t="s">
        <v>359</v>
      </c>
      <c r="B324" s="53" t="s">
        <v>29</v>
      </c>
      <c r="C324" s="53" t="s">
        <v>18</v>
      </c>
      <c r="D324" s="54">
        <v>93926.26</v>
      </c>
      <c r="E324" s="54" t="str">
        <f t="shared" si="1"/>
        <v>₹1,127,115.12</v>
      </c>
      <c r="F324" s="55" t="str">
        <f t="shared" si="2"/>
        <v>30.0%</v>
      </c>
      <c r="G324" s="54" t="str">
        <f t="shared" si="3"/>
        <v>₹338,134.54</v>
      </c>
      <c r="H324" s="54" t="str">
        <f t="shared" si="4"/>
        <v>₹28,177.88</v>
      </c>
      <c r="I324" s="54" t="str">
        <f>76093.81-H324</f>
        <v>₹47,915.93</v>
      </c>
    </row>
    <row r="325" ht="15.75" customHeight="1">
      <c r="A325" s="50" t="s">
        <v>360</v>
      </c>
      <c r="B325" s="50" t="s">
        <v>13</v>
      </c>
      <c r="C325" s="50" t="s">
        <v>18</v>
      </c>
      <c r="D325" s="51">
        <v>127208.72</v>
      </c>
      <c r="E325" s="51" t="str">
        <f t="shared" si="1"/>
        <v>₹1,526,504.64</v>
      </c>
      <c r="F325" s="52" t="str">
        <f t="shared" si="2"/>
        <v>30.0%</v>
      </c>
      <c r="G325" s="51" t="str">
        <f t="shared" si="3"/>
        <v>₹457,951.39</v>
      </c>
      <c r="H325" s="51" t="str">
        <f t="shared" si="4"/>
        <v>₹38,162.62</v>
      </c>
      <c r="I325" s="51" t="str">
        <f>105990.73-H325</f>
        <v>₹67,828.11</v>
      </c>
    </row>
    <row r="326" ht="15.75" customHeight="1">
      <c r="A326" s="53" t="s">
        <v>361</v>
      </c>
      <c r="B326" s="53" t="s">
        <v>17</v>
      </c>
      <c r="C326" s="53" t="s">
        <v>33</v>
      </c>
      <c r="D326" s="54">
        <v>41955.59</v>
      </c>
      <c r="E326" s="54" t="str">
        <f t="shared" si="1"/>
        <v>₹503,467.08</v>
      </c>
      <c r="F326" s="55" t="str">
        <f t="shared" si="2"/>
        <v>20.0%</v>
      </c>
      <c r="G326" s="54" t="str">
        <f t="shared" si="3"/>
        <v>₹100,693.42</v>
      </c>
      <c r="H326" s="54" t="str">
        <f t="shared" si="4"/>
        <v>₹8,391.12</v>
      </c>
      <c r="I326" s="54" t="str">
        <f>34592.39-H326</f>
        <v>₹26,201.27</v>
      </c>
    </row>
    <row r="327" ht="15.75" customHeight="1">
      <c r="A327" s="50" t="s">
        <v>362</v>
      </c>
      <c r="B327" s="50" t="s">
        <v>51</v>
      </c>
      <c r="C327" s="50" t="s">
        <v>37</v>
      </c>
      <c r="D327" s="51">
        <v>79992.4</v>
      </c>
      <c r="E327" s="51" t="str">
        <f t="shared" si="1"/>
        <v>₹959,908.80</v>
      </c>
      <c r="F327" s="52" t="str">
        <f t="shared" si="2"/>
        <v>20.0%</v>
      </c>
      <c r="G327" s="51" t="str">
        <f t="shared" si="3"/>
        <v>₹191,981.76</v>
      </c>
      <c r="H327" s="51" t="str">
        <f t="shared" si="4"/>
        <v>₹15,998.48</v>
      </c>
      <c r="I327" s="51" t="str">
        <f>72716.05-H327</f>
        <v>₹56,717.57</v>
      </c>
    </row>
    <row r="328" ht="15.75" customHeight="1">
      <c r="A328" s="53" t="s">
        <v>363</v>
      </c>
      <c r="B328" s="53" t="s">
        <v>13</v>
      </c>
      <c r="C328" s="53" t="s">
        <v>54</v>
      </c>
      <c r="D328" s="54">
        <v>61583.98</v>
      </c>
      <c r="E328" s="54" t="str">
        <f t="shared" si="1"/>
        <v>₹739,007.76</v>
      </c>
      <c r="F328" s="55" t="str">
        <f t="shared" si="2"/>
        <v>20.0%</v>
      </c>
      <c r="G328" s="54" t="str">
        <f t="shared" si="3"/>
        <v>₹147,801.55</v>
      </c>
      <c r="H328" s="54" t="str">
        <f t="shared" si="4"/>
        <v>₹12,316.80</v>
      </c>
      <c r="I328" s="54" t="str">
        <f>51121.05-H328</f>
        <v>₹38,804.25</v>
      </c>
    </row>
    <row r="329" ht="15.75" customHeight="1">
      <c r="A329" s="50" t="s">
        <v>364</v>
      </c>
      <c r="B329" s="50" t="s">
        <v>51</v>
      </c>
      <c r="C329" s="50" t="s">
        <v>33</v>
      </c>
      <c r="D329" s="51">
        <v>43678.35</v>
      </c>
      <c r="E329" s="51" t="str">
        <f t="shared" si="1"/>
        <v>₹524,140.20</v>
      </c>
      <c r="F329" s="52" t="str">
        <f t="shared" si="2"/>
        <v>20.0%</v>
      </c>
      <c r="G329" s="51" t="str">
        <f t="shared" si="3"/>
        <v>₹104,828.04</v>
      </c>
      <c r="H329" s="51" t="str">
        <f t="shared" si="4"/>
        <v>₹8,735.67</v>
      </c>
      <c r="I329" s="51" t="str">
        <f>37266.95-H329</f>
        <v>₹28,531.28</v>
      </c>
    </row>
    <row r="330" ht="15.75" customHeight="1">
      <c r="A330" s="53" t="s">
        <v>365</v>
      </c>
      <c r="B330" s="53" t="s">
        <v>51</v>
      </c>
      <c r="C330" s="53" t="s">
        <v>26</v>
      </c>
      <c r="D330" s="54">
        <v>168626.9</v>
      </c>
      <c r="E330" s="54" t="str">
        <f t="shared" si="1"/>
        <v>₹2,023,522.80</v>
      </c>
      <c r="F330" s="55" t="str">
        <f t="shared" si="2"/>
        <v>30.0%</v>
      </c>
      <c r="G330" s="54" t="str">
        <f t="shared" si="3"/>
        <v>₹607,056.84</v>
      </c>
      <c r="H330" s="54" t="str">
        <f t="shared" si="4"/>
        <v>₹50,588.07</v>
      </c>
      <c r="I330" s="54" t="str">
        <f>162180.52-H330</f>
        <v>₹111,592.45</v>
      </c>
    </row>
    <row r="331" ht="15.75" customHeight="1">
      <c r="A331" s="50" t="s">
        <v>366</v>
      </c>
      <c r="B331" s="50" t="s">
        <v>36</v>
      </c>
      <c r="C331" s="50" t="s">
        <v>37</v>
      </c>
      <c r="D331" s="51">
        <v>80491.06</v>
      </c>
      <c r="E331" s="51" t="str">
        <f t="shared" si="1"/>
        <v>₹965,892.72</v>
      </c>
      <c r="F331" s="52" t="str">
        <f t="shared" si="2"/>
        <v>20.0%</v>
      </c>
      <c r="G331" s="51" t="str">
        <f t="shared" si="3"/>
        <v>₹193,178.54</v>
      </c>
      <c r="H331" s="51" t="str">
        <f t="shared" si="4"/>
        <v>₹16,098.21</v>
      </c>
      <c r="I331" s="51" t="str">
        <f>78204.28-H331</f>
        <v>₹62,106.07</v>
      </c>
    </row>
    <row r="332" ht="15.75" customHeight="1">
      <c r="A332" s="53" t="s">
        <v>367</v>
      </c>
      <c r="B332" s="53" t="s">
        <v>29</v>
      </c>
      <c r="C332" s="53" t="s">
        <v>30</v>
      </c>
      <c r="D332" s="54">
        <v>34832.2</v>
      </c>
      <c r="E332" s="54" t="str">
        <f t="shared" si="1"/>
        <v>₹417,986.40</v>
      </c>
      <c r="F332" s="55" t="str">
        <f t="shared" si="2"/>
        <v>5.0%</v>
      </c>
      <c r="G332" s="54" t="str">
        <f t="shared" si="3"/>
        <v>₹20,899.32</v>
      </c>
      <c r="H332" s="54" t="str">
        <f t="shared" si="4"/>
        <v>₹1,741.61</v>
      </c>
      <c r="I332" s="54" t="str">
        <f>33247.69-H332</f>
        <v>₹31,506.08</v>
      </c>
    </row>
    <row r="333" ht="15.75" customHeight="1">
      <c r="A333" s="50" t="s">
        <v>368</v>
      </c>
      <c r="B333" s="50" t="s">
        <v>29</v>
      </c>
      <c r="C333" s="50" t="s">
        <v>26</v>
      </c>
      <c r="D333" s="51">
        <v>124335.54</v>
      </c>
      <c r="E333" s="51" t="str">
        <f t="shared" si="1"/>
        <v>₹1,492,026.48</v>
      </c>
      <c r="F333" s="52" t="str">
        <f t="shared" si="2"/>
        <v>30.0%</v>
      </c>
      <c r="G333" s="51" t="str">
        <f t="shared" si="3"/>
        <v>₹447,607.94</v>
      </c>
      <c r="H333" s="51" t="str">
        <f t="shared" si="4"/>
        <v>₹37,300.66</v>
      </c>
      <c r="I333" s="51" t="str">
        <f>97699.53-H333</f>
        <v>₹60,398.87</v>
      </c>
    </row>
    <row r="334" ht="15.75" customHeight="1">
      <c r="A334" s="53" t="s">
        <v>369</v>
      </c>
      <c r="B334" s="53" t="s">
        <v>51</v>
      </c>
      <c r="C334" s="53" t="s">
        <v>18</v>
      </c>
      <c r="D334" s="54">
        <v>102510.75</v>
      </c>
      <c r="E334" s="54" t="str">
        <f t="shared" si="1"/>
        <v>₹1,230,129.00</v>
      </c>
      <c r="F334" s="55" t="str">
        <f t="shared" si="2"/>
        <v>30.0%</v>
      </c>
      <c r="G334" s="54" t="str">
        <f t="shared" si="3"/>
        <v>₹369,038.70</v>
      </c>
      <c r="H334" s="54" t="str">
        <f t="shared" si="4"/>
        <v>₹30,753.23</v>
      </c>
      <c r="I334" s="54" t="str">
        <f>91523.48-H334</f>
        <v>₹60,770.26</v>
      </c>
    </row>
    <row r="335" ht="15.75" customHeight="1">
      <c r="A335" s="50" t="s">
        <v>370</v>
      </c>
      <c r="B335" s="50" t="s">
        <v>53</v>
      </c>
      <c r="C335" s="50" t="s">
        <v>37</v>
      </c>
      <c r="D335" s="51">
        <v>68402.41</v>
      </c>
      <c r="E335" s="51" t="str">
        <f t="shared" si="1"/>
        <v>₹820,828.92</v>
      </c>
      <c r="F335" s="52" t="str">
        <f t="shared" si="2"/>
        <v>20.0%</v>
      </c>
      <c r="G335" s="51" t="str">
        <f t="shared" si="3"/>
        <v>₹164,165.78</v>
      </c>
      <c r="H335" s="51" t="str">
        <f t="shared" si="4"/>
        <v>₹13,680.48</v>
      </c>
      <c r="I335" s="51" t="str">
        <f>58073.83-H335</f>
        <v>₹44,393.35</v>
      </c>
    </row>
    <row r="336" ht="15.75" customHeight="1">
      <c r="A336" s="53" t="s">
        <v>371</v>
      </c>
      <c r="B336" s="53" t="s">
        <v>29</v>
      </c>
      <c r="C336" s="53" t="s">
        <v>26</v>
      </c>
      <c r="D336" s="54">
        <v>161255.44</v>
      </c>
      <c r="E336" s="54" t="str">
        <f t="shared" si="1"/>
        <v>₹1,935,065.28</v>
      </c>
      <c r="F336" s="55" t="str">
        <f t="shared" si="2"/>
        <v>30.0%</v>
      </c>
      <c r="G336" s="54" t="str">
        <f t="shared" si="3"/>
        <v>₹580,519.58</v>
      </c>
      <c r="H336" s="54" t="str">
        <f t="shared" si="4"/>
        <v>₹48,376.63</v>
      </c>
      <c r="I336" s="54" t="str">
        <f>129314.16-H336</f>
        <v>₹80,937.53</v>
      </c>
    </row>
    <row r="337" ht="15.75" customHeight="1">
      <c r="A337" s="50" t="s">
        <v>372</v>
      </c>
      <c r="B337" s="50" t="s">
        <v>17</v>
      </c>
      <c r="C337" s="50" t="s">
        <v>18</v>
      </c>
      <c r="D337" s="51">
        <v>115062.17</v>
      </c>
      <c r="E337" s="51" t="str">
        <f t="shared" si="1"/>
        <v>₹1,380,746.04</v>
      </c>
      <c r="F337" s="52" t="str">
        <f t="shared" si="2"/>
        <v>30.0%</v>
      </c>
      <c r="G337" s="51" t="str">
        <f t="shared" si="3"/>
        <v>₹414,223.81</v>
      </c>
      <c r="H337" s="51" t="str">
        <f t="shared" si="4"/>
        <v>₹34,518.65</v>
      </c>
      <c r="I337" s="51" t="str">
        <f>109683.61-H337</f>
        <v>₹75,164.96</v>
      </c>
    </row>
    <row r="338" ht="15.75" customHeight="1">
      <c r="A338" s="53" t="s">
        <v>373</v>
      </c>
      <c r="B338" s="53" t="s">
        <v>36</v>
      </c>
      <c r="C338" s="53" t="s">
        <v>37</v>
      </c>
      <c r="D338" s="54">
        <v>93357.48</v>
      </c>
      <c r="E338" s="54" t="str">
        <f t="shared" si="1"/>
        <v>₹1,120,289.76</v>
      </c>
      <c r="F338" s="55" t="str">
        <f t="shared" si="2"/>
        <v>30.0%</v>
      </c>
      <c r="G338" s="54" t="str">
        <f t="shared" si="3"/>
        <v>₹336,086.93</v>
      </c>
      <c r="H338" s="54" t="str">
        <f t="shared" si="4"/>
        <v>₹28,007.24</v>
      </c>
      <c r="I338" s="54" t="str">
        <f>82726.7-H338</f>
        <v>₹54,719.46</v>
      </c>
    </row>
    <row r="339" ht="15.75" customHeight="1">
      <c r="A339" s="50" t="s">
        <v>374</v>
      </c>
      <c r="B339" s="50" t="s">
        <v>13</v>
      </c>
      <c r="C339" s="50" t="s">
        <v>33</v>
      </c>
      <c r="D339" s="51">
        <v>43578.96</v>
      </c>
      <c r="E339" s="51" t="str">
        <f t="shared" si="1"/>
        <v>₹522,947.52</v>
      </c>
      <c r="F339" s="52" t="str">
        <f t="shared" si="2"/>
        <v>20.0%</v>
      </c>
      <c r="G339" s="51" t="str">
        <f t="shared" si="3"/>
        <v>₹104,589.50</v>
      </c>
      <c r="H339" s="51" t="str">
        <f t="shared" si="4"/>
        <v>₹8,715.79</v>
      </c>
      <c r="I339" s="51" t="str">
        <f>37449.09-H339</f>
        <v>₹28,733.30</v>
      </c>
    </row>
    <row r="340" ht="15.75" customHeight="1">
      <c r="A340" s="53" t="s">
        <v>375</v>
      </c>
      <c r="B340" s="53" t="s">
        <v>36</v>
      </c>
      <c r="C340" s="53" t="s">
        <v>14</v>
      </c>
      <c r="D340" s="54">
        <v>30571.27</v>
      </c>
      <c r="E340" s="54" t="str">
        <f t="shared" si="1"/>
        <v>₹366,855.24</v>
      </c>
      <c r="F340" s="55" t="str">
        <f t="shared" si="2"/>
        <v>5.0%</v>
      </c>
      <c r="G340" s="54" t="str">
        <f t="shared" si="3"/>
        <v>₹18,342.76</v>
      </c>
      <c r="H340" s="54" t="str">
        <f t="shared" si="4"/>
        <v>₹1,528.56</v>
      </c>
      <c r="I340" s="54" t="str">
        <f>27708.71-H340</f>
        <v>₹26,180.15</v>
      </c>
    </row>
    <row r="341" ht="15.75" customHeight="1">
      <c r="A341" s="50" t="s">
        <v>376</v>
      </c>
      <c r="B341" s="50" t="s">
        <v>51</v>
      </c>
      <c r="C341" s="50" t="s">
        <v>33</v>
      </c>
      <c r="D341" s="51">
        <v>42328.76</v>
      </c>
      <c r="E341" s="51" t="str">
        <f t="shared" si="1"/>
        <v>₹507,945.12</v>
      </c>
      <c r="F341" s="52" t="str">
        <f t="shared" si="2"/>
        <v>20.0%</v>
      </c>
      <c r="G341" s="51" t="str">
        <f t="shared" si="3"/>
        <v>₹101,589.02</v>
      </c>
      <c r="H341" s="51" t="str">
        <f t="shared" si="4"/>
        <v>₹8,465.75</v>
      </c>
      <c r="I341" s="51" t="str">
        <f>35633.63-H341</f>
        <v>₹27,167.88</v>
      </c>
    </row>
    <row r="342" ht="15.75" customHeight="1">
      <c r="A342" s="53" t="s">
        <v>377</v>
      </c>
      <c r="B342" s="53" t="s">
        <v>25</v>
      </c>
      <c r="C342" s="53" t="s">
        <v>33</v>
      </c>
      <c r="D342" s="54">
        <v>46088.78</v>
      </c>
      <c r="E342" s="54" t="str">
        <f t="shared" si="1"/>
        <v>₹553,065.36</v>
      </c>
      <c r="F342" s="55" t="str">
        <f t="shared" si="2"/>
        <v>20.0%</v>
      </c>
      <c r="G342" s="54" t="str">
        <f t="shared" si="3"/>
        <v>₹110,613.07</v>
      </c>
      <c r="H342" s="54" t="str">
        <f t="shared" si="4"/>
        <v>₹9,217.76</v>
      </c>
      <c r="I342" s="54" t="str">
        <f>42225.48-H342</f>
        <v>₹33,007.72</v>
      </c>
    </row>
    <row r="343" ht="15.75" customHeight="1">
      <c r="A343" s="50" t="s">
        <v>378</v>
      </c>
      <c r="B343" s="50" t="s">
        <v>17</v>
      </c>
      <c r="C343" s="50" t="s">
        <v>33</v>
      </c>
      <c r="D343" s="51">
        <v>36314.44</v>
      </c>
      <c r="E343" s="51" t="str">
        <f t="shared" si="1"/>
        <v>₹435,773.28</v>
      </c>
      <c r="F343" s="52" t="str">
        <f t="shared" si="2"/>
        <v>5.0%</v>
      </c>
      <c r="G343" s="51" t="str">
        <f t="shared" si="3"/>
        <v>₹21,788.66</v>
      </c>
      <c r="H343" s="51" t="str">
        <f t="shared" si="4"/>
        <v>₹1,815.72</v>
      </c>
      <c r="I343" s="51" t="str">
        <f>32616.42-H343</f>
        <v>₹30,800.70</v>
      </c>
    </row>
    <row r="344" ht="15.75" customHeight="1">
      <c r="A344" s="53" t="s">
        <v>379</v>
      </c>
      <c r="B344" s="53" t="s">
        <v>17</v>
      </c>
      <c r="C344" s="53" t="s">
        <v>14</v>
      </c>
      <c r="D344" s="54">
        <v>27659.87</v>
      </c>
      <c r="E344" s="54" t="str">
        <f t="shared" si="1"/>
        <v>₹331,918.44</v>
      </c>
      <c r="F344" s="55" t="str">
        <f t="shared" si="2"/>
        <v>5.0%</v>
      </c>
      <c r="G344" s="54" t="str">
        <f t="shared" si="3"/>
        <v>₹16,595.92</v>
      </c>
      <c r="H344" s="54" t="str">
        <f t="shared" si="4"/>
        <v>₹1,382.99</v>
      </c>
      <c r="I344" s="54" t="str">
        <f>23951.08-H344</f>
        <v>₹22,568.09</v>
      </c>
    </row>
    <row r="345" ht="15.75" customHeight="1">
      <c r="A345" s="50" t="s">
        <v>380</v>
      </c>
      <c r="B345" s="50" t="s">
        <v>25</v>
      </c>
      <c r="C345" s="50" t="s">
        <v>30</v>
      </c>
      <c r="D345" s="51">
        <v>43351.57</v>
      </c>
      <c r="E345" s="51" t="str">
        <f t="shared" si="1"/>
        <v>₹520,218.84</v>
      </c>
      <c r="F345" s="52" t="str">
        <f t="shared" si="2"/>
        <v>20.0%</v>
      </c>
      <c r="G345" s="51" t="str">
        <f t="shared" si="3"/>
        <v>₹104,043.77</v>
      </c>
      <c r="H345" s="51" t="str">
        <f t="shared" si="4"/>
        <v>₹8,670.31</v>
      </c>
      <c r="I345" s="51" t="str">
        <f>37043.44-H345</f>
        <v>₹28,373.13</v>
      </c>
    </row>
    <row r="346" ht="15.75" customHeight="1">
      <c r="A346" s="53" t="s">
        <v>381</v>
      </c>
      <c r="B346" s="53" t="s">
        <v>25</v>
      </c>
      <c r="C346" s="53" t="s">
        <v>30</v>
      </c>
      <c r="D346" s="54">
        <v>37016.34</v>
      </c>
      <c r="E346" s="54" t="str">
        <f t="shared" si="1"/>
        <v>₹444,196.08</v>
      </c>
      <c r="F346" s="55" t="str">
        <f t="shared" si="2"/>
        <v>5.0%</v>
      </c>
      <c r="G346" s="54" t="str">
        <f t="shared" si="3"/>
        <v>₹22,209.80</v>
      </c>
      <c r="H346" s="54" t="str">
        <f t="shared" si="4"/>
        <v>₹1,850.82</v>
      </c>
      <c r="I346" s="54" t="str">
        <f>33068.45-H346</f>
        <v>₹31,217.63</v>
      </c>
    </row>
    <row r="347" ht="15.75" customHeight="1">
      <c r="A347" s="50" t="s">
        <v>382</v>
      </c>
      <c r="B347" s="50" t="s">
        <v>36</v>
      </c>
      <c r="C347" s="50" t="s">
        <v>14</v>
      </c>
      <c r="D347" s="51">
        <v>25709.51</v>
      </c>
      <c r="E347" s="51" t="str">
        <f t="shared" si="1"/>
        <v>₹308,514.12</v>
      </c>
      <c r="F347" s="52" t="str">
        <f t="shared" si="2"/>
        <v>5.0%</v>
      </c>
      <c r="G347" s="51" t="str">
        <f t="shared" si="3"/>
        <v>₹15,425.71</v>
      </c>
      <c r="H347" s="51" t="str">
        <f t="shared" si="4"/>
        <v>₹1,285.48</v>
      </c>
      <c r="I347" s="51" t="str">
        <f>23151.53-H347</f>
        <v>₹21,866.05</v>
      </c>
    </row>
    <row r="348" ht="15.75" customHeight="1">
      <c r="A348" s="53" t="s">
        <v>383</v>
      </c>
      <c r="B348" s="53" t="s">
        <v>51</v>
      </c>
      <c r="C348" s="53" t="s">
        <v>37</v>
      </c>
      <c r="D348" s="54">
        <v>67276.81</v>
      </c>
      <c r="E348" s="54" t="str">
        <f t="shared" si="1"/>
        <v>₹807,321.72</v>
      </c>
      <c r="F348" s="55" t="str">
        <f t="shared" si="2"/>
        <v>20.0%</v>
      </c>
      <c r="G348" s="54" t="str">
        <f t="shared" si="3"/>
        <v>₹161,464.34</v>
      </c>
      <c r="H348" s="54" t="str">
        <f t="shared" si="4"/>
        <v>₹13,455.36</v>
      </c>
      <c r="I348" s="54" t="str">
        <f>59652.65-H348</f>
        <v>₹46,197.29</v>
      </c>
    </row>
    <row r="349" ht="15.75" customHeight="1">
      <c r="A349" s="50" t="s">
        <v>384</v>
      </c>
      <c r="B349" s="50" t="s">
        <v>13</v>
      </c>
      <c r="C349" s="50" t="s">
        <v>54</v>
      </c>
      <c r="D349" s="51">
        <v>50764.4</v>
      </c>
      <c r="E349" s="51" t="str">
        <f t="shared" si="1"/>
        <v>₹609,172.80</v>
      </c>
      <c r="F349" s="52" t="str">
        <f t="shared" si="2"/>
        <v>20.0%</v>
      </c>
      <c r="G349" s="51" t="str">
        <f t="shared" si="3"/>
        <v>₹121,834.56</v>
      </c>
      <c r="H349" s="51" t="str">
        <f t="shared" si="4"/>
        <v>₹10,152.88</v>
      </c>
      <c r="I349" s="51" t="str">
        <f>49506.67-H349</f>
        <v>₹39,353.79</v>
      </c>
    </row>
    <row r="350" ht="15.75" customHeight="1">
      <c r="A350" s="53" t="s">
        <v>385</v>
      </c>
      <c r="B350" s="53" t="s">
        <v>36</v>
      </c>
      <c r="C350" s="53" t="s">
        <v>18</v>
      </c>
      <c r="D350" s="54">
        <v>102872.6</v>
      </c>
      <c r="E350" s="54" t="str">
        <f t="shared" si="1"/>
        <v>₹1,234,471.20</v>
      </c>
      <c r="F350" s="55" t="str">
        <f t="shared" si="2"/>
        <v>30.0%</v>
      </c>
      <c r="G350" s="54" t="str">
        <f t="shared" si="3"/>
        <v>₹370,341.36</v>
      </c>
      <c r="H350" s="54" t="str">
        <f t="shared" si="4"/>
        <v>₹30,861.78</v>
      </c>
      <c r="I350" s="54" t="str">
        <f>101861.29-H350</f>
        <v>₹70,999.51</v>
      </c>
    </row>
    <row r="351" ht="15.75" customHeight="1">
      <c r="A351" s="50" t="s">
        <v>386</v>
      </c>
      <c r="B351" s="50" t="s">
        <v>53</v>
      </c>
      <c r="C351" s="50" t="s">
        <v>37</v>
      </c>
      <c r="D351" s="51">
        <v>68421.62</v>
      </c>
      <c r="E351" s="51" t="str">
        <f t="shared" si="1"/>
        <v>₹821,059.44</v>
      </c>
      <c r="F351" s="52" t="str">
        <f t="shared" si="2"/>
        <v>20.0%</v>
      </c>
      <c r="G351" s="51" t="str">
        <f t="shared" si="3"/>
        <v>₹164,211.89</v>
      </c>
      <c r="H351" s="51" t="str">
        <f t="shared" si="4"/>
        <v>₹13,684.32</v>
      </c>
      <c r="I351" s="51" t="str">
        <f>67351.65-H351</f>
        <v>₹53,667.33</v>
      </c>
    </row>
    <row r="352" ht="15.75" customHeight="1">
      <c r="A352" s="53" t="s">
        <v>387</v>
      </c>
      <c r="B352" s="53" t="s">
        <v>36</v>
      </c>
      <c r="C352" s="53" t="s">
        <v>26</v>
      </c>
      <c r="D352" s="54">
        <v>160856.31</v>
      </c>
      <c r="E352" s="54" t="str">
        <f t="shared" si="1"/>
        <v>₹1,930,275.72</v>
      </c>
      <c r="F352" s="55" t="str">
        <f t="shared" si="2"/>
        <v>30.0%</v>
      </c>
      <c r="G352" s="54" t="str">
        <f t="shared" si="3"/>
        <v>₹579,082.72</v>
      </c>
      <c r="H352" s="54" t="str">
        <f t="shared" si="4"/>
        <v>₹48,256.89</v>
      </c>
      <c r="I352" s="54" t="str">
        <f>140327.69-H352</f>
        <v>₹92,070.80</v>
      </c>
    </row>
    <row r="353" ht="15.75" customHeight="1">
      <c r="A353" s="50" t="s">
        <v>388</v>
      </c>
      <c r="B353" s="50" t="s">
        <v>17</v>
      </c>
      <c r="C353" s="50" t="s">
        <v>30</v>
      </c>
      <c r="D353" s="51">
        <v>42164.12</v>
      </c>
      <c r="E353" s="51" t="str">
        <f t="shared" si="1"/>
        <v>₹505,969.44</v>
      </c>
      <c r="F353" s="52" t="str">
        <f t="shared" si="2"/>
        <v>20.0%</v>
      </c>
      <c r="G353" s="51" t="str">
        <f t="shared" si="3"/>
        <v>₹101,193.89</v>
      </c>
      <c r="H353" s="51" t="str">
        <f t="shared" si="4"/>
        <v>₹8,432.82</v>
      </c>
      <c r="I353" s="51" t="str">
        <f>34871.56-H353</f>
        <v>₹26,438.74</v>
      </c>
    </row>
    <row r="354" ht="15.75" customHeight="1">
      <c r="A354" s="53" t="s">
        <v>389</v>
      </c>
      <c r="B354" s="53" t="s">
        <v>53</v>
      </c>
      <c r="C354" s="53" t="s">
        <v>33</v>
      </c>
      <c r="D354" s="54">
        <v>43610.4</v>
      </c>
      <c r="E354" s="54" t="str">
        <f t="shared" si="1"/>
        <v>₹523,324.80</v>
      </c>
      <c r="F354" s="55" t="str">
        <f t="shared" si="2"/>
        <v>20.0%</v>
      </c>
      <c r="G354" s="54" t="str">
        <f t="shared" si="3"/>
        <v>₹104,664.96</v>
      </c>
      <c r="H354" s="54" t="str">
        <f t="shared" si="4"/>
        <v>₹8,722.08</v>
      </c>
      <c r="I354" s="54" t="str">
        <f>38638.87-H354</f>
        <v>₹29,916.79</v>
      </c>
    </row>
    <row r="355" ht="15.75" customHeight="1">
      <c r="A355" s="50" t="s">
        <v>390</v>
      </c>
      <c r="B355" s="50" t="s">
        <v>17</v>
      </c>
      <c r="C355" s="50" t="s">
        <v>14</v>
      </c>
      <c r="D355" s="51">
        <v>26373.15</v>
      </c>
      <c r="E355" s="51" t="str">
        <f t="shared" si="1"/>
        <v>₹316,477.80</v>
      </c>
      <c r="F355" s="52" t="str">
        <f t="shared" si="2"/>
        <v>5.0%</v>
      </c>
      <c r="G355" s="51" t="str">
        <f t="shared" si="3"/>
        <v>₹15,823.89</v>
      </c>
      <c r="H355" s="51" t="str">
        <f t="shared" si="4"/>
        <v>₹1,318.66</v>
      </c>
      <c r="I355" s="51" t="str">
        <f>21964.16-H355</f>
        <v>₹20,645.50</v>
      </c>
    </row>
    <row r="356" ht="15.75" customHeight="1">
      <c r="A356" s="53" t="s">
        <v>391</v>
      </c>
      <c r="B356" s="53" t="s">
        <v>36</v>
      </c>
      <c r="C356" s="53" t="s">
        <v>30</v>
      </c>
      <c r="D356" s="54">
        <v>38353.9</v>
      </c>
      <c r="E356" s="54" t="str">
        <f t="shared" si="1"/>
        <v>₹460,246.80</v>
      </c>
      <c r="F356" s="55" t="str">
        <f t="shared" si="2"/>
        <v>5.0%</v>
      </c>
      <c r="G356" s="54" t="str">
        <f t="shared" si="3"/>
        <v>₹23,012.34</v>
      </c>
      <c r="H356" s="54" t="str">
        <f t="shared" si="4"/>
        <v>₹1,917.70</v>
      </c>
      <c r="I356" s="54" t="str">
        <f>35664.41-H356</f>
        <v>₹33,746.72</v>
      </c>
    </row>
    <row r="357" ht="15.75" customHeight="1">
      <c r="A357" s="50" t="s">
        <v>392</v>
      </c>
      <c r="B357" s="50" t="s">
        <v>29</v>
      </c>
      <c r="C357" s="50" t="s">
        <v>30</v>
      </c>
      <c r="D357" s="51">
        <v>36234.37</v>
      </c>
      <c r="E357" s="51" t="str">
        <f t="shared" si="1"/>
        <v>₹434,812.44</v>
      </c>
      <c r="F357" s="52" t="str">
        <f t="shared" si="2"/>
        <v>5.0%</v>
      </c>
      <c r="G357" s="51" t="str">
        <f t="shared" si="3"/>
        <v>₹21,740.62</v>
      </c>
      <c r="H357" s="51" t="str">
        <f t="shared" si="4"/>
        <v>₹1,811.72</v>
      </c>
      <c r="I357" s="51" t="str">
        <f>29799.08-H357</f>
        <v>₹27,987.36</v>
      </c>
    </row>
    <row r="358" ht="15.75" customHeight="1">
      <c r="A358" s="53" t="s">
        <v>393</v>
      </c>
      <c r="B358" s="53" t="s">
        <v>29</v>
      </c>
      <c r="C358" s="53" t="s">
        <v>37</v>
      </c>
      <c r="D358" s="54">
        <v>84260.38</v>
      </c>
      <c r="E358" s="54" t="str">
        <f t="shared" si="1"/>
        <v>₹1,011,124.56</v>
      </c>
      <c r="F358" s="55" t="str">
        <f t="shared" si="2"/>
        <v>30.0%</v>
      </c>
      <c r="G358" s="54" t="str">
        <f t="shared" si="3"/>
        <v>₹303,337.37</v>
      </c>
      <c r="H358" s="54" t="str">
        <f t="shared" si="4"/>
        <v>₹25,278.11</v>
      </c>
      <c r="I358" s="54" t="str">
        <f>71522.37-H358</f>
        <v>₹46,244.26</v>
      </c>
    </row>
    <row r="359" ht="15.75" customHeight="1">
      <c r="A359" s="50" t="s">
        <v>394</v>
      </c>
      <c r="B359" s="50" t="s">
        <v>36</v>
      </c>
      <c r="C359" s="50" t="s">
        <v>26</v>
      </c>
      <c r="D359" s="51">
        <v>123780.6</v>
      </c>
      <c r="E359" s="51" t="str">
        <f t="shared" si="1"/>
        <v>₹1,485,367.20</v>
      </c>
      <c r="F359" s="52" t="str">
        <f t="shared" si="2"/>
        <v>30.0%</v>
      </c>
      <c r="G359" s="51" t="str">
        <f t="shared" si="3"/>
        <v>₹445,610.16</v>
      </c>
      <c r="H359" s="51" t="str">
        <f t="shared" si="4"/>
        <v>₹37,134.18</v>
      </c>
      <c r="I359" s="51" t="str">
        <f>120801.58-H359</f>
        <v>₹83,667.40</v>
      </c>
    </row>
    <row r="360" ht="15.75" customHeight="1">
      <c r="A360" s="53" t="s">
        <v>395</v>
      </c>
      <c r="B360" s="53" t="s">
        <v>53</v>
      </c>
      <c r="C360" s="53" t="s">
        <v>33</v>
      </c>
      <c r="D360" s="54">
        <v>47640.25</v>
      </c>
      <c r="E360" s="54" t="str">
        <f t="shared" si="1"/>
        <v>₹571,683.00</v>
      </c>
      <c r="F360" s="55" t="str">
        <f t="shared" si="2"/>
        <v>20.0%</v>
      </c>
      <c r="G360" s="54" t="str">
        <f t="shared" si="3"/>
        <v>₹114,336.60</v>
      </c>
      <c r="H360" s="54" t="str">
        <f t="shared" si="4"/>
        <v>₹9,528.05</v>
      </c>
      <c r="I360" s="54" t="str">
        <f>40835.32-H360</f>
        <v>₹31,307.27</v>
      </c>
    </row>
    <row r="361" ht="15.75" customHeight="1">
      <c r="A361" s="50" t="s">
        <v>396</v>
      </c>
      <c r="B361" s="50" t="s">
        <v>53</v>
      </c>
      <c r="C361" s="50" t="s">
        <v>54</v>
      </c>
      <c r="D361" s="51">
        <v>55409.22</v>
      </c>
      <c r="E361" s="51" t="str">
        <f t="shared" si="1"/>
        <v>₹664,910.64</v>
      </c>
      <c r="F361" s="52" t="str">
        <f t="shared" si="2"/>
        <v>20.0%</v>
      </c>
      <c r="G361" s="51" t="str">
        <f t="shared" si="3"/>
        <v>₹132,982.13</v>
      </c>
      <c r="H361" s="51" t="str">
        <f t="shared" si="4"/>
        <v>₹11,081.84</v>
      </c>
      <c r="I361" s="51" t="str">
        <f>44118.56-H361</f>
        <v>₹33,036.72</v>
      </c>
    </row>
    <row r="362" ht="15.75" customHeight="1">
      <c r="A362" s="53" t="s">
        <v>397</v>
      </c>
      <c r="B362" s="53" t="s">
        <v>53</v>
      </c>
      <c r="C362" s="53" t="s">
        <v>30</v>
      </c>
      <c r="D362" s="54">
        <v>40161.2</v>
      </c>
      <c r="E362" s="54" t="str">
        <f t="shared" si="1"/>
        <v>₹481,934.40</v>
      </c>
      <c r="F362" s="55" t="str">
        <f t="shared" si="2"/>
        <v>5.0%</v>
      </c>
      <c r="G362" s="54" t="str">
        <f t="shared" si="3"/>
        <v>₹24,096.72</v>
      </c>
      <c r="H362" s="54" t="str">
        <f t="shared" si="4"/>
        <v>₹2,008.06</v>
      </c>
      <c r="I362" s="54" t="str">
        <f>38711.08-H362</f>
        <v>₹36,703.02</v>
      </c>
    </row>
    <row r="363" ht="15.75" customHeight="1">
      <c r="A363" s="50" t="s">
        <v>398</v>
      </c>
      <c r="B363" s="50" t="s">
        <v>13</v>
      </c>
      <c r="C363" s="50" t="s">
        <v>37</v>
      </c>
      <c r="D363" s="51">
        <v>81107.68</v>
      </c>
      <c r="E363" s="51" t="str">
        <f t="shared" si="1"/>
        <v>₹973,292.16</v>
      </c>
      <c r="F363" s="52" t="str">
        <f t="shared" si="2"/>
        <v>20.0%</v>
      </c>
      <c r="G363" s="51" t="str">
        <f t="shared" si="3"/>
        <v>₹194,658.43</v>
      </c>
      <c r="H363" s="51" t="str">
        <f t="shared" si="4"/>
        <v>₹16,221.54</v>
      </c>
      <c r="I363" s="51" t="str">
        <f>66578.35-H363</f>
        <v>₹50,356.81</v>
      </c>
    </row>
    <row r="364" ht="15.75" customHeight="1">
      <c r="A364" s="53" t="s">
        <v>399</v>
      </c>
      <c r="B364" s="53" t="s">
        <v>17</v>
      </c>
      <c r="C364" s="53" t="s">
        <v>37</v>
      </c>
      <c r="D364" s="54">
        <v>82052.19</v>
      </c>
      <c r="E364" s="54" t="str">
        <f t="shared" si="1"/>
        <v>₹984,626.28</v>
      </c>
      <c r="F364" s="55" t="str">
        <f t="shared" si="2"/>
        <v>20.0%</v>
      </c>
      <c r="G364" s="54" t="str">
        <f t="shared" si="3"/>
        <v>₹196,925.26</v>
      </c>
      <c r="H364" s="54" t="str">
        <f t="shared" si="4"/>
        <v>₹16,410.44</v>
      </c>
      <c r="I364" s="54" t="str">
        <f>81699.57-H364</f>
        <v>₹65,289.13</v>
      </c>
    </row>
    <row r="365" ht="15.75" customHeight="1">
      <c r="A365" s="50" t="s">
        <v>400</v>
      </c>
      <c r="B365" s="50" t="s">
        <v>36</v>
      </c>
      <c r="C365" s="50" t="s">
        <v>30</v>
      </c>
      <c r="D365" s="51">
        <v>34369.57</v>
      </c>
      <c r="E365" s="51" t="str">
        <f t="shared" si="1"/>
        <v>₹412,434.84</v>
      </c>
      <c r="F365" s="52" t="str">
        <f t="shared" si="2"/>
        <v>5.0%</v>
      </c>
      <c r="G365" s="51" t="str">
        <f t="shared" si="3"/>
        <v>₹20,621.74</v>
      </c>
      <c r="H365" s="51" t="str">
        <f t="shared" si="4"/>
        <v>₹1,718.48</v>
      </c>
      <c r="I365" s="51" t="str">
        <f>30510.47-H365</f>
        <v>₹28,791.99</v>
      </c>
    </row>
    <row r="366" ht="15.75" customHeight="1">
      <c r="A366" s="53" t="s">
        <v>401</v>
      </c>
      <c r="B366" s="53" t="s">
        <v>36</v>
      </c>
      <c r="C366" s="53" t="s">
        <v>26</v>
      </c>
      <c r="D366" s="54">
        <v>174240.48</v>
      </c>
      <c r="E366" s="54" t="str">
        <f t="shared" si="1"/>
        <v>₹2,090,885.76</v>
      </c>
      <c r="F366" s="55" t="str">
        <f t="shared" si="2"/>
        <v>30.0%</v>
      </c>
      <c r="G366" s="54" t="str">
        <f t="shared" si="3"/>
        <v>₹627,265.73</v>
      </c>
      <c r="H366" s="54" t="str">
        <f t="shared" si="4"/>
        <v>₹52,272.14</v>
      </c>
      <c r="I366" s="54" t="str">
        <f>148717.9-H366</f>
        <v>₹96,445.76</v>
      </c>
    </row>
    <row r="367" ht="15.75" customHeight="1">
      <c r="A367" s="50" t="s">
        <v>402</v>
      </c>
      <c r="B367" s="50" t="s">
        <v>51</v>
      </c>
      <c r="C367" s="50" t="s">
        <v>54</v>
      </c>
      <c r="D367" s="51">
        <v>65371.23</v>
      </c>
      <c r="E367" s="51" t="str">
        <f t="shared" si="1"/>
        <v>₹784,454.76</v>
      </c>
      <c r="F367" s="52" t="str">
        <f t="shared" si="2"/>
        <v>20.0%</v>
      </c>
      <c r="G367" s="51" t="str">
        <f t="shared" si="3"/>
        <v>₹156,890.95</v>
      </c>
      <c r="H367" s="51" t="str">
        <f t="shared" si="4"/>
        <v>₹13,074.25</v>
      </c>
      <c r="I367" s="51" t="str">
        <f>60293.97-H367</f>
        <v>₹47,219.72</v>
      </c>
    </row>
    <row r="368" ht="15.75" customHeight="1">
      <c r="A368" s="53" t="s">
        <v>403</v>
      </c>
      <c r="B368" s="53" t="s">
        <v>13</v>
      </c>
      <c r="C368" s="53" t="s">
        <v>18</v>
      </c>
      <c r="D368" s="54">
        <v>116204.94</v>
      </c>
      <c r="E368" s="54" t="str">
        <f t="shared" si="1"/>
        <v>₹1,394,459.28</v>
      </c>
      <c r="F368" s="55" t="str">
        <f t="shared" si="2"/>
        <v>30.0%</v>
      </c>
      <c r="G368" s="54" t="str">
        <f t="shared" si="3"/>
        <v>₹418,337.78</v>
      </c>
      <c r="H368" s="54" t="str">
        <f t="shared" si="4"/>
        <v>₹34,861.48</v>
      </c>
      <c r="I368" s="54" t="str">
        <f>103728.35-H368</f>
        <v>₹68,866.87</v>
      </c>
    </row>
    <row r="369" ht="15.75" customHeight="1">
      <c r="A369" s="50" t="s">
        <v>404</v>
      </c>
      <c r="B369" s="50" t="s">
        <v>29</v>
      </c>
      <c r="C369" s="50" t="s">
        <v>37</v>
      </c>
      <c r="D369" s="51">
        <v>74969.96</v>
      </c>
      <c r="E369" s="51" t="str">
        <f t="shared" si="1"/>
        <v>₹899,639.52</v>
      </c>
      <c r="F369" s="52" t="str">
        <f t="shared" si="2"/>
        <v>20.0%</v>
      </c>
      <c r="G369" s="51" t="str">
        <f t="shared" si="3"/>
        <v>₹179,927.90</v>
      </c>
      <c r="H369" s="51" t="str">
        <f t="shared" si="4"/>
        <v>₹14,993.99</v>
      </c>
      <c r="I369" s="51" t="str">
        <f>60126.15-H369</f>
        <v>₹45,132.16</v>
      </c>
    </row>
    <row r="370" ht="15.75" customHeight="1">
      <c r="A370" s="53" t="s">
        <v>405</v>
      </c>
      <c r="B370" s="53" t="s">
        <v>13</v>
      </c>
      <c r="C370" s="53" t="s">
        <v>30</v>
      </c>
      <c r="D370" s="54">
        <v>39242.01</v>
      </c>
      <c r="E370" s="54" t="str">
        <f t="shared" si="1"/>
        <v>₹470,904.12</v>
      </c>
      <c r="F370" s="55" t="str">
        <f t="shared" si="2"/>
        <v>5.0%</v>
      </c>
      <c r="G370" s="54" t="str">
        <f t="shared" si="3"/>
        <v>₹23,545.21</v>
      </c>
      <c r="H370" s="54" t="str">
        <f t="shared" si="4"/>
        <v>₹1,962.10</v>
      </c>
      <c r="I370" s="54" t="str">
        <f>35200.99-H370</f>
        <v>₹33,238.89</v>
      </c>
    </row>
    <row r="371" ht="15.75" customHeight="1">
      <c r="A371" s="50" t="s">
        <v>406</v>
      </c>
      <c r="B371" s="50" t="s">
        <v>25</v>
      </c>
      <c r="C371" s="50" t="s">
        <v>18</v>
      </c>
      <c r="D371" s="51">
        <v>95500.54</v>
      </c>
      <c r="E371" s="51" t="str">
        <f t="shared" si="1"/>
        <v>₹1,146,006.48</v>
      </c>
      <c r="F371" s="52" t="str">
        <f t="shared" si="2"/>
        <v>30.0%</v>
      </c>
      <c r="G371" s="51" t="str">
        <f t="shared" si="3"/>
        <v>₹343,801.94</v>
      </c>
      <c r="H371" s="51" t="str">
        <f t="shared" si="4"/>
        <v>₹28,650.16</v>
      </c>
      <c r="I371" s="51" t="str">
        <f>80863.19-H371</f>
        <v>₹52,213.03</v>
      </c>
    </row>
    <row r="372" ht="15.75" customHeight="1">
      <c r="A372" s="53" t="s">
        <v>407</v>
      </c>
      <c r="B372" s="53" t="s">
        <v>36</v>
      </c>
      <c r="C372" s="53" t="s">
        <v>26</v>
      </c>
      <c r="D372" s="54">
        <v>148988.51</v>
      </c>
      <c r="E372" s="54" t="str">
        <f t="shared" si="1"/>
        <v>₹1,787,862.12</v>
      </c>
      <c r="F372" s="55" t="str">
        <f t="shared" si="2"/>
        <v>30.0%</v>
      </c>
      <c r="G372" s="54" t="str">
        <f t="shared" si="3"/>
        <v>₹536,358.64</v>
      </c>
      <c r="H372" s="54" t="str">
        <f t="shared" si="4"/>
        <v>₹44,696.55</v>
      </c>
      <c r="I372" s="54" t="str">
        <f>144487.67-H372</f>
        <v>₹99,791.12</v>
      </c>
    </row>
    <row r="373" ht="15.75" customHeight="1">
      <c r="A373" s="50" t="s">
        <v>408</v>
      </c>
      <c r="B373" s="50" t="s">
        <v>29</v>
      </c>
      <c r="C373" s="50" t="s">
        <v>18</v>
      </c>
      <c r="D373" s="51">
        <v>99563.05</v>
      </c>
      <c r="E373" s="51" t="str">
        <f t="shared" si="1"/>
        <v>₹1,194,756.60</v>
      </c>
      <c r="F373" s="52" t="str">
        <f t="shared" si="2"/>
        <v>30.0%</v>
      </c>
      <c r="G373" s="51" t="str">
        <f t="shared" si="3"/>
        <v>₹358,426.98</v>
      </c>
      <c r="H373" s="51" t="str">
        <f t="shared" si="4"/>
        <v>₹29,868.92</v>
      </c>
      <c r="I373" s="51" t="str">
        <f>86367.23-H373</f>
        <v>₹56,498.32</v>
      </c>
    </row>
    <row r="374" ht="15.75" customHeight="1">
      <c r="A374" s="53" t="s">
        <v>409</v>
      </c>
      <c r="B374" s="53" t="s">
        <v>36</v>
      </c>
      <c r="C374" s="53" t="s">
        <v>30</v>
      </c>
      <c r="D374" s="54">
        <v>33472.94</v>
      </c>
      <c r="E374" s="54" t="str">
        <f t="shared" si="1"/>
        <v>₹401,675.28</v>
      </c>
      <c r="F374" s="55" t="str">
        <f t="shared" si="2"/>
        <v>5.0%</v>
      </c>
      <c r="G374" s="54" t="str">
        <f t="shared" si="3"/>
        <v>₹20,083.76</v>
      </c>
      <c r="H374" s="54" t="str">
        <f t="shared" si="4"/>
        <v>₹1,673.65</v>
      </c>
      <c r="I374" s="54" t="str">
        <f>26817.25-H374</f>
        <v>₹25,143.60</v>
      </c>
    </row>
    <row r="375" ht="15.75" customHeight="1">
      <c r="A375" s="50" t="s">
        <v>410</v>
      </c>
      <c r="B375" s="50" t="s">
        <v>29</v>
      </c>
      <c r="C375" s="50" t="s">
        <v>30</v>
      </c>
      <c r="D375" s="51">
        <v>33251.9</v>
      </c>
      <c r="E375" s="51" t="str">
        <f t="shared" si="1"/>
        <v>₹399,022.80</v>
      </c>
      <c r="F375" s="52" t="str">
        <f t="shared" si="2"/>
        <v>5.0%</v>
      </c>
      <c r="G375" s="51" t="str">
        <f t="shared" si="3"/>
        <v>₹19,951.14</v>
      </c>
      <c r="H375" s="51" t="str">
        <f t="shared" si="4"/>
        <v>₹1,662.60</v>
      </c>
      <c r="I375" s="51" t="str">
        <f>18421.72-H375</f>
        <v>₹16,759.13</v>
      </c>
    </row>
    <row r="376" ht="15.75" customHeight="1">
      <c r="A376" s="53" t="s">
        <v>411</v>
      </c>
      <c r="B376" s="53" t="s">
        <v>13</v>
      </c>
      <c r="C376" s="53" t="s">
        <v>37</v>
      </c>
      <c r="D376" s="54">
        <v>66065.41</v>
      </c>
      <c r="E376" s="54" t="str">
        <f t="shared" si="1"/>
        <v>₹792,784.92</v>
      </c>
      <c r="F376" s="55" t="str">
        <f t="shared" si="2"/>
        <v>20.0%</v>
      </c>
      <c r="G376" s="54" t="str">
        <f t="shared" si="3"/>
        <v>₹158,556.98</v>
      </c>
      <c r="H376" s="54" t="str">
        <f t="shared" si="4"/>
        <v>₹13,213.08</v>
      </c>
      <c r="I376" s="54" t="str">
        <f>64590.63-H376</f>
        <v>₹51,377.55</v>
      </c>
    </row>
    <row r="377" ht="15.75" customHeight="1">
      <c r="A377" s="50" t="s">
        <v>412</v>
      </c>
      <c r="B377" s="50" t="s">
        <v>13</v>
      </c>
      <c r="C377" s="50" t="s">
        <v>54</v>
      </c>
      <c r="D377" s="51">
        <v>52942.27</v>
      </c>
      <c r="E377" s="51" t="str">
        <f t="shared" si="1"/>
        <v>₹635,307.24</v>
      </c>
      <c r="F377" s="52" t="str">
        <f t="shared" si="2"/>
        <v>20.0%</v>
      </c>
      <c r="G377" s="51" t="str">
        <f t="shared" si="3"/>
        <v>₹127,061.45</v>
      </c>
      <c r="H377" s="51" t="str">
        <f t="shared" si="4"/>
        <v>₹10,588.45</v>
      </c>
      <c r="I377" s="51" t="str">
        <f>38614.89-H377</f>
        <v>₹28,026.44</v>
      </c>
    </row>
    <row r="378" ht="15.75" customHeight="1">
      <c r="A378" s="53" t="s">
        <v>413</v>
      </c>
      <c r="B378" s="53" t="s">
        <v>51</v>
      </c>
      <c r="C378" s="53" t="s">
        <v>54</v>
      </c>
      <c r="D378" s="54">
        <v>65157.09</v>
      </c>
      <c r="E378" s="54" t="str">
        <f t="shared" si="1"/>
        <v>₹781,885.08</v>
      </c>
      <c r="F378" s="55" t="str">
        <f t="shared" si="2"/>
        <v>20.0%</v>
      </c>
      <c r="G378" s="54" t="str">
        <f t="shared" si="3"/>
        <v>₹156,377.02</v>
      </c>
      <c r="H378" s="54" t="str">
        <f t="shared" si="4"/>
        <v>₹13,031.42</v>
      </c>
      <c r="I378" s="54" t="str">
        <f>58857.8-H378</f>
        <v>₹45,826.38</v>
      </c>
    </row>
    <row r="379" ht="15.75" customHeight="1">
      <c r="A379" s="50" t="s">
        <v>414</v>
      </c>
      <c r="B379" s="50" t="s">
        <v>51</v>
      </c>
      <c r="C379" s="50" t="s">
        <v>26</v>
      </c>
      <c r="D379" s="51">
        <v>170121.16</v>
      </c>
      <c r="E379" s="51" t="str">
        <f t="shared" si="1"/>
        <v>₹2,041,453.92</v>
      </c>
      <c r="F379" s="52" t="str">
        <f t="shared" si="2"/>
        <v>30.0%</v>
      </c>
      <c r="G379" s="51" t="str">
        <f t="shared" si="3"/>
        <v>₹612,436.18</v>
      </c>
      <c r="H379" s="51" t="str">
        <f t="shared" si="4"/>
        <v>₹51,036.35</v>
      </c>
      <c r="I379" s="51" t="str">
        <f>145957.94-H379</f>
        <v>₹94,921.59</v>
      </c>
    </row>
    <row r="380" ht="15.75" customHeight="1">
      <c r="A380" s="53" t="s">
        <v>415</v>
      </c>
      <c r="B380" s="53" t="s">
        <v>13</v>
      </c>
      <c r="C380" s="53" t="s">
        <v>37</v>
      </c>
      <c r="D380" s="54">
        <v>71199.66</v>
      </c>
      <c r="E380" s="54" t="str">
        <f t="shared" si="1"/>
        <v>₹854,395.92</v>
      </c>
      <c r="F380" s="55" t="str">
        <f t="shared" si="2"/>
        <v>20.0%</v>
      </c>
      <c r="G380" s="54" t="str">
        <f t="shared" si="3"/>
        <v>₹170,879.18</v>
      </c>
      <c r="H380" s="54" t="str">
        <f t="shared" si="4"/>
        <v>₹14,239.93</v>
      </c>
      <c r="I380" s="54" t="str">
        <f>58653.86-H380</f>
        <v>₹44,413.93</v>
      </c>
    </row>
    <row r="381" ht="15.75" customHeight="1">
      <c r="A381" s="50" t="s">
        <v>416</v>
      </c>
      <c r="B381" s="50" t="s">
        <v>51</v>
      </c>
      <c r="C381" s="50" t="s">
        <v>54</v>
      </c>
      <c r="D381" s="51">
        <v>63221.63</v>
      </c>
      <c r="E381" s="51" t="str">
        <f t="shared" si="1"/>
        <v>₹758,659.56</v>
      </c>
      <c r="F381" s="52" t="str">
        <f t="shared" si="2"/>
        <v>20.0%</v>
      </c>
      <c r="G381" s="51" t="str">
        <f t="shared" si="3"/>
        <v>₹151,731.91</v>
      </c>
      <c r="H381" s="51" t="str">
        <f t="shared" si="4"/>
        <v>₹12,644.33</v>
      </c>
      <c r="I381" s="51" t="str">
        <f>50157.82-H381</f>
        <v>₹37,513.49</v>
      </c>
    </row>
    <row r="382" ht="15.75" customHeight="1">
      <c r="A382" s="53" t="s">
        <v>417</v>
      </c>
      <c r="B382" s="53" t="s">
        <v>25</v>
      </c>
      <c r="C382" s="53" t="s">
        <v>54</v>
      </c>
      <c r="D382" s="54">
        <v>54524.63</v>
      </c>
      <c r="E382" s="54" t="str">
        <f t="shared" si="1"/>
        <v>₹654,295.56</v>
      </c>
      <c r="F382" s="55" t="str">
        <f t="shared" si="2"/>
        <v>20.0%</v>
      </c>
      <c r="G382" s="54" t="str">
        <f t="shared" si="3"/>
        <v>₹130,859.11</v>
      </c>
      <c r="H382" s="54" t="str">
        <f t="shared" si="4"/>
        <v>₹10,904.93</v>
      </c>
      <c r="I382" s="54" t="str">
        <f>44683-H382</f>
        <v>₹33,778.07</v>
      </c>
    </row>
    <row r="383" ht="15.75" customHeight="1">
      <c r="A383" s="50" t="s">
        <v>418</v>
      </c>
      <c r="B383" s="50" t="s">
        <v>17</v>
      </c>
      <c r="C383" s="50" t="s">
        <v>14</v>
      </c>
      <c r="D383" s="51">
        <v>28621.97</v>
      </c>
      <c r="E383" s="51" t="str">
        <f t="shared" si="1"/>
        <v>₹343,463.64</v>
      </c>
      <c r="F383" s="52" t="str">
        <f t="shared" si="2"/>
        <v>5.0%</v>
      </c>
      <c r="G383" s="51" t="str">
        <f t="shared" si="3"/>
        <v>₹17,173.18</v>
      </c>
      <c r="H383" s="51" t="str">
        <f t="shared" si="4"/>
        <v>₹1,431.10</v>
      </c>
      <c r="I383" s="51" t="str">
        <f>23009.9-H383</f>
        <v>₹21,578.80</v>
      </c>
    </row>
    <row r="384" ht="15.75" customHeight="1">
      <c r="A384" s="53" t="s">
        <v>419</v>
      </c>
      <c r="B384" s="53" t="s">
        <v>25</v>
      </c>
      <c r="C384" s="53" t="s">
        <v>37</v>
      </c>
      <c r="D384" s="54">
        <v>71511.85</v>
      </c>
      <c r="E384" s="54" t="str">
        <f t="shared" si="1"/>
        <v>₹858,142.20</v>
      </c>
      <c r="F384" s="55" t="str">
        <f t="shared" si="2"/>
        <v>20.0%</v>
      </c>
      <c r="G384" s="54" t="str">
        <f t="shared" si="3"/>
        <v>₹171,628.44</v>
      </c>
      <c r="H384" s="54" t="str">
        <f t="shared" si="4"/>
        <v>₹14,302.37</v>
      </c>
      <c r="I384" s="54" t="str">
        <f>69706.43-H384</f>
        <v>₹55,404.06</v>
      </c>
    </row>
    <row r="385" ht="15.75" customHeight="1">
      <c r="A385" s="50" t="s">
        <v>420</v>
      </c>
      <c r="B385" s="50" t="s">
        <v>13</v>
      </c>
      <c r="C385" s="50" t="s">
        <v>54</v>
      </c>
      <c r="D385" s="51">
        <v>63633.38</v>
      </c>
      <c r="E385" s="51" t="str">
        <f t="shared" si="1"/>
        <v>₹763,600.56</v>
      </c>
      <c r="F385" s="52" t="str">
        <f t="shared" si="2"/>
        <v>20.0%</v>
      </c>
      <c r="G385" s="51" t="str">
        <f t="shared" si="3"/>
        <v>₹152,720.11</v>
      </c>
      <c r="H385" s="51" t="str">
        <f t="shared" si="4"/>
        <v>₹12,726.68</v>
      </c>
      <c r="I385" s="51" t="str">
        <f>63447.15-H385</f>
        <v>₹50,720.47</v>
      </c>
    </row>
    <row r="386" ht="15.75" customHeight="1">
      <c r="A386" s="53" t="s">
        <v>421</v>
      </c>
      <c r="B386" s="53" t="s">
        <v>25</v>
      </c>
      <c r="C386" s="53" t="s">
        <v>33</v>
      </c>
      <c r="D386" s="54">
        <v>44527.51</v>
      </c>
      <c r="E386" s="54" t="str">
        <f t="shared" si="1"/>
        <v>₹534,330.12</v>
      </c>
      <c r="F386" s="55" t="str">
        <f t="shared" si="2"/>
        <v>20.0%</v>
      </c>
      <c r="G386" s="54" t="str">
        <f t="shared" si="3"/>
        <v>₹106,866.02</v>
      </c>
      <c r="H386" s="54" t="str">
        <f t="shared" si="4"/>
        <v>₹8,905.50</v>
      </c>
      <c r="I386" s="54" t="str">
        <f>42912.37-H386</f>
        <v>₹34,006.87</v>
      </c>
    </row>
    <row r="387" ht="15.75" customHeight="1">
      <c r="A387" s="50" t="s">
        <v>422</v>
      </c>
      <c r="B387" s="50" t="s">
        <v>36</v>
      </c>
      <c r="C387" s="50" t="s">
        <v>26</v>
      </c>
      <c r="D387" s="51">
        <v>143929.04</v>
      </c>
      <c r="E387" s="51" t="str">
        <f t="shared" si="1"/>
        <v>₹1,727,148.48</v>
      </c>
      <c r="F387" s="52" t="str">
        <f t="shared" si="2"/>
        <v>30.0%</v>
      </c>
      <c r="G387" s="51" t="str">
        <f t="shared" si="3"/>
        <v>₹518,144.54</v>
      </c>
      <c r="H387" s="51" t="str">
        <f t="shared" si="4"/>
        <v>₹43,178.71</v>
      </c>
      <c r="I387" s="51" t="str">
        <f>131255.02-H387</f>
        <v>₹88,076.31</v>
      </c>
    </row>
    <row r="388" ht="15.75" customHeight="1">
      <c r="A388" s="53" t="s">
        <v>423</v>
      </c>
      <c r="B388" s="53" t="s">
        <v>51</v>
      </c>
      <c r="C388" s="53" t="s">
        <v>30</v>
      </c>
      <c r="D388" s="54">
        <v>38966.1</v>
      </c>
      <c r="E388" s="54" t="str">
        <f t="shared" si="1"/>
        <v>₹467,593.20</v>
      </c>
      <c r="F388" s="55" t="str">
        <f t="shared" si="2"/>
        <v>5.0%</v>
      </c>
      <c r="G388" s="54" t="str">
        <f t="shared" si="3"/>
        <v>₹23,379.66</v>
      </c>
      <c r="H388" s="54" t="str">
        <f t="shared" si="4"/>
        <v>₹1,948.31</v>
      </c>
      <c r="I388" s="54" t="str">
        <f>38912.41-H388</f>
        <v>₹36,964.11</v>
      </c>
    </row>
    <row r="389" ht="15.75" customHeight="1">
      <c r="A389" s="50" t="s">
        <v>424</v>
      </c>
      <c r="B389" s="50" t="s">
        <v>51</v>
      </c>
      <c r="C389" s="50" t="s">
        <v>54</v>
      </c>
      <c r="D389" s="51">
        <v>94260.19</v>
      </c>
      <c r="E389" s="51" t="str">
        <f t="shared" si="1"/>
        <v>₹1,131,122.28</v>
      </c>
      <c r="F389" s="52" t="str">
        <f t="shared" si="2"/>
        <v>30.0%</v>
      </c>
      <c r="G389" s="51" t="str">
        <f t="shared" si="3"/>
        <v>₹339,336.68</v>
      </c>
      <c r="H389" s="51" t="str">
        <f t="shared" si="4"/>
        <v>₹28,278.06</v>
      </c>
      <c r="I389" s="51" t="str">
        <f>90133.87-H389</f>
        <v>₹61,855.81</v>
      </c>
    </row>
    <row r="390" ht="15.75" customHeight="1">
      <c r="A390" s="53" t="s">
        <v>425</v>
      </c>
      <c r="B390" s="53" t="s">
        <v>53</v>
      </c>
      <c r="C390" s="53" t="s">
        <v>14</v>
      </c>
      <c r="D390" s="54">
        <v>27277.94</v>
      </c>
      <c r="E390" s="54" t="str">
        <f t="shared" si="1"/>
        <v>₹327,335.28</v>
      </c>
      <c r="F390" s="55" t="str">
        <f t="shared" si="2"/>
        <v>5.0%</v>
      </c>
      <c r="G390" s="54" t="str">
        <f t="shared" si="3"/>
        <v>₹16,366.76</v>
      </c>
      <c r="H390" s="54" t="str">
        <f t="shared" si="4"/>
        <v>₹1,363.90</v>
      </c>
      <c r="I390" s="54" t="str">
        <f>25868.41-H390</f>
        <v>₹24,504.51</v>
      </c>
    </row>
    <row r="391" ht="15.75" customHeight="1">
      <c r="A391" s="50" t="s">
        <v>426</v>
      </c>
      <c r="B391" s="50" t="s">
        <v>25</v>
      </c>
      <c r="C391" s="50" t="s">
        <v>33</v>
      </c>
      <c r="D391" s="51">
        <v>45549.12</v>
      </c>
      <c r="E391" s="51" t="str">
        <f t="shared" si="1"/>
        <v>₹546,589.44</v>
      </c>
      <c r="F391" s="52" t="str">
        <f t="shared" si="2"/>
        <v>20.0%</v>
      </c>
      <c r="G391" s="51" t="str">
        <f t="shared" si="3"/>
        <v>₹109,317.89</v>
      </c>
      <c r="H391" s="51" t="str">
        <f t="shared" si="4"/>
        <v>₹9,109.82</v>
      </c>
      <c r="I391" s="51" t="str">
        <f>36546.42-H391</f>
        <v>₹27,436.60</v>
      </c>
    </row>
    <row r="392" ht="15.75" customHeight="1">
      <c r="A392" s="53" t="s">
        <v>427</v>
      </c>
      <c r="B392" s="53" t="s">
        <v>53</v>
      </c>
      <c r="C392" s="53" t="s">
        <v>30</v>
      </c>
      <c r="D392" s="54">
        <v>79977.67</v>
      </c>
      <c r="E392" s="54" t="str">
        <f t="shared" si="1"/>
        <v>₹959,732.04</v>
      </c>
      <c r="F392" s="55" t="str">
        <f t="shared" si="2"/>
        <v>20.0%</v>
      </c>
      <c r="G392" s="54" t="str">
        <f t="shared" si="3"/>
        <v>₹191,946.41</v>
      </c>
      <c r="H392" s="54" t="str">
        <f t="shared" si="4"/>
        <v>₹15,995.53</v>
      </c>
      <c r="I392" s="54" t="str">
        <f>78878.03-H392</f>
        <v>₹62,882.50</v>
      </c>
    </row>
    <row r="393" ht="15.75" customHeight="1">
      <c r="A393" s="50" t="s">
        <v>428</v>
      </c>
      <c r="B393" s="50" t="s">
        <v>53</v>
      </c>
      <c r="C393" s="50" t="s">
        <v>33</v>
      </c>
      <c r="D393" s="51">
        <v>41108.97</v>
      </c>
      <c r="E393" s="51" t="str">
        <f t="shared" si="1"/>
        <v>₹493,307.64</v>
      </c>
      <c r="F393" s="52" t="str">
        <f t="shared" si="2"/>
        <v>5.0%</v>
      </c>
      <c r="G393" s="51" t="str">
        <f t="shared" si="3"/>
        <v>₹24,665.38</v>
      </c>
      <c r="H393" s="51" t="str">
        <f t="shared" si="4"/>
        <v>₹2,055.45</v>
      </c>
      <c r="I393" s="51" t="str">
        <f>36990.38-H393</f>
        <v>₹34,934.93</v>
      </c>
    </row>
    <row r="394" ht="15.75" customHeight="1">
      <c r="A394" s="53" t="s">
        <v>429</v>
      </c>
      <c r="B394" s="53" t="s">
        <v>25</v>
      </c>
      <c r="C394" s="53" t="s">
        <v>18</v>
      </c>
      <c r="D394" s="54">
        <v>125580.34</v>
      </c>
      <c r="E394" s="54" t="str">
        <f t="shared" si="1"/>
        <v>₹1,506,964.08</v>
      </c>
      <c r="F394" s="55" t="str">
        <f t="shared" si="2"/>
        <v>30.0%</v>
      </c>
      <c r="G394" s="54" t="str">
        <f t="shared" si="3"/>
        <v>₹452,089.22</v>
      </c>
      <c r="H394" s="54" t="str">
        <f t="shared" si="4"/>
        <v>₹37,674.10</v>
      </c>
      <c r="I394" s="54" t="str">
        <f>107932.47-H394</f>
        <v>₹70,258.37</v>
      </c>
    </row>
    <row r="395" ht="15.75" customHeight="1">
      <c r="A395" s="50" t="s">
        <v>430</v>
      </c>
      <c r="B395" s="50" t="s">
        <v>25</v>
      </c>
      <c r="C395" s="50" t="s">
        <v>26</v>
      </c>
      <c r="D395" s="51">
        <v>129136.34</v>
      </c>
      <c r="E395" s="51" t="str">
        <f t="shared" si="1"/>
        <v>₹1,549,636.08</v>
      </c>
      <c r="F395" s="52" t="str">
        <f t="shared" si="2"/>
        <v>30.0%</v>
      </c>
      <c r="G395" s="51" t="str">
        <f t="shared" si="3"/>
        <v>₹464,890.82</v>
      </c>
      <c r="H395" s="51" t="str">
        <f t="shared" si="4"/>
        <v>₹38,740.90</v>
      </c>
      <c r="I395" s="51" t="str">
        <f>109512.39-H395</f>
        <v>₹70,771.49</v>
      </c>
    </row>
    <row r="396" ht="15.75" customHeight="1">
      <c r="A396" s="53" t="s">
        <v>431</v>
      </c>
      <c r="B396" s="53" t="s">
        <v>53</v>
      </c>
      <c r="C396" s="53" t="s">
        <v>14</v>
      </c>
      <c r="D396" s="54">
        <v>25998.3</v>
      </c>
      <c r="E396" s="54" t="str">
        <f t="shared" si="1"/>
        <v>₹311,979.60</v>
      </c>
      <c r="F396" s="55" t="str">
        <f t="shared" si="2"/>
        <v>5.0%</v>
      </c>
      <c r="G396" s="54" t="str">
        <f t="shared" si="3"/>
        <v>₹15,598.98</v>
      </c>
      <c r="H396" s="54" t="str">
        <f t="shared" si="4"/>
        <v>₹1,299.92</v>
      </c>
      <c r="I396" s="54" t="str">
        <f>23201.24-H396</f>
        <v>₹21,901.33</v>
      </c>
    </row>
    <row r="397" ht="15.75" customHeight="1">
      <c r="A397" s="50" t="s">
        <v>433</v>
      </c>
      <c r="B397" s="50" t="s">
        <v>53</v>
      </c>
      <c r="C397" s="50" t="s">
        <v>30</v>
      </c>
      <c r="D397" s="51">
        <v>34489.5</v>
      </c>
      <c r="E397" s="51" t="str">
        <f t="shared" si="1"/>
        <v>₹413,874.00</v>
      </c>
      <c r="F397" s="52" t="str">
        <f t="shared" si="2"/>
        <v>5.0%</v>
      </c>
      <c r="G397" s="51" t="str">
        <f t="shared" si="3"/>
        <v>₹20,693.70</v>
      </c>
      <c r="H397" s="51" t="str">
        <f t="shared" si="4"/>
        <v>₹1,724.48</v>
      </c>
      <c r="I397" s="51" t="str">
        <f>31381.43-H397</f>
        <v>₹29,656.96</v>
      </c>
    </row>
    <row r="398" ht="15.75" customHeight="1">
      <c r="A398" s="53" t="s">
        <v>434</v>
      </c>
      <c r="B398" s="53" t="s">
        <v>51</v>
      </c>
      <c r="C398" s="53" t="s">
        <v>18</v>
      </c>
      <c r="D398" s="54">
        <v>105668.4</v>
      </c>
      <c r="E398" s="54" t="str">
        <f t="shared" si="1"/>
        <v>₹1,268,020.80</v>
      </c>
      <c r="F398" s="55" t="str">
        <f t="shared" si="2"/>
        <v>30.0%</v>
      </c>
      <c r="G398" s="54" t="str">
        <f t="shared" si="3"/>
        <v>₹380,406.24</v>
      </c>
      <c r="H398" s="54" t="str">
        <f t="shared" si="4"/>
        <v>₹31,700.52</v>
      </c>
      <c r="I398" s="54" t="str">
        <f>93394.61-H398</f>
        <v>₹61,694.09</v>
      </c>
    </row>
    <row r="399" ht="15.75" customHeight="1">
      <c r="A399" s="50" t="s">
        <v>435</v>
      </c>
      <c r="B399" s="50" t="s">
        <v>36</v>
      </c>
      <c r="C399" s="50" t="s">
        <v>30</v>
      </c>
      <c r="D399" s="51">
        <v>36894.1</v>
      </c>
      <c r="E399" s="51" t="str">
        <f t="shared" si="1"/>
        <v>₹442,729.20</v>
      </c>
      <c r="F399" s="52" t="str">
        <f t="shared" si="2"/>
        <v>5.0%</v>
      </c>
      <c r="G399" s="51" t="str">
        <f t="shared" si="3"/>
        <v>₹22,136.46</v>
      </c>
      <c r="H399" s="51" t="str">
        <f t="shared" si="4"/>
        <v>₹1,844.71</v>
      </c>
      <c r="I399" s="51" t="str">
        <f>36434.81-H399</f>
        <v>₹34,590.11</v>
      </c>
    </row>
    <row r="400" ht="15.75" customHeight="1">
      <c r="A400" s="53" t="s">
        <v>436</v>
      </c>
      <c r="B400" s="53" t="s">
        <v>13</v>
      </c>
      <c r="C400" s="53" t="s">
        <v>26</v>
      </c>
      <c r="D400" s="54">
        <v>131862.5</v>
      </c>
      <c r="E400" s="54" t="str">
        <f t="shared" si="1"/>
        <v>₹1,582,350.00</v>
      </c>
      <c r="F400" s="55" t="str">
        <f t="shared" si="2"/>
        <v>30.0%</v>
      </c>
      <c r="G400" s="54" t="str">
        <f t="shared" si="3"/>
        <v>₹474,705.00</v>
      </c>
      <c r="H400" s="54" t="str">
        <f t="shared" si="4"/>
        <v>₹39,558.75</v>
      </c>
      <c r="I400" s="54" t="str">
        <f>124145.26-H400</f>
        <v>₹84,586.51</v>
      </c>
    </row>
    <row r="401" ht="15.75" customHeight="1">
      <c r="A401" s="50" t="s">
        <v>437</v>
      </c>
      <c r="B401" s="50" t="s">
        <v>13</v>
      </c>
      <c r="C401" s="50" t="s">
        <v>30</v>
      </c>
      <c r="D401" s="51">
        <v>35461.25</v>
      </c>
      <c r="E401" s="51" t="str">
        <f t="shared" si="1"/>
        <v>₹425,535.00</v>
      </c>
      <c r="F401" s="52" t="str">
        <f t="shared" si="2"/>
        <v>5.0%</v>
      </c>
      <c r="G401" s="51" t="str">
        <f t="shared" si="3"/>
        <v>₹21,276.75</v>
      </c>
      <c r="H401" s="51" t="str">
        <f t="shared" si="4"/>
        <v>₹1,773.06</v>
      </c>
      <c r="I401" s="51" t="str">
        <f>32661.35-H401</f>
        <v>₹30,888.29</v>
      </c>
    </row>
    <row r="402" ht="15.75" customHeight="1">
      <c r="A402" s="53" t="s">
        <v>439</v>
      </c>
      <c r="B402" s="53" t="s">
        <v>53</v>
      </c>
      <c r="C402" s="53" t="s">
        <v>14</v>
      </c>
      <c r="D402" s="54">
        <v>32489.05</v>
      </c>
      <c r="E402" s="54" t="str">
        <f t="shared" si="1"/>
        <v>₹389,868.60</v>
      </c>
      <c r="F402" s="55" t="str">
        <f t="shared" si="2"/>
        <v>5.0%</v>
      </c>
      <c r="G402" s="54" t="str">
        <f t="shared" si="3"/>
        <v>₹19,493.43</v>
      </c>
      <c r="H402" s="54" t="str">
        <f t="shared" si="4"/>
        <v>₹1,624.45</v>
      </c>
      <c r="I402" s="54" t="str">
        <f>25561.65-H402</f>
        <v>₹23,937.20</v>
      </c>
    </row>
    <row r="403" ht="15.75" customHeight="1">
      <c r="A403" s="50" t="s">
        <v>440</v>
      </c>
      <c r="B403" s="50" t="s">
        <v>29</v>
      </c>
      <c r="C403" s="50" t="s">
        <v>54</v>
      </c>
      <c r="D403" s="51">
        <v>49791.91</v>
      </c>
      <c r="E403" s="51" t="str">
        <f t="shared" si="1"/>
        <v>₹597,502.92</v>
      </c>
      <c r="F403" s="52" t="str">
        <f t="shared" si="2"/>
        <v>20.0%</v>
      </c>
      <c r="G403" s="51" t="str">
        <f t="shared" si="3"/>
        <v>₹119,500.58</v>
      </c>
      <c r="H403" s="51" t="str">
        <f t="shared" si="4"/>
        <v>₹9,958.38</v>
      </c>
      <c r="I403" s="51" t="str">
        <f>42570.95-H403</f>
        <v>₹32,612.57</v>
      </c>
    </row>
    <row r="404" ht="15.75" customHeight="1">
      <c r="A404" s="53" t="s">
        <v>441</v>
      </c>
      <c r="B404" s="53" t="s">
        <v>13</v>
      </c>
      <c r="C404" s="53" t="s">
        <v>54</v>
      </c>
      <c r="D404" s="54">
        <v>59489.07</v>
      </c>
      <c r="E404" s="54" t="str">
        <f t="shared" si="1"/>
        <v>₹713,868.84</v>
      </c>
      <c r="F404" s="55" t="str">
        <f t="shared" si="2"/>
        <v>20.0%</v>
      </c>
      <c r="G404" s="54" t="str">
        <f t="shared" si="3"/>
        <v>₹142,773.77</v>
      </c>
      <c r="H404" s="54" t="str">
        <f t="shared" si="4"/>
        <v>₹11,897.81</v>
      </c>
      <c r="I404" s="54" t="str">
        <f>54074-H404</f>
        <v>₹42,176.19</v>
      </c>
    </row>
    <row r="405" ht="15.75" customHeight="1">
      <c r="A405" s="50" t="s">
        <v>442</v>
      </c>
      <c r="B405" s="50" t="s">
        <v>25</v>
      </c>
      <c r="C405" s="50" t="s">
        <v>33</v>
      </c>
      <c r="D405" s="51">
        <v>39242.03</v>
      </c>
      <c r="E405" s="51" t="str">
        <f t="shared" si="1"/>
        <v>₹470,904.36</v>
      </c>
      <c r="F405" s="52" t="str">
        <f t="shared" si="2"/>
        <v>5.0%</v>
      </c>
      <c r="G405" s="51" t="str">
        <f t="shared" si="3"/>
        <v>₹23,545.22</v>
      </c>
      <c r="H405" s="51" t="str">
        <f t="shared" si="4"/>
        <v>₹1,962.10</v>
      </c>
      <c r="I405" s="51" t="str">
        <f>36154.2-H405</f>
        <v>₹34,192.10</v>
      </c>
    </row>
    <row r="406" ht="15.75" customHeight="1">
      <c r="A406" s="53" t="s">
        <v>443</v>
      </c>
      <c r="B406" s="53" t="s">
        <v>13</v>
      </c>
      <c r="C406" s="53" t="s">
        <v>30</v>
      </c>
      <c r="D406" s="54">
        <v>42588.59</v>
      </c>
      <c r="E406" s="54" t="str">
        <f t="shared" si="1"/>
        <v>₹511,063.08</v>
      </c>
      <c r="F406" s="55" t="str">
        <f t="shared" si="2"/>
        <v>20.0%</v>
      </c>
      <c r="G406" s="54" t="str">
        <f t="shared" si="3"/>
        <v>₹102,212.62</v>
      </c>
      <c r="H406" s="54" t="str">
        <f t="shared" si="4"/>
        <v>₹8,517.72</v>
      </c>
      <c r="I406" s="54" t="str">
        <f>33974.03-H406</f>
        <v>₹25,456.31</v>
      </c>
    </row>
    <row r="407" ht="15.75" customHeight="1">
      <c r="A407" s="50" t="s">
        <v>444</v>
      </c>
      <c r="B407" s="50" t="s">
        <v>13</v>
      </c>
      <c r="C407" s="50" t="s">
        <v>18</v>
      </c>
      <c r="D407" s="51">
        <v>111323.35</v>
      </c>
      <c r="E407" s="51" t="str">
        <f t="shared" si="1"/>
        <v>₹1,335,880.20</v>
      </c>
      <c r="F407" s="52" t="str">
        <f t="shared" si="2"/>
        <v>30.0%</v>
      </c>
      <c r="G407" s="51" t="str">
        <f t="shared" si="3"/>
        <v>₹400,764.06</v>
      </c>
      <c r="H407" s="51" t="str">
        <f t="shared" si="4"/>
        <v>₹33,397.01</v>
      </c>
      <c r="I407" s="51" t="str">
        <f>91771.28-H407</f>
        <v>₹58,374.28</v>
      </c>
    </row>
    <row r="408" ht="15.75" customHeight="1">
      <c r="A408" s="53" t="s">
        <v>445</v>
      </c>
      <c r="B408" s="53" t="s">
        <v>36</v>
      </c>
      <c r="C408" s="53" t="s">
        <v>33</v>
      </c>
      <c r="D408" s="54">
        <v>35517.45</v>
      </c>
      <c r="E408" s="54" t="str">
        <f t="shared" si="1"/>
        <v>₹426,209.40</v>
      </c>
      <c r="F408" s="55" t="str">
        <f t="shared" si="2"/>
        <v>5.0%</v>
      </c>
      <c r="G408" s="54" t="str">
        <f t="shared" si="3"/>
        <v>₹21,310.47</v>
      </c>
      <c r="H408" s="54" t="str">
        <f t="shared" si="4"/>
        <v>₹1,775.87</v>
      </c>
      <c r="I408" s="54" t="str">
        <f>28546.1-H408</f>
        <v>₹26,770.23</v>
      </c>
    </row>
    <row r="409" ht="15.75" customHeight="1">
      <c r="A409" s="50" t="s">
        <v>446</v>
      </c>
      <c r="B409" s="50" t="s">
        <v>17</v>
      </c>
      <c r="C409" s="50" t="s">
        <v>26</v>
      </c>
      <c r="D409" s="51">
        <v>120597.16</v>
      </c>
      <c r="E409" s="51" t="str">
        <f t="shared" si="1"/>
        <v>₹1,447,165.92</v>
      </c>
      <c r="F409" s="52" t="str">
        <f t="shared" si="2"/>
        <v>30.0%</v>
      </c>
      <c r="G409" s="51" t="str">
        <f t="shared" si="3"/>
        <v>₹434,149.78</v>
      </c>
      <c r="H409" s="51" t="str">
        <f t="shared" si="4"/>
        <v>₹36,179.15</v>
      </c>
      <c r="I409" s="51" t="str">
        <f>88643.23-H409</f>
        <v>₹52,464.08</v>
      </c>
    </row>
    <row r="410" ht="15.75" customHeight="1">
      <c r="A410" s="53" t="s">
        <v>447</v>
      </c>
      <c r="B410" s="53" t="s">
        <v>51</v>
      </c>
      <c r="C410" s="53" t="s">
        <v>30</v>
      </c>
      <c r="D410" s="54">
        <v>32053.51</v>
      </c>
      <c r="E410" s="54" t="str">
        <f t="shared" si="1"/>
        <v>₹384,642.12</v>
      </c>
      <c r="F410" s="55" t="str">
        <f t="shared" si="2"/>
        <v>5.0%</v>
      </c>
      <c r="G410" s="54" t="str">
        <f t="shared" si="3"/>
        <v>₹19,232.11</v>
      </c>
      <c r="H410" s="54" t="str">
        <f t="shared" si="4"/>
        <v>₹1,602.68</v>
      </c>
      <c r="I410" s="54" t="str">
        <f>29027.69-H410</f>
        <v>₹27,425.01</v>
      </c>
    </row>
    <row r="411" ht="15.75" customHeight="1">
      <c r="A411" s="50" t="s">
        <v>448</v>
      </c>
      <c r="B411" s="50" t="s">
        <v>13</v>
      </c>
      <c r="C411" s="50" t="s">
        <v>26</v>
      </c>
      <c r="D411" s="51">
        <v>132867.34</v>
      </c>
      <c r="E411" s="51" t="str">
        <f t="shared" si="1"/>
        <v>₹1,594,408.08</v>
      </c>
      <c r="F411" s="52" t="str">
        <f t="shared" si="2"/>
        <v>30.0%</v>
      </c>
      <c r="G411" s="51" t="str">
        <f t="shared" si="3"/>
        <v>₹478,322.42</v>
      </c>
      <c r="H411" s="51" t="str">
        <f t="shared" si="4"/>
        <v>₹39,860.20</v>
      </c>
      <c r="I411" s="51" t="str">
        <f>121794.7-H411</f>
        <v>₹81,934.50</v>
      </c>
    </row>
    <row r="412" ht="15.75" customHeight="1">
      <c r="A412" s="53" t="s">
        <v>449</v>
      </c>
      <c r="B412" s="53" t="s">
        <v>53</v>
      </c>
      <c r="C412" s="53" t="s">
        <v>30</v>
      </c>
      <c r="D412" s="54">
        <v>41675.24</v>
      </c>
      <c r="E412" s="54" t="str">
        <f t="shared" si="1"/>
        <v>₹500,102.88</v>
      </c>
      <c r="F412" s="55" t="str">
        <f t="shared" si="2"/>
        <v>20.0%</v>
      </c>
      <c r="G412" s="54" t="str">
        <f t="shared" si="3"/>
        <v>₹100,020.58</v>
      </c>
      <c r="H412" s="54" t="str">
        <f t="shared" si="4"/>
        <v>₹8,335.05</v>
      </c>
      <c r="I412" s="54" t="str">
        <f>40471.25-H412</f>
        <v>₹32,136.20</v>
      </c>
    </row>
    <row r="413" ht="15.75" customHeight="1">
      <c r="A413" s="50" t="s">
        <v>450</v>
      </c>
      <c r="B413" s="50" t="s">
        <v>51</v>
      </c>
      <c r="C413" s="50" t="s">
        <v>26</v>
      </c>
      <c r="D413" s="51">
        <v>174058.58</v>
      </c>
      <c r="E413" s="51" t="str">
        <f t="shared" si="1"/>
        <v>₹2,088,702.96</v>
      </c>
      <c r="F413" s="52" t="str">
        <f t="shared" si="2"/>
        <v>30.0%</v>
      </c>
      <c r="G413" s="51" t="str">
        <f t="shared" si="3"/>
        <v>₹626,610.89</v>
      </c>
      <c r="H413" s="51" t="str">
        <f t="shared" si="4"/>
        <v>₹52,217.57</v>
      </c>
      <c r="I413" s="51" t="str">
        <f>152751.44-H413</f>
        <v>₹100,533.87</v>
      </c>
    </row>
    <row r="414" ht="15.75" customHeight="1">
      <c r="A414" s="53" t="s">
        <v>451</v>
      </c>
      <c r="B414" s="53" t="s">
        <v>25</v>
      </c>
      <c r="C414" s="53" t="s">
        <v>33</v>
      </c>
      <c r="D414" s="54">
        <v>40376.22</v>
      </c>
      <c r="E414" s="54" t="str">
        <f t="shared" si="1"/>
        <v>₹484,514.64</v>
      </c>
      <c r="F414" s="55" t="str">
        <f t="shared" si="2"/>
        <v>5.0%</v>
      </c>
      <c r="G414" s="54" t="str">
        <f t="shared" si="3"/>
        <v>₹24,225.73</v>
      </c>
      <c r="H414" s="54" t="str">
        <f t="shared" si="4"/>
        <v>₹2,018.81</v>
      </c>
      <c r="I414" s="54" t="str">
        <f>32282.96-H414</f>
        <v>₹30,264.15</v>
      </c>
    </row>
    <row r="415" ht="15.75" customHeight="1">
      <c r="A415" s="50" t="s">
        <v>452</v>
      </c>
      <c r="B415" s="50" t="s">
        <v>51</v>
      </c>
      <c r="C415" s="50" t="s">
        <v>54</v>
      </c>
      <c r="D415" s="51">
        <v>51447.1</v>
      </c>
      <c r="E415" s="51" t="str">
        <f t="shared" si="1"/>
        <v>₹617,365.20</v>
      </c>
      <c r="F415" s="52" t="str">
        <f t="shared" si="2"/>
        <v>20.0%</v>
      </c>
      <c r="G415" s="51" t="str">
        <f t="shared" si="3"/>
        <v>₹123,473.04</v>
      </c>
      <c r="H415" s="51" t="str">
        <f t="shared" si="4"/>
        <v>₹10,289.42</v>
      </c>
      <c r="I415" s="51" t="str">
        <f>40290.51-H415</f>
        <v>₹30,001.09</v>
      </c>
    </row>
    <row r="416" ht="15.75" customHeight="1">
      <c r="A416" s="53" t="s">
        <v>453</v>
      </c>
      <c r="B416" s="53" t="s">
        <v>51</v>
      </c>
      <c r="C416" s="53" t="s">
        <v>18</v>
      </c>
      <c r="D416" s="54">
        <v>116629.68</v>
      </c>
      <c r="E416" s="54" t="str">
        <f t="shared" si="1"/>
        <v>₹1,399,556.16</v>
      </c>
      <c r="F416" s="55" t="str">
        <f t="shared" si="2"/>
        <v>30.0%</v>
      </c>
      <c r="G416" s="54" t="str">
        <f t="shared" si="3"/>
        <v>₹419,866.85</v>
      </c>
      <c r="H416" s="54" t="str">
        <f t="shared" si="4"/>
        <v>₹34,988.90</v>
      </c>
      <c r="I416" s="54" t="str">
        <f>115467.22-H416</f>
        <v>₹80,478.32</v>
      </c>
    </row>
    <row r="417" ht="15.75" customHeight="1">
      <c r="A417" s="50" t="s">
        <v>454</v>
      </c>
      <c r="B417" s="50" t="s">
        <v>51</v>
      </c>
      <c r="C417" s="50" t="s">
        <v>33</v>
      </c>
      <c r="D417" s="51">
        <v>41734.08</v>
      </c>
      <c r="E417" s="51" t="str">
        <f t="shared" si="1"/>
        <v>₹500,808.96</v>
      </c>
      <c r="F417" s="52" t="str">
        <f t="shared" si="2"/>
        <v>20.0%</v>
      </c>
      <c r="G417" s="51" t="str">
        <f t="shared" si="3"/>
        <v>₹100,161.79</v>
      </c>
      <c r="H417" s="51" t="str">
        <f t="shared" si="4"/>
        <v>₹8,346.82</v>
      </c>
      <c r="I417" s="51" t="str">
        <f>37647.91-H417</f>
        <v>₹29,301.09</v>
      </c>
    </row>
    <row r="418" ht="15.75" customHeight="1">
      <c r="A418" s="53" t="s">
        <v>455</v>
      </c>
      <c r="B418" s="53" t="s">
        <v>36</v>
      </c>
      <c r="C418" s="53" t="s">
        <v>54</v>
      </c>
      <c r="D418" s="54">
        <v>56790.5</v>
      </c>
      <c r="E418" s="54" t="str">
        <f t="shared" si="1"/>
        <v>₹681,486.00</v>
      </c>
      <c r="F418" s="55" t="str">
        <f t="shared" si="2"/>
        <v>20.0%</v>
      </c>
      <c r="G418" s="54" t="str">
        <f t="shared" si="3"/>
        <v>₹136,297.20</v>
      </c>
      <c r="H418" s="54" t="str">
        <f t="shared" si="4"/>
        <v>₹11,358.10</v>
      </c>
      <c r="I418" s="54" t="str">
        <f>53672.05-H418</f>
        <v>₹42,313.95</v>
      </c>
    </row>
    <row r="419" ht="15.75" customHeight="1">
      <c r="A419" s="50" t="s">
        <v>456</v>
      </c>
      <c r="B419" s="50" t="s">
        <v>29</v>
      </c>
      <c r="C419" s="50" t="s">
        <v>18</v>
      </c>
      <c r="D419" s="51">
        <v>93204.75</v>
      </c>
      <c r="E419" s="51" t="str">
        <f t="shared" si="1"/>
        <v>₹1,118,457.00</v>
      </c>
      <c r="F419" s="52" t="str">
        <f t="shared" si="2"/>
        <v>30.0%</v>
      </c>
      <c r="G419" s="51" t="str">
        <f t="shared" si="3"/>
        <v>₹335,537.10</v>
      </c>
      <c r="H419" s="51" t="str">
        <f t="shared" si="4"/>
        <v>₹27,961.43</v>
      </c>
      <c r="I419" s="51" t="str">
        <f>85739.88-H419</f>
        <v>₹57,778.46</v>
      </c>
    </row>
    <row r="420" ht="15.75" customHeight="1">
      <c r="A420" s="53" t="s">
        <v>457</v>
      </c>
      <c r="B420" s="53" t="s">
        <v>13</v>
      </c>
      <c r="C420" s="53" t="s">
        <v>26</v>
      </c>
      <c r="D420" s="54">
        <v>131115.04</v>
      </c>
      <c r="E420" s="54" t="str">
        <f t="shared" si="1"/>
        <v>₹1,573,380.48</v>
      </c>
      <c r="F420" s="55" t="str">
        <f t="shared" si="2"/>
        <v>30.0%</v>
      </c>
      <c r="G420" s="54" t="str">
        <f t="shared" si="3"/>
        <v>₹472,014.14</v>
      </c>
      <c r="H420" s="54" t="str">
        <f t="shared" si="4"/>
        <v>₹39,334.51</v>
      </c>
      <c r="I420" s="54" t="str">
        <f>111540.02-H420</f>
        <v>₹72,205.51</v>
      </c>
    </row>
    <row r="421" ht="15.75" customHeight="1">
      <c r="A421" s="50" t="s">
        <v>458</v>
      </c>
      <c r="B421" s="50" t="s">
        <v>17</v>
      </c>
      <c r="C421" s="50" t="s">
        <v>26</v>
      </c>
      <c r="D421" s="51">
        <v>135311.7</v>
      </c>
      <c r="E421" s="51" t="str">
        <f t="shared" si="1"/>
        <v>₹1,623,740.40</v>
      </c>
      <c r="F421" s="52" t="str">
        <f t="shared" si="2"/>
        <v>30.0%</v>
      </c>
      <c r="G421" s="51" t="str">
        <f t="shared" si="3"/>
        <v>₹487,122.12</v>
      </c>
      <c r="H421" s="51" t="str">
        <f t="shared" si="4"/>
        <v>₹40,593.51</v>
      </c>
      <c r="I421" s="51" t="str">
        <f>118985.06-H421</f>
        <v>₹78,391.55</v>
      </c>
    </row>
    <row r="422" ht="15.75" customHeight="1">
      <c r="A422" s="53" t="s">
        <v>459</v>
      </c>
      <c r="B422" s="53" t="s">
        <v>53</v>
      </c>
      <c r="C422" s="53" t="s">
        <v>30</v>
      </c>
      <c r="D422" s="54">
        <v>38643.56</v>
      </c>
      <c r="E422" s="54" t="str">
        <f t="shared" si="1"/>
        <v>₹463,722.72</v>
      </c>
      <c r="F422" s="55" t="str">
        <f t="shared" si="2"/>
        <v>5.0%</v>
      </c>
      <c r="G422" s="54" t="str">
        <f t="shared" si="3"/>
        <v>₹23,186.14</v>
      </c>
      <c r="H422" s="54" t="str">
        <f t="shared" si="4"/>
        <v>₹1,932.18</v>
      </c>
      <c r="I422" s="54" t="str">
        <f>36024.6-H422</f>
        <v>₹34,092.42</v>
      </c>
    </row>
    <row r="423" ht="15.75" customHeight="1">
      <c r="A423" s="50" t="s">
        <v>460</v>
      </c>
      <c r="B423" s="50" t="s">
        <v>51</v>
      </c>
      <c r="C423" s="50" t="s">
        <v>30</v>
      </c>
      <c r="D423" s="51">
        <v>40321.0</v>
      </c>
      <c r="E423" s="51" t="str">
        <f t="shared" si="1"/>
        <v>₹483,852.00</v>
      </c>
      <c r="F423" s="52" t="str">
        <f t="shared" si="2"/>
        <v>5.0%</v>
      </c>
      <c r="G423" s="51" t="str">
        <f t="shared" si="3"/>
        <v>₹24,192.60</v>
      </c>
      <c r="H423" s="51" t="str">
        <f t="shared" si="4"/>
        <v>₹2,016.05</v>
      </c>
      <c r="I423" s="51" t="str">
        <f>31185.03-H423</f>
        <v>₹29,168.98</v>
      </c>
    </row>
    <row r="424" ht="15.75" customHeight="1">
      <c r="A424" s="53" t="s">
        <v>461</v>
      </c>
      <c r="B424" s="53" t="s">
        <v>51</v>
      </c>
      <c r="C424" s="53" t="s">
        <v>18</v>
      </c>
      <c r="D424" s="54">
        <v>108230.2</v>
      </c>
      <c r="E424" s="54" t="str">
        <f t="shared" si="1"/>
        <v>₹1,298,762.40</v>
      </c>
      <c r="F424" s="55" t="str">
        <f t="shared" si="2"/>
        <v>30.0%</v>
      </c>
      <c r="G424" s="54" t="str">
        <f t="shared" si="3"/>
        <v>₹389,628.72</v>
      </c>
      <c r="H424" s="54" t="str">
        <f t="shared" si="4"/>
        <v>₹32,469.06</v>
      </c>
      <c r="I424" s="54" t="str">
        <f>86071.02-H424</f>
        <v>₹53,601.96</v>
      </c>
    </row>
    <row r="425" ht="15.75" customHeight="1">
      <c r="A425" s="50" t="s">
        <v>462</v>
      </c>
      <c r="B425" s="50" t="s">
        <v>29</v>
      </c>
      <c r="C425" s="50" t="s">
        <v>26</v>
      </c>
      <c r="D425" s="51">
        <v>139589.91</v>
      </c>
      <c r="E425" s="51" t="str">
        <f t="shared" si="1"/>
        <v>₹1,675,078.92</v>
      </c>
      <c r="F425" s="52" t="str">
        <f t="shared" si="2"/>
        <v>30.0%</v>
      </c>
      <c r="G425" s="51" t="str">
        <f t="shared" si="3"/>
        <v>₹502,523.68</v>
      </c>
      <c r="H425" s="51" t="str">
        <f t="shared" si="4"/>
        <v>₹41,876.97</v>
      </c>
      <c r="I425" s="51" t="str">
        <f>120091.27-H425</f>
        <v>₹78,214.30</v>
      </c>
    </row>
    <row r="426" ht="15.75" customHeight="1">
      <c r="A426" s="53" t="s">
        <v>463</v>
      </c>
      <c r="B426" s="53" t="s">
        <v>36</v>
      </c>
      <c r="C426" s="53" t="s">
        <v>26</v>
      </c>
      <c r="D426" s="54">
        <v>178285.47</v>
      </c>
      <c r="E426" s="54" t="str">
        <f t="shared" si="1"/>
        <v>₹2,139,425.64</v>
      </c>
      <c r="F426" s="55" t="str">
        <f t="shared" si="2"/>
        <v>30.0%</v>
      </c>
      <c r="G426" s="54" t="str">
        <f t="shared" si="3"/>
        <v>₹641,827.69</v>
      </c>
      <c r="H426" s="54" t="str">
        <f t="shared" si="4"/>
        <v>₹53,485.64</v>
      </c>
      <c r="I426" s="54" t="str">
        <f>164914.48-H426</f>
        <v>₹111,428.84</v>
      </c>
    </row>
    <row r="427" ht="15.75" customHeight="1">
      <c r="A427" s="50" t="s">
        <v>464</v>
      </c>
      <c r="B427" s="50" t="s">
        <v>17</v>
      </c>
      <c r="C427" s="50" t="s">
        <v>37</v>
      </c>
      <c r="D427" s="51">
        <v>87696.68</v>
      </c>
      <c r="E427" s="51" t="str">
        <f t="shared" si="1"/>
        <v>₹1,052,360.16</v>
      </c>
      <c r="F427" s="52" t="str">
        <f t="shared" si="2"/>
        <v>30.0%</v>
      </c>
      <c r="G427" s="51" t="str">
        <f t="shared" si="3"/>
        <v>₹315,708.05</v>
      </c>
      <c r="H427" s="51" t="str">
        <f t="shared" si="4"/>
        <v>₹26,309.00</v>
      </c>
      <c r="I427" s="51" t="str">
        <f>87402.03-H427</f>
        <v>₹61,093.03</v>
      </c>
    </row>
    <row r="428" ht="15.75" customHeight="1">
      <c r="A428" s="53" t="s">
        <v>465</v>
      </c>
      <c r="B428" s="53" t="s">
        <v>53</v>
      </c>
      <c r="C428" s="53" t="s">
        <v>37</v>
      </c>
      <c r="D428" s="54">
        <v>78770.15</v>
      </c>
      <c r="E428" s="54" t="str">
        <f t="shared" si="1"/>
        <v>₹945,241.80</v>
      </c>
      <c r="F428" s="55" t="str">
        <f t="shared" si="2"/>
        <v>20.0%</v>
      </c>
      <c r="G428" s="54" t="str">
        <f t="shared" si="3"/>
        <v>₹189,048.36</v>
      </c>
      <c r="H428" s="54" t="str">
        <f t="shared" si="4"/>
        <v>₹15,754.03</v>
      </c>
      <c r="I428" s="54" t="str">
        <f>75358.75-H428</f>
        <v>₹59,604.72</v>
      </c>
    </row>
    <row r="429" ht="15.75" customHeight="1">
      <c r="A429" s="50" t="s">
        <v>466</v>
      </c>
      <c r="B429" s="50" t="s">
        <v>36</v>
      </c>
      <c r="C429" s="50" t="s">
        <v>37</v>
      </c>
      <c r="D429" s="51">
        <v>83992.36</v>
      </c>
      <c r="E429" s="51" t="str">
        <f t="shared" si="1"/>
        <v>₹1,007,908.32</v>
      </c>
      <c r="F429" s="52" t="str">
        <f t="shared" si="2"/>
        <v>30.0%</v>
      </c>
      <c r="G429" s="51" t="str">
        <f t="shared" si="3"/>
        <v>₹302,372.50</v>
      </c>
      <c r="H429" s="51" t="str">
        <f t="shared" si="4"/>
        <v>₹25,197.71</v>
      </c>
      <c r="I429" s="51" t="str">
        <f>72209.31-H429</f>
        <v>₹47,011.60</v>
      </c>
    </row>
    <row r="430" ht="15.75" customHeight="1">
      <c r="A430" s="53" t="s">
        <v>467</v>
      </c>
      <c r="B430" s="53" t="s">
        <v>29</v>
      </c>
      <c r="C430" s="53" t="s">
        <v>33</v>
      </c>
      <c r="D430" s="54">
        <v>45612.78</v>
      </c>
      <c r="E430" s="54" t="str">
        <f t="shared" si="1"/>
        <v>₹547,353.36</v>
      </c>
      <c r="F430" s="55" t="str">
        <f t="shared" si="2"/>
        <v>20.0%</v>
      </c>
      <c r="G430" s="54" t="str">
        <f t="shared" si="3"/>
        <v>₹109,470.67</v>
      </c>
      <c r="H430" s="54" t="str">
        <f t="shared" si="4"/>
        <v>₹9,122.56</v>
      </c>
      <c r="I430" s="54" t="str">
        <f>38529.09-H430</f>
        <v>₹29,406.53</v>
      </c>
    </row>
    <row r="431" ht="15.75" customHeight="1">
      <c r="A431" s="50" t="s">
        <v>468</v>
      </c>
      <c r="B431" s="50" t="s">
        <v>36</v>
      </c>
      <c r="C431" s="50" t="s">
        <v>54</v>
      </c>
      <c r="D431" s="51">
        <v>54501.15</v>
      </c>
      <c r="E431" s="51" t="str">
        <f t="shared" si="1"/>
        <v>₹654,013.80</v>
      </c>
      <c r="F431" s="52" t="str">
        <f t="shared" si="2"/>
        <v>20.0%</v>
      </c>
      <c r="G431" s="51" t="str">
        <f t="shared" si="3"/>
        <v>₹130,802.76</v>
      </c>
      <c r="H431" s="51" t="str">
        <f t="shared" si="4"/>
        <v>₹10,900.23</v>
      </c>
      <c r="I431" s="51" t="str">
        <f>52604.26-H431</f>
        <v>₹41,704.03</v>
      </c>
    </row>
    <row r="432" ht="15.75" customHeight="1">
      <c r="A432" s="53" t="s">
        <v>469</v>
      </c>
      <c r="B432" s="53" t="s">
        <v>53</v>
      </c>
      <c r="C432" s="53" t="s">
        <v>54</v>
      </c>
      <c r="D432" s="54">
        <v>55533.54</v>
      </c>
      <c r="E432" s="54" t="str">
        <f t="shared" si="1"/>
        <v>₹666,402.48</v>
      </c>
      <c r="F432" s="55" t="str">
        <f t="shared" si="2"/>
        <v>20.0%</v>
      </c>
      <c r="G432" s="54" t="str">
        <f t="shared" si="3"/>
        <v>₹133,280.50</v>
      </c>
      <c r="H432" s="54" t="str">
        <f t="shared" si="4"/>
        <v>₹11,106.71</v>
      </c>
      <c r="I432" s="54" t="str">
        <f>44369.62-H432</f>
        <v>₹33,262.91</v>
      </c>
    </row>
    <row r="433" ht="15.75" customHeight="1">
      <c r="A433" s="50" t="s">
        <v>470</v>
      </c>
      <c r="B433" s="50" t="s">
        <v>13</v>
      </c>
      <c r="C433" s="50" t="s">
        <v>37</v>
      </c>
      <c r="D433" s="51">
        <v>87958.3</v>
      </c>
      <c r="E433" s="51" t="str">
        <f t="shared" si="1"/>
        <v>₹1,055,499.60</v>
      </c>
      <c r="F433" s="52" t="str">
        <f t="shared" si="2"/>
        <v>30.0%</v>
      </c>
      <c r="G433" s="51" t="str">
        <f t="shared" si="3"/>
        <v>₹316,649.88</v>
      </c>
      <c r="H433" s="51" t="str">
        <f t="shared" si="4"/>
        <v>₹26,387.49</v>
      </c>
      <c r="I433" s="51" t="str">
        <f>73630.92-H433</f>
        <v>₹47,243.43</v>
      </c>
    </row>
    <row r="434" ht="15.75" customHeight="1">
      <c r="A434" s="53" t="s">
        <v>471</v>
      </c>
      <c r="B434" s="53" t="s">
        <v>53</v>
      </c>
      <c r="C434" s="53" t="s">
        <v>54</v>
      </c>
      <c r="D434" s="54">
        <v>49439.17</v>
      </c>
      <c r="E434" s="54" t="str">
        <f t="shared" si="1"/>
        <v>₹593,270.04</v>
      </c>
      <c r="F434" s="55" t="str">
        <f t="shared" si="2"/>
        <v>20.0%</v>
      </c>
      <c r="G434" s="54" t="str">
        <f t="shared" si="3"/>
        <v>₹118,654.01</v>
      </c>
      <c r="H434" s="54" t="str">
        <f t="shared" si="4"/>
        <v>₹9,887.83</v>
      </c>
      <c r="I434" s="54" t="str">
        <f>46540.72-H434</f>
        <v>₹36,652.89</v>
      </c>
    </row>
    <row r="435" ht="15.75" customHeight="1">
      <c r="A435" s="50" t="s">
        <v>472</v>
      </c>
      <c r="B435" s="50" t="s">
        <v>17</v>
      </c>
      <c r="C435" s="50" t="s">
        <v>37</v>
      </c>
      <c r="D435" s="51">
        <v>85567.32</v>
      </c>
      <c r="E435" s="51" t="str">
        <f t="shared" si="1"/>
        <v>₹1,026,807.84</v>
      </c>
      <c r="F435" s="52" t="str">
        <f t="shared" si="2"/>
        <v>30.0%</v>
      </c>
      <c r="G435" s="51" t="str">
        <f t="shared" si="3"/>
        <v>₹308,042.35</v>
      </c>
      <c r="H435" s="51" t="str">
        <f t="shared" si="4"/>
        <v>₹25,670.20</v>
      </c>
      <c r="I435" s="51" t="str">
        <f>71144.13-H435</f>
        <v>₹45,473.93</v>
      </c>
    </row>
    <row r="436" ht="15.75" customHeight="1">
      <c r="A436" s="53" t="s">
        <v>473</v>
      </c>
      <c r="B436" s="53" t="s">
        <v>17</v>
      </c>
      <c r="C436" s="53" t="s">
        <v>14</v>
      </c>
      <c r="D436" s="54">
        <v>29357.69</v>
      </c>
      <c r="E436" s="54" t="str">
        <f t="shared" si="1"/>
        <v>₹352,292.28</v>
      </c>
      <c r="F436" s="55" t="str">
        <f t="shared" si="2"/>
        <v>5.0%</v>
      </c>
      <c r="G436" s="54" t="str">
        <f t="shared" si="3"/>
        <v>₹17,614.61</v>
      </c>
      <c r="H436" s="54" t="str">
        <f t="shared" si="4"/>
        <v>₹1,467.88</v>
      </c>
      <c r="I436" s="54" t="str">
        <f>25308.87-H436</f>
        <v>₹23,840.99</v>
      </c>
    </row>
    <row r="437" ht="15.75" customHeight="1">
      <c r="A437" s="50" t="s">
        <v>474</v>
      </c>
      <c r="B437" s="50" t="s">
        <v>36</v>
      </c>
      <c r="C437" s="50" t="s">
        <v>37</v>
      </c>
      <c r="D437" s="51">
        <v>71076.65</v>
      </c>
      <c r="E437" s="51" t="str">
        <f t="shared" si="1"/>
        <v>₹852,919.80</v>
      </c>
      <c r="F437" s="52" t="str">
        <f t="shared" si="2"/>
        <v>20.0%</v>
      </c>
      <c r="G437" s="51" t="str">
        <f t="shared" si="3"/>
        <v>₹170,583.96</v>
      </c>
      <c r="H437" s="51" t="str">
        <f t="shared" si="4"/>
        <v>₹14,215.33</v>
      </c>
      <c r="I437" s="51" t="str">
        <f>66633.03-H437</f>
        <v>₹52,417.70</v>
      </c>
    </row>
    <row r="438" ht="15.75" customHeight="1">
      <c r="A438" s="53" t="s">
        <v>475</v>
      </c>
      <c r="B438" s="53" t="s">
        <v>13</v>
      </c>
      <c r="C438" s="53" t="s">
        <v>26</v>
      </c>
      <c r="D438" s="54">
        <v>148133.64</v>
      </c>
      <c r="E438" s="54" t="str">
        <f t="shared" si="1"/>
        <v>₹1,777,603.68</v>
      </c>
      <c r="F438" s="55" t="str">
        <f t="shared" si="2"/>
        <v>30.0%</v>
      </c>
      <c r="G438" s="54" t="str">
        <f t="shared" si="3"/>
        <v>₹533,281.10</v>
      </c>
      <c r="H438" s="54" t="str">
        <f t="shared" si="4"/>
        <v>₹44,440.09</v>
      </c>
      <c r="I438" s="54" t="str">
        <f>134346.53-H438</f>
        <v>₹89,906.44</v>
      </c>
    </row>
    <row r="439" ht="15.75" customHeight="1">
      <c r="A439" s="50" t="s">
        <v>476</v>
      </c>
      <c r="B439" s="50" t="s">
        <v>53</v>
      </c>
      <c r="C439" s="50" t="s">
        <v>54</v>
      </c>
      <c r="D439" s="51">
        <v>46588.93</v>
      </c>
      <c r="E439" s="51" t="str">
        <f t="shared" si="1"/>
        <v>₹559,067.16</v>
      </c>
      <c r="F439" s="52" t="str">
        <f t="shared" si="2"/>
        <v>20.0%</v>
      </c>
      <c r="G439" s="51" t="str">
        <f t="shared" si="3"/>
        <v>₹111,813.43</v>
      </c>
      <c r="H439" s="51" t="str">
        <f t="shared" si="4"/>
        <v>₹9,317.79</v>
      </c>
      <c r="I439" s="51" t="str">
        <f>44749.01-H439</f>
        <v>₹35,431.22</v>
      </c>
    </row>
    <row r="440" ht="15.75" customHeight="1">
      <c r="A440" s="53" t="s">
        <v>477</v>
      </c>
      <c r="B440" s="53" t="s">
        <v>25</v>
      </c>
      <c r="C440" s="53" t="s">
        <v>54</v>
      </c>
      <c r="D440" s="54">
        <v>60154.39</v>
      </c>
      <c r="E440" s="54" t="str">
        <f t="shared" si="1"/>
        <v>₹721,852.68</v>
      </c>
      <c r="F440" s="55" t="str">
        <f t="shared" si="2"/>
        <v>20.0%</v>
      </c>
      <c r="G440" s="54" t="str">
        <f t="shared" si="3"/>
        <v>₹144,370.54</v>
      </c>
      <c r="H440" s="54" t="str">
        <f t="shared" si="4"/>
        <v>₹12,030.88</v>
      </c>
      <c r="I440" s="54" t="str">
        <f>47245.23-H440</f>
        <v>₹35,214.35</v>
      </c>
    </row>
    <row r="441" ht="15.75" customHeight="1">
      <c r="A441" s="50" t="s">
        <v>478</v>
      </c>
      <c r="B441" s="50" t="s">
        <v>53</v>
      </c>
      <c r="C441" s="50" t="s">
        <v>14</v>
      </c>
      <c r="D441" s="51">
        <v>29093.4</v>
      </c>
      <c r="E441" s="51" t="str">
        <f t="shared" si="1"/>
        <v>₹349,120.80</v>
      </c>
      <c r="F441" s="52" t="str">
        <f t="shared" si="2"/>
        <v>5.0%</v>
      </c>
      <c r="G441" s="51" t="str">
        <f t="shared" si="3"/>
        <v>₹17,456.04</v>
      </c>
      <c r="H441" s="51" t="str">
        <f t="shared" si="4"/>
        <v>₹1,454.67</v>
      </c>
      <c r="I441" s="51" t="str">
        <f>25011.47-H441</f>
        <v>₹23,556.80</v>
      </c>
    </row>
    <row r="442" ht="15.75" customHeight="1">
      <c r="A442" s="53" t="s">
        <v>479</v>
      </c>
      <c r="B442" s="53" t="s">
        <v>36</v>
      </c>
      <c r="C442" s="53" t="s">
        <v>33</v>
      </c>
      <c r="D442" s="54">
        <v>33483.97</v>
      </c>
      <c r="E442" s="54" t="str">
        <f t="shared" si="1"/>
        <v>₹401,807.64</v>
      </c>
      <c r="F442" s="55" t="str">
        <f t="shared" si="2"/>
        <v>5.0%</v>
      </c>
      <c r="G442" s="54" t="str">
        <f t="shared" si="3"/>
        <v>₹20,090.38</v>
      </c>
      <c r="H442" s="54" t="str">
        <f t="shared" si="4"/>
        <v>₹1,674.20</v>
      </c>
      <c r="I442" s="54" t="str">
        <f>26412.79-H442</f>
        <v>₹24,738.59</v>
      </c>
    </row>
    <row r="443" ht="15.75" customHeight="1">
      <c r="A443" s="50" t="s">
        <v>480</v>
      </c>
      <c r="B443" s="50" t="s">
        <v>53</v>
      </c>
      <c r="C443" s="50" t="s">
        <v>18</v>
      </c>
      <c r="D443" s="51">
        <v>97844.95</v>
      </c>
      <c r="E443" s="51" t="str">
        <f t="shared" si="1"/>
        <v>₹1,174,139.40</v>
      </c>
      <c r="F443" s="52" t="str">
        <f t="shared" si="2"/>
        <v>30.0%</v>
      </c>
      <c r="G443" s="51" t="str">
        <f t="shared" si="3"/>
        <v>₹352,241.82</v>
      </c>
      <c r="H443" s="51" t="str">
        <f t="shared" si="4"/>
        <v>₹29,353.49</v>
      </c>
      <c r="I443" s="51" t="str">
        <f>91631.79-H443</f>
        <v>₹62,278.31</v>
      </c>
    </row>
    <row r="444" ht="15.75" customHeight="1">
      <c r="A444" s="53" t="s">
        <v>481</v>
      </c>
      <c r="B444" s="53" t="s">
        <v>53</v>
      </c>
      <c r="C444" s="53" t="s">
        <v>30</v>
      </c>
      <c r="D444" s="54">
        <v>41285.33</v>
      </c>
      <c r="E444" s="54" t="str">
        <f t="shared" si="1"/>
        <v>₹495,423.96</v>
      </c>
      <c r="F444" s="55" t="str">
        <f t="shared" si="2"/>
        <v>5.0%</v>
      </c>
      <c r="G444" s="54" t="str">
        <f t="shared" si="3"/>
        <v>₹24,771.20</v>
      </c>
      <c r="H444" s="54" t="str">
        <f t="shared" si="4"/>
        <v>₹2,064.27</v>
      </c>
      <c r="I444" s="54" t="str">
        <f>37865.58-H444</f>
        <v>₹35,801.31</v>
      </c>
    </row>
    <row r="445" ht="15.75" customHeight="1">
      <c r="A445" s="50" t="s">
        <v>483</v>
      </c>
      <c r="B445" s="50" t="s">
        <v>29</v>
      </c>
      <c r="C445" s="50" t="s">
        <v>30</v>
      </c>
      <c r="D445" s="51">
        <v>38107.63</v>
      </c>
      <c r="E445" s="51" t="str">
        <f t="shared" si="1"/>
        <v>₹457,291.56</v>
      </c>
      <c r="F445" s="52" t="str">
        <f t="shared" si="2"/>
        <v>5.0%</v>
      </c>
      <c r="G445" s="51" t="str">
        <f t="shared" si="3"/>
        <v>₹22,864.58</v>
      </c>
      <c r="H445" s="51" t="str">
        <f t="shared" si="4"/>
        <v>₹1,905.38</v>
      </c>
      <c r="I445" s="51" t="str">
        <f>31236.62-H445</f>
        <v>₹29,331.24</v>
      </c>
    </row>
    <row r="446" ht="15.75" customHeight="1">
      <c r="A446" s="53" t="s">
        <v>484</v>
      </c>
      <c r="B446" s="53" t="s">
        <v>53</v>
      </c>
      <c r="C446" s="53" t="s">
        <v>33</v>
      </c>
      <c r="D446" s="54">
        <v>41756.62</v>
      </c>
      <c r="E446" s="54" t="str">
        <f t="shared" si="1"/>
        <v>₹501,079.44</v>
      </c>
      <c r="F446" s="55" t="str">
        <f t="shared" si="2"/>
        <v>20.0%</v>
      </c>
      <c r="G446" s="54" t="str">
        <f t="shared" si="3"/>
        <v>₹100,215.89</v>
      </c>
      <c r="H446" s="54" t="str">
        <f t="shared" si="4"/>
        <v>₹8,351.32</v>
      </c>
      <c r="I446" s="54" t="str">
        <f>34917.6-H446</f>
        <v>₹26,566.28</v>
      </c>
    </row>
    <row r="447" ht="15.75" customHeight="1">
      <c r="A447" s="50" t="s">
        <v>485</v>
      </c>
      <c r="B447" s="50" t="s">
        <v>13</v>
      </c>
      <c r="C447" s="50" t="s">
        <v>14</v>
      </c>
      <c r="D447" s="51">
        <v>32297.61</v>
      </c>
      <c r="E447" s="51" t="str">
        <f t="shared" si="1"/>
        <v>₹387,571.32</v>
      </c>
      <c r="F447" s="52" t="str">
        <f t="shared" si="2"/>
        <v>5.0%</v>
      </c>
      <c r="G447" s="51" t="str">
        <f t="shared" si="3"/>
        <v>₹19,378.57</v>
      </c>
      <c r="H447" s="51" t="str">
        <f t="shared" si="4"/>
        <v>₹1,614.88</v>
      </c>
      <c r="I447" s="51" t="str">
        <f>31949.57-H447</f>
        <v>₹30,334.69</v>
      </c>
    </row>
    <row r="448" ht="15.75" customHeight="1">
      <c r="A448" s="53" t="s">
        <v>486</v>
      </c>
      <c r="B448" s="53" t="s">
        <v>51</v>
      </c>
      <c r="C448" s="53" t="s">
        <v>26</v>
      </c>
      <c r="D448" s="54">
        <v>131781.93</v>
      </c>
      <c r="E448" s="54" t="str">
        <f t="shared" si="1"/>
        <v>₹1,581,383.16</v>
      </c>
      <c r="F448" s="55" t="str">
        <f t="shared" si="2"/>
        <v>30.0%</v>
      </c>
      <c r="G448" s="54" t="str">
        <f t="shared" si="3"/>
        <v>₹474,414.95</v>
      </c>
      <c r="H448" s="54" t="str">
        <f t="shared" si="4"/>
        <v>₹39,534.58</v>
      </c>
      <c r="I448" s="54" t="str">
        <f>114703.59-H448</f>
        <v>₹75,169.01</v>
      </c>
    </row>
    <row r="449" ht="15.75" customHeight="1">
      <c r="A449" s="50" t="s">
        <v>487</v>
      </c>
      <c r="B449" s="50" t="s">
        <v>36</v>
      </c>
      <c r="C449" s="50" t="s">
        <v>26</v>
      </c>
      <c r="D449" s="51">
        <v>145178.78</v>
      </c>
      <c r="E449" s="51" t="str">
        <f t="shared" si="1"/>
        <v>₹1,742,145.36</v>
      </c>
      <c r="F449" s="52" t="str">
        <f t="shared" si="2"/>
        <v>30.0%</v>
      </c>
      <c r="G449" s="51" t="str">
        <f t="shared" si="3"/>
        <v>₹522,643.61</v>
      </c>
      <c r="H449" s="51" t="str">
        <f t="shared" si="4"/>
        <v>₹43,553.63</v>
      </c>
      <c r="I449" s="51" t="str">
        <f>121261.08-H449</f>
        <v>₹77,707.45</v>
      </c>
    </row>
    <row r="450" ht="15.75" customHeight="1">
      <c r="A450" s="53" t="s">
        <v>488</v>
      </c>
      <c r="B450" s="53" t="s">
        <v>36</v>
      </c>
      <c r="C450" s="53" t="s">
        <v>30</v>
      </c>
      <c r="D450" s="54">
        <v>37400.88</v>
      </c>
      <c r="E450" s="54" t="str">
        <f t="shared" si="1"/>
        <v>₹448,810.56</v>
      </c>
      <c r="F450" s="55" t="str">
        <f t="shared" si="2"/>
        <v>5.0%</v>
      </c>
      <c r="G450" s="54" t="str">
        <f t="shared" si="3"/>
        <v>₹22,440.53</v>
      </c>
      <c r="H450" s="54" t="str">
        <f t="shared" si="4"/>
        <v>₹1,870.04</v>
      </c>
      <c r="I450" s="54" t="str">
        <f>34145.03-H450</f>
        <v>₹32,274.99</v>
      </c>
    </row>
    <row r="451" ht="15.75" customHeight="1">
      <c r="A451" s="50" t="s">
        <v>489</v>
      </c>
      <c r="B451" s="50" t="s">
        <v>53</v>
      </c>
      <c r="C451" s="50" t="s">
        <v>18</v>
      </c>
      <c r="D451" s="51">
        <v>108910.73</v>
      </c>
      <c r="E451" s="51" t="str">
        <f t="shared" si="1"/>
        <v>₹1,306,928.76</v>
      </c>
      <c r="F451" s="52" t="str">
        <f t="shared" si="2"/>
        <v>30.0%</v>
      </c>
      <c r="G451" s="51" t="str">
        <f t="shared" si="3"/>
        <v>₹392,078.63</v>
      </c>
      <c r="H451" s="51" t="str">
        <f t="shared" si="4"/>
        <v>₹32,673.22</v>
      </c>
      <c r="I451" s="51" t="str">
        <f>102275.16-H451</f>
        <v>₹69,601.94</v>
      </c>
    </row>
    <row r="452" ht="15.75" customHeight="1">
      <c r="A452" s="53" t="s">
        <v>490</v>
      </c>
      <c r="B452" s="53" t="s">
        <v>13</v>
      </c>
      <c r="C452" s="53" t="s">
        <v>14</v>
      </c>
      <c r="D452" s="54">
        <v>24741.28</v>
      </c>
      <c r="E452" s="54" t="str">
        <f t="shared" si="1"/>
        <v>₹296,895.36</v>
      </c>
      <c r="F452" s="55" t="str">
        <f t="shared" si="2"/>
        <v>5.0%</v>
      </c>
      <c r="G452" s="54" t="str">
        <f t="shared" si="3"/>
        <v>₹14,844.77</v>
      </c>
      <c r="H452" s="54" t="str">
        <f t="shared" si="4"/>
        <v>₹1,237.06</v>
      </c>
      <c r="I452" s="54" t="str">
        <f>20772.11-H452</f>
        <v>₹19,535.05</v>
      </c>
    </row>
    <row r="453" ht="15.75" customHeight="1">
      <c r="A453" s="50" t="s">
        <v>491</v>
      </c>
      <c r="B453" s="50" t="s">
        <v>51</v>
      </c>
      <c r="C453" s="50" t="s">
        <v>18</v>
      </c>
      <c r="D453" s="51">
        <v>103089.11</v>
      </c>
      <c r="E453" s="51" t="str">
        <f t="shared" si="1"/>
        <v>₹1,237,069.32</v>
      </c>
      <c r="F453" s="52" t="str">
        <f t="shared" si="2"/>
        <v>30.0%</v>
      </c>
      <c r="G453" s="51" t="str">
        <f t="shared" si="3"/>
        <v>₹371,120.80</v>
      </c>
      <c r="H453" s="51" t="str">
        <f t="shared" si="4"/>
        <v>₹30,926.73</v>
      </c>
      <c r="I453" s="51" t="str">
        <f>101026.33-H453</f>
        <v>₹70,099.60</v>
      </c>
    </row>
    <row r="454" ht="15.75" customHeight="1">
      <c r="A454" s="53" t="s">
        <v>492</v>
      </c>
      <c r="B454" s="53" t="s">
        <v>36</v>
      </c>
      <c r="C454" s="53" t="s">
        <v>33</v>
      </c>
      <c r="D454" s="54">
        <v>43064.32</v>
      </c>
      <c r="E454" s="54" t="str">
        <f t="shared" si="1"/>
        <v>₹516,771.84</v>
      </c>
      <c r="F454" s="55" t="str">
        <f t="shared" si="2"/>
        <v>20.0%</v>
      </c>
      <c r="G454" s="54" t="str">
        <f t="shared" si="3"/>
        <v>₹103,354.37</v>
      </c>
      <c r="H454" s="54" t="str">
        <f t="shared" si="4"/>
        <v>₹8,612.86</v>
      </c>
      <c r="I454" s="54" t="str">
        <f>42210.2-H454</f>
        <v>₹33,597.34</v>
      </c>
    </row>
    <row r="455" ht="15.75" customHeight="1">
      <c r="A455" s="50" t="s">
        <v>493</v>
      </c>
      <c r="B455" s="50" t="s">
        <v>36</v>
      </c>
      <c r="C455" s="50" t="s">
        <v>37</v>
      </c>
      <c r="D455" s="51">
        <v>75968.21</v>
      </c>
      <c r="E455" s="51" t="str">
        <f t="shared" si="1"/>
        <v>₹911,618.52</v>
      </c>
      <c r="F455" s="52" t="str">
        <f t="shared" si="2"/>
        <v>20.0%</v>
      </c>
      <c r="G455" s="51" t="str">
        <f t="shared" si="3"/>
        <v>₹182,323.70</v>
      </c>
      <c r="H455" s="51" t="str">
        <f t="shared" si="4"/>
        <v>₹15,193.64</v>
      </c>
      <c r="I455" s="51" t="str">
        <f>75535-H455</f>
        <v>₹60,341.36</v>
      </c>
    </row>
    <row r="456" ht="15.75" customHeight="1">
      <c r="A456" s="53" t="s">
        <v>494</v>
      </c>
      <c r="B456" s="53" t="s">
        <v>53</v>
      </c>
      <c r="C456" s="53" t="s">
        <v>14</v>
      </c>
      <c r="D456" s="54">
        <v>32485.48</v>
      </c>
      <c r="E456" s="54" t="str">
        <f t="shared" si="1"/>
        <v>₹389,825.76</v>
      </c>
      <c r="F456" s="55" t="str">
        <f t="shared" si="2"/>
        <v>5.0%</v>
      </c>
      <c r="G456" s="54" t="str">
        <f t="shared" si="3"/>
        <v>₹19,491.29</v>
      </c>
      <c r="H456" s="54" t="str">
        <f t="shared" si="4"/>
        <v>₹1,624.27</v>
      </c>
      <c r="I456" s="54" t="str">
        <f>26707.76-H456</f>
        <v>₹25,083.49</v>
      </c>
    </row>
    <row r="457" ht="15.75" customHeight="1">
      <c r="A457" s="50" t="s">
        <v>495</v>
      </c>
      <c r="B457" s="50" t="s">
        <v>29</v>
      </c>
      <c r="C457" s="50" t="s">
        <v>54</v>
      </c>
      <c r="D457" s="51">
        <v>53242.82</v>
      </c>
      <c r="E457" s="51" t="str">
        <f t="shared" si="1"/>
        <v>₹638,913.84</v>
      </c>
      <c r="F457" s="52" t="str">
        <f t="shared" si="2"/>
        <v>20.0%</v>
      </c>
      <c r="G457" s="51" t="str">
        <f t="shared" si="3"/>
        <v>₹127,782.77</v>
      </c>
      <c r="H457" s="51" t="str">
        <f t="shared" si="4"/>
        <v>₹10,648.56</v>
      </c>
      <c r="I457" s="51" t="str">
        <f>42313.16-H457</f>
        <v>₹31,664.60</v>
      </c>
    </row>
    <row r="458" ht="15.75" customHeight="1">
      <c r="A458" s="53" t="s">
        <v>496</v>
      </c>
      <c r="B458" s="53" t="s">
        <v>29</v>
      </c>
      <c r="C458" s="53" t="s">
        <v>54</v>
      </c>
      <c r="D458" s="54">
        <v>49394.8</v>
      </c>
      <c r="E458" s="54" t="str">
        <f t="shared" si="1"/>
        <v>₹592,737.60</v>
      </c>
      <c r="F458" s="55" t="str">
        <f t="shared" si="2"/>
        <v>20.0%</v>
      </c>
      <c r="G458" s="54" t="str">
        <f t="shared" si="3"/>
        <v>₹118,547.52</v>
      </c>
      <c r="H458" s="54" t="str">
        <f t="shared" si="4"/>
        <v>₹9,878.96</v>
      </c>
      <c r="I458" s="54" t="str">
        <f>46328.06-H458</f>
        <v>₹36,449.10</v>
      </c>
    </row>
    <row r="459" ht="15.75" customHeight="1">
      <c r="A459" s="50" t="s">
        <v>497</v>
      </c>
      <c r="B459" s="50" t="s">
        <v>36</v>
      </c>
      <c r="C459" s="50" t="s">
        <v>26</v>
      </c>
      <c r="D459" s="51">
        <v>125269.92</v>
      </c>
      <c r="E459" s="51" t="str">
        <f t="shared" si="1"/>
        <v>₹1,503,239.04</v>
      </c>
      <c r="F459" s="52" t="str">
        <f t="shared" si="2"/>
        <v>30.0%</v>
      </c>
      <c r="G459" s="51" t="str">
        <f t="shared" si="3"/>
        <v>₹450,971.71</v>
      </c>
      <c r="H459" s="51" t="str">
        <f t="shared" si="4"/>
        <v>₹37,580.98</v>
      </c>
      <c r="I459" s="51" t="str">
        <f>118407.13-H459</f>
        <v>₹80,826.15</v>
      </c>
    </row>
    <row r="460" ht="15.75" customHeight="1">
      <c r="A460" s="53" t="s">
        <v>498</v>
      </c>
      <c r="B460" s="53" t="s">
        <v>36</v>
      </c>
      <c r="C460" s="53" t="s">
        <v>33</v>
      </c>
      <c r="D460" s="54">
        <v>45979.86</v>
      </c>
      <c r="E460" s="54" t="str">
        <f t="shared" si="1"/>
        <v>₹551,758.32</v>
      </c>
      <c r="F460" s="55" t="str">
        <f t="shared" si="2"/>
        <v>20.0%</v>
      </c>
      <c r="G460" s="54" t="str">
        <f t="shared" si="3"/>
        <v>₹110,351.66</v>
      </c>
      <c r="H460" s="54" t="str">
        <f t="shared" si="4"/>
        <v>₹9,195.97</v>
      </c>
      <c r="I460" s="54" t="str">
        <f>37336.46-H460</f>
        <v>₹28,140.49</v>
      </c>
    </row>
    <row r="461" ht="15.75" customHeight="1">
      <c r="A461" s="50" t="s">
        <v>499</v>
      </c>
      <c r="B461" s="50" t="s">
        <v>29</v>
      </c>
      <c r="C461" s="50" t="s">
        <v>54</v>
      </c>
      <c r="D461" s="51">
        <v>68320.76</v>
      </c>
      <c r="E461" s="51" t="str">
        <f t="shared" si="1"/>
        <v>₹819,849.12</v>
      </c>
      <c r="F461" s="52" t="str">
        <f t="shared" si="2"/>
        <v>20.0%</v>
      </c>
      <c r="G461" s="51" t="str">
        <f t="shared" si="3"/>
        <v>₹163,969.82</v>
      </c>
      <c r="H461" s="51" t="str">
        <f t="shared" si="4"/>
        <v>₹13,664.15</v>
      </c>
      <c r="I461" s="51" t="str">
        <f>54754.67-H461</f>
        <v>₹41,090.52</v>
      </c>
    </row>
    <row r="462" ht="15.75" customHeight="1">
      <c r="A462" s="53" t="s">
        <v>500</v>
      </c>
      <c r="B462" s="53" t="s">
        <v>29</v>
      </c>
      <c r="C462" s="53" t="s">
        <v>33</v>
      </c>
      <c r="D462" s="54">
        <v>44657.02</v>
      </c>
      <c r="E462" s="54" t="str">
        <f t="shared" si="1"/>
        <v>₹535,884.24</v>
      </c>
      <c r="F462" s="55" t="str">
        <f t="shared" si="2"/>
        <v>20.0%</v>
      </c>
      <c r="G462" s="54" t="str">
        <f t="shared" si="3"/>
        <v>₹107,176.85</v>
      </c>
      <c r="H462" s="54" t="str">
        <f t="shared" si="4"/>
        <v>₹8,931.40</v>
      </c>
      <c r="I462" s="54" t="str">
        <f>40197.62-H462</f>
        <v>₹31,266.22</v>
      </c>
    </row>
    <row r="463" ht="15.75" customHeight="1">
      <c r="A463" s="50" t="s">
        <v>501</v>
      </c>
      <c r="B463" s="50" t="s">
        <v>36</v>
      </c>
      <c r="C463" s="50" t="s">
        <v>33</v>
      </c>
      <c r="D463" s="51">
        <v>40168.7</v>
      </c>
      <c r="E463" s="51" t="str">
        <f t="shared" si="1"/>
        <v>₹482,024.40</v>
      </c>
      <c r="F463" s="52" t="str">
        <f t="shared" si="2"/>
        <v>5.0%</v>
      </c>
      <c r="G463" s="51" t="str">
        <f t="shared" si="3"/>
        <v>₹24,101.22</v>
      </c>
      <c r="H463" s="51" t="str">
        <f t="shared" si="4"/>
        <v>₹2,008.44</v>
      </c>
      <c r="I463" s="51" t="str">
        <f>36056.84-H463</f>
        <v>₹34,048.41</v>
      </c>
    </row>
    <row r="464" ht="15.75" customHeight="1">
      <c r="A464" s="53" t="s">
        <v>503</v>
      </c>
      <c r="B464" s="53" t="s">
        <v>25</v>
      </c>
      <c r="C464" s="53" t="s">
        <v>30</v>
      </c>
      <c r="D464" s="54">
        <v>33722.23</v>
      </c>
      <c r="E464" s="54" t="str">
        <f t="shared" si="1"/>
        <v>₹404,666.76</v>
      </c>
      <c r="F464" s="55" t="str">
        <f t="shared" si="2"/>
        <v>5.0%</v>
      </c>
      <c r="G464" s="54" t="str">
        <f t="shared" si="3"/>
        <v>₹20,233.34</v>
      </c>
      <c r="H464" s="54" t="str">
        <f t="shared" si="4"/>
        <v>₹1,686.11</v>
      </c>
      <c r="I464" s="54" t="str">
        <f>27859.4-H464</f>
        <v>₹26,173.29</v>
      </c>
    </row>
    <row r="465" ht="15.75" customHeight="1">
      <c r="A465" s="50" t="s">
        <v>504</v>
      </c>
      <c r="B465" s="50" t="s">
        <v>17</v>
      </c>
      <c r="C465" s="50" t="s">
        <v>18</v>
      </c>
      <c r="D465" s="51">
        <v>111011.99</v>
      </c>
      <c r="E465" s="51" t="str">
        <f t="shared" si="1"/>
        <v>₹1,332,143.88</v>
      </c>
      <c r="F465" s="52" t="str">
        <f t="shared" si="2"/>
        <v>30.0%</v>
      </c>
      <c r="G465" s="51" t="str">
        <f t="shared" si="3"/>
        <v>₹399,643.16</v>
      </c>
      <c r="H465" s="51" t="str">
        <f t="shared" si="4"/>
        <v>₹33,303.60</v>
      </c>
      <c r="I465" s="51" t="str">
        <f>100883.39-H465</f>
        <v>₹67,579.79</v>
      </c>
    </row>
    <row r="466" ht="15.75" customHeight="1">
      <c r="A466" s="53" t="s">
        <v>505</v>
      </c>
      <c r="B466" s="53" t="s">
        <v>25</v>
      </c>
      <c r="C466" s="53" t="s">
        <v>18</v>
      </c>
      <c r="D466" s="54">
        <v>98163.7</v>
      </c>
      <c r="E466" s="54" t="str">
        <f t="shared" si="1"/>
        <v>₹1,177,964.40</v>
      </c>
      <c r="F466" s="55" t="str">
        <f t="shared" si="2"/>
        <v>30.0%</v>
      </c>
      <c r="G466" s="54" t="str">
        <f t="shared" si="3"/>
        <v>₹353,389.32</v>
      </c>
      <c r="H466" s="54" t="str">
        <f t="shared" si="4"/>
        <v>₹29,449.11</v>
      </c>
      <c r="I466" s="54" t="str">
        <f>82231.43-H466</f>
        <v>₹52,782.32</v>
      </c>
    </row>
    <row r="467" ht="15.75" customHeight="1">
      <c r="A467" s="50" t="s">
        <v>506</v>
      </c>
      <c r="B467" s="50" t="s">
        <v>36</v>
      </c>
      <c r="C467" s="50" t="s">
        <v>30</v>
      </c>
      <c r="D467" s="51">
        <v>37180.04</v>
      </c>
      <c r="E467" s="51" t="str">
        <f t="shared" si="1"/>
        <v>₹446,160.48</v>
      </c>
      <c r="F467" s="52" t="str">
        <f t="shared" si="2"/>
        <v>5.0%</v>
      </c>
      <c r="G467" s="51" t="str">
        <f t="shared" si="3"/>
        <v>₹22,308.02</v>
      </c>
      <c r="H467" s="51" t="str">
        <f t="shared" si="4"/>
        <v>₹1,859.00</v>
      </c>
      <c r="I467" s="51" t="str">
        <f>31731.57-H467</f>
        <v>₹29,872.57</v>
      </c>
    </row>
    <row r="468" ht="15.75" customHeight="1">
      <c r="A468" s="53" t="s">
        <v>507</v>
      </c>
      <c r="B468" s="53" t="s">
        <v>36</v>
      </c>
      <c r="C468" s="53" t="s">
        <v>26</v>
      </c>
      <c r="D468" s="54">
        <v>143945.29</v>
      </c>
      <c r="E468" s="54" t="str">
        <f t="shared" si="1"/>
        <v>₹1,727,343.48</v>
      </c>
      <c r="F468" s="55" t="str">
        <f t="shared" si="2"/>
        <v>30.0%</v>
      </c>
      <c r="G468" s="54" t="str">
        <f t="shared" si="3"/>
        <v>₹518,203.04</v>
      </c>
      <c r="H468" s="54" t="str">
        <f t="shared" si="4"/>
        <v>₹43,183.59</v>
      </c>
      <c r="I468" s="54" t="str">
        <f>125366.59-H468</f>
        <v>₹82,183.00</v>
      </c>
    </row>
    <row r="469" ht="15.75" customHeight="1">
      <c r="A469" s="50" t="s">
        <v>508</v>
      </c>
      <c r="B469" s="50" t="s">
        <v>36</v>
      </c>
      <c r="C469" s="50" t="s">
        <v>37</v>
      </c>
      <c r="D469" s="51">
        <v>80316.89</v>
      </c>
      <c r="E469" s="51" t="str">
        <f t="shared" si="1"/>
        <v>₹963,802.68</v>
      </c>
      <c r="F469" s="52" t="str">
        <f t="shared" si="2"/>
        <v>20.0%</v>
      </c>
      <c r="G469" s="51" t="str">
        <f t="shared" si="3"/>
        <v>₹192,760.54</v>
      </c>
      <c r="H469" s="51" t="str">
        <f t="shared" si="4"/>
        <v>₹16,063.38</v>
      </c>
      <c r="I469" s="51" t="str">
        <f>69086.51-H469</f>
        <v>₹53,023.13</v>
      </c>
    </row>
    <row r="470" ht="15.75" customHeight="1">
      <c r="A470" s="53" t="s">
        <v>509</v>
      </c>
      <c r="B470" s="53" t="s">
        <v>17</v>
      </c>
      <c r="C470" s="53" t="s">
        <v>26</v>
      </c>
      <c r="D470" s="54">
        <v>179844.12</v>
      </c>
      <c r="E470" s="54" t="str">
        <f t="shared" si="1"/>
        <v>₹2,158,129.44</v>
      </c>
      <c r="F470" s="55" t="str">
        <f t="shared" si="2"/>
        <v>30.0%</v>
      </c>
      <c r="G470" s="54" t="str">
        <f t="shared" si="3"/>
        <v>₹647,438.83</v>
      </c>
      <c r="H470" s="54" t="str">
        <f t="shared" si="4"/>
        <v>₹53,953.24</v>
      </c>
      <c r="I470" s="54" t="str">
        <f>149416.27-H470</f>
        <v>₹95,463.03</v>
      </c>
    </row>
    <row r="471" ht="15.75" customHeight="1">
      <c r="A471" s="50" t="s">
        <v>510</v>
      </c>
      <c r="B471" s="50" t="s">
        <v>13</v>
      </c>
      <c r="C471" s="50" t="s">
        <v>14</v>
      </c>
      <c r="D471" s="51">
        <v>25356.43</v>
      </c>
      <c r="E471" s="51" t="str">
        <f t="shared" si="1"/>
        <v>₹304,277.16</v>
      </c>
      <c r="F471" s="52" t="str">
        <f t="shared" si="2"/>
        <v>5.0%</v>
      </c>
      <c r="G471" s="51" t="str">
        <f t="shared" si="3"/>
        <v>₹15,213.86</v>
      </c>
      <c r="H471" s="51" t="str">
        <f t="shared" si="4"/>
        <v>₹1,267.82</v>
      </c>
      <c r="I471" s="51" t="str">
        <f>21610.06-H471</f>
        <v>₹20,342.24</v>
      </c>
    </row>
    <row r="472" ht="15.75" customHeight="1">
      <c r="A472" s="53" t="s">
        <v>511</v>
      </c>
      <c r="B472" s="53" t="s">
        <v>13</v>
      </c>
      <c r="C472" s="53" t="s">
        <v>37</v>
      </c>
      <c r="D472" s="54">
        <v>68545.87</v>
      </c>
      <c r="E472" s="54" t="str">
        <f t="shared" si="1"/>
        <v>₹822,550.44</v>
      </c>
      <c r="F472" s="55" t="str">
        <f t="shared" si="2"/>
        <v>20.0%</v>
      </c>
      <c r="G472" s="54" t="str">
        <f t="shared" si="3"/>
        <v>₹164,510.09</v>
      </c>
      <c r="H472" s="54" t="str">
        <f t="shared" si="4"/>
        <v>₹13,709.17</v>
      </c>
      <c r="I472" s="54" t="str">
        <f>59237.95-H472</f>
        <v>₹45,528.78</v>
      </c>
    </row>
    <row r="473" ht="15.75" customHeight="1">
      <c r="A473" s="50" t="s">
        <v>512</v>
      </c>
      <c r="B473" s="50" t="s">
        <v>25</v>
      </c>
      <c r="C473" s="50" t="s">
        <v>33</v>
      </c>
      <c r="D473" s="51">
        <v>48037.99</v>
      </c>
      <c r="E473" s="51" t="str">
        <f t="shared" si="1"/>
        <v>₹576,455.88</v>
      </c>
      <c r="F473" s="52" t="str">
        <f t="shared" si="2"/>
        <v>20.0%</v>
      </c>
      <c r="G473" s="51" t="str">
        <f t="shared" si="3"/>
        <v>₹115,291.18</v>
      </c>
      <c r="H473" s="51" t="str">
        <f t="shared" si="4"/>
        <v>₹9,607.60</v>
      </c>
      <c r="I473" s="51" t="str">
        <f>47928.32-H473</f>
        <v>₹38,320.72</v>
      </c>
    </row>
    <row r="474" ht="15.75" customHeight="1">
      <c r="A474" s="53" t="s">
        <v>513</v>
      </c>
      <c r="B474" s="53" t="s">
        <v>51</v>
      </c>
      <c r="C474" s="53" t="s">
        <v>37</v>
      </c>
      <c r="D474" s="54">
        <v>82498.55</v>
      </c>
      <c r="E474" s="54" t="str">
        <f t="shared" si="1"/>
        <v>₹989,982.60</v>
      </c>
      <c r="F474" s="55" t="str">
        <f t="shared" si="2"/>
        <v>20.0%</v>
      </c>
      <c r="G474" s="54" t="str">
        <f t="shared" si="3"/>
        <v>₹197,996.52</v>
      </c>
      <c r="H474" s="54" t="str">
        <f t="shared" si="4"/>
        <v>₹16,499.71</v>
      </c>
      <c r="I474" s="54" t="str">
        <f>70441.73-H474</f>
        <v>₹53,942.02</v>
      </c>
    </row>
    <row r="475" ht="15.75" customHeight="1">
      <c r="A475" s="50" t="s">
        <v>514</v>
      </c>
      <c r="B475" s="50" t="s">
        <v>36</v>
      </c>
      <c r="C475" s="50" t="s">
        <v>33</v>
      </c>
      <c r="D475" s="51">
        <v>42050.63</v>
      </c>
      <c r="E475" s="51" t="str">
        <f t="shared" si="1"/>
        <v>₹504,607.56</v>
      </c>
      <c r="F475" s="52" t="str">
        <f t="shared" si="2"/>
        <v>20.0%</v>
      </c>
      <c r="G475" s="51" t="str">
        <f t="shared" si="3"/>
        <v>₹100,921.51</v>
      </c>
      <c r="H475" s="51" t="str">
        <f t="shared" si="4"/>
        <v>₹8,410.13</v>
      </c>
      <c r="I475" s="51" t="str">
        <f>36945.55-H475</f>
        <v>₹28,535.42</v>
      </c>
    </row>
    <row r="476" ht="15.75" customHeight="1">
      <c r="A476" s="53" t="s">
        <v>515</v>
      </c>
      <c r="B476" s="53" t="s">
        <v>51</v>
      </c>
      <c r="C476" s="53" t="s">
        <v>33</v>
      </c>
      <c r="D476" s="54">
        <v>48847.32</v>
      </c>
      <c r="E476" s="54" t="str">
        <f t="shared" si="1"/>
        <v>₹586,167.84</v>
      </c>
      <c r="F476" s="55" t="str">
        <f t="shared" si="2"/>
        <v>20.0%</v>
      </c>
      <c r="G476" s="54" t="str">
        <f t="shared" si="3"/>
        <v>₹117,233.57</v>
      </c>
      <c r="H476" s="54" t="str">
        <f t="shared" si="4"/>
        <v>₹9,769.46</v>
      </c>
      <c r="I476" s="54" t="str">
        <f>45747.32-H476</f>
        <v>₹35,977.86</v>
      </c>
    </row>
    <row r="477" ht="15.75" customHeight="1">
      <c r="A477" s="50" t="s">
        <v>516</v>
      </c>
      <c r="B477" s="50" t="s">
        <v>17</v>
      </c>
      <c r="C477" s="50" t="s">
        <v>26</v>
      </c>
      <c r="D477" s="51">
        <v>164533.34</v>
      </c>
      <c r="E477" s="51" t="str">
        <f t="shared" si="1"/>
        <v>₹1,974,400.08</v>
      </c>
      <c r="F477" s="52" t="str">
        <f t="shared" si="2"/>
        <v>30.0%</v>
      </c>
      <c r="G477" s="51" t="str">
        <f t="shared" si="3"/>
        <v>₹592,320.02</v>
      </c>
      <c r="H477" s="51" t="str">
        <f t="shared" si="4"/>
        <v>₹49,360.00</v>
      </c>
      <c r="I477" s="51" t="str">
        <f>152943.71-H477</f>
        <v>₹103,583.71</v>
      </c>
    </row>
    <row r="478" ht="15.75" customHeight="1">
      <c r="A478" s="53" t="s">
        <v>517</v>
      </c>
      <c r="B478" s="53" t="s">
        <v>25</v>
      </c>
      <c r="C478" s="53" t="s">
        <v>30</v>
      </c>
      <c r="D478" s="54">
        <v>36413.52</v>
      </c>
      <c r="E478" s="54" t="str">
        <f t="shared" si="1"/>
        <v>₹436,962.24</v>
      </c>
      <c r="F478" s="55" t="str">
        <f t="shared" si="2"/>
        <v>5.0%</v>
      </c>
      <c r="G478" s="54" t="str">
        <f t="shared" si="3"/>
        <v>₹21,848.11</v>
      </c>
      <c r="H478" s="54" t="str">
        <f t="shared" si="4"/>
        <v>₹1,820.68</v>
      </c>
      <c r="I478" s="54" t="str">
        <f>35634.9-H478</f>
        <v>₹33,814.22</v>
      </c>
    </row>
    <row r="479" ht="15.75" customHeight="1">
      <c r="A479" s="50" t="s">
        <v>518</v>
      </c>
      <c r="B479" s="50" t="s">
        <v>13</v>
      </c>
      <c r="C479" s="50" t="s">
        <v>54</v>
      </c>
      <c r="D479" s="51">
        <v>53674.12</v>
      </c>
      <c r="E479" s="51" t="str">
        <f t="shared" si="1"/>
        <v>₹644,089.44</v>
      </c>
      <c r="F479" s="52" t="str">
        <f t="shared" si="2"/>
        <v>20.0%</v>
      </c>
      <c r="G479" s="51" t="str">
        <f t="shared" si="3"/>
        <v>₹128,817.89</v>
      </c>
      <c r="H479" s="51" t="str">
        <f t="shared" si="4"/>
        <v>₹10,734.82</v>
      </c>
      <c r="I479" s="51" t="str">
        <f>44081.99-H479</f>
        <v>₹33,347.17</v>
      </c>
    </row>
    <row r="480" ht="15.75" customHeight="1">
      <c r="A480" s="53" t="s">
        <v>519</v>
      </c>
      <c r="B480" s="53" t="s">
        <v>17</v>
      </c>
      <c r="C480" s="53" t="s">
        <v>26</v>
      </c>
      <c r="D480" s="54">
        <v>135294.72</v>
      </c>
      <c r="E480" s="54" t="str">
        <f t="shared" si="1"/>
        <v>₹1,623,536.64</v>
      </c>
      <c r="F480" s="55" t="str">
        <f t="shared" si="2"/>
        <v>30.0%</v>
      </c>
      <c r="G480" s="54" t="str">
        <f t="shared" si="3"/>
        <v>₹487,060.99</v>
      </c>
      <c r="H480" s="54" t="str">
        <f t="shared" si="4"/>
        <v>₹40,588.42</v>
      </c>
      <c r="I480" s="54" t="str">
        <f>110728.99-H480</f>
        <v>₹70,140.57</v>
      </c>
    </row>
    <row r="481" ht="15.75" customHeight="1">
      <c r="A481" s="50" t="s">
        <v>520</v>
      </c>
      <c r="B481" s="50" t="s">
        <v>51</v>
      </c>
      <c r="C481" s="50" t="s">
        <v>37</v>
      </c>
      <c r="D481" s="51">
        <v>64124.0</v>
      </c>
      <c r="E481" s="51" t="str">
        <f t="shared" si="1"/>
        <v>₹769,488.00</v>
      </c>
      <c r="F481" s="52" t="str">
        <f t="shared" si="2"/>
        <v>20.0%</v>
      </c>
      <c r="G481" s="51" t="str">
        <f t="shared" si="3"/>
        <v>₹153,897.60</v>
      </c>
      <c r="H481" s="51" t="str">
        <f t="shared" si="4"/>
        <v>₹12,824.80</v>
      </c>
      <c r="I481" s="51" t="str">
        <f>56038.63-H481</f>
        <v>₹43,213.83</v>
      </c>
    </row>
    <row r="482" ht="15.75" customHeight="1">
      <c r="A482" s="53" t="s">
        <v>521</v>
      </c>
      <c r="B482" s="53" t="s">
        <v>51</v>
      </c>
      <c r="C482" s="53" t="s">
        <v>26</v>
      </c>
      <c r="D482" s="54">
        <v>139814.28</v>
      </c>
      <c r="E482" s="54" t="str">
        <f t="shared" si="1"/>
        <v>₹1,677,771.36</v>
      </c>
      <c r="F482" s="55" t="str">
        <f t="shared" si="2"/>
        <v>30.0%</v>
      </c>
      <c r="G482" s="54" t="str">
        <f t="shared" si="3"/>
        <v>₹503,331.41</v>
      </c>
      <c r="H482" s="54" t="str">
        <f t="shared" si="4"/>
        <v>₹41,944.28</v>
      </c>
      <c r="I482" s="54" t="str">
        <f>119719.57-H482</f>
        <v>₹77,775.29</v>
      </c>
    </row>
    <row r="483" ht="15.75" customHeight="1">
      <c r="A483" s="50" t="s">
        <v>522</v>
      </c>
      <c r="B483" s="50" t="s">
        <v>36</v>
      </c>
      <c r="C483" s="50" t="s">
        <v>14</v>
      </c>
      <c r="D483" s="51">
        <v>34418.82</v>
      </c>
      <c r="E483" s="51" t="str">
        <f t="shared" si="1"/>
        <v>₹413,025.84</v>
      </c>
      <c r="F483" s="52" t="str">
        <f t="shared" si="2"/>
        <v>5.0%</v>
      </c>
      <c r="G483" s="51" t="str">
        <f t="shared" si="3"/>
        <v>₹20,651.29</v>
      </c>
      <c r="H483" s="51" t="str">
        <f t="shared" si="4"/>
        <v>₹1,720.94</v>
      </c>
      <c r="I483" s="51" t="str">
        <f>31275.05-H483</f>
        <v>₹29,554.11</v>
      </c>
    </row>
    <row r="484" ht="15.75" customHeight="1">
      <c r="A484" s="53" t="s">
        <v>523</v>
      </c>
      <c r="B484" s="53" t="s">
        <v>36</v>
      </c>
      <c r="C484" s="53" t="s">
        <v>14</v>
      </c>
      <c r="D484" s="54">
        <v>30945.99</v>
      </c>
      <c r="E484" s="54" t="str">
        <f t="shared" si="1"/>
        <v>₹371,351.88</v>
      </c>
      <c r="F484" s="55" t="str">
        <f t="shared" si="2"/>
        <v>5.0%</v>
      </c>
      <c r="G484" s="54" t="str">
        <f t="shared" si="3"/>
        <v>₹18,567.59</v>
      </c>
      <c r="H484" s="54" t="str">
        <f t="shared" si="4"/>
        <v>₹1,547.30</v>
      </c>
      <c r="I484" s="54" t="str">
        <f>25738.22-H484</f>
        <v>₹24,190.92</v>
      </c>
    </row>
    <row r="485" ht="15.75" customHeight="1">
      <c r="A485" s="50" t="s">
        <v>524</v>
      </c>
      <c r="B485" s="50" t="s">
        <v>53</v>
      </c>
      <c r="C485" s="50" t="s">
        <v>14</v>
      </c>
      <c r="D485" s="51">
        <v>33434.26</v>
      </c>
      <c r="E485" s="51" t="str">
        <f t="shared" si="1"/>
        <v>₹401,211.12</v>
      </c>
      <c r="F485" s="52" t="str">
        <f t="shared" si="2"/>
        <v>5.0%</v>
      </c>
      <c r="G485" s="51" t="str">
        <f t="shared" si="3"/>
        <v>₹20,060.56</v>
      </c>
      <c r="H485" s="51" t="str">
        <f t="shared" si="4"/>
        <v>₹1,671.71</v>
      </c>
      <c r="I485" s="51" t="str">
        <f>30827.28-H485</f>
        <v>₹29,155.57</v>
      </c>
    </row>
    <row r="486" ht="15.75" customHeight="1">
      <c r="A486" s="53" t="s">
        <v>525</v>
      </c>
      <c r="B486" s="53" t="s">
        <v>36</v>
      </c>
      <c r="C486" s="53" t="s">
        <v>14</v>
      </c>
      <c r="D486" s="54">
        <v>29287.01</v>
      </c>
      <c r="E486" s="54" t="str">
        <f t="shared" si="1"/>
        <v>₹351,444.12</v>
      </c>
      <c r="F486" s="55" t="str">
        <f t="shared" si="2"/>
        <v>5.0%</v>
      </c>
      <c r="G486" s="54" t="str">
        <f t="shared" si="3"/>
        <v>₹17,572.21</v>
      </c>
      <c r="H486" s="54" t="str">
        <f t="shared" si="4"/>
        <v>₹1,464.35</v>
      </c>
      <c r="I486" s="54" t="str">
        <f>26138.3-H486</f>
        <v>₹24,673.95</v>
      </c>
    </row>
    <row r="487" ht="15.75" customHeight="1">
      <c r="A487" s="50" t="s">
        <v>526</v>
      </c>
      <c r="B487" s="50" t="s">
        <v>29</v>
      </c>
      <c r="C487" s="50" t="s">
        <v>37</v>
      </c>
      <c r="D487" s="51">
        <v>71676.27</v>
      </c>
      <c r="E487" s="51" t="str">
        <f t="shared" si="1"/>
        <v>₹860,115.24</v>
      </c>
      <c r="F487" s="52" t="str">
        <f t="shared" si="2"/>
        <v>20.0%</v>
      </c>
      <c r="G487" s="51" t="str">
        <f t="shared" si="3"/>
        <v>₹172,023.05</v>
      </c>
      <c r="H487" s="51" t="str">
        <f t="shared" si="4"/>
        <v>₹14,335.25</v>
      </c>
      <c r="I487" s="51" t="str">
        <f>69894.4-H487</f>
        <v>₹55,559.15</v>
      </c>
    </row>
    <row r="488" ht="15.75" customHeight="1">
      <c r="A488" s="53" t="s">
        <v>527</v>
      </c>
      <c r="B488" s="53" t="s">
        <v>25</v>
      </c>
      <c r="C488" s="53" t="s">
        <v>54</v>
      </c>
      <c r="D488" s="54">
        <v>63838.81</v>
      </c>
      <c r="E488" s="54" t="str">
        <f t="shared" si="1"/>
        <v>₹766,065.72</v>
      </c>
      <c r="F488" s="55" t="str">
        <f t="shared" si="2"/>
        <v>20.0%</v>
      </c>
      <c r="G488" s="54" t="str">
        <f t="shared" si="3"/>
        <v>₹153,213.14</v>
      </c>
      <c r="H488" s="54" t="str">
        <f t="shared" si="4"/>
        <v>₹12,767.76</v>
      </c>
      <c r="I488" s="54" t="str">
        <f>54595.36-H488</f>
        <v>₹41,827.60</v>
      </c>
    </row>
    <row r="489" ht="15.75" customHeight="1">
      <c r="A489" s="50" t="s">
        <v>528</v>
      </c>
      <c r="B489" s="50" t="s">
        <v>53</v>
      </c>
      <c r="C489" s="50" t="s">
        <v>37</v>
      </c>
      <c r="D489" s="51">
        <v>61729.6</v>
      </c>
      <c r="E489" s="51" t="str">
        <f t="shared" si="1"/>
        <v>₹740,755.20</v>
      </c>
      <c r="F489" s="52" t="str">
        <f t="shared" si="2"/>
        <v>20.0%</v>
      </c>
      <c r="G489" s="51" t="str">
        <f t="shared" si="3"/>
        <v>₹148,151.04</v>
      </c>
      <c r="H489" s="51" t="str">
        <f t="shared" si="4"/>
        <v>₹12,345.92</v>
      </c>
      <c r="I489" s="51" t="str">
        <f>60084.53-H489</f>
        <v>₹47,738.61</v>
      </c>
    </row>
    <row r="490" ht="15.75" customHeight="1">
      <c r="A490" s="53" t="s">
        <v>529</v>
      </c>
      <c r="B490" s="53" t="s">
        <v>17</v>
      </c>
      <c r="C490" s="53" t="s">
        <v>30</v>
      </c>
      <c r="D490" s="54">
        <v>33585.47</v>
      </c>
      <c r="E490" s="54" t="str">
        <f t="shared" si="1"/>
        <v>₹403,025.64</v>
      </c>
      <c r="F490" s="55" t="str">
        <f t="shared" si="2"/>
        <v>5.0%</v>
      </c>
      <c r="G490" s="54" t="str">
        <f t="shared" si="3"/>
        <v>₹20,151.28</v>
      </c>
      <c r="H490" s="54" t="str">
        <f t="shared" si="4"/>
        <v>₹1,679.27</v>
      </c>
      <c r="I490" s="54" t="str">
        <f>30638.77-H490</f>
        <v>₹28,959.50</v>
      </c>
    </row>
    <row r="491" ht="15.75" customHeight="1">
      <c r="A491" s="50" t="s">
        <v>530</v>
      </c>
      <c r="B491" s="50" t="s">
        <v>51</v>
      </c>
      <c r="C491" s="50" t="s">
        <v>37</v>
      </c>
      <c r="D491" s="51">
        <v>69407.19</v>
      </c>
      <c r="E491" s="51" t="str">
        <f t="shared" si="1"/>
        <v>₹832,886.28</v>
      </c>
      <c r="F491" s="52" t="str">
        <f t="shared" si="2"/>
        <v>20.0%</v>
      </c>
      <c r="G491" s="51" t="str">
        <f t="shared" si="3"/>
        <v>₹166,577.26</v>
      </c>
      <c r="H491" s="51" t="str">
        <f t="shared" si="4"/>
        <v>₹13,881.44</v>
      </c>
      <c r="I491" s="51" t="str">
        <f>59511.14-H491</f>
        <v>₹45,629.70</v>
      </c>
    </row>
    <row r="492" ht="15.75" customHeight="1">
      <c r="A492" s="53" t="s">
        <v>531</v>
      </c>
      <c r="B492" s="53" t="s">
        <v>13</v>
      </c>
      <c r="C492" s="53" t="s">
        <v>30</v>
      </c>
      <c r="D492" s="54">
        <v>37580.83</v>
      </c>
      <c r="E492" s="54" t="str">
        <f t="shared" si="1"/>
        <v>₹450,969.96</v>
      </c>
      <c r="F492" s="55" t="str">
        <f t="shared" si="2"/>
        <v>5.0%</v>
      </c>
      <c r="G492" s="54" t="str">
        <f t="shared" si="3"/>
        <v>₹22,548.50</v>
      </c>
      <c r="H492" s="54" t="str">
        <f t="shared" si="4"/>
        <v>₹1,879.04</v>
      </c>
      <c r="I492" s="54" t="str">
        <f>36449.34-H492</f>
        <v>₹34,570.30</v>
      </c>
    </row>
    <row r="493" ht="15.75" customHeight="1">
      <c r="A493" s="50" t="s">
        <v>532</v>
      </c>
      <c r="B493" s="50" t="s">
        <v>25</v>
      </c>
      <c r="C493" s="50" t="s">
        <v>54</v>
      </c>
      <c r="D493" s="51">
        <v>64333.03</v>
      </c>
      <c r="E493" s="51" t="str">
        <f t="shared" si="1"/>
        <v>₹771,996.36</v>
      </c>
      <c r="F493" s="52" t="str">
        <f t="shared" si="2"/>
        <v>20.0%</v>
      </c>
      <c r="G493" s="51" t="str">
        <f t="shared" si="3"/>
        <v>₹154,399.27</v>
      </c>
      <c r="H493" s="51" t="str">
        <f t="shared" si="4"/>
        <v>₹12,866.61</v>
      </c>
      <c r="I493" s="51" t="str">
        <f>51862.45-H493</f>
        <v>₹38,995.84</v>
      </c>
    </row>
    <row r="494" ht="15.75" customHeight="1">
      <c r="A494" s="53" t="s">
        <v>533</v>
      </c>
      <c r="B494" s="53" t="s">
        <v>51</v>
      </c>
      <c r="C494" s="53" t="s">
        <v>30</v>
      </c>
      <c r="D494" s="54">
        <v>43549.8</v>
      </c>
      <c r="E494" s="54" t="str">
        <f t="shared" si="1"/>
        <v>₹522,597.60</v>
      </c>
      <c r="F494" s="55" t="str">
        <f t="shared" si="2"/>
        <v>20.0%</v>
      </c>
      <c r="G494" s="54" t="str">
        <f t="shared" si="3"/>
        <v>₹104,519.52</v>
      </c>
      <c r="H494" s="54" t="str">
        <f t="shared" si="4"/>
        <v>₹8,709.96</v>
      </c>
      <c r="I494" s="54" t="str">
        <f>39126.12-H494</f>
        <v>₹30,416.16</v>
      </c>
    </row>
    <row r="495" ht="15.75" customHeight="1">
      <c r="A495" s="50" t="s">
        <v>534</v>
      </c>
      <c r="B495" s="50" t="s">
        <v>36</v>
      </c>
      <c r="C495" s="50" t="s">
        <v>18</v>
      </c>
      <c r="D495" s="51">
        <v>112168.0</v>
      </c>
      <c r="E495" s="51" t="str">
        <f t="shared" si="1"/>
        <v>₹1,346,016.00</v>
      </c>
      <c r="F495" s="52" t="str">
        <f t="shared" si="2"/>
        <v>30.0%</v>
      </c>
      <c r="G495" s="51" t="str">
        <f t="shared" si="3"/>
        <v>₹403,804.80</v>
      </c>
      <c r="H495" s="51" t="str">
        <f t="shared" si="4"/>
        <v>₹33,650.40</v>
      </c>
      <c r="I495" s="51" t="str">
        <f>101810.51-H495</f>
        <v>₹68,160.11</v>
      </c>
    </row>
    <row r="496" ht="15.75" customHeight="1">
      <c r="A496" s="53" t="s">
        <v>535</v>
      </c>
      <c r="B496" s="53" t="s">
        <v>17</v>
      </c>
      <c r="C496" s="53" t="s">
        <v>37</v>
      </c>
      <c r="D496" s="54">
        <v>66156.2</v>
      </c>
      <c r="E496" s="54" t="str">
        <f t="shared" si="1"/>
        <v>₹793,874.40</v>
      </c>
      <c r="F496" s="55" t="str">
        <f t="shared" si="2"/>
        <v>20.0%</v>
      </c>
      <c r="G496" s="54" t="str">
        <f t="shared" si="3"/>
        <v>₹158,774.88</v>
      </c>
      <c r="H496" s="54" t="str">
        <f t="shared" si="4"/>
        <v>₹13,231.24</v>
      </c>
      <c r="I496" s="54" t="str">
        <f>62164.31-H496</f>
        <v>₹48,933.07</v>
      </c>
    </row>
    <row r="497" ht="15.75" customHeight="1">
      <c r="A497" s="50" t="s">
        <v>536</v>
      </c>
      <c r="B497" s="50" t="s">
        <v>51</v>
      </c>
      <c r="C497" s="50" t="s">
        <v>37</v>
      </c>
      <c r="D497" s="51">
        <v>73092.91</v>
      </c>
      <c r="E497" s="51" t="str">
        <f t="shared" si="1"/>
        <v>₹877,114.92</v>
      </c>
      <c r="F497" s="52" t="str">
        <f t="shared" si="2"/>
        <v>20.0%</v>
      </c>
      <c r="G497" s="51" t="str">
        <f t="shared" si="3"/>
        <v>₹175,422.98</v>
      </c>
      <c r="H497" s="51" t="str">
        <f t="shared" si="4"/>
        <v>₹14,618.58</v>
      </c>
      <c r="I497" s="51" t="str">
        <f>64574.88-H497</f>
        <v>₹49,956.30</v>
      </c>
    </row>
    <row r="498" ht="15.75" customHeight="1">
      <c r="A498" s="53" t="s">
        <v>537</v>
      </c>
      <c r="B498" s="53" t="s">
        <v>53</v>
      </c>
      <c r="C498" s="53" t="s">
        <v>37</v>
      </c>
      <c r="D498" s="54">
        <v>62223.55</v>
      </c>
      <c r="E498" s="54" t="str">
        <f t="shared" si="1"/>
        <v>₹746,682.60</v>
      </c>
      <c r="F498" s="55" t="str">
        <f t="shared" si="2"/>
        <v>20.0%</v>
      </c>
      <c r="G498" s="54" t="str">
        <f t="shared" si="3"/>
        <v>₹149,336.52</v>
      </c>
      <c r="H498" s="54" t="str">
        <f t="shared" si="4"/>
        <v>₹12,444.71</v>
      </c>
      <c r="I498" s="54" t="str">
        <f>51285.67-H498</f>
        <v>₹38,840.96</v>
      </c>
    </row>
    <row r="499" ht="15.75" customHeight="1">
      <c r="A499" s="50" t="s">
        <v>538</v>
      </c>
      <c r="B499" s="50" t="s">
        <v>53</v>
      </c>
      <c r="C499" s="50" t="s">
        <v>26</v>
      </c>
      <c r="D499" s="51">
        <v>170238.82</v>
      </c>
      <c r="E499" s="51" t="str">
        <f t="shared" si="1"/>
        <v>₹2,042,865.84</v>
      </c>
      <c r="F499" s="52" t="str">
        <f t="shared" si="2"/>
        <v>30.0%</v>
      </c>
      <c r="G499" s="51" t="str">
        <f t="shared" si="3"/>
        <v>₹612,859.75</v>
      </c>
      <c r="H499" s="51" t="str">
        <f t="shared" si="4"/>
        <v>₹51,071.65</v>
      </c>
      <c r="I499" s="51" t="str">
        <f>154714.51-H499</f>
        <v>₹103,642.86</v>
      </c>
    </row>
    <row r="500" ht="15.75" customHeight="1">
      <c r="A500" s="53" t="s">
        <v>539</v>
      </c>
      <c r="B500" s="53" t="s">
        <v>36</v>
      </c>
      <c r="C500" s="53" t="s">
        <v>14</v>
      </c>
      <c r="D500" s="54">
        <v>33334.86</v>
      </c>
      <c r="E500" s="54" t="str">
        <f t="shared" si="1"/>
        <v>₹400,018.32</v>
      </c>
      <c r="F500" s="55" t="str">
        <f t="shared" si="2"/>
        <v>5.0%</v>
      </c>
      <c r="G500" s="54" t="str">
        <f t="shared" si="3"/>
        <v>₹20,000.92</v>
      </c>
      <c r="H500" s="54" t="str">
        <f t="shared" si="4"/>
        <v>₹1,666.74</v>
      </c>
      <c r="I500" s="54" t="str">
        <f>31604.68-H500</f>
        <v>₹29,937.94</v>
      </c>
    </row>
    <row r="501" ht="15.75" customHeight="1">
      <c r="A501" s="50" t="s">
        <v>540</v>
      </c>
      <c r="B501" s="50" t="s">
        <v>36</v>
      </c>
      <c r="C501" s="50" t="s">
        <v>33</v>
      </c>
      <c r="D501" s="51">
        <v>41684.53</v>
      </c>
      <c r="E501" s="51" t="str">
        <f t="shared" si="1"/>
        <v>₹500,214.36</v>
      </c>
      <c r="F501" s="52" t="str">
        <f t="shared" si="2"/>
        <v>20.0%</v>
      </c>
      <c r="G501" s="51" t="str">
        <f t="shared" si="3"/>
        <v>₹100,042.87</v>
      </c>
      <c r="H501" s="51" t="str">
        <f t="shared" si="4"/>
        <v>₹8,336.91</v>
      </c>
      <c r="I501" s="51" t="str">
        <f>37932.36-H501</f>
        <v>₹29,595.45</v>
      </c>
    </row>
    <row r="502" ht="15.75" customHeight="1">
      <c r="A502" s="53" t="s">
        <v>541</v>
      </c>
      <c r="B502" s="53" t="s">
        <v>25</v>
      </c>
      <c r="C502" s="53" t="s">
        <v>26</v>
      </c>
      <c r="D502" s="54">
        <v>144064.8</v>
      </c>
      <c r="E502" s="54" t="str">
        <f t="shared" si="1"/>
        <v>₹1,728,777.60</v>
      </c>
      <c r="F502" s="55" t="str">
        <f t="shared" si="2"/>
        <v>30.0%</v>
      </c>
      <c r="G502" s="54" t="str">
        <f t="shared" si="3"/>
        <v>₹518,633.28</v>
      </c>
      <c r="H502" s="54" t="str">
        <f t="shared" si="4"/>
        <v>₹43,219.44</v>
      </c>
      <c r="I502" s="54" t="str">
        <f>126686.35-H502</f>
        <v>₹83,466.91</v>
      </c>
    </row>
    <row r="503" ht="15.75" customHeight="1">
      <c r="A503" s="50" t="s">
        <v>542</v>
      </c>
      <c r="B503" s="50" t="s">
        <v>25</v>
      </c>
      <c r="C503" s="50" t="s">
        <v>18</v>
      </c>
      <c r="D503" s="51">
        <v>112051.75</v>
      </c>
      <c r="E503" s="51" t="str">
        <f t="shared" si="1"/>
        <v>₹1,344,621.00</v>
      </c>
      <c r="F503" s="52" t="str">
        <f t="shared" si="2"/>
        <v>30.0%</v>
      </c>
      <c r="G503" s="51" t="str">
        <f t="shared" si="3"/>
        <v>₹403,386.30</v>
      </c>
      <c r="H503" s="51" t="str">
        <f t="shared" si="4"/>
        <v>₹33,615.53</v>
      </c>
      <c r="I503" s="51" t="str">
        <f>97103.9-H503</f>
        <v>₹63,488.38</v>
      </c>
    </row>
    <row r="504" ht="15.75" customHeight="1">
      <c r="A504" s="53" t="s">
        <v>543</v>
      </c>
      <c r="B504" s="53" t="s">
        <v>25</v>
      </c>
      <c r="C504" s="53" t="s">
        <v>30</v>
      </c>
      <c r="D504" s="54">
        <v>41130.69</v>
      </c>
      <c r="E504" s="54" t="str">
        <f t="shared" si="1"/>
        <v>₹493,568.28</v>
      </c>
      <c r="F504" s="55" t="str">
        <f t="shared" si="2"/>
        <v>5.0%</v>
      </c>
      <c r="G504" s="54" t="str">
        <f t="shared" si="3"/>
        <v>₹24,678.41</v>
      </c>
      <c r="H504" s="54" t="str">
        <f t="shared" si="4"/>
        <v>₹2,056.53</v>
      </c>
      <c r="I504" s="54" t="str">
        <f>36485.81-H504</f>
        <v>₹34,429.28</v>
      </c>
    </row>
    <row r="505" ht="15.75" customHeight="1">
      <c r="A505" s="50" t="s">
        <v>544</v>
      </c>
      <c r="B505" s="50" t="s">
        <v>53</v>
      </c>
      <c r="C505" s="50" t="s">
        <v>30</v>
      </c>
      <c r="D505" s="51">
        <v>35801.48</v>
      </c>
      <c r="E505" s="51" t="str">
        <f t="shared" si="1"/>
        <v>₹429,617.76</v>
      </c>
      <c r="F505" s="52" t="str">
        <f t="shared" si="2"/>
        <v>5.0%</v>
      </c>
      <c r="G505" s="51" t="str">
        <f t="shared" si="3"/>
        <v>₹21,480.89</v>
      </c>
      <c r="H505" s="51" t="str">
        <f t="shared" si="4"/>
        <v>₹1,790.07</v>
      </c>
      <c r="I505" s="51" t="str">
        <f>33644.66-H505</f>
        <v>₹31,854.59</v>
      </c>
    </row>
    <row r="506" ht="15.75" customHeight="1">
      <c r="A506" s="53" t="s">
        <v>545</v>
      </c>
      <c r="B506" s="53" t="s">
        <v>25</v>
      </c>
      <c r="C506" s="53" t="s">
        <v>37</v>
      </c>
      <c r="D506" s="54">
        <v>90084.11</v>
      </c>
      <c r="E506" s="54" t="str">
        <f t="shared" si="1"/>
        <v>₹1,081,009.32</v>
      </c>
      <c r="F506" s="55" t="str">
        <f t="shared" si="2"/>
        <v>30.0%</v>
      </c>
      <c r="G506" s="54" t="str">
        <f t="shared" si="3"/>
        <v>₹324,302.80</v>
      </c>
      <c r="H506" s="54" t="str">
        <f t="shared" si="4"/>
        <v>₹27,025.23</v>
      </c>
      <c r="I506" s="54" t="str">
        <f>88291.82-H506</f>
        <v>₹61,266.59</v>
      </c>
    </row>
    <row r="507" ht="15.75" customHeight="1">
      <c r="A507" s="50" t="s">
        <v>546</v>
      </c>
      <c r="B507" s="50" t="s">
        <v>51</v>
      </c>
      <c r="C507" s="50" t="s">
        <v>18</v>
      </c>
      <c r="D507" s="51">
        <v>99019.7</v>
      </c>
      <c r="E507" s="51" t="str">
        <f t="shared" si="1"/>
        <v>₹1,188,236.40</v>
      </c>
      <c r="F507" s="52" t="str">
        <f t="shared" si="2"/>
        <v>30.0%</v>
      </c>
      <c r="G507" s="51" t="str">
        <f t="shared" si="3"/>
        <v>₹356,470.92</v>
      </c>
      <c r="H507" s="51" t="str">
        <f t="shared" si="4"/>
        <v>₹29,705.91</v>
      </c>
      <c r="I507" s="51" t="str">
        <f>80451.06-H507</f>
        <v>₹50,745.15</v>
      </c>
    </row>
    <row r="508" ht="15.75" customHeight="1">
      <c r="A508" s="53" t="s">
        <v>547</v>
      </c>
      <c r="B508" s="53" t="s">
        <v>36</v>
      </c>
      <c r="C508" s="53" t="s">
        <v>30</v>
      </c>
      <c r="D508" s="54">
        <v>36661.18</v>
      </c>
      <c r="E508" s="54" t="str">
        <f t="shared" si="1"/>
        <v>₹439,934.16</v>
      </c>
      <c r="F508" s="55" t="str">
        <f t="shared" si="2"/>
        <v>5.0%</v>
      </c>
      <c r="G508" s="54" t="str">
        <f t="shared" si="3"/>
        <v>₹21,996.71</v>
      </c>
      <c r="H508" s="54" t="str">
        <f t="shared" si="4"/>
        <v>₹1,833.06</v>
      </c>
      <c r="I508" s="54" t="str">
        <f>33295.85-H508</f>
        <v>₹31,462.79</v>
      </c>
    </row>
    <row r="509" ht="15.75" customHeight="1">
      <c r="A509" s="50" t="s">
        <v>548</v>
      </c>
      <c r="B509" s="50" t="s">
        <v>17</v>
      </c>
      <c r="C509" s="50" t="s">
        <v>18</v>
      </c>
      <c r="D509" s="51">
        <v>124529.89</v>
      </c>
      <c r="E509" s="51" t="str">
        <f t="shared" si="1"/>
        <v>₹1,494,358.68</v>
      </c>
      <c r="F509" s="52" t="str">
        <f t="shared" si="2"/>
        <v>30.0%</v>
      </c>
      <c r="G509" s="51" t="str">
        <f t="shared" si="3"/>
        <v>₹448,307.60</v>
      </c>
      <c r="H509" s="51" t="str">
        <f t="shared" si="4"/>
        <v>₹37,358.97</v>
      </c>
      <c r="I509" s="51" t="str">
        <f>114177.48-H509</f>
        <v>₹76,818.51</v>
      </c>
    </row>
    <row r="510" ht="15.75" customHeight="1">
      <c r="A510" s="53" t="s">
        <v>549</v>
      </c>
      <c r="B510" s="53" t="s">
        <v>29</v>
      </c>
      <c r="C510" s="53" t="s">
        <v>18</v>
      </c>
      <c r="D510" s="54">
        <v>122743.07</v>
      </c>
      <c r="E510" s="54" t="str">
        <f t="shared" si="1"/>
        <v>₹1,472,916.84</v>
      </c>
      <c r="F510" s="55" t="str">
        <f t="shared" si="2"/>
        <v>30.0%</v>
      </c>
      <c r="G510" s="54" t="str">
        <f t="shared" si="3"/>
        <v>₹441,875.05</v>
      </c>
      <c r="H510" s="54" t="str">
        <f t="shared" si="4"/>
        <v>₹36,822.92</v>
      </c>
      <c r="I510" s="54" t="str">
        <f>97273.01-H510</f>
        <v>₹60,450.09</v>
      </c>
    </row>
    <row r="511" ht="15.75" customHeight="1">
      <c r="A511" s="50" t="s">
        <v>550</v>
      </c>
      <c r="B511" s="50" t="s">
        <v>53</v>
      </c>
      <c r="C511" s="50" t="s">
        <v>14</v>
      </c>
      <c r="D511" s="51">
        <v>35642.78</v>
      </c>
      <c r="E511" s="51" t="str">
        <f t="shared" si="1"/>
        <v>₹427,713.36</v>
      </c>
      <c r="F511" s="52" t="str">
        <f t="shared" si="2"/>
        <v>5.0%</v>
      </c>
      <c r="G511" s="51" t="str">
        <f t="shared" si="3"/>
        <v>₹21,385.67</v>
      </c>
      <c r="H511" s="51" t="str">
        <f t="shared" si="4"/>
        <v>₹1,782.14</v>
      </c>
      <c r="I511" s="51" t="str">
        <f>34965-H511</f>
        <v>₹33,182.86</v>
      </c>
    </row>
    <row r="512" ht="15.75" customHeight="1">
      <c r="A512" s="53" t="s">
        <v>551</v>
      </c>
      <c r="B512" s="53" t="s">
        <v>13</v>
      </c>
      <c r="C512" s="53" t="s">
        <v>18</v>
      </c>
      <c r="D512" s="54">
        <v>122202.14</v>
      </c>
      <c r="E512" s="54" t="str">
        <f t="shared" si="1"/>
        <v>₹1,466,425.68</v>
      </c>
      <c r="F512" s="55" t="str">
        <f t="shared" si="2"/>
        <v>30.0%</v>
      </c>
      <c r="G512" s="54" t="str">
        <f t="shared" si="3"/>
        <v>₹439,927.70</v>
      </c>
      <c r="H512" s="54" t="str">
        <f t="shared" si="4"/>
        <v>₹36,660.64</v>
      </c>
      <c r="I512" s="54" t="str">
        <f>102358.85-H512</f>
        <v>₹65,698.21</v>
      </c>
    </row>
    <row r="513" ht="15.75" customHeight="1">
      <c r="A513" s="50" t="s">
        <v>552</v>
      </c>
      <c r="B513" s="50" t="s">
        <v>51</v>
      </c>
      <c r="C513" s="50" t="s">
        <v>54</v>
      </c>
      <c r="D513" s="51">
        <v>65117.82</v>
      </c>
      <c r="E513" s="51" t="str">
        <f t="shared" si="1"/>
        <v>₹781,413.84</v>
      </c>
      <c r="F513" s="52" t="str">
        <f t="shared" si="2"/>
        <v>20.0%</v>
      </c>
      <c r="G513" s="51" t="str">
        <f t="shared" si="3"/>
        <v>₹156,282.77</v>
      </c>
      <c r="H513" s="51" t="str">
        <f t="shared" si="4"/>
        <v>₹13,023.56</v>
      </c>
      <c r="I513" s="51" t="str">
        <f>60609.21-H513</f>
        <v>₹47,585.65</v>
      </c>
    </row>
    <row r="514" ht="15.75" customHeight="1">
      <c r="A514" s="53" t="s">
        <v>553</v>
      </c>
      <c r="B514" s="53" t="s">
        <v>29</v>
      </c>
      <c r="C514" s="53" t="s">
        <v>37</v>
      </c>
      <c r="D514" s="54">
        <v>78296.82</v>
      </c>
      <c r="E514" s="54" t="str">
        <f t="shared" si="1"/>
        <v>₹939,561.84</v>
      </c>
      <c r="F514" s="55" t="str">
        <f t="shared" si="2"/>
        <v>20.0%</v>
      </c>
      <c r="G514" s="54" t="str">
        <f t="shared" si="3"/>
        <v>₹187,912.37</v>
      </c>
      <c r="H514" s="54" t="str">
        <f t="shared" si="4"/>
        <v>₹15,659.36</v>
      </c>
      <c r="I514" s="54" t="str">
        <f>70230.09-H514</f>
        <v>₹54,570.73</v>
      </c>
    </row>
    <row r="515" ht="15.75" customHeight="1">
      <c r="A515" s="50" t="s">
        <v>554</v>
      </c>
      <c r="B515" s="50" t="s">
        <v>13</v>
      </c>
      <c r="C515" s="50" t="s">
        <v>26</v>
      </c>
      <c r="D515" s="51">
        <v>121092.6</v>
      </c>
      <c r="E515" s="51" t="str">
        <f t="shared" si="1"/>
        <v>₹1,453,111.20</v>
      </c>
      <c r="F515" s="52" t="str">
        <f t="shared" si="2"/>
        <v>30.0%</v>
      </c>
      <c r="G515" s="51" t="str">
        <f t="shared" si="3"/>
        <v>₹435,933.36</v>
      </c>
      <c r="H515" s="51" t="str">
        <f t="shared" si="4"/>
        <v>₹36,327.78</v>
      </c>
      <c r="I515" s="51" t="str">
        <f>99517.74-H515</f>
        <v>₹63,189.96</v>
      </c>
    </row>
    <row r="516" ht="15.75" customHeight="1">
      <c r="A516" s="53" t="s">
        <v>555</v>
      </c>
      <c r="B516" s="53" t="s">
        <v>17</v>
      </c>
      <c r="C516" s="53" t="s">
        <v>14</v>
      </c>
      <c r="D516" s="54">
        <v>32879.68</v>
      </c>
      <c r="E516" s="54" t="str">
        <f t="shared" si="1"/>
        <v>₹394,556.16</v>
      </c>
      <c r="F516" s="55" t="str">
        <f t="shared" si="2"/>
        <v>5.0%</v>
      </c>
      <c r="G516" s="54" t="str">
        <f t="shared" si="3"/>
        <v>₹19,727.81</v>
      </c>
      <c r="H516" s="54" t="str">
        <f t="shared" si="4"/>
        <v>₹1,643.98</v>
      </c>
      <c r="I516" s="54" t="str">
        <f>29497.99-H516</f>
        <v>₹27,854.01</v>
      </c>
    </row>
    <row r="517" ht="15.75" customHeight="1">
      <c r="A517" s="50" t="s">
        <v>556</v>
      </c>
      <c r="B517" s="50" t="s">
        <v>51</v>
      </c>
      <c r="C517" s="50" t="s">
        <v>18</v>
      </c>
      <c r="D517" s="51">
        <v>130877.5</v>
      </c>
      <c r="E517" s="51" t="str">
        <f t="shared" si="1"/>
        <v>₹1,570,530.00</v>
      </c>
      <c r="F517" s="52" t="str">
        <f t="shared" si="2"/>
        <v>30.0%</v>
      </c>
      <c r="G517" s="51" t="str">
        <f t="shared" si="3"/>
        <v>₹471,159.00</v>
      </c>
      <c r="H517" s="51" t="str">
        <f t="shared" si="4"/>
        <v>₹39,263.25</v>
      </c>
      <c r="I517" s="51" t="str">
        <f>122849.88-H517</f>
        <v>₹83,586.63</v>
      </c>
    </row>
    <row r="518" ht="15.75" customHeight="1">
      <c r="A518" s="53" t="s">
        <v>557</v>
      </c>
      <c r="B518" s="53" t="s">
        <v>17</v>
      </c>
      <c r="C518" s="53" t="s">
        <v>18</v>
      </c>
      <c r="D518" s="54">
        <v>97908.66</v>
      </c>
      <c r="E518" s="54" t="str">
        <f t="shared" si="1"/>
        <v>₹1,174,903.92</v>
      </c>
      <c r="F518" s="55" t="str">
        <f t="shared" si="2"/>
        <v>30.0%</v>
      </c>
      <c r="G518" s="54" t="str">
        <f t="shared" si="3"/>
        <v>₹352,471.18</v>
      </c>
      <c r="H518" s="54" t="str">
        <f t="shared" si="4"/>
        <v>₹29,372.60</v>
      </c>
      <c r="I518" s="54" t="str">
        <f>83082.54-H518</f>
        <v>₹53,709.94</v>
      </c>
    </row>
    <row r="519" ht="15.75" customHeight="1">
      <c r="A519" s="50" t="s">
        <v>558</v>
      </c>
      <c r="B519" s="50" t="s">
        <v>51</v>
      </c>
      <c r="C519" s="50" t="s">
        <v>14</v>
      </c>
      <c r="D519" s="51">
        <v>28383.96</v>
      </c>
      <c r="E519" s="51" t="str">
        <f t="shared" si="1"/>
        <v>₹340,607.52</v>
      </c>
      <c r="F519" s="52" t="str">
        <f t="shared" si="2"/>
        <v>5.0%</v>
      </c>
      <c r="G519" s="51" t="str">
        <f t="shared" si="3"/>
        <v>₹17,030.38</v>
      </c>
      <c r="H519" s="51" t="str">
        <f t="shared" si="4"/>
        <v>₹1,419.20</v>
      </c>
      <c r="I519" s="51" t="str">
        <f>24008.19-H519</f>
        <v>₹22,588.99</v>
      </c>
    </row>
    <row r="520" ht="15.75" customHeight="1">
      <c r="A520" s="53" t="s">
        <v>559</v>
      </c>
      <c r="B520" s="53" t="s">
        <v>36</v>
      </c>
      <c r="C520" s="53" t="s">
        <v>18</v>
      </c>
      <c r="D520" s="54">
        <v>88865.06</v>
      </c>
      <c r="E520" s="54" t="str">
        <f t="shared" si="1"/>
        <v>₹1,066,380.72</v>
      </c>
      <c r="F520" s="55" t="str">
        <f t="shared" si="2"/>
        <v>30.0%</v>
      </c>
      <c r="G520" s="54" t="str">
        <f t="shared" si="3"/>
        <v>₹319,914.22</v>
      </c>
      <c r="H520" s="54" t="str">
        <f t="shared" si="4"/>
        <v>₹26,659.52</v>
      </c>
      <c r="I520" s="54" t="str">
        <f>74670.7-H520</f>
        <v>₹48,011.18</v>
      </c>
    </row>
    <row r="521" ht="15.75" customHeight="1">
      <c r="A521" s="50" t="s">
        <v>560</v>
      </c>
      <c r="B521" s="50" t="s">
        <v>51</v>
      </c>
      <c r="C521" s="50" t="s">
        <v>37</v>
      </c>
      <c r="D521" s="51">
        <v>70466.42</v>
      </c>
      <c r="E521" s="51" t="str">
        <f t="shared" si="1"/>
        <v>₹845,597.04</v>
      </c>
      <c r="F521" s="52" t="str">
        <f t="shared" si="2"/>
        <v>20.0%</v>
      </c>
      <c r="G521" s="51" t="str">
        <f t="shared" si="3"/>
        <v>₹169,119.41</v>
      </c>
      <c r="H521" s="51" t="str">
        <f t="shared" si="4"/>
        <v>₹14,093.28</v>
      </c>
      <c r="I521" s="51" t="str">
        <f>70329.7-H521</f>
        <v>₹56,236.42</v>
      </c>
    </row>
    <row r="522" ht="15.75" customHeight="1">
      <c r="A522" s="53" t="s">
        <v>561</v>
      </c>
      <c r="B522" s="53" t="s">
        <v>29</v>
      </c>
      <c r="C522" s="53" t="s">
        <v>26</v>
      </c>
      <c r="D522" s="54">
        <v>138876.93</v>
      </c>
      <c r="E522" s="54" t="str">
        <f t="shared" si="1"/>
        <v>₹1,666,523.16</v>
      </c>
      <c r="F522" s="55" t="str">
        <f t="shared" si="2"/>
        <v>30.0%</v>
      </c>
      <c r="G522" s="54" t="str">
        <f t="shared" si="3"/>
        <v>₹499,956.95</v>
      </c>
      <c r="H522" s="54" t="str">
        <f t="shared" si="4"/>
        <v>₹41,663.08</v>
      </c>
      <c r="I522" s="54" t="str">
        <f>119234.18-H522</f>
        <v>₹77,571.10</v>
      </c>
    </row>
    <row r="523" ht="15.75" customHeight="1">
      <c r="A523" s="50" t="s">
        <v>562</v>
      </c>
      <c r="B523" s="50" t="s">
        <v>17</v>
      </c>
      <c r="C523" s="50" t="s">
        <v>30</v>
      </c>
      <c r="D523" s="51">
        <v>36690.37</v>
      </c>
      <c r="E523" s="51" t="str">
        <f t="shared" si="1"/>
        <v>₹440,284.44</v>
      </c>
      <c r="F523" s="52" t="str">
        <f t="shared" si="2"/>
        <v>5.0%</v>
      </c>
      <c r="G523" s="51" t="str">
        <f t="shared" si="3"/>
        <v>₹22,014.22</v>
      </c>
      <c r="H523" s="51" t="str">
        <f t="shared" si="4"/>
        <v>₹1,834.52</v>
      </c>
      <c r="I523" s="51" t="str">
        <f>35910.77-H523</f>
        <v>₹34,076.25</v>
      </c>
    </row>
    <row r="524" ht="15.75" customHeight="1">
      <c r="A524" s="53" t="s">
        <v>563</v>
      </c>
      <c r="B524" s="53" t="s">
        <v>29</v>
      </c>
      <c r="C524" s="53" t="s">
        <v>33</v>
      </c>
      <c r="D524" s="54">
        <v>38362.11</v>
      </c>
      <c r="E524" s="54" t="str">
        <f t="shared" si="1"/>
        <v>₹460,345.32</v>
      </c>
      <c r="F524" s="55" t="str">
        <f t="shared" si="2"/>
        <v>5.0%</v>
      </c>
      <c r="G524" s="54" t="str">
        <f t="shared" si="3"/>
        <v>₹23,017.27</v>
      </c>
      <c r="H524" s="54" t="str">
        <f t="shared" si="4"/>
        <v>₹1,918.11</v>
      </c>
      <c r="I524" s="54" t="str">
        <f>32403.59-H524</f>
        <v>₹30,485.48</v>
      </c>
    </row>
    <row r="525" ht="15.75" customHeight="1">
      <c r="A525" s="50" t="s">
        <v>564</v>
      </c>
      <c r="B525" s="50" t="s">
        <v>13</v>
      </c>
      <c r="C525" s="50" t="s">
        <v>18</v>
      </c>
      <c r="D525" s="51">
        <v>96619.12</v>
      </c>
      <c r="E525" s="51" t="str">
        <f t="shared" si="1"/>
        <v>₹1,159,429.44</v>
      </c>
      <c r="F525" s="52" t="str">
        <f t="shared" si="2"/>
        <v>30.0%</v>
      </c>
      <c r="G525" s="51" t="str">
        <f t="shared" si="3"/>
        <v>₹347,828.83</v>
      </c>
      <c r="H525" s="51" t="str">
        <f t="shared" si="4"/>
        <v>₹28,985.74</v>
      </c>
      <c r="I525" s="51" t="str">
        <f>96444.42-H525</f>
        <v>₹67,458.68</v>
      </c>
    </row>
    <row r="526" ht="15.75" customHeight="1">
      <c r="A526" s="53" t="s">
        <v>565</v>
      </c>
      <c r="B526" s="53" t="s">
        <v>51</v>
      </c>
      <c r="C526" s="53" t="s">
        <v>54</v>
      </c>
      <c r="D526" s="54">
        <v>53592.51</v>
      </c>
      <c r="E526" s="54" t="str">
        <f t="shared" si="1"/>
        <v>₹643,110.12</v>
      </c>
      <c r="F526" s="55" t="str">
        <f t="shared" si="2"/>
        <v>20.0%</v>
      </c>
      <c r="G526" s="54" t="str">
        <f t="shared" si="3"/>
        <v>₹128,622.02</v>
      </c>
      <c r="H526" s="54" t="str">
        <f t="shared" si="4"/>
        <v>₹10,718.50</v>
      </c>
      <c r="I526" s="54" t="str">
        <f>44632-H526</f>
        <v>₹33,913.50</v>
      </c>
    </row>
    <row r="527" ht="15.75" customHeight="1">
      <c r="A527" s="50" t="s">
        <v>566</v>
      </c>
      <c r="B527" s="50" t="s">
        <v>53</v>
      </c>
      <c r="C527" s="50" t="s">
        <v>18</v>
      </c>
      <c r="D527" s="51">
        <v>102776.5</v>
      </c>
      <c r="E527" s="51" t="str">
        <f t="shared" si="1"/>
        <v>₹1,233,318.00</v>
      </c>
      <c r="F527" s="52" t="str">
        <f t="shared" si="2"/>
        <v>30.0%</v>
      </c>
      <c r="G527" s="51" t="str">
        <f t="shared" si="3"/>
        <v>₹369,995.40</v>
      </c>
      <c r="H527" s="51" t="str">
        <f t="shared" si="4"/>
        <v>₹30,832.95</v>
      </c>
      <c r="I527" s="51" t="str">
        <f>82199.16-H527</f>
        <v>₹51,366.21</v>
      </c>
    </row>
    <row r="528" ht="15.75" customHeight="1">
      <c r="A528" s="53" t="s">
        <v>567</v>
      </c>
      <c r="B528" s="53" t="s">
        <v>25</v>
      </c>
      <c r="C528" s="53" t="s">
        <v>14</v>
      </c>
      <c r="D528" s="54">
        <v>30626.96</v>
      </c>
      <c r="E528" s="54" t="str">
        <f t="shared" si="1"/>
        <v>₹367,523.52</v>
      </c>
      <c r="F528" s="55" t="str">
        <f t="shared" si="2"/>
        <v>5.0%</v>
      </c>
      <c r="G528" s="54" t="str">
        <f t="shared" si="3"/>
        <v>₹18,376.18</v>
      </c>
      <c r="H528" s="54" t="str">
        <f t="shared" si="4"/>
        <v>₹1,531.35</v>
      </c>
      <c r="I528" s="54" t="str">
        <f>24198.74-H528</f>
        <v>₹22,667.39</v>
      </c>
    </row>
    <row r="529" ht="15.75" customHeight="1">
      <c r="A529" s="50" t="s">
        <v>568</v>
      </c>
      <c r="B529" s="50" t="s">
        <v>25</v>
      </c>
      <c r="C529" s="50" t="s">
        <v>30</v>
      </c>
      <c r="D529" s="51">
        <v>34552.13</v>
      </c>
      <c r="E529" s="51" t="str">
        <f t="shared" si="1"/>
        <v>₹414,625.56</v>
      </c>
      <c r="F529" s="52" t="str">
        <f t="shared" si="2"/>
        <v>5.0%</v>
      </c>
      <c r="G529" s="51" t="str">
        <f t="shared" si="3"/>
        <v>₹20,731.28</v>
      </c>
      <c r="H529" s="51" t="str">
        <f t="shared" si="4"/>
        <v>₹1,727.61</v>
      </c>
      <c r="I529" s="51" t="str">
        <f>32751.89-H529</f>
        <v>₹31,024.28</v>
      </c>
    </row>
    <row r="530" ht="15.75" customHeight="1">
      <c r="A530" s="53" t="s">
        <v>569</v>
      </c>
      <c r="B530" s="53" t="s">
        <v>53</v>
      </c>
      <c r="C530" s="53" t="s">
        <v>18</v>
      </c>
      <c r="D530" s="54">
        <v>117624.4</v>
      </c>
      <c r="E530" s="54" t="str">
        <f t="shared" si="1"/>
        <v>₹1,411,492.80</v>
      </c>
      <c r="F530" s="55" t="str">
        <f t="shared" si="2"/>
        <v>30.0%</v>
      </c>
      <c r="G530" s="54" t="str">
        <f t="shared" si="3"/>
        <v>₹423,447.84</v>
      </c>
      <c r="H530" s="54" t="str">
        <f t="shared" si="4"/>
        <v>₹35,287.32</v>
      </c>
      <c r="I530" s="54" t="str">
        <f>100887.79-H530</f>
        <v>₹65,600.47</v>
      </c>
    </row>
    <row r="531" ht="15.75" customHeight="1">
      <c r="A531" s="50" t="s">
        <v>570</v>
      </c>
      <c r="B531" s="50" t="s">
        <v>29</v>
      </c>
      <c r="C531" s="50" t="s">
        <v>30</v>
      </c>
      <c r="D531" s="51">
        <v>37229.25</v>
      </c>
      <c r="E531" s="51" t="str">
        <f t="shared" si="1"/>
        <v>₹446,751.00</v>
      </c>
      <c r="F531" s="52" t="str">
        <f t="shared" si="2"/>
        <v>5.0%</v>
      </c>
      <c r="G531" s="51" t="str">
        <f t="shared" si="3"/>
        <v>₹22,337.55</v>
      </c>
      <c r="H531" s="51" t="str">
        <f t="shared" si="4"/>
        <v>₹1,861.46</v>
      </c>
      <c r="I531" s="51" t="str">
        <f>31271.29-H531</f>
        <v>₹29,409.83</v>
      </c>
    </row>
    <row r="532" ht="15.75" customHeight="1">
      <c r="A532" s="53" t="s">
        <v>571</v>
      </c>
      <c r="B532" s="53" t="s">
        <v>13</v>
      </c>
      <c r="C532" s="53" t="s">
        <v>14</v>
      </c>
      <c r="D532" s="54">
        <v>34489.9</v>
      </c>
      <c r="E532" s="54" t="str">
        <f t="shared" si="1"/>
        <v>₹413,878.80</v>
      </c>
      <c r="F532" s="55" t="str">
        <f t="shared" si="2"/>
        <v>5.0%</v>
      </c>
      <c r="G532" s="54" t="str">
        <f t="shared" si="3"/>
        <v>₹20,693.94</v>
      </c>
      <c r="H532" s="54" t="str">
        <f t="shared" si="4"/>
        <v>₹1,724.50</v>
      </c>
      <c r="I532" s="54" t="str">
        <f>32792.25-H532</f>
        <v>₹31,067.76</v>
      </c>
    </row>
    <row r="533" ht="15.75" customHeight="1">
      <c r="A533" s="50" t="s">
        <v>572</v>
      </c>
      <c r="B533" s="50" t="s">
        <v>17</v>
      </c>
      <c r="C533" s="50" t="s">
        <v>30</v>
      </c>
      <c r="D533" s="51">
        <v>37450.74</v>
      </c>
      <c r="E533" s="51" t="str">
        <f t="shared" si="1"/>
        <v>₹449,408.88</v>
      </c>
      <c r="F533" s="52" t="str">
        <f t="shared" si="2"/>
        <v>5.0%</v>
      </c>
      <c r="G533" s="51" t="str">
        <f t="shared" si="3"/>
        <v>₹22,470.44</v>
      </c>
      <c r="H533" s="51" t="str">
        <f t="shared" si="4"/>
        <v>₹1,872.54</v>
      </c>
      <c r="I533" s="51" t="str">
        <f>33267.29-H533</f>
        <v>₹31,394.75</v>
      </c>
    </row>
    <row r="534" ht="15.75" customHeight="1">
      <c r="A534" s="53" t="s">
        <v>573</v>
      </c>
      <c r="B534" s="53" t="s">
        <v>29</v>
      </c>
      <c r="C534" s="53" t="s">
        <v>33</v>
      </c>
      <c r="D534" s="54">
        <v>38747.08</v>
      </c>
      <c r="E534" s="54" t="str">
        <f t="shared" si="1"/>
        <v>₹464,964.96</v>
      </c>
      <c r="F534" s="55" t="str">
        <f t="shared" si="2"/>
        <v>5.0%</v>
      </c>
      <c r="G534" s="54" t="str">
        <f t="shared" si="3"/>
        <v>₹23,248.25</v>
      </c>
      <c r="H534" s="54" t="str">
        <f t="shared" si="4"/>
        <v>₹1,937.35</v>
      </c>
      <c r="I534" s="54" t="str">
        <f>34259.18-H534</f>
        <v>₹32,321.83</v>
      </c>
    </row>
    <row r="535" ht="15.75" customHeight="1">
      <c r="A535" s="50" t="s">
        <v>574</v>
      </c>
      <c r="B535" s="50" t="s">
        <v>53</v>
      </c>
      <c r="C535" s="50" t="s">
        <v>18</v>
      </c>
      <c r="D535" s="51">
        <v>96885.99</v>
      </c>
      <c r="E535" s="51" t="str">
        <f t="shared" si="1"/>
        <v>₹1,162,631.88</v>
      </c>
      <c r="F535" s="52" t="str">
        <f t="shared" si="2"/>
        <v>30.0%</v>
      </c>
      <c r="G535" s="51" t="str">
        <f t="shared" si="3"/>
        <v>₹348,789.56</v>
      </c>
      <c r="H535" s="51" t="str">
        <f t="shared" si="4"/>
        <v>₹29,065.80</v>
      </c>
      <c r="I535" s="51" t="str">
        <f>76301.76-H535</f>
        <v>₹47,235.96</v>
      </c>
    </row>
    <row r="536" ht="15.75" customHeight="1">
      <c r="A536" s="53" t="s">
        <v>575</v>
      </c>
      <c r="B536" s="53" t="s">
        <v>17</v>
      </c>
      <c r="C536" s="53" t="s">
        <v>37</v>
      </c>
      <c r="D536" s="54">
        <v>62503.68</v>
      </c>
      <c r="E536" s="54" t="str">
        <f t="shared" si="1"/>
        <v>₹750,044.16</v>
      </c>
      <c r="F536" s="55" t="str">
        <f t="shared" si="2"/>
        <v>20.0%</v>
      </c>
      <c r="G536" s="54" t="str">
        <f t="shared" si="3"/>
        <v>₹150,008.83</v>
      </c>
      <c r="H536" s="54" t="str">
        <f t="shared" si="4"/>
        <v>₹12,500.74</v>
      </c>
      <c r="I536" s="54" t="str">
        <f>61951.49-H536</f>
        <v>₹49,450.75</v>
      </c>
    </row>
    <row r="537" ht="15.75" customHeight="1">
      <c r="A537" s="50" t="s">
        <v>576</v>
      </c>
      <c r="B537" s="50" t="s">
        <v>25</v>
      </c>
      <c r="C537" s="50" t="s">
        <v>54</v>
      </c>
      <c r="D537" s="51">
        <v>60011.95</v>
      </c>
      <c r="E537" s="51" t="str">
        <f t="shared" si="1"/>
        <v>₹720,143.40</v>
      </c>
      <c r="F537" s="52" t="str">
        <f t="shared" si="2"/>
        <v>20.0%</v>
      </c>
      <c r="G537" s="51" t="str">
        <f t="shared" si="3"/>
        <v>₹144,028.68</v>
      </c>
      <c r="H537" s="51" t="str">
        <f t="shared" si="4"/>
        <v>₹12,002.39</v>
      </c>
      <c r="I537" s="51" t="str">
        <f>53684.82-H537</f>
        <v>₹41,682.43</v>
      </c>
    </row>
    <row r="538" ht="15.75" customHeight="1">
      <c r="A538" s="53" t="s">
        <v>577</v>
      </c>
      <c r="B538" s="53" t="s">
        <v>36</v>
      </c>
      <c r="C538" s="53" t="s">
        <v>18</v>
      </c>
      <c r="D538" s="54">
        <v>107763.86</v>
      </c>
      <c r="E538" s="54" t="str">
        <f t="shared" si="1"/>
        <v>₹1,293,166.32</v>
      </c>
      <c r="F538" s="55" t="str">
        <f t="shared" si="2"/>
        <v>30.0%</v>
      </c>
      <c r="G538" s="54" t="str">
        <f t="shared" si="3"/>
        <v>₹387,949.90</v>
      </c>
      <c r="H538" s="54" t="str">
        <f t="shared" si="4"/>
        <v>₹32,329.16</v>
      </c>
      <c r="I538" s="54" t="str">
        <f>95592.55-H538</f>
        <v>₹63,263.39</v>
      </c>
    </row>
    <row r="539" ht="15.75" customHeight="1">
      <c r="A539" s="50" t="s">
        <v>578</v>
      </c>
      <c r="B539" s="50" t="s">
        <v>29</v>
      </c>
      <c r="C539" s="50" t="s">
        <v>14</v>
      </c>
      <c r="D539" s="51">
        <v>28369.6</v>
      </c>
      <c r="E539" s="51" t="str">
        <f t="shared" si="1"/>
        <v>₹340,435.20</v>
      </c>
      <c r="F539" s="52" t="str">
        <f t="shared" si="2"/>
        <v>5.0%</v>
      </c>
      <c r="G539" s="51" t="str">
        <f t="shared" si="3"/>
        <v>₹17,021.76</v>
      </c>
      <c r="H539" s="51" t="str">
        <f t="shared" si="4"/>
        <v>₹1,418.48</v>
      </c>
      <c r="I539" s="51" t="str">
        <f>13539.42-H539</f>
        <v>₹12,120.94</v>
      </c>
    </row>
    <row r="540" ht="15.75" customHeight="1">
      <c r="A540" s="53" t="s">
        <v>579</v>
      </c>
      <c r="B540" s="53" t="s">
        <v>53</v>
      </c>
      <c r="C540" s="53" t="s">
        <v>33</v>
      </c>
      <c r="D540" s="54">
        <v>41246.67</v>
      </c>
      <c r="E540" s="54" t="str">
        <f t="shared" si="1"/>
        <v>₹494,960.04</v>
      </c>
      <c r="F540" s="55" t="str">
        <f t="shared" si="2"/>
        <v>5.0%</v>
      </c>
      <c r="G540" s="54" t="str">
        <f t="shared" si="3"/>
        <v>₹24,748.00</v>
      </c>
      <c r="H540" s="54" t="str">
        <f t="shared" si="4"/>
        <v>₹2,062.33</v>
      </c>
      <c r="I540" s="54" t="str">
        <f>34009.49-H540</f>
        <v>₹31,947.16</v>
      </c>
    </row>
    <row r="541" ht="15.75" customHeight="1">
      <c r="A541" s="50" t="s">
        <v>580</v>
      </c>
      <c r="B541" s="50" t="s">
        <v>13</v>
      </c>
      <c r="C541" s="50" t="s">
        <v>14</v>
      </c>
      <c r="D541" s="51">
        <v>28073.54</v>
      </c>
      <c r="E541" s="51" t="str">
        <f t="shared" si="1"/>
        <v>₹336,882.48</v>
      </c>
      <c r="F541" s="52" t="str">
        <f t="shared" si="2"/>
        <v>5.0%</v>
      </c>
      <c r="G541" s="51" t="str">
        <f t="shared" si="3"/>
        <v>₹16,844.12</v>
      </c>
      <c r="H541" s="51" t="str">
        <f t="shared" si="4"/>
        <v>₹1,403.68</v>
      </c>
      <c r="I541" s="51" t="str">
        <f>22286.26-H541</f>
        <v>₹20,882.58</v>
      </c>
    </row>
    <row r="542" ht="15.75" customHeight="1">
      <c r="A542" s="53" t="s">
        <v>581</v>
      </c>
      <c r="B542" s="53" t="s">
        <v>17</v>
      </c>
      <c r="C542" s="53" t="s">
        <v>33</v>
      </c>
      <c r="D542" s="54">
        <v>45325.93</v>
      </c>
      <c r="E542" s="54" t="str">
        <f t="shared" si="1"/>
        <v>₹543,911.16</v>
      </c>
      <c r="F542" s="55" t="str">
        <f t="shared" si="2"/>
        <v>20.0%</v>
      </c>
      <c r="G542" s="54" t="str">
        <f t="shared" si="3"/>
        <v>₹108,782.23</v>
      </c>
      <c r="H542" s="54" t="str">
        <f t="shared" si="4"/>
        <v>₹9,065.19</v>
      </c>
      <c r="I542" s="54" t="str">
        <f>43657.6-H542</f>
        <v>₹34,592.41</v>
      </c>
    </row>
    <row r="543" ht="15.75" customHeight="1">
      <c r="A543" s="50" t="s">
        <v>582</v>
      </c>
      <c r="B543" s="50" t="s">
        <v>13</v>
      </c>
      <c r="C543" s="50" t="s">
        <v>30</v>
      </c>
      <c r="D543" s="51">
        <v>37548.3</v>
      </c>
      <c r="E543" s="51" t="str">
        <f t="shared" si="1"/>
        <v>₹450,579.60</v>
      </c>
      <c r="F543" s="52" t="str">
        <f t="shared" si="2"/>
        <v>5.0%</v>
      </c>
      <c r="G543" s="51" t="str">
        <f t="shared" si="3"/>
        <v>₹22,528.98</v>
      </c>
      <c r="H543" s="51" t="str">
        <f t="shared" si="4"/>
        <v>₹1,877.42</v>
      </c>
      <c r="I543" s="51" t="str">
        <f>29493.45-H543</f>
        <v>₹27,616.04</v>
      </c>
    </row>
    <row r="544" ht="15.75" customHeight="1">
      <c r="A544" s="53" t="s">
        <v>583</v>
      </c>
      <c r="B544" s="53" t="s">
        <v>53</v>
      </c>
      <c r="C544" s="53" t="s">
        <v>26</v>
      </c>
      <c r="D544" s="54">
        <v>161695.04</v>
      </c>
      <c r="E544" s="54" t="str">
        <f t="shared" si="1"/>
        <v>₹1,940,340.48</v>
      </c>
      <c r="F544" s="55" t="str">
        <f t="shared" si="2"/>
        <v>30.0%</v>
      </c>
      <c r="G544" s="54" t="str">
        <f t="shared" si="3"/>
        <v>₹582,102.14</v>
      </c>
      <c r="H544" s="54" t="str">
        <f t="shared" si="4"/>
        <v>₹48,508.51</v>
      </c>
      <c r="I544" s="54" t="str">
        <f>148351.22-H544</f>
        <v>₹99,842.71</v>
      </c>
    </row>
    <row r="545" ht="15.75" customHeight="1">
      <c r="A545" s="50" t="s">
        <v>584</v>
      </c>
      <c r="B545" s="50" t="s">
        <v>25</v>
      </c>
      <c r="C545" s="50" t="s">
        <v>26</v>
      </c>
      <c r="D545" s="51">
        <v>147248.95</v>
      </c>
      <c r="E545" s="51" t="str">
        <f t="shared" si="1"/>
        <v>₹1,766,987.40</v>
      </c>
      <c r="F545" s="52" t="str">
        <f t="shared" si="2"/>
        <v>30.0%</v>
      </c>
      <c r="G545" s="51" t="str">
        <f t="shared" si="3"/>
        <v>₹530,096.22</v>
      </c>
      <c r="H545" s="51" t="str">
        <f t="shared" si="4"/>
        <v>₹44,174.69</v>
      </c>
      <c r="I545" s="51" t="str">
        <f>124181.14-H545</f>
        <v>₹80,006.46</v>
      </c>
    </row>
    <row r="546" ht="15.75" customHeight="1">
      <c r="A546" s="53" t="s">
        <v>585</v>
      </c>
      <c r="B546" s="53" t="s">
        <v>29</v>
      </c>
      <c r="C546" s="53" t="s">
        <v>26</v>
      </c>
      <c r="D546" s="54">
        <v>148141.06</v>
      </c>
      <c r="E546" s="54" t="str">
        <f t="shared" si="1"/>
        <v>₹1,777,692.72</v>
      </c>
      <c r="F546" s="55" t="str">
        <f t="shared" si="2"/>
        <v>30.0%</v>
      </c>
      <c r="G546" s="54" t="str">
        <f t="shared" si="3"/>
        <v>₹533,307.82</v>
      </c>
      <c r="H546" s="54" t="str">
        <f t="shared" si="4"/>
        <v>₹44,442.32</v>
      </c>
      <c r="I546" s="54" t="str">
        <f>139822.2-H546</f>
        <v>₹95,379.88</v>
      </c>
    </row>
    <row r="547" ht="15.75" customHeight="1">
      <c r="A547" s="50" t="s">
        <v>586</v>
      </c>
      <c r="B547" s="50" t="s">
        <v>13</v>
      </c>
      <c r="C547" s="50" t="s">
        <v>14</v>
      </c>
      <c r="D547" s="51">
        <v>30247.68</v>
      </c>
      <c r="E547" s="51" t="str">
        <f t="shared" si="1"/>
        <v>₹362,972.16</v>
      </c>
      <c r="F547" s="52" t="str">
        <f t="shared" si="2"/>
        <v>5.0%</v>
      </c>
      <c r="G547" s="51" t="str">
        <f t="shared" si="3"/>
        <v>₹18,148.61</v>
      </c>
      <c r="H547" s="51" t="str">
        <f t="shared" si="4"/>
        <v>₹1,512.38</v>
      </c>
      <c r="I547" s="51" t="str">
        <f>29888.9-H547</f>
        <v>₹28,376.52</v>
      </c>
    </row>
    <row r="548" ht="15.75" customHeight="1">
      <c r="A548" s="53" t="s">
        <v>587</v>
      </c>
      <c r="B548" s="53" t="s">
        <v>51</v>
      </c>
      <c r="C548" s="53" t="s">
        <v>33</v>
      </c>
      <c r="D548" s="54">
        <v>38654.98</v>
      </c>
      <c r="E548" s="54" t="str">
        <f t="shared" si="1"/>
        <v>₹463,859.76</v>
      </c>
      <c r="F548" s="55" t="str">
        <f t="shared" si="2"/>
        <v>5.0%</v>
      </c>
      <c r="G548" s="54" t="str">
        <f t="shared" si="3"/>
        <v>₹23,192.99</v>
      </c>
      <c r="H548" s="54" t="str">
        <f t="shared" si="4"/>
        <v>₹1,932.75</v>
      </c>
      <c r="I548" s="54" t="str">
        <f>31525.93-H548</f>
        <v>₹29,593.18</v>
      </c>
    </row>
    <row r="549" ht="15.75" customHeight="1">
      <c r="A549" s="50" t="s">
        <v>588</v>
      </c>
      <c r="B549" s="50" t="s">
        <v>13</v>
      </c>
      <c r="C549" s="50" t="s">
        <v>14</v>
      </c>
      <c r="D549" s="51">
        <v>27536.98</v>
      </c>
      <c r="E549" s="51" t="str">
        <f t="shared" si="1"/>
        <v>₹330,443.76</v>
      </c>
      <c r="F549" s="52" t="str">
        <f t="shared" si="2"/>
        <v>5.0%</v>
      </c>
      <c r="G549" s="51" t="str">
        <f t="shared" si="3"/>
        <v>₹16,522.19</v>
      </c>
      <c r="H549" s="51" t="str">
        <f t="shared" si="4"/>
        <v>₹1,376.85</v>
      </c>
      <c r="I549" s="51" t="str">
        <f>27277.45-H549</f>
        <v>₹25,900.60</v>
      </c>
    </row>
    <row r="550" ht="15.75" customHeight="1">
      <c r="A550" s="53" t="s">
        <v>589</v>
      </c>
      <c r="B550" s="53" t="s">
        <v>51</v>
      </c>
      <c r="C550" s="53" t="s">
        <v>14</v>
      </c>
      <c r="D550" s="54">
        <v>29454.62</v>
      </c>
      <c r="E550" s="54" t="str">
        <f t="shared" si="1"/>
        <v>₹353,455.44</v>
      </c>
      <c r="F550" s="55" t="str">
        <f t="shared" si="2"/>
        <v>5.0%</v>
      </c>
      <c r="G550" s="54" t="str">
        <f t="shared" si="3"/>
        <v>₹17,672.77</v>
      </c>
      <c r="H550" s="54" t="str">
        <f t="shared" si="4"/>
        <v>₹1,472.73</v>
      </c>
      <c r="I550" s="54" t="str">
        <f>28491.22-H550</f>
        <v>₹27,018.49</v>
      </c>
    </row>
    <row r="551" ht="15.75" customHeight="1">
      <c r="A551" s="50" t="s">
        <v>590</v>
      </c>
      <c r="B551" s="50" t="s">
        <v>53</v>
      </c>
      <c r="C551" s="50" t="s">
        <v>26</v>
      </c>
      <c r="D551" s="51">
        <v>177978.64</v>
      </c>
      <c r="E551" s="51" t="str">
        <f t="shared" si="1"/>
        <v>₹2,135,743.68</v>
      </c>
      <c r="F551" s="52" t="str">
        <f t="shared" si="2"/>
        <v>30.0%</v>
      </c>
      <c r="G551" s="51" t="str">
        <f t="shared" si="3"/>
        <v>₹640,723.10</v>
      </c>
      <c r="H551" s="51" t="str">
        <f t="shared" si="4"/>
        <v>₹53,393.59</v>
      </c>
      <c r="I551" s="51" t="str">
        <f>162516.23-H551</f>
        <v>₹109,122.64</v>
      </c>
    </row>
    <row r="552" ht="15.75" customHeight="1">
      <c r="A552" s="53" t="s">
        <v>592</v>
      </c>
      <c r="B552" s="53" t="s">
        <v>51</v>
      </c>
      <c r="C552" s="53" t="s">
        <v>54</v>
      </c>
      <c r="D552" s="54">
        <v>65228.55</v>
      </c>
      <c r="E552" s="54" t="str">
        <f t="shared" si="1"/>
        <v>₹782,742.60</v>
      </c>
      <c r="F552" s="55" t="str">
        <f t="shared" si="2"/>
        <v>20.0%</v>
      </c>
      <c r="G552" s="54" t="str">
        <f t="shared" si="3"/>
        <v>₹156,548.52</v>
      </c>
      <c r="H552" s="54" t="str">
        <f t="shared" si="4"/>
        <v>₹13,045.71</v>
      </c>
      <c r="I552" s="54" t="str">
        <f>53378.31-H552</f>
        <v>₹40,332.60</v>
      </c>
    </row>
    <row r="553" ht="15.75" customHeight="1">
      <c r="A553" s="50" t="s">
        <v>593</v>
      </c>
      <c r="B553" s="50" t="s">
        <v>29</v>
      </c>
      <c r="C553" s="50" t="s">
        <v>14</v>
      </c>
      <c r="D553" s="51">
        <v>31998.14</v>
      </c>
      <c r="E553" s="51" t="str">
        <f t="shared" si="1"/>
        <v>₹383,977.68</v>
      </c>
      <c r="F553" s="52" t="str">
        <f t="shared" si="2"/>
        <v>5.0%</v>
      </c>
      <c r="G553" s="51" t="str">
        <f t="shared" si="3"/>
        <v>₹19,198.88</v>
      </c>
      <c r="H553" s="51" t="str">
        <f t="shared" si="4"/>
        <v>₹1,599.91</v>
      </c>
      <c r="I553" s="51" t="str">
        <f>30835.2-H553</f>
        <v>₹29,235.29</v>
      </c>
    </row>
    <row r="554" ht="15.75" customHeight="1">
      <c r="A554" s="53" t="s">
        <v>594</v>
      </c>
      <c r="B554" s="53" t="s">
        <v>17</v>
      </c>
      <c r="C554" s="53" t="s">
        <v>54</v>
      </c>
      <c r="D554" s="54">
        <v>50099.88</v>
      </c>
      <c r="E554" s="54" t="str">
        <f t="shared" si="1"/>
        <v>₹601,198.56</v>
      </c>
      <c r="F554" s="55" t="str">
        <f t="shared" si="2"/>
        <v>20.0%</v>
      </c>
      <c r="G554" s="54" t="str">
        <f t="shared" si="3"/>
        <v>₹120,239.71</v>
      </c>
      <c r="H554" s="54" t="str">
        <f t="shared" si="4"/>
        <v>₹10,019.98</v>
      </c>
      <c r="I554" s="54" t="str">
        <f>35364.36-H554</f>
        <v>₹25,344.38</v>
      </c>
    </row>
    <row r="555" ht="15.75" customHeight="1">
      <c r="A555" s="50" t="s">
        <v>595</v>
      </c>
      <c r="B555" s="50" t="s">
        <v>29</v>
      </c>
      <c r="C555" s="50" t="s">
        <v>14</v>
      </c>
      <c r="D555" s="51">
        <v>28611.98</v>
      </c>
      <c r="E555" s="51" t="str">
        <f t="shared" si="1"/>
        <v>₹343,343.76</v>
      </c>
      <c r="F555" s="52" t="str">
        <f t="shared" si="2"/>
        <v>5.0%</v>
      </c>
      <c r="G555" s="51" t="str">
        <f t="shared" si="3"/>
        <v>₹17,167.19</v>
      </c>
      <c r="H555" s="51" t="str">
        <f t="shared" si="4"/>
        <v>₹1,430.60</v>
      </c>
      <c r="I555" s="51" t="str">
        <f>27288.62-H555</f>
        <v>₹25,858.02</v>
      </c>
    </row>
    <row r="556" ht="15.75" customHeight="1">
      <c r="A556" s="53" t="s">
        <v>596</v>
      </c>
      <c r="B556" s="53" t="s">
        <v>25</v>
      </c>
      <c r="C556" s="53" t="s">
        <v>33</v>
      </c>
      <c r="D556" s="54">
        <v>43686.23</v>
      </c>
      <c r="E556" s="54" t="str">
        <f t="shared" si="1"/>
        <v>₹524,234.76</v>
      </c>
      <c r="F556" s="55" t="str">
        <f t="shared" si="2"/>
        <v>20.0%</v>
      </c>
      <c r="G556" s="54" t="str">
        <f t="shared" si="3"/>
        <v>₹104,846.95</v>
      </c>
      <c r="H556" s="54" t="str">
        <f t="shared" si="4"/>
        <v>₹8,737.25</v>
      </c>
      <c r="I556" s="54" t="str">
        <f>40107.08-H556</f>
        <v>₹31,369.83</v>
      </c>
    </row>
    <row r="557" ht="15.75" customHeight="1">
      <c r="A557" s="50" t="s">
        <v>597</v>
      </c>
      <c r="B557" s="50" t="s">
        <v>25</v>
      </c>
      <c r="C557" s="50" t="s">
        <v>26</v>
      </c>
      <c r="D557" s="51">
        <v>143620.71</v>
      </c>
      <c r="E557" s="51" t="str">
        <f t="shared" si="1"/>
        <v>₹1,723,448.52</v>
      </c>
      <c r="F557" s="52" t="str">
        <f t="shared" si="2"/>
        <v>30.0%</v>
      </c>
      <c r="G557" s="51" t="str">
        <f t="shared" si="3"/>
        <v>₹517,034.56</v>
      </c>
      <c r="H557" s="51" t="str">
        <f t="shared" si="4"/>
        <v>₹43,086.21</v>
      </c>
      <c r="I557" s="51" t="str">
        <f>121482.64-H557</f>
        <v>₹78,396.43</v>
      </c>
    </row>
    <row r="558" ht="15.75" customHeight="1">
      <c r="A558" s="53" t="s">
        <v>598</v>
      </c>
      <c r="B558" s="53" t="s">
        <v>51</v>
      </c>
      <c r="C558" s="53" t="s">
        <v>14</v>
      </c>
      <c r="D558" s="54">
        <v>32245.42</v>
      </c>
      <c r="E558" s="54" t="str">
        <f t="shared" si="1"/>
        <v>₹386,945.04</v>
      </c>
      <c r="F558" s="55" t="str">
        <f t="shared" si="2"/>
        <v>5.0%</v>
      </c>
      <c r="G558" s="54" t="str">
        <f t="shared" si="3"/>
        <v>₹19,347.25</v>
      </c>
      <c r="H558" s="54" t="str">
        <f t="shared" si="4"/>
        <v>₹1,612.27</v>
      </c>
      <c r="I558" s="54" t="str">
        <f>28230.42-H558</f>
        <v>₹26,618.15</v>
      </c>
    </row>
    <row r="559" ht="15.75" customHeight="1">
      <c r="A559" s="50" t="s">
        <v>599</v>
      </c>
      <c r="B559" s="50" t="s">
        <v>25</v>
      </c>
      <c r="C559" s="50" t="s">
        <v>18</v>
      </c>
      <c r="D559" s="51">
        <v>130850.06</v>
      </c>
      <c r="E559" s="51" t="str">
        <f t="shared" si="1"/>
        <v>₹1,570,200.72</v>
      </c>
      <c r="F559" s="52" t="str">
        <f t="shared" si="2"/>
        <v>30.0%</v>
      </c>
      <c r="G559" s="51" t="str">
        <f t="shared" si="3"/>
        <v>₹471,060.22</v>
      </c>
      <c r="H559" s="51" t="str">
        <f t="shared" si="4"/>
        <v>₹39,255.02</v>
      </c>
      <c r="I559" s="51" t="str">
        <f>130811.55-H559</f>
        <v>₹91,556.53</v>
      </c>
    </row>
    <row r="560" ht="15.75" customHeight="1">
      <c r="A560" s="53" t="s">
        <v>600</v>
      </c>
      <c r="B560" s="53" t="s">
        <v>36</v>
      </c>
      <c r="C560" s="53" t="s">
        <v>26</v>
      </c>
      <c r="D560" s="54">
        <v>158711.63</v>
      </c>
      <c r="E560" s="54" t="str">
        <f t="shared" si="1"/>
        <v>₹1,904,539.56</v>
      </c>
      <c r="F560" s="55" t="str">
        <f t="shared" si="2"/>
        <v>30.0%</v>
      </c>
      <c r="G560" s="54" t="str">
        <f t="shared" si="3"/>
        <v>₹571,361.87</v>
      </c>
      <c r="H560" s="54" t="str">
        <f t="shared" si="4"/>
        <v>₹47,613.49</v>
      </c>
      <c r="I560" s="54" t="str">
        <f>151535.72-H560</f>
        <v>₹103,922.23</v>
      </c>
    </row>
    <row r="561" ht="15.75" customHeight="1">
      <c r="A561" s="50" t="s">
        <v>601</v>
      </c>
      <c r="B561" s="50" t="s">
        <v>36</v>
      </c>
      <c r="C561" s="50" t="s">
        <v>54</v>
      </c>
      <c r="D561" s="51">
        <v>72418.95</v>
      </c>
      <c r="E561" s="51" t="str">
        <f t="shared" si="1"/>
        <v>₹869,027.40</v>
      </c>
      <c r="F561" s="52" t="str">
        <f t="shared" si="2"/>
        <v>20.0%</v>
      </c>
      <c r="G561" s="51" t="str">
        <f t="shared" si="3"/>
        <v>₹173,805.48</v>
      </c>
      <c r="H561" s="51" t="str">
        <f t="shared" si="4"/>
        <v>₹14,483.79</v>
      </c>
      <c r="I561" s="51" t="str">
        <f>70349.27-H561</f>
        <v>₹55,865.48</v>
      </c>
    </row>
    <row r="562" ht="15.75" customHeight="1">
      <c r="A562" s="53" t="s">
        <v>602</v>
      </c>
      <c r="B562" s="53" t="s">
        <v>17</v>
      </c>
      <c r="C562" s="53" t="s">
        <v>14</v>
      </c>
      <c r="D562" s="54">
        <v>36443.74</v>
      </c>
      <c r="E562" s="54" t="str">
        <f t="shared" si="1"/>
        <v>₹437,324.88</v>
      </c>
      <c r="F562" s="55" t="str">
        <f t="shared" si="2"/>
        <v>5.0%</v>
      </c>
      <c r="G562" s="54" t="str">
        <f t="shared" si="3"/>
        <v>₹21,866.24</v>
      </c>
      <c r="H562" s="54" t="str">
        <f t="shared" si="4"/>
        <v>₹1,822.19</v>
      </c>
      <c r="I562" s="54" t="str">
        <f>32602.74-H562</f>
        <v>₹30,780.55</v>
      </c>
    </row>
    <row r="563" ht="15.75" customHeight="1">
      <c r="A563" s="50" t="s">
        <v>603</v>
      </c>
      <c r="B563" s="50" t="s">
        <v>29</v>
      </c>
      <c r="C563" s="50" t="s">
        <v>54</v>
      </c>
      <c r="D563" s="51">
        <v>64062.89</v>
      </c>
      <c r="E563" s="51" t="str">
        <f t="shared" si="1"/>
        <v>₹768,754.68</v>
      </c>
      <c r="F563" s="52" t="str">
        <f t="shared" si="2"/>
        <v>20.0%</v>
      </c>
      <c r="G563" s="51" t="str">
        <f t="shared" si="3"/>
        <v>₹153,750.94</v>
      </c>
      <c r="H563" s="51" t="str">
        <f t="shared" si="4"/>
        <v>₹12,812.58</v>
      </c>
      <c r="I563" s="51" t="str">
        <f>62668.12-H563</f>
        <v>₹49,855.54</v>
      </c>
    </row>
    <row r="564" ht="15.75" customHeight="1">
      <c r="A564" s="53" t="s">
        <v>604</v>
      </c>
      <c r="B564" s="53" t="s">
        <v>13</v>
      </c>
      <c r="C564" s="53" t="s">
        <v>26</v>
      </c>
      <c r="D564" s="54">
        <v>147790.35</v>
      </c>
      <c r="E564" s="54" t="str">
        <f t="shared" si="1"/>
        <v>₹1,773,484.20</v>
      </c>
      <c r="F564" s="55" t="str">
        <f t="shared" si="2"/>
        <v>30.0%</v>
      </c>
      <c r="G564" s="54" t="str">
        <f t="shared" si="3"/>
        <v>₹532,045.26</v>
      </c>
      <c r="H564" s="54" t="str">
        <f t="shared" si="4"/>
        <v>₹44,337.11</v>
      </c>
      <c r="I564" s="54" t="str">
        <f>145843.45-H564</f>
        <v>₹101,506.35</v>
      </c>
    </row>
    <row r="565" ht="15.75" customHeight="1">
      <c r="A565" s="50" t="s">
        <v>605</v>
      </c>
      <c r="B565" s="50" t="s">
        <v>51</v>
      </c>
      <c r="C565" s="50" t="s">
        <v>30</v>
      </c>
      <c r="D565" s="51">
        <v>36117.61</v>
      </c>
      <c r="E565" s="51" t="str">
        <f t="shared" si="1"/>
        <v>₹433,411.32</v>
      </c>
      <c r="F565" s="52" t="str">
        <f t="shared" si="2"/>
        <v>5.0%</v>
      </c>
      <c r="G565" s="51" t="str">
        <f t="shared" si="3"/>
        <v>₹21,670.57</v>
      </c>
      <c r="H565" s="51" t="str">
        <f t="shared" si="4"/>
        <v>₹1,805.88</v>
      </c>
      <c r="I565" s="51" t="str">
        <f>29292.66-H565</f>
        <v>₹27,486.78</v>
      </c>
    </row>
    <row r="566" ht="15.75" customHeight="1">
      <c r="A566" s="53" t="s">
        <v>606</v>
      </c>
      <c r="B566" s="53" t="s">
        <v>13</v>
      </c>
      <c r="C566" s="53" t="s">
        <v>26</v>
      </c>
      <c r="D566" s="54">
        <v>158823.52</v>
      </c>
      <c r="E566" s="54" t="str">
        <f t="shared" si="1"/>
        <v>₹1,905,882.24</v>
      </c>
      <c r="F566" s="55" t="str">
        <f t="shared" si="2"/>
        <v>30.0%</v>
      </c>
      <c r="G566" s="54" t="str">
        <f t="shared" si="3"/>
        <v>₹571,764.67</v>
      </c>
      <c r="H566" s="54" t="str">
        <f t="shared" si="4"/>
        <v>₹47,647.06</v>
      </c>
      <c r="I566" s="54" t="str">
        <f>149320.89-H566</f>
        <v>₹101,673.83</v>
      </c>
    </row>
    <row r="567" ht="15.75" customHeight="1">
      <c r="A567" s="50" t="s">
        <v>607</v>
      </c>
      <c r="B567" s="50" t="s">
        <v>36</v>
      </c>
      <c r="C567" s="50" t="s">
        <v>54</v>
      </c>
      <c r="D567" s="51">
        <v>52166.73</v>
      </c>
      <c r="E567" s="51" t="str">
        <f t="shared" si="1"/>
        <v>₹626,000.76</v>
      </c>
      <c r="F567" s="52" t="str">
        <f t="shared" si="2"/>
        <v>20.0%</v>
      </c>
      <c r="G567" s="51" t="str">
        <f t="shared" si="3"/>
        <v>₹125,200.15</v>
      </c>
      <c r="H567" s="51" t="str">
        <f t="shared" si="4"/>
        <v>₹10,433.35</v>
      </c>
      <c r="I567" s="51" t="str">
        <f>47932.15-H567</f>
        <v>₹37,498.80</v>
      </c>
    </row>
    <row r="568" ht="15.75" customHeight="1">
      <c r="A568" s="53" t="s">
        <v>608</v>
      </c>
      <c r="B568" s="53" t="s">
        <v>36</v>
      </c>
      <c r="C568" s="53" t="s">
        <v>33</v>
      </c>
      <c r="D568" s="54">
        <v>43575.91</v>
      </c>
      <c r="E568" s="54" t="str">
        <f t="shared" si="1"/>
        <v>₹522,910.92</v>
      </c>
      <c r="F568" s="55" t="str">
        <f t="shared" si="2"/>
        <v>20.0%</v>
      </c>
      <c r="G568" s="54" t="str">
        <f t="shared" si="3"/>
        <v>₹104,582.18</v>
      </c>
      <c r="H568" s="54" t="str">
        <f t="shared" si="4"/>
        <v>₹8,715.18</v>
      </c>
      <c r="I568" s="54" t="str">
        <f>42772.06-H568</f>
        <v>₹34,056.88</v>
      </c>
    </row>
    <row r="569" ht="15.75" customHeight="1">
      <c r="A569" s="50" t="s">
        <v>609</v>
      </c>
      <c r="B569" s="50" t="s">
        <v>29</v>
      </c>
      <c r="C569" s="50" t="s">
        <v>26</v>
      </c>
      <c r="D569" s="51">
        <v>163900.71</v>
      </c>
      <c r="E569" s="51" t="str">
        <f t="shared" si="1"/>
        <v>₹1,966,808.52</v>
      </c>
      <c r="F569" s="52" t="str">
        <f t="shared" si="2"/>
        <v>30.0%</v>
      </c>
      <c r="G569" s="51" t="str">
        <f t="shared" si="3"/>
        <v>₹590,042.56</v>
      </c>
      <c r="H569" s="51" t="str">
        <f t="shared" si="4"/>
        <v>₹49,170.21</v>
      </c>
      <c r="I569" s="51" t="str">
        <f>156458.67-H569</f>
        <v>₹107,288.46</v>
      </c>
    </row>
    <row r="570" ht="15.75" customHeight="1">
      <c r="A570" s="53" t="s">
        <v>610</v>
      </c>
      <c r="B570" s="53" t="s">
        <v>51</v>
      </c>
      <c r="C570" s="53" t="s">
        <v>14</v>
      </c>
      <c r="D570" s="54">
        <v>34534.38</v>
      </c>
      <c r="E570" s="54" t="str">
        <f t="shared" si="1"/>
        <v>₹414,412.56</v>
      </c>
      <c r="F570" s="55" t="str">
        <f t="shared" si="2"/>
        <v>5.0%</v>
      </c>
      <c r="G570" s="54" t="str">
        <f t="shared" si="3"/>
        <v>₹20,720.63</v>
      </c>
      <c r="H570" s="54" t="str">
        <f t="shared" si="4"/>
        <v>₹1,726.72</v>
      </c>
      <c r="I570" s="54" t="str">
        <f>31785.99-H570</f>
        <v>₹30,059.27</v>
      </c>
    </row>
    <row r="571" ht="15.75" customHeight="1">
      <c r="A571" s="50" t="s">
        <v>611</v>
      </c>
      <c r="B571" s="50" t="s">
        <v>13</v>
      </c>
      <c r="C571" s="50" t="s">
        <v>33</v>
      </c>
      <c r="D571" s="51">
        <v>41351.04</v>
      </c>
      <c r="E571" s="51" t="str">
        <f t="shared" si="1"/>
        <v>₹496,212.48</v>
      </c>
      <c r="F571" s="52" t="str">
        <f t="shared" si="2"/>
        <v>5.0%</v>
      </c>
      <c r="G571" s="51" t="str">
        <f t="shared" si="3"/>
        <v>₹24,810.62</v>
      </c>
      <c r="H571" s="51" t="str">
        <f t="shared" si="4"/>
        <v>₹2,067.55</v>
      </c>
      <c r="I571" s="51" t="str">
        <f>27023.66-H571</f>
        <v>₹24,956.11</v>
      </c>
    </row>
    <row r="572" ht="15.75" customHeight="1">
      <c r="A572" s="53" t="s">
        <v>612</v>
      </c>
      <c r="B572" s="53" t="s">
        <v>25</v>
      </c>
      <c r="C572" s="53" t="s">
        <v>54</v>
      </c>
      <c r="D572" s="54">
        <v>60325.55</v>
      </c>
      <c r="E572" s="54" t="str">
        <f t="shared" si="1"/>
        <v>₹723,906.60</v>
      </c>
      <c r="F572" s="55" t="str">
        <f t="shared" si="2"/>
        <v>20.0%</v>
      </c>
      <c r="G572" s="54" t="str">
        <f t="shared" si="3"/>
        <v>₹144,781.32</v>
      </c>
      <c r="H572" s="54" t="str">
        <f t="shared" si="4"/>
        <v>₹12,065.11</v>
      </c>
      <c r="I572" s="54" t="str">
        <f>59109.75-H572</f>
        <v>₹47,044.64</v>
      </c>
    </row>
    <row r="573" ht="15.75" customHeight="1">
      <c r="A573" s="50" t="s">
        <v>613</v>
      </c>
      <c r="B573" s="50" t="s">
        <v>25</v>
      </c>
      <c r="C573" s="50" t="s">
        <v>26</v>
      </c>
      <c r="D573" s="51">
        <v>123769.57</v>
      </c>
      <c r="E573" s="51" t="str">
        <f t="shared" si="1"/>
        <v>₹1,485,234.84</v>
      </c>
      <c r="F573" s="52" t="str">
        <f t="shared" si="2"/>
        <v>30.0%</v>
      </c>
      <c r="G573" s="51" t="str">
        <f t="shared" si="3"/>
        <v>₹445,570.45</v>
      </c>
      <c r="H573" s="51" t="str">
        <f t="shared" si="4"/>
        <v>₹37,130.87</v>
      </c>
      <c r="I573" s="51" t="str">
        <f>100095.85-H573</f>
        <v>₹62,964.98</v>
      </c>
    </row>
    <row r="574" ht="15.75" customHeight="1">
      <c r="A574" s="53" t="s">
        <v>614</v>
      </c>
      <c r="B574" s="53" t="s">
        <v>51</v>
      </c>
      <c r="C574" s="53" t="s">
        <v>30</v>
      </c>
      <c r="D574" s="54">
        <v>40200.31</v>
      </c>
      <c r="E574" s="54" t="str">
        <f t="shared" si="1"/>
        <v>₹482,403.72</v>
      </c>
      <c r="F574" s="55" t="str">
        <f t="shared" si="2"/>
        <v>5.0%</v>
      </c>
      <c r="G574" s="54" t="str">
        <f t="shared" si="3"/>
        <v>₹24,120.19</v>
      </c>
      <c r="H574" s="54" t="str">
        <f t="shared" si="4"/>
        <v>₹2,010.02</v>
      </c>
      <c r="I574" s="54" t="str">
        <f>34669.76-H574</f>
        <v>₹32,659.74</v>
      </c>
    </row>
    <row r="575" ht="15.75" customHeight="1">
      <c r="A575" s="50" t="s">
        <v>615</v>
      </c>
      <c r="B575" s="50" t="s">
        <v>17</v>
      </c>
      <c r="C575" s="50" t="s">
        <v>37</v>
      </c>
      <c r="D575" s="51">
        <v>82407.84</v>
      </c>
      <c r="E575" s="51" t="str">
        <f t="shared" si="1"/>
        <v>₹988,894.08</v>
      </c>
      <c r="F575" s="52" t="str">
        <f t="shared" si="2"/>
        <v>20.0%</v>
      </c>
      <c r="G575" s="51" t="str">
        <f t="shared" si="3"/>
        <v>₹197,778.82</v>
      </c>
      <c r="H575" s="51" t="str">
        <f t="shared" si="4"/>
        <v>₹16,481.57</v>
      </c>
      <c r="I575" s="51" t="str">
        <f>81158.18-H575</f>
        <v>₹64,676.61</v>
      </c>
    </row>
    <row r="576" ht="15.75" customHeight="1">
      <c r="A576" s="53" t="s">
        <v>616</v>
      </c>
      <c r="B576" s="53" t="s">
        <v>51</v>
      </c>
      <c r="C576" s="53" t="s">
        <v>18</v>
      </c>
      <c r="D576" s="54">
        <v>101459.23</v>
      </c>
      <c r="E576" s="54" t="str">
        <f t="shared" si="1"/>
        <v>₹1,217,510.76</v>
      </c>
      <c r="F576" s="55" t="str">
        <f t="shared" si="2"/>
        <v>30.0%</v>
      </c>
      <c r="G576" s="54" t="str">
        <f t="shared" si="3"/>
        <v>₹365,253.23</v>
      </c>
      <c r="H576" s="54" t="str">
        <f t="shared" si="4"/>
        <v>₹30,437.77</v>
      </c>
      <c r="I576" s="54" t="str">
        <f>80679.76-H576</f>
        <v>₹50,241.99</v>
      </c>
    </row>
    <row r="577" ht="15.75" customHeight="1">
      <c r="A577" s="50" t="s">
        <v>617</v>
      </c>
      <c r="B577" s="50" t="s">
        <v>17</v>
      </c>
      <c r="C577" s="50" t="s">
        <v>14</v>
      </c>
      <c r="D577" s="51">
        <v>32470.76</v>
      </c>
      <c r="E577" s="51" t="str">
        <f t="shared" si="1"/>
        <v>₹389,649.12</v>
      </c>
      <c r="F577" s="52" t="str">
        <f t="shared" si="2"/>
        <v>5.0%</v>
      </c>
      <c r="G577" s="51" t="str">
        <f t="shared" si="3"/>
        <v>₹19,482.46</v>
      </c>
      <c r="H577" s="51" t="str">
        <f t="shared" si="4"/>
        <v>₹1,623.54</v>
      </c>
      <c r="I577" s="51" t="str">
        <f>25599.54-H577</f>
        <v>₹23,976.00</v>
      </c>
    </row>
    <row r="578" ht="15.75" customHeight="1">
      <c r="A578" s="53" t="s">
        <v>618</v>
      </c>
      <c r="B578" s="53" t="s">
        <v>25</v>
      </c>
      <c r="C578" s="53" t="s">
        <v>18</v>
      </c>
      <c r="D578" s="54">
        <v>98294.79</v>
      </c>
      <c r="E578" s="54" t="str">
        <f t="shared" si="1"/>
        <v>₹1,179,537.48</v>
      </c>
      <c r="F578" s="55" t="str">
        <f t="shared" si="2"/>
        <v>30.0%</v>
      </c>
      <c r="G578" s="54" t="str">
        <f t="shared" si="3"/>
        <v>₹353,861.24</v>
      </c>
      <c r="H578" s="54" t="str">
        <f t="shared" si="4"/>
        <v>₹29,488.44</v>
      </c>
      <c r="I578" s="54" t="str">
        <f>82867.17-H578</f>
        <v>₹53,378.73</v>
      </c>
    </row>
    <row r="579" ht="15.75" customHeight="1">
      <c r="A579" s="50" t="s">
        <v>619</v>
      </c>
      <c r="B579" s="50" t="s">
        <v>29</v>
      </c>
      <c r="C579" s="50" t="s">
        <v>30</v>
      </c>
      <c r="D579" s="51">
        <v>40640.51</v>
      </c>
      <c r="E579" s="51" t="str">
        <f t="shared" si="1"/>
        <v>₹487,686.12</v>
      </c>
      <c r="F579" s="52" t="str">
        <f t="shared" si="2"/>
        <v>5.0%</v>
      </c>
      <c r="G579" s="51" t="str">
        <f t="shared" si="3"/>
        <v>₹24,384.31</v>
      </c>
      <c r="H579" s="51" t="str">
        <f t="shared" si="4"/>
        <v>₹2,032.03</v>
      </c>
      <c r="I579" s="51" t="str">
        <f>36627.33-H579</f>
        <v>₹34,595.30</v>
      </c>
    </row>
    <row r="580" ht="15.75" customHeight="1">
      <c r="A580" s="53" t="s">
        <v>620</v>
      </c>
      <c r="B580" s="53" t="s">
        <v>17</v>
      </c>
      <c r="C580" s="53" t="s">
        <v>37</v>
      </c>
      <c r="D580" s="54">
        <v>75748.66</v>
      </c>
      <c r="E580" s="54" t="str">
        <f t="shared" si="1"/>
        <v>₹908,983.92</v>
      </c>
      <c r="F580" s="55" t="str">
        <f t="shared" si="2"/>
        <v>20.0%</v>
      </c>
      <c r="G580" s="54" t="str">
        <f t="shared" si="3"/>
        <v>₹181,796.78</v>
      </c>
      <c r="H580" s="54" t="str">
        <f t="shared" si="4"/>
        <v>₹15,149.73</v>
      </c>
      <c r="I580" s="54" t="str">
        <f>70778.04-H580</f>
        <v>₹55,628.31</v>
      </c>
    </row>
    <row r="581" ht="15.75" customHeight="1">
      <c r="A581" s="50" t="s">
        <v>621</v>
      </c>
      <c r="B581" s="50" t="s">
        <v>53</v>
      </c>
      <c r="C581" s="50" t="s">
        <v>54</v>
      </c>
      <c r="D581" s="51">
        <v>48616.02</v>
      </c>
      <c r="E581" s="51" t="str">
        <f t="shared" si="1"/>
        <v>₹583,392.24</v>
      </c>
      <c r="F581" s="52" t="str">
        <f t="shared" si="2"/>
        <v>20.0%</v>
      </c>
      <c r="G581" s="51" t="str">
        <f t="shared" si="3"/>
        <v>₹116,678.45</v>
      </c>
      <c r="H581" s="51" t="str">
        <f t="shared" si="4"/>
        <v>₹9,723.20</v>
      </c>
      <c r="I581" s="51" t="str">
        <f>47139.89-H581</f>
        <v>₹37,416.69</v>
      </c>
    </row>
    <row r="582" ht="15.75" customHeight="1">
      <c r="A582" s="53" t="s">
        <v>622</v>
      </c>
      <c r="B582" s="53" t="s">
        <v>13</v>
      </c>
      <c r="C582" s="53" t="s">
        <v>26</v>
      </c>
      <c r="D582" s="54">
        <v>155349.63</v>
      </c>
      <c r="E582" s="54" t="str">
        <f t="shared" si="1"/>
        <v>₹1,864,195.56</v>
      </c>
      <c r="F582" s="55" t="str">
        <f t="shared" si="2"/>
        <v>30.0%</v>
      </c>
      <c r="G582" s="54" t="str">
        <f t="shared" si="3"/>
        <v>₹559,258.67</v>
      </c>
      <c r="H582" s="54" t="str">
        <f t="shared" si="4"/>
        <v>₹46,604.89</v>
      </c>
      <c r="I582" s="54" t="str">
        <f>129135.75-H582</f>
        <v>₹82,530.86</v>
      </c>
    </row>
    <row r="583" ht="15.75" customHeight="1">
      <c r="A583" s="50" t="s">
        <v>623</v>
      </c>
      <c r="B583" s="50" t="s">
        <v>36</v>
      </c>
      <c r="C583" s="50" t="s">
        <v>26</v>
      </c>
      <c r="D583" s="51">
        <v>161483.85</v>
      </c>
      <c r="E583" s="51" t="str">
        <f t="shared" si="1"/>
        <v>₹1,937,806.20</v>
      </c>
      <c r="F583" s="52" t="str">
        <f t="shared" si="2"/>
        <v>30.0%</v>
      </c>
      <c r="G583" s="51" t="str">
        <f t="shared" si="3"/>
        <v>₹581,341.86</v>
      </c>
      <c r="H583" s="51" t="str">
        <f t="shared" si="4"/>
        <v>₹48,445.16</v>
      </c>
      <c r="I583" s="51" t="str">
        <f>134364.61-H583</f>
        <v>₹85,919.46</v>
      </c>
    </row>
    <row r="584" ht="15.75" customHeight="1">
      <c r="A584" s="53" t="s">
        <v>624</v>
      </c>
      <c r="B584" s="53" t="s">
        <v>53</v>
      </c>
      <c r="C584" s="53" t="s">
        <v>37</v>
      </c>
      <c r="D584" s="54">
        <v>68772.57</v>
      </c>
      <c r="E584" s="54" t="str">
        <f t="shared" si="1"/>
        <v>₹825,270.84</v>
      </c>
      <c r="F584" s="55" t="str">
        <f t="shared" si="2"/>
        <v>20.0%</v>
      </c>
      <c r="G584" s="54" t="str">
        <f t="shared" si="3"/>
        <v>₹165,054.17</v>
      </c>
      <c r="H584" s="54" t="str">
        <f t="shared" si="4"/>
        <v>₹13,754.51</v>
      </c>
      <c r="I584" s="54" t="str">
        <f>68375.46-H584</f>
        <v>₹54,620.95</v>
      </c>
    </row>
    <row r="585" ht="15.75" customHeight="1">
      <c r="A585" s="50" t="s">
        <v>625</v>
      </c>
      <c r="B585" s="50" t="s">
        <v>51</v>
      </c>
      <c r="C585" s="50" t="s">
        <v>14</v>
      </c>
      <c r="D585" s="51">
        <v>35591.34</v>
      </c>
      <c r="E585" s="51" t="str">
        <f t="shared" si="1"/>
        <v>₹427,096.08</v>
      </c>
      <c r="F585" s="52" t="str">
        <f t="shared" si="2"/>
        <v>5.0%</v>
      </c>
      <c r="G585" s="51" t="str">
        <f t="shared" si="3"/>
        <v>₹21,354.80</v>
      </c>
      <c r="H585" s="51" t="str">
        <f t="shared" si="4"/>
        <v>₹1,779.57</v>
      </c>
      <c r="I585" s="51" t="str">
        <f>35161.58-H585</f>
        <v>₹33,382.01</v>
      </c>
    </row>
    <row r="586" ht="15.75" customHeight="1">
      <c r="A586" s="53" t="s">
        <v>626</v>
      </c>
      <c r="B586" s="53" t="s">
        <v>53</v>
      </c>
      <c r="C586" s="53" t="s">
        <v>33</v>
      </c>
      <c r="D586" s="54">
        <v>49000.06</v>
      </c>
      <c r="E586" s="54" t="str">
        <f t="shared" si="1"/>
        <v>₹588,000.72</v>
      </c>
      <c r="F586" s="55" t="str">
        <f t="shared" si="2"/>
        <v>20.0%</v>
      </c>
      <c r="G586" s="54" t="str">
        <f t="shared" si="3"/>
        <v>₹117,600.14</v>
      </c>
      <c r="H586" s="54" t="str">
        <f t="shared" si="4"/>
        <v>₹9,800.01</v>
      </c>
      <c r="I586" s="54" t="str">
        <f>39454.55-H586</f>
        <v>₹29,654.54</v>
      </c>
    </row>
    <row r="587" ht="15.75" customHeight="1">
      <c r="A587" s="50" t="s">
        <v>627</v>
      </c>
      <c r="B587" s="50" t="s">
        <v>51</v>
      </c>
      <c r="C587" s="50" t="s">
        <v>18</v>
      </c>
      <c r="D587" s="51">
        <v>100258.17</v>
      </c>
      <c r="E587" s="51" t="str">
        <f t="shared" si="1"/>
        <v>₹1,203,098.04</v>
      </c>
      <c r="F587" s="52" t="str">
        <f t="shared" si="2"/>
        <v>30.0%</v>
      </c>
      <c r="G587" s="51" t="str">
        <f t="shared" si="3"/>
        <v>₹360,929.41</v>
      </c>
      <c r="H587" s="51" t="str">
        <f t="shared" si="4"/>
        <v>₹30,077.45</v>
      </c>
      <c r="I587" s="51" t="str">
        <f>83340.73-H587</f>
        <v>₹53,263.28</v>
      </c>
    </row>
    <row r="588" ht="15.75" customHeight="1">
      <c r="A588" s="53" t="s">
        <v>628</v>
      </c>
      <c r="B588" s="53" t="s">
        <v>17</v>
      </c>
      <c r="C588" s="53" t="s">
        <v>26</v>
      </c>
      <c r="D588" s="54">
        <v>169154.61</v>
      </c>
      <c r="E588" s="54" t="str">
        <f t="shared" si="1"/>
        <v>₹2,029,855.32</v>
      </c>
      <c r="F588" s="55" t="str">
        <f t="shared" si="2"/>
        <v>30.0%</v>
      </c>
      <c r="G588" s="54" t="str">
        <f t="shared" si="3"/>
        <v>₹608,956.60</v>
      </c>
      <c r="H588" s="54" t="str">
        <f t="shared" si="4"/>
        <v>₹50,746.38</v>
      </c>
      <c r="I588" s="54" t="str">
        <f>137189.7-H588</f>
        <v>₹86,443.32</v>
      </c>
    </row>
    <row r="589" ht="15.75" customHeight="1">
      <c r="A589" s="50" t="s">
        <v>629</v>
      </c>
      <c r="B589" s="50" t="s">
        <v>29</v>
      </c>
      <c r="C589" s="50" t="s">
        <v>26</v>
      </c>
      <c r="D589" s="51">
        <v>167771.12</v>
      </c>
      <c r="E589" s="51" t="str">
        <f t="shared" si="1"/>
        <v>₹2,013,253.44</v>
      </c>
      <c r="F589" s="52" t="str">
        <f t="shared" si="2"/>
        <v>30.0%</v>
      </c>
      <c r="G589" s="51" t="str">
        <f t="shared" si="3"/>
        <v>₹603,976.03</v>
      </c>
      <c r="H589" s="51" t="str">
        <f t="shared" si="4"/>
        <v>₹50,331.34</v>
      </c>
      <c r="I589" s="51" t="str">
        <f>158851.1-H589</f>
        <v>₹108,519.76</v>
      </c>
    </row>
    <row r="590" ht="15.75" customHeight="1">
      <c r="A590" s="53" t="s">
        <v>630</v>
      </c>
      <c r="B590" s="53" t="s">
        <v>25</v>
      </c>
      <c r="C590" s="53" t="s">
        <v>18</v>
      </c>
      <c r="D590" s="54">
        <v>123277.13</v>
      </c>
      <c r="E590" s="54" t="str">
        <f t="shared" si="1"/>
        <v>₹1,479,325.56</v>
      </c>
      <c r="F590" s="55" t="str">
        <f t="shared" si="2"/>
        <v>30.0%</v>
      </c>
      <c r="G590" s="54" t="str">
        <f t="shared" si="3"/>
        <v>₹443,797.67</v>
      </c>
      <c r="H590" s="54" t="str">
        <f t="shared" si="4"/>
        <v>₹36,983.14</v>
      </c>
      <c r="I590" s="54" t="str">
        <f>122573.62-H590</f>
        <v>₹85,590.48</v>
      </c>
    </row>
    <row r="591" ht="15.75" customHeight="1">
      <c r="A591" s="50" t="s">
        <v>631</v>
      </c>
      <c r="B591" s="50" t="s">
        <v>29</v>
      </c>
      <c r="C591" s="50" t="s">
        <v>37</v>
      </c>
      <c r="D591" s="51">
        <v>77898.92</v>
      </c>
      <c r="E591" s="51" t="str">
        <f t="shared" si="1"/>
        <v>₹934,787.04</v>
      </c>
      <c r="F591" s="52" t="str">
        <f t="shared" si="2"/>
        <v>20.0%</v>
      </c>
      <c r="G591" s="51" t="str">
        <f t="shared" si="3"/>
        <v>₹186,957.41</v>
      </c>
      <c r="H591" s="51" t="str">
        <f t="shared" si="4"/>
        <v>₹15,579.78</v>
      </c>
      <c r="I591" s="51" t="str">
        <f>74784.88-H591</f>
        <v>₹59,205.10</v>
      </c>
    </row>
    <row r="592" ht="15.75" customHeight="1">
      <c r="A592" s="53" t="s">
        <v>632</v>
      </c>
      <c r="B592" s="53" t="s">
        <v>53</v>
      </c>
      <c r="C592" s="53" t="s">
        <v>33</v>
      </c>
      <c r="D592" s="54">
        <v>34985.39</v>
      </c>
      <c r="E592" s="54" t="str">
        <f t="shared" si="1"/>
        <v>₹419,824.68</v>
      </c>
      <c r="F592" s="55" t="str">
        <f t="shared" si="2"/>
        <v>5.0%</v>
      </c>
      <c r="G592" s="54" t="str">
        <f t="shared" si="3"/>
        <v>₹20,991.23</v>
      </c>
      <c r="H592" s="54" t="str">
        <f t="shared" si="4"/>
        <v>₹1,749.27</v>
      </c>
      <c r="I592" s="54" t="str">
        <f>34534.55-H592</f>
        <v>₹32,785.28</v>
      </c>
    </row>
    <row r="593" ht="15.75" customHeight="1">
      <c r="A593" s="50" t="s">
        <v>633</v>
      </c>
      <c r="B593" s="50" t="s">
        <v>25</v>
      </c>
      <c r="C593" s="50" t="s">
        <v>30</v>
      </c>
      <c r="D593" s="51">
        <v>33385.53</v>
      </c>
      <c r="E593" s="51" t="str">
        <f t="shared" si="1"/>
        <v>₹400,626.36</v>
      </c>
      <c r="F593" s="52" t="str">
        <f t="shared" si="2"/>
        <v>5.0%</v>
      </c>
      <c r="G593" s="51" t="str">
        <f t="shared" si="3"/>
        <v>₹20,031.32</v>
      </c>
      <c r="H593" s="51" t="str">
        <f t="shared" si="4"/>
        <v>₹1,669.28</v>
      </c>
      <c r="I593" s="51" t="str">
        <f>27367.66-H593</f>
        <v>₹25,698.38</v>
      </c>
    </row>
    <row r="594" ht="15.75" customHeight="1">
      <c r="A594" s="53" t="s">
        <v>634</v>
      </c>
      <c r="B594" s="53" t="s">
        <v>17</v>
      </c>
      <c r="C594" s="53" t="s">
        <v>14</v>
      </c>
      <c r="D594" s="54">
        <v>27469.39</v>
      </c>
      <c r="E594" s="54" t="str">
        <f t="shared" si="1"/>
        <v>₹329,632.68</v>
      </c>
      <c r="F594" s="55" t="str">
        <f t="shared" si="2"/>
        <v>5.0%</v>
      </c>
      <c r="G594" s="54" t="str">
        <f t="shared" si="3"/>
        <v>₹16,481.63</v>
      </c>
      <c r="H594" s="54" t="str">
        <f t="shared" si="4"/>
        <v>₹1,373.47</v>
      </c>
      <c r="I594" s="54" t="str">
        <f>26659.27-H594</f>
        <v>₹25,285.80</v>
      </c>
    </row>
    <row r="595" ht="15.75" customHeight="1">
      <c r="A595" s="50" t="s">
        <v>635</v>
      </c>
      <c r="B595" s="50" t="s">
        <v>25</v>
      </c>
      <c r="C595" s="50" t="s">
        <v>37</v>
      </c>
      <c r="D595" s="51">
        <v>90260.9</v>
      </c>
      <c r="E595" s="51" t="str">
        <f t="shared" si="1"/>
        <v>₹1,083,130.80</v>
      </c>
      <c r="F595" s="52" t="str">
        <f t="shared" si="2"/>
        <v>30.0%</v>
      </c>
      <c r="G595" s="51" t="str">
        <f t="shared" si="3"/>
        <v>₹324,939.24</v>
      </c>
      <c r="H595" s="51" t="str">
        <f t="shared" si="4"/>
        <v>₹27,078.27</v>
      </c>
      <c r="I595" s="51" t="str">
        <f>83481.12-H595</f>
        <v>₹56,402.85</v>
      </c>
    </row>
    <row r="596" ht="15.75" customHeight="1">
      <c r="A596" s="53" t="s">
        <v>636</v>
      </c>
      <c r="B596" s="53" t="s">
        <v>36</v>
      </c>
      <c r="C596" s="53" t="s">
        <v>37</v>
      </c>
      <c r="D596" s="54">
        <v>63689.79</v>
      </c>
      <c r="E596" s="54" t="str">
        <f t="shared" si="1"/>
        <v>₹764,277.48</v>
      </c>
      <c r="F596" s="55" t="str">
        <f t="shared" si="2"/>
        <v>20.0%</v>
      </c>
      <c r="G596" s="54" t="str">
        <f t="shared" si="3"/>
        <v>₹152,855.50</v>
      </c>
      <c r="H596" s="54" t="str">
        <f t="shared" si="4"/>
        <v>₹12,737.96</v>
      </c>
      <c r="I596" s="54" t="str">
        <f>61773.25-H596</f>
        <v>₹49,035.29</v>
      </c>
    </row>
    <row r="597" ht="15.75" customHeight="1">
      <c r="A597" s="50" t="s">
        <v>637</v>
      </c>
      <c r="B597" s="50" t="s">
        <v>13</v>
      </c>
      <c r="C597" s="50" t="s">
        <v>54</v>
      </c>
      <c r="D597" s="51">
        <v>68766.12</v>
      </c>
      <c r="E597" s="51" t="str">
        <f t="shared" si="1"/>
        <v>₹825,193.44</v>
      </c>
      <c r="F597" s="52" t="str">
        <f t="shared" si="2"/>
        <v>20.0%</v>
      </c>
      <c r="G597" s="51" t="str">
        <f t="shared" si="3"/>
        <v>₹165,038.69</v>
      </c>
      <c r="H597" s="51" t="str">
        <f t="shared" si="4"/>
        <v>₹13,753.22</v>
      </c>
      <c r="I597" s="51" t="str">
        <f>59790.72-H597</f>
        <v>₹46,037.50</v>
      </c>
    </row>
    <row r="598" ht="15.75" customHeight="1">
      <c r="A598" s="53" t="s">
        <v>638</v>
      </c>
      <c r="B598" s="53" t="s">
        <v>13</v>
      </c>
      <c r="C598" s="53" t="s">
        <v>37</v>
      </c>
      <c r="D598" s="54">
        <v>85408.08</v>
      </c>
      <c r="E598" s="54" t="str">
        <f t="shared" si="1"/>
        <v>₹1,024,896.96</v>
      </c>
      <c r="F598" s="55" t="str">
        <f t="shared" si="2"/>
        <v>30.0%</v>
      </c>
      <c r="G598" s="54" t="str">
        <f t="shared" si="3"/>
        <v>₹307,469.09</v>
      </c>
      <c r="H598" s="54" t="str">
        <f t="shared" si="4"/>
        <v>₹25,622.42</v>
      </c>
      <c r="I598" s="54" t="str">
        <f>71836.23-H598</f>
        <v>₹46,213.81</v>
      </c>
    </row>
    <row r="599" ht="15.75" customHeight="1">
      <c r="A599" s="50" t="s">
        <v>639</v>
      </c>
      <c r="B599" s="50" t="s">
        <v>13</v>
      </c>
      <c r="C599" s="50" t="s">
        <v>37</v>
      </c>
      <c r="D599" s="51">
        <v>82073.12</v>
      </c>
      <c r="E599" s="51" t="str">
        <f t="shared" si="1"/>
        <v>₹984,877.44</v>
      </c>
      <c r="F599" s="52" t="str">
        <f t="shared" si="2"/>
        <v>20.0%</v>
      </c>
      <c r="G599" s="51" t="str">
        <f t="shared" si="3"/>
        <v>₹196,975.49</v>
      </c>
      <c r="H599" s="51" t="str">
        <f t="shared" si="4"/>
        <v>₹16,414.62</v>
      </c>
      <c r="I599" s="51" t="str">
        <f>68936.04-H599</f>
        <v>₹52,521.42</v>
      </c>
    </row>
    <row r="600" ht="15.75" customHeight="1">
      <c r="A600" s="53" t="s">
        <v>640</v>
      </c>
      <c r="B600" s="53" t="s">
        <v>25</v>
      </c>
      <c r="C600" s="53" t="s">
        <v>26</v>
      </c>
      <c r="D600" s="54">
        <v>162978.54</v>
      </c>
      <c r="E600" s="54" t="str">
        <f t="shared" si="1"/>
        <v>₹1,955,742.48</v>
      </c>
      <c r="F600" s="55" t="str">
        <f t="shared" si="2"/>
        <v>30.0%</v>
      </c>
      <c r="G600" s="54" t="str">
        <f t="shared" si="3"/>
        <v>₹586,722.74</v>
      </c>
      <c r="H600" s="54" t="str">
        <f t="shared" si="4"/>
        <v>₹48,893.56</v>
      </c>
      <c r="I600" s="54" t="str">
        <f>140434.75-H600</f>
        <v>₹91,541.19</v>
      </c>
    </row>
    <row r="601" ht="15.75" customHeight="1">
      <c r="A601" s="50" t="s">
        <v>641</v>
      </c>
      <c r="B601" s="50" t="s">
        <v>51</v>
      </c>
      <c r="C601" s="50" t="s">
        <v>18</v>
      </c>
      <c r="D601" s="51">
        <v>110745.56</v>
      </c>
      <c r="E601" s="51" t="str">
        <f t="shared" si="1"/>
        <v>₹1,328,946.72</v>
      </c>
      <c r="F601" s="52" t="str">
        <f t="shared" si="2"/>
        <v>30.0%</v>
      </c>
      <c r="G601" s="51" t="str">
        <f t="shared" si="3"/>
        <v>₹398,684.02</v>
      </c>
      <c r="H601" s="51" t="str">
        <f t="shared" si="4"/>
        <v>₹33,223.67</v>
      </c>
      <c r="I601" s="51" t="str">
        <f>107382.6-H601</f>
        <v>₹74,158.93</v>
      </c>
    </row>
    <row r="602" ht="15.75" customHeight="1">
      <c r="A602" s="53" t="s">
        <v>642</v>
      </c>
      <c r="B602" s="53" t="s">
        <v>17</v>
      </c>
      <c r="C602" s="53" t="s">
        <v>30</v>
      </c>
      <c r="D602" s="54">
        <v>34168.42</v>
      </c>
      <c r="E602" s="54" t="str">
        <f t="shared" si="1"/>
        <v>₹410,021.04</v>
      </c>
      <c r="F602" s="55" t="str">
        <f t="shared" si="2"/>
        <v>5.0%</v>
      </c>
      <c r="G602" s="54" t="str">
        <f t="shared" si="3"/>
        <v>₹20,501.05</v>
      </c>
      <c r="H602" s="54" t="str">
        <f t="shared" si="4"/>
        <v>₹1,708.42</v>
      </c>
      <c r="I602" s="54" t="str">
        <f>29387.11-H602</f>
        <v>₹27,678.69</v>
      </c>
    </row>
    <row r="603" ht="15.75" customHeight="1">
      <c r="A603" s="50" t="s">
        <v>643</v>
      </c>
      <c r="B603" s="50" t="s">
        <v>25</v>
      </c>
      <c r="C603" s="50" t="s">
        <v>18</v>
      </c>
      <c r="D603" s="51">
        <v>119168.47</v>
      </c>
      <c r="E603" s="51" t="str">
        <f t="shared" si="1"/>
        <v>₹1,430,021.64</v>
      </c>
      <c r="F603" s="52" t="str">
        <f t="shared" si="2"/>
        <v>30.0%</v>
      </c>
      <c r="G603" s="51" t="str">
        <f t="shared" si="3"/>
        <v>₹429,006.49</v>
      </c>
      <c r="H603" s="51" t="str">
        <f t="shared" si="4"/>
        <v>₹35,750.54</v>
      </c>
      <c r="I603" s="51" t="str">
        <f>110866.66-H603</f>
        <v>₹75,116.12</v>
      </c>
    </row>
    <row r="604" ht="15.75" customHeight="1">
      <c r="A604" s="53" t="s">
        <v>644</v>
      </c>
      <c r="B604" s="53" t="s">
        <v>29</v>
      </c>
      <c r="C604" s="53" t="s">
        <v>30</v>
      </c>
      <c r="D604" s="54">
        <v>31782.82</v>
      </c>
      <c r="E604" s="54" t="str">
        <f t="shared" si="1"/>
        <v>₹381,393.84</v>
      </c>
      <c r="F604" s="55" t="str">
        <f t="shared" si="2"/>
        <v>5.0%</v>
      </c>
      <c r="G604" s="54" t="str">
        <f t="shared" si="3"/>
        <v>₹19,069.69</v>
      </c>
      <c r="H604" s="54" t="str">
        <f t="shared" si="4"/>
        <v>₹1,589.14</v>
      </c>
      <c r="I604" s="54" t="str">
        <f>29919.79-H604</f>
        <v>₹28,330.65</v>
      </c>
    </row>
    <row r="605" ht="15.75" customHeight="1">
      <c r="A605" s="50" t="s">
        <v>645</v>
      </c>
      <c r="B605" s="50" t="s">
        <v>13</v>
      </c>
      <c r="C605" s="50" t="s">
        <v>14</v>
      </c>
      <c r="D605" s="51">
        <v>25458.64</v>
      </c>
      <c r="E605" s="51" t="str">
        <f t="shared" si="1"/>
        <v>₹305,503.68</v>
      </c>
      <c r="F605" s="52" t="str">
        <f t="shared" si="2"/>
        <v>5.0%</v>
      </c>
      <c r="G605" s="51" t="str">
        <f t="shared" si="3"/>
        <v>₹15,275.18</v>
      </c>
      <c r="H605" s="51" t="str">
        <f t="shared" si="4"/>
        <v>₹1,272.93</v>
      </c>
      <c r="I605" s="51" t="str">
        <f>23148.87-H605</f>
        <v>₹21,875.94</v>
      </c>
    </row>
    <row r="606" ht="15.75" customHeight="1">
      <c r="A606" s="53" t="s">
        <v>646</v>
      </c>
      <c r="B606" s="53" t="s">
        <v>25</v>
      </c>
      <c r="C606" s="53" t="s">
        <v>26</v>
      </c>
      <c r="D606" s="54">
        <v>160857.19</v>
      </c>
      <c r="E606" s="54" t="str">
        <f t="shared" si="1"/>
        <v>₹1,930,286.28</v>
      </c>
      <c r="F606" s="55" t="str">
        <f t="shared" si="2"/>
        <v>30.0%</v>
      </c>
      <c r="G606" s="54" t="str">
        <f t="shared" si="3"/>
        <v>₹579,085.88</v>
      </c>
      <c r="H606" s="54" t="str">
        <f t="shared" si="4"/>
        <v>₹48,257.16</v>
      </c>
      <c r="I606" s="54" t="str">
        <f>153358.14-H606</f>
        <v>₹105,100.98</v>
      </c>
    </row>
    <row r="607" ht="15.75" customHeight="1">
      <c r="A607" s="50" t="s">
        <v>647</v>
      </c>
      <c r="B607" s="50" t="s">
        <v>17</v>
      </c>
      <c r="C607" s="50" t="s">
        <v>26</v>
      </c>
      <c r="D607" s="51">
        <v>163685.89</v>
      </c>
      <c r="E607" s="51" t="str">
        <f t="shared" si="1"/>
        <v>₹1,964,230.68</v>
      </c>
      <c r="F607" s="52" t="str">
        <f t="shared" si="2"/>
        <v>30.0%</v>
      </c>
      <c r="G607" s="51" t="str">
        <f t="shared" si="3"/>
        <v>₹589,269.20</v>
      </c>
      <c r="H607" s="51" t="str">
        <f t="shared" si="4"/>
        <v>₹49,105.77</v>
      </c>
      <c r="I607" s="51" t="str">
        <f>152169.3-H607</f>
        <v>₹103,063.53</v>
      </c>
    </row>
    <row r="608" ht="15.75" customHeight="1">
      <c r="A608" s="53" t="s">
        <v>648</v>
      </c>
      <c r="B608" s="53" t="s">
        <v>17</v>
      </c>
      <c r="C608" s="53" t="s">
        <v>33</v>
      </c>
      <c r="D608" s="54">
        <v>36716.38</v>
      </c>
      <c r="E608" s="54" t="str">
        <f t="shared" si="1"/>
        <v>₹440,596.56</v>
      </c>
      <c r="F608" s="55" t="str">
        <f t="shared" si="2"/>
        <v>5.0%</v>
      </c>
      <c r="G608" s="54" t="str">
        <f t="shared" si="3"/>
        <v>₹22,029.83</v>
      </c>
      <c r="H608" s="54" t="str">
        <f t="shared" si="4"/>
        <v>₹1,835.82</v>
      </c>
      <c r="I608" s="54" t="str">
        <f>30852.95-H608</f>
        <v>₹29,017.13</v>
      </c>
    </row>
    <row r="609" ht="15.75" customHeight="1">
      <c r="A609" s="50" t="s">
        <v>649</v>
      </c>
      <c r="B609" s="50" t="s">
        <v>17</v>
      </c>
      <c r="C609" s="50" t="s">
        <v>33</v>
      </c>
      <c r="D609" s="51">
        <v>44019.67</v>
      </c>
      <c r="E609" s="51" t="str">
        <f t="shared" si="1"/>
        <v>₹528,236.04</v>
      </c>
      <c r="F609" s="52" t="str">
        <f t="shared" si="2"/>
        <v>20.0%</v>
      </c>
      <c r="G609" s="51" t="str">
        <f t="shared" si="3"/>
        <v>₹105,647.21</v>
      </c>
      <c r="H609" s="51" t="str">
        <f t="shared" si="4"/>
        <v>₹8,803.93</v>
      </c>
      <c r="I609" s="51" t="str">
        <f>39538.86-H609</f>
        <v>₹30,734.93</v>
      </c>
    </row>
    <row r="610" ht="15.75" customHeight="1">
      <c r="A610" s="53" t="s">
        <v>650</v>
      </c>
      <c r="B610" s="53" t="s">
        <v>36</v>
      </c>
      <c r="C610" s="53" t="s">
        <v>18</v>
      </c>
      <c r="D610" s="54">
        <v>102407.1</v>
      </c>
      <c r="E610" s="54" t="str">
        <f t="shared" si="1"/>
        <v>₹1,228,885.20</v>
      </c>
      <c r="F610" s="55" t="str">
        <f t="shared" si="2"/>
        <v>30.0%</v>
      </c>
      <c r="G610" s="54" t="str">
        <f t="shared" si="3"/>
        <v>₹368,665.56</v>
      </c>
      <c r="H610" s="54" t="str">
        <f t="shared" si="4"/>
        <v>₹30,722.13</v>
      </c>
      <c r="I610" s="54" t="str">
        <f>99141.39-H610</f>
        <v>₹68,419.26</v>
      </c>
    </row>
    <row r="611" ht="15.75" customHeight="1">
      <c r="A611" s="50" t="s">
        <v>651</v>
      </c>
      <c r="B611" s="50" t="s">
        <v>29</v>
      </c>
      <c r="C611" s="50" t="s">
        <v>30</v>
      </c>
      <c r="D611" s="51">
        <v>42249.84</v>
      </c>
      <c r="E611" s="51" t="str">
        <f t="shared" si="1"/>
        <v>₹506,998.08</v>
      </c>
      <c r="F611" s="52" t="str">
        <f t="shared" si="2"/>
        <v>20.0%</v>
      </c>
      <c r="G611" s="51" t="str">
        <f t="shared" si="3"/>
        <v>₹101,399.62</v>
      </c>
      <c r="H611" s="51" t="str">
        <f t="shared" si="4"/>
        <v>₹8,449.97</v>
      </c>
      <c r="I611" s="51" t="str">
        <f>37167.29-H611</f>
        <v>₹28,717.32</v>
      </c>
    </row>
    <row r="612" ht="15.75" customHeight="1">
      <c r="A612" s="53" t="s">
        <v>652</v>
      </c>
      <c r="B612" s="53" t="s">
        <v>53</v>
      </c>
      <c r="C612" s="53" t="s">
        <v>33</v>
      </c>
      <c r="D612" s="54">
        <v>42967.7</v>
      </c>
      <c r="E612" s="54" t="str">
        <f t="shared" si="1"/>
        <v>₹515,612.40</v>
      </c>
      <c r="F612" s="55" t="str">
        <f t="shared" si="2"/>
        <v>20.0%</v>
      </c>
      <c r="G612" s="54" t="str">
        <f t="shared" si="3"/>
        <v>₹103,122.48</v>
      </c>
      <c r="H612" s="54" t="str">
        <f t="shared" si="4"/>
        <v>₹8,593.54</v>
      </c>
      <c r="I612" s="54" t="str">
        <f>42058.24-H612</f>
        <v>₹33,464.70</v>
      </c>
    </row>
    <row r="613" ht="15.75" customHeight="1">
      <c r="A613" s="50" t="s">
        <v>654</v>
      </c>
      <c r="B613" s="50" t="s">
        <v>17</v>
      </c>
      <c r="C613" s="50" t="s">
        <v>33</v>
      </c>
      <c r="D613" s="51">
        <v>47366.14</v>
      </c>
      <c r="E613" s="51" t="str">
        <f t="shared" si="1"/>
        <v>₹568,393.68</v>
      </c>
      <c r="F613" s="52" t="str">
        <f t="shared" si="2"/>
        <v>20.0%</v>
      </c>
      <c r="G613" s="51" t="str">
        <f t="shared" si="3"/>
        <v>₹113,678.74</v>
      </c>
      <c r="H613" s="51" t="str">
        <f t="shared" si="4"/>
        <v>₹9,473.23</v>
      </c>
      <c r="I613" s="51" t="str">
        <f>42576.45-H613</f>
        <v>₹33,103.22</v>
      </c>
    </row>
    <row r="614" ht="15.75" customHeight="1">
      <c r="A614" s="53" t="s">
        <v>655</v>
      </c>
      <c r="B614" s="53" t="s">
        <v>17</v>
      </c>
      <c r="C614" s="53" t="s">
        <v>30</v>
      </c>
      <c r="D614" s="54">
        <v>31926.03</v>
      </c>
      <c r="E614" s="54" t="str">
        <f t="shared" si="1"/>
        <v>₹383,112.36</v>
      </c>
      <c r="F614" s="55" t="str">
        <f t="shared" si="2"/>
        <v>5.0%</v>
      </c>
      <c r="G614" s="54" t="str">
        <f t="shared" si="3"/>
        <v>₹19,155.62</v>
      </c>
      <c r="H614" s="54" t="str">
        <f t="shared" si="4"/>
        <v>₹1,596.30</v>
      </c>
      <c r="I614" s="54" t="str">
        <f>31348.3-H614</f>
        <v>₹29,752.00</v>
      </c>
    </row>
    <row r="615" ht="15.75" customHeight="1">
      <c r="A615" s="50" t="s">
        <v>656</v>
      </c>
      <c r="B615" s="50" t="s">
        <v>29</v>
      </c>
      <c r="C615" s="50" t="s">
        <v>26</v>
      </c>
      <c r="D615" s="51">
        <v>145804.89</v>
      </c>
      <c r="E615" s="51" t="str">
        <f t="shared" si="1"/>
        <v>₹1,749,658.68</v>
      </c>
      <c r="F615" s="52" t="str">
        <f t="shared" si="2"/>
        <v>30.0%</v>
      </c>
      <c r="G615" s="51" t="str">
        <f t="shared" si="3"/>
        <v>₹524,897.60</v>
      </c>
      <c r="H615" s="51" t="str">
        <f t="shared" si="4"/>
        <v>₹43,741.47</v>
      </c>
      <c r="I615" s="51" t="str">
        <f>125119.2-H615</f>
        <v>₹81,377.73</v>
      </c>
    </row>
    <row r="616" ht="15.75" customHeight="1">
      <c r="A616" s="53" t="s">
        <v>657</v>
      </c>
      <c r="B616" s="53" t="s">
        <v>13</v>
      </c>
      <c r="C616" s="53" t="s">
        <v>37</v>
      </c>
      <c r="D616" s="54">
        <v>71424.93</v>
      </c>
      <c r="E616" s="54" t="str">
        <f t="shared" si="1"/>
        <v>₹857,099.16</v>
      </c>
      <c r="F616" s="55" t="str">
        <f t="shared" si="2"/>
        <v>20.0%</v>
      </c>
      <c r="G616" s="54" t="str">
        <f t="shared" si="3"/>
        <v>₹171,419.83</v>
      </c>
      <c r="H616" s="54" t="str">
        <f t="shared" si="4"/>
        <v>₹14,284.99</v>
      </c>
      <c r="I616" s="54" t="str">
        <f>65477.19-H616</f>
        <v>₹51,192.20</v>
      </c>
    </row>
    <row r="617" ht="15.75" customHeight="1">
      <c r="A617" s="50" t="s">
        <v>658</v>
      </c>
      <c r="B617" s="50" t="s">
        <v>36</v>
      </c>
      <c r="C617" s="50" t="s">
        <v>14</v>
      </c>
      <c r="D617" s="51">
        <v>27714.98</v>
      </c>
      <c r="E617" s="51" t="str">
        <f t="shared" si="1"/>
        <v>₹332,579.76</v>
      </c>
      <c r="F617" s="52" t="str">
        <f t="shared" si="2"/>
        <v>5.0%</v>
      </c>
      <c r="G617" s="51" t="str">
        <f t="shared" si="3"/>
        <v>₹16,628.99</v>
      </c>
      <c r="H617" s="51" t="str">
        <f t="shared" si="4"/>
        <v>₹1,385.75</v>
      </c>
      <c r="I617" s="51" t="str">
        <f>26364.6-H617</f>
        <v>₹24,978.85</v>
      </c>
    </row>
    <row r="618" ht="15.75" customHeight="1">
      <c r="A618" s="53" t="s">
        <v>659</v>
      </c>
      <c r="B618" s="53" t="s">
        <v>53</v>
      </c>
      <c r="C618" s="53" t="s">
        <v>14</v>
      </c>
      <c r="D618" s="54">
        <v>27473.45</v>
      </c>
      <c r="E618" s="54" t="str">
        <f t="shared" si="1"/>
        <v>₹329,681.40</v>
      </c>
      <c r="F618" s="55" t="str">
        <f t="shared" si="2"/>
        <v>5.0%</v>
      </c>
      <c r="G618" s="54" t="str">
        <f t="shared" si="3"/>
        <v>₹16,484.07</v>
      </c>
      <c r="H618" s="54" t="str">
        <f t="shared" si="4"/>
        <v>₹1,373.67</v>
      </c>
      <c r="I618" s="54" t="str">
        <f>26919.69-H618</f>
        <v>₹25,546.02</v>
      </c>
    </row>
    <row r="619" ht="15.75" customHeight="1">
      <c r="A619" s="50" t="s">
        <v>660</v>
      </c>
      <c r="B619" s="50" t="s">
        <v>29</v>
      </c>
      <c r="C619" s="50" t="s">
        <v>26</v>
      </c>
      <c r="D619" s="51">
        <v>163596.74</v>
      </c>
      <c r="E619" s="51" t="str">
        <f t="shared" si="1"/>
        <v>₹1,963,160.88</v>
      </c>
      <c r="F619" s="52" t="str">
        <f t="shared" si="2"/>
        <v>30.0%</v>
      </c>
      <c r="G619" s="51" t="str">
        <f t="shared" si="3"/>
        <v>₹588,948.26</v>
      </c>
      <c r="H619" s="51" t="str">
        <f t="shared" si="4"/>
        <v>₹49,079.02</v>
      </c>
      <c r="I619" s="51" t="str">
        <f>144225.61-H619</f>
        <v>₹95,146.59</v>
      </c>
    </row>
    <row r="620" ht="15.75" customHeight="1">
      <c r="A620" s="53" t="s">
        <v>661</v>
      </c>
      <c r="B620" s="53" t="s">
        <v>17</v>
      </c>
      <c r="C620" s="53" t="s">
        <v>26</v>
      </c>
      <c r="D620" s="54">
        <v>145979.57</v>
      </c>
      <c r="E620" s="54" t="str">
        <f t="shared" si="1"/>
        <v>₹1,751,754.84</v>
      </c>
      <c r="F620" s="55" t="str">
        <f t="shared" si="2"/>
        <v>30.0%</v>
      </c>
      <c r="G620" s="54" t="str">
        <f t="shared" si="3"/>
        <v>₹525,526.45</v>
      </c>
      <c r="H620" s="54" t="str">
        <f t="shared" si="4"/>
        <v>₹43,793.87</v>
      </c>
      <c r="I620" s="54" t="str">
        <f>115870.58-H620</f>
        <v>₹72,076.71</v>
      </c>
    </row>
    <row r="621" ht="15.75" customHeight="1">
      <c r="A621" s="50" t="s">
        <v>662</v>
      </c>
      <c r="B621" s="50" t="s">
        <v>25</v>
      </c>
      <c r="C621" s="50" t="s">
        <v>54</v>
      </c>
      <c r="D621" s="51">
        <v>57950.77</v>
      </c>
      <c r="E621" s="51" t="str">
        <f t="shared" si="1"/>
        <v>₹695,409.24</v>
      </c>
      <c r="F621" s="52" t="str">
        <f t="shared" si="2"/>
        <v>20.0%</v>
      </c>
      <c r="G621" s="51" t="str">
        <f t="shared" si="3"/>
        <v>₹139,081.85</v>
      </c>
      <c r="H621" s="51" t="str">
        <f t="shared" si="4"/>
        <v>₹11,590.15</v>
      </c>
      <c r="I621" s="51" t="str">
        <f>54093.96-H621</f>
        <v>₹42,503.81</v>
      </c>
    </row>
    <row r="622" ht="15.75" customHeight="1">
      <c r="A622" s="53" t="s">
        <v>663</v>
      </c>
      <c r="B622" s="53" t="s">
        <v>25</v>
      </c>
      <c r="C622" s="53" t="s">
        <v>18</v>
      </c>
      <c r="D622" s="54">
        <v>93202.83</v>
      </c>
      <c r="E622" s="54" t="str">
        <f t="shared" si="1"/>
        <v>₹1,118,433.96</v>
      </c>
      <c r="F622" s="55" t="str">
        <f t="shared" si="2"/>
        <v>30.0%</v>
      </c>
      <c r="G622" s="54" t="str">
        <f t="shared" si="3"/>
        <v>₹335,530.19</v>
      </c>
      <c r="H622" s="54" t="str">
        <f t="shared" si="4"/>
        <v>₹27,960.85</v>
      </c>
      <c r="I622" s="54" t="str">
        <f>78568.39-H622</f>
        <v>₹50,607.54</v>
      </c>
    </row>
    <row r="623" ht="15.75" customHeight="1">
      <c r="A623" s="50" t="s">
        <v>664</v>
      </c>
      <c r="B623" s="50" t="s">
        <v>13</v>
      </c>
      <c r="C623" s="50" t="s">
        <v>37</v>
      </c>
      <c r="D623" s="51">
        <v>70997.45</v>
      </c>
      <c r="E623" s="51" t="str">
        <f t="shared" si="1"/>
        <v>₹851,969.40</v>
      </c>
      <c r="F623" s="52" t="str">
        <f t="shared" si="2"/>
        <v>20.0%</v>
      </c>
      <c r="G623" s="51" t="str">
        <f t="shared" si="3"/>
        <v>₹170,393.88</v>
      </c>
      <c r="H623" s="51" t="str">
        <f t="shared" si="4"/>
        <v>₹14,199.49</v>
      </c>
      <c r="I623" s="51" t="str">
        <f>64577.88-H623</f>
        <v>₹50,378.39</v>
      </c>
    </row>
    <row r="624" ht="15.75" customHeight="1">
      <c r="A624" s="53" t="s">
        <v>665</v>
      </c>
      <c r="B624" s="53" t="s">
        <v>51</v>
      </c>
      <c r="C624" s="53" t="s">
        <v>26</v>
      </c>
      <c r="D624" s="54">
        <v>126846.96</v>
      </c>
      <c r="E624" s="54" t="str">
        <f t="shared" si="1"/>
        <v>₹1,522,163.52</v>
      </c>
      <c r="F624" s="55" t="str">
        <f t="shared" si="2"/>
        <v>30.0%</v>
      </c>
      <c r="G624" s="54" t="str">
        <f t="shared" si="3"/>
        <v>₹456,649.06</v>
      </c>
      <c r="H624" s="54" t="str">
        <f t="shared" si="4"/>
        <v>₹38,054.09</v>
      </c>
      <c r="I624" s="54" t="str">
        <f>124567.89-H624</f>
        <v>₹86,513.80</v>
      </c>
    </row>
    <row r="625" ht="15.75" customHeight="1">
      <c r="A625" s="50" t="s">
        <v>666</v>
      </c>
      <c r="B625" s="50" t="s">
        <v>36</v>
      </c>
      <c r="C625" s="50" t="s">
        <v>30</v>
      </c>
      <c r="D625" s="51">
        <v>43869.46</v>
      </c>
      <c r="E625" s="51" t="str">
        <f t="shared" si="1"/>
        <v>₹526,433.52</v>
      </c>
      <c r="F625" s="52" t="str">
        <f t="shared" si="2"/>
        <v>20.0%</v>
      </c>
      <c r="G625" s="51" t="str">
        <f t="shared" si="3"/>
        <v>₹105,286.70</v>
      </c>
      <c r="H625" s="51" t="str">
        <f t="shared" si="4"/>
        <v>₹8,773.89</v>
      </c>
      <c r="I625" s="51" t="str">
        <f>36168.31-H625</f>
        <v>₹27,394.42</v>
      </c>
    </row>
    <row r="626" ht="15.75" customHeight="1">
      <c r="A626" s="53" t="s">
        <v>667</v>
      </c>
      <c r="B626" s="53" t="s">
        <v>29</v>
      </c>
      <c r="C626" s="53" t="s">
        <v>18</v>
      </c>
      <c r="D626" s="54">
        <v>116588.79</v>
      </c>
      <c r="E626" s="54" t="str">
        <f t="shared" si="1"/>
        <v>₹1,399,065.48</v>
      </c>
      <c r="F626" s="55" t="str">
        <f t="shared" si="2"/>
        <v>30.0%</v>
      </c>
      <c r="G626" s="54" t="str">
        <f t="shared" si="3"/>
        <v>₹419,719.64</v>
      </c>
      <c r="H626" s="54" t="str">
        <f t="shared" si="4"/>
        <v>₹34,976.64</v>
      </c>
      <c r="I626" s="54" t="str">
        <f>106253.49-H626</f>
        <v>₹71,276.85</v>
      </c>
    </row>
    <row r="627" ht="15.75" customHeight="1">
      <c r="A627" s="50" t="s">
        <v>668</v>
      </c>
      <c r="B627" s="50" t="s">
        <v>53</v>
      </c>
      <c r="C627" s="50" t="s">
        <v>33</v>
      </c>
      <c r="D627" s="51">
        <v>47124.91</v>
      </c>
      <c r="E627" s="51" t="str">
        <f t="shared" si="1"/>
        <v>₹565,498.92</v>
      </c>
      <c r="F627" s="52" t="str">
        <f t="shared" si="2"/>
        <v>20.0%</v>
      </c>
      <c r="G627" s="51" t="str">
        <f t="shared" si="3"/>
        <v>₹113,099.78</v>
      </c>
      <c r="H627" s="51" t="str">
        <f t="shared" si="4"/>
        <v>₹9,424.98</v>
      </c>
      <c r="I627" s="51" t="str">
        <f>37889.21-H627</f>
        <v>₹28,464.23</v>
      </c>
    </row>
    <row r="628" ht="15.75" customHeight="1">
      <c r="A628" s="53" t="s">
        <v>669</v>
      </c>
      <c r="B628" s="53" t="s">
        <v>25</v>
      </c>
      <c r="C628" s="53" t="s">
        <v>18</v>
      </c>
      <c r="D628" s="54">
        <v>114045.72</v>
      </c>
      <c r="E628" s="54" t="str">
        <f t="shared" si="1"/>
        <v>₹1,368,548.64</v>
      </c>
      <c r="F628" s="55" t="str">
        <f t="shared" si="2"/>
        <v>30.0%</v>
      </c>
      <c r="G628" s="54" t="str">
        <f t="shared" si="3"/>
        <v>₹410,564.59</v>
      </c>
      <c r="H628" s="54" t="str">
        <f t="shared" si="4"/>
        <v>₹34,213.72</v>
      </c>
      <c r="I628" s="54" t="str">
        <f>103824.48-H628</f>
        <v>₹69,610.76</v>
      </c>
    </row>
    <row r="629" ht="15.75" customHeight="1">
      <c r="A629" s="50" t="s">
        <v>670</v>
      </c>
      <c r="B629" s="50" t="s">
        <v>51</v>
      </c>
      <c r="C629" s="50" t="s">
        <v>30</v>
      </c>
      <c r="D629" s="51">
        <v>38226.67</v>
      </c>
      <c r="E629" s="51" t="str">
        <f t="shared" si="1"/>
        <v>₹458,720.04</v>
      </c>
      <c r="F629" s="52" t="str">
        <f t="shared" si="2"/>
        <v>5.0%</v>
      </c>
      <c r="G629" s="51" t="str">
        <f t="shared" si="3"/>
        <v>₹22,936.00</v>
      </c>
      <c r="H629" s="51" t="str">
        <f t="shared" si="4"/>
        <v>₹1,911.33</v>
      </c>
      <c r="I629" s="51" t="str">
        <f>30415.58-H629</f>
        <v>₹28,504.25</v>
      </c>
    </row>
    <row r="630" ht="15.75" customHeight="1">
      <c r="A630" s="53" t="s">
        <v>671</v>
      </c>
      <c r="B630" s="53" t="s">
        <v>17</v>
      </c>
      <c r="C630" s="53" t="s">
        <v>37</v>
      </c>
      <c r="D630" s="54">
        <v>86018.14</v>
      </c>
      <c r="E630" s="54" t="str">
        <f t="shared" si="1"/>
        <v>₹1,032,217.68</v>
      </c>
      <c r="F630" s="55" t="str">
        <f t="shared" si="2"/>
        <v>30.0%</v>
      </c>
      <c r="G630" s="54" t="str">
        <f t="shared" si="3"/>
        <v>₹309,665.30</v>
      </c>
      <c r="H630" s="54" t="str">
        <f t="shared" si="4"/>
        <v>₹25,805.44</v>
      </c>
      <c r="I630" s="54" t="str">
        <f>70655.55-H630</f>
        <v>₹44,850.11</v>
      </c>
    </row>
    <row r="631" ht="15.75" customHeight="1">
      <c r="A631" s="50" t="s">
        <v>672</v>
      </c>
      <c r="B631" s="50" t="s">
        <v>36</v>
      </c>
      <c r="C631" s="50" t="s">
        <v>33</v>
      </c>
      <c r="D631" s="51">
        <v>40279.48</v>
      </c>
      <c r="E631" s="51" t="str">
        <f t="shared" si="1"/>
        <v>₹483,353.76</v>
      </c>
      <c r="F631" s="52" t="str">
        <f t="shared" si="2"/>
        <v>5.0%</v>
      </c>
      <c r="G631" s="51" t="str">
        <f t="shared" si="3"/>
        <v>₹24,167.69</v>
      </c>
      <c r="H631" s="51" t="str">
        <f t="shared" si="4"/>
        <v>₹2,013.97</v>
      </c>
      <c r="I631" s="51" t="str">
        <f>35012.49-H631</f>
        <v>₹32,998.52</v>
      </c>
    </row>
    <row r="632" ht="15.75" customHeight="1">
      <c r="A632" s="53" t="s">
        <v>673</v>
      </c>
      <c r="B632" s="53" t="s">
        <v>51</v>
      </c>
      <c r="C632" s="53" t="s">
        <v>33</v>
      </c>
      <c r="D632" s="54">
        <v>41328.16</v>
      </c>
      <c r="E632" s="54" t="str">
        <f t="shared" si="1"/>
        <v>₹495,937.92</v>
      </c>
      <c r="F632" s="55" t="str">
        <f t="shared" si="2"/>
        <v>5.0%</v>
      </c>
      <c r="G632" s="54" t="str">
        <f t="shared" si="3"/>
        <v>₹24,796.90</v>
      </c>
      <c r="H632" s="54" t="str">
        <f t="shared" si="4"/>
        <v>₹2,066.41</v>
      </c>
      <c r="I632" s="54" t="str">
        <f>35399.01-H632</f>
        <v>₹33,332.60</v>
      </c>
    </row>
    <row r="633" ht="15.75" customHeight="1">
      <c r="A633" s="50" t="s">
        <v>674</v>
      </c>
      <c r="B633" s="50" t="s">
        <v>17</v>
      </c>
      <c r="C633" s="50" t="s">
        <v>54</v>
      </c>
      <c r="D633" s="51">
        <v>64836.4</v>
      </c>
      <c r="E633" s="51" t="str">
        <f t="shared" si="1"/>
        <v>₹778,036.80</v>
      </c>
      <c r="F633" s="52" t="str">
        <f t="shared" si="2"/>
        <v>20.0%</v>
      </c>
      <c r="G633" s="51" t="str">
        <f t="shared" si="3"/>
        <v>₹155,607.36</v>
      </c>
      <c r="H633" s="51" t="str">
        <f t="shared" si="4"/>
        <v>₹12,967.28</v>
      </c>
      <c r="I633" s="51" t="str">
        <f>61454.17-H633</f>
        <v>₹48,486.89</v>
      </c>
    </row>
    <row r="634" ht="15.75" customHeight="1">
      <c r="A634" s="53" t="s">
        <v>675</v>
      </c>
      <c r="B634" s="53" t="s">
        <v>36</v>
      </c>
      <c r="C634" s="53" t="s">
        <v>33</v>
      </c>
      <c r="D634" s="54">
        <v>44298.86</v>
      </c>
      <c r="E634" s="54" t="str">
        <f t="shared" si="1"/>
        <v>₹531,586.32</v>
      </c>
      <c r="F634" s="55" t="str">
        <f t="shared" si="2"/>
        <v>20.0%</v>
      </c>
      <c r="G634" s="54" t="str">
        <f t="shared" si="3"/>
        <v>₹106,317.26</v>
      </c>
      <c r="H634" s="54" t="str">
        <f t="shared" si="4"/>
        <v>₹8,859.77</v>
      </c>
      <c r="I634" s="54" t="str">
        <f>35968.8-H634</f>
        <v>₹27,109.03</v>
      </c>
    </row>
    <row r="635" ht="15.75" customHeight="1">
      <c r="A635" s="50" t="s">
        <v>677</v>
      </c>
      <c r="B635" s="50" t="s">
        <v>29</v>
      </c>
      <c r="C635" s="50" t="s">
        <v>33</v>
      </c>
      <c r="D635" s="51">
        <v>49194.91</v>
      </c>
      <c r="E635" s="51" t="str">
        <f t="shared" si="1"/>
        <v>₹590,338.92</v>
      </c>
      <c r="F635" s="52" t="str">
        <f t="shared" si="2"/>
        <v>20.0%</v>
      </c>
      <c r="G635" s="51" t="str">
        <f t="shared" si="3"/>
        <v>₹118,067.78</v>
      </c>
      <c r="H635" s="51" t="str">
        <f t="shared" si="4"/>
        <v>₹9,838.98</v>
      </c>
      <c r="I635" s="51" t="str">
        <f>42326.84-H635</f>
        <v>₹32,487.86</v>
      </c>
    </row>
    <row r="636" ht="15.75" customHeight="1">
      <c r="A636" s="53" t="s">
        <v>678</v>
      </c>
      <c r="B636" s="53" t="s">
        <v>51</v>
      </c>
      <c r="C636" s="53" t="s">
        <v>33</v>
      </c>
      <c r="D636" s="54">
        <v>48243.78</v>
      </c>
      <c r="E636" s="54" t="str">
        <f t="shared" si="1"/>
        <v>₹578,925.36</v>
      </c>
      <c r="F636" s="55" t="str">
        <f t="shared" si="2"/>
        <v>20.0%</v>
      </c>
      <c r="G636" s="54" t="str">
        <f t="shared" si="3"/>
        <v>₹115,785.07</v>
      </c>
      <c r="H636" s="54" t="str">
        <f t="shared" si="4"/>
        <v>₹9,648.76</v>
      </c>
      <c r="I636" s="54" t="str">
        <f>39636.51-H636</f>
        <v>₹29,987.75</v>
      </c>
    </row>
    <row r="637" ht="15.75" customHeight="1">
      <c r="A637" s="50" t="s">
        <v>679</v>
      </c>
      <c r="B637" s="50" t="s">
        <v>13</v>
      </c>
      <c r="C637" s="50" t="s">
        <v>54</v>
      </c>
      <c r="D637" s="51">
        <v>57286.87</v>
      </c>
      <c r="E637" s="51" t="str">
        <f t="shared" si="1"/>
        <v>₹687,442.44</v>
      </c>
      <c r="F637" s="52" t="str">
        <f t="shared" si="2"/>
        <v>20.0%</v>
      </c>
      <c r="G637" s="51" t="str">
        <f t="shared" si="3"/>
        <v>₹137,488.49</v>
      </c>
      <c r="H637" s="51" t="str">
        <f t="shared" si="4"/>
        <v>₹11,457.37</v>
      </c>
      <c r="I637" s="51" t="str">
        <f>51526.48-H637</f>
        <v>₹40,069.11</v>
      </c>
    </row>
    <row r="638" ht="15.75" customHeight="1">
      <c r="A638" s="53" t="s">
        <v>680</v>
      </c>
      <c r="B638" s="53" t="s">
        <v>13</v>
      </c>
      <c r="C638" s="53" t="s">
        <v>54</v>
      </c>
      <c r="D638" s="54">
        <v>67237.25</v>
      </c>
      <c r="E638" s="54" t="str">
        <f t="shared" si="1"/>
        <v>₹806,847.00</v>
      </c>
      <c r="F638" s="55" t="str">
        <f t="shared" si="2"/>
        <v>20.0%</v>
      </c>
      <c r="G638" s="54" t="str">
        <f t="shared" si="3"/>
        <v>₹161,369.40</v>
      </c>
      <c r="H638" s="54" t="str">
        <f t="shared" si="4"/>
        <v>₹13,447.45</v>
      </c>
      <c r="I638" s="54" t="str">
        <f>55997.63-H638</f>
        <v>₹42,550.18</v>
      </c>
    </row>
    <row r="639" ht="15.75" customHeight="1">
      <c r="A639" s="50" t="s">
        <v>681</v>
      </c>
      <c r="B639" s="50" t="s">
        <v>25</v>
      </c>
      <c r="C639" s="50" t="s">
        <v>30</v>
      </c>
      <c r="D639" s="51">
        <v>32554.71</v>
      </c>
      <c r="E639" s="51" t="str">
        <f t="shared" si="1"/>
        <v>₹390,656.52</v>
      </c>
      <c r="F639" s="52" t="str">
        <f t="shared" si="2"/>
        <v>5.0%</v>
      </c>
      <c r="G639" s="51" t="str">
        <f t="shared" si="3"/>
        <v>₹19,532.83</v>
      </c>
      <c r="H639" s="51" t="str">
        <f t="shared" si="4"/>
        <v>₹1,627.74</v>
      </c>
      <c r="I639" s="51" t="str">
        <f>29822.49-H639</f>
        <v>₹28,194.75</v>
      </c>
    </row>
    <row r="640" ht="15.75" customHeight="1">
      <c r="A640" s="53" t="s">
        <v>682</v>
      </c>
      <c r="B640" s="53" t="s">
        <v>53</v>
      </c>
      <c r="C640" s="53" t="s">
        <v>14</v>
      </c>
      <c r="D640" s="54">
        <v>28395.78</v>
      </c>
      <c r="E640" s="54" t="str">
        <f t="shared" si="1"/>
        <v>₹340,749.36</v>
      </c>
      <c r="F640" s="55" t="str">
        <f t="shared" si="2"/>
        <v>5.0%</v>
      </c>
      <c r="G640" s="54" t="str">
        <f t="shared" si="3"/>
        <v>₹17,037.47</v>
      </c>
      <c r="H640" s="54" t="str">
        <f t="shared" si="4"/>
        <v>₹1,419.79</v>
      </c>
      <c r="I640" s="54" t="str">
        <f>27236.53-H640</f>
        <v>₹25,816.74</v>
      </c>
    </row>
    <row r="641" ht="15.75" customHeight="1">
      <c r="A641" s="50" t="s">
        <v>683</v>
      </c>
      <c r="B641" s="50" t="s">
        <v>51</v>
      </c>
      <c r="C641" s="50" t="s">
        <v>14</v>
      </c>
      <c r="D641" s="51">
        <v>31580.68</v>
      </c>
      <c r="E641" s="51" t="str">
        <f t="shared" si="1"/>
        <v>₹378,968.16</v>
      </c>
      <c r="F641" s="52" t="str">
        <f t="shared" si="2"/>
        <v>5.0%</v>
      </c>
      <c r="G641" s="51" t="str">
        <f t="shared" si="3"/>
        <v>₹18,948.41</v>
      </c>
      <c r="H641" s="51" t="str">
        <f t="shared" si="4"/>
        <v>₹1,579.03</v>
      </c>
      <c r="I641" s="51" t="str">
        <f>27080.94-H641</f>
        <v>₹25,501.91</v>
      </c>
    </row>
    <row r="642" ht="15.75" customHeight="1">
      <c r="A642" s="53" t="s">
        <v>685</v>
      </c>
      <c r="B642" s="53" t="s">
        <v>29</v>
      </c>
      <c r="C642" s="53" t="s">
        <v>26</v>
      </c>
      <c r="D642" s="54">
        <v>147197.11</v>
      </c>
      <c r="E642" s="54" t="str">
        <f t="shared" si="1"/>
        <v>₹1,766,365.32</v>
      </c>
      <c r="F642" s="55" t="str">
        <f t="shared" si="2"/>
        <v>30.0%</v>
      </c>
      <c r="G642" s="54" t="str">
        <f t="shared" si="3"/>
        <v>₹529,909.60</v>
      </c>
      <c r="H642" s="54" t="str">
        <f t="shared" si="4"/>
        <v>₹44,159.13</v>
      </c>
      <c r="I642" s="54" t="str">
        <f>117646.24-H642</f>
        <v>₹73,487.11</v>
      </c>
    </row>
    <row r="643" ht="15.75" customHeight="1">
      <c r="A643" s="50" t="s">
        <v>686</v>
      </c>
      <c r="B643" s="50" t="s">
        <v>17</v>
      </c>
      <c r="C643" s="50" t="s">
        <v>30</v>
      </c>
      <c r="D643" s="51">
        <v>35864.23</v>
      </c>
      <c r="E643" s="51" t="str">
        <f t="shared" si="1"/>
        <v>₹430,370.76</v>
      </c>
      <c r="F643" s="52" t="str">
        <f t="shared" si="2"/>
        <v>5.0%</v>
      </c>
      <c r="G643" s="51" t="str">
        <f t="shared" si="3"/>
        <v>₹21,518.54</v>
      </c>
      <c r="H643" s="51" t="str">
        <f t="shared" si="4"/>
        <v>₹1,793.21</v>
      </c>
      <c r="I643" s="51" t="str">
        <f>34517.56-H643</f>
        <v>₹32,724.35</v>
      </c>
    </row>
    <row r="644" ht="15.75" customHeight="1">
      <c r="A644" s="53" t="s">
        <v>687</v>
      </c>
      <c r="B644" s="53" t="s">
        <v>53</v>
      </c>
      <c r="C644" s="53" t="s">
        <v>37</v>
      </c>
      <c r="D644" s="54">
        <v>68361.89</v>
      </c>
      <c r="E644" s="54" t="str">
        <f t="shared" si="1"/>
        <v>₹820,342.68</v>
      </c>
      <c r="F644" s="55" t="str">
        <f t="shared" si="2"/>
        <v>20.0%</v>
      </c>
      <c r="G644" s="54" t="str">
        <f t="shared" si="3"/>
        <v>₹164,068.54</v>
      </c>
      <c r="H644" s="54" t="str">
        <f t="shared" si="4"/>
        <v>₹13,672.38</v>
      </c>
      <c r="I644" s="54" t="str">
        <f>54596.82-H644</f>
        <v>₹40,924.44</v>
      </c>
    </row>
    <row r="645" ht="15.75" customHeight="1">
      <c r="A645" s="50" t="s">
        <v>688</v>
      </c>
      <c r="B645" s="50" t="s">
        <v>25</v>
      </c>
      <c r="C645" s="50" t="s">
        <v>18</v>
      </c>
      <c r="D645" s="51">
        <v>87925.01</v>
      </c>
      <c r="E645" s="51" t="str">
        <f t="shared" si="1"/>
        <v>₹1,055,100.12</v>
      </c>
      <c r="F645" s="52" t="str">
        <f t="shared" si="2"/>
        <v>30.0%</v>
      </c>
      <c r="G645" s="51" t="str">
        <f t="shared" si="3"/>
        <v>₹316,530.04</v>
      </c>
      <c r="H645" s="51" t="str">
        <f t="shared" si="4"/>
        <v>₹26,377.50</v>
      </c>
      <c r="I645" s="51" t="str">
        <f>86921.81-H645</f>
        <v>₹60,544.31</v>
      </c>
    </row>
    <row r="646" ht="15.75" customHeight="1">
      <c r="A646" s="53" t="s">
        <v>689</v>
      </c>
      <c r="B646" s="53" t="s">
        <v>25</v>
      </c>
      <c r="C646" s="53" t="s">
        <v>30</v>
      </c>
      <c r="D646" s="54">
        <v>42230.4</v>
      </c>
      <c r="E646" s="54" t="str">
        <f t="shared" si="1"/>
        <v>₹506,764.80</v>
      </c>
      <c r="F646" s="55" t="str">
        <f t="shared" si="2"/>
        <v>20.0%</v>
      </c>
      <c r="G646" s="54" t="str">
        <f t="shared" si="3"/>
        <v>₹101,352.96</v>
      </c>
      <c r="H646" s="54" t="str">
        <f t="shared" si="4"/>
        <v>₹8,446.08</v>
      </c>
      <c r="I646" s="54" t="str">
        <f>36224.14-H646</f>
        <v>₹27,778.06</v>
      </c>
    </row>
    <row r="647" ht="15.75" customHeight="1">
      <c r="A647" s="50" t="s">
        <v>690</v>
      </c>
      <c r="B647" s="50" t="s">
        <v>13</v>
      </c>
      <c r="C647" s="50" t="s">
        <v>54</v>
      </c>
      <c r="D647" s="51">
        <v>62136.77</v>
      </c>
      <c r="E647" s="51" t="str">
        <f t="shared" si="1"/>
        <v>₹745,641.24</v>
      </c>
      <c r="F647" s="52" t="str">
        <f t="shared" si="2"/>
        <v>20.0%</v>
      </c>
      <c r="G647" s="51" t="str">
        <f t="shared" si="3"/>
        <v>₹149,128.25</v>
      </c>
      <c r="H647" s="51" t="str">
        <f t="shared" si="4"/>
        <v>₹12,427.35</v>
      </c>
      <c r="I647" s="51" t="str">
        <f>49896.88-H647</f>
        <v>₹37,469.53</v>
      </c>
    </row>
    <row r="648" ht="15.75" customHeight="1">
      <c r="A648" s="53" t="s">
        <v>691</v>
      </c>
      <c r="B648" s="53" t="s">
        <v>17</v>
      </c>
      <c r="C648" s="53" t="s">
        <v>54</v>
      </c>
      <c r="D648" s="54">
        <v>68273.44</v>
      </c>
      <c r="E648" s="54" t="str">
        <f t="shared" si="1"/>
        <v>₹819,281.28</v>
      </c>
      <c r="F648" s="55" t="str">
        <f t="shared" si="2"/>
        <v>20.0%</v>
      </c>
      <c r="G648" s="54" t="str">
        <f t="shared" si="3"/>
        <v>₹163,856.26</v>
      </c>
      <c r="H648" s="54" t="str">
        <f t="shared" si="4"/>
        <v>₹13,654.69</v>
      </c>
      <c r="I648" s="54" t="str">
        <f>59660.06-H648</f>
        <v>₹46,005.37</v>
      </c>
    </row>
    <row r="649" ht="15.75" customHeight="1">
      <c r="A649" s="50" t="s">
        <v>692</v>
      </c>
      <c r="B649" s="50" t="s">
        <v>51</v>
      </c>
      <c r="C649" s="50" t="s">
        <v>33</v>
      </c>
      <c r="D649" s="51">
        <v>46270.84</v>
      </c>
      <c r="E649" s="51" t="str">
        <f t="shared" si="1"/>
        <v>₹555,250.08</v>
      </c>
      <c r="F649" s="52" t="str">
        <f t="shared" si="2"/>
        <v>20.0%</v>
      </c>
      <c r="G649" s="51" t="str">
        <f t="shared" si="3"/>
        <v>₹111,050.02</v>
      </c>
      <c r="H649" s="51" t="str">
        <f t="shared" si="4"/>
        <v>₹9,254.17</v>
      </c>
      <c r="I649" s="51" t="str">
        <f>39624.51-H649</f>
        <v>₹30,370.34</v>
      </c>
    </row>
    <row r="650" ht="15.75" customHeight="1">
      <c r="A650" s="53" t="s">
        <v>693</v>
      </c>
      <c r="B650" s="53" t="s">
        <v>13</v>
      </c>
      <c r="C650" s="53" t="s">
        <v>33</v>
      </c>
      <c r="D650" s="54">
        <v>40210.97</v>
      </c>
      <c r="E650" s="54" t="str">
        <f t="shared" si="1"/>
        <v>₹482,531.64</v>
      </c>
      <c r="F650" s="55" t="str">
        <f t="shared" si="2"/>
        <v>5.0%</v>
      </c>
      <c r="G650" s="54" t="str">
        <f t="shared" si="3"/>
        <v>₹24,126.58</v>
      </c>
      <c r="H650" s="54" t="str">
        <f t="shared" si="4"/>
        <v>₹2,010.55</v>
      </c>
      <c r="I650" s="54" t="str">
        <f>37152.29-H650</f>
        <v>₹35,141.74</v>
      </c>
    </row>
    <row r="651" ht="15.75" customHeight="1">
      <c r="A651" s="50" t="s">
        <v>694</v>
      </c>
      <c r="B651" s="50" t="s">
        <v>51</v>
      </c>
      <c r="C651" s="50" t="s">
        <v>54</v>
      </c>
      <c r="D651" s="51">
        <v>55083.97</v>
      </c>
      <c r="E651" s="51" t="str">
        <f t="shared" si="1"/>
        <v>₹661,007.64</v>
      </c>
      <c r="F651" s="52" t="str">
        <f t="shared" si="2"/>
        <v>20.0%</v>
      </c>
      <c r="G651" s="51" t="str">
        <f t="shared" si="3"/>
        <v>₹132,201.53</v>
      </c>
      <c r="H651" s="51" t="str">
        <f t="shared" si="4"/>
        <v>₹11,016.79</v>
      </c>
      <c r="I651" s="51" t="str">
        <f>47744.74-H651</f>
        <v>₹36,727.95</v>
      </c>
    </row>
    <row r="652" ht="15.75" customHeight="1">
      <c r="A652" s="53" t="s">
        <v>695</v>
      </c>
      <c r="B652" s="53" t="s">
        <v>17</v>
      </c>
      <c r="C652" s="53" t="s">
        <v>14</v>
      </c>
      <c r="D652" s="54">
        <v>31060.13</v>
      </c>
      <c r="E652" s="54" t="str">
        <f t="shared" si="1"/>
        <v>₹372,721.56</v>
      </c>
      <c r="F652" s="55" t="str">
        <f t="shared" si="2"/>
        <v>5.0%</v>
      </c>
      <c r="G652" s="54" t="str">
        <f t="shared" si="3"/>
        <v>₹18,636.08</v>
      </c>
      <c r="H652" s="54" t="str">
        <f t="shared" si="4"/>
        <v>₹1,553.01</v>
      </c>
      <c r="I652" s="54" t="str">
        <f>25574.68-H652</f>
        <v>₹24,021.67</v>
      </c>
    </row>
    <row r="653" ht="15.75" customHeight="1">
      <c r="A653" s="50" t="s">
        <v>696</v>
      </c>
      <c r="B653" s="50" t="s">
        <v>53</v>
      </c>
      <c r="C653" s="50" t="s">
        <v>18</v>
      </c>
      <c r="D653" s="51">
        <v>109117.12</v>
      </c>
      <c r="E653" s="51" t="str">
        <f t="shared" si="1"/>
        <v>₹1,309,405.44</v>
      </c>
      <c r="F653" s="52" t="str">
        <f t="shared" si="2"/>
        <v>30.0%</v>
      </c>
      <c r="G653" s="51" t="str">
        <f t="shared" si="3"/>
        <v>₹392,821.63</v>
      </c>
      <c r="H653" s="51" t="str">
        <f t="shared" si="4"/>
        <v>₹32,735.14</v>
      </c>
      <c r="I653" s="51" t="str">
        <f>92601.25-H653</f>
        <v>₹59,866.11</v>
      </c>
    </row>
    <row r="654" ht="15.75" customHeight="1">
      <c r="A654" s="53" t="s">
        <v>697</v>
      </c>
      <c r="B654" s="53" t="s">
        <v>17</v>
      </c>
      <c r="C654" s="53" t="s">
        <v>33</v>
      </c>
      <c r="D654" s="54">
        <v>49817.94</v>
      </c>
      <c r="E654" s="54" t="str">
        <f t="shared" si="1"/>
        <v>₹597,815.28</v>
      </c>
      <c r="F654" s="55" t="str">
        <f t="shared" si="2"/>
        <v>20.0%</v>
      </c>
      <c r="G654" s="54" t="str">
        <f t="shared" si="3"/>
        <v>₹119,563.06</v>
      </c>
      <c r="H654" s="54" t="str">
        <f t="shared" si="4"/>
        <v>₹9,963.59</v>
      </c>
      <c r="I654" s="54" t="str">
        <f>40802.36-H654</f>
        <v>₹30,838.77</v>
      </c>
    </row>
    <row r="655" ht="15.75" customHeight="1">
      <c r="A655" s="50" t="s">
        <v>698</v>
      </c>
      <c r="B655" s="50" t="s">
        <v>25</v>
      </c>
      <c r="C655" s="50" t="s">
        <v>30</v>
      </c>
      <c r="D655" s="51">
        <v>43711.67</v>
      </c>
      <c r="E655" s="51" t="str">
        <f t="shared" si="1"/>
        <v>₹524,540.04</v>
      </c>
      <c r="F655" s="52" t="str">
        <f t="shared" si="2"/>
        <v>20.0%</v>
      </c>
      <c r="G655" s="51" t="str">
        <f t="shared" si="3"/>
        <v>₹104,908.01</v>
      </c>
      <c r="H655" s="51" t="str">
        <f t="shared" si="4"/>
        <v>₹8,742.33</v>
      </c>
      <c r="I655" s="51" t="str">
        <f>36510.31-H655</f>
        <v>₹27,767.98</v>
      </c>
    </row>
    <row r="656" ht="15.75" customHeight="1">
      <c r="A656" s="53" t="s">
        <v>699</v>
      </c>
      <c r="B656" s="53" t="s">
        <v>36</v>
      </c>
      <c r="C656" s="53" t="s">
        <v>18</v>
      </c>
      <c r="D656" s="54">
        <v>97353.62</v>
      </c>
      <c r="E656" s="54" t="str">
        <f t="shared" si="1"/>
        <v>₹1,168,243.44</v>
      </c>
      <c r="F656" s="55" t="str">
        <f t="shared" si="2"/>
        <v>30.0%</v>
      </c>
      <c r="G656" s="54" t="str">
        <f t="shared" si="3"/>
        <v>₹350,473.03</v>
      </c>
      <c r="H656" s="54" t="str">
        <f t="shared" si="4"/>
        <v>₹29,206.09</v>
      </c>
      <c r="I656" s="54" t="str">
        <f>96793.79-H656</f>
        <v>₹67,587.70</v>
      </c>
    </row>
    <row r="657" ht="15.75" customHeight="1">
      <c r="A657" s="50" t="s">
        <v>700</v>
      </c>
      <c r="B657" s="50" t="s">
        <v>13</v>
      </c>
      <c r="C657" s="50" t="s">
        <v>37</v>
      </c>
      <c r="D657" s="51">
        <v>81691.35</v>
      </c>
      <c r="E657" s="51" t="str">
        <f t="shared" si="1"/>
        <v>₹980,296.20</v>
      </c>
      <c r="F657" s="52" t="str">
        <f t="shared" si="2"/>
        <v>20.0%</v>
      </c>
      <c r="G657" s="51" t="str">
        <f t="shared" si="3"/>
        <v>₹196,059.24</v>
      </c>
      <c r="H657" s="51" t="str">
        <f t="shared" si="4"/>
        <v>₹16,338.27</v>
      </c>
      <c r="I657" s="51" t="str">
        <f>68917.42-H657</f>
        <v>₹52,579.15</v>
      </c>
    </row>
    <row r="658" ht="15.75" customHeight="1">
      <c r="A658" s="53" t="s">
        <v>701</v>
      </c>
      <c r="B658" s="53" t="s">
        <v>53</v>
      </c>
      <c r="C658" s="53" t="s">
        <v>18</v>
      </c>
      <c r="D658" s="54">
        <v>126514.32</v>
      </c>
      <c r="E658" s="54" t="str">
        <f t="shared" si="1"/>
        <v>₹1,518,171.84</v>
      </c>
      <c r="F658" s="55" t="str">
        <f t="shared" si="2"/>
        <v>30.0%</v>
      </c>
      <c r="G658" s="54" t="str">
        <f t="shared" si="3"/>
        <v>₹455,451.55</v>
      </c>
      <c r="H658" s="54" t="str">
        <f t="shared" si="4"/>
        <v>₹37,954.30</v>
      </c>
      <c r="I658" s="54" t="str">
        <f>109299.57-H658</f>
        <v>₹71,345.27</v>
      </c>
    </row>
    <row r="659" ht="15.75" customHeight="1">
      <c r="A659" s="50" t="s">
        <v>702</v>
      </c>
      <c r="B659" s="50" t="s">
        <v>29</v>
      </c>
      <c r="C659" s="50" t="s">
        <v>26</v>
      </c>
      <c r="D659" s="51">
        <v>137597.3</v>
      </c>
      <c r="E659" s="51" t="str">
        <f t="shared" si="1"/>
        <v>₹1,651,167.60</v>
      </c>
      <c r="F659" s="52" t="str">
        <f t="shared" si="2"/>
        <v>30.0%</v>
      </c>
      <c r="G659" s="51" t="str">
        <f t="shared" si="3"/>
        <v>₹495,350.28</v>
      </c>
      <c r="H659" s="51" t="str">
        <f t="shared" si="4"/>
        <v>₹41,279.19</v>
      </c>
      <c r="I659" s="51" t="str">
        <f>121499.74-H659</f>
        <v>₹80,220.55</v>
      </c>
    </row>
    <row r="660" ht="15.75" customHeight="1">
      <c r="A660" s="53" t="s">
        <v>703</v>
      </c>
      <c r="B660" s="53" t="s">
        <v>17</v>
      </c>
      <c r="C660" s="53" t="s">
        <v>54</v>
      </c>
      <c r="D660" s="54">
        <v>49731.81</v>
      </c>
      <c r="E660" s="54" t="str">
        <f t="shared" si="1"/>
        <v>₹596,781.72</v>
      </c>
      <c r="F660" s="55" t="str">
        <f t="shared" si="2"/>
        <v>20.0%</v>
      </c>
      <c r="G660" s="54" t="str">
        <f t="shared" si="3"/>
        <v>₹119,356.34</v>
      </c>
      <c r="H660" s="54" t="str">
        <f t="shared" si="4"/>
        <v>₹9,946.36</v>
      </c>
      <c r="I660" s="54" t="str">
        <f>40809.82-H660</f>
        <v>₹30,863.46</v>
      </c>
    </row>
    <row r="661" ht="15.75" customHeight="1">
      <c r="A661" s="50" t="s">
        <v>704</v>
      </c>
      <c r="B661" s="50" t="s">
        <v>13</v>
      </c>
      <c r="C661" s="50" t="s">
        <v>33</v>
      </c>
      <c r="D661" s="51">
        <v>42409.82</v>
      </c>
      <c r="E661" s="51" t="str">
        <f t="shared" si="1"/>
        <v>₹508,917.84</v>
      </c>
      <c r="F661" s="52" t="str">
        <f t="shared" si="2"/>
        <v>20.0%</v>
      </c>
      <c r="G661" s="51" t="str">
        <f t="shared" si="3"/>
        <v>₹101,783.57</v>
      </c>
      <c r="H661" s="51" t="str">
        <f t="shared" si="4"/>
        <v>₹8,481.96</v>
      </c>
      <c r="I661" s="51" t="str">
        <f>40296.4-H661</f>
        <v>₹31,814.44</v>
      </c>
    </row>
    <row r="662" ht="15.75" customHeight="1">
      <c r="A662" s="53" t="s">
        <v>705</v>
      </c>
      <c r="B662" s="53" t="s">
        <v>36</v>
      </c>
      <c r="C662" s="53" t="s">
        <v>26</v>
      </c>
      <c r="D662" s="54">
        <v>167567.86</v>
      </c>
      <c r="E662" s="54" t="str">
        <f t="shared" si="1"/>
        <v>₹2,010,814.32</v>
      </c>
      <c r="F662" s="55" t="str">
        <f t="shared" si="2"/>
        <v>30.0%</v>
      </c>
      <c r="G662" s="54" t="str">
        <f t="shared" si="3"/>
        <v>₹603,244.30</v>
      </c>
      <c r="H662" s="54" t="str">
        <f t="shared" si="4"/>
        <v>₹50,270.36</v>
      </c>
      <c r="I662" s="54" t="str">
        <f>146148.91-H662</f>
        <v>₹95,878.55</v>
      </c>
    </row>
    <row r="663" ht="15.75" customHeight="1">
      <c r="A663" s="50" t="s">
        <v>706</v>
      </c>
      <c r="B663" s="50" t="s">
        <v>25</v>
      </c>
      <c r="C663" s="50" t="s">
        <v>14</v>
      </c>
      <c r="D663" s="51">
        <v>31510.28</v>
      </c>
      <c r="E663" s="51" t="str">
        <f t="shared" si="1"/>
        <v>₹378,123.36</v>
      </c>
      <c r="F663" s="52" t="str">
        <f t="shared" si="2"/>
        <v>5.0%</v>
      </c>
      <c r="G663" s="51" t="str">
        <f t="shared" si="3"/>
        <v>₹18,906.17</v>
      </c>
      <c r="H663" s="51" t="str">
        <f t="shared" si="4"/>
        <v>₹1,575.51</v>
      </c>
      <c r="I663" s="51" t="str">
        <f>27765.86-H663</f>
        <v>₹26,190.35</v>
      </c>
    </row>
    <row r="664" ht="15.75" customHeight="1">
      <c r="A664" s="53" t="s">
        <v>707</v>
      </c>
      <c r="B664" s="53" t="s">
        <v>17</v>
      </c>
      <c r="C664" s="53" t="s">
        <v>54</v>
      </c>
      <c r="D664" s="54">
        <v>66437.28</v>
      </c>
      <c r="E664" s="54" t="str">
        <f t="shared" si="1"/>
        <v>₹797,247.36</v>
      </c>
      <c r="F664" s="55" t="str">
        <f t="shared" si="2"/>
        <v>20.0%</v>
      </c>
      <c r="G664" s="54" t="str">
        <f t="shared" si="3"/>
        <v>₹159,449.47</v>
      </c>
      <c r="H664" s="54" t="str">
        <f t="shared" si="4"/>
        <v>₹13,287.46</v>
      </c>
      <c r="I664" s="54" t="str">
        <f>54087.94-H664</f>
        <v>₹40,800.48</v>
      </c>
    </row>
    <row r="665" ht="15.75" customHeight="1">
      <c r="A665" s="50" t="s">
        <v>708</v>
      </c>
      <c r="B665" s="50" t="s">
        <v>53</v>
      </c>
      <c r="C665" s="50" t="s">
        <v>33</v>
      </c>
      <c r="D665" s="51">
        <v>42944.14</v>
      </c>
      <c r="E665" s="51" t="str">
        <f t="shared" si="1"/>
        <v>₹515,329.68</v>
      </c>
      <c r="F665" s="52" t="str">
        <f t="shared" si="2"/>
        <v>20.0%</v>
      </c>
      <c r="G665" s="51" t="str">
        <f t="shared" si="3"/>
        <v>₹103,065.94</v>
      </c>
      <c r="H665" s="51" t="str">
        <f t="shared" si="4"/>
        <v>₹8,588.83</v>
      </c>
      <c r="I665" s="51" t="str">
        <f>41626.44-H665</f>
        <v>₹33,037.61</v>
      </c>
    </row>
    <row r="666" ht="15.75" customHeight="1">
      <c r="A666" s="53" t="s">
        <v>709</v>
      </c>
      <c r="B666" s="53" t="s">
        <v>29</v>
      </c>
      <c r="C666" s="53" t="s">
        <v>54</v>
      </c>
      <c r="D666" s="54">
        <v>72184.74</v>
      </c>
      <c r="E666" s="54" t="str">
        <f t="shared" si="1"/>
        <v>₹866,216.88</v>
      </c>
      <c r="F666" s="55" t="str">
        <f t="shared" si="2"/>
        <v>20.0%</v>
      </c>
      <c r="G666" s="54" t="str">
        <f t="shared" si="3"/>
        <v>₹173,243.38</v>
      </c>
      <c r="H666" s="54" t="str">
        <f t="shared" si="4"/>
        <v>₹14,436.95</v>
      </c>
      <c r="I666" s="54" t="str">
        <f>57734.07-H666</f>
        <v>₹43,297.12</v>
      </c>
    </row>
    <row r="667" ht="15.75" customHeight="1">
      <c r="A667" s="50" t="s">
        <v>710</v>
      </c>
      <c r="B667" s="50" t="s">
        <v>29</v>
      </c>
      <c r="C667" s="50" t="s">
        <v>26</v>
      </c>
      <c r="D667" s="51">
        <v>168527.96</v>
      </c>
      <c r="E667" s="51" t="str">
        <f t="shared" si="1"/>
        <v>₹2,022,335.52</v>
      </c>
      <c r="F667" s="52" t="str">
        <f t="shared" si="2"/>
        <v>30.0%</v>
      </c>
      <c r="G667" s="51" t="str">
        <f t="shared" si="3"/>
        <v>₹606,700.66</v>
      </c>
      <c r="H667" s="51" t="str">
        <f t="shared" si="4"/>
        <v>₹50,558.39</v>
      </c>
      <c r="I667" s="51" t="str">
        <f>151594.66-H667</f>
        <v>₹101,036.27</v>
      </c>
    </row>
    <row r="668" ht="15.75" customHeight="1">
      <c r="A668" s="53" t="s">
        <v>711</v>
      </c>
      <c r="B668" s="53" t="s">
        <v>51</v>
      </c>
      <c r="C668" s="53" t="s">
        <v>33</v>
      </c>
      <c r="D668" s="54">
        <v>40778.04</v>
      </c>
      <c r="E668" s="54" t="str">
        <f t="shared" si="1"/>
        <v>₹489,336.48</v>
      </c>
      <c r="F668" s="55" t="str">
        <f t="shared" si="2"/>
        <v>5.0%</v>
      </c>
      <c r="G668" s="54" t="str">
        <f t="shared" si="3"/>
        <v>₹24,466.82</v>
      </c>
      <c r="H668" s="54" t="str">
        <f t="shared" si="4"/>
        <v>₹2,038.90</v>
      </c>
      <c r="I668" s="54" t="str">
        <f>38205.92-H668</f>
        <v>₹36,167.02</v>
      </c>
    </row>
    <row r="669" ht="15.75" customHeight="1">
      <c r="A669" s="50" t="s">
        <v>712</v>
      </c>
      <c r="B669" s="50" t="s">
        <v>53</v>
      </c>
      <c r="C669" s="50" t="s">
        <v>26</v>
      </c>
      <c r="D669" s="51">
        <v>139444.27</v>
      </c>
      <c r="E669" s="51" t="str">
        <f t="shared" si="1"/>
        <v>₹1,673,331.24</v>
      </c>
      <c r="F669" s="52" t="str">
        <f t="shared" si="2"/>
        <v>30.0%</v>
      </c>
      <c r="G669" s="51" t="str">
        <f t="shared" si="3"/>
        <v>₹501,999.37</v>
      </c>
      <c r="H669" s="51" t="str">
        <f t="shared" si="4"/>
        <v>₹41,833.28</v>
      </c>
      <c r="I669" s="51" t="str">
        <f>117056.72-H669</f>
        <v>₹75,223.44</v>
      </c>
    </row>
    <row r="670" ht="15.75" customHeight="1">
      <c r="A670" s="53" t="s">
        <v>713</v>
      </c>
      <c r="B670" s="53" t="s">
        <v>36</v>
      </c>
      <c r="C670" s="53" t="s">
        <v>54</v>
      </c>
      <c r="D670" s="54">
        <v>60568.76</v>
      </c>
      <c r="E670" s="54" t="str">
        <f t="shared" si="1"/>
        <v>₹726,825.12</v>
      </c>
      <c r="F670" s="55" t="str">
        <f t="shared" si="2"/>
        <v>20.0%</v>
      </c>
      <c r="G670" s="54" t="str">
        <f t="shared" si="3"/>
        <v>₹145,365.02</v>
      </c>
      <c r="H670" s="54" t="str">
        <f t="shared" si="4"/>
        <v>₹12,113.75</v>
      </c>
      <c r="I670" s="54" t="str">
        <f>47864.42-H670</f>
        <v>₹35,750.67</v>
      </c>
    </row>
    <row r="671" ht="15.75" customHeight="1">
      <c r="A671" s="50" t="s">
        <v>714</v>
      </c>
      <c r="B671" s="50" t="s">
        <v>17</v>
      </c>
      <c r="C671" s="50" t="s">
        <v>14</v>
      </c>
      <c r="D671" s="51">
        <v>31588.19</v>
      </c>
      <c r="E671" s="51" t="str">
        <f t="shared" si="1"/>
        <v>₹379,058.28</v>
      </c>
      <c r="F671" s="52" t="str">
        <f t="shared" si="2"/>
        <v>5.0%</v>
      </c>
      <c r="G671" s="51" t="str">
        <f t="shared" si="3"/>
        <v>₹18,952.91</v>
      </c>
      <c r="H671" s="51" t="str">
        <f t="shared" si="4"/>
        <v>₹1,579.41</v>
      </c>
      <c r="I671" s="51" t="str">
        <f>25362.42-H671</f>
        <v>₹23,783.01</v>
      </c>
    </row>
    <row r="672" ht="15.75" customHeight="1">
      <c r="A672" s="53" t="s">
        <v>715</v>
      </c>
      <c r="B672" s="53" t="s">
        <v>25</v>
      </c>
      <c r="C672" s="53" t="s">
        <v>26</v>
      </c>
      <c r="D672" s="54">
        <v>142243.38</v>
      </c>
      <c r="E672" s="54" t="str">
        <f t="shared" si="1"/>
        <v>₹1,706,920.56</v>
      </c>
      <c r="F672" s="55" t="str">
        <f t="shared" si="2"/>
        <v>30.0%</v>
      </c>
      <c r="G672" s="54" t="str">
        <f t="shared" si="3"/>
        <v>₹512,076.17</v>
      </c>
      <c r="H672" s="54" t="str">
        <f t="shared" si="4"/>
        <v>₹42,673.01</v>
      </c>
      <c r="I672" s="54" t="str">
        <f>142108.39-H672</f>
        <v>₹99,435.38</v>
      </c>
    </row>
    <row r="673" ht="15.75" customHeight="1">
      <c r="A673" s="50" t="s">
        <v>716</v>
      </c>
      <c r="B673" s="50" t="s">
        <v>51</v>
      </c>
      <c r="C673" s="50" t="s">
        <v>30</v>
      </c>
      <c r="D673" s="51">
        <v>38469.38</v>
      </c>
      <c r="E673" s="51" t="str">
        <f t="shared" si="1"/>
        <v>₹461,632.56</v>
      </c>
      <c r="F673" s="52" t="str">
        <f t="shared" si="2"/>
        <v>5.0%</v>
      </c>
      <c r="G673" s="51" t="str">
        <f t="shared" si="3"/>
        <v>₹23,081.63</v>
      </c>
      <c r="H673" s="51" t="str">
        <f t="shared" si="4"/>
        <v>₹1,923.47</v>
      </c>
      <c r="I673" s="51" t="str">
        <f>37382.38-H673</f>
        <v>₹35,458.91</v>
      </c>
    </row>
    <row r="674" ht="15.75" customHeight="1">
      <c r="A674" s="53" t="s">
        <v>717</v>
      </c>
      <c r="B674" s="53" t="s">
        <v>53</v>
      </c>
      <c r="C674" s="53" t="s">
        <v>37</v>
      </c>
      <c r="D674" s="54">
        <v>66322.62</v>
      </c>
      <c r="E674" s="54" t="str">
        <f t="shared" si="1"/>
        <v>₹795,871.44</v>
      </c>
      <c r="F674" s="55" t="str">
        <f t="shared" si="2"/>
        <v>20.0%</v>
      </c>
      <c r="G674" s="54" t="str">
        <f t="shared" si="3"/>
        <v>₹159,174.29</v>
      </c>
      <c r="H674" s="54" t="str">
        <f t="shared" si="4"/>
        <v>₹13,264.52</v>
      </c>
      <c r="I674" s="54" t="str">
        <f>65629.85-H674</f>
        <v>₹52,365.33</v>
      </c>
    </row>
    <row r="675" ht="15.75" customHeight="1">
      <c r="A675" s="50" t="s">
        <v>718</v>
      </c>
      <c r="B675" s="50" t="s">
        <v>36</v>
      </c>
      <c r="C675" s="50" t="s">
        <v>18</v>
      </c>
      <c r="D675" s="51">
        <v>110317.28</v>
      </c>
      <c r="E675" s="51" t="str">
        <f t="shared" si="1"/>
        <v>₹1,323,807.36</v>
      </c>
      <c r="F675" s="52" t="str">
        <f t="shared" si="2"/>
        <v>30.0%</v>
      </c>
      <c r="G675" s="51" t="str">
        <f t="shared" si="3"/>
        <v>₹397,142.21</v>
      </c>
      <c r="H675" s="51" t="str">
        <f t="shared" si="4"/>
        <v>₹33,095.18</v>
      </c>
      <c r="I675" s="51" t="str">
        <f>100100.89-H675</f>
        <v>₹67,005.71</v>
      </c>
    </row>
    <row r="676" ht="15.75" customHeight="1">
      <c r="A676" s="53" t="s">
        <v>719</v>
      </c>
      <c r="B676" s="53" t="s">
        <v>25</v>
      </c>
      <c r="C676" s="53" t="s">
        <v>54</v>
      </c>
      <c r="D676" s="54">
        <v>47430.33</v>
      </c>
      <c r="E676" s="54" t="str">
        <f t="shared" si="1"/>
        <v>₹569,163.96</v>
      </c>
      <c r="F676" s="55" t="str">
        <f t="shared" si="2"/>
        <v>20.0%</v>
      </c>
      <c r="G676" s="54" t="str">
        <f t="shared" si="3"/>
        <v>₹113,832.79</v>
      </c>
      <c r="H676" s="54" t="str">
        <f t="shared" si="4"/>
        <v>₹9,486.07</v>
      </c>
      <c r="I676" s="54" t="str">
        <f>37009.98-H676</f>
        <v>₹27,523.91</v>
      </c>
    </row>
    <row r="677" ht="15.75" customHeight="1">
      <c r="A677" s="50" t="s">
        <v>720</v>
      </c>
      <c r="B677" s="50" t="s">
        <v>13</v>
      </c>
      <c r="C677" s="50" t="s">
        <v>14</v>
      </c>
      <c r="D677" s="51">
        <v>29671.37</v>
      </c>
      <c r="E677" s="51" t="str">
        <f t="shared" si="1"/>
        <v>₹356,056.44</v>
      </c>
      <c r="F677" s="52" t="str">
        <f t="shared" si="2"/>
        <v>5.0%</v>
      </c>
      <c r="G677" s="51" t="str">
        <f t="shared" si="3"/>
        <v>₹17,802.82</v>
      </c>
      <c r="H677" s="51" t="str">
        <f t="shared" si="4"/>
        <v>₹1,483.57</v>
      </c>
      <c r="I677" s="51" t="str">
        <f>27224.84-H677</f>
        <v>₹25,741.27</v>
      </c>
    </row>
    <row r="678" ht="15.75" customHeight="1">
      <c r="A678" s="53" t="s">
        <v>721</v>
      </c>
      <c r="B678" s="53" t="s">
        <v>25</v>
      </c>
      <c r="C678" s="53" t="s">
        <v>14</v>
      </c>
      <c r="D678" s="54">
        <v>29562.92</v>
      </c>
      <c r="E678" s="54" t="str">
        <f t="shared" si="1"/>
        <v>₹354,755.04</v>
      </c>
      <c r="F678" s="55" t="str">
        <f t="shared" si="2"/>
        <v>5.0%</v>
      </c>
      <c r="G678" s="54" t="str">
        <f t="shared" si="3"/>
        <v>₹17,737.75</v>
      </c>
      <c r="H678" s="54" t="str">
        <f t="shared" si="4"/>
        <v>₹1,478.15</v>
      </c>
      <c r="I678" s="54" t="str">
        <f>24773.14-H678</f>
        <v>₹23,294.99</v>
      </c>
    </row>
    <row r="679" ht="15.75" customHeight="1">
      <c r="A679" s="50" t="s">
        <v>722</v>
      </c>
      <c r="B679" s="50" t="s">
        <v>17</v>
      </c>
      <c r="C679" s="50" t="s">
        <v>37</v>
      </c>
      <c r="D679" s="51">
        <v>90103.65</v>
      </c>
      <c r="E679" s="51" t="str">
        <f t="shared" si="1"/>
        <v>₹1,081,243.80</v>
      </c>
      <c r="F679" s="52" t="str">
        <f t="shared" si="2"/>
        <v>30.0%</v>
      </c>
      <c r="G679" s="51" t="str">
        <f t="shared" si="3"/>
        <v>₹324,373.14</v>
      </c>
      <c r="H679" s="51" t="str">
        <f t="shared" si="4"/>
        <v>₹27,031.10</v>
      </c>
      <c r="I679" s="51" t="str">
        <f>77770-H679</f>
        <v>₹50,738.91</v>
      </c>
    </row>
    <row r="680" ht="15.75" customHeight="1">
      <c r="A680" s="53" t="s">
        <v>723</v>
      </c>
      <c r="B680" s="53" t="s">
        <v>17</v>
      </c>
      <c r="C680" s="53" t="s">
        <v>18</v>
      </c>
      <c r="D680" s="54">
        <v>94457.31</v>
      </c>
      <c r="E680" s="54" t="str">
        <f t="shared" si="1"/>
        <v>₹1,133,487.72</v>
      </c>
      <c r="F680" s="55" t="str">
        <f t="shared" si="2"/>
        <v>30.0%</v>
      </c>
      <c r="G680" s="54" t="str">
        <f t="shared" si="3"/>
        <v>₹340,046.32</v>
      </c>
      <c r="H680" s="54" t="str">
        <f t="shared" si="4"/>
        <v>₹28,337.19</v>
      </c>
      <c r="I680" s="54" t="str">
        <f>91935.58-H680</f>
        <v>₹63,598.39</v>
      </c>
    </row>
    <row r="681" ht="15.75" customHeight="1">
      <c r="A681" s="50" t="s">
        <v>724</v>
      </c>
      <c r="B681" s="50" t="s">
        <v>36</v>
      </c>
      <c r="C681" s="50" t="s">
        <v>18</v>
      </c>
      <c r="D681" s="51">
        <v>99266.74</v>
      </c>
      <c r="E681" s="51" t="str">
        <f t="shared" si="1"/>
        <v>₹1,191,200.88</v>
      </c>
      <c r="F681" s="52" t="str">
        <f t="shared" si="2"/>
        <v>30.0%</v>
      </c>
      <c r="G681" s="51" t="str">
        <f t="shared" si="3"/>
        <v>₹357,360.26</v>
      </c>
      <c r="H681" s="51" t="str">
        <f t="shared" si="4"/>
        <v>₹29,780.02</v>
      </c>
      <c r="I681" s="51" t="str">
        <f>86222.83-H681</f>
        <v>₹56,442.81</v>
      </c>
    </row>
    <row r="682" ht="15.75" customHeight="1">
      <c r="A682" s="53" t="s">
        <v>725</v>
      </c>
      <c r="B682" s="53" t="s">
        <v>36</v>
      </c>
      <c r="C682" s="53" t="s">
        <v>18</v>
      </c>
      <c r="D682" s="54">
        <v>94950.35</v>
      </c>
      <c r="E682" s="54" t="str">
        <f t="shared" si="1"/>
        <v>₹1,139,404.20</v>
      </c>
      <c r="F682" s="55" t="str">
        <f t="shared" si="2"/>
        <v>30.0%</v>
      </c>
      <c r="G682" s="54" t="str">
        <f t="shared" si="3"/>
        <v>₹341,821.26</v>
      </c>
      <c r="H682" s="54" t="str">
        <f t="shared" si="4"/>
        <v>₹28,485.11</v>
      </c>
      <c r="I682" s="54" t="str">
        <f>82315.25-H682</f>
        <v>₹53,830.15</v>
      </c>
    </row>
    <row r="683" ht="15.75" customHeight="1">
      <c r="A683" s="50" t="s">
        <v>726</v>
      </c>
      <c r="B683" s="50" t="s">
        <v>51</v>
      </c>
      <c r="C683" s="50" t="s">
        <v>54</v>
      </c>
      <c r="D683" s="51">
        <v>61596.29</v>
      </c>
      <c r="E683" s="51" t="str">
        <f t="shared" si="1"/>
        <v>₹739,155.48</v>
      </c>
      <c r="F683" s="52" t="str">
        <f t="shared" si="2"/>
        <v>20.0%</v>
      </c>
      <c r="G683" s="51" t="str">
        <f t="shared" si="3"/>
        <v>₹147,831.10</v>
      </c>
      <c r="H683" s="51" t="str">
        <f t="shared" si="4"/>
        <v>₹12,319.26</v>
      </c>
      <c r="I683" s="51" t="str">
        <f>51541.65-H683</f>
        <v>₹39,222.39</v>
      </c>
    </row>
    <row r="684" ht="15.75" customHeight="1">
      <c r="A684" s="53" t="s">
        <v>727</v>
      </c>
      <c r="B684" s="53" t="s">
        <v>29</v>
      </c>
      <c r="C684" s="53" t="s">
        <v>14</v>
      </c>
      <c r="D684" s="54">
        <v>33099.68</v>
      </c>
      <c r="E684" s="54" t="str">
        <f t="shared" si="1"/>
        <v>₹397,196.16</v>
      </c>
      <c r="F684" s="55" t="str">
        <f t="shared" si="2"/>
        <v>5.0%</v>
      </c>
      <c r="G684" s="54" t="str">
        <f t="shared" si="3"/>
        <v>₹19,859.81</v>
      </c>
      <c r="H684" s="54" t="str">
        <f t="shared" si="4"/>
        <v>₹1,654.98</v>
      </c>
      <c r="I684" s="54" t="str">
        <f>28778.76-H684</f>
        <v>₹27,123.78</v>
      </c>
    </row>
    <row r="685" ht="15.75" customHeight="1">
      <c r="A685" s="50" t="s">
        <v>728</v>
      </c>
      <c r="B685" s="50" t="s">
        <v>25</v>
      </c>
      <c r="C685" s="50" t="s">
        <v>37</v>
      </c>
      <c r="D685" s="51">
        <v>85746.19</v>
      </c>
      <c r="E685" s="51" t="str">
        <f t="shared" si="1"/>
        <v>₹1,028,954.28</v>
      </c>
      <c r="F685" s="52" t="str">
        <f t="shared" si="2"/>
        <v>30.0%</v>
      </c>
      <c r="G685" s="51" t="str">
        <f t="shared" si="3"/>
        <v>₹308,686.28</v>
      </c>
      <c r="H685" s="51" t="str">
        <f t="shared" si="4"/>
        <v>₹25,723.86</v>
      </c>
      <c r="I685" s="51" t="str">
        <f>78061.27-H685</f>
        <v>₹52,337.41</v>
      </c>
    </row>
    <row r="686" ht="15.75" customHeight="1">
      <c r="A686" s="53" t="s">
        <v>729</v>
      </c>
      <c r="B686" s="53" t="s">
        <v>17</v>
      </c>
      <c r="C686" s="53" t="s">
        <v>37</v>
      </c>
      <c r="D686" s="54">
        <v>72355.06</v>
      </c>
      <c r="E686" s="54" t="str">
        <f t="shared" si="1"/>
        <v>₹868,260.72</v>
      </c>
      <c r="F686" s="55" t="str">
        <f t="shared" si="2"/>
        <v>20.0%</v>
      </c>
      <c r="G686" s="54" t="str">
        <f t="shared" si="3"/>
        <v>₹173,652.14</v>
      </c>
      <c r="H686" s="54" t="str">
        <f t="shared" si="4"/>
        <v>₹14,471.01</v>
      </c>
      <c r="I686" s="54" t="str">
        <f>57256.82-H686</f>
        <v>₹42,785.81</v>
      </c>
    </row>
    <row r="687" ht="15.75" customHeight="1">
      <c r="A687" s="50" t="s">
        <v>730</v>
      </c>
      <c r="B687" s="50" t="s">
        <v>51</v>
      </c>
      <c r="C687" s="50" t="s">
        <v>14</v>
      </c>
      <c r="D687" s="51">
        <v>23841.38</v>
      </c>
      <c r="E687" s="51" t="str">
        <f t="shared" si="1"/>
        <v>₹286,096.56</v>
      </c>
      <c r="F687" s="52" t="str">
        <f t="shared" si="2"/>
        <v>5.0%</v>
      </c>
      <c r="G687" s="51" t="str">
        <f t="shared" si="3"/>
        <v>₹14,304.83</v>
      </c>
      <c r="H687" s="51" t="str">
        <f t="shared" si="4"/>
        <v>₹1,192.07</v>
      </c>
      <c r="I687" s="51" t="str">
        <f>23242.01-H687</f>
        <v>₹22,049.94</v>
      </c>
    </row>
    <row r="688" ht="15.75" customHeight="1">
      <c r="A688" s="53" t="s">
        <v>731</v>
      </c>
      <c r="B688" s="53" t="s">
        <v>13</v>
      </c>
      <c r="C688" s="53" t="s">
        <v>54</v>
      </c>
      <c r="D688" s="54">
        <v>48882.63</v>
      </c>
      <c r="E688" s="54" t="str">
        <f t="shared" si="1"/>
        <v>₹586,591.56</v>
      </c>
      <c r="F688" s="55" t="str">
        <f t="shared" si="2"/>
        <v>20.0%</v>
      </c>
      <c r="G688" s="54" t="str">
        <f t="shared" si="3"/>
        <v>₹117,318.31</v>
      </c>
      <c r="H688" s="54" t="str">
        <f t="shared" si="4"/>
        <v>₹9,776.53</v>
      </c>
      <c r="I688" s="54" t="str">
        <f>43189.19-H688</f>
        <v>₹33,412.66</v>
      </c>
    </row>
    <row r="689" ht="15.75" customHeight="1">
      <c r="A689" s="50" t="s">
        <v>732</v>
      </c>
      <c r="B689" s="50" t="s">
        <v>13</v>
      </c>
      <c r="C689" s="50" t="s">
        <v>14</v>
      </c>
      <c r="D689" s="51">
        <v>35027.84</v>
      </c>
      <c r="E689" s="51" t="str">
        <f t="shared" si="1"/>
        <v>₹420,334.08</v>
      </c>
      <c r="F689" s="52" t="str">
        <f t="shared" si="2"/>
        <v>5.0%</v>
      </c>
      <c r="G689" s="51" t="str">
        <f t="shared" si="3"/>
        <v>₹21,016.70</v>
      </c>
      <c r="H689" s="51" t="str">
        <f t="shared" si="4"/>
        <v>₹1,751.39</v>
      </c>
      <c r="I689" s="51" t="str">
        <f>31668.74-H689</f>
        <v>₹29,917.35</v>
      </c>
    </row>
    <row r="690" ht="15.75" customHeight="1">
      <c r="A690" s="53" t="s">
        <v>733</v>
      </c>
      <c r="B690" s="53" t="s">
        <v>29</v>
      </c>
      <c r="C690" s="53" t="s">
        <v>54</v>
      </c>
      <c r="D690" s="54">
        <v>52217.74</v>
      </c>
      <c r="E690" s="54" t="str">
        <f t="shared" si="1"/>
        <v>₹626,612.88</v>
      </c>
      <c r="F690" s="55" t="str">
        <f t="shared" si="2"/>
        <v>20.0%</v>
      </c>
      <c r="G690" s="54" t="str">
        <f t="shared" si="3"/>
        <v>₹125,322.58</v>
      </c>
      <c r="H690" s="54" t="str">
        <f t="shared" si="4"/>
        <v>₹10,443.55</v>
      </c>
      <c r="I690" s="54" t="str">
        <f>42855.4-H690</f>
        <v>₹32,411.85</v>
      </c>
    </row>
    <row r="691" ht="15.75" customHeight="1">
      <c r="A691" s="50" t="s">
        <v>734</v>
      </c>
      <c r="B691" s="50" t="s">
        <v>29</v>
      </c>
      <c r="C691" s="50" t="s">
        <v>26</v>
      </c>
      <c r="D691" s="51">
        <v>158416.35</v>
      </c>
      <c r="E691" s="51" t="str">
        <f t="shared" si="1"/>
        <v>₹1,900,996.20</v>
      </c>
      <c r="F691" s="52" t="str">
        <f t="shared" si="2"/>
        <v>30.0%</v>
      </c>
      <c r="G691" s="51" t="str">
        <f t="shared" si="3"/>
        <v>₹570,298.86</v>
      </c>
      <c r="H691" s="51" t="str">
        <f t="shared" si="4"/>
        <v>₹47,524.91</v>
      </c>
      <c r="I691" s="51" t="str">
        <f>154439.89-H691</f>
        <v>₹106,914.99</v>
      </c>
    </row>
    <row r="692" ht="15.75" customHeight="1">
      <c r="A692" s="53" t="s">
        <v>735</v>
      </c>
      <c r="B692" s="53" t="s">
        <v>17</v>
      </c>
      <c r="C692" s="53" t="s">
        <v>26</v>
      </c>
      <c r="D692" s="54">
        <v>135771.33</v>
      </c>
      <c r="E692" s="54" t="str">
        <f t="shared" si="1"/>
        <v>₹1,629,255.96</v>
      </c>
      <c r="F692" s="55" t="str">
        <f t="shared" si="2"/>
        <v>30.0%</v>
      </c>
      <c r="G692" s="54" t="str">
        <f t="shared" si="3"/>
        <v>₹488,776.79</v>
      </c>
      <c r="H692" s="54" t="str">
        <f t="shared" si="4"/>
        <v>₹40,731.40</v>
      </c>
      <c r="I692" s="54" t="str">
        <f>126406.25-H692</f>
        <v>₹85,674.85</v>
      </c>
    </row>
    <row r="693" ht="15.75" customHeight="1">
      <c r="A693" s="50" t="s">
        <v>736</v>
      </c>
      <c r="B693" s="50" t="s">
        <v>53</v>
      </c>
      <c r="C693" s="50" t="s">
        <v>33</v>
      </c>
      <c r="D693" s="51">
        <v>44548.26</v>
      </c>
      <c r="E693" s="51" t="str">
        <f t="shared" si="1"/>
        <v>₹534,579.12</v>
      </c>
      <c r="F693" s="52" t="str">
        <f t="shared" si="2"/>
        <v>20.0%</v>
      </c>
      <c r="G693" s="51" t="str">
        <f t="shared" si="3"/>
        <v>₹106,915.82</v>
      </c>
      <c r="H693" s="51" t="str">
        <f t="shared" si="4"/>
        <v>₹8,909.65</v>
      </c>
      <c r="I693" s="51" t="str">
        <f>36288.25-H693</f>
        <v>₹27,378.60</v>
      </c>
    </row>
    <row r="694" ht="15.75" customHeight="1">
      <c r="A694" s="53" t="s">
        <v>737</v>
      </c>
      <c r="B694" s="53" t="s">
        <v>17</v>
      </c>
      <c r="C694" s="53" t="s">
        <v>54</v>
      </c>
      <c r="D694" s="54">
        <v>56491.96</v>
      </c>
      <c r="E694" s="54" t="str">
        <f t="shared" si="1"/>
        <v>₹677,903.52</v>
      </c>
      <c r="F694" s="55" t="str">
        <f t="shared" si="2"/>
        <v>20.0%</v>
      </c>
      <c r="G694" s="54" t="str">
        <f t="shared" si="3"/>
        <v>₹135,580.70</v>
      </c>
      <c r="H694" s="54" t="str">
        <f t="shared" si="4"/>
        <v>₹11,298.39</v>
      </c>
      <c r="I694" s="54" t="str">
        <f>46312.15-H694</f>
        <v>₹35,013.76</v>
      </c>
    </row>
    <row r="695" ht="15.75" customHeight="1">
      <c r="A695" s="50" t="s">
        <v>738</v>
      </c>
      <c r="B695" s="50" t="s">
        <v>25</v>
      </c>
      <c r="C695" s="50" t="s">
        <v>54</v>
      </c>
      <c r="D695" s="51">
        <v>66053.33</v>
      </c>
      <c r="E695" s="51" t="str">
        <f t="shared" si="1"/>
        <v>₹792,639.96</v>
      </c>
      <c r="F695" s="52" t="str">
        <f t="shared" si="2"/>
        <v>20.0%</v>
      </c>
      <c r="G695" s="51" t="str">
        <f t="shared" si="3"/>
        <v>₹158,527.99</v>
      </c>
      <c r="H695" s="51" t="str">
        <f t="shared" si="4"/>
        <v>₹13,210.67</v>
      </c>
      <c r="I695" s="51" t="str">
        <f>55008.5-H695</f>
        <v>₹41,797.83</v>
      </c>
    </row>
    <row r="696" ht="15.75" customHeight="1">
      <c r="A696" s="53" t="s">
        <v>739</v>
      </c>
      <c r="B696" s="53" t="s">
        <v>51</v>
      </c>
      <c r="C696" s="53" t="s">
        <v>18</v>
      </c>
      <c r="D696" s="54">
        <v>125520.82</v>
      </c>
      <c r="E696" s="54" t="str">
        <f t="shared" si="1"/>
        <v>₹1,506,249.84</v>
      </c>
      <c r="F696" s="55" t="str">
        <f t="shared" si="2"/>
        <v>30.0%</v>
      </c>
      <c r="G696" s="54" t="str">
        <f t="shared" si="3"/>
        <v>₹451,874.95</v>
      </c>
      <c r="H696" s="54" t="str">
        <f t="shared" si="4"/>
        <v>₹37,656.25</v>
      </c>
      <c r="I696" s="54" t="str">
        <f>104271.91-H696</f>
        <v>₹66,615.66</v>
      </c>
    </row>
    <row r="697" ht="15.75" customHeight="1">
      <c r="A697" s="50" t="s">
        <v>740</v>
      </c>
      <c r="B697" s="50" t="s">
        <v>36</v>
      </c>
      <c r="C697" s="50" t="s">
        <v>37</v>
      </c>
      <c r="D697" s="51">
        <v>75903.69</v>
      </c>
      <c r="E697" s="51" t="str">
        <f t="shared" si="1"/>
        <v>₹910,844.28</v>
      </c>
      <c r="F697" s="52" t="str">
        <f t="shared" si="2"/>
        <v>20.0%</v>
      </c>
      <c r="G697" s="51" t="str">
        <f t="shared" si="3"/>
        <v>₹182,168.86</v>
      </c>
      <c r="H697" s="51" t="str">
        <f t="shared" si="4"/>
        <v>₹15,180.74</v>
      </c>
      <c r="I697" s="51" t="str">
        <f>68846.44-H697</f>
        <v>₹53,665.70</v>
      </c>
    </row>
    <row r="698" ht="15.75" customHeight="1">
      <c r="A698" s="53" t="s">
        <v>741</v>
      </c>
      <c r="B698" s="53" t="s">
        <v>51</v>
      </c>
      <c r="C698" s="53" t="s">
        <v>54</v>
      </c>
      <c r="D698" s="54">
        <v>63332.86</v>
      </c>
      <c r="E698" s="54" t="str">
        <f t="shared" si="1"/>
        <v>₹759,994.32</v>
      </c>
      <c r="F698" s="55" t="str">
        <f t="shared" si="2"/>
        <v>20.0%</v>
      </c>
      <c r="G698" s="54" t="str">
        <f t="shared" si="3"/>
        <v>₹151,998.86</v>
      </c>
      <c r="H698" s="54" t="str">
        <f t="shared" si="4"/>
        <v>₹12,666.57</v>
      </c>
      <c r="I698" s="54" t="str">
        <f>57424.49-H698</f>
        <v>₹44,757.92</v>
      </c>
    </row>
    <row r="699" ht="15.75" customHeight="1">
      <c r="A699" s="50" t="s">
        <v>742</v>
      </c>
      <c r="B699" s="50" t="s">
        <v>17</v>
      </c>
      <c r="C699" s="50" t="s">
        <v>33</v>
      </c>
      <c r="D699" s="51">
        <v>41092.65</v>
      </c>
      <c r="E699" s="51" t="str">
        <f t="shared" si="1"/>
        <v>₹493,111.80</v>
      </c>
      <c r="F699" s="52" t="str">
        <f t="shared" si="2"/>
        <v>5.0%</v>
      </c>
      <c r="G699" s="51" t="str">
        <f t="shared" si="3"/>
        <v>₹24,655.59</v>
      </c>
      <c r="H699" s="51" t="str">
        <f t="shared" si="4"/>
        <v>₹2,054.63</v>
      </c>
      <c r="I699" s="51" t="str">
        <f>32873.95-H699</f>
        <v>₹30,819.32</v>
      </c>
    </row>
    <row r="700" ht="15.75" customHeight="1">
      <c r="A700" s="53" t="s">
        <v>743</v>
      </c>
      <c r="B700" s="53" t="s">
        <v>25</v>
      </c>
      <c r="C700" s="53" t="s">
        <v>18</v>
      </c>
      <c r="D700" s="54">
        <v>113030.12</v>
      </c>
      <c r="E700" s="54" t="str">
        <f t="shared" si="1"/>
        <v>₹1,356,361.44</v>
      </c>
      <c r="F700" s="55" t="str">
        <f t="shared" si="2"/>
        <v>30.0%</v>
      </c>
      <c r="G700" s="54" t="str">
        <f t="shared" si="3"/>
        <v>₹406,908.43</v>
      </c>
      <c r="H700" s="54" t="str">
        <f t="shared" si="4"/>
        <v>₹33,909.04</v>
      </c>
      <c r="I700" s="54" t="str">
        <f>89562.72-H700</f>
        <v>₹55,653.68</v>
      </c>
    </row>
    <row r="701" ht="15.75" customHeight="1">
      <c r="A701" s="50" t="s">
        <v>744</v>
      </c>
      <c r="B701" s="50" t="s">
        <v>25</v>
      </c>
      <c r="C701" s="50" t="s">
        <v>33</v>
      </c>
      <c r="D701" s="51">
        <v>43404.04</v>
      </c>
      <c r="E701" s="51" t="str">
        <f t="shared" si="1"/>
        <v>₹520,848.48</v>
      </c>
      <c r="F701" s="52" t="str">
        <f t="shared" si="2"/>
        <v>20.0%</v>
      </c>
      <c r="G701" s="51" t="str">
        <f t="shared" si="3"/>
        <v>₹104,169.70</v>
      </c>
      <c r="H701" s="51" t="str">
        <f t="shared" si="4"/>
        <v>₹8,680.81</v>
      </c>
      <c r="I701" s="51" t="str">
        <f>37804.46-H701</f>
        <v>₹29,123.65</v>
      </c>
    </row>
    <row r="702" ht="15.75" customHeight="1">
      <c r="A702" s="53" t="s">
        <v>745</v>
      </c>
      <c r="B702" s="53" t="s">
        <v>13</v>
      </c>
      <c r="C702" s="53" t="s">
        <v>18</v>
      </c>
      <c r="D702" s="54">
        <v>97843.56</v>
      </c>
      <c r="E702" s="54" t="str">
        <f t="shared" si="1"/>
        <v>₹1,174,122.72</v>
      </c>
      <c r="F702" s="55" t="str">
        <f t="shared" si="2"/>
        <v>30.0%</v>
      </c>
      <c r="G702" s="54" t="str">
        <f t="shared" si="3"/>
        <v>₹352,236.82</v>
      </c>
      <c r="H702" s="54" t="str">
        <f t="shared" si="4"/>
        <v>₹29,353.07</v>
      </c>
      <c r="I702" s="54" t="str">
        <f>83344.53-H702</f>
        <v>₹53,991.46</v>
      </c>
    </row>
    <row r="703" ht="15.75" customHeight="1">
      <c r="A703" s="50" t="s">
        <v>746</v>
      </c>
      <c r="B703" s="50" t="s">
        <v>51</v>
      </c>
      <c r="C703" s="50" t="s">
        <v>26</v>
      </c>
      <c r="D703" s="51">
        <v>177042.49</v>
      </c>
      <c r="E703" s="51" t="str">
        <f t="shared" si="1"/>
        <v>₹2,124,509.88</v>
      </c>
      <c r="F703" s="52" t="str">
        <f t="shared" si="2"/>
        <v>30.0%</v>
      </c>
      <c r="G703" s="51" t="str">
        <f t="shared" si="3"/>
        <v>₹637,352.96</v>
      </c>
      <c r="H703" s="51" t="str">
        <f t="shared" si="4"/>
        <v>₹53,112.75</v>
      </c>
      <c r="I703" s="51" t="str">
        <f>155023.23-H703</f>
        <v>₹101,910.48</v>
      </c>
    </row>
    <row r="704" ht="15.75" customHeight="1">
      <c r="A704" s="53" t="s">
        <v>747</v>
      </c>
      <c r="B704" s="53" t="s">
        <v>13</v>
      </c>
      <c r="C704" s="53" t="s">
        <v>30</v>
      </c>
      <c r="D704" s="54">
        <v>36866.13</v>
      </c>
      <c r="E704" s="54" t="str">
        <f t="shared" si="1"/>
        <v>₹442,393.56</v>
      </c>
      <c r="F704" s="55" t="str">
        <f t="shared" si="2"/>
        <v>5.0%</v>
      </c>
      <c r="G704" s="54" t="str">
        <f t="shared" si="3"/>
        <v>₹22,119.68</v>
      </c>
      <c r="H704" s="54" t="str">
        <f t="shared" si="4"/>
        <v>₹1,843.31</v>
      </c>
      <c r="I704" s="54" t="str">
        <f>32931.83-H704</f>
        <v>₹31,088.52</v>
      </c>
    </row>
    <row r="705" ht="15.75" customHeight="1">
      <c r="A705" s="50" t="s">
        <v>748</v>
      </c>
      <c r="B705" s="50" t="s">
        <v>17</v>
      </c>
      <c r="C705" s="50" t="s">
        <v>26</v>
      </c>
      <c r="D705" s="51">
        <v>145197.91</v>
      </c>
      <c r="E705" s="51" t="str">
        <f t="shared" si="1"/>
        <v>₹1,742,374.92</v>
      </c>
      <c r="F705" s="52" t="str">
        <f t="shared" si="2"/>
        <v>30.0%</v>
      </c>
      <c r="G705" s="51" t="str">
        <f t="shared" si="3"/>
        <v>₹522,712.48</v>
      </c>
      <c r="H705" s="51" t="str">
        <f t="shared" si="4"/>
        <v>₹43,559.37</v>
      </c>
      <c r="I705" s="51" t="str">
        <f>113852.72-H705</f>
        <v>₹70,293.35</v>
      </c>
    </row>
    <row r="706" ht="15.75" customHeight="1">
      <c r="A706" s="53" t="s">
        <v>749</v>
      </c>
      <c r="B706" s="53" t="s">
        <v>53</v>
      </c>
      <c r="C706" s="53" t="s">
        <v>30</v>
      </c>
      <c r="D706" s="54">
        <v>36930.53</v>
      </c>
      <c r="E706" s="54" t="str">
        <f t="shared" si="1"/>
        <v>₹443,166.36</v>
      </c>
      <c r="F706" s="55" t="str">
        <f t="shared" si="2"/>
        <v>5.0%</v>
      </c>
      <c r="G706" s="54" t="str">
        <f t="shared" si="3"/>
        <v>₹22,158.32</v>
      </c>
      <c r="H706" s="54" t="str">
        <f t="shared" si="4"/>
        <v>₹1,846.53</v>
      </c>
      <c r="I706" s="54" t="str">
        <f>30350.15-H706</f>
        <v>₹28,503.62</v>
      </c>
    </row>
    <row r="707" ht="15.75" customHeight="1">
      <c r="A707" s="50" t="s">
        <v>750</v>
      </c>
      <c r="B707" s="50" t="s">
        <v>36</v>
      </c>
      <c r="C707" s="50" t="s">
        <v>54</v>
      </c>
      <c r="D707" s="51">
        <v>64224.97</v>
      </c>
      <c r="E707" s="51" t="str">
        <f t="shared" si="1"/>
        <v>₹770,699.64</v>
      </c>
      <c r="F707" s="52" t="str">
        <f t="shared" si="2"/>
        <v>20.0%</v>
      </c>
      <c r="G707" s="51" t="str">
        <f t="shared" si="3"/>
        <v>₹154,139.93</v>
      </c>
      <c r="H707" s="51" t="str">
        <f t="shared" si="4"/>
        <v>₹12,844.99</v>
      </c>
      <c r="I707" s="51" t="str">
        <f>52348.11-H707</f>
        <v>₹39,503.12</v>
      </c>
    </row>
    <row r="708" ht="15.75" customHeight="1">
      <c r="A708" s="53" t="s">
        <v>751</v>
      </c>
      <c r="B708" s="53" t="s">
        <v>29</v>
      </c>
      <c r="C708" s="53" t="s">
        <v>14</v>
      </c>
      <c r="D708" s="54">
        <v>36314.34</v>
      </c>
      <c r="E708" s="54" t="str">
        <f t="shared" si="1"/>
        <v>₹435,772.08</v>
      </c>
      <c r="F708" s="55" t="str">
        <f t="shared" si="2"/>
        <v>5.0%</v>
      </c>
      <c r="G708" s="54" t="str">
        <f t="shared" si="3"/>
        <v>₹21,788.60</v>
      </c>
      <c r="H708" s="54" t="str">
        <f t="shared" si="4"/>
        <v>₹1,815.72</v>
      </c>
      <c r="I708" s="54" t="str">
        <f>36180.75-H708</f>
        <v>₹34,365.03</v>
      </c>
    </row>
    <row r="709" ht="15.75" customHeight="1">
      <c r="A709" s="50" t="s">
        <v>752</v>
      </c>
      <c r="B709" s="50" t="s">
        <v>36</v>
      </c>
      <c r="C709" s="50" t="s">
        <v>14</v>
      </c>
      <c r="D709" s="51">
        <v>28615.49</v>
      </c>
      <c r="E709" s="51" t="str">
        <f t="shared" si="1"/>
        <v>₹343,385.88</v>
      </c>
      <c r="F709" s="52" t="str">
        <f t="shared" si="2"/>
        <v>5.0%</v>
      </c>
      <c r="G709" s="51" t="str">
        <f t="shared" si="3"/>
        <v>₹17,169.29</v>
      </c>
      <c r="H709" s="51" t="str">
        <f t="shared" si="4"/>
        <v>₹1,430.77</v>
      </c>
      <c r="I709" s="51" t="str">
        <f>28015.27-H709</f>
        <v>₹26,584.50</v>
      </c>
    </row>
    <row r="710" ht="15.75" customHeight="1">
      <c r="A710" s="53" t="s">
        <v>753</v>
      </c>
      <c r="B710" s="53" t="s">
        <v>53</v>
      </c>
      <c r="C710" s="53" t="s">
        <v>18</v>
      </c>
      <c r="D710" s="54">
        <v>102208.97</v>
      </c>
      <c r="E710" s="54" t="str">
        <f t="shared" si="1"/>
        <v>₹1,226,507.64</v>
      </c>
      <c r="F710" s="55" t="str">
        <f t="shared" si="2"/>
        <v>30.0%</v>
      </c>
      <c r="G710" s="54" t="str">
        <f t="shared" si="3"/>
        <v>₹367,952.29</v>
      </c>
      <c r="H710" s="54" t="str">
        <f t="shared" si="4"/>
        <v>₹30,662.69</v>
      </c>
      <c r="I710" s="54" t="str">
        <f>97683.92-H710</f>
        <v>₹67,021.23</v>
      </c>
    </row>
    <row r="711" ht="15.75" customHeight="1">
      <c r="A711" s="50" t="s">
        <v>754</v>
      </c>
      <c r="B711" s="50" t="s">
        <v>36</v>
      </c>
      <c r="C711" s="50" t="s">
        <v>33</v>
      </c>
      <c r="D711" s="51">
        <v>37534.27</v>
      </c>
      <c r="E711" s="51" t="str">
        <f t="shared" si="1"/>
        <v>₹450,411.24</v>
      </c>
      <c r="F711" s="52" t="str">
        <f t="shared" si="2"/>
        <v>5.0%</v>
      </c>
      <c r="G711" s="51" t="str">
        <f t="shared" si="3"/>
        <v>₹22,520.56</v>
      </c>
      <c r="H711" s="51" t="str">
        <f t="shared" si="4"/>
        <v>₹1,876.71</v>
      </c>
      <c r="I711" s="51" t="str">
        <f>35619.4-H711</f>
        <v>₹33,742.69</v>
      </c>
    </row>
    <row r="712" ht="15.75" customHeight="1">
      <c r="A712" s="53" t="s">
        <v>755</v>
      </c>
      <c r="B712" s="53" t="s">
        <v>29</v>
      </c>
      <c r="C712" s="53" t="s">
        <v>37</v>
      </c>
      <c r="D712" s="54">
        <v>83514.6</v>
      </c>
      <c r="E712" s="54" t="str">
        <f t="shared" si="1"/>
        <v>₹1,002,175.20</v>
      </c>
      <c r="F712" s="55" t="str">
        <f t="shared" si="2"/>
        <v>30.0%</v>
      </c>
      <c r="G712" s="54" t="str">
        <f t="shared" si="3"/>
        <v>₹300,652.56</v>
      </c>
      <c r="H712" s="54" t="str">
        <f t="shared" si="4"/>
        <v>₹25,054.38</v>
      </c>
      <c r="I712" s="54" t="str">
        <f>70869.85-H712</f>
        <v>₹45,815.47</v>
      </c>
    </row>
    <row r="713" ht="15.75" customHeight="1">
      <c r="A713" s="50" t="s">
        <v>756</v>
      </c>
      <c r="B713" s="50" t="s">
        <v>13</v>
      </c>
      <c r="C713" s="50" t="s">
        <v>54</v>
      </c>
      <c r="D713" s="51">
        <v>53132.89</v>
      </c>
      <c r="E713" s="51" t="str">
        <f t="shared" si="1"/>
        <v>₹637,594.68</v>
      </c>
      <c r="F713" s="52" t="str">
        <f t="shared" si="2"/>
        <v>20.0%</v>
      </c>
      <c r="G713" s="51" t="str">
        <f t="shared" si="3"/>
        <v>₹127,518.94</v>
      </c>
      <c r="H713" s="51" t="str">
        <f t="shared" si="4"/>
        <v>₹10,626.58</v>
      </c>
      <c r="I713" s="51" t="str">
        <f>50698.35-H713</f>
        <v>₹40,071.77</v>
      </c>
    </row>
    <row r="714" ht="15.75" customHeight="1">
      <c r="A714" s="53" t="s">
        <v>757</v>
      </c>
      <c r="B714" s="53" t="s">
        <v>29</v>
      </c>
      <c r="C714" s="53" t="s">
        <v>26</v>
      </c>
      <c r="D714" s="54">
        <v>164703.26</v>
      </c>
      <c r="E714" s="54" t="str">
        <f t="shared" si="1"/>
        <v>₹1,976,439.12</v>
      </c>
      <c r="F714" s="55" t="str">
        <f t="shared" si="2"/>
        <v>30.0%</v>
      </c>
      <c r="G714" s="54" t="str">
        <f t="shared" si="3"/>
        <v>₹592,931.74</v>
      </c>
      <c r="H714" s="54" t="str">
        <f t="shared" si="4"/>
        <v>₹49,410.98</v>
      </c>
      <c r="I714" s="54" t="str">
        <f>146167.47-H714</f>
        <v>₹96,756.49</v>
      </c>
    </row>
    <row r="715" ht="15.75" customHeight="1">
      <c r="A715" s="50" t="s">
        <v>758</v>
      </c>
      <c r="B715" s="50" t="s">
        <v>13</v>
      </c>
      <c r="C715" s="50" t="s">
        <v>18</v>
      </c>
      <c r="D715" s="51">
        <v>98195.4</v>
      </c>
      <c r="E715" s="51" t="str">
        <f t="shared" si="1"/>
        <v>₹1,178,344.80</v>
      </c>
      <c r="F715" s="52" t="str">
        <f t="shared" si="2"/>
        <v>30.0%</v>
      </c>
      <c r="G715" s="51" t="str">
        <f t="shared" si="3"/>
        <v>₹353,503.44</v>
      </c>
      <c r="H715" s="51" t="str">
        <f t="shared" si="4"/>
        <v>₹29,458.62</v>
      </c>
      <c r="I715" s="51" t="str">
        <f>93749.58-H715</f>
        <v>₹64,290.96</v>
      </c>
    </row>
    <row r="716" ht="15.75" customHeight="1">
      <c r="A716" s="53" t="s">
        <v>759</v>
      </c>
      <c r="B716" s="53" t="s">
        <v>25</v>
      </c>
      <c r="C716" s="53" t="s">
        <v>54</v>
      </c>
      <c r="D716" s="54">
        <v>55693.35</v>
      </c>
      <c r="E716" s="54" t="str">
        <f t="shared" si="1"/>
        <v>₹668,320.20</v>
      </c>
      <c r="F716" s="55" t="str">
        <f t="shared" si="2"/>
        <v>20.0%</v>
      </c>
      <c r="G716" s="54" t="str">
        <f t="shared" si="3"/>
        <v>₹133,664.04</v>
      </c>
      <c r="H716" s="54" t="str">
        <f t="shared" si="4"/>
        <v>₹11,138.67</v>
      </c>
      <c r="I716" s="54" t="str">
        <f>53519.71-H716</f>
        <v>₹42,381.04</v>
      </c>
    </row>
    <row r="717" ht="15.75" customHeight="1">
      <c r="A717" s="50" t="s">
        <v>760</v>
      </c>
      <c r="B717" s="50" t="s">
        <v>17</v>
      </c>
      <c r="C717" s="50" t="s">
        <v>26</v>
      </c>
      <c r="D717" s="51">
        <v>155841.71</v>
      </c>
      <c r="E717" s="51" t="str">
        <f t="shared" si="1"/>
        <v>₹1,870,100.52</v>
      </c>
      <c r="F717" s="52" t="str">
        <f t="shared" si="2"/>
        <v>30.0%</v>
      </c>
      <c r="G717" s="51" t="str">
        <f t="shared" si="3"/>
        <v>₹561,030.16</v>
      </c>
      <c r="H717" s="51" t="str">
        <f t="shared" si="4"/>
        <v>₹46,752.51</v>
      </c>
      <c r="I717" s="51" t="str">
        <f>129481.39-H717</f>
        <v>₹82,728.88</v>
      </c>
    </row>
    <row r="718" ht="15.75" customHeight="1">
      <c r="A718" s="53" t="s">
        <v>761</v>
      </c>
      <c r="B718" s="53" t="s">
        <v>17</v>
      </c>
      <c r="C718" s="53" t="s">
        <v>26</v>
      </c>
      <c r="D718" s="54">
        <v>169903.81</v>
      </c>
      <c r="E718" s="54" t="str">
        <f t="shared" si="1"/>
        <v>₹2,038,845.72</v>
      </c>
      <c r="F718" s="55" t="str">
        <f t="shared" si="2"/>
        <v>30.0%</v>
      </c>
      <c r="G718" s="54" t="str">
        <f t="shared" si="3"/>
        <v>₹611,653.72</v>
      </c>
      <c r="H718" s="54" t="str">
        <f t="shared" si="4"/>
        <v>₹50,971.14</v>
      </c>
      <c r="I718" s="54" t="str">
        <f>148316.6-H718</f>
        <v>₹97,345.46</v>
      </c>
    </row>
    <row r="719" ht="15.75" customHeight="1">
      <c r="A719" s="50" t="s">
        <v>762</v>
      </c>
      <c r="B719" s="50" t="s">
        <v>51</v>
      </c>
      <c r="C719" s="50" t="s">
        <v>54</v>
      </c>
      <c r="D719" s="51">
        <v>50741.39</v>
      </c>
      <c r="E719" s="51" t="str">
        <f t="shared" si="1"/>
        <v>₹608,896.68</v>
      </c>
      <c r="F719" s="52" t="str">
        <f t="shared" si="2"/>
        <v>20.0%</v>
      </c>
      <c r="G719" s="51" t="str">
        <f t="shared" si="3"/>
        <v>₹121,779.34</v>
      </c>
      <c r="H719" s="51" t="str">
        <f t="shared" si="4"/>
        <v>₹10,148.28</v>
      </c>
      <c r="I719" s="51" t="str">
        <f>44922.43-H719</f>
        <v>₹34,774.15</v>
      </c>
    </row>
    <row r="720" ht="15.75" customHeight="1">
      <c r="A720" s="53" t="s">
        <v>763</v>
      </c>
      <c r="B720" s="53" t="s">
        <v>25</v>
      </c>
      <c r="C720" s="53" t="s">
        <v>37</v>
      </c>
      <c r="D720" s="54">
        <v>75259.37</v>
      </c>
      <c r="E720" s="54" t="str">
        <f t="shared" si="1"/>
        <v>₹903,112.44</v>
      </c>
      <c r="F720" s="55" t="str">
        <f t="shared" si="2"/>
        <v>20.0%</v>
      </c>
      <c r="G720" s="54" t="str">
        <f t="shared" si="3"/>
        <v>₹180,622.49</v>
      </c>
      <c r="H720" s="54" t="str">
        <f t="shared" si="4"/>
        <v>₹15,051.87</v>
      </c>
      <c r="I720" s="54" t="str">
        <f>60421.44-H720</f>
        <v>₹45,369.57</v>
      </c>
    </row>
    <row r="721" ht="15.75" customHeight="1">
      <c r="A721" s="50" t="s">
        <v>764</v>
      </c>
      <c r="B721" s="50" t="s">
        <v>13</v>
      </c>
      <c r="C721" s="50" t="s">
        <v>37</v>
      </c>
      <c r="D721" s="51">
        <v>70410.25</v>
      </c>
      <c r="E721" s="51" t="str">
        <f t="shared" si="1"/>
        <v>₹844,923.00</v>
      </c>
      <c r="F721" s="52" t="str">
        <f t="shared" si="2"/>
        <v>20.0%</v>
      </c>
      <c r="G721" s="51" t="str">
        <f t="shared" si="3"/>
        <v>₹168,984.60</v>
      </c>
      <c r="H721" s="51" t="str">
        <f t="shared" si="4"/>
        <v>₹14,082.05</v>
      </c>
      <c r="I721" s="51" t="str">
        <f>68915.17-H721</f>
        <v>₹54,833.12</v>
      </c>
    </row>
    <row r="722" ht="15.75" customHeight="1">
      <c r="A722" s="53" t="s">
        <v>765</v>
      </c>
      <c r="B722" s="53" t="s">
        <v>53</v>
      </c>
      <c r="C722" s="53" t="s">
        <v>37</v>
      </c>
      <c r="D722" s="54">
        <v>85293.99</v>
      </c>
      <c r="E722" s="54" t="str">
        <f t="shared" si="1"/>
        <v>₹1,023,527.88</v>
      </c>
      <c r="F722" s="55" t="str">
        <f t="shared" si="2"/>
        <v>30.0%</v>
      </c>
      <c r="G722" s="54" t="str">
        <f t="shared" si="3"/>
        <v>₹307,058.36</v>
      </c>
      <c r="H722" s="54" t="str">
        <f t="shared" si="4"/>
        <v>₹25,588.20</v>
      </c>
      <c r="I722" s="54" t="str">
        <f>78267.53-H722</f>
        <v>₹52,679.33</v>
      </c>
    </row>
    <row r="723" ht="15.75" customHeight="1">
      <c r="A723" s="50" t="s">
        <v>767</v>
      </c>
      <c r="B723" s="50" t="s">
        <v>13</v>
      </c>
      <c r="C723" s="50" t="s">
        <v>26</v>
      </c>
      <c r="D723" s="51">
        <v>136490.36</v>
      </c>
      <c r="E723" s="51" t="str">
        <f t="shared" si="1"/>
        <v>₹1,637,884.32</v>
      </c>
      <c r="F723" s="52" t="str">
        <f t="shared" si="2"/>
        <v>30.0%</v>
      </c>
      <c r="G723" s="51" t="str">
        <f t="shared" si="3"/>
        <v>₹491,365.30</v>
      </c>
      <c r="H723" s="51" t="str">
        <f t="shared" si="4"/>
        <v>₹40,947.11</v>
      </c>
      <c r="I723" s="51" t="str">
        <f>126313.97-H723</f>
        <v>₹85,366.86</v>
      </c>
    </row>
    <row r="724" ht="15.75" customHeight="1">
      <c r="A724" s="53" t="s">
        <v>768</v>
      </c>
      <c r="B724" s="53" t="s">
        <v>53</v>
      </c>
      <c r="C724" s="53" t="s">
        <v>33</v>
      </c>
      <c r="D724" s="54">
        <v>85851.88</v>
      </c>
      <c r="E724" s="54" t="str">
        <f t="shared" si="1"/>
        <v>₹1,030,222.56</v>
      </c>
      <c r="F724" s="55" t="str">
        <f t="shared" si="2"/>
        <v>30.0%</v>
      </c>
      <c r="G724" s="54" t="str">
        <f t="shared" si="3"/>
        <v>₹309,066.77</v>
      </c>
      <c r="H724" s="54" t="str">
        <f t="shared" si="4"/>
        <v>₹25,755.56</v>
      </c>
      <c r="I724" s="54" t="str">
        <f>82703.6-H724</f>
        <v>₹56,948.04</v>
      </c>
    </row>
    <row r="725" ht="15.75" customHeight="1">
      <c r="A725" s="50" t="s">
        <v>769</v>
      </c>
      <c r="B725" s="50" t="s">
        <v>53</v>
      </c>
      <c r="C725" s="50" t="s">
        <v>18</v>
      </c>
      <c r="D725" s="51">
        <v>94809.46</v>
      </c>
      <c r="E725" s="51" t="str">
        <f t="shared" si="1"/>
        <v>₹1,137,713.52</v>
      </c>
      <c r="F725" s="52" t="str">
        <f t="shared" si="2"/>
        <v>30.0%</v>
      </c>
      <c r="G725" s="51" t="str">
        <f t="shared" si="3"/>
        <v>₹341,314.06</v>
      </c>
      <c r="H725" s="51" t="str">
        <f t="shared" si="4"/>
        <v>₹28,442.84</v>
      </c>
      <c r="I725" s="51" t="str">
        <f>79667.88-H725</f>
        <v>₹51,225.04</v>
      </c>
    </row>
    <row r="726" ht="15.75" customHeight="1">
      <c r="A726" s="53" t="s">
        <v>770</v>
      </c>
      <c r="B726" s="53" t="s">
        <v>29</v>
      </c>
      <c r="C726" s="53" t="s">
        <v>18</v>
      </c>
      <c r="D726" s="54">
        <v>98709.55</v>
      </c>
      <c r="E726" s="54" t="str">
        <f t="shared" si="1"/>
        <v>₹1,184,514.60</v>
      </c>
      <c r="F726" s="55" t="str">
        <f t="shared" si="2"/>
        <v>30.0%</v>
      </c>
      <c r="G726" s="54" t="str">
        <f t="shared" si="3"/>
        <v>₹355,354.38</v>
      </c>
      <c r="H726" s="54" t="str">
        <f t="shared" si="4"/>
        <v>₹29,612.87</v>
      </c>
      <c r="I726" s="54" t="str">
        <f>78684.4-H726</f>
        <v>₹49,071.54</v>
      </c>
    </row>
    <row r="727" ht="15.75" customHeight="1">
      <c r="A727" s="50" t="s">
        <v>771</v>
      </c>
      <c r="B727" s="50" t="s">
        <v>53</v>
      </c>
      <c r="C727" s="50" t="s">
        <v>37</v>
      </c>
      <c r="D727" s="51">
        <v>78454.14</v>
      </c>
      <c r="E727" s="51" t="str">
        <f t="shared" si="1"/>
        <v>₹941,449.68</v>
      </c>
      <c r="F727" s="52" t="str">
        <f t="shared" si="2"/>
        <v>20.0%</v>
      </c>
      <c r="G727" s="51" t="str">
        <f t="shared" si="3"/>
        <v>₹188,289.94</v>
      </c>
      <c r="H727" s="51" t="str">
        <f t="shared" si="4"/>
        <v>₹15,690.83</v>
      </c>
      <c r="I727" s="51" t="str">
        <f>76463.48-H727</f>
        <v>₹60,772.65</v>
      </c>
    </row>
    <row r="728" ht="15.75" customHeight="1">
      <c r="A728" s="53" t="s">
        <v>772</v>
      </c>
      <c r="B728" s="53" t="s">
        <v>53</v>
      </c>
      <c r="C728" s="53" t="s">
        <v>54</v>
      </c>
      <c r="D728" s="54">
        <v>64244.11</v>
      </c>
      <c r="E728" s="54" t="str">
        <f t="shared" si="1"/>
        <v>₹770,929.32</v>
      </c>
      <c r="F728" s="55" t="str">
        <f t="shared" si="2"/>
        <v>20.0%</v>
      </c>
      <c r="G728" s="54" t="str">
        <f t="shared" si="3"/>
        <v>₹154,185.86</v>
      </c>
      <c r="H728" s="54" t="str">
        <f t="shared" si="4"/>
        <v>₹12,848.82</v>
      </c>
      <c r="I728" s="54" t="str">
        <f>55049.58-H728</f>
        <v>₹42,200.76</v>
      </c>
    </row>
    <row r="729" ht="15.75" customHeight="1">
      <c r="A729" s="50" t="s">
        <v>773</v>
      </c>
      <c r="B729" s="50" t="s">
        <v>13</v>
      </c>
      <c r="C729" s="50" t="s">
        <v>26</v>
      </c>
      <c r="D729" s="51">
        <v>161154.35</v>
      </c>
      <c r="E729" s="51" t="str">
        <f t="shared" si="1"/>
        <v>₹1,933,852.20</v>
      </c>
      <c r="F729" s="52" t="str">
        <f t="shared" si="2"/>
        <v>30.0%</v>
      </c>
      <c r="G729" s="51" t="str">
        <f t="shared" si="3"/>
        <v>₹580,155.66</v>
      </c>
      <c r="H729" s="51" t="str">
        <f t="shared" si="4"/>
        <v>₹48,346.31</v>
      </c>
      <c r="I729" s="51" t="str">
        <f>147314.37-H729</f>
        <v>₹98,968.07</v>
      </c>
    </row>
    <row r="730" ht="15.75" customHeight="1">
      <c r="A730" s="53" t="s">
        <v>774</v>
      </c>
      <c r="B730" s="53" t="s">
        <v>53</v>
      </c>
      <c r="C730" s="53" t="s">
        <v>14</v>
      </c>
      <c r="D730" s="54">
        <v>24165.01</v>
      </c>
      <c r="E730" s="54" t="str">
        <f t="shared" si="1"/>
        <v>₹289,980.12</v>
      </c>
      <c r="F730" s="55" t="str">
        <f t="shared" si="2"/>
        <v>5.0%</v>
      </c>
      <c r="G730" s="54" t="str">
        <f t="shared" si="3"/>
        <v>₹14,499.01</v>
      </c>
      <c r="H730" s="54" t="str">
        <f t="shared" si="4"/>
        <v>₹1,208.25</v>
      </c>
      <c r="I730" s="54" t="str">
        <f>20509.05-H730</f>
        <v>₹19,300.80</v>
      </c>
    </row>
    <row r="731" ht="15.75" customHeight="1">
      <c r="A731" s="50" t="s">
        <v>775</v>
      </c>
      <c r="B731" s="50" t="s">
        <v>29</v>
      </c>
      <c r="C731" s="50" t="s">
        <v>26</v>
      </c>
      <c r="D731" s="51">
        <v>177029.19</v>
      </c>
      <c r="E731" s="51" t="str">
        <f t="shared" si="1"/>
        <v>₹2,124,350.28</v>
      </c>
      <c r="F731" s="52" t="str">
        <f t="shared" si="2"/>
        <v>30.0%</v>
      </c>
      <c r="G731" s="51" t="str">
        <f t="shared" si="3"/>
        <v>₹637,305.08</v>
      </c>
      <c r="H731" s="51" t="str">
        <f t="shared" si="4"/>
        <v>₹53,108.76</v>
      </c>
      <c r="I731" s="51" t="str">
        <f>152779.94-H731</f>
        <v>₹99,671.18</v>
      </c>
    </row>
    <row r="732" ht="15.75" customHeight="1">
      <c r="A732" s="53" t="s">
        <v>776</v>
      </c>
      <c r="B732" s="53" t="s">
        <v>25</v>
      </c>
      <c r="C732" s="53" t="s">
        <v>14</v>
      </c>
      <c r="D732" s="54">
        <v>31219.97</v>
      </c>
      <c r="E732" s="54" t="str">
        <f t="shared" si="1"/>
        <v>₹374,639.64</v>
      </c>
      <c r="F732" s="55" t="str">
        <f t="shared" si="2"/>
        <v>5.0%</v>
      </c>
      <c r="G732" s="54" t="str">
        <f t="shared" si="3"/>
        <v>₹18,731.98</v>
      </c>
      <c r="H732" s="54" t="str">
        <f t="shared" si="4"/>
        <v>₹1,561.00</v>
      </c>
      <c r="I732" s="54" t="str">
        <f>26026.44-H732</f>
        <v>₹24,465.44</v>
      </c>
    </row>
    <row r="733" ht="15.75" customHeight="1">
      <c r="A733" s="50" t="s">
        <v>777</v>
      </c>
      <c r="B733" s="50" t="s">
        <v>29</v>
      </c>
      <c r="C733" s="50" t="s">
        <v>26</v>
      </c>
      <c r="D733" s="51">
        <v>151279.08</v>
      </c>
      <c r="E733" s="51" t="str">
        <f t="shared" si="1"/>
        <v>₹1,815,348.96</v>
      </c>
      <c r="F733" s="52" t="str">
        <f t="shared" si="2"/>
        <v>30.0%</v>
      </c>
      <c r="G733" s="51" t="str">
        <f t="shared" si="3"/>
        <v>₹544,604.69</v>
      </c>
      <c r="H733" s="51" t="str">
        <f t="shared" si="4"/>
        <v>₹45,383.72</v>
      </c>
      <c r="I733" s="51" t="str">
        <f>129737.89-H733</f>
        <v>₹84,354.17</v>
      </c>
    </row>
    <row r="734" ht="15.75" customHeight="1">
      <c r="A734" s="53" t="s">
        <v>778</v>
      </c>
      <c r="B734" s="53" t="s">
        <v>25</v>
      </c>
      <c r="C734" s="53" t="s">
        <v>30</v>
      </c>
      <c r="D734" s="54">
        <v>40296.17</v>
      </c>
      <c r="E734" s="54" t="str">
        <f t="shared" si="1"/>
        <v>₹483,554.04</v>
      </c>
      <c r="F734" s="55" t="str">
        <f t="shared" si="2"/>
        <v>5.0%</v>
      </c>
      <c r="G734" s="54" t="str">
        <f t="shared" si="3"/>
        <v>₹24,177.70</v>
      </c>
      <c r="H734" s="54" t="str">
        <f t="shared" si="4"/>
        <v>₹2,014.81</v>
      </c>
      <c r="I734" s="54" t="str">
        <f>38262.36-H734</f>
        <v>₹36,247.55</v>
      </c>
    </row>
    <row r="735" ht="15.75" customHeight="1">
      <c r="A735" s="50" t="s">
        <v>779</v>
      </c>
      <c r="B735" s="50" t="s">
        <v>29</v>
      </c>
      <c r="C735" s="50" t="s">
        <v>18</v>
      </c>
      <c r="D735" s="51">
        <v>122205.53</v>
      </c>
      <c r="E735" s="51" t="str">
        <f t="shared" si="1"/>
        <v>₹1,466,466.36</v>
      </c>
      <c r="F735" s="52" t="str">
        <f t="shared" si="2"/>
        <v>30.0%</v>
      </c>
      <c r="G735" s="51" t="str">
        <f t="shared" si="3"/>
        <v>₹439,939.91</v>
      </c>
      <c r="H735" s="51" t="str">
        <f t="shared" si="4"/>
        <v>₹36,661.66</v>
      </c>
      <c r="I735" s="51" t="str">
        <f>112639.5-H735</f>
        <v>₹75,977.84</v>
      </c>
    </row>
    <row r="736" ht="15.75" customHeight="1">
      <c r="A736" s="53" t="s">
        <v>780</v>
      </c>
      <c r="B736" s="53" t="s">
        <v>29</v>
      </c>
      <c r="C736" s="53" t="s">
        <v>37</v>
      </c>
      <c r="D736" s="54">
        <v>66596.04</v>
      </c>
      <c r="E736" s="54" t="str">
        <f t="shared" si="1"/>
        <v>₹799,152.48</v>
      </c>
      <c r="F736" s="55" t="str">
        <f t="shared" si="2"/>
        <v>20.0%</v>
      </c>
      <c r="G736" s="54" t="str">
        <f t="shared" si="3"/>
        <v>₹159,830.50</v>
      </c>
      <c r="H736" s="54" t="str">
        <f t="shared" si="4"/>
        <v>₹13,319.21</v>
      </c>
      <c r="I736" s="54" t="str">
        <f>63795.36-H736</f>
        <v>₹50,476.15</v>
      </c>
    </row>
    <row r="737" ht="15.75" customHeight="1">
      <c r="A737" s="50" t="s">
        <v>781</v>
      </c>
      <c r="B737" s="50" t="s">
        <v>25</v>
      </c>
      <c r="C737" s="50" t="s">
        <v>30</v>
      </c>
      <c r="D737" s="51">
        <v>43258.15</v>
      </c>
      <c r="E737" s="51" t="str">
        <f t="shared" si="1"/>
        <v>₹519,097.80</v>
      </c>
      <c r="F737" s="52" t="str">
        <f t="shared" si="2"/>
        <v>20.0%</v>
      </c>
      <c r="G737" s="51" t="str">
        <f t="shared" si="3"/>
        <v>₹103,819.56</v>
      </c>
      <c r="H737" s="51" t="str">
        <f t="shared" si="4"/>
        <v>₹8,651.63</v>
      </c>
      <c r="I737" s="51" t="str">
        <f>37425.36-H737</f>
        <v>₹28,773.73</v>
      </c>
    </row>
    <row r="738" ht="15.75" customHeight="1">
      <c r="A738" s="53" t="s">
        <v>782</v>
      </c>
      <c r="B738" s="53" t="s">
        <v>53</v>
      </c>
      <c r="C738" s="53" t="s">
        <v>18</v>
      </c>
      <c r="D738" s="54">
        <v>117419.64</v>
      </c>
      <c r="E738" s="54" t="str">
        <f t="shared" si="1"/>
        <v>₹1,409,035.68</v>
      </c>
      <c r="F738" s="55" t="str">
        <f t="shared" si="2"/>
        <v>30.0%</v>
      </c>
      <c r="G738" s="54" t="str">
        <f t="shared" si="3"/>
        <v>₹422,710.70</v>
      </c>
      <c r="H738" s="54" t="str">
        <f t="shared" si="4"/>
        <v>₹35,225.89</v>
      </c>
      <c r="I738" s="54" t="str">
        <f>94077.64-H738</f>
        <v>₹58,851.75</v>
      </c>
    </row>
    <row r="739" ht="15.75" customHeight="1">
      <c r="A739" s="50" t="s">
        <v>783</v>
      </c>
      <c r="B739" s="50" t="s">
        <v>36</v>
      </c>
      <c r="C739" s="50" t="s">
        <v>30</v>
      </c>
      <c r="D739" s="51">
        <v>40307.27</v>
      </c>
      <c r="E739" s="51" t="str">
        <f t="shared" si="1"/>
        <v>₹483,687.24</v>
      </c>
      <c r="F739" s="52" t="str">
        <f t="shared" si="2"/>
        <v>5.0%</v>
      </c>
      <c r="G739" s="51" t="str">
        <f t="shared" si="3"/>
        <v>₹24,184.36</v>
      </c>
      <c r="H739" s="51" t="str">
        <f t="shared" si="4"/>
        <v>₹2,015.36</v>
      </c>
      <c r="I739" s="51" t="str">
        <f>31456.04-H739</f>
        <v>₹29,440.68</v>
      </c>
    </row>
    <row r="740" ht="15.75" customHeight="1">
      <c r="A740" s="53" t="s">
        <v>784</v>
      </c>
      <c r="B740" s="53" t="s">
        <v>53</v>
      </c>
      <c r="C740" s="53" t="s">
        <v>14</v>
      </c>
      <c r="D740" s="54">
        <v>28705.96</v>
      </c>
      <c r="E740" s="54" t="str">
        <f t="shared" si="1"/>
        <v>₹344,471.52</v>
      </c>
      <c r="F740" s="55" t="str">
        <f t="shared" si="2"/>
        <v>5.0%</v>
      </c>
      <c r="G740" s="54" t="str">
        <f t="shared" si="3"/>
        <v>₹17,223.58</v>
      </c>
      <c r="H740" s="54" t="str">
        <f t="shared" si="4"/>
        <v>₹1,435.30</v>
      </c>
      <c r="I740" s="54" t="str">
        <f>25246.84-H740</f>
        <v>₹23,811.54</v>
      </c>
    </row>
    <row r="741" ht="15.75" customHeight="1">
      <c r="A741" s="50" t="s">
        <v>786</v>
      </c>
      <c r="B741" s="50" t="s">
        <v>51</v>
      </c>
      <c r="C741" s="50" t="s">
        <v>37</v>
      </c>
      <c r="D741" s="51">
        <v>78364.74</v>
      </c>
      <c r="E741" s="51" t="str">
        <f t="shared" si="1"/>
        <v>₹940,376.88</v>
      </c>
      <c r="F741" s="52" t="str">
        <f t="shared" si="2"/>
        <v>20.0%</v>
      </c>
      <c r="G741" s="51" t="str">
        <f t="shared" si="3"/>
        <v>₹188,075.38</v>
      </c>
      <c r="H741" s="51" t="str">
        <f t="shared" si="4"/>
        <v>₹15,672.95</v>
      </c>
      <c r="I741" s="51" t="str">
        <f>69938.84-H741</f>
        <v>₹54,265.89</v>
      </c>
    </row>
    <row r="742" ht="15.75" customHeight="1">
      <c r="A742" s="53" t="s">
        <v>787</v>
      </c>
      <c r="B742" s="53" t="s">
        <v>17</v>
      </c>
      <c r="C742" s="53" t="s">
        <v>30</v>
      </c>
      <c r="D742" s="54">
        <v>42825.32</v>
      </c>
      <c r="E742" s="54" t="str">
        <f t="shared" si="1"/>
        <v>₹513,903.84</v>
      </c>
      <c r="F742" s="55" t="str">
        <f t="shared" si="2"/>
        <v>20.0%</v>
      </c>
      <c r="G742" s="54" t="str">
        <f t="shared" si="3"/>
        <v>₹102,780.77</v>
      </c>
      <c r="H742" s="54" t="str">
        <f t="shared" si="4"/>
        <v>₹8,565.06</v>
      </c>
      <c r="I742" s="54" t="str">
        <f>35822.47-H742</f>
        <v>₹27,257.41</v>
      </c>
    </row>
    <row r="743" ht="15.75" customHeight="1">
      <c r="A743" s="50" t="s">
        <v>789</v>
      </c>
      <c r="B743" s="50" t="s">
        <v>53</v>
      </c>
      <c r="C743" s="50" t="s">
        <v>26</v>
      </c>
      <c r="D743" s="51">
        <v>159144.16</v>
      </c>
      <c r="E743" s="51" t="str">
        <f t="shared" si="1"/>
        <v>₹1,909,729.92</v>
      </c>
      <c r="F743" s="52" t="str">
        <f t="shared" si="2"/>
        <v>30.0%</v>
      </c>
      <c r="G743" s="51" t="str">
        <f t="shared" si="3"/>
        <v>₹572,918.98</v>
      </c>
      <c r="H743" s="51" t="str">
        <f t="shared" si="4"/>
        <v>₹47,743.25</v>
      </c>
      <c r="I743" s="51" t="str">
        <f>139588.15-H743</f>
        <v>₹91,844.90</v>
      </c>
    </row>
    <row r="744" ht="15.75" customHeight="1">
      <c r="A744" s="53" t="s">
        <v>790</v>
      </c>
      <c r="B744" s="53" t="s">
        <v>17</v>
      </c>
      <c r="C744" s="53" t="s">
        <v>26</v>
      </c>
      <c r="D744" s="54">
        <v>162253.66</v>
      </c>
      <c r="E744" s="54" t="str">
        <f t="shared" si="1"/>
        <v>₹1,947,043.92</v>
      </c>
      <c r="F744" s="55" t="str">
        <f t="shared" si="2"/>
        <v>30.0%</v>
      </c>
      <c r="G744" s="54" t="str">
        <f t="shared" si="3"/>
        <v>₹584,113.18</v>
      </c>
      <c r="H744" s="54" t="str">
        <f t="shared" si="4"/>
        <v>₹48,676.10</v>
      </c>
      <c r="I744" s="54" t="str">
        <f>129100.77-H744</f>
        <v>₹80,424.67</v>
      </c>
    </row>
    <row r="745" ht="15.75" customHeight="1">
      <c r="A745" s="50" t="s">
        <v>791</v>
      </c>
      <c r="B745" s="50" t="s">
        <v>17</v>
      </c>
      <c r="C745" s="50" t="s">
        <v>26</v>
      </c>
      <c r="D745" s="51">
        <v>149640.07</v>
      </c>
      <c r="E745" s="51" t="str">
        <f t="shared" si="1"/>
        <v>₹1,795,680.84</v>
      </c>
      <c r="F745" s="52" t="str">
        <f t="shared" si="2"/>
        <v>30.0%</v>
      </c>
      <c r="G745" s="51" t="str">
        <f t="shared" si="3"/>
        <v>₹538,704.25</v>
      </c>
      <c r="H745" s="51" t="str">
        <f t="shared" si="4"/>
        <v>₹44,892.02</v>
      </c>
      <c r="I745" s="51" t="str">
        <f>132210.29-H745</f>
        <v>₹87,318.27</v>
      </c>
    </row>
    <row r="746" ht="15.75" customHeight="1">
      <c r="A746" s="53" t="s">
        <v>792</v>
      </c>
      <c r="B746" s="53" t="s">
        <v>29</v>
      </c>
      <c r="C746" s="53" t="s">
        <v>30</v>
      </c>
      <c r="D746" s="54">
        <v>42656.07</v>
      </c>
      <c r="E746" s="54" t="str">
        <f t="shared" si="1"/>
        <v>₹511,872.84</v>
      </c>
      <c r="F746" s="55" t="str">
        <f t="shared" si="2"/>
        <v>20.0%</v>
      </c>
      <c r="G746" s="54" t="str">
        <f t="shared" si="3"/>
        <v>₹102,374.57</v>
      </c>
      <c r="H746" s="54" t="str">
        <f t="shared" si="4"/>
        <v>₹8,531.21</v>
      </c>
      <c r="I746" s="54" t="str">
        <f>39698.93-H746</f>
        <v>₹31,167.72</v>
      </c>
    </row>
    <row r="747" ht="15.75" customHeight="1">
      <c r="A747" s="50" t="s">
        <v>793</v>
      </c>
      <c r="B747" s="50" t="s">
        <v>51</v>
      </c>
      <c r="C747" s="50" t="s">
        <v>26</v>
      </c>
      <c r="D747" s="51">
        <v>156596.84</v>
      </c>
      <c r="E747" s="51" t="str">
        <f t="shared" si="1"/>
        <v>₹1,879,162.08</v>
      </c>
      <c r="F747" s="52" t="str">
        <f t="shared" si="2"/>
        <v>30.0%</v>
      </c>
      <c r="G747" s="51" t="str">
        <f t="shared" si="3"/>
        <v>₹563,748.62</v>
      </c>
      <c r="H747" s="51" t="str">
        <f t="shared" si="4"/>
        <v>₹46,979.05</v>
      </c>
      <c r="I747" s="51" t="str">
        <f>137692.53-H747</f>
        <v>₹90,713.48</v>
      </c>
    </row>
    <row r="748" ht="15.75" customHeight="1">
      <c r="A748" s="53" t="s">
        <v>794</v>
      </c>
      <c r="B748" s="53" t="s">
        <v>53</v>
      </c>
      <c r="C748" s="53" t="s">
        <v>30</v>
      </c>
      <c r="D748" s="54">
        <v>43724.92</v>
      </c>
      <c r="E748" s="54" t="str">
        <f t="shared" si="1"/>
        <v>₹524,699.04</v>
      </c>
      <c r="F748" s="55" t="str">
        <f t="shared" si="2"/>
        <v>20.0%</v>
      </c>
      <c r="G748" s="54" t="str">
        <f t="shared" si="3"/>
        <v>₹104,939.81</v>
      </c>
      <c r="H748" s="54" t="str">
        <f t="shared" si="4"/>
        <v>₹8,744.98</v>
      </c>
      <c r="I748" s="54" t="str">
        <f>40794.29-H748</f>
        <v>₹32,049.31</v>
      </c>
    </row>
    <row r="749" ht="15.75" customHeight="1">
      <c r="A749" s="50" t="s">
        <v>795</v>
      </c>
      <c r="B749" s="50" t="s">
        <v>36</v>
      </c>
      <c r="C749" s="50" t="s">
        <v>33</v>
      </c>
      <c r="D749" s="51">
        <v>41242.81</v>
      </c>
      <c r="E749" s="51" t="str">
        <f t="shared" si="1"/>
        <v>₹494,913.72</v>
      </c>
      <c r="F749" s="52" t="str">
        <f t="shared" si="2"/>
        <v>5.0%</v>
      </c>
      <c r="G749" s="51" t="str">
        <f t="shared" si="3"/>
        <v>₹24,745.69</v>
      </c>
      <c r="H749" s="51" t="str">
        <f t="shared" si="4"/>
        <v>₹2,062.14</v>
      </c>
      <c r="I749" s="51" t="str">
        <f>32930.78-H749</f>
        <v>₹30,868.64</v>
      </c>
    </row>
    <row r="750" ht="15.75" customHeight="1">
      <c r="A750" s="53" t="s">
        <v>796</v>
      </c>
      <c r="B750" s="53" t="s">
        <v>53</v>
      </c>
      <c r="C750" s="53" t="s">
        <v>26</v>
      </c>
      <c r="D750" s="54">
        <v>151354.42</v>
      </c>
      <c r="E750" s="54" t="str">
        <f t="shared" si="1"/>
        <v>₹1,816,253.04</v>
      </c>
      <c r="F750" s="55" t="str">
        <f t="shared" si="2"/>
        <v>30.0%</v>
      </c>
      <c r="G750" s="54" t="str">
        <f t="shared" si="3"/>
        <v>₹544,875.91</v>
      </c>
      <c r="H750" s="54" t="str">
        <f t="shared" si="4"/>
        <v>₹45,406.33</v>
      </c>
      <c r="I750" s="54" t="str">
        <f>141721.99-H750</f>
        <v>₹96,315.66</v>
      </c>
    </row>
    <row r="751" ht="15.75" customHeight="1">
      <c r="A751" s="50" t="s">
        <v>797</v>
      </c>
      <c r="B751" s="50" t="s">
        <v>51</v>
      </c>
      <c r="C751" s="50" t="s">
        <v>33</v>
      </c>
      <c r="D751" s="51">
        <v>44896.25</v>
      </c>
      <c r="E751" s="51" t="str">
        <f t="shared" si="1"/>
        <v>₹538,755.00</v>
      </c>
      <c r="F751" s="52" t="str">
        <f t="shared" si="2"/>
        <v>20.0%</v>
      </c>
      <c r="G751" s="51" t="str">
        <f t="shared" si="3"/>
        <v>₹107,751.00</v>
      </c>
      <c r="H751" s="51" t="str">
        <f t="shared" si="4"/>
        <v>₹8,979.25</v>
      </c>
      <c r="I751" s="51" t="str">
        <f>43382.72-H751</f>
        <v>₹34,403.47</v>
      </c>
    </row>
    <row r="752" ht="15.75" customHeight="1">
      <c r="A752" s="53" t="s">
        <v>798</v>
      </c>
      <c r="B752" s="53" t="s">
        <v>53</v>
      </c>
      <c r="C752" s="53" t="s">
        <v>14</v>
      </c>
      <c r="D752" s="54">
        <v>30217.2</v>
      </c>
      <c r="E752" s="54" t="str">
        <f t="shared" si="1"/>
        <v>₹362,606.40</v>
      </c>
      <c r="F752" s="55" t="str">
        <f t="shared" si="2"/>
        <v>5.0%</v>
      </c>
      <c r="G752" s="54" t="str">
        <f t="shared" si="3"/>
        <v>₹18,130.32</v>
      </c>
      <c r="H752" s="54" t="str">
        <f t="shared" si="4"/>
        <v>₹1,510.86</v>
      </c>
      <c r="I752" s="54" t="str">
        <f>25965.35-H752</f>
        <v>₹24,454.49</v>
      </c>
    </row>
    <row r="753" ht="15.75" customHeight="1">
      <c r="A753" s="50" t="s">
        <v>799</v>
      </c>
      <c r="B753" s="50" t="s">
        <v>25</v>
      </c>
      <c r="C753" s="50" t="s">
        <v>18</v>
      </c>
      <c r="D753" s="51">
        <v>100418.58</v>
      </c>
      <c r="E753" s="51" t="str">
        <f t="shared" si="1"/>
        <v>₹1,205,022.96</v>
      </c>
      <c r="F753" s="52" t="str">
        <f t="shared" si="2"/>
        <v>30.0%</v>
      </c>
      <c r="G753" s="51" t="str">
        <f t="shared" si="3"/>
        <v>₹361,506.89</v>
      </c>
      <c r="H753" s="51" t="str">
        <f t="shared" si="4"/>
        <v>₹30,125.57</v>
      </c>
      <c r="I753" s="51" t="str">
        <f>88153.03-H753</f>
        <v>₹58,027.46</v>
      </c>
    </row>
    <row r="754" ht="15.75" customHeight="1">
      <c r="A754" s="53" t="s">
        <v>800</v>
      </c>
      <c r="B754" s="53" t="s">
        <v>13</v>
      </c>
      <c r="C754" s="53" t="s">
        <v>26</v>
      </c>
      <c r="D754" s="54">
        <v>154630.18</v>
      </c>
      <c r="E754" s="54" t="str">
        <f t="shared" si="1"/>
        <v>₹1,855,562.16</v>
      </c>
      <c r="F754" s="55" t="str">
        <f t="shared" si="2"/>
        <v>30.0%</v>
      </c>
      <c r="G754" s="54" t="str">
        <f t="shared" si="3"/>
        <v>₹556,668.65</v>
      </c>
      <c r="H754" s="54" t="str">
        <f t="shared" si="4"/>
        <v>₹46,389.05</v>
      </c>
      <c r="I754" s="54" t="str">
        <f>152343.92-H754</f>
        <v>₹105,954.87</v>
      </c>
    </row>
    <row r="755" ht="15.75" customHeight="1">
      <c r="A755" s="50" t="s">
        <v>801</v>
      </c>
      <c r="B755" s="50" t="s">
        <v>51</v>
      </c>
      <c r="C755" s="50" t="s">
        <v>14</v>
      </c>
      <c r="D755" s="51">
        <v>29111.88</v>
      </c>
      <c r="E755" s="51" t="str">
        <f t="shared" si="1"/>
        <v>₹349,342.56</v>
      </c>
      <c r="F755" s="52" t="str">
        <f t="shared" si="2"/>
        <v>5.0%</v>
      </c>
      <c r="G755" s="51" t="str">
        <f t="shared" si="3"/>
        <v>₹17,467.13</v>
      </c>
      <c r="H755" s="51" t="str">
        <f t="shared" si="4"/>
        <v>₹1,455.59</v>
      </c>
      <c r="I755" s="51" t="str">
        <f>28552.45-H755</f>
        <v>₹27,096.86</v>
      </c>
    </row>
    <row r="756" ht="15.75" customHeight="1">
      <c r="A756" s="53" t="s">
        <v>802</v>
      </c>
      <c r="B756" s="53" t="s">
        <v>51</v>
      </c>
      <c r="C756" s="53" t="s">
        <v>26</v>
      </c>
      <c r="D756" s="54">
        <v>130185.02</v>
      </c>
      <c r="E756" s="54" t="str">
        <f t="shared" si="1"/>
        <v>₹1,562,220.24</v>
      </c>
      <c r="F756" s="55" t="str">
        <f t="shared" si="2"/>
        <v>30.0%</v>
      </c>
      <c r="G756" s="54" t="str">
        <f t="shared" si="3"/>
        <v>₹468,666.07</v>
      </c>
      <c r="H756" s="54" t="str">
        <f t="shared" si="4"/>
        <v>₹39,055.51</v>
      </c>
      <c r="I756" s="54" t="str">
        <f>105766-H756</f>
        <v>₹66,710.49</v>
      </c>
    </row>
    <row r="757" ht="15.75" customHeight="1">
      <c r="A757" s="50" t="s">
        <v>803</v>
      </c>
      <c r="B757" s="50" t="s">
        <v>36</v>
      </c>
      <c r="C757" s="50" t="s">
        <v>54</v>
      </c>
      <c r="D757" s="51">
        <v>57052.51</v>
      </c>
      <c r="E757" s="51" t="str">
        <f t="shared" si="1"/>
        <v>₹684,630.12</v>
      </c>
      <c r="F757" s="52" t="str">
        <f t="shared" si="2"/>
        <v>20.0%</v>
      </c>
      <c r="G757" s="51" t="str">
        <f t="shared" si="3"/>
        <v>₹136,926.02</v>
      </c>
      <c r="H757" s="51" t="str">
        <f t="shared" si="4"/>
        <v>₹11,410.50</v>
      </c>
      <c r="I757" s="51" t="str">
        <f>53130.77-H757</f>
        <v>₹41,720.27</v>
      </c>
    </row>
    <row r="758" ht="15.75" customHeight="1">
      <c r="A758" s="53" t="s">
        <v>804</v>
      </c>
      <c r="B758" s="53" t="s">
        <v>13</v>
      </c>
      <c r="C758" s="53" t="s">
        <v>14</v>
      </c>
      <c r="D758" s="54">
        <v>31209.17</v>
      </c>
      <c r="E758" s="54" t="str">
        <f t="shared" si="1"/>
        <v>₹374,510.04</v>
      </c>
      <c r="F758" s="55" t="str">
        <f t="shared" si="2"/>
        <v>5.0%</v>
      </c>
      <c r="G758" s="54" t="str">
        <f t="shared" si="3"/>
        <v>₹18,725.50</v>
      </c>
      <c r="H758" s="54" t="str">
        <f t="shared" si="4"/>
        <v>₹1,560.46</v>
      </c>
      <c r="I758" s="54" t="str">
        <f>27155.74-H758</f>
        <v>₹25,595.28</v>
      </c>
    </row>
    <row r="759" ht="15.75" customHeight="1">
      <c r="A759" s="50" t="s">
        <v>805</v>
      </c>
      <c r="B759" s="50" t="s">
        <v>53</v>
      </c>
      <c r="C759" s="50" t="s">
        <v>14</v>
      </c>
      <c r="D759" s="51">
        <v>30294.83</v>
      </c>
      <c r="E759" s="51" t="str">
        <f t="shared" si="1"/>
        <v>₹363,537.96</v>
      </c>
      <c r="F759" s="52" t="str">
        <f t="shared" si="2"/>
        <v>5.0%</v>
      </c>
      <c r="G759" s="51" t="str">
        <f t="shared" si="3"/>
        <v>₹18,176.90</v>
      </c>
      <c r="H759" s="51" t="str">
        <f t="shared" si="4"/>
        <v>₹1,514.74</v>
      </c>
      <c r="I759" s="51" t="str">
        <f>23878.4-H759</f>
        <v>₹22,363.66</v>
      </c>
    </row>
    <row r="760" ht="15.75" customHeight="1">
      <c r="A760" s="53" t="s">
        <v>806</v>
      </c>
      <c r="B760" s="53" t="s">
        <v>29</v>
      </c>
      <c r="C760" s="53" t="s">
        <v>26</v>
      </c>
      <c r="D760" s="54">
        <v>163012.73</v>
      </c>
      <c r="E760" s="54" t="str">
        <f t="shared" si="1"/>
        <v>₹1,956,152.76</v>
      </c>
      <c r="F760" s="55" t="str">
        <f t="shared" si="2"/>
        <v>30.0%</v>
      </c>
      <c r="G760" s="54" t="str">
        <f t="shared" si="3"/>
        <v>₹586,845.83</v>
      </c>
      <c r="H760" s="54" t="str">
        <f t="shared" si="4"/>
        <v>₹48,903.82</v>
      </c>
      <c r="I760" s="54" t="str">
        <f>153326.42-H760</f>
        <v>₹104,422.60</v>
      </c>
    </row>
    <row r="761" ht="15.75" customHeight="1">
      <c r="A761" s="50" t="s">
        <v>807</v>
      </c>
      <c r="B761" s="50" t="s">
        <v>36</v>
      </c>
      <c r="C761" s="50" t="s">
        <v>54</v>
      </c>
      <c r="D761" s="51">
        <v>60749.3</v>
      </c>
      <c r="E761" s="51" t="str">
        <f t="shared" si="1"/>
        <v>₹728,991.60</v>
      </c>
      <c r="F761" s="52" t="str">
        <f t="shared" si="2"/>
        <v>20.0%</v>
      </c>
      <c r="G761" s="51" t="str">
        <f t="shared" si="3"/>
        <v>₹145,798.32</v>
      </c>
      <c r="H761" s="51" t="str">
        <f t="shared" si="4"/>
        <v>₹12,149.86</v>
      </c>
      <c r="I761" s="51" t="str">
        <f>58568.13-H761</f>
        <v>₹46,418.27</v>
      </c>
    </row>
    <row r="762" ht="15.75" customHeight="1">
      <c r="A762" s="53" t="s">
        <v>808</v>
      </c>
      <c r="B762" s="53" t="s">
        <v>51</v>
      </c>
      <c r="C762" s="53" t="s">
        <v>33</v>
      </c>
      <c r="D762" s="54">
        <v>47113.92</v>
      </c>
      <c r="E762" s="54" t="str">
        <f t="shared" si="1"/>
        <v>₹565,367.04</v>
      </c>
      <c r="F762" s="55" t="str">
        <f t="shared" si="2"/>
        <v>20.0%</v>
      </c>
      <c r="G762" s="54" t="str">
        <f t="shared" si="3"/>
        <v>₹113,073.41</v>
      </c>
      <c r="H762" s="54" t="str">
        <f t="shared" si="4"/>
        <v>₹9,422.78</v>
      </c>
      <c r="I762" s="54" t="str">
        <f>39535.92-H762</f>
        <v>₹30,113.14</v>
      </c>
    </row>
    <row r="763" ht="15.75" customHeight="1">
      <c r="A763" s="50" t="s">
        <v>809</v>
      </c>
      <c r="B763" s="50" t="s">
        <v>13</v>
      </c>
      <c r="C763" s="50" t="s">
        <v>33</v>
      </c>
      <c r="D763" s="51">
        <v>82105.98</v>
      </c>
      <c r="E763" s="51" t="str">
        <f t="shared" si="1"/>
        <v>₹985,271.76</v>
      </c>
      <c r="F763" s="52" t="str">
        <f t="shared" si="2"/>
        <v>20.0%</v>
      </c>
      <c r="G763" s="51" t="str">
        <f t="shared" si="3"/>
        <v>₹197,054.35</v>
      </c>
      <c r="H763" s="51" t="str">
        <f t="shared" si="4"/>
        <v>₹16,421.20</v>
      </c>
      <c r="I763" s="51" t="str">
        <f>73032.74-H763</f>
        <v>₹56,611.54</v>
      </c>
    </row>
    <row r="764" ht="15.75" customHeight="1">
      <c r="A764" s="53" t="s">
        <v>810</v>
      </c>
      <c r="B764" s="53" t="s">
        <v>29</v>
      </c>
      <c r="C764" s="53" t="s">
        <v>30</v>
      </c>
      <c r="D764" s="54">
        <v>42326.09</v>
      </c>
      <c r="E764" s="54" t="str">
        <f t="shared" si="1"/>
        <v>₹507,913.08</v>
      </c>
      <c r="F764" s="55" t="str">
        <f t="shared" si="2"/>
        <v>20.0%</v>
      </c>
      <c r="G764" s="54" t="str">
        <f t="shared" si="3"/>
        <v>₹101,582.62</v>
      </c>
      <c r="H764" s="54" t="str">
        <f t="shared" si="4"/>
        <v>₹8,465.22</v>
      </c>
      <c r="I764" s="54" t="str">
        <f>39377.39-H764</f>
        <v>₹30,912.17</v>
      </c>
    </row>
    <row r="765" ht="15.75" customHeight="1">
      <c r="A765" s="50" t="s">
        <v>811</v>
      </c>
      <c r="B765" s="50" t="s">
        <v>13</v>
      </c>
      <c r="C765" s="50" t="s">
        <v>26</v>
      </c>
      <c r="D765" s="51">
        <v>144478.63</v>
      </c>
      <c r="E765" s="51" t="str">
        <f t="shared" si="1"/>
        <v>₹1,733,743.56</v>
      </c>
      <c r="F765" s="52" t="str">
        <f t="shared" si="2"/>
        <v>30.0%</v>
      </c>
      <c r="G765" s="51" t="str">
        <f t="shared" si="3"/>
        <v>₹520,123.07</v>
      </c>
      <c r="H765" s="51" t="str">
        <f t="shared" si="4"/>
        <v>₹43,343.59</v>
      </c>
      <c r="I765" s="51" t="str">
        <f>137295.17-H765</f>
        <v>₹93,951.58</v>
      </c>
    </row>
    <row r="766" ht="15.75" customHeight="1">
      <c r="A766" s="53" t="s">
        <v>812</v>
      </c>
      <c r="B766" s="53" t="s">
        <v>51</v>
      </c>
      <c r="C766" s="53" t="s">
        <v>14</v>
      </c>
      <c r="D766" s="54">
        <v>28185.12</v>
      </c>
      <c r="E766" s="54" t="str">
        <f t="shared" si="1"/>
        <v>₹338,221.44</v>
      </c>
      <c r="F766" s="55" t="str">
        <f t="shared" si="2"/>
        <v>5.0%</v>
      </c>
      <c r="G766" s="54" t="str">
        <f t="shared" si="3"/>
        <v>₹16,911.07</v>
      </c>
      <c r="H766" s="54" t="str">
        <f t="shared" si="4"/>
        <v>₹1,409.26</v>
      </c>
      <c r="I766" s="54" t="str">
        <f>23249.11-H766</f>
        <v>₹21,839.85</v>
      </c>
    </row>
    <row r="767" ht="15.75" customHeight="1">
      <c r="A767" s="50" t="s">
        <v>813</v>
      </c>
      <c r="B767" s="50" t="s">
        <v>36</v>
      </c>
      <c r="C767" s="50" t="s">
        <v>18</v>
      </c>
      <c r="D767" s="51">
        <v>107687.9</v>
      </c>
      <c r="E767" s="51" t="str">
        <f t="shared" si="1"/>
        <v>₹1,292,254.80</v>
      </c>
      <c r="F767" s="52" t="str">
        <f t="shared" si="2"/>
        <v>30.0%</v>
      </c>
      <c r="G767" s="51" t="str">
        <f t="shared" si="3"/>
        <v>₹387,676.44</v>
      </c>
      <c r="H767" s="51" t="str">
        <f t="shared" si="4"/>
        <v>₹32,306.37</v>
      </c>
      <c r="I767" s="51" t="str">
        <f>106085.52-H767</f>
        <v>₹73,779.15</v>
      </c>
    </row>
    <row r="768" ht="15.75" customHeight="1">
      <c r="A768" s="53" t="s">
        <v>814</v>
      </c>
      <c r="B768" s="53" t="s">
        <v>51</v>
      </c>
      <c r="C768" s="53" t="s">
        <v>18</v>
      </c>
      <c r="D768" s="54">
        <v>111174.12</v>
      </c>
      <c r="E768" s="54" t="str">
        <f t="shared" si="1"/>
        <v>₹1,334,089.44</v>
      </c>
      <c r="F768" s="55" t="str">
        <f t="shared" si="2"/>
        <v>30.0%</v>
      </c>
      <c r="G768" s="54" t="str">
        <f t="shared" si="3"/>
        <v>₹400,226.83</v>
      </c>
      <c r="H768" s="54" t="str">
        <f t="shared" si="4"/>
        <v>₹33,352.24</v>
      </c>
      <c r="I768" s="54" t="str">
        <f>102592.57-H768</f>
        <v>₹69,240.33</v>
      </c>
    </row>
    <row r="769" ht="15.75" customHeight="1">
      <c r="A769" s="50" t="s">
        <v>815</v>
      </c>
      <c r="B769" s="50" t="s">
        <v>13</v>
      </c>
      <c r="C769" s="50" t="s">
        <v>30</v>
      </c>
      <c r="D769" s="51">
        <v>32579.47</v>
      </c>
      <c r="E769" s="51" t="str">
        <f t="shared" si="1"/>
        <v>₹390,953.64</v>
      </c>
      <c r="F769" s="52" t="str">
        <f t="shared" si="2"/>
        <v>5.0%</v>
      </c>
      <c r="G769" s="51" t="str">
        <f t="shared" si="3"/>
        <v>₹19,547.68</v>
      </c>
      <c r="H769" s="51" t="str">
        <f t="shared" si="4"/>
        <v>₹1,628.97</v>
      </c>
      <c r="I769" s="51" t="str">
        <f>26400.95-H769</f>
        <v>₹24,771.98</v>
      </c>
    </row>
    <row r="770" ht="15.75" customHeight="1">
      <c r="A770" s="53" t="s">
        <v>816</v>
      </c>
      <c r="B770" s="53" t="s">
        <v>36</v>
      </c>
      <c r="C770" s="53" t="s">
        <v>54</v>
      </c>
      <c r="D770" s="54">
        <v>56698.11</v>
      </c>
      <c r="E770" s="54" t="str">
        <f t="shared" si="1"/>
        <v>₹680,377.32</v>
      </c>
      <c r="F770" s="55" t="str">
        <f t="shared" si="2"/>
        <v>20.0%</v>
      </c>
      <c r="G770" s="54" t="str">
        <f t="shared" si="3"/>
        <v>₹136,075.46</v>
      </c>
      <c r="H770" s="54" t="str">
        <f t="shared" si="4"/>
        <v>₹11,339.62</v>
      </c>
      <c r="I770" s="54" t="str">
        <f>48460.48-H770</f>
        <v>₹37,120.86</v>
      </c>
    </row>
    <row r="771" ht="15.75" customHeight="1">
      <c r="A771" s="50" t="s">
        <v>817</v>
      </c>
      <c r="B771" s="50" t="s">
        <v>53</v>
      </c>
      <c r="C771" s="50" t="s">
        <v>37</v>
      </c>
      <c r="D771" s="51">
        <v>70291.22</v>
      </c>
      <c r="E771" s="51" t="str">
        <f t="shared" si="1"/>
        <v>₹843,494.64</v>
      </c>
      <c r="F771" s="52" t="str">
        <f t="shared" si="2"/>
        <v>20.0%</v>
      </c>
      <c r="G771" s="51" t="str">
        <f t="shared" si="3"/>
        <v>₹168,698.93</v>
      </c>
      <c r="H771" s="51" t="str">
        <f t="shared" si="4"/>
        <v>₹14,058.24</v>
      </c>
      <c r="I771" s="51" t="str">
        <f>55525.91-H771</f>
        <v>₹41,467.67</v>
      </c>
    </row>
    <row r="772" ht="15.75" customHeight="1">
      <c r="A772" s="53" t="s">
        <v>818</v>
      </c>
      <c r="B772" s="53" t="s">
        <v>29</v>
      </c>
      <c r="C772" s="53" t="s">
        <v>30</v>
      </c>
      <c r="D772" s="54">
        <v>41706.43</v>
      </c>
      <c r="E772" s="54" t="str">
        <f t="shared" si="1"/>
        <v>₹500,477.16</v>
      </c>
      <c r="F772" s="55" t="str">
        <f t="shared" si="2"/>
        <v>20.0%</v>
      </c>
      <c r="G772" s="54" t="str">
        <f t="shared" si="3"/>
        <v>₹100,095.43</v>
      </c>
      <c r="H772" s="54" t="str">
        <f t="shared" si="4"/>
        <v>₹8,341.29</v>
      </c>
      <c r="I772" s="54" t="str">
        <f>36147.7-H772</f>
        <v>₹27,806.41</v>
      </c>
    </row>
    <row r="773" ht="15.75" customHeight="1">
      <c r="A773" s="50" t="s">
        <v>819</v>
      </c>
      <c r="B773" s="50" t="s">
        <v>25</v>
      </c>
      <c r="C773" s="50" t="s">
        <v>33</v>
      </c>
      <c r="D773" s="51">
        <v>38107.73</v>
      </c>
      <c r="E773" s="51" t="str">
        <f t="shared" si="1"/>
        <v>₹457,292.76</v>
      </c>
      <c r="F773" s="52" t="str">
        <f t="shared" si="2"/>
        <v>5.0%</v>
      </c>
      <c r="G773" s="51" t="str">
        <f t="shared" si="3"/>
        <v>₹22,864.64</v>
      </c>
      <c r="H773" s="51" t="str">
        <f t="shared" si="4"/>
        <v>₹1,905.39</v>
      </c>
      <c r="I773" s="51" t="str">
        <f>31169.87-H773</f>
        <v>₹29,264.48</v>
      </c>
    </row>
    <row r="774" ht="15.75" customHeight="1">
      <c r="A774" s="53" t="s">
        <v>820</v>
      </c>
      <c r="B774" s="53" t="s">
        <v>36</v>
      </c>
      <c r="C774" s="53" t="s">
        <v>33</v>
      </c>
      <c r="D774" s="54">
        <v>45761.41</v>
      </c>
      <c r="E774" s="54" t="str">
        <f t="shared" si="1"/>
        <v>₹549,136.92</v>
      </c>
      <c r="F774" s="55" t="str">
        <f t="shared" si="2"/>
        <v>20.0%</v>
      </c>
      <c r="G774" s="54" t="str">
        <f t="shared" si="3"/>
        <v>₹109,827.38</v>
      </c>
      <c r="H774" s="54" t="str">
        <f t="shared" si="4"/>
        <v>₹9,152.28</v>
      </c>
      <c r="I774" s="54" t="str">
        <f>44692.21-H774</f>
        <v>₹35,539.93</v>
      </c>
    </row>
    <row r="775" ht="15.75" customHeight="1">
      <c r="A775" s="50" t="s">
        <v>821</v>
      </c>
      <c r="B775" s="50" t="s">
        <v>53</v>
      </c>
      <c r="C775" s="50" t="s">
        <v>14</v>
      </c>
      <c r="D775" s="51">
        <v>35411.47</v>
      </c>
      <c r="E775" s="51" t="str">
        <f t="shared" si="1"/>
        <v>₹424,937.64</v>
      </c>
      <c r="F775" s="52" t="str">
        <f t="shared" si="2"/>
        <v>5.0%</v>
      </c>
      <c r="G775" s="51" t="str">
        <f t="shared" si="3"/>
        <v>₹21,246.88</v>
      </c>
      <c r="H775" s="51" t="str">
        <f t="shared" si="4"/>
        <v>₹1,770.57</v>
      </c>
      <c r="I775" s="51" t="str">
        <f>34400.9-H775</f>
        <v>₹32,630.33</v>
      </c>
    </row>
    <row r="776" ht="15.75" customHeight="1">
      <c r="A776" s="53" t="s">
        <v>822</v>
      </c>
      <c r="B776" s="53" t="s">
        <v>51</v>
      </c>
      <c r="C776" s="53" t="s">
        <v>33</v>
      </c>
      <c r="D776" s="54">
        <v>46088.49</v>
      </c>
      <c r="E776" s="54" t="str">
        <f t="shared" si="1"/>
        <v>₹553,061.88</v>
      </c>
      <c r="F776" s="55" t="str">
        <f t="shared" si="2"/>
        <v>20.0%</v>
      </c>
      <c r="G776" s="54" t="str">
        <f t="shared" si="3"/>
        <v>₹110,612.38</v>
      </c>
      <c r="H776" s="54" t="str">
        <f t="shared" si="4"/>
        <v>₹9,217.70</v>
      </c>
      <c r="I776" s="54" t="str">
        <f>39032-H776</f>
        <v>₹29,814.30</v>
      </c>
    </row>
    <row r="777" ht="15.75" customHeight="1">
      <c r="A777" s="50" t="s">
        <v>823</v>
      </c>
      <c r="B777" s="50" t="s">
        <v>25</v>
      </c>
      <c r="C777" s="50" t="s">
        <v>37</v>
      </c>
      <c r="D777" s="51">
        <v>82441.67</v>
      </c>
      <c r="E777" s="51" t="str">
        <f t="shared" si="1"/>
        <v>₹989,300.04</v>
      </c>
      <c r="F777" s="52" t="str">
        <f t="shared" si="2"/>
        <v>20.0%</v>
      </c>
      <c r="G777" s="51" t="str">
        <f t="shared" si="3"/>
        <v>₹197,860.01</v>
      </c>
      <c r="H777" s="51" t="str">
        <f t="shared" si="4"/>
        <v>₹16,488.33</v>
      </c>
      <c r="I777" s="51" t="str">
        <f>72652-H777</f>
        <v>₹56,163.67</v>
      </c>
    </row>
    <row r="778" ht="15.75" customHeight="1">
      <c r="A778" s="53" t="s">
        <v>824</v>
      </c>
      <c r="B778" s="53" t="s">
        <v>51</v>
      </c>
      <c r="C778" s="53" t="s">
        <v>14</v>
      </c>
      <c r="D778" s="54">
        <v>30951.09</v>
      </c>
      <c r="E778" s="54" t="str">
        <f t="shared" si="1"/>
        <v>₹371,413.08</v>
      </c>
      <c r="F778" s="55" t="str">
        <f t="shared" si="2"/>
        <v>5.0%</v>
      </c>
      <c r="G778" s="54" t="str">
        <f t="shared" si="3"/>
        <v>₹18,570.65</v>
      </c>
      <c r="H778" s="54" t="str">
        <f t="shared" si="4"/>
        <v>₹1,547.55</v>
      </c>
      <c r="I778" s="54" t="str">
        <f>24368.03-H778</f>
        <v>₹22,820.48</v>
      </c>
    </row>
    <row r="779" ht="15.75" customHeight="1">
      <c r="A779" s="50" t="s">
        <v>825</v>
      </c>
      <c r="B779" s="50" t="s">
        <v>13</v>
      </c>
      <c r="C779" s="50" t="s">
        <v>26</v>
      </c>
      <c r="D779" s="51">
        <v>131441.04</v>
      </c>
      <c r="E779" s="51" t="str">
        <f t="shared" si="1"/>
        <v>₹1,577,292.48</v>
      </c>
      <c r="F779" s="52" t="str">
        <f t="shared" si="2"/>
        <v>30.0%</v>
      </c>
      <c r="G779" s="51" t="str">
        <f t="shared" si="3"/>
        <v>₹473,187.74</v>
      </c>
      <c r="H779" s="51" t="str">
        <f t="shared" si="4"/>
        <v>₹39,432.31</v>
      </c>
      <c r="I779" s="51" t="str">
        <f>105941.26-H779</f>
        <v>₹66,508.95</v>
      </c>
    </row>
    <row r="780" ht="15.75" customHeight="1">
      <c r="A780" s="53" t="s">
        <v>826</v>
      </c>
      <c r="B780" s="53" t="s">
        <v>13</v>
      </c>
      <c r="C780" s="53" t="s">
        <v>26</v>
      </c>
      <c r="D780" s="54">
        <v>139957.02</v>
      </c>
      <c r="E780" s="54" t="str">
        <f t="shared" si="1"/>
        <v>₹1,679,484.24</v>
      </c>
      <c r="F780" s="55" t="str">
        <f t="shared" si="2"/>
        <v>30.0%</v>
      </c>
      <c r="G780" s="54" t="str">
        <f t="shared" si="3"/>
        <v>₹503,845.27</v>
      </c>
      <c r="H780" s="54" t="str">
        <f t="shared" si="4"/>
        <v>₹41,987.11</v>
      </c>
      <c r="I780" s="54" t="str">
        <f>124571.78-H780</f>
        <v>₹82,584.67</v>
      </c>
    </row>
    <row r="781" ht="15.75" customHeight="1">
      <c r="A781" s="50" t="s">
        <v>827</v>
      </c>
      <c r="B781" s="50" t="s">
        <v>29</v>
      </c>
      <c r="C781" s="50" t="s">
        <v>37</v>
      </c>
      <c r="D781" s="51">
        <v>60906.88</v>
      </c>
      <c r="E781" s="51" t="str">
        <f t="shared" si="1"/>
        <v>₹730,882.56</v>
      </c>
      <c r="F781" s="52" t="str">
        <f t="shared" si="2"/>
        <v>20.0%</v>
      </c>
      <c r="G781" s="51" t="str">
        <f t="shared" si="3"/>
        <v>₹146,176.51</v>
      </c>
      <c r="H781" s="51" t="str">
        <f t="shared" si="4"/>
        <v>₹12,181.38</v>
      </c>
      <c r="I781" s="51" t="str">
        <f>47837.74-H781</f>
        <v>₹35,656.36</v>
      </c>
    </row>
    <row r="782" ht="15.75" customHeight="1">
      <c r="A782" s="53" t="s">
        <v>828</v>
      </c>
      <c r="B782" s="53" t="s">
        <v>13</v>
      </c>
      <c r="C782" s="53" t="s">
        <v>30</v>
      </c>
      <c r="D782" s="54">
        <v>38067.13</v>
      </c>
      <c r="E782" s="54" t="str">
        <f t="shared" si="1"/>
        <v>₹456,805.56</v>
      </c>
      <c r="F782" s="55" t="str">
        <f t="shared" si="2"/>
        <v>5.0%</v>
      </c>
      <c r="G782" s="54" t="str">
        <f t="shared" si="3"/>
        <v>₹22,840.28</v>
      </c>
      <c r="H782" s="54" t="str">
        <f t="shared" si="4"/>
        <v>₹1,903.36</v>
      </c>
      <c r="I782" s="54" t="str">
        <f>36697.97-H782</f>
        <v>₹34,794.61</v>
      </c>
    </row>
    <row r="783" ht="15.75" customHeight="1">
      <c r="A783" s="50" t="s">
        <v>829</v>
      </c>
      <c r="B783" s="50" t="s">
        <v>53</v>
      </c>
      <c r="C783" s="50" t="s">
        <v>18</v>
      </c>
      <c r="D783" s="51">
        <v>116543.85</v>
      </c>
      <c r="E783" s="51" t="str">
        <f t="shared" si="1"/>
        <v>₹1,398,526.20</v>
      </c>
      <c r="F783" s="52" t="str">
        <f t="shared" si="2"/>
        <v>30.0%</v>
      </c>
      <c r="G783" s="51" t="str">
        <f t="shared" si="3"/>
        <v>₹419,557.86</v>
      </c>
      <c r="H783" s="51" t="str">
        <f t="shared" si="4"/>
        <v>₹34,963.16</v>
      </c>
      <c r="I783" s="51" t="str">
        <f>97289.85-H783</f>
        <v>₹62,326.70</v>
      </c>
    </row>
    <row r="784" ht="15.75" customHeight="1">
      <c r="A784" s="53" t="s">
        <v>830</v>
      </c>
      <c r="B784" s="53" t="s">
        <v>17</v>
      </c>
      <c r="C784" s="53" t="s">
        <v>30</v>
      </c>
      <c r="D784" s="54">
        <v>38641.54</v>
      </c>
      <c r="E784" s="54" t="str">
        <f t="shared" si="1"/>
        <v>₹463,698.48</v>
      </c>
      <c r="F784" s="55" t="str">
        <f t="shared" si="2"/>
        <v>5.0%</v>
      </c>
      <c r="G784" s="54" t="str">
        <f t="shared" si="3"/>
        <v>₹23,184.92</v>
      </c>
      <c r="H784" s="54" t="str">
        <f t="shared" si="4"/>
        <v>₹1,932.08</v>
      </c>
      <c r="I784" s="54" t="str">
        <f>36365.35-H784</f>
        <v>₹34,433.27</v>
      </c>
    </row>
    <row r="785" ht="15.75" customHeight="1">
      <c r="A785" s="50" t="s">
        <v>831</v>
      </c>
      <c r="B785" s="50" t="s">
        <v>17</v>
      </c>
      <c r="C785" s="50" t="s">
        <v>18</v>
      </c>
      <c r="D785" s="51">
        <v>104265.42</v>
      </c>
      <c r="E785" s="51" t="str">
        <f t="shared" si="1"/>
        <v>₹1,251,185.04</v>
      </c>
      <c r="F785" s="52" t="str">
        <f t="shared" si="2"/>
        <v>30.0%</v>
      </c>
      <c r="G785" s="51" t="str">
        <f t="shared" si="3"/>
        <v>₹375,355.51</v>
      </c>
      <c r="H785" s="51" t="str">
        <f t="shared" si="4"/>
        <v>₹31,279.63</v>
      </c>
      <c r="I785" s="51" t="str">
        <f>96638.38-H785</f>
        <v>₹65,358.75</v>
      </c>
    </row>
    <row r="786" ht="15.75" customHeight="1">
      <c r="A786" s="53" t="s">
        <v>832</v>
      </c>
      <c r="B786" s="53" t="s">
        <v>36</v>
      </c>
      <c r="C786" s="53" t="s">
        <v>14</v>
      </c>
      <c r="D786" s="54">
        <v>26145.45</v>
      </c>
      <c r="E786" s="54" t="str">
        <f t="shared" si="1"/>
        <v>₹313,745.40</v>
      </c>
      <c r="F786" s="55" t="str">
        <f t="shared" si="2"/>
        <v>5.0%</v>
      </c>
      <c r="G786" s="54" t="str">
        <f t="shared" si="3"/>
        <v>₹15,687.27</v>
      </c>
      <c r="H786" s="54" t="str">
        <f t="shared" si="4"/>
        <v>₹1,307.27</v>
      </c>
      <c r="I786" s="54" t="str">
        <f>25579.14-H786</f>
        <v>₹24,271.87</v>
      </c>
    </row>
    <row r="787" ht="15.75" customHeight="1">
      <c r="A787" s="50" t="s">
        <v>833</v>
      </c>
      <c r="B787" s="50" t="s">
        <v>13</v>
      </c>
      <c r="C787" s="50" t="s">
        <v>26</v>
      </c>
      <c r="D787" s="51">
        <v>144614.9</v>
      </c>
      <c r="E787" s="51" t="str">
        <f t="shared" si="1"/>
        <v>₹1,735,378.80</v>
      </c>
      <c r="F787" s="52" t="str">
        <f t="shared" si="2"/>
        <v>30.0%</v>
      </c>
      <c r="G787" s="51" t="str">
        <f t="shared" si="3"/>
        <v>₹520,613.64</v>
      </c>
      <c r="H787" s="51" t="str">
        <f t="shared" si="4"/>
        <v>₹43,384.47</v>
      </c>
      <c r="I787" s="51" t="str">
        <f>127282.72-H787</f>
        <v>₹83,898.25</v>
      </c>
    </row>
    <row r="788" ht="15.75" customHeight="1">
      <c r="A788" s="53" t="s">
        <v>834</v>
      </c>
      <c r="B788" s="53" t="s">
        <v>51</v>
      </c>
      <c r="C788" s="53" t="s">
        <v>54</v>
      </c>
      <c r="D788" s="54">
        <v>60622.56</v>
      </c>
      <c r="E788" s="54" t="str">
        <f t="shared" si="1"/>
        <v>₹727,470.72</v>
      </c>
      <c r="F788" s="55" t="str">
        <f t="shared" si="2"/>
        <v>20.0%</v>
      </c>
      <c r="G788" s="54" t="str">
        <f t="shared" si="3"/>
        <v>₹145,494.14</v>
      </c>
      <c r="H788" s="54" t="str">
        <f t="shared" si="4"/>
        <v>₹12,124.51</v>
      </c>
      <c r="I788" s="54" t="str">
        <f>51968.83-H788</f>
        <v>₹39,844.32</v>
      </c>
    </row>
    <row r="789" ht="15.75" customHeight="1">
      <c r="A789" s="50" t="s">
        <v>835</v>
      </c>
      <c r="B789" s="50" t="s">
        <v>53</v>
      </c>
      <c r="C789" s="50" t="s">
        <v>30</v>
      </c>
      <c r="D789" s="51">
        <v>34822.46</v>
      </c>
      <c r="E789" s="51" t="str">
        <f t="shared" si="1"/>
        <v>₹417,869.52</v>
      </c>
      <c r="F789" s="52" t="str">
        <f t="shared" si="2"/>
        <v>5.0%</v>
      </c>
      <c r="G789" s="51" t="str">
        <f t="shared" si="3"/>
        <v>₹20,893.48</v>
      </c>
      <c r="H789" s="51" t="str">
        <f t="shared" si="4"/>
        <v>₹1,741.12</v>
      </c>
      <c r="I789" s="51" t="str">
        <f>30828.93-H789</f>
        <v>₹29,087.81</v>
      </c>
    </row>
    <row r="790" ht="15.75" customHeight="1">
      <c r="A790" s="53" t="s">
        <v>836</v>
      </c>
      <c r="B790" s="53" t="s">
        <v>51</v>
      </c>
      <c r="C790" s="53" t="s">
        <v>30</v>
      </c>
      <c r="D790" s="54">
        <v>32451.14</v>
      </c>
      <c r="E790" s="54" t="str">
        <f t="shared" si="1"/>
        <v>₹389,413.68</v>
      </c>
      <c r="F790" s="55" t="str">
        <f t="shared" si="2"/>
        <v>5.0%</v>
      </c>
      <c r="G790" s="54" t="str">
        <f t="shared" si="3"/>
        <v>₹19,470.68</v>
      </c>
      <c r="H790" s="54" t="str">
        <f t="shared" si="4"/>
        <v>₹1,622.56</v>
      </c>
      <c r="I790" s="54" t="str">
        <f>27363-H790</f>
        <v>₹25,740.44</v>
      </c>
    </row>
    <row r="791" ht="15.75" customHeight="1">
      <c r="A791" s="50" t="s">
        <v>837</v>
      </c>
      <c r="B791" s="50" t="s">
        <v>13</v>
      </c>
      <c r="C791" s="50" t="s">
        <v>30</v>
      </c>
      <c r="D791" s="51">
        <v>35037.14</v>
      </c>
      <c r="E791" s="51" t="str">
        <f t="shared" si="1"/>
        <v>₹420,445.68</v>
      </c>
      <c r="F791" s="52" t="str">
        <f t="shared" si="2"/>
        <v>5.0%</v>
      </c>
      <c r="G791" s="51" t="str">
        <f t="shared" si="3"/>
        <v>₹21,022.28</v>
      </c>
      <c r="H791" s="51" t="str">
        <f t="shared" si="4"/>
        <v>₹1,751.86</v>
      </c>
      <c r="I791" s="51" t="str">
        <f>34165.05-H791</f>
        <v>₹32,413.19</v>
      </c>
    </row>
    <row r="792" ht="15.75" customHeight="1">
      <c r="A792" s="53" t="s">
        <v>838</v>
      </c>
      <c r="B792" s="53" t="s">
        <v>36</v>
      </c>
      <c r="C792" s="53" t="s">
        <v>54</v>
      </c>
      <c r="D792" s="54">
        <v>50558.67</v>
      </c>
      <c r="E792" s="54" t="str">
        <f t="shared" si="1"/>
        <v>₹606,704.04</v>
      </c>
      <c r="F792" s="55" t="str">
        <f t="shared" si="2"/>
        <v>20.0%</v>
      </c>
      <c r="G792" s="54" t="str">
        <f t="shared" si="3"/>
        <v>₹121,340.81</v>
      </c>
      <c r="H792" s="54" t="str">
        <f t="shared" si="4"/>
        <v>₹10,111.73</v>
      </c>
      <c r="I792" s="54" t="str">
        <f>41070.84-H792</f>
        <v>₹30,959.11</v>
      </c>
    </row>
    <row r="793" ht="15.75" customHeight="1">
      <c r="A793" s="50" t="s">
        <v>839</v>
      </c>
      <c r="B793" s="50" t="s">
        <v>51</v>
      </c>
      <c r="C793" s="50" t="s">
        <v>14</v>
      </c>
      <c r="D793" s="51">
        <v>26838.53</v>
      </c>
      <c r="E793" s="51" t="str">
        <f t="shared" si="1"/>
        <v>₹322,062.36</v>
      </c>
      <c r="F793" s="52" t="str">
        <f t="shared" si="2"/>
        <v>5.0%</v>
      </c>
      <c r="G793" s="51" t="str">
        <f t="shared" si="3"/>
        <v>₹16,103.12</v>
      </c>
      <c r="H793" s="51" t="str">
        <f t="shared" si="4"/>
        <v>₹1,341.93</v>
      </c>
      <c r="I793" s="51" t="str">
        <f>26073.81-H793</f>
        <v>₹24,731.88</v>
      </c>
    </row>
    <row r="794" ht="15.75" customHeight="1">
      <c r="A794" s="53" t="s">
        <v>840</v>
      </c>
      <c r="B794" s="53" t="s">
        <v>17</v>
      </c>
      <c r="C794" s="53" t="s">
        <v>37</v>
      </c>
      <c r="D794" s="54">
        <v>63521.66</v>
      </c>
      <c r="E794" s="54" t="str">
        <f t="shared" si="1"/>
        <v>₹762,259.92</v>
      </c>
      <c r="F794" s="55" t="str">
        <f t="shared" si="2"/>
        <v>20.0%</v>
      </c>
      <c r="G794" s="54" t="str">
        <f t="shared" si="3"/>
        <v>₹152,451.98</v>
      </c>
      <c r="H794" s="54" t="str">
        <f t="shared" si="4"/>
        <v>₹12,704.33</v>
      </c>
      <c r="I794" s="54" t="str">
        <f>50337.06-H794</f>
        <v>₹37,632.73</v>
      </c>
    </row>
    <row r="795" ht="15.75" customHeight="1">
      <c r="A795" s="50" t="s">
        <v>841</v>
      </c>
      <c r="B795" s="50" t="s">
        <v>36</v>
      </c>
      <c r="C795" s="50" t="s">
        <v>37</v>
      </c>
      <c r="D795" s="51">
        <v>89143.76</v>
      </c>
      <c r="E795" s="51" t="str">
        <f t="shared" si="1"/>
        <v>₹1,069,725.12</v>
      </c>
      <c r="F795" s="52" t="str">
        <f t="shared" si="2"/>
        <v>30.0%</v>
      </c>
      <c r="G795" s="51" t="str">
        <f t="shared" si="3"/>
        <v>₹320,917.54</v>
      </c>
      <c r="H795" s="51" t="str">
        <f t="shared" si="4"/>
        <v>₹26,743.13</v>
      </c>
      <c r="I795" s="51" t="str">
        <f>72685.85-H795</f>
        <v>₹45,942.72</v>
      </c>
    </row>
    <row r="796" ht="15.75" customHeight="1">
      <c r="A796" s="53" t="s">
        <v>842</v>
      </c>
      <c r="B796" s="53" t="s">
        <v>13</v>
      </c>
      <c r="C796" s="53" t="s">
        <v>26</v>
      </c>
      <c r="D796" s="54">
        <v>131984.15</v>
      </c>
      <c r="E796" s="54" t="str">
        <f t="shared" si="1"/>
        <v>₹1,583,809.80</v>
      </c>
      <c r="F796" s="55" t="str">
        <f t="shared" si="2"/>
        <v>30.0%</v>
      </c>
      <c r="G796" s="54" t="str">
        <f t="shared" si="3"/>
        <v>₹475,142.94</v>
      </c>
      <c r="H796" s="54" t="str">
        <f t="shared" si="4"/>
        <v>₹39,595.25</v>
      </c>
      <c r="I796" s="54" t="str">
        <f>118480.51-H796</f>
        <v>₹78,885.27</v>
      </c>
    </row>
    <row r="797" ht="15.75" customHeight="1">
      <c r="A797" s="50" t="s">
        <v>843</v>
      </c>
      <c r="B797" s="50" t="s">
        <v>25</v>
      </c>
      <c r="C797" s="50" t="s">
        <v>54</v>
      </c>
      <c r="D797" s="51">
        <v>54813.43</v>
      </c>
      <c r="E797" s="51" t="str">
        <f t="shared" si="1"/>
        <v>₹657,761.16</v>
      </c>
      <c r="F797" s="52" t="str">
        <f t="shared" si="2"/>
        <v>20.0%</v>
      </c>
      <c r="G797" s="51" t="str">
        <f t="shared" si="3"/>
        <v>₹131,552.23</v>
      </c>
      <c r="H797" s="51" t="str">
        <f t="shared" si="4"/>
        <v>₹10,962.69</v>
      </c>
      <c r="I797" s="51" t="str">
        <f>48074.2-H797</f>
        <v>₹37,111.51</v>
      </c>
    </row>
    <row r="798" ht="15.75" customHeight="1">
      <c r="A798" s="53" t="s">
        <v>844</v>
      </c>
      <c r="B798" s="53" t="s">
        <v>25</v>
      </c>
      <c r="C798" s="53" t="s">
        <v>26</v>
      </c>
      <c r="D798" s="54">
        <v>138249.71</v>
      </c>
      <c r="E798" s="54" t="str">
        <f t="shared" si="1"/>
        <v>₹1,658,996.52</v>
      </c>
      <c r="F798" s="55" t="str">
        <f t="shared" si="2"/>
        <v>30.0%</v>
      </c>
      <c r="G798" s="54" t="str">
        <f t="shared" si="3"/>
        <v>₹497,698.96</v>
      </c>
      <c r="H798" s="54" t="str">
        <f t="shared" si="4"/>
        <v>₹41,474.91</v>
      </c>
      <c r="I798" s="54" t="str">
        <f>130588.04-H798</f>
        <v>₹89,113.13</v>
      </c>
    </row>
    <row r="799" ht="15.75" customHeight="1">
      <c r="A799" s="50" t="s">
        <v>845</v>
      </c>
      <c r="B799" s="50" t="s">
        <v>13</v>
      </c>
      <c r="C799" s="50" t="s">
        <v>33</v>
      </c>
      <c r="D799" s="51">
        <v>48573.67</v>
      </c>
      <c r="E799" s="51" t="str">
        <f t="shared" si="1"/>
        <v>₹582,884.04</v>
      </c>
      <c r="F799" s="52" t="str">
        <f t="shared" si="2"/>
        <v>20.0%</v>
      </c>
      <c r="G799" s="51" t="str">
        <f t="shared" si="3"/>
        <v>₹116,576.81</v>
      </c>
      <c r="H799" s="51" t="str">
        <f t="shared" si="4"/>
        <v>₹9,714.73</v>
      </c>
      <c r="I799" s="51" t="str">
        <f>47866.86-H799</f>
        <v>₹38,152.13</v>
      </c>
    </row>
    <row r="800" ht="15.75" customHeight="1">
      <c r="A800" s="53" t="s">
        <v>846</v>
      </c>
      <c r="B800" s="53" t="s">
        <v>36</v>
      </c>
      <c r="C800" s="53" t="s">
        <v>30</v>
      </c>
      <c r="D800" s="54">
        <v>30771.05</v>
      </c>
      <c r="E800" s="54" t="str">
        <f t="shared" si="1"/>
        <v>₹369,252.60</v>
      </c>
      <c r="F800" s="55" t="str">
        <f t="shared" si="2"/>
        <v>5.0%</v>
      </c>
      <c r="G800" s="54" t="str">
        <f t="shared" si="3"/>
        <v>₹18,462.63</v>
      </c>
      <c r="H800" s="54" t="str">
        <f t="shared" si="4"/>
        <v>₹1,538.55</v>
      </c>
      <c r="I800" s="54" t="str">
        <f>24851.36-H800</f>
        <v>₹23,312.81</v>
      </c>
    </row>
    <row r="801" ht="15.75" customHeight="1">
      <c r="A801" s="50" t="s">
        <v>847</v>
      </c>
      <c r="B801" s="50" t="s">
        <v>13</v>
      </c>
      <c r="C801" s="50" t="s">
        <v>54</v>
      </c>
      <c r="D801" s="51">
        <v>66182.43</v>
      </c>
      <c r="E801" s="51" t="str">
        <f t="shared" si="1"/>
        <v>₹794,189.16</v>
      </c>
      <c r="F801" s="52" t="str">
        <f t="shared" si="2"/>
        <v>20.0%</v>
      </c>
      <c r="G801" s="51" t="str">
        <f t="shared" si="3"/>
        <v>₹158,837.83</v>
      </c>
      <c r="H801" s="51" t="str">
        <f t="shared" si="4"/>
        <v>₹13,236.49</v>
      </c>
      <c r="I801" s="51" t="str">
        <f>63703.6-H801</f>
        <v>₹50,467.11</v>
      </c>
    </row>
    <row r="802" ht="15.75" customHeight="1">
      <c r="A802" s="53" t="s">
        <v>848</v>
      </c>
      <c r="B802" s="53" t="s">
        <v>53</v>
      </c>
      <c r="C802" s="53" t="s">
        <v>14</v>
      </c>
      <c r="D802" s="54">
        <v>34200.63</v>
      </c>
      <c r="E802" s="54" t="str">
        <f t="shared" si="1"/>
        <v>₹410,407.56</v>
      </c>
      <c r="F802" s="55" t="str">
        <f t="shared" si="2"/>
        <v>5.0%</v>
      </c>
      <c r="G802" s="54" t="str">
        <f t="shared" si="3"/>
        <v>₹20,520.38</v>
      </c>
      <c r="H802" s="54" t="str">
        <f t="shared" si="4"/>
        <v>₹1,710.03</v>
      </c>
      <c r="I802" s="54" t="str">
        <f>28711.28-H802</f>
        <v>₹27,001.25</v>
      </c>
    </row>
    <row r="803" ht="15.75" customHeight="1">
      <c r="A803" s="50" t="s">
        <v>849</v>
      </c>
      <c r="B803" s="50" t="s">
        <v>36</v>
      </c>
      <c r="C803" s="50" t="s">
        <v>18</v>
      </c>
      <c r="D803" s="51">
        <v>97159.26</v>
      </c>
      <c r="E803" s="51" t="str">
        <f t="shared" si="1"/>
        <v>₹1,165,911.12</v>
      </c>
      <c r="F803" s="52" t="str">
        <f t="shared" si="2"/>
        <v>30.0%</v>
      </c>
      <c r="G803" s="51" t="str">
        <f t="shared" si="3"/>
        <v>₹349,773.34</v>
      </c>
      <c r="H803" s="51" t="str">
        <f t="shared" si="4"/>
        <v>₹29,147.78</v>
      </c>
      <c r="I803" s="51" t="str">
        <f>80181.36-H803</f>
        <v>₹51,033.58</v>
      </c>
    </row>
    <row r="804" ht="15.75" customHeight="1">
      <c r="A804" s="53" t="s">
        <v>850</v>
      </c>
      <c r="B804" s="53" t="s">
        <v>13</v>
      </c>
      <c r="C804" s="53" t="s">
        <v>54</v>
      </c>
      <c r="D804" s="54">
        <v>58135.24</v>
      </c>
      <c r="E804" s="54" t="str">
        <f t="shared" si="1"/>
        <v>₹697,622.88</v>
      </c>
      <c r="F804" s="55" t="str">
        <f t="shared" si="2"/>
        <v>20.0%</v>
      </c>
      <c r="G804" s="54" t="str">
        <f t="shared" si="3"/>
        <v>₹139,524.58</v>
      </c>
      <c r="H804" s="54" t="str">
        <f t="shared" si="4"/>
        <v>₹11,627.05</v>
      </c>
      <c r="I804" s="54" t="str">
        <f>57583.9-H804</f>
        <v>₹45,956.85</v>
      </c>
    </row>
    <row r="805" ht="15.75" customHeight="1">
      <c r="A805" s="50" t="s">
        <v>851</v>
      </c>
      <c r="B805" s="50" t="s">
        <v>36</v>
      </c>
      <c r="C805" s="50" t="s">
        <v>30</v>
      </c>
      <c r="D805" s="51">
        <v>42253.17</v>
      </c>
      <c r="E805" s="51" t="str">
        <f t="shared" si="1"/>
        <v>₹507,038.04</v>
      </c>
      <c r="F805" s="52" t="str">
        <f t="shared" si="2"/>
        <v>20.0%</v>
      </c>
      <c r="G805" s="51" t="str">
        <f t="shared" si="3"/>
        <v>₹101,407.61</v>
      </c>
      <c r="H805" s="51" t="str">
        <f t="shared" si="4"/>
        <v>₹8,450.63</v>
      </c>
      <c r="I805" s="51" t="str">
        <f>35275.6-H805</f>
        <v>₹26,824.97</v>
      </c>
    </row>
    <row r="806" ht="15.75" customHeight="1">
      <c r="A806" s="53" t="s">
        <v>852</v>
      </c>
      <c r="B806" s="53" t="s">
        <v>53</v>
      </c>
      <c r="C806" s="53" t="s">
        <v>26</v>
      </c>
      <c r="D806" s="54">
        <v>169470.08</v>
      </c>
      <c r="E806" s="54" t="str">
        <f t="shared" si="1"/>
        <v>₹2,033,640.96</v>
      </c>
      <c r="F806" s="55" t="str">
        <f t="shared" si="2"/>
        <v>30.0%</v>
      </c>
      <c r="G806" s="54" t="str">
        <f t="shared" si="3"/>
        <v>₹610,092.29</v>
      </c>
      <c r="H806" s="54" t="str">
        <f t="shared" si="4"/>
        <v>₹50,841.02</v>
      </c>
      <c r="I806" s="54" t="str">
        <f>145080.4-H806</f>
        <v>₹94,239.38</v>
      </c>
    </row>
    <row r="807" ht="15.75" customHeight="1">
      <c r="A807" s="50" t="s">
        <v>853</v>
      </c>
      <c r="B807" s="50" t="s">
        <v>36</v>
      </c>
      <c r="C807" s="50" t="s">
        <v>30</v>
      </c>
      <c r="D807" s="51">
        <v>35224.54</v>
      </c>
      <c r="E807" s="51" t="str">
        <f t="shared" si="1"/>
        <v>₹422,694.48</v>
      </c>
      <c r="F807" s="52" t="str">
        <f t="shared" si="2"/>
        <v>5.0%</v>
      </c>
      <c r="G807" s="51" t="str">
        <f t="shared" si="3"/>
        <v>₹21,134.72</v>
      </c>
      <c r="H807" s="51" t="str">
        <f t="shared" si="4"/>
        <v>₹1,761.23</v>
      </c>
      <c r="I807" s="51" t="str">
        <f>28606.46-H807</f>
        <v>₹26,845.23</v>
      </c>
    </row>
    <row r="808" ht="15.75" customHeight="1">
      <c r="A808" s="53" t="s">
        <v>855</v>
      </c>
      <c r="B808" s="53" t="s">
        <v>29</v>
      </c>
      <c r="C808" s="53" t="s">
        <v>37</v>
      </c>
      <c r="D808" s="54">
        <v>83983.99</v>
      </c>
      <c r="E808" s="54" t="str">
        <f t="shared" si="1"/>
        <v>₹1,007,807.88</v>
      </c>
      <c r="F808" s="55" t="str">
        <f t="shared" si="2"/>
        <v>30.0%</v>
      </c>
      <c r="G808" s="54" t="str">
        <f t="shared" si="3"/>
        <v>₹302,342.36</v>
      </c>
      <c r="H808" s="54" t="str">
        <f t="shared" si="4"/>
        <v>₹25,195.20</v>
      </c>
      <c r="I808" s="54" t="str">
        <f>80537.28-H808</f>
        <v>₹55,342.08</v>
      </c>
    </row>
    <row r="809" ht="15.75" customHeight="1">
      <c r="A809" s="50" t="s">
        <v>856</v>
      </c>
      <c r="B809" s="50" t="s">
        <v>13</v>
      </c>
      <c r="C809" s="50" t="s">
        <v>26</v>
      </c>
      <c r="D809" s="51">
        <v>126765.44</v>
      </c>
      <c r="E809" s="51" t="str">
        <f t="shared" si="1"/>
        <v>₹1,521,185.28</v>
      </c>
      <c r="F809" s="52" t="str">
        <f t="shared" si="2"/>
        <v>30.0%</v>
      </c>
      <c r="G809" s="51" t="str">
        <f t="shared" si="3"/>
        <v>₹456,355.58</v>
      </c>
      <c r="H809" s="51" t="str">
        <f t="shared" si="4"/>
        <v>₹38,029.63</v>
      </c>
      <c r="I809" s="51" t="str">
        <f>112691.94-H809</f>
        <v>₹74,662.31</v>
      </c>
    </row>
    <row r="810" ht="15.75" customHeight="1">
      <c r="A810" s="53" t="s">
        <v>857</v>
      </c>
      <c r="B810" s="53" t="s">
        <v>13</v>
      </c>
      <c r="C810" s="53" t="s">
        <v>30</v>
      </c>
      <c r="D810" s="54">
        <v>38240.41</v>
      </c>
      <c r="E810" s="54" t="str">
        <f t="shared" si="1"/>
        <v>₹458,884.92</v>
      </c>
      <c r="F810" s="55" t="str">
        <f t="shared" si="2"/>
        <v>5.0%</v>
      </c>
      <c r="G810" s="54" t="str">
        <f t="shared" si="3"/>
        <v>₹22,944.25</v>
      </c>
      <c r="H810" s="54" t="str">
        <f t="shared" si="4"/>
        <v>₹1,912.02</v>
      </c>
      <c r="I810" s="54" t="str">
        <f>35191.65-H810</f>
        <v>₹33,279.63</v>
      </c>
    </row>
    <row r="811" ht="15.75" customHeight="1">
      <c r="A811" s="50" t="s">
        <v>858</v>
      </c>
      <c r="B811" s="50" t="s">
        <v>36</v>
      </c>
      <c r="C811" s="50" t="s">
        <v>18</v>
      </c>
      <c r="D811" s="51">
        <v>108477.83</v>
      </c>
      <c r="E811" s="51" t="str">
        <f t="shared" si="1"/>
        <v>₹1,301,733.96</v>
      </c>
      <c r="F811" s="52" t="str">
        <f t="shared" si="2"/>
        <v>30.0%</v>
      </c>
      <c r="G811" s="51" t="str">
        <f t="shared" si="3"/>
        <v>₹390,520.19</v>
      </c>
      <c r="H811" s="51" t="str">
        <f t="shared" si="4"/>
        <v>₹32,543.35</v>
      </c>
      <c r="I811" s="51" t="str">
        <f>95575.99-H811</f>
        <v>₹63,032.64</v>
      </c>
    </row>
    <row r="812" ht="15.75" customHeight="1">
      <c r="A812" s="53" t="s">
        <v>859</v>
      </c>
      <c r="B812" s="53" t="s">
        <v>29</v>
      </c>
      <c r="C812" s="53" t="s">
        <v>37</v>
      </c>
      <c r="D812" s="54">
        <v>71748.74</v>
      </c>
      <c r="E812" s="54" t="str">
        <f t="shared" si="1"/>
        <v>₹860,984.88</v>
      </c>
      <c r="F812" s="55" t="str">
        <f t="shared" si="2"/>
        <v>20.0%</v>
      </c>
      <c r="G812" s="54" t="str">
        <f t="shared" si="3"/>
        <v>₹172,196.98</v>
      </c>
      <c r="H812" s="54" t="str">
        <f t="shared" si="4"/>
        <v>₹14,349.75</v>
      </c>
      <c r="I812" s="54" t="str">
        <f>60433.2-H812</f>
        <v>₹46,083.45</v>
      </c>
    </row>
    <row r="813" ht="15.75" customHeight="1">
      <c r="A813" s="50" t="s">
        <v>860</v>
      </c>
      <c r="B813" s="50" t="s">
        <v>53</v>
      </c>
      <c r="C813" s="50" t="s">
        <v>26</v>
      </c>
      <c r="D813" s="51">
        <v>147028.35</v>
      </c>
      <c r="E813" s="51" t="str">
        <f t="shared" si="1"/>
        <v>₹1,764,340.20</v>
      </c>
      <c r="F813" s="52" t="str">
        <f t="shared" si="2"/>
        <v>30.0%</v>
      </c>
      <c r="G813" s="51" t="str">
        <f t="shared" si="3"/>
        <v>₹529,302.06</v>
      </c>
      <c r="H813" s="51" t="str">
        <f t="shared" si="4"/>
        <v>₹44,108.51</v>
      </c>
      <c r="I813" s="51" t="str">
        <f>128566.13-H813</f>
        <v>₹84,457.63</v>
      </c>
    </row>
    <row r="814" ht="15.75" customHeight="1">
      <c r="A814" s="53" t="s">
        <v>861</v>
      </c>
      <c r="B814" s="53" t="s">
        <v>29</v>
      </c>
      <c r="C814" s="53" t="s">
        <v>33</v>
      </c>
      <c r="D814" s="54">
        <v>44774.86</v>
      </c>
      <c r="E814" s="54" t="str">
        <f t="shared" si="1"/>
        <v>₹537,298.32</v>
      </c>
      <c r="F814" s="55" t="str">
        <f t="shared" si="2"/>
        <v>20.0%</v>
      </c>
      <c r="G814" s="54" t="str">
        <f t="shared" si="3"/>
        <v>₹107,459.66</v>
      </c>
      <c r="H814" s="54" t="str">
        <f t="shared" si="4"/>
        <v>₹8,954.97</v>
      </c>
      <c r="I814" s="54" t="str">
        <f>41098.95-H814</f>
        <v>₹32,143.98</v>
      </c>
    </row>
    <row r="815" ht="15.75" customHeight="1">
      <c r="A815" s="50" t="s">
        <v>862</v>
      </c>
      <c r="B815" s="50" t="s">
        <v>25</v>
      </c>
      <c r="C815" s="50" t="s">
        <v>26</v>
      </c>
      <c r="D815" s="51">
        <v>164864.84</v>
      </c>
      <c r="E815" s="51" t="str">
        <f t="shared" si="1"/>
        <v>₹1,978,378.08</v>
      </c>
      <c r="F815" s="52" t="str">
        <f t="shared" si="2"/>
        <v>30.0%</v>
      </c>
      <c r="G815" s="51" t="str">
        <f t="shared" si="3"/>
        <v>₹593,513.42</v>
      </c>
      <c r="H815" s="51" t="str">
        <f t="shared" si="4"/>
        <v>₹49,459.45</v>
      </c>
      <c r="I815" s="51" t="str">
        <f>149626.91-H815</f>
        <v>₹100,167.46</v>
      </c>
    </row>
    <row r="816" ht="15.75" customHeight="1">
      <c r="A816" s="53" t="s">
        <v>863</v>
      </c>
      <c r="B816" s="53" t="s">
        <v>51</v>
      </c>
      <c r="C816" s="53" t="s">
        <v>14</v>
      </c>
      <c r="D816" s="54">
        <v>26973.05</v>
      </c>
      <c r="E816" s="54" t="str">
        <f t="shared" si="1"/>
        <v>₹323,676.60</v>
      </c>
      <c r="F816" s="55" t="str">
        <f t="shared" si="2"/>
        <v>5.0%</v>
      </c>
      <c r="G816" s="54" t="str">
        <f t="shared" si="3"/>
        <v>₹16,183.83</v>
      </c>
      <c r="H816" s="54" t="str">
        <f t="shared" si="4"/>
        <v>₹1,348.65</v>
      </c>
      <c r="I816" s="54" t="str">
        <f>24988.71-H816</f>
        <v>₹23,640.06</v>
      </c>
    </row>
    <row r="817" ht="15.75" customHeight="1">
      <c r="A817" s="50" t="s">
        <v>864</v>
      </c>
      <c r="B817" s="50" t="s">
        <v>53</v>
      </c>
      <c r="C817" s="50" t="s">
        <v>18</v>
      </c>
      <c r="D817" s="51">
        <v>108500.26</v>
      </c>
      <c r="E817" s="51" t="str">
        <f t="shared" si="1"/>
        <v>₹1,302,003.12</v>
      </c>
      <c r="F817" s="52" t="str">
        <f t="shared" si="2"/>
        <v>30.0%</v>
      </c>
      <c r="G817" s="51" t="str">
        <f t="shared" si="3"/>
        <v>₹390,600.94</v>
      </c>
      <c r="H817" s="51" t="str">
        <f t="shared" si="4"/>
        <v>₹32,550.08</v>
      </c>
      <c r="I817" s="51" t="str">
        <f>98835.08-H817</f>
        <v>₹66,285.00</v>
      </c>
    </row>
    <row r="818" ht="15.75" customHeight="1">
      <c r="A818" s="53" t="s">
        <v>865</v>
      </c>
      <c r="B818" s="53" t="s">
        <v>17</v>
      </c>
      <c r="C818" s="53" t="s">
        <v>26</v>
      </c>
      <c r="D818" s="54">
        <v>123974.17</v>
      </c>
      <c r="E818" s="54" t="str">
        <f t="shared" si="1"/>
        <v>₹1,487,690.04</v>
      </c>
      <c r="F818" s="55" t="str">
        <f t="shared" si="2"/>
        <v>30.0%</v>
      </c>
      <c r="G818" s="54" t="str">
        <f t="shared" si="3"/>
        <v>₹446,307.01</v>
      </c>
      <c r="H818" s="54" t="str">
        <f t="shared" si="4"/>
        <v>₹37,192.25</v>
      </c>
      <c r="I818" s="54" t="str">
        <f>98065.08-H818</f>
        <v>₹60,872.83</v>
      </c>
    </row>
    <row r="819" ht="15.75" customHeight="1">
      <c r="A819" s="50" t="s">
        <v>866</v>
      </c>
      <c r="B819" s="50" t="s">
        <v>17</v>
      </c>
      <c r="C819" s="50" t="s">
        <v>14</v>
      </c>
      <c r="D819" s="51">
        <v>27338.04</v>
      </c>
      <c r="E819" s="51" t="str">
        <f t="shared" si="1"/>
        <v>₹328,056.48</v>
      </c>
      <c r="F819" s="52" t="str">
        <f t="shared" si="2"/>
        <v>5.0%</v>
      </c>
      <c r="G819" s="51" t="str">
        <f t="shared" si="3"/>
        <v>₹16,402.82</v>
      </c>
      <c r="H819" s="51" t="str">
        <f t="shared" si="4"/>
        <v>₹1,366.90</v>
      </c>
      <c r="I819" s="51" t="str">
        <f>23703.19-H819</f>
        <v>₹22,336.29</v>
      </c>
    </row>
    <row r="820" ht="15.75" customHeight="1">
      <c r="A820" s="53" t="s">
        <v>867</v>
      </c>
      <c r="B820" s="53" t="s">
        <v>36</v>
      </c>
      <c r="C820" s="53" t="s">
        <v>54</v>
      </c>
      <c r="D820" s="54">
        <v>61216.88</v>
      </c>
      <c r="E820" s="54" t="str">
        <f t="shared" si="1"/>
        <v>₹734,602.56</v>
      </c>
      <c r="F820" s="55" t="str">
        <f t="shared" si="2"/>
        <v>20.0%</v>
      </c>
      <c r="G820" s="54" t="str">
        <f t="shared" si="3"/>
        <v>₹146,920.51</v>
      </c>
      <c r="H820" s="54" t="str">
        <f t="shared" si="4"/>
        <v>₹12,243.38</v>
      </c>
      <c r="I820" s="54" t="str">
        <f>51910.03-H820</f>
        <v>₹39,666.65</v>
      </c>
    </row>
    <row r="821" ht="15.75" customHeight="1">
      <c r="A821" s="50" t="s">
        <v>868</v>
      </c>
      <c r="B821" s="50" t="s">
        <v>17</v>
      </c>
      <c r="C821" s="50" t="s">
        <v>26</v>
      </c>
      <c r="D821" s="51">
        <v>170693.28</v>
      </c>
      <c r="E821" s="51" t="str">
        <f t="shared" si="1"/>
        <v>₹2,048,319.36</v>
      </c>
      <c r="F821" s="52" t="str">
        <f t="shared" si="2"/>
        <v>30.0%</v>
      </c>
      <c r="G821" s="51" t="str">
        <f t="shared" si="3"/>
        <v>₹614,495.81</v>
      </c>
      <c r="H821" s="51" t="str">
        <f t="shared" si="4"/>
        <v>₹51,207.98</v>
      </c>
      <c r="I821" s="51" t="str">
        <f>154952.41-H821</f>
        <v>₹103,744.43</v>
      </c>
    </row>
    <row r="822" ht="15.75" customHeight="1">
      <c r="A822" s="53" t="s">
        <v>869</v>
      </c>
      <c r="B822" s="53" t="s">
        <v>25</v>
      </c>
      <c r="C822" s="53" t="s">
        <v>18</v>
      </c>
      <c r="D822" s="54">
        <v>125203.47</v>
      </c>
      <c r="E822" s="54" t="str">
        <f t="shared" si="1"/>
        <v>₹1,502,441.64</v>
      </c>
      <c r="F822" s="55" t="str">
        <f t="shared" si="2"/>
        <v>30.0%</v>
      </c>
      <c r="G822" s="54" t="str">
        <f t="shared" si="3"/>
        <v>₹450,732.49</v>
      </c>
      <c r="H822" s="54" t="str">
        <f t="shared" si="4"/>
        <v>₹37,561.04</v>
      </c>
      <c r="I822" s="54" t="str">
        <f>119992.07-H822</f>
        <v>₹82,431.03</v>
      </c>
    </row>
    <row r="823" ht="15.75" customHeight="1">
      <c r="A823" s="50" t="s">
        <v>870</v>
      </c>
      <c r="B823" s="50" t="s">
        <v>53</v>
      </c>
      <c r="C823" s="50" t="s">
        <v>37</v>
      </c>
      <c r="D823" s="51">
        <v>96515.14</v>
      </c>
      <c r="E823" s="51" t="str">
        <f t="shared" si="1"/>
        <v>₹1,158,181.68</v>
      </c>
      <c r="F823" s="52" t="str">
        <f t="shared" si="2"/>
        <v>30.0%</v>
      </c>
      <c r="G823" s="51" t="str">
        <f t="shared" si="3"/>
        <v>₹347,454.50</v>
      </c>
      <c r="H823" s="51" t="str">
        <f t="shared" si="4"/>
        <v>₹28,954.54</v>
      </c>
      <c r="I823" s="51" t="str">
        <f>84873.64-H823</f>
        <v>₹55,919.10</v>
      </c>
    </row>
    <row r="824" ht="15.75" customHeight="1">
      <c r="A824" s="53" t="s">
        <v>871</v>
      </c>
      <c r="B824" s="53" t="s">
        <v>51</v>
      </c>
      <c r="C824" s="53" t="s">
        <v>18</v>
      </c>
      <c r="D824" s="54">
        <v>86556.73</v>
      </c>
      <c r="E824" s="54" t="str">
        <f t="shared" si="1"/>
        <v>₹1,038,680.76</v>
      </c>
      <c r="F824" s="55" t="str">
        <f t="shared" si="2"/>
        <v>30.0%</v>
      </c>
      <c r="G824" s="54" t="str">
        <f t="shared" si="3"/>
        <v>₹311,604.23</v>
      </c>
      <c r="H824" s="54" t="str">
        <f t="shared" si="4"/>
        <v>₹25,967.02</v>
      </c>
      <c r="I824" s="54" t="str">
        <f>67116.56-H824</f>
        <v>₹41,149.54</v>
      </c>
    </row>
    <row r="825" ht="15.75" customHeight="1">
      <c r="A825" s="50" t="s">
        <v>872</v>
      </c>
      <c r="B825" s="50" t="s">
        <v>29</v>
      </c>
      <c r="C825" s="50" t="s">
        <v>18</v>
      </c>
      <c r="D825" s="51">
        <v>106679.13</v>
      </c>
      <c r="E825" s="51" t="str">
        <f t="shared" si="1"/>
        <v>₹1,280,149.56</v>
      </c>
      <c r="F825" s="52" t="str">
        <f t="shared" si="2"/>
        <v>30.0%</v>
      </c>
      <c r="G825" s="51" t="str">
        <f t="shared" si="3"/>
        <v>₹384,044.87</v>
      </c>
      <c r="H825" s="51" t="str">
        <f t="shared" si="4"/>
        <v>₹32,003.74</v>
      </c>
      <c r="I825" s="51" t="str">
        <f>94987.4-H825</f>
        <v>₹62,983.66</v>
      </c>
    </row>
    <row r="826" ht="15.75" customHeight="1">
      <c r="A826" s="53" t="s">
        <v>873</v>
      </c>
      <c r="B826" s="53" t="s">
        <v>13</v>
      </c>
      <c r="C826" s="53" t="s">
        <v>14</v>
      </c>
      <c r="D826" s="54">
        <v>34709.48</v>
      </c>
      <c r="E826" s="54" t="str">
        <f t="shared" si="1"/>
        <v>₹416,513.76</v>
      </c>
      <c r="F826" s="55" t="str">
        <f t="shared" si="2"/>
        <v>5.0%</v>
      </c>
      <c r="G826" s="54" t="str">
        <f t="shared" si="3"/>
        <v>₹20,825.69</v>
      </c>
      <c r="H826" s="54" t="str">
        <f t="shared" si="4"/>
        <v>₹1,735.47</v>
      </c>
      <c r="I826" s="54" t="str">
        <f>29346.64-H826</f>
        <v>₹27,611.17</v>
      </c>
    </row>
    <row r="827" ht="15.75" customHeight="1">
      <c r="A827" s="50" t="s">
        <v>874</v>
      </c>
      <c r="B827" s="50" t="s">
        <v>53</v>
      </c>
      <c r="C827" s="50" t="s">
        <v>33</v>
      </c>
      <c r="D827" s="51">
        <v>41661.49</v>
      </c>
      <c r="E827" s="51" t="str">
        <f t="shared" si="1"/>
        <v>₹499,937.88</v>
      </c>
      <c r="F827" s="52" t="str">
        <f t="shared" si="2"/>
        <v>5.0%</v>
      </c>
      <c r="G827" s="51" t="str">
        <f t="shared" si="3"/>
        <v>₹24,996.89</v>
      </c>
      <c r="H827" s="51" t="str">
        <f t="shared" si="4"/>
        <v>₹2,083.07</v>
      </c>
      <c r="I827" s="51" t="str">
        <f>39728.38-H827</f>
        <v>₹37,645.31</v>
      </c>
    </row>
    <row r="828" ht="15.75" customHeight="1">
      <c r="A828" s="53" t="s">
        <v>875</v>
      </c>
      <c r="B828" s="53" t="s">
        <v>36</v>
      </c>
      <c r="C828" s="53" t="s">
        <v>54</v>
      </c>
      <c r="D828" s="54">
        <v>58211.37</v>
      </c>
      <c r="E828" s="54" t="str">
        <f t="shared" si="1"/>
        <v>₹698,536.44</v>
      </c>
      <c r="F828" s="55" t="str">
        <f t="shared" si="2"/>
        <v>20.0%</v>
      </c>
      <c r="G828" s="54" t="str">
        <f t="shared" si="3"/>
        <v>₹139,707.29</v>
      </c>
      <c r="H828" s="54" t="str">
        <f t="shared" si="4"/>
        <v>₹11,642.27</v>
      </c>
      <c r="I828" s="54" t="str">
        <f>52953.39-H828</f>
        <v>₹41,311.12</v>
      </c>
    </row>
    <row r="829" ht="15.75" customHeight="1">
      <c r="A829" s="50" t="s">
        <v>876</v>
      </c>
      <c r="B829" s="50" t="s">
        <v>53</v>
      </c>
      <c r="C829" s="50" t="s">
        <v>14</v>
      </c>
      <c r="D829" s="51">
        <v>29579.87</v>
      </c>
      <c r="E829" s="51" t="str">
        <f t="shared" si="1"/>
        <v>₹354,958.44</v>
      </c>
      <c r="F829" s="52" t="str">
        <f t="shared" si="2"/>
        <v>5.0%</v>
      </c>
      <c r="G829" s="51" t="str">
        <f t="shared" si="3"/>
        <v>₹17,747.92</v>
      </c>
      <c r="H829" s="51" t="str">
        <f t="shared" si="4"/>
        <v>₹1,478.99</v>
      </c>
      <c r="I829" s="51" t="str">
        <f>28820.85-H829</f>
        <v>₹27,341.86</v>
      </c>
    </row>
    <row r="830" ht="15.75" customHeight="1">
      <c r="A830" s="53" t="s">
        <v>877</v>
      </c>
      <c r="B830" s="53" t="s">
        <v>29</v>
      </c>
      <c r="C830" s="53" t="s">
        <v>37</v>
      </c>
      <c r="D830" s="54">
        <v>84384.59</v>
      </c>
      <c r="E830" s="54" t="str">
        <f t="shared" si="1"/>
        <v>₹1,012,615.08</v>
      </c>
      <c r="F830" s="55" t="str">
        <f t="shared" si="2"/>
        <v>30.0%</v>
      </c>
      <c r="G830" s="54" t="str">
        <f t="shared" si="3"/>
        <v>₹303,784.52</v>
      </c>
      <c r="H830" s="54" t="str">
        <f t="shared" si="4"/>
        <v>₹25,315.38</v>
      </c>
      <c r="I830" s="54" t="str">
        <f>71964.81-H830</f>
        <v>₹46,649.43</v>
      </c>
    </row>
    <row r="831" ht="15.75" customHeight="1">
      <c r="A831" s="50" t="s">
        <v>878</v>
      </c>
      <c r="B831" s="50" t="s">
        <v>53</v>
      </c>
      <c r="C831" s="50" t="s">
        <v>54</v>
      </c>
      <c r="D831" s="51">
        <v>66448.76</v>
      </c>
      <c r="E831" s="51" t="str">
        <f t="shared" si="1"/>
        <v>₹797,385.12</v>
      </c>
      <c r="F831" s="52" t="str">
        <f t="shared" si="2"/>
        <v>20.0%</v>
      </c>
      <c r="G831" s="51" t="str">
        <f t="shared" si="3"/>
        <v>₹159,477.02</v>
      </c>
      <c r="H831" s="51" t="str">
        <f t="shared" si="4"/>
        <v>₹13,289.75</v>
      </c>
      <c r="I831" s="51" t="str">
        <f>53247.24-H831</f>
        <v>₹39,957.49</v>
      </c>
    </row>
    <row r="832" ht="15.75" customHeight="1">
      <c r="A832" s="53" t="s">
        <v>879</v>
      </c>
      <c r="B832" s="53" t="s">
        <v>36</v>
      </c>
      <c r="C832" s="53" t="s">
        <v>54</v>
      </c>
      <c r="D832" s="54">
        <v>70014.8</v>
      </c>
      <c r="E832" s="54" t="str">
        <f t="shared" si="1"/>
        <v>₹840,177.60</v>
      </c>
      <c r="F832" s="55" t="str">
        <f t="shared" si="2"/>
        <v>20.0%</v>
      </c>
      <c r="G832" s="54" t="str">
        <f t="shared" si="3"/>
        <v>₹168,035.52</v>
      </c>
      <c r="H832" s="54" t="str">
        <f t="shared" si="4"/>
        <v>₹14,002.96</v>
      </c>
      <c r="I832" s="54" t="str">
        <f>63139.3-H832</f>
        <v>₹49,136.34</v>
      </c>
    </row>
    <row r="833" ht="15.75" customHeight="1">
      <c r="A833" s="50" t="s">
        <v>880</v>
      </c>
      <c r="B833" s="50" t="s">
        <v>17</v>
      </c>
      <c r="C833" s="50" t="s">
        <v>54</v>
      </c>
      <c r="D833" s="51">
        <v>65756.0</v>
      </c>
      <c r="E833" s="51" t="str">
        <f t="shared" si="1"/>
        <v>₹789,072.00</v>
      </c>
      <c r="F833" s="52" t="str">
        <f t="shared" si="2"/>
        <v>20.0%</v>
      </c>
      <c r="G833" s="51" t="str">
        <f t="shared" si="3"/>
        <v>₹157,814.40</v>
      </c>
      <c r="H833" s="51" t="str">
        <f t="shared" si="4"/>
        <v>₹13,151.20</v>
      </c>
      <c r="I833" s="51" t="str">
        <f>56846.89-H833</f>
        <v>₹43,695.69</v>
      </c>
    </row>
    <row r="834" ht="15.75" customHeight="1">
      <c r="A834" s="53" t="s">
        <v>881</v>
      </c>
      <c r="B834" s="53" t="s">
        <v>25</v>
      </c>
      <c r="C834" s="53" t="s">
        <v>33</v>
      </c>
      <c r="D834" s="54">
        <v>82574.19</v>
      </c>
      <c r="E834" s="54" t="str">
        <f t="shared" si="1"/>
        <v>₹990,890.28</v>
      </c>
      <c r="F834" s="55" t="str">
        <f t="shared" si="2"/>
        <v>20.0%</v>
      </c>
      <c r="G834" s="54" t="str">
        <f t="shared" si="3"/>
        <v>₹198,178.06</v>
      </c>
      <c r="H834" s="54" t="str">
        <f t="shared" si="4"/>
        <v>₹16,514.84</v>
      </c>
      <c r="I834" s="54" t="str">
        <f>77894.05-H834</f>
        <v>₹61,379.21</v>
      </c>
    </row>
    <row r="835" ht="15.75" customHeight="1">
      <c r="A835" s="50" t="s">
        <v>883</v>
      </c>
      <c r="B835" s="50" t="s">
        <v>25</v>
      </c>
      <c r="C835" s="50" t="s">
        <v>33</v>
      </c>
      <c r="D835" s="51">
        <v>36238.58</v>
      </c>
      <c r="E835" s="51" t="str">
        <f t="shared" si="1"/>
        <v>₹434,862.96</v>
      </c>
      <c r="F835" s="52" t="str">
        <f t="shared" si="2"/>
        <v>5.0%</v>
      </c>
      <c r="G835" s="51" t="str">
        <f t="shared" si="3"/>
        <v>₹21,743.15</v>
      </c>
      <c r="H835" s="51" t="str">
        <f t="shared" si="4"/>
        <v>₹1,811.93</v>
      </c>
      <c r="I835" s="51" t="str">
        <f>30684.09-H835</f>
        <v>₹28,872.16</v>
      </c>
    </row>
    <row r="836" ht="15.75" customHeight="1">
      <c r="A836" s="53" t="s">
        <v>884</v>
      </c>
      <c r="B836" s="53" t="s">
        <v>17</v>
      </c>
      <c r="C836" s="53" t="s">
        <v>37</v>
      </c>
      <c r="D836" s="54">
        <v>86181.57</v>
      </c>
      <c r="E836" s="54" t="str">
        <f t="shared" si="1"/>
        <v>₹1,034,178.84</v>
      </c>
      <c r="F836" s="55" t="str">
        <f t="shared" si="2"/>
        <v>30.0%</v>
      </c>
      <c r="G836" s="54" t="str">
        <f t="shared" si="3"/>
        <v>₹310,253.65</v>
      </c>
      <c r="H836" s="54" t="str">
        <f t="shared" si="4"/>
        <v>₹25,854.47</v>
      </c>
      <c r="I836" s="54" t="str">
        <f>79630.68-H836</f>
        <v>₹53,776.21</v>
      </c>
    </row>
    <row r="837" ht="15.75" customHeight="1">
      <c r="A837" s="50" t="s">
        <v>885</v>
      </c>
      <c r="B837" s="50" t="s">
        <v>29</v>
      </c>
      <c r="C837" s="50" t="s">
        <v>30</v>
      </c>
      <c r="D837" s="51">
        <v>43579.39</v>
      </c>
      <c r="E837" s="51" t="str">
        <f t="shared" si="1"/>
        <v>₹522,952.68</v>
      </c>
      <c r="F837" s="52" t="str">
        <f t="shared" si="2"/>
        <v>20.0%</v>
      </c>
      <c r="G837" s="51" t="str">
        <f t="shared" si="3"/>
        <v>₹104,590.54</v>
      </c>
      <c r="H837" s="51" t="str">
        <f t="shared" si="4"/>
        <v>₹8,715.88</v>
      </c>
      <c r="I837" s="51" t="str">
        <f>35298.69-H837</f>
        <v>₹26,582.81</v>
      </c>
    </row>
    <row r="838" ht="15.75" customHeight="1">
      <c r="A838" s="53" t="s">
        <v>886</v>
      </c>
      <c r="B838" s="53" t="s">
        <v>51</v>
      </c>
      <c r="C838" s="53" t="s">
        <v>26</v>
      </c>
      <c r="D838" s="54">
        <v>140932.61</v>
      </c>
      <c r="E838" s="54" t="str">
        <f t="shared" si="1"/>
        <v>₹1,691,191.32</v>
      </c>
      <c r="F838" s="55" t="str">
        <f t="shared" si="2"/>
        <v>30.0%</v>
      </c>
      <c r="G838" s="54" t="str">
        <f t="shared" si="3"/>
        <v>₹507,357.40</v>
      </c>
      <c r="H838" s="54" t="str">
        <f t="shared" si="4"/>
        <v>₹42,279.78</v>
      </c>
      <c r="I838" s="54" t="str">
        <f>136300.05-H838</f>
        <v>₹94,020.27</v>
      </c>
    </row>
    <row r="839" ht="15.75" customHeight="1">
      <c r="A839" s="50" t="s">
        <v>887</v>
      </c>
      <c r="B839" s="50" t="s">
        <v>17</v>
      </c>
      <c r="C839" s="50" t="s">
        <v>14</v>
      </c>
      <c r="D839" s="51">
        <v>32759.55</v>
      </c>
      <c r="E839" s="51" t="str">
        <f t="shared" si="1"/>
        <v>₹393,114.60</v>
      </c>
      <c r="F839" s="52" t="str">
        <f t="shared" si="2"/>
        <v>5.0%</v>
      </c>
      <c r="G839" s="51" t="str">
        <f t="shared" si="3"/>
        <v>₹19,655.73</v>
      </c>
      <c r="H839" s="51" t="str">
        <f t="shared" si="4"/>
        <v>₹1,637.98</v>
      </c>
      <c r="I839" s="51" t="str">
        <f>28548.85-H839</f>
        <v>₹26,910.87</v>
      </c>
    </row>
    <row r="840" ht="15.75" customHeight="1">
      <c r="A840" s="53" t="s">
        <v>888</v>
      </c>
      <c r="B840" s="53" t="s">
        <v>17</v>
      </c>
      <c r="C840" s="53" t="s">
        <v>26</v>
      </c>
      <c r="D840" s="54">
        <v>152898.54</v>
      </c>
      <c r="E840" s="54" t="str">
        <f t="shared" si="1"/>
        <v>₹1,834,782.48</v>
      </c>
      <c r="F840" s="55" t="str">
        <f t="shared" si="2"/>
        <v>30.0%</v>
      </c>
      <c r="G840" s="54" t="str">
        <f t="shared" si="3"/>
        <v>₹550,434.74</v>
      </c>
      <c r="H840" s="54" t="str">
        <f t="shared" si="4"/>
        <v>₹45,869.56</v>
      </c>
      <c r="I840" s="54" t="str">
        <f>137040.87-H840</f>
        <v>₹91,171.31</v>
      </c>
    </row>
    <row r="841" ht="15.75" customHeight="1">
      <c r="A841" s="50" t="s">
        <v>889</v>
      </c>
      <c r="B841" s="50" t="s">
        <v>25</v>
      </c>
      <c r="C841" s="50" t="s">
        <v>33</v>
      </c>
      <c r="D841" s="51">
        <v>44768.73</v>
      </c>
      <c r="E841" s="51" t="str">
        <f t="shared" si="1"/>
        <v>₹537,224.76</v>
      </c>
      <c r="F841" s="52" t="str">
        <f t="shared" si="2"/>
        <v>20.0%</v>
      </c>
      <c r="G841" s="51" t="str">
        <f t="shared" si="3"/>
        <v>₹107,444.95</v>
      </c>
      <c r="H841" s="51" t="str">
        <f t="shared" si="4"/>
        <v>₹8,953.75</v>
      </c>
      <c r="I841" s="51" t="str">
        <f>36549.94-H841</f>
        <v>₹27,596.19</v>
      </c>
    </row>
    <row r="842" ht="15.75" customHeight="1">
      <c r="A842" s="53" t="s">
        <v>890</v>
      </c>
      <c r="B842" s="53" t="s">
        <v>36</v>
      </c>
      <c r="C842" s="53" t="s">
        <v>30</v>
      </c>
      <c r="D842" s="54">
        <v>37915.55</v>
      </c>
      <c r="E842" s="54" t="str">
        <f t="shared" si="1"/>
        <v>₹454,986.60</v>
      </c>
      <c r="F842" s="55" t="str">
        <f t="shared" si="2"/>
        <v>5.0%</v>
      </c>
      <c r="G842" s="54" t="str">
        <f t="shared" si="3"/>
        <v>₹22,749.33</v>
      </c>
      <c r="H842" s="54" t="str">
        <f t="shared" si="4"/>
        <v>₹1,895.78</v>
      </c>
      <c r="I842" s="54" t="str">
        <f>33404.5-H842</f>
        <v>₹31,508.72</v>
      </c>
    </row>
    <row r="843" ht="15.75" customHeight="1">
      <c r="A843" s="50" t="s">
        <v>891</v>
      </c>
      <c r="B843" s="50" t="s">
        <v>36</v>
      </c>
      <c r="C843" s="50" t="s">
        <v>37</v>
      </c>
      <c r="D843" s="51">
        <v>62428.28</v>
      </c>
      <c r="E843" s="51" t="str">
        <f t="shared" si="1"/>
        <v>₹749,139.36</v>
      </c>
      <c r="F843" s="52" t="str">
        <f t="shared" si="2"/>
        <v>20.0%</v>
      </c>
      <c r="G843" s="51" t="str">
        <f t="shared" si="3"/>
        <v>₹149,827.87</v>
      </c>
      <c r="H843" s="51" t="str">
        <f t="shared" si="4"/>
        <v>₹12,485.66</v>
      </c>
      <c r="I843" s="51" t="str">
        <f>50661.59-H843</f>
        <v>₹38,175.93</v>
      </c>
    </row>
    <row r="844" ht="15.75" customHeight="1">
      <c r="A844" s="53" t="s">
        <v>892</v>
      </c>
      <c r="B844" s="53" t="s">
        <v>36</v>
      </c>
      <c r="C844" s="53" t="s">
        <v>14</v>
      </c>
      <c r="D844" s="54">
        <v>32054.41</v>
      </c>
      <c r="E844" s="54" t="str">
        <f t="shared" si="1"/>
        <v>₹384,652.92</v>
      </c>
      <c r="F844" s="55" t="str">
        <f t="shared" si="2"/>
        <v>5.0%</v>
      </c>
      <c r="G844" s="54" t="str">
        <f t="shared" si="3"/>
        <v>₹19,232.65</v>
      </c>
      <c r="H844" s="54" t="str">
        <f t="shared" si="4"/>
        <v>₹1,602.72</v>
      </c>
      <c r="I844" s="54" t="str">
        <f>27293.2-H844</f>
        <v>₹25,690.48</v>
      </c>
    </row>
    <row r="845" ht="15.75" customHeight="1">
      <c r="A845" s="50" t="s">
        <v>893</v>
      </c>
      <c r="B845" s="50" t="s">
        <v>13</v>
      </c>
      <c r="C845" s="50" t="s">
        <v>30</v>
      </c>
      <c r="D845" s="51">
        <v>33451.23</v>
      </c>
      <c r="E845" s="51" t="str">
        <f t="shared" si="1"/>
        <v>₹401,414.76</v>
      </c>
      <c r="F845" s="52" t="str">
        <f t="shared" si="2"/>
        <v>5.0%</v>
      </c>
      <c r="G845" s="51" t="str">
        <f t="shared" si="3"/>
        <v>₹20,070.74</v>
      </c>
      <c r="H845" s="51" t="str">
        <f t="shared" si="4"/>
        <v>₹1,672.56</v>
      </c>
      <c r="I845" s="51" t="str">
        <f>30702.44-H845</f>
        <v>₹29,029.88</v>
      </c>
    </row>
    <row r="846" ht="15.75" customHeight="1">
      <c r="A846" s="53" t="s">
        <v>894</v>
      </c>
      <c r="B846" s="53" t="s">
        <v>29</v>
      </c>
      <c r="C846" s="53" t="s">
        <v>30</v>
      </c>
      <c r="D846" s="54">
        <v>35417.09</v>
      </c>
      <c r="E846" s="54" t="str">
        <f t="shared" si="1"/>
        <v>₹425,005.08</v>
      </c>
      <c r="F846" s="55" t="str">
        <f t="shared" si="2"/>
        <v>5.0%</v>
      </c>
      <c r="G846" s="54" t="str">
        <f t="shared" si="3"/>
        <v>₹21,250.25</v>
      </c>
      <c r="H846" s="54" t="str">
        <f t="shared" si="4"/>
        <v>₹1,770.85</v>
      </c>
      <c r="I846" s="54" t="str">
        <f>29869.72-H846</f>
        <v>₹28,098.87</v>
      </c>
    </row>
    <row r="847" ht="15.75" customHeight="1">
      <c r="A847" s="50" t="s">
        <v>895</v>
      </c>
      <c r="B847" s="50" t="s">
        <v>29</v>
      </c>
      <c r="C847" s="50" t="s">
        <v>26</v>
      </c>
      <c r="D847" s="51">
        <v>145160.87</v>
      </c>
      <c r="E847" s="51" t="str">
        <f t="shared" si="1"/>
        <v>₹1,741,930.44</v>
      </c>
      <c r="F847" s="52" t="str">
        <f t="shared" si="2"/>
        <v>30.0%</v>
      </c>
      <c r="G847" s="51" t="str">
        <f t="shared" si="3"/>
        <v>₹522,579.13</v>
      </c>
      <c r="H847" s="51" t="str">
        <f t="shared" si="4"/>
        <v>₹43,548.26</v>
      </c>
      <c r="I847" s="51" t="str">
        <f>127260.66-H847</f>
        <v>₹83,712.40</v>
      </c>
    </row>
    <row r="848" ht="15.75" customHeight="1">
      <c r="A848" s="53" t="s">
        <v>896</v>
      </c>
      <c r="B848" s="53" t="s">
        <v>13</v>
      </c>
      <c r="C848" s="53" t="s">
        <v>30</v>
      </c>
      <c r="D848" s="54">
        <v>42118.84</v>
      </c>
      <c r="E848" s="54" t="str">
        <f t="shared" si="1"/>
        <v>₹505,426.08</v>
      </c>
      <c r="F848" s="55" t="str">
        <f t="shared" si="2"/>
        <v>20.0%</v>
      </c>
      <c r="G848" s="54" t="str">
        <f t="shared" si="3"/>
        <v>₹101,085.22</v>
      </c>
      <c r="H848" s="54" t="str">
        <f t="shared" si="4"/>
        <v>₹8,423.77</v>
      </c>
      <c r="I848" s="54" t="str">
        <f>35083.5-H848</f>
        <v>₹26,659.73</v>
      </c>
    </row>
    <row r="849" ht="15.75" customHeight="1">
      <c r="A849" s="50" t="s">
        <v>897</v>
      </c>
      <c r="B849" s="50" t="s">
        <v>36</v>
      </c>
      <c r="C849" s="50" t="s">
        <v>26</v>
      </c>
      <c r="D849" s="51">
        <v>137850.48</v>
      </c>
      <c r="E849" s="51" t="str">
        <f t="shared" si="1"/>
        <v>₹1,654,205.76</v>
      </c>
      <c r="F849" s="52" t="str">
        <f t="shared" si="2"/>
        <v>30.0%</v>
      </c>
      <c r="G849" s="51" t="str">
        <f t="shared" si="3"/>
        <v>₹496,261.73</v>
      </c>
      <c r="H849" s="51" t="str">
        <f t="shared" si="4"/>
        <v>₹41,355.14</v>
      </c>
      <c r="I849" s="51" t="str">
        <f>108007.99-H849</f>
        <v>₹66,652.85</v>
      </c>
    </row>
    <row r="850" ht="15.75" customHeight="1">
      <c r="A850" s="53" t="s">
        <v>898</v>
      </c>
      <c r="B850" s="53" t="s">
        <v>36</v>
      </c>
      <c r="C850" s="53" t="s">
        <v>26</v>
      </c>
      <c r="D850" s="54">
        <v>125072.88</v>
      </c>
      <c r="E850" s="54" t="str">
        <f t="shared" si="1"/>
        <v>₹1,500,874.56</v>
      </c>
      <c r="F850" s="55" t="str">
        <f t="shared" si="2"/>
        <v>30.0%</v>
      </c>
      <c r="G850" s="54" t="str">
        <f t="shared" si="3"/>
        <v>₹450,262.37</v>
      </c>
      <c r="H850" s="54" t="str">
        <f t="shared" si="4"/>
        <v>₹37,521.86</v>
      </c>
      <c r="I850" s="54" t="str">
        <f>121428-H850</f>
        <v>₹83,906.14</v>
      </c>
    </row>
    <row r="851" ht="15.75" customHeight="1">
      <c r="A851" s="50" t="s">
        <v>899</v>
      </c>
      <c r="B851" s="50" t="s">
        <v>53</v>
      </c>
      <c r="C851" s="50" t="s">
        <v>37</v>
      </c>
      <c r="D851" s="51">
        <v>84466.28</v>
      </c>
      <c r="E851" s="51" t="str">
        <f t="shared" si="1"/>
        <v>₹1,013,595.36</v>
      </c>
      <c r="F851" s="52" t="str">
        <f t="shared" si="2"/>
        <v>30.0%</v>
      </c>
      <c r="G851" s="51" t="str">
        <f t="shared" si="3"/>
        <v>₹304,078.61</v>
      </c>
      <c r="H851" s="51" t="str">
        <f t="shared" si="4"/>
        <v>₹25,339.88</v>
      </c>
      <c r="I851" s="51" t="str">
        <f>79248.38-H851</f>
        <v>₹53,908.50</v>
      </c>
    </row>
    <row r="852" ht="15.75" customHeight="1">
      <c r="A852" s="53" t="s">
        <v>900</v>
      </c>
      <c r="B852" s="53" t="s">
        <v>25</v>
      </c>
      <c r="C852" s="53" t="s">
        <v>37</v>
      </c>
      <c r="D852" s="54">
        <v>60524.17</v>
      </c>
      <c r="E852" s="54" t="str">
        <f t="shared" si="1"/>
        <v>₹726,290.04</v>
      </c>
      <c r="F852" s="55" t="str">
        <f t="shared" si="2"/>
        <v>20.0%</v>
      </c>
      <c r="G852" s="54" t="str">
        <f t="shared" si="3"/>
        <v>₹145,258.01</v>
      </c>
      <c r="H852" s="54" t="str">
        <f t="shared" si="4"/>
        <v>₹12,104.83</v>
      </c>
      <c r="I852" s="54" t="str">
        <f>58276.97-H852</f>
        <v>₹46,172.14</v>
      </c>
    </row>
    <row r="853" ht="15.75" customHeight="1">
      <c r="A853" s="50" t="s">
        <v>901</v>
      </c>
      <c r="B853" s="50" t="s">
        <v>25</v>
      </c>
      <c r="C853" s="50" t="s">
        <v>33</v>
      </c>
      <c r="D853" s="51">
        <v>42444.63</v>
      </c>
      <c r="E853" s="51" t="str">
        <f t="shared" si="1"/>
        <v>₹509,335.56</v>
      </c>
      <c r="F853" s="52" t="str">
        <f t="shared" si="2"/>
        <v>20.0%</v>
      </c>
      <c r="G853" s="51" t="str">
        <f t="shared" si="3"/>
        <v>₹101,867.11</v>
      </c>
      <c r="H853" s="51" t="str">
        <f t="shared" si="4"/>
        <v>₹8,488.93</v>
      </c>
      <c r="I853" s="51" t="str">
        <f>38427.6-H853</f>
        <v>₹29,938.67</v>
      </c>
    </row>
    <row r="854" ht="15.75" customHeight="1">
      <c r="A854" s="53" t="s">
        <v>902</v>
      </c>
      <c r="B854" s="53" t="s">
        <v>29</v>
      </c>
      <c r="C854" s="53" t="s">
        <v>33</v>
      </c>
      <c r="D854" s="54">
        <v>40373.18</v>
      </c>
      <c r="E854" s="54" t="str">
        <f t="shared" si="1"/>
        <v>₹484,478.16</v>
      </c>
      <c r="F854" s="55" t="str">
        <f t="shared" si="2"/>
        <v>5.0%</v>
      </c>
      <c r="G854" s="54" t="str">
        <f t="shared" si="3"/>
        <v>₹24,223.91</v>
      </c>
      <c r="H854" s="54" t="str">
        <f t="shared" si="4"/>
        <v>₹2,018.66</v>
      </c>
      <c r="I854" s="54" t="str">
        <f>33422.5-H854</f>
        <v>₹31,403.84</v>
      </c>
    </row>
    <row r="855" ht="15.75" customHeight="1">
      <c r="A855" s="50" t="s">
        <v>903</v>
      </c>
      <c r="B855" s="50" t="s">
        <v>17</v>
      </c>
      <c r="C855" s="50" t="s">
        <v>54</v>
      </c>
      <c r="D855" s="51">
        <v>54072.54</v>
      </c>
      <c r="E855" s="51" t="str">
        <f t="shared" si="1"/>
        <v>₹648,870.48</v>
      </c>
      <c r="F855" s="52" t="str">
        <f t="shared" si="2"/>
        <v>20.0%</v>
      </c>
      <c r="G855" s="51" t="str">
        <f t="shared" si="3"/>
        <v>₹129,774.10</v>
      </c>
      <c r="H855" s="51" t="str">
        <f t="shared" si="4"/>
        <v>₹10,814.51</v>
      </c>
      <c r="I855" s="51" t="str">
        <f>43469.4-H855</f>
        <v>₹32,654.89</v>
      </c>
    </row>
    <row r="856" ht="15.75" customHeight="1">
      <c r="A856" s="53" t="s">
        <v>904</v>
      </c>
      <c r="B856" s="53" t="s">
        <v>53</v>
      </c>
      <c r="C856" s="53" t="s">
        <v>37</v>
      </c>
      <c r="D856" s="54">
        <v>79812.48</v>
      </c>
      <c r="E856" s="54" t="str">
        <f t="shared" si="1"/>
        <v>₹957,749.76</v>
      </c>
      <c r="F856" s="55" t="str">
        <f t="shared" si="2"/>
        <v>20.0%</v>
      </c>
      <c r="G856" s="54" t="str">
        <f t="shared" si="3"/>
        <v>₹191,549.95</v>
      </c>
      <c r="H856" s="54" t="str">
        <f t="shared" si="4"/>
        <v>₹15,962.50</v>
      </c>
      <c r="I856" s="54" t="str">
        <f>63154.05-H856</f>
        <v>₹47,191.55</v>
      </c>
    </row>
    <row r="857" ht="15.75" customHeight="1">
      <c r="A857" s="50" t="s">
        <v>905</v>
      </c>
      <c r="B857" s="50" t="s">
        <v>29</v>
      </c>
      <c r="C857" s="50" t="s">
        <v>33</v>
      </c>
      <c r="D857" s="51">
        <v>44345.33</v>
      </c>
      <c r="E857" s="51" t="str">
        <f t="shared" si="1"/>
        <v>₹532,143.96</v>
      </c>
      <c r="F857" s="52" t="str">
        <f t="shared" si="2"/>
        <v>20.0%</v>
      </c>
      <c r="G857" s="51" t="str">
        <f t="shared" si="3"/>
        <v>₹106,428.79</v>
      </c>
      <c r="H857" s="51" t="str">
        <f t="shared" si="4"/>
        <v>₹8,869.07</v>
      </c>
      <c r="I857" s="51" t="str">
        <f>37333.91-H857</f>
        <v>₹28,464.84</v>
      </c>
    </row>
    <row r="858" ht="15.75" customHeight="1">
      <c r="A858" s="53" t="s">
        <v>906</v>
      </c>
      <c r="B858" s="53" t="s">
        <v>36</v>
      </c>
      <c r="C858" s="53" t="s">
        <v>37</v>
      </c>
      <c r="D858" s="54">
        <v>71541.66</v>
      </c>
      <c r="E858" s="54" t="str">
        <f t="shared" si="1"/>
        <v>₹858,499.92</v>
      </c>
      <c r="F858" s="55" t="str">
        <f t="shared" si="2"/>
        <v>20.0%</v>
      </c>
      <c r="G858" s="54" t="str">
        <f t="shared" si="3"/>
        <v>₹171,699.98</v>
      </c>
      <c r="H858" s="54" t="str">
        <f t="shared" si="4"/>
        <v>₹14,308.33</v>
      </c>
      <c r="I858" s="54" t="str">
        <f>69362.09-H858</f>
        <v>₹55,053.76</v>
      </c>
    </row>
    <row r="859" ht="15.75" customHeight="1">
      <c r="A859" s="50" t="s">
        <v>907</v>
      </c>
      <c r="B859" s="50" t="s">
        <v>13</v>
      </c>
      <c r="C859" s="50" t="s">
        <v>26</v>
      </c>
      <c r="D859" s="51">
        <v>170869.75</v>
      </c>
      <c r="E859" s="51" t="str">
        <f t="shared" si="1"/>
        <v>₹2,050,437.00</v>
      </c>
      <c r="F859" s="52" t="str">
        <f t="shared" si="2"/>
        <v>30.0%</v>
      </c>
      <c r="G859" s="51" t="str">
        <f t="shared" si="3"/>
        <v>₹615,131.10</v>
      </c>
      <c r="H859" s="51" t="str">
        <f t="shared" si="4"/>
        <v>₹51,260.93</v>
      </c>
      <c r="I859" s="51" t="str">
        <f>148196.81-H859</f>
        <v>₹96,935.89</v>
      </c>
    </row>
    <row r="860" ht="15.75" customHeight="1">
      <c r="A860" s="53" t="s">
        <v>908</v>
      </c>
      <c r="B860" s="53" t="s">
        <v>25</v>
      </c>
      <c r="C860" s="53" t="s">
        <v>14</v>
      </c>
      <c r="D860" s="54">
        <v>25416.69</v>
      </c>
      <c r="E860" s="54" t="str">
        <f t="shared" si="1"/>
        <v>₹305,000.28</v>
      </c>
      <c r="F860" s="55" t="str">
        <f t="shared" si="2"/>
        <v>5.0%</v>
      </c>
      <c r="G860" s="54" t="str">
        <f t="shared" si="3"/>
        <v>₹15,250.01</v>
      </c>
      <c r="H860" s="54" t="str">
        <f t="shared" si="4"/>
        <v>₹1,270.83</v>
      </c>
      <c r="I860" s="54" t="str">
        <f>23670.32-H860</f>
        <v>₹22,399.49</v>
      </c>
    </row>
    <row r="861" ht="15.75" customHeight="1">
      <c r="A861" s="50" t="s">
        <v>909</v>
      </c>
      <c r="B861" s="50" t="s">
        <v>29</v>
      </c>
      <c r="C861" s="50" t="s">
        <v>18</v>
      </c>
      <c r="D861" s="51">
        <v>102817.54</v>
      </c>
      <c r="E861" s="51" t="str">
        <f t="shared" si="1"/>
        <v>₹1,233,810.48</v>
      </c>
      <c r="F861" s="52" t="str">
        <f t="shared" si="2"/>
        <v>30.0%</v>
      </c>
      <c r="G861" s="51" t="str">
        <f t="shared" si="3"/>
        <v>₹370,143.14</v>
      </c>
      <c r="H861" s="51" t="str">
        <f t="shared" si="4"/>
        <v>₹30,845.26</v>
      </c>
      <c r="I861" s="51" t="str">
        <f>96962.3-H861</f>
        <v>₹66,117.04</v>
      </c>
    </row>
    <row r="862" ht="15.75" customHeight="1">
      <c r="A862" s="53" t="s">
        <v>910</v>
      </c>
      <c r="B862" s="53" t="s">
        <v>36</v>
      </c>
      <c r="C862" s="53" t="s">
        <v>30</v>
      </c>
      <c r="D862" s="54">
        <v>77973.5</v>
      </c>
      <c r="E862" s="54" t="str">
        <f t="shared" si="1"/>
        <v>₹935,682.00</v>
      </c>
      <c r="F862" s="55" t="str">
        <f t="shared" si="2"/>
        <v>20.0%</v>
      </c>
      <c r="G862" s="54" t="str">
        <f t="shared" si="3"/>
        <v>₹187,136.40</v>
      </c>
      <c r="H862" s="54" t="str">
        <f t="shared" si="4"/>
        <v>₹15,594.70</v>
      </c>
      <c r="I862" s="54" t="str">
        <f>72816.9-H862</f>
        <v>₹57,222.20</v>
      </c>
    </row>
    <row r="863" ht="15.75" customHeight="1">
      <c r="A863" s="50" t="s">
        <v>911</v>
      </c>
      <c r="B863" s="50" t="s">
        <v>29</v>
      </c>
      <c r="C863" s="50" t="s">
        <v>18</v>
      </c>
      <c r="D863" s="51">
        <v>109516.13</v>
      </c>
      <c r="E863" s="51" t="str">
        <f t="shared" si="1"/>
        <v>₹1,314,193.56</v>
      </c>
      <c r="F863" s="52" t="str">
        <f t="shared" si="2"/>
        <v>30.0%</v>
      </c>
      <c r="G863" s="51" t="str">
        <f t="shared" si="3"/>
        <v>₹394,258.07</v>
      </c>
      <c r="H863" s="51" t="str">
        <f t="shared" si="4"/>
        <v>₹32,854.84</v>
      </c>
      <c r="I863" s="51" t="str">
        <f>105349.14-H863</f>
        <v>₹72,494.30</v>
      </c>
    </row>
    <row r="864" ht="15.75" customHeight="1">
      <c r="A864" s="53" t="s">
        <v>912</v>
      </c>
      <c r="B864" s="53" t="s">
        <v>17</v>
      </c>
      <c r="C864" s="53" t="s">
        <v>14</v>
      </c>
      <c r="D864" s="54">
        <v>34510.17</v>
      </c>
      <c r="E864" s="54" t="str">
        <f t="shared" si="1"/>
        <v>₹414,122.04</v>
      </c>
      <c r="F864" s="55" t="str">
        <f t="shared" si="2"/>
        <v>5.0%</v>
      </c>
      <c r="G864" s="54" t="str">
        <f t="shared" si="3"/>
        <v>₹20,706.10</v>
      </c>
      <c r="H864" s="54" t="str">
        <f t="shared" si="4"/>
        <v>₹1,725.51</v>
      </c>
      <c r="I864" s="54" t="str">
        <f>34110.6-H864</f>
        <v>₹32,385.09</v>
      </c>
    </row>
    <row r="865" ht="15.75" customHeight="1">
      <c r="A865" s="50" t="s">
        <v>913</v>
      </c>
      <c r="B865" s="50" t="s">
        <v>53</v>
      </c>
      <c r="C865" s="50" t="s">
        <v>26</v>
      </c>
      <c r="D865" s="51">
        <v>166229.45</v>
      </c>
      <c r="E865" s="51" t="str">
        <f t="shared" si="1"/>
        <v>₹1,994,753.40</v>
      </c>
      <c r="F865" s="52" t="str">
        <f t="shared" si="2"/>
        <v>30.0%</v>
      </c>
      <c r="G865" s="51" t="str">
        <f t="shared" si="3"/>
        <v>₹598,426.02</v>
      </c>
      <c r="H865" s="51" t="str">
        <f t="shared" si="4"/>
        <v>₹49,868.84</v>
      </c>
      <c r="I865" s="51" t="str">
        <f>142891.8-H865</f>
        <v>₹93,022.97</v>
      </c>
    </row>
    <row r="866" ht="15.75" customHeight="1">
      <c r="A866" s="53" t="s">
        <v>914</v>
      </c>
      <c r="B866" s="53" t="s">
        <v>13</v>
      </c>
      <c r="C866" s="53" t="s">
        <v>54</v>
      </c>
      <c r="D866" s="54">
        <v>53076.63</v>
      </c>
      <c r="E866" s="54" t="str">
        <f t="shared" si="1"/>
        <v>₹636,919.56</v>
      </c>
      <c r="F866" s="55" t="str">
        <f t="shared" si="2"/>
        <v>20.0%</v>
      </c>
      <c r="G866" s="54" t="str">
        <f t="shared" si="3"/>
        <v>₹127,383.91</v>
      </c>
      <c r="H866" s="54" t="str">
        <f t="shared" si="4"/>
        <v>₹10,615.33</v>
      </c>
      <c r="I866" s="54" t="str">
        <f>49723.54-H866</f>
        <v>₹39,108.21</v>
      </c>
    </row>
    <row r="867" ht="15.75" customHeight="1">
      <c r="A867" s="50" t="s">
        <v>915</v>
      </c>
      <c r="B867" s="50" t="s">
        <v>51</v>
      </c>
      <c r="C867" s="50" t="s">
        <v>30</v>
      </c>
      <c r="D867" s="51">
        <v>35534.77</v>
      </c>
      <c r="E867" s="51" t="str">
        <f t="shared" si="1"/>
        <v>₹426,417.24</v>
      </c>
      <c r="F867" s="52" t="str">
        <f t="shared" si="2"/>
        <v>5.0%</v>
      </c>
      <c r="G867" s="51" t="str">
        <f t="shared" si="3"/>
        <v>₹21,320.86</v>
      </c>
      <c r="H867" s="51" t="str">
        <f t="shared" si="4"/>
        <v>₹1,776.74</v>
      </c>
      <c r="I867" s="51" t="str">
        <f>35253.86-H867</f>
        <v>₹33,477.12</v>
      </c>
    </row>
    <row r="868" ht="15.75" customHeight="1">
      <c r="A868" s="53" t="s">
        <v>916</v>
      </c>
      <c r="B868" s="53" t="s">
        <v>25</v>
      </c>
      <c r="C868" s="53" t="s">
        <v>33</v>
      </c>
      <c r="D868" s="54">
        <v>46878.63</v>
      </c>
      <c r="E868" s="54" t="str">
        <f t="shared" si="1"/>
        <v>₹562,543.56</v>
      </c>
      <c r="F868" s="55" t="str">
        <f t="shared" si="2"/>
        <v>20.0%</v>
      </c>
      <c r="G868" s="54" t="str">
        <f t="shared" si="3"/>
        <v>₹112,508.71</v>
      </c>
      <c r="H868" s="54" t="str">
        <f t="shared" si="4"/>
        <v>₹9,375.73</v>
      </c>
      <c r="I868" s="54" t="str">
        <f>38088.89-H868</f>
        <v>₹28,713.16</v>
      </c>
    </row>
    <row r="869" ht="15.75" customHeight="1">
      <c r="A869" s="50" t="s">
        <v>918</v>
      </c>
      <c r="B869" s="50" t="s">
        <v>53</v>
      </c>
      <c r="C869" s="50" t="s">
        <v>54</v>
      </c>
      <c r="D869" s="51">
        <v>54957.33</v>
      </c>
      <c r="E869" s="51" t="str">
        <f t="shared" si="1"/>
        <v>₹659,487.96</v>
      </c>
      <c r="F869" s="52" t="str">
        <f t="shared" si="2"/>
        <v>20.0%</v>
      </c>
      <c r="G869" s="51" t="str">
        <f t="shared" si="3"/>
        <v>₹131,897.59</v>
      </c>
      <c r="H869" s="51" t="str">
        <f t="shared" si="4"/>
        <v>₹10,991.47</v>
      </c>
      <c r="I869" s="51" t="str">
        <f>48988.77-H869</f>
        <v>₹37,997.30</v>
      </c>
    </row>
    <row r="870" ht="15.75" customHeight="1">
      <c r="A870" s="53" t="s">
        <v>919</v>
      </c>
      <c r="B870" s="53" t="s">
        <v>53</v>
      </c>
      <c r="C870" s="53" t="s">
        <v>54</v>
      </c>
      <c r="D870" s="54">
        <v>62559.53</v>
      </c>
      <c r="E870" s="54" t="str">
        <f t="shared" si="1"/>
        <v>₹750,714.36</v>
      </c>
      <c r="F870" s="55" t="str">
        <f t="shared" si="2"/>
        <v>20.0%</v>
      </c>
      <c r="G870" s="54" t="str">
        <f t="shared" si="3"/>
        <v>₹150,142.87</v>
      </c>
      <c r="H870" s="54" t="str">
        <f t="shared" si="4"/>
        <v>₹12,511.91</v>
      </c>
      <c r="I870" s="54" t="str">
        <f>55142.91-H870</f>
        <v>₹42,631.00</v>
      </c>
    </row>
    <row r="871" ht="15.75" customHeight="1">
      <c r="A871" s="50" t="s">
        <v>920</v>
      </c>
      <c r="B871" s="50" t="s">
        <v>13</v>
      </c>
      <c r="C871" s="50" t="s">
        <v>18</v>
      </c>
      <c r="D871" s="51">
        <v>116880.79</v>
      </c>
      <c r="E871" s="51" t="str">
        <f t="shared" si="1"/>
        <v>₹1,402,569.48</v>
      </c>
      <c r="F871" s="52" t="str">
        <f t="shared" si="2"/>
        <v>30.0%</v>
      </c>
      <c r="G871" s="51" t="str">
        <f t="shared" si="3"/>
        <v>₹420,770.84</v>
      </c>
      <c r="H871" s="51" t="str">
        <f t="shared" si="4"/>
        <v>₹35,064.24</v>
      </c>
      <c r="I871" s="51" t="str">
        <f>105483.22-H871</f>
        <v>₹70,418.98</v>
      </c>
    </row>
    <row r="872" ht="15.75" customHeight="1">
      <c r="A872" s="53" t="s">
        <v>921</v>
      </c>
      <c r="B872" s="53" t="s">
        <v>25</v>
      </c>
      <c r="C872" s="53" t="s">
        <v>14</v>
      </c>
      <c r="D872" s="54">
        <v>29085.37</v>
      </c>
      <c r="E872" s="54" t="str">
        <f t="shared" si="1"/>
        <v>₹349,024.44</v>
      </c>
      <c r="F872" s="55" t="str">
        <f t="shared" si="2"/>
        <v>5.0%</v>
      </c>
      <c r="G872" s="54" t="str">
        <f t="shared" si="3"/>
        <v>₹17,451.22</v>
      </c>
      <c r="H872" s="54" t="str">
        <f t="shared" si="4"/>
        <v>₹1,454.27</v>
      </c>
      <c r="I872" s="54" t="str">
        <f>27434.45-H872</f>
        <v>₹25,980.18</v>
      </c>
    </row>
    <row r="873" ht="15.75" customHeight="1">
      <c r="A873" s="50" t="s">
        <v>922</v>
      </c>
      <c r="B873" s="50" t="s">
        <v>17</v>
      </c>
      <c r="C873" s="50" t="s">
        <v>14</v>
      </c>
      <c r="D873" s="51">
        <v>31599.53</v>
      </c>
      <c r="E873" s="51" t="str">
        <f t="shared" si="1"/>
        <v>₹379,194.36</v>
      </c>
      <c r="F873" s="52" t="str">
        <f t="shared" si="2"/>
        <v>5.0%</v>
      </c>
      <c r="G873" s="51" t="str">
        <f t="shared" si="3"/>
        <v>₹18,959.72</v>
      </c>
      <c r="H873" s="51" t="str">
        <f t="shared" si="4"/>
        <v>₹1,579.98</v>
      </c>
      <c r="I873" s="51" t="str">
        <f>30709.44-H873</f>
        <v>₹29,129.46</v>
      </c>
    </row>
    <row r="874" ht="15.75" customHeight="1">
      <c r="A874" s="53" t="s">
        <v>923</v>
      </c>
      <c r="B874" s="53" t="s">
        <v>36</v>
      </c>
      <c r="C874" s="53" t="s">
        <v>37</v>
      </c>
      <c r="D874" s="54">
        <v>67021.02</v>
      </c>
      <c r="E874" s="54" t="str">
        <f t="shared" si="1"/>
        <v>₹804,252.24</v>
      </c>
      <c r="F874" s="55" t="str">
        <f t="shared" si="2"/>
        <v>20.0%</v>
      </c>
      <c r="G874" s="54" t="str">
        <f t="shared" si="3"/>
        <v>₹160,850.45</v>
      </c>
      <c r="H874" s="54" t="str">
        <f t="shared" si="4"/>
        <v>₹13,404.20</v>
      </c>
      <c r="I874" s="54" t="str">
        <f>54194.56-H874</f>
        <v>₹40,790.36</v>
      </c>
    </row>
    <row r="875" ht="15.75" customHeight="1">
      <c r="A875" s="50" t="s">
        <v>924</v>
      </c>
      <c r="B875" s="50" t="s">
        <v>29</v>
      </c>
      <c r="C875" s="50" t="s">
        <v>14</v>
      </c>
      <c r="D875" s="51">
        <v>34321.25</v>
      </c>
      <c r="E875" s="51" t="str">
        <f t="shared" si="1"/>
        <v>₹411,855.00</v>
      </c>
      <c r="F875" s="52" t="str">
        <f t="shared" si="2"/>
        <v>5.0%</v>
      </c>
      <c r="G875" s="51" t="str">
        <f t="shared" si="3"/>
        <v>₹20,592.75</v>
      </c>
      <c r="H875" s="51" t="str">
        <f t="shared" si="4"/>
        <v>₹1,716.06</v>
      </c>
      <c r="I875" s="51" t="str">
        <f>30109.82-H875</f>
        <v>₹28,393.76</v>
      </c>
    </row>
    <row r="876" ht="15.75" customHeight="1">
      <c r="A876" s="53" t="s">
        <v>925</v>
      </c>
      <c r="B876" s="53" t="s">
        <v>53</v>
      </c>
      <c r="C876" s="53" t="s">
        <v>33</v>
      </c>
      <c r="D876" s="54">
        <v>39694.93</v>
      </c>
      <c r="E876" s="54" t="str">
        <f t="shared" si="1"/>
        <v>₹476,339.16</v>
      </c>
      <c r="F876" s="55" t="str">
        <f t="shared" si="2"/>
        <v>5.0%</v>
      </c>
      <c r="G876" s="54" t="str">
        <f t="shared" si="3"/>
        <v>₹23,816.96</v>
      </c>
      <c r="H876" s="54" t="str">
        <f t="shared" si="4"/>
        <v>₹1,984.75</v>
      </c>
      <c r="I876" s="54" t="str">
        <f>36169.36-H876</f>
        <v>₹34,184.61</v>
      </c>
    </row>
    <row r="877" ht="15.75" customHeight="1">
      <c r="A877" s="50" t="s">
        <v>926</v>
      </c>
      <c r="B877" s="50" t="s">
        <v>17</v>
      </c>
      <c r="C877" s="50" t="s">
        <v>54</v>
      </c>
      <c r="D877" s="51">
        <v>61401.69</v>
      </c>
      <c r="E877" s="51" t="str">
        <f t="shared" si="1"/>
        <v>₹736,820.28</v>
      </c>
      <c r="F877" s="52" t="str">
        <f t="shared" si="2"/>
        <v>20.0%</v>
      </c>
      <c r="G877" s="51" t="str">
        <f t="shared" si="3"/>
        <v>₹147,364.06</v>
      </c>
      <c r="H877" s="51" t="str">
        <f t="shared" si="4"/>
        <v>₹12,280.34</v>
      </c>
      <c r="I877" s="51" t="str">
        <f>50901.14-H877</f>
        <v>₹38,620.80</v>
      </c>
    </row>
    <row r="878" ht="15.75" customHeight="1">
      <c r="A878" s="53" t="s">
        <v>927</v>
      </c>
      <c r="B878" s="53" t="s">
        <v>25</v>
      </c>
      <c r="C878" s="53" t="s">
        <v>18</v>
      </c>
      <c r="D878" s="54">
        <v>112355.13</v>
      </c>
      <c r="E878" s="54" t="str">
        <f t="shared" si="1"/>
        <v>₹1,348,261.56</v>
      </c>
      <c r="F878" s="55" t="str">
        <f t="shared" si="2"/>
        <v>30.0%</v>
      </c>
      <c r="G878" s="54" t="str">
        <f t="shared" si="3"/>
        <v>₹404,478.47</v>
      </c>
      <c r="H878" s="54" t="str">
        <f t="shared" si="4"/>
        <v>₹33,706.54</v>
      </c>
      <c r="I878" s="54" t="str">
        <f>93900.68-H878</f>
        <v>₹60,194.14</v>
      </c>
    </row>
    <row r="879" ht="15.75" customHeight="1">
      <c r="A879" s="50" t="s">
        <v>928</v>
      </c>
      <c r="B879" s="50" t="s">
        <v>36</v>
      </c>
      <c r="C879" s="50" t="s">
        <v>30</v>
      </c>
      <c r="D879" s="51">
        <v>39440.42</v>
      </c>
      <c r="E879" s="51" t="str">
        <f t="shared" si="1"/>
        <v>₹473,285.04</v>
      </c>
      <c r="F879" s="52" t="str">
        <f t="shared" si="2"/>
        <v>5.0%</v>
      </c>
      <c r="G879" s="51" t="str">
        <f t="shared" si="3"/>
        <v>₹23,664.25</v>
      </c>
      <c r="H879" s="51" t="str">
        <f t="shared" si="4"/>
        <v>₹1,972.02</v>
      </c>
      <c r="I879" s="51" t="str">
        <f>36876.58-H879</f>
        <v>₹34,904.56</v>
      </c>
    </row>
    <row r="880" ht="15.75" customHeight="1">
      <c r="A880" s="53" t="s">
        <v>929</v>
      </c>
      <c r="B880" s="53" t="s">
        <v>36</v>
      </c>
      <c r="C880" s="53" t="s">
        <v>37</v>
      </c>
      <c r="D880" s="54">
        <v>76540.75</v>
      </c>
      <c r="E880" s="54" t="str">
        <f t="shared" si="1"/>
        <v>₹918,489.00</v>
      </c>
      <c r="F880" s="55" t="str">
        <f t="shared" si="2"/>
        <v>20.0%</v>
      </c>
      <c r="G880" s="54" t="str">
        <f t="shared" si="3"/>
        <v>₹183,697.80</v>
      </c>
      <c r="H880" s="54" t="str">
        <f t="shared" si="4"/>
        <v>₹15,308.15</v>
      </c>
      <c r="I880" s="54" t="str">
        <f>68695.9-H880</f>
        <v>₹53,387.75</v>
      </c>
    </row>
    <row r="881" ht="15.75" customHeight="1">
      <c r="A881" s="50" t="s">
        <v>930</v>
      </c>
      <c r="B881" s="50" t="s">
        <v>17</v>
      </c>
      <c r="C881" s="50" t="s">
        <v>30</v>
      </c>
      <c r="D881" s="51">
        <v>31568.39</v>
      </c>
      <c r="E881" s="51" t="str">
        <f t="shared" si="1"/>
        <v>₹378,820.68</v>
      </c>
      <c r="F881" s="52" t="str">
        <f t="shared" si="2"/>
        <v>5.0%</v>
      </c>
      <c r="G881" s="51" t="str">
        <f t="shared" si="3"/>
        <v>₹18,941.03</v>
      </c>
      <c r="H881" s="51" t="str">
        <f t="shared" si="4"/>
        <v>₹1,578.42</v>
      </c>
      <c r="I881" s="51" t="str">
        <f>30316.84-H881</f>
        <v>₹28,738.42</v>
      </c>
    </row>
    <row r="882" ht="15.75" customHeight="1">
      <c r="A882" s="53" t="s">
        <v>931</v>
      </c>
      <c r="B882" s="53" t="s">
        <v>29</v>
      </c>
      <c r="C882" s="53" t="s">
        <v>33</v>
      </c>
      <c r="D882" s="54">
        <v>36427.23</v>
      </c>
      <c r="E882" s="54" t="str">
        <f t="shared" si="1"/>
        <v>₹437,126.76</v>
      </c>
      <c r="F882" s="55" t="str">
        <f t="shared" si="2"/>
        <v>5.0%</v>
      </c>
      <c r="G882" s="54" t="str">
        <f t="shared" si="3"/>
        <v>₹21,856.34</v>
      </c>
      <c r="H882" s="54" t="str">
        <f t="shared" si="4"/>
        <v>₹1,821.36</v>
      </c>
      <c r="I882" s="54" t="str">
        <f>36362.62-H882</f>
        <v>₹34,541.26</v>
      </c>
    </row>
    <row r="883" ht="15.75" customHeight="1">
      <c r="A883" s="50" t="s">
        <v>932</v>
      </c>
      <c r="B883" s="50" t="s">
        <v>51</v>
      </c>
      <c r="C883" s="50" t="s">
        <v>14</v>
      </c>
      <c r="D883" s="51">
        <v>29493.8</v>
      </c>
      <c r="E883" s="51" t="str">
        <f t="shared" si="1"/>
        <v>₹353,925.60</v>
      </c>
      <c r="F883" s="52" t="str">
        <f t="shared" si="2"/>
        <v>5.0%</v>
      </c>
      <c r="G883" s="51" t="str">
        <f t="shared" si="3"/>
        <v>₹17,696.28</v>
      </c>
      <c r="H883" s="51" t="str">
        <f t="shared" si="4"/>
        <v>₹1,474.69</v>
      </c>
      <c r="I883" s="51" t="str">
        <f>27479.1-H883</f>
        <v>₹26,004.41</v>
      </c>
    </row>
    <row r="884" ht="15.75" customHeight="1">
      <c r="A884" s="53" t="s">
        <v>933</v>
      </c>
      <c r="B884" s="53" t="s">
        <v>29</v>
      </c>
      <c r="C884" s="53" t="s">
        <v>54</v>
      </c>
      <c r="D884" s="54">
        <v>58468.31</v>
      </c>
      <c r="E884" s="54" t="str">
        <f t="shared" si="1"/>
        <v>₹701,619.72</v>
      </c>
      <c r="F884" s="55" t="str">
        <f t="shared" si="2"/>
        <v>20.0%</v>
      </c>
      <c r="G884" s="54" t="str">
        <f t="shared" si="3"/>
        <v>₹140,323.94</v>
      </c>
      <c r="H884" s="54" t="str">
        <f t="shared" si="4"/>
        <v>₹11,693.66</v>
      </c>
      <c r="I884" s="54" t="str">
        <f>57391.14-H884</f>
        <v>₹45,697.48</v>
      </c>
    </row>
    <row r="885" ht="15.75" customHeight="1">
      <c r="A885" s="50" t="s">
        <v>934</v>
      </c>
      <c r="B885" s="50" t="s">
        <v>17</v>
      </c>
      <c r="C885" s="50" t="s">
        <v>33</v>
      </c>
      <c r="D885" s="51">
        <v>43051.15</v>
      </c>
      <c r="E885" s="51" t="str">
        <f t="shared" si="1"/>
        <v>₹516,613.80</v>
      </c>
      <c r="F885" s="52" t="str">
        <f t="shared" si="2"/>
        <v>20.0%</v>
      </c>
      <c r="G885" s="51" t="str">
        <f t="shared" si="3"/>
        <v>₹103,322.76</v>
      </c>
      <c r="H885" s="51" t="str">
        <f t="shared" si="4"/>
        <v>₹8,610.23</v>
      </c>
      <c r="I885" s="51" t="str">
        <f>38431.04-H885</f>
        <v>₹29,820.81</v>
      </c>
    </row>
    <row r="886" ht="15.75" customHeight="1">
      <c r="A886" s="53" t="s">
        <v>935</v>
      </c>
      <c r="B886" s="53" t="s">
        <v>25</v>
      </c>
      <c r="C886" s="53" t="s">
        <v>33</v>
      </c>
      <c r="D886" s="54">
        <v>48619.3</v>
      </c>
      <c r="E886" s="54" t="str">
        <f t="shared" si="1"/>
        <v>₹583,431.60</v>
      </c>
      <c r="F886" s="55" t="str">
        <f t="shared" si="2"/>
        <v>20.0%</v>
      </c>
      <c r="G886" s="54" t="str">
        <f t="shared" si="3"/>
        <v>₹116,686.32</v>
      </c>
      <c r="H886" s="54" t="str">
        <f t="shared" si="4"/>
        <v>₹9,723.86</v>
      </c>
      <c r="I886" s="54" t="str">
        <f>47405.57-H886</f>
        <v>₹37,681.71</v>
      </c>
    </row>
    <row r="887" ht="15.75" customHeight="1">
      <c r="A887" s="50" t="s">
        <v>936</v>
      </c>
      <c r="B887" s="50" t="s">
        <v>51</v>
      </c>
      <c r="C887" s="50" t="s">
        <v>54</v>
      </c>
      <c r="D887" s="51">
        <v>63593.57</v>
      </c>
      <c r="E887" s="51" t="str">
        <f t="shared" si="1"/>
        <v>₹763,122.84</v>
      </c>
      <c r="F887" s="52" t="str">
        <f t="shared" si="2"/>
        <v>20.0%</v>
      </c>
      <c r="G887" s="51" t="str">
        <f t="shared" si="3"/>
        <v>₹152,624.57</v>
      </c>
      <c r="H887" s="51" t="str">
        <f t="shared" si="4"/>
        <v>₹12,718.71</v>
      </c>
      <c r="I887" s="51" t="str">
        <f>53459.32-H887</f>
        <v>₹40,740.61</v>
      </c>
    </row>
    <row r="888" ht="15.75" customHeight="1">
      <c r="A888" s="53" t="s">
        <v>937</v>
      </c>
      <c r="B888" s="53" t="s">
        <v>51</v>
      </c>
      <c r="C888" s="53" t="s">
        <v>54</v>
      </c>
      <c r="D888" s="54">
        <v>59734.06</v>
      </c>
      <c r="E888" s="54" t="str">
        <f t="shared" si="1"/>
        <v>₹716,808.72</v>
      </c>
      <c r="F888" s="55" t="str">
        <f t="shared" si="2"/>
        <v>20.0%</v>
      </c>
      <c r="G888" s="54" t="str">
        <f t="shared" si="3"/>
        <v>₹143,361.74</v>
      </c>
      <c r="H888" s="54" t="str">
        <f t="shared" si="4"/>
        <v>₹11,946.81</v>
      </c>
      <c r="I888" s="54" t="str">
        <f>50684.11-H888</f>
        <v>₹38,737.30</v>
      </c>
    </row>
    <row r="889" ht="15.75" customHeight="1">
      <c r="A889" s="50" t="s">
        <v>938</v>
      </c>
      <c r="B889" s="50" t="s">
        <v>36</v>
      </c>
      <c r="C889" s="50" t="s">
        <v>54</v>
      </c>
      <c r="D889" s="51">
        <v>60682.53</v>
      </c>
      <c r="E889" s="51" t="str">
        <f t="shared" si="1"/>
        <v>₹728,190.36</v>
      </c>
      <c r="F889" s="52" t="str">
        <f t="shared" si="2"/>
        <v>20.0%</v>
      </c>
      <c r="G889" s="51" t="str">
        <f t="shared" si="3"/>
        <v>₹145,638.07</v>
      </c>
      <c r="H889" s="51" t="str">
        <f t="shared" si="4"/>
        <v>₹12,136.51</v>
      </c>
      <c r="I889" s="51" t="str">
        <f>56365.74-H889</f>
        <v>₹44,229.23</v>
      </c>
    </row>
    <row r="890" ht="15.75" customHeight="1">
      <c r="A890" s="53" t="s">
        <v>939</v>
      </c>
      <c r="B890" s="53" t="s">
        <v>13</v>
      </c>
      <c r="C890" s="53" t="s">
        <v>14</v>
      </c>
      <c r="D890" s="54">
        <v>32938.49</v>
      </c>
      <c r="E890" s="54" t="str">
        <f t="shared" si="1"/>
        <v>₹395,261.88</v>
      </c>
      <c r="F890" s="55" t="str">
        <f t="shared" si="2"/>
        <v>5.0%</v>
      </c>
      <c r="G890" s="54" t="str">
        <f t="shared" si="3"/>
        <v>₹19,763.09</v>
      </c>
      <c r="H890" s="54" t="str">
        <f t="shared" si="4"/>
        <v>₹1,646.92</v>
      </c>
      <c r="I890" s="54" t="str">
        <f>32082.45-H890</f>
        <v>₹30,435.53</v>
      </c>
    </row>
    <row r="891" ht="15.75" customHeight="1">
      <c r="A891" s="50" t="s">
        <v>940</v>
      </c>
      <c r="B891" s="50" t="s">
        <v>13</v>
      </c>
      <c r="C891" s="50" t="s">
        <v>33</v>
      </c>
      <c r="D891" s="51">
        <v>39873.75</v>
      </c>
      <c r="E891" s="51" t="str">
        <f t="shared" si="1"/>
        <v>₹478,485.00</v>
      </c>
      <c r="F891" s="52" t="str">
        <f t="shared" si="2"/>
        <v>5.0%</v>
      </c>
      <c r="G891" s="51" t="str">
        <f t="shared" si="3"/>
        <v>₹23,924.25</v>
      </c>
      <c r="H891" s="51" t="str">
        <f t="shared" si="4"/>
        <v>₹1,993.69</v>
      </c>
      <c r="I891" s="51" t="str">
        <f>32881.43-H891</f>
        <v>₹30,887.74</v>
      </c>
    </row>
    <row r="892" ht="15.75" customHeight="1">
      <c r="A892" s="53" t="s">
        <v>941</v>
      </c>
      <c r="B892" s="53" t="s">
        <v>17</v>
      </c>
      <c r="C892" s="53" t="s">
        <v>30</v>
      </c>
      <c r="D892" s="54">
        <v>37629.82</v>
      </c>
      <c r="E892" s="54" t="str">
        <f t="shared" si="1"/>
        <v>₹451,557.84</v>
      </c>
      <c r="F892" s="55" t="str">
        <f t="shared" si="2"/>
        <v>5.0%</v>
      </c>
      <c r="G892" s="54" t="str">
        <f t="shared" si="3"/>
        <v>₹22,577.89</v>
      </c>
      <c r="H892" s="54" t="str">
        <f t="shared" si="4"/>
        <v>₹1,881.49</v>
      </c>
      <c r="I892" s="54" t="str">
        <f>36245.6-H892</f>
        <v>₹34,364.11</v>
      </c>
    </row>
    <row r="893" ht="15.75" customHeight="1">
      <c r="A893" s="50" t="s">
        <v>942</v>
      </c>
      <c r="B893" s="50" t="s">
        <v>53</v>
      </c>
      <c r="C893" s="50" t="s">
        <v>14</v>
      </c>
      <c r="D893" s="51">
        <v>28118.44</v>
      </c>
      <c r="E893" s="51" t="str">
        <f t="shared" si="1"/>
        <v>₹337,421.28</v>
      </c>
      <c r="F893" s="52" t="str">
        <f t="shared" si="2"/>
        <v>5.0%</v>
      </c>
      <c r="G893" s="51" t="str">
        <f t="shared" si="3"/>
        <v>₹16,871.06</v>
      </c>
      <c r="H893" s="51" t="str">
        <f t="shared" si="4"/>
        <v>₹1,405.92</v>
      </c>
      <c r="I893" s="51" t="str">
        <f>22058.43-H893</f>
        <v>₹20,652.51</v>
      </c>
    </row>
    <row r="894" ht="15.75" customHeight="1">
      <c r="A894" s="53" t="s">
        <v>943</v>
      </c>
      <c r="B894" s="53" t="s">
        <v>25</v>
      </c>
      <c r="C894" s="53" t="s">
        <v>18</v>
      </c>
      <c r="D894" s="54">
        <v>109788.39</v>
      </c>
      <c r="E894" s="54" t="str">
        <f t="shared" si="1"/>
        <v>₹1,317,460.68</v>
      </c>
      <c r="F894" s="55" t="str">
        <f t="shared" si="2"/>
        <v>30.0%</v>
      </c>
      <c r="G894" s="54" t="str">
        <f t="shared" si="3"/>
        <v>₹395,238.20</v>
      </c>
      <c r="H894" s="54" t="str">
        <f t="shared" si="4"/>
        <v>₹32,936.52</v>
      </c>
      <c r="I894" s="54" t="str">
        <f>101169.3-H894</f>
        <v>₹68,232.78</v>
      </c>
    </row>
    <row r="895" ht="15.75" customHeight="1">
      <c r="A895" s="50" t="s">
        <v>944</v>
      </c>
      <c r="B895" s="50" t="s">
        <v>51</v>
      </c>
      <c r="C895" s="50" t="s">
        <v>30</v>
      </c>
      <c r="D895" s="51">
        <v>37940.77</v>
      </c>
      <c r="E895" s="51" t="str">
        <f t="shared" si="1"/>
        <v>₹455,289.24</v>
      </c>
      <c r="F895" s="52" t="str">
        <f t="shared" si="2"/>
        <v>5.0%</v>
      </c>
      <c r="G895" s="51" t="str">
        <f t="shared" si="3"/>
        <v>₹22,764.46</v>
      </c>
      <c r="H895" s="51" t="str">
        <f t="shared" si="4"/>
        <v>₹1,897.04</v>
      </c>
      <c r="I895" s="51" t="str">
        <f>35260.54-H895</f>
        <v>₹33,363.50</v>
      </c>
    </row>
    <row r="896" ht="15.75" customHeight="1">
      <c r="A896" s="53" t="s">
        <v>945</v>
      </c>
      <c r="B896" s="53" t="s">
        <v>17</v>
      </c>
      <c r="C896" s="53" t="s">
        <v>14</v>
      </c>
      <c r="D896" s="54">
        <v>27360.55</v>
      </c>
      <c r="E896" s="54" t="str">
        <f t="shared" si="1"/>
        <v>₹328,326.60</v>
      </c>
      <c r="F896" s="55" t="str">
        <f t="shared" si="2"/>
        <v>5.0%</v>
      </c>
      <c r="G896" s="54" t="str">
        <f t="shared" si="3"/>
        <v>₹16,416.33</v>
      </c>
      <c r="H896" s="54" t="str">
        <f t="shared" si="4"/>
        <v>₹1,368.03</v>
      </c>
      <c r="I896" s="54" t="str">
        <f>24052.37-H896</f>
        <v>₹22,684.34</v>
      </c>
    </row>
    <row r="897" ht="15.75" customHeight="1">
      <c r="A897" s="50" t="s">
        <v>946</v>
      </c>
      <c r="B897" s="50" t="s">
        <v>25</v>
      </c>
      <c r="C897" s="50" t="s">
        <v>54</v>
      </c>
      <c r="D897" s="51">
        <v>59037.34</v>
      </c>
      <c r="E897" s="51" t="str">
        <f t="shared" si="1"/>
        <v>₹708,448.08</v>
      </c>
      <c r="F897" s="52" t="str">
        <f t="shared" si="2"/>
        <v>20.0%</v>
      </c>
      <c r="G897" s="51" t="str">
        <f t="shared" si="3"/>
        <v>₹141,689.62</v>
      </c>
      <c r="H897" s="51" t="str">
        <f t="shared" si="4"/>
        <v>₹11,807.47</v>
      </c>
      <c r="I897" s="51" t="str">
        <f>53907.47-H897</f>
        <v>₹42,100.00</v>
      </c>
    </row>
    <row r="898" ht="15.75" customHeight="1">
      <c r="A898" s="53" t="s">
        <v>947</v>
      </c>
      <c r="B898" s="53" t="s">
        <v>51</v>
      </c>
      <c r="C898" s="53" t="s">
        <v>33</v>
      </c>
      <c r="D898" s="54">
        <v>47481.38</v>
      </c>
      <c r="E898" s="54" t="str">
        <f t="shared" si="1"/>
        <v>₹569,776.56</v>
      </c>
      <c r="F898" s="55" t="str">
        <f t="shared" si="2"/>
        <v>20.0%</v>
      </c>
      <c r="G898" s="54" t="str">
        <f t="shared" si="3"/>
        <v>₹113,955.31</v>
      </c>
      <c r="H898" s="54" t="str">
        <f t="shared" si="4"/>
        <v>₹9,496.28</v>
      </c>
      <c r="I898" s="54" t="str">
        <f>43020.63-H898</f>
        <v>₹33,524.35</v>
      </c>
    </row>
    <row r="899" ht="15.75" customHeight="1">
      <c r="A899" s="50" t="s">
        <v>948</v>
      </c>
      <c r="B899" s="50" t="s">
        <v>53</v>
      </c>
      <c r="C899" s="50" t="s">
        <v>18</v>
      </c>
      <c r="D899" s="51">
        <v>109876.46</v>
      </c>
      <c r="E899" s="51" t="str">
        <f t="shared" si="1"/>
        <v>₹1,318,517.52</v>
      </c>
      <c r="F899" s="52" t="str">
        <f t="shared" si="2"/>
        <v>30.0%</v>
      </c>
      <c r="G899" s="51" t="str">
        <f t="shared" si="3"/>
        <v>₹395,555.26</v>
      </c>
      <c r="H899" s="51" t="str">
        <f t="shared" si="4"/>
        <v>₹32,962.94</v>
      </c>
      <c r="I899" s="51" t="str">
        <f>97197.75-H899</f>
        <v>₹64,234.81</v>
      </c>
    </row>
    <row r="900" ht="15.75" customHeight="1">
      <c r="A900" s="53" t="s">
        <v>949</v>
      </c>
      <c r="B900" s="53" t="s">
        <v>13</v>
      </c>
      <c r="C900" s="53" t="s">
        <v>54</v>
      </c>
      <c r="D900" s="54">
        <v>56971.24</v>
      </c>
      <c r="E900" s="54" t="str">
        <f t="shared" si="1"/>
        <v>₹683,654.88</v>
      </c>
      <c r="F900" s="55" t="str">
        <f t="shared" si="2"/>
        <v>20.0%</v>
      </c>
      <c r="G900" s="54" t="str">
        <f t="shared" si="3"/>
        <v>₹136,730.98</v>
      </c>
      <c r="H900" s="54" t="str">
        <f t="shared" si="4"/>
        <v>₹11,394.25</v>
      </c>
      <c r="I900" s="54" t="str">
        <f>46311.8-H900</f>
        <v>₹34,917.55</v>
      </c>
    </row>
    <row r="901" ht="15.75" customHeight="1">
      <c r="A901" s="50" t="s">
        <v>950</v>
      </c>
      <c r="B901" s="50" t="s">
        <v>51</v>
      </c>
      <c r="C901" s="50" t="s">
        <v>14</v>
      </c>
      <c r="D901" s="51">
        <v>30332.94</v>
      </c>
      <c r="E901" s="51" t="str">
        <f t="shared" si="1"/>
        <v>₹363,995.28</v>
      </c>
      <c r="F901" s="52" t="str">
        <f t="shared" si="2"/>
        <v>5.0%</v>
      </c>
      <c r="G901" s="51" t="str">
        <f t="shared" si="3"/>
        <v>₹18,199.76</v>
      </c>
      <c r="H901" s="51" t="str">
        <f t="shared" si="4"/>
        <v>₹1,516.65</v>
      </c>
      <c r="I901" s="51" t="str">
        <f>24968-H901</f>
        <v>₹23,451.35</v>
      </c>
    </row>
    <row r="902" ht="15.75" customHeight="1">
      <c r="A902" s="53" t="s">
        <v>951</v>
      </c>
      <c r="B902" s="53" t="s">
        <v>29</v>
      </c>
      <c r="C902" s="53" t="s">
        <v>54</v>
      </c>
      <c r="D902" s="54">
        <v>49980.57</v>
      </c>
      <c r="E902" s="54" t="str">
        <f t="shared" si="1"/>
        <v>₹599,766.84</v>
      </c>
      <c r="F902" s="55" t="str">
        <f t="shared" si="2"/>
        <v>20.0%</v>
      </c>
      <c r="G902" s="54" t="str">
        <f t="shared" si="3"/>
        <v>₹119,953.37</v>
      </c>
      <c r="H902" s="54" t="str">
        <f t="shared" si="4"/>
        <v>₹9,996.11</v>
      </c>
      <c r="I902" s="54" t="str">
        <f>45999.47-H902</f>
        <v>₹36,003.36</v>
      </c>
    </row>
    <row r="903" ht="15.75" customHeight="1">
      <c r="A903" s="50" t="s">
        <v>952</v>
      </c>
      <c r="B903" s="50" t="s">
        <v>17</v>
      </c>
      <c r="C903" s="50" t="s">
        <v>18</v>
      </c>
      <c r="D903" s="51">
        <v>131956.96</v>
      </c>
      <c r="E903" s="51" t="str">
        <f t="shared" si="1"/>
        <v>₹1,583,483.52</v>
      </c>
      <c r="F903" s="52" t="str">
        <f t="shared" si="2"/>
        <v>30.0%</v>
      </c>
      <c r="G903" s="51" t="str">
        <f t="shared" si="3"/>
        <v>₹475,045.06</v>
      </c>
      <c r="H903" s="51" t="str">
        <f t="shared" si="4"/>
        <v>₹39,587.09</v>
      </c>
      <c r="I903" s="51" t="str">
        <f>126822.15-H903</f>
        <v>₹87,235.06</v>
      </c>
    </row>
    <row r="904" ht="15.75" customHeight="1">
      <c r="A904" s="53" t="s">
        <v>953</v>
      </c>
      <c r="B904" s="53" t="s">
        <v>36</v>
      </c>
      <c r="C904" s="53" t="s">
        <v>26</v>
      </c>
      <c r="D904" s="54">
        <v>156277.51</v>
      </c>
      <c r="E904" s="54" t="str">
        <f t="shared" si="1"/>
        <v>₹1,875,330.12</v>
      </c>
      <c r="F904" s="55" t="str">
        <f t="shared" si="2"/>
        <v>30.0%</v>
      </c>
      <c r="G904" s="54" t="str">
        <f t="shared" si="3"/>
        <v>₹562,599.04</v>
      </c>
      <c r="H904" s="54" t="str">
        <f t="shared" si="4"/>
        <v>₹46,883.25</v>
      </c>
      <c r="I904" s="54" t="str">
        <f>145645.95-H904</f>
        <v>₹98,762.70</v>
      </c>
    </row>
    <row r="905" ht="15.75" customHeight="1">
      <c r="A905" s="50" t="s">
        <v>954</v>
      </c>
      <c r="B905" s="50" t="s">
        <v>29</v>
      </c>
      <c r="C905" s="50" t="s">
        <v>14</v>
      </c>
      <c r="D905" s="51">
        <v>26764.3</v>
      </c>
      <c r="E905" s="51" t="str">
        <f t="shared" si="1"/>
        <v>₹321,171.60</v>
      </c>
      <c r="F905" s="52" t="str">
        <f t="shared" si="2"/>
        <v>5.0%</v>
      </c>
      <c r="G905" s="51" t="str">
        <f t="shared" si="3"/>
        <v>₹16,058.58</v>
      </c>
      <c r="H905" s="51" t="str">
        <f t="shared" si="4"/>
        <v>₹1,338.22</v>
      </c>
      <c r="I905" s="51" t="str">
        <f>26518.8-H905</f>
        <v>₹25,180.59</v>
      </c>
    </row>
    <row r="906" ht="15.75" customHeight="1">
      <c r="A906" s="53" t="s">
        <v>955</v>
      </c>
      <c r="B906" s="53" t="s">
        <v>51</v>
      </c>
      <c r="C906" s="53" t="s">
        <v>26</v>
      </c>
      <c r="D906" s="54">
        <v>120414.72</v>
      </c>
      <c r="E906" s="54" t="str">
        <f t="shared" si="1"/>
        <v>₹1,444,976.64</v>
      </c>
      <c r="F906" s="55" t="str">
        <f t="shared" si="2"/>
        <v>30.0%</v>
      </c>
      <c r="G906" s="54" t="str">
        <f t="shared" si="3"/>
        <v>₹433,492.99</v>
      </c>
      <c r="H906" s="54" t="str">
        <f t="shared" si="4"/>
        <v>₹36,124.42</v>
      </c>
      <c r="I906" s="54" t="str">
        <f>115176.35-H906</f>
        <v>₹79,051.93</v>
      </c>
    </row>
    <row r="907" ht="15.75" customHeight="1">
      <c r="A907" s="50" t="s">
        <v>956</v>
      </c>
      <c r="B907" s="50" t="s">
        <v>53</v>
      </c>
      <c r="C907" s="50" t="s">
        <v>18</v>
      </c>
      <c r="D907" s="51">
        <v>124181.05</v>
      </c>
      <c r="E907" s="51" t="str">
        <f t="shared" si="1"/>
        <v>₹1,490,172.60</v>
      </c>
      <c r="F907" s="52" t="str">
        <f t="shared" si="2"/>
        <v>30.0%</v>
      </c>
      <c r="G907" s="51" t="str">
        <f t="shared" si="3"/>
        <v>₹447,051.78</v>
      </c>
      <c r="H907" s="51" t="str">
        <f t="shared" si="4"/>
        <v>₹37,254.32</v>
      </c>
      <c r="I907" s="51" t="str">
        <f>110497.53-H907</f>
        <v>₹73,243.22</v>
      </c>
    </row>
    <row r="908" ht="15.75" customHeight="1">
      <c r="A908" s="53" t="s">
        <v>957</v>
      </c>
      <c r="B908" s="53" t="s">
        <v>53</v>
      </c>
      <c r="C908" s="53" t="s">
        <v>33</v>
      </c>
      <c r="D908" s="54">
        <v>34263.4</v>
      </c>
      <c r="E908" s="54" t="str">
        <f t="shared" si="1"/>
        <v>₹411,160.80</v>
      </c>
      <c r="F908" s="55" t="str">
        <f t="shared" si="2"/>
        <v>5.0%</v>
      </c>
      <c r="G908" s="54" t="str">
        <f t="shared" si="3"/>
        <v>₹20,558.04</v>
      </c>
      <c r="H908" s="54" t="str">
        <f t="shared" si="4"/>
        <v>₹1,713.17</v>
      </c>
      <c r="I908" s="54" t="str">
        <f>28773.85-H908</f>
        <v>₹27,060.68</v>
      </c>
    </row>
    <row r="909" ht="15.75" customHeight="1">
      <c r="A909" s="50" t="s">
        <v>958</v>
      </c>
      <c r="B909" s="50" t="s">
        <v>51</v>
      </c>
      <c r="C909" s="50" t="s">
        <v>18</v>
      </c>
      <c r="D909" s="51">
        <v>114950.1</v>
      </c>
      <c r="E909" s="51" t="str">
        <f t="shared" si="1"/>
        <v>₹1,379,401.20</v>
      </c>
      <c r="F909" s="52" t="str">
        <f t="shared" si="2"/>
        <v>30.0%</v>
      </c>
      <c r="G909" s="51" t="str">
        <f t="shared" si="3"/>
        <v>₹413,820.36</v>
      </c>
      <c r="H909" s="51" t="str">
        <f t="shared" si="4"/>
        <v>₹34,485.03</v>
      </c>
      <c r="I909" s="51" t="str">
        <f>113084.47-H909</f>
        <v>₹78,599.44</v>
      </c>
    </row>
    <row r="910" ht="15.75" customHeight="1">
      <c r="A910" s="53" t="s">
        <v>959</v>
      </c>
      <c r="B910" s="53" t="s">
        <v>17</v>
      </c>
      <c r="C910" s="53" t="s">
        <v>33</v>
      </c>
      <c r="D910" s="54">
        <v>45492.6</v>
      </c>
      <c r="E910" s="54" t="str">
        <f t="shared" si="1"/>
        <v>₹545,911.20</v>
      </c>
      <c r="F910" s="55" t="str">
        <f t="shared" si="2"/>
        <v>20.0%</v>
      </c>
      <c r="G910" s="54" t="str">
        <f t="shared" si="3"/>
        <v>₹109,182.24</v>
      </c>
      <c r="H910" s="54" t="str">
        <f t="shared" si="4"/>
        <v>₹9,098.52</v>
      </c>
      <c r="I910" s="54" t="str">
        <f>41676.62-H910</f>
        <v>₹32,578.10</v>
      </c>
    </row>
    <row r="911" ht="15.75" customHeight="1">
      <c r="A911" s="50" t="s">
        <v>960</v>
      </c>
      <c r="B911" s="50" t="s">
        <v>25</v>
      </c>
      <c r="C911" s="50" t="s">
        <v>18</v>
      </c>
      <c r="D911" s="51">
        <v>94677.7</v>
      </c>
      <c r="E911" s="51" t="str">
        <f t="shared" si="1"/>
        <v>₹1,136,132.40</v>
      </c>
      <c r="F911" s="52" t="str">
        <f t="shared" si="2"/>
        <v>30.0%</v>
      </c>
      <c r="G911" s="51" t="str">
        <f t="shared" si="3"/>
        <v>₹340,839.72</v>
      </c>
      <c r="H911" s="51" t="str">
        <f t="shared" si="4"/>
        <v>₹28,403.31</v>
      </c>
      <c r="I911" s="51" t="str">
        <f>84121.23-H911</f>
        <v>₹55,717.92</v>
      </c>
    </row>
    <row r="912" ht="15.75" customHeight="1">
      <c r="A912" s="53" t="s">
        <v>961</v>
      </c>
      <c r="B912" s="53" t="s">
        <v>17</v>
      </c>
      <c r="C912" s="53" t="s">
        <v>26</v>
      </c>
      <c r="D912" s="54">
        <v>150292.49</v>
      </c>
      <c r="E912" s="54" t="str">
        <f t="shared" si="1"/>
        <v>₹1,803,509.88</v>
      </c>
      <c r="F912" s="55" t="str">
        <f t="shared" si="2"/>
        <v>30.0%</v>
      </c>
      <c r="G912" s="54" t="str">
        <f t="shared" si="3"/>
        <v>₹541,052.96</v>
      </c>
      <c r="H912" s="54" t="str">
        <f t="shared" si="4"/>
        <v>₹45,087.75</v>
      </c>
      <c r="I912" s="54" t="str">
        <f>121203.84-H912</f>
        <v>₹76,116.09</v>
      </c>
    </row>
    <row r="913" ht="15.75" customHeight="1">
      <c r="A913" s="50" t="s">
        <v>962</v>
      </c>
      <c r="B913" s="50" t="s">
        <v>17</v>
      </c>
      <c r="C913" s="50" t="s">
        <v>18</v>
      </c>
      <c r="D913" s="51">
        <v>97780.61</v>
      </c>
      <c r="E913" s="51" t="str">
        <f t="shared" si="1"/>
        <v>₹1,173,367.32</v>
      </c>
      <c r="F913" s="52" t="str">
        <f t="shared" si="2"/>
        <v>30.0%</v>
      </c>
      <c r="G913" s="51" t="str">
        <f t="shared" si="3"/>
        <v>₹352,010.20</v>
      </c>
      <c r="H913" s="51" t="str">
        <f t="shared" si="4"/>
        <v>₹29,334.18</v>
      </c>
      <c r="I913" s="51" t="str">
        <f>93666.79-H913</f>
        <v>₹64,332.61</v>
      </c>
    </row>
    <row r="914" ht="15.75" customHeight="1">
      <c r="A914" s="53" t="s">
        <v>963</v>
      </c>
      <c r="B914" s="53" t="s">
        <v>51</v>
      </c>
      <c r="C914" s="53" t="s">
        <v>37</v>
      </c>
      <c r="D914" s="54">
        <v>90792.22</v>
      </c>
      <c r="E914" s="54" t="str">
        <f t="shared" si="1"/>
        <v>₹1,089,506.64</v>
      </c>
      <c r="F914" s="55" t="str">
        <f t="shared" si="2"/>
        <v>30.0%</v>
      </c>
      <c r="G914" s="54" t="str">
        <f t="shared" si="3"/>
        <v>₹326,851.99</v>
      </c>
      <c r="H914" s="54" t="str">
        <f t="shared" si="4"/>
        <v>₹27,237.67</v>
      </c>
      <c r="I914" s="54" t="str">
        <f>78148.25-H914</f>
        <v>₹50,910.58</v>
      </c>
    </row>
    <row r="915" ht="15.75" customHeight="1">
      <c r="A915" s="50" t="s">
        <v>964</v>
      </c>
      <c r="B915" s="50" t="s">
        <v>13</v>
      </c>
      <c r="C915" s="50" t="s">
        <v>14</v>
      </c>
      <c r="D915" s="51">
        <v>33284.25</v>
      </c>
      <c r="E915" s="51" t="str">
        <f t="shared" si="1"/>
        <v>₹399,411.00</v>
      </c>
      <c r="F915" s="52" t="str">
        <f t="shared" si="2"/>
        <v>5.0%</v>
      </c>
      <c r="G915" s="51" t="str">
        <f t="shared" si="3"/>
        <v>₹19,970.55</v>
      </c>
      <c r="H915" s="51" t="str">
        <f t="shared" si="4"/>
        <v>₹1,664.21</v>
      </c>
      <c r="I915" s="51" t="str">
        <f>28525.59-H915</f>
        <v>₹26,861.38</v>
      </c>
    </row>
    <row r="916" ht="15.75" customHeight="1">
      <c r="A916" s="53" t="s">
        <v>965</v>
      </c>
      <c r="B916" s="53" t="s">
        <v>13</v>
      </c>
      <c r="C916" s="53" t="s">
        <v>54</v>
      </c>
      <c r="D916" s="54">
        <v>63147.4</v>
      </c>
      <c r="E916" s="54" t="str">
        <f t="shared" si="1"/>
        <v>₹757,768.80</v>
      </c>
      <c r="F916" s="55" t="str">
        <f t="shared" si="2"/>
        <v>20.0%</v>
      </c>
      <c r="G916" s="54" t="str">
        <f t="shared" si="3"/>
        <v>₹151,553.76</v>
      </c>
      <c r="H916" s="54" t="str">
        <f t="shared" si="4"/>
        <v>₹12,629.48</v>
      </c>
      <c r="I916" s="54" t="str">
        <f>60584.35-H916</f>
        <v>₹47,954.87</v>
      </c>
    </row>
    <row r="917" ht="15.75" customHeight="1">
      <c r="A917" s="50" t="s">
        <v>966</v>
      </c>
      <c r="B917" s="50" t="s">
        <v>53</v>
      </c>
      <c r="C917" s="50" t="s">
        <v>33</v>
      </c>
      <c r="D917" s="51">
        <v>44419.54</v>
      </c>
      <c r="E917" s="51" t="str">
        <f t="shared" si="1"/>
        <v>₹533,034.48</v>
      </c>
      <c r="F917" s="52" t="str">
        <f t="shared" si="2"/>
        <v>20.0%</v>
      </c>
      <c r="G917" s="51" t="str">
        <f t="shared" si="3"/>
        <v>₹106,606.90</v>
      </c>
      <c r="H917" s="51" t="str">
        <f t="shared" si="4"/>
        <v>₹8,883.91</v>
      </c>
      <c r="I917" s="51" t="str">
        <f>38736.78-H917</f>
        <v>₹29,852.87</v>
      </c>
    </row>
    <row r="918" ht="15.75" customHeight="1">
      <c r="A918" s="53" t="s">
        <v>967</v>
      </c>
      <c r="B918" s="53" t="s">
        <v>29</v>
      </c>
      <c r="C918" s="53" t="s">
        <v>37</v>
      </c>
      <c r="D918" s="54">
        <v>85780.89</v>
      </c>
      <c r="E918" s="54" t="str">
        <f t="shared" si="1"/>
        <v>₹1,029,370.68</v>
      </c>
      <c r="F918" s="55" t="str">
        <f t="shared" si="2"/>
        <v>30.0%</v>
      </c>
      <c r="G918" s="54" t="str">
        <f t="shared" si="3"/>
        <v>₹308,811.20</v>
      </c>
      <c r="H918" s="54" t="str">
        <f t="shared" si="4"/>
        <v>₹25,734.27</v>
      </c>
      <c r="I918" s="54" t="str">
        <f>78772.53-H918</f>
        <v>₹53,038.26</v>
      </c>
    </row>
    <row r="919" ht="15.75" customHeight="1">
      <c r="A919" s="50" t="s">
        <v>968</v>
      </c>
      <c r="B919" s="50" t="s">
        <v>36</v>
      </c>
      <c r="C919" s="50" t="s">
        <v>26</v>
      </c>
      <c r="D919" s="51">
        <v>159103.39</v>
      </c>
      <c r="E919" s="51" t="str">
        <f t="shared" si="1"/>
        <v>₹1,909,240.68</v>
      </c>
      <c r="F919" s="52" t="str">
        <f t="shared" si="2"/>
        <v>30.0%</v>
      </c>
      <c r="G919" s="51" t="str">
        <f t="shared" si="3"/>
        <v>₹572,772.20</v>
      </c>
      <c r="H919" s="51" t="str">
        <f t="shared" si="4"/>
        <v>₹47,731.02</v>
      </c>
      <c r="I919" s="51" t="str">
        <f>147243.78-H919</f>
        <v>₹99,512.76</v>
      </c>
    </row>
    <row r="920" ht="15.75" customHeight="1">
      <c r="A920" s="53" t="s">
        <v>969</v>
      </c>
      <c r="B920" s="53" t="s">
        <v>36</v>
      </c>
      <c r="C920" s="53" t="s">
        <v>54</v>
      </c>
      <c r="D920" s="54">
        <v>45746.22</v>
      </c>
      <c r="E920" s="54" t="str">
        <f t="shared" si="1"/>
        <v>₹548,954.64</v>
      </c>
      <c r="F920" s="55" t="str">
        <f t="shared" si="2"/>
        <v>20.0%</v>
      </c>
      <c r="G920" s="54" t="str">
        <f t="shared" si="3"/>
        <v>₹109,790.93</v>
      </c>
      <c r="H920" s="54" t="str">
        <f t="shared" si="4"/>
        <v>₹9,149.24</v>
      </c>
      <c r="I920" s="54" t="str">
        <f>42758.92-H920</f>
        <v>₹33,609.68</v>
      </c>
    </row>
    <row r="921" ht="15.75" customHeight="1">
      <c r="A921" s="50" t="s">
        <v>971</v>
      </c>
      <c r="B921" s="50" t="s">
        <v>53</v>
      </c>
      <c r="C921" s="50" t="s">
        <v>30</v>
      </c>
      <c r="D921" s="51">
        <v>41820.49</v>
      </c>
      <c r="E921" s="51" t="str">
        <f t="shared" si="1"/>
        <v>₹501,845.88</v>
      </c>
      <c r="F921" s="52" t="str">
        <f t="shared" si="2"/>
        <v>20.0%</v>
      </c>
      <c r="G921" s="51" t="str">
        <f t="shared" si="3"/>
        <v>₹100,369.18</v>
      </c>
      <c r="H921" s="51" t="str">
        <f t="shared" si="4"/>
        <v>₹8,364.10</v>
      </c>
      <c r="I921" s="51" t="str">
        <f>39050.63-H921</f>
        <v>₹30,686.53</v>
      </c>
    </row>
    <row r="922" ht="15.75" customHeight="1">
      <c r="A922" s="53" t="s">
        <v>972</v>
      </c>
      <c r="B922" s="53" t="s">
        <v>51</v>
      </c>
      <c r="C922" s="53" t="s">
        <v>26</v>
      </c>
      <c r="D922" s="54">
        <v>147374.24</v>
      </c>
      <c r="E922" s="54" t="str">
        <f t="shared" si="1"/>
        <v>₹1,768,490.88</v>
      </c>
      <c r="F922" s="55" t="str">
        <f t="shared" si="2"/>
        <v>30.0%</v>
      </c>
      <c r="G922" s="54" t="str">
        <f t="shared" si="3"/>
        <v>₹530,547.26</v>
      </c>
      <c r="H922" s="54" t="str">
        <f t="shared" si="4"/>
        <v>₹44,212.27</v>
      </c>
      <c r="I922" s="54" t="str">
        <f>118695.55-H922</f>
        <v>₹74,483.28</v>
      </c>
    </row>
    <row r="923" ht="15.75" customHeight="1">
      <c r="A923" s="50" t="s">
        <v>973</v>
      </c>
      <c r="B923" s="50" t="s">
        <v>53</v>
      </c>
      <c r="C923" s="50" t="s">
        <v>37</v>
      </c>
      <c r="D923" s="51">
        <v>81705.68</v>
      </c>
      <c r="E923" s="51" t="str">
        <f t="shared" si="1"/>
        <v>₹980,468.16</v>
      </c>
      <c r="F923" s="52" t="str">
        <f t="shared" si="2"/>
        <v>20.0%</v>
      </c>
      <c r="G923" s="51" t="str">
        <f t="shared" si="3"/>
        <v>₹196,093.63</v>
      </c>
      <c r="H923" s="51" t="str">
        <f t="shared" si="4"/>
        <v>₹16,341.14</v>
      </c>
      <c r="I923" s="51" t="str">
        <f>79152.24-H923</f>
        <v>₹62,811.10</v>
      </c>
    </row>
    <row r="924" ht="15.75" customHeight="1">
      <c r="A924" s="53" t="s">
        <v>974</v>
      </c>
      <c r="B924" s="53" t="s">
        <v>36</v>
      </c>
      <c r="C924" s="53" t="s">
        <v>33</v>
      </c>
      <c r="D924" s="54">
        <v>35937.06</v>
      </c>
      <c r="E924" s="54" t="str">
        <f t="shared" si="1"/>
        <v>₹431,244.72</v>
      </c>
      <c r="F924" s="55" t="str">
        <f t="shared" si="2"/>
        <v>5.0%</v>
      </c>
      <c r="G924" s="54" t="str">
        <f t="shared" si="3"/>
        <v>₹21,562.24</v>
      </c>
      <c r="H924" s="54" t="str">
        <f t="shared" si="4"/>
        <v>₹1,796.85</v>
      </c>
      <c r="I924" s="54" t="str">
        <f>28848.24-H924</f>
        <v>₹27,051.39</v>
      </c>
    </row>
    <row r="925" ht="15.75" customHeight="1">
      <c r="A925" s="50" t="s">
        <v>975</v>
      </c>
      <c r="B925" s="50" t="s">
        <v>51</v>
      </c>
      <c r="C925" s="50" t="s">
        <v>33</v>
      </c>
      <c r="D925" s="51">
        <v>43652.57</v>
      </c>
      <c r="E925" s="51" t="str">
        <f t="shared" si="1"/>
        <v>₹523,830.84</v>
      </c>
      <c r="F925" s="52" t="str">
        <f t="shared" si="2"/>
        <v>20.0%</v>
      </c>
      <c r="G925" s="51" t="str">
        <f t="shared" si="3"/>
        <v>₹104,766.17</v>
      </c>
      <c r="H925" s="51" t="str">
        <f t="shared" si="4"/>
        <v>₹8,730.51</v>
      </c>
      <c r="I925" s="51" t="str">
        <f>39681.29-H925</f>
        <v>₹30,950.78</v>
      </c>
    </row>
    <row r="926" ht="15.75" customHeight="1">
      <c r="A926" s="53" t="s">
        <v>976</v>
      </c>
      <c r="B926" s="53" t="s">
        <v>13</v>
      </c>
      <c r="C926" s="53" t="s">
        <v>14</v>
      </c>
      <c r="D926" s="54">
        <v>33853.34</v>
      </c>
      <c r="E926" s="54" t="str">
        <f t="shared" si="1"/>
        <v>₹406,240.08</v>
      </c>
      <c r="F926" s="55" t="str">
        <f t="shared" si="2"/>
        <v>5.0%</v>
      </c>
      <c r="G926" s="54" t="str">
        <f t="shared" si="3"/>
        <v>₹20,312.00</v>
      </c>
      <c r="H926" s="54" t="str">
        <f t="shared" si="4"/>
        <v>₹1,692.67</v>
      </c>
      <c r="I926" s="54" t="str">
        <f>32649.43-H926</f>
        <v>₹30,956.76</v>
      </c>
    </row>
    <row r="927" ht="15.75" customHeight="1">
      <c r="A927" s="50" t="s">
        <v>977</v>
      </c>
      <c r="B927" s="50" t="s">
        <v>13</v>
      </c>
      <c r="C927" s="50" t="s">
        <v>37</v>
      </c>
      <c r="D927" s="51">
        <v>78816.27</v>
      </c>
      <c r="E927" s="51" t="str">
        <f t="shared" si="1"/>
        <v>₹945,795.24</v>
      </c>
      <c r="F927" s="52" t="str">
        <f t="shared" si="2"/>
        <v>20.0%</v>
      </c>
      <c r="G927" s="51" t="str">
        <f t="shared" si="3"/>
        <v>₹189,159.05</v>
      </c>
      <c r="H927" s="51" t="str">
        <f t="shared" si="4"/>
        <v>₹15,763.25</v>
      </c>
      <c r="I927" s="51" t="str">
        <f>67303.61-H927</f>
        <v>₹51,540.36</v>
      </c>
    </row>
    <row r="928" ht="15.75" customHeight="1">
      <c r="A928" s="53" t="s">
        <v>978</v>
      </c>
      <c r="B928" s="53" t="s">
        <v>13</v>
      </c>
      <c r="C928" s="53" t="s">
        <v>26</v>
      </c>
      <c r="D928" s="54">
        <v>145708.28</v>
      </c>
      <c r="E928" s="54" t="str">
        <f t="shared" si="1"/>
        <v>₹1,748,499.36</v>
      </c>
      <c r="F928" s="55" t="str">
        <f t="shared" si="2"/>
        <v>30.0%</v>
      </c>
      <c r="G928" s="54" t="str">
        <f t="shared" si="3"/>
        <v>₹524,549.81</v>
      </c>
      <c r="H928" s="54" t="str">
        <f t="shared" si="4"/>
        <v>₹43,712.48</v>
      </c>
      <c r="I928" s="54" t="str">
        <f>143850.31-H928</f>
        <v>₹100,137.83</v>
      </c>
    </row>
    <row r="929" ht="15.75" customHeight="1">
      <c r="A929" s="50" t="s">
        <v>979</v>
      </c>
      <c r="B929" s="50" t="s">
        <v>13</v>
      </c>
      <c r="C929" s="50" t="s">
        <v>18</v>
      </c>
      <c r="D929" s="51">
        <v>129386.98</v>
      </c>
      <c r="E929" s="51" t="str">
        <f t="shared" si="1"/>
        <v>₹1,552,643.76</v>
      </c>
      <c r="F929" s="52" t="str">
        <f t="shared" si="2"/>
        <v>30.0%</v>
      </c>
      <c r="G929" s="51" t="str">
        <f t="shared" si="3"/>
        <v>₹465,793.13</v>
      </c>
      <c r="H929" s="51" t="str">
        <f t="shared" si="4"/>
        <v>₹38,816.09</v>
      </c>
      <c r="I929" s="51" t="str">
        <f>112826.09-H929</f>
        <v>₹74,010.00</v>
      </c>
    </row>
    <row r="930" ht="15.75" customHeight="1">
      <c r="A930" s="53" t="s">
        <v>981</v>
      </c>
      <c r="B930" s="53" t="s">
        <v>36</v>
      </c>
      <c r="C930" s="53" t="s">
        <v>14</v>
      </c>
      <c r="D930" s="54">
        <v>26419.1</v>
      </c>
      <c r="E930" s="54" t="str">
        <f t="shared" si="1"/>
        <v>₹317,029.20</v>
      </c>
      <c r="F930" s="55" t="str">
        <f t="shared" si="2"/>
        <v>5.0%</v>
      </c>
      <c r="G930" s="54" t="str">
        <f t="shared" si="3"/>
        <v>₹15,851.46</v>
      </c>
      <c r="H930" s="54" t="str">
        <f t="shared" si="4"/>
        <v>₹1,320.96</v>
      </c>
      <c r="I930" s="54" t="str">
        <f>23148.03-H930</f>
        <v>₹21,827.08</v>
      </c>
    </row>
    <row r="931" ht="15.75" customHeight="1">
      <c r="A931" s="50" t="s">
        <v>982</v>
      </c>
      <c r="B931" s="50" t="s">
        <v>29</v>
      </c>
      <c r="C931" s="50" t="s">
        <v>37</v>
      </c>
      <c r="D931" s="51">
        <v>76591.39</v>
      </c>
      <c r="E931" s="51" t="str">
        <f t="shared" si="1"/>
        <v>₹919,096.68</v>
      </c>
      <c r="F931" s="52" t="str">
        <f t="shared" si="2"/>
        <v>20.0%</v>
      </c>
      <c r="G931" s="51" t="str">
        <f t="shared" si="3"/>
        <v>₹183,819.34</v>
      </c>
      <c r="H931" s="51" t="str">
        <f t="shared" si="4"/>
        <v>₹15,318.28</v>
      </c>
      <c r="I931" s="51" t="str">
        <f>64959.09-H931</f>
        <v>₹49,640.81</v>
      </c>
    </row>
    <row r="932" ht="15.75" customHeight="1">
      <c r="A932" s="53" t="s">
        <v>983</v>
      </c>
      <c r="B932" s="53" t="s">
        <v>36</v>
      </c>
      <c r="C932" s="53" t="s">
        <v>26</v>
      </c>
      <c r="D932" s="54">
        <v>156100.06</v>
      </c>
      <c r="E932" s="54" t="str">
        <f t="shared" si="1"/>
        <v>₹1,873,200.72</v>
      </c>
      <c r="F932" s="55" t="str">
        <f t="shared" si="2"/>
        <v>30.0%</v>
      </c>
      <c r="G932" s="54" t="str">
        <f t="shared" si="3"/>
        <v>₹561,960.22</v>
      </c>
      <c r="H932" s="54" t="str">
        <f t="shared" si="4"/>
        <v>₹46,830.02</v>
      </c>
      <c r="I932" s="54" t="str">
        <f>148676.31-H932</f>
        <v>₹101,846.29</v>
      </c>
    </row>
    <row r="933" ht="15.75" customHeight="1">
      <c r="A933" s="50" t="s">
        <v>984</v>
      </c>
      <c r="B933" s="50" t="s">
        <v>25</v>
      </c>
      <c r="C933" s="50" t="s">
        <v>54</v>
      </c>
      <c r="D933" s="51">
        <v>50686.32</v>
      </c>
      <c r="E933" s="51" t="str">
        <f t="shared" si="1"/>
        <v>₹608,235.84</v>
      </c>
      <c r="F933" s="52" t="str">
        <f t="shared" si="2"/>
        <v>20.0%</v>
      </c>
      <c r="G933" s="51" t="str">
        <f t="shared" si="3"/>
        <v>₹121,647.17</v>
      </c>
      <c r="H933" s="51" t="str">
        <f t="shared" si="4"/>
        <v>₹10,137.26</v>
      </c>
      <c r="I933" s="51" t="str">
        <f>45394.03-H933</f>
        <v>₹35,256.77</v>
      </c>
    </row>
    <row r="934" ht="15.75" customHeight="1">
      <c r="A934" s="53" t="s">
        <v>985</v>
      </c>
      <c r="B934" s="53" t="s">
        <v>17</v>
      </c>
      <c r="C934" s="53" t="s">
        <v>37</v>
      </c>
      <c r="D934" s="54">
        <v>68729.05</v>
      </c>
      <c r="E934" s="54" t="str">
        <f t="shared" si="1"/>
        <v>₹824,748.60</v>
      </c>
      <c r="F934" s="55" t="str">
        <f t="shared" si="2"/>
        <v>20.0%</v>
      </c>
      <c r="G934" s="54" t="str">
        <f t="shared" si="3"/>
        <v>₹164,949.72</v>
      </c>
      <c r="H934" s="54" t="str">
        <f t="shared" si="4"/>
        <v>₹13,745.81</v>
      </c>
      <c r="I934" s="54" t="str">
        <f>60872.69-H934</f>
        <v>₹47,126.88</v>
      </c>
    </row>
    <row r="935" ht="15.75" customHeight="1">
      <c r="A935" s="50" t="s">
        <v>986</v>
      </c>
      <c r="B935" s="50" t="s">
        <v>51</v>
      </c>
      <c r="C935" s="50" t="s">
        <v>26</v>
      </c>
      <c r="D935" s="51">
        <v>133922.4</v>
      </c>
      <c r="E935" s="51" t="str">
        <f t="shared" si="1"/>
        <v>₹1,607,068.80</v>
      </c>
      <c r="F935" s="52" t="str">
        <f t="shared" si="2"/>
        <v>30.0%</v>
      </c>
      <c r="G935" s="51" t="str">
        <f t="shared" si="3"/>
        <v>₹482,120.64</v>
      </c>
      <c r="H935" s="51" t="str">
        <f t="shared" si="4"/>
        <v>₹40,176.72</v>
      </c>
      <c r="I935" s="51" t="str">
        <f>120039.53-H935</f>
        <v>₹79,862.81</v>
      </c>
    </row>
    <row r="936" ht="15.75" customHeight="1">
      <c r="A936" s="53" t="s">
        <v>987</v>
      </c>
      <c r="B936" s="53" t="s">
        <v>53</v>
      </c>
      <c r="C936" s="53" t="s">
        <v>30</v>
      </c>
      <c r="D936" s="54">
        <v>40391.67</v>
      </c>
      <c r="E936" s="54" t="str">
        <f t="shared" si="1"/>
        <v>₹484,700.04</v>
      </c>
      <c r="F936" s="55" t="str">
        <f t="shared" si="2"/>
        <v>5.0%</v>
      </c>
      <c r="G936" s="54" t="str">
        <f t="shared" si="3"/>
        <v>₹24,235.00</v>
      </c>
      <c r="H936" s="54" t="str">
        <f t="shared" si="4"/>
        <v>₹2,019.58</v>
      </c>
      <c r="I936" s="54" t="str">
        <f>36154.97-H936</f>
        <v>₹34,135.39</v>
      </c>
    </row>
    <row r="937" ht="15.75" customHeight="1">
      <c r="A937" s="50" t="s">
        <v>988</v>
      </c>
      <c r="B937" s="50" t="s">
        <v>17</v>
      </c>
      <c r="C937" s="50" t="s">
        <v>33</v>
      </c>
      <c r="D937" s="51">
        <v>44717.53</v>
      </c>
      <c r="E937" s="51" t="str">
        <f t="shared" si="1"/>
        <v>₹536,610.36</v>
      </c>
      <c r="F937" s="52" t="str">
        <f t="shared" si="2"/>
        <v>20.0%</v>
      </c>
      <c r="G937" s="51" t="str">
        <f t="shared" si="3"/>
        <v>₹107,322.07</v>
      </c>
      <c r="H937" s="51" t="str">
        <f t="shared" si="4"/>
        <v>₹8,943.51</v>
      </c>
      <c r="I937" s="51" t="str">
        <f>35632.96-H937</f>
        <v>₹26,689.45</v>
      </c>
    </row>
    <row r="938" ht="15.75" customHeight="1">
      <c r="A938" s="53" t="s">
        <v>989</v>
      </c>
      <c r="B938" s="53" t="s">
        <v>17</v>
      </c>
      <c r="C938" s="53" t="s">
        <v>18</v>
      </c>
      <c r="D938" s="54">
        <v>104013.1</v>
      </c>
      <c r="E938" s="54" t="str">
        <f t="shared" si="1"/>
        <v>₹1,248,157.20</v>
      </c>
      <c r="F938" s="55" t="str">
        <f t="shared" si="2"/>
        <v>30.0%</v>
      </c>
      <c r="G938" s="54" t="str">
        <f t="shared" si="3"/>
        <v>₹374,447.16</v>
      </c>
      <c r="H938" s="54" t="str">
        <f t="shared" si="4"/>
        <v>₹31,203.93</v>
      </c>
      <c r="I938" s="54" t="str">
        <f>99684.04-H938</f>
        <v>₹68,480.11</v>
      </c>
    </row>
    <row r="939" ht="15.75" customHeight="1">
      <c r="A939" s="50" t="s">
        <v>990</v>
      </c>
      <c r="B939" s="50" t="s">
        <v>53</v>
      </c>
      <c r="C939" s="50" t="s">
        <v>18</v>
      </c>
      <c r="D939" s="51">
        <v>89319.2</v>
      </c>
      <c r="E939" s="51" t="str">
        <f t="shared" si="1"/>
        <v>₹1,071,830.40</v>
      </c>
      <c r="F939" s="52" t="str">
        <f t="shared" si="2"/>
        <v>30.0%</v>
      </c>
      <c r="G939" s="51" t="str">
        <f t="shared" si="3"/>
        <v>₹321,549.12</v>
      </c>
      <c r="H939" s="51" t="str">
        <f t="shared" si="4"/>
        <v>₹26,795.76</v>
      </c>
      <c r="I939" s="51" t="str">
        <f>69873.51-H939</f>
        <v>₹43,077.75</v>
      </c>
    </row>
    <row r="940" ht="15.75" customHeight="1">
      <c r="A940" s="53" t="s">
        <v>991</v>
      </c>
      <c r="B940" s="53" t="s">
        <v>25</v>
      </c>
      <c r="C940" s="53" t="s">
        <v>26</v>
      </c>
      <c r="D940" s="54">
        <v>140784.44</v>
      </c>
      <c r="E940" s="54" t="str">
        <f t="shared" si="1"/>
        <v>₹1,689,413.28</v>
      </c>
      <c r="F940" s="55" t="str">
        <f t="shared" si="2"/>
        <v>30.0%</v>
      </c>
      <c r="G940" s="54" t="str">
        <f t="shared" si="3"/>
        <v>₹506,823.98</v>
      </c>
      <c r="H940" s="54" t="str">
        <f t="shared" si="4"/>
        <v>₹42,235.33</v>
      </c>
      <c r="I940" s="54" t="str">
        <f>139358.42-H940</f>
        <v>₹97,123.09</v>
      </c>
    </row>
    <row r="941" ht="15.75" customHeight="1">
      <c r="A941" s="50" t="s">
        <v>992</v>
      </c>
      <c r="B941" s="50" t="s">
        <v>51</v>
      </c>
      <c r="C941" s="50" t="s">
        <v>18</v>
      </c>
      <c r="D941" s="51">
        <v>108458.61</v>
      </c>
      <c r="E941" s="51" t="str">
        <f t="shared" si="1"/>
        <v>₹1,301,503.32</v>
      </c>
      <c r="F941" s="52" t="str">
        <f t="shared" si="2"/>
        <v>30.0%</v>
      </c>
      <c r="G941" s="51" t="str">
        <f t="shared" si="3"/>
        <v>₹390,451.00</v>
      </c>
      <c r="H941" s="51" t="str">
        <f t="shared" si="4"/>
        <v>₹32,537.58</v>
      </c>
      <c r="I941" s="51" t="str">
        <f>89343.22-H941</f>
        <v>₹56,805.64</v>
      </c>
    </row>
    <row r="942" ht="15.75" customHeight="1">
      <c r="A942" s="53" t="s">
        <v>993</v>
      </c>
      <c r="B942" s="53" t="s">
        <v>13</v>
      </c>
      <c r="C942" s="53" t="s">
        <v>14</v>
      </c>
      <c r="D942" s="54">
        <v>28127.88</v>
      </c>
      <c r="E942" s="54" t="str">
        <f t="shared" si="1"/>
        <v>₹337,534.56</v>
      </c>
      <c r="F942" s="55" t="str">
        <f t="shared" si="2"/>
        <v>5.0%</v>
      </c>
      <c r="G942" s="54" t="str">
        <f t="shared" si="3"/>
        <v>₹16,876.73</v>
      </c>
      <c r="H942" s="54" t="str">
        <f t="shared" si="4"/>
        <v>₹1,406.39</v>
      </c>
      <c r="I942" s="54" t="str">
        <f>27252.9-H942</f>
        <v>₹25,846.51</v>
      </c>
    </row>
    <row r="943" ht="15.75" customHeight="1">
      <c r="A943" s="50" t="s">
        <v>994</v>
      </c>
      <c r="B943" s="50" t="s">
        <v>17</v>
      </c>
      <c r="C943" s="50" t="s">
        <v>33</v>
      </c>
      <c r="D943" s="51">
        <v>42230.14</v>
      </c>
      <c r="E943" s="51" t="str">
        <f t="shared" si="1"/>
        <v>₹506,761.68</v>
      </c>
      <c r="F943" s="52" t="str">
        <f t="shared" si="2"/>
        <v>20.0%</v>
      </c>
      <c r="G943" s="51" t="str">
        <f t="shared" si="3"/>
        <v>₹101,352.34</v>
      </c>
      <c r="H943" s="51" t="str">
        <f t="shared" si="4"/>
        <v>₹8,446.03</v>
      </c>
      <c r="I943" s="51" t="str">
        <f>37917.93-H943</f>
        <v>₹29,471.90</v>
      </c>
    </row>
    <row r="944" ht="15.75" customHeight="1">
      <c r="A944" s="53" t="s">
        <v>995</v>
      </c>
      <c r="B944" s="53" t="s">
        <v>29</v>
      </c>
      <c r="C944" s="53" t="s">
        <v>30</v>
      </c>
      <c r="D944" s="54">
        <v>38273.94</v>
      </c>
      <c r="E944" s="54" t="str">
        <f t="shared" si="1"/>
        <v>₹459,287.28</v>
      </c>
      <c r="F944" s="55" t="str">
        <f t="shared" si="2"/>
        <v>5.0%</v>
      </c>
      <c r="G944" s="54" t="str">
        <f t="shared" si="3"/>
        <v>₹22,964.36</v>
      </c>
      <c r="H944" s="54" t="str">
        <f t="shared" si="4"/>
        <v>₹1,913.70</v>
      </c>
      <c r="I944" s="54" t="str">
        <f>33600.03-H944</f>
        <v>₹31,686.33</v>
      </c>
    </row>
    <row r="945" ht="15.75" customHeight="1">
      <c r="A945" s="50" t="s">
        <v>996</v>
      </c>
      <c r="B945" s="50" t="s">
        <v>53</v>
      </c>
      <c r="C945" s="50" t="s">
        <v>54</v>
      </c>
      <c r="D945" s="51">
        <v>65516.57</v>
      </c>
      <c r="E945" s="51" t="str">
        <f t="shared" si="1"/>
        <v>₹786,198.84</v>
      </c>
      <c r="F945" s="52" t="str">
        <f t="shared" si="2"/>
        <v>20.0%</v>
      </c>
      <c r="G945" s="51" t="str">
        <f t="shared" si="3"/>
        <v>₹157,239.77</v>
      </c>
      <c r="H945" s="51" t="str">
        <f t="shared" si="4"/>
        <v>₹13,103.31</v>
      </c>
      <c r="I945" s="51" t="str">
        <f>56399.48-H945</f>
        <v>₹43,296.17</v>
      </c>
    </row>
    <row r="946" ht="15.75" customHeight="1">
      <c r="A946" s="53" t="s">
        <v>997</v>
      </c>
      <c r="B946" s="53" t="s">
        <v>17</v>
      </c>
      <c r="C946" s="53" t="s">
        <v>54</v>
      </c>
      <c r="D946" s="54">
        <v>61838.54</v>
      </c>
      <c r="E946" s="54" t="str">
        <f t="shared" si="1"/>
        <v>₹742,062.48</v>
      </c>
      <c r="F946" s="55" t="str">
        <f t="shared" si="2"/>
        <v>20.0%</v>
      </c>
      <c r="G946" s="54" t="str">
        <f t="shared" si="3"/>
        <v>₹148,412.50</v>
      </c>
      <c r="H946" s="54" t="str">
        <f t="shared" si="4"/>
        <v>₹12,367.71</v>
      </c>
      <c r="I946" s="54" t="str">
        <f>61275.51-H946</f>
        <v>₹48,907.80</v>
      </c>
    </row>
    <row r="947" ht="15.75" customHeight="1">
      <c r="A947" s="50" t="s">
        <v>998</v>
      </c>
      <c r="B947" s="50" t="s">
        <v>17</v>
      </c>
      <c r="C947" s="50" t="s">
        <v>33</v>
      </c>
      <c r="D947" s="51">
        <v>38871.26</v>
      </c>
      <c r="E947" s="51" t="str">
        <f t="shared" si="1"/>
        <v>₹466,455.12</v>
      </c>
      <c r="F947" s="52" t="str">
        <f t="shared" si="2"/>
        <v>5.0%</v>
      </c>
      <c r="G947" s="51" t="str">
        <f t="shared" si="3"/>
        <v>₹23,322.76</v>
      </c>
      <c r="H947" s="51" t="str">
        <f t="shared" si="4"/>
        <v>₹1,943.56</v>
      </c>
      <c r="I947" s="51" t="str">
        <f>36673.31-H947</f>
        <v>₹34,729.75</v>
      </c>
    </row>
    <row r="948" ht="15.75" customHeight="1">
      <c r="A948" s="53" t="s">
        <v>999</v>
      </c>
      <c r="B948" s="53" t="s">
        <v>13</v>
      </c>
      <c r="C948" s="53" t="s">
        <v>14</v>
      </c>
      <c r="D948" s="54">
        <v>26464.02</v>
      </c>
      <c r="E948" s="54" t="str">
        <f t="shared" si="1"/>
        <v>₹317,568.24</v>
      </c>
      <c r="F948" s="55" t="str">
        <f t="shared" si="2"/>
        <v>5.0%</v>
      </c>
      <c r="G948" s="54" t="str">
        <f t="shared" si="3"/>
        <v>₹15,878.41</v>
      </c>
      <c r="H948" s="54" t="str">
        <f t="shared" si="4"/>
        <v>₹1,323.20</v>
      </c>
      <c r="I948" s="54" t="str">
        <f>22788.55-H948</f>
        <v>₹21,465.35</v>
      </c>
    </row>
    <row r="949" ht="15.75" customHeight="1">
      <c r="A949" s="50" t="s">
        <v>1000</v>
      </c>
      <c r="B949" s="50" t="s">
        <v>29</v>
      </c>
      <c r="C949" s="50" t="s">
        <v>26</v>
      </c>
      <c r="D949" s="51">
        <v>127541.46</v>
      </c>
      <c r="E949" s="51" t="str">
        <f t="shared" si="1"/>
        <v>₹1,530,497.52</v>
      </c>
      <c r="F949" s="52" t="str">
        <f t="shared" si="2"/>
        <v>30.0%</v>
      </c>
      <c r="G949" s="51" t="str">
        <f t="shared" si="3"/>
        <v>₹459,149.26</v>
      </c>
      <c r="H949" s="51" t="str">
        <f t="shared" si="4"/>
        <v>₹38,262.44</v>
      </c>
      <c r="I949" s="51" t="str">
        <f>102660.23-H949</f>
        <v>₹64,397.79</v>
      </c>
    </row>
    <row r="950" ht="15.75" customHeight="1">
      <c r="A950" s="53" t="s">
        <v>1001</v>
      </c>
      <c r="B950" s="53" t="s">
        <v>51</v>
      </c>
      <c r="C950" s="53" t="s">
        <v>54</v>
      </c>
      <c r="D950" s="54">
        <v>60733.79</v>
      </c>
      <c r="E950" s="54" t="str">
        <f t="shared" si="1"/>
        <v>₹728,805.48</v>
      </c>
      <c r="F950" s="55" t="str">
        <f t="shared" si="2"/>
        <v>20.0%</v>
      </c>
      <c r="G950" s="54" t="str">
        <f t="shared" si="3"/>
        <v>₹145,761.10</v>
      </c>
      <c r="H950" s="54" t="str">
        <f t="shared" si="4"/>
        <v>₹12,146.76</v>
      </c>
      <c r="I950" s="54" t="str">
        <f>49312.58-H950</f>
        <v>₹37,165.82</v>
      </c>
    </row>
    <row r="951" ht="15.75" customHeight="1">
      <c r="A951" s="50" t="s">
        <v>1002</v>
      </c>
      <c r="B951" s="50" t="s">
        <v>25</v>
      </c>
      <c r="C951" s="50" t="s">
        <v>37</v>
      </c>
      <c r="D951" s="51">
        <v>72973.01</v>
      </c>
      <c r="E951" s="51" t="str">
        <f t="shared" si="1"/>
        <v>₹875,676.12</v>
      </c>
      <c r="F951" s="52" t="str">
        <f t="shared" si="2"/>
        <v>20.0%</v>
      </c>
      <c r="G951" s="51" t="str">
        <f t="shared" si="3"/>
        <v>₹175,135.22</v>
      </c>
      <c r="H951" s="51" t="str">
        <f t="shared" si="4"/>
        <v>₹14,594.60</v>
      </c>
      <c r="I951" s="51" t="str">
        <f>64777.14-H951</f>
        <v>₹50,182.54</v>
      </c>
    </row>
    <row r="952" ht="15.75" customHeight="1">
      <c r="A952" s="53" t="s">
        <v>1003</v>
      </c>
      <c r="B952" s="53" t="s">
        <v>53</v>
      </c>
      <c r="C952" s="53" t="s">
        <v>18</v>
      </c>
      <c r="D952" s="54">
        <v>88470.05</v>
      </c>
      <c r="E952" s="54" t="str">
        <f t="shared" si="1"/>
        <v>₹1,061,640.60</v>
      </c>
      <c r="F952" s="55" t="str">
        <f t="shared" si="2"/>
        <v>30.0%</v>
      </c>
      <c r="G952" s="54" t="str">
        <f t="shared" si="3"/>
        <v>₹318,492.18</v>
      </c>
      <c r="H952" s="54" t="str">
        <f t="shared" si="4"/>
        <v>₹26,541.02</v>
      </c>
      <c r="I952" s="54" t="str">
        <f>78057.72-H952</f>
        <v>₹51,516.71</v>
      </c>
    </row>
    <row r="953" ht="15.75" customHeight="1">
      <c r="A953" s="50" t="s">
        <v>1004</v>
      </c>
      <c r="B953" s="50" t="s">
        <v>36</v>
      </c>
      <c r="C953" s="50" t="s">
        <v>54</v>
      </c>
      <c r="D953" s="51">
        <v>59214.81</v>
      </c>
      <c r="E953" s="51" t="str">
        <f t="shared" si="1"/>
        <v>₹710,577.72</v>
      </c>
      <c r="F953" s="52" t="str">
        <f t="shared" si="2"/>
        <v>20.0%</v>
      </c>
      <c r="G953" s="51" t="str">
        <f t="shared" si="3"/>
        <v>₹142,115.54</v>
      </c>
      <c r="H953" s="51" t="str">
        <f t="shared" si="4"/>
        <v>₹11,842.96</v>
      </c>
      <c r="I953" s="51" t="str">
        <f>49890.08-H953</f>
        <v>₹38,047.12</v>
      </c>
    </row>
    <row r="954" ht="15.75" customHeight="1">
      <c r="A954" s="53" t="s">
        <v>1005</v>
      </c>
      <c r="B954" s="53" t="s">
        <v>13</v>
      </c>
      <c r="C954" s="53" t="s">
        <v>33</v>
      </c>
      <c r="D954" s="54">
        <v>40924.01</v>
      </c>
      <c r="E954" s="54" t="str">
        <f t="shared" si="1"/>
        <v>₹491,088.12</v>
      </c>
      <c r="F954" s="55" t="str">
        <f t="shared" si="2"/>
        <v>5.0%</v>
      </c>
      <c r="G954" s="54" t="str">
        <f t="shared" si="3"/>
        <v>₹24,554.41</v>
      </c>
      <c r="H954" s="54" t="str">
        <f t="shared" si="4"/>
        <v>₹2,046.20</v>
      </c>
      <c r="I954" s="54" t="str">
        <f>36809.43-H954</f>
        <v>₹34,763.23</v>
      </c>
    </row>
    <row r="955" ht="15.75" customHeight="1">
      <c r="A955" s="50" t="s">
        <v>1006</v>
      </c>
      <c r="B955" s="50" t="s">
        <v>13</v>
      </c>
      <c r="C955" s="50" t="s">
        <v>33</v>
      </c>
      <c r="D955" s="51">
        <v>49939.56</v>
      </c>
      <c r="E955" s="51" t="str">
        <f t="shared" si="1"/>
        <v>₹599,274.72</v>
      </c>
      <c r="F955" s="52" t="str">
        <f t="shared" si="2"/>
        <v>20.0%</v>
      </c>
      <c r="G955" s="51" t="str">
        <f t="shared" si="3"/>
        <v>₹119,854.94</v>
      </c>
      <c r="H955" s="51" t="str">
        <f t="shared" si="4"/>
        <v>₹9,987.91</v>
      </c>
      <c r="I955" s="51" t="str">
        <f>41680.13-H955</f>
        <v>₹31,692.22</v>
      </c>
    </row>
    <row r="956" ht="15.75" customHeight="1">
      <c r="A956" s="53" t="s">
        <v>1007</v>
      </c>
      <c r="B956" s="53" t="s">
        <v>53</v>
      </c>
      <c r="C956" s="53" t="s">
        <v>33</v>
      </c>
      <c r="D956" s="54">
        <v>37295.71</v>
      </c>
      <c r="E956" s="54" t="str">
        <f t="shared" si="1"/>
        <v>₹447,548.52</v>
      </c>
      <c r="F956" s="55" t="str">
        <f t="shared" si="2"/>
        <v>5.0%</v>
      </c>
      <c r="G956" s="54" t="str">
        <f t="shared" si="3"/>
        <v>₹22,377.43</v>
      </c>
      <c r="H956" s="54" t="str">
        <f t="shared" si="4"/>
        <v>₹1,864.79</v>
      </c>
      <c r="I956" s="54" t="str">
        <f>34083.5-H956</f>
        <v>₹32,218.71</v>
      </c>
    </row>
    <row r="957" ht="15.75" customHeight="1">
      <c r="A957" s="50" t="s">
        <v>1008</v>
      </c>
      <c r="B957" s="50" t="s">
        <v>17</v>
      </c>
      <c r="C957" s="50" t="s">
        <v>18</v>
      </c>
      <c r="D957" s="51">
        <v>111815.67</v>
      </c>
      <c r="E957" s="51" t="str">
        <f t="shared" si="1"/>
        <v>₹1,341,788.04</v>
      </c>
      <c r="F957" s="52" t="str">
        <f t="shared" si="2"/>
        <v>30.0%</v>
      </c>
      <c r="G957" s="51" t="str">
        <f t="shared" si="3"/>
        <v>₹402,536.41</v>
      </c>
      <c r="H957" s="51" t="str">
        <f t="shared" si="4"/>
        <v>₹33,544.70</v>
      </c>
      <c r="I957" s="51" t="str">
        <f>98047.08-H957</f>
        <v>₹64,502.38</v>
      </c>
    </row>
    <row r="958" ht="15.75" customHeight="1">
      <c r="A958" s="53" t="s">
        <v>1009</v>
      </c>
      <c r="B958" s="53" t="s">
        <v>13</v>
      </c>
      <c r="C958" s="53" t="s">
        <v>30</v>
      </c>
      <c r="D958" s="54">
        <v>36315.84</v>
      </c>
      <c r="E958" s="54" t="str">
        <f t="shared" si="1"/>
        <v>₹435,790.08</v>
      </c>
      <c r="F958" s="55" t="str">
        <f t="shared" si="2"/>
        <v>5.0%</v>
      </c>
      <c r="G958" s="54" t="str">
        <f t="shared" si="3"/>
        <v>₹21,789.50</v>
      </c>
      <c r="H958" s="54" t="str">
        <f t="shared" si="4"/>
        <v>₹1,815.79</v>
      </c>
      <c r="I958" s="54" t="str">
        <f>33031.31-H958</f>
        <v>₹31,215.52</v>
      </c>
    </row>
    <row r="959" ht="15.75" customHeight="1">
      <c r="A959" s="50" t="s">
        <v>1010</v>
      </c>
      <c r="B959" s="50" t="s">
        <v>53</v>
      </c>
      <c r="C959" s="50" t="s">
        <v>33</v>
      </c>
      <c r="D959" s="51">
        <v>39116.44</v>
      </c>
      <c r="E959" s="51" t="str">
        <f t="shared" si="1"/>
        <v>₹469,397.28</v>
      </c>
      <c r="F959" s="52" t="str">
        <f t="shared" si="2"/>
        <v>5.0%</v>
      </c>
      <c r="G959" s="51" t="str">
        <f t="shared" si="3"/>
        <v>₹23,469.86</v>
      </c>
      <c r="H959" s="51" t="str">
        <f t="shared" si="4"/>
        <v>₹1,955.82</v>
      </c>
      <c r="I959" s="51" t="str">
        <f>33343.68-H959</f>
        <v>₹31,387.86</v>
      </c>
    </row>
    <row r="960" ht="15.75" customHeight="1">
      <c r="A960" s="53" t="s">
        <v>1011</v>
      </c>
      <c r="B960" s="53" t="s">
        <v>17</v>
      </c>
      <c r="C960" s="53" t="s">
        <v>26</v>
      </c>
      <c r="D960" s="54">
        <v>93323.92</v>
      </c>
      <c r="E960" s="54" t="str">
        <f t="shared" si="1"/>
        <v>₹1,119,887.04</v>
      </c>
      <c r="F960" s="55" t="str">
        <f t="shared" si="2"/>
        <v>30.0%</v>
      </c>
      <c r="G960" s="54" t="str">
        <f t="shared" si="3"/>
        <v>₹335,966.11</v>
      </c>
      <c r="H960" s="54" t="str">
        <f t="shared" si="4"/>
        <v>₹27,997.18</v>
      </c>
      <c r="I960" s="54" t="str">
        <f>76793.42-H960</f>
        <v>₹48,796.24</v>
      </c>
    </row>
    <row r="961" ht="15.75" customHeight="1">
      <c r="A961" s="50" t="s">
        <v>1013</v>
      </c>
      <c r="B961" s="50" t="s">
        <v>51</v>
      </c>
      <c r="C961" s="50" t="s">
        <v>37</v>
      </c>
      <c r="D961" s="51">
        <v>161566.22</v>
      </c>
      <c r="E961" s="51" t="str">
        <f t="shared" si="1"/>
        <v>₹1,938,794.64</v>
      </c>
      <c r="F961" s="52" t="str">
        <f t="shared" si="2"/>
        <v>30.0%</v>
      </c>
      <c r="G961" s="51" t="str">
        <f t="shared" si="3"/>
        <v>₹581,638.39</v>
      </c>
      <c r="H961" s="51" t="str">
        <f t="shared" si="4"/>
        <v>₹48,469.87</v>
      </c>
      <c r="I961" s="51" t="str">
        <f>159105.42-H961</f>
        <v>₹110,635.55</v>
      </c>
    </row>
    <row r="962" ht="15.75" customHeight="1">
      <c r="A962" s="53" t="s">
        <v>1015</v>
      </c>
      <c r="B962" s="53" t="s">
        <v>13</v>
      </c>
      <c r="C962" s="53" t="s">
        <v>26</v>
      </c>
      <c r="D962" s="54">
        <v>125140.23</v>
      </c>
      <c r="E962" s="54" t="str">
        <f t="shared" si="1"/>
        <v>₹1,501,682.76</v>
      </c>
      <c r="F962" s="55" t="str">
        <f t="shared" si="2"/>
        <v>30.0%</v>
      </c>
      <c r="G962" s="54" t="str">
        <f t="shared" si="3"/>
        <v>₹450,504.83</v>
      </c>
      <c r="H962" s="54" t="str">
        <f t="shared" si="4"/>
        <v>₹37,542.07</v>
      </c>
      <c r="I962" s="54" t="str">
        <f>118703.15-H962</f>
        <v>₹81,161.08</v>
      </c>
    </row>
    <row r="963" ht="15.75" customHeight="1">
      <c r="A963" s="50" t="s">
        <v>1017</v>
      </c>
      <c r="B963" s="50" t="s">
        <v>25</v>
      </c>
      <c r="C963" s="50" t="s">
        <v>54</v>
      </c>
      <c r="D963" s="51">
        <v>105850.99</v>
      </c>
      <c r="E963" s="51" t="str">
        <f t="shared" si="1"/>
        <v>₹1,270,211.88</v>
      </c>
      <c r="F963" s="52" t="str">
        <f t="shared" si="2"/>
        <v>30.0%</v>
      </c>
      <c r="G963" s="51" t="str">
        <f t="shared" si="3"/>
        <v>₹381,063.56</v>
      </c>
      <c r="H963" s="51" t="str">
        <f t="shared" si="4"/>
        <v>₹31,755.30</v>
      </c>
      <c r="I963" s="51" t="str">
        <f>86395.85-H963</f>
        <v>₹54,640.55</v>
      </c>
    </row>
    <row r="964" ht="15.75" customHeight="1">
      <c r="A964" s="53" t="s">
        <v>1019</v>
      </c>
      <c r="B964" s="53" t="s">
        <v>51</v>
      </c>
      <c r="C964" s="53" t="s">
        <v>37</v>
      </c>
      <c r="D964" s="54">
        <v>52124.38</v>
      </c>
      <c r="E964" s="54" t="str">
        <f t="shared" si="1"/>
        <v>₹625,492.56</v>
      </c>
      <c r="F964" s="55" t="str">
        <f t="shared" si="2"/>
        <v>20.0%</v>
      </c>
      <c r="G964" s="54" t="str">
        <f t="shared" si="3"/>
        <v>₹125,098.51</v>
      </c>
      <c r="H964" s="54" t="str">
        <f t="shared" si="4"/>
        <v>₹10,424.88</v>
      </c>
      <c r="I964" s="54" t="str">
        <f>38671.58-H964</f>
        <v>₹28,246.70</v>
      </c>
    </row>
    <row r="965" ht="15.75" customHeight="1">
      <c r="A965" s="50" t="s">
        <v>1020</v>
      </c>
      <c r="B965" s="50" t="s">
        <v>36</v>
      </c>
      <c r="C965" s="50" t="s">
        <v>54</v>
      </c>
      <c r="D965" s="51">
        <v>53228.24</v>
      </c>
      <c r="E965" s="51" t="str">
        <f t="shared" si="1"/>
        <v>₹638,738.88</v>
      </c>
      <c r="F965" s="52" t="str">
        <f t="shared" si="2"/>
        <v>20.0%</v>
      </c>
      <c r="G965" s="51" t="str">
        <f t="shared" si="3"/>
        <v>₹127,747.78</v>
      </c>
      <c r="H965" s="51" t="str">
        <f t="shared" si="4"/>
        <v>₹10,645.65</v>
      </c>
      <c r="I965" s="51" t="str">
        <f>42223.83-H965</f>
        <v>₹31,578.18</v>
      </c>
    </row>
    <row r="966" ht="15.75" customHeight="1">
      <c r="A966" s="53" t="s">
        <v>1022</v>
      </c>
      <c r="B966" s="53" t="s">
        <v>51</v>
      </c>
      <c r="C966" s="53" t="s">
        <v>30</v>
      </c>
      <c r="D966" s="54">
        <v>129800.21</v>
      </c>
      <c r="E966" s="54" t="str">
        <f t="shared" si="1"/>
        <v>₹1,557,602.52</v>
      </c>
      <c r="F966" s="55" t="str">
        <f t="shared" si="2"/>
        <v>30.0%</v>
      </c>
      <c r="G966" s="54" t="str">
        <f t="shared" si="3"/>
        <v>₹467,280.76</v>
      </c>
      <c r="H966" s="54" t="str">
        <f t="shared" si="4"/>
        <v>₹38,940.06</v>
      </c>
      <c r="I966" s="54" t="str">
        <f>107989.81-H966</f>
        <v>₹69,049.75</v>
      </c>
    </row>
    <row r="967" ht="15.75" customHeight="1">
      <c r="A967" s="50" t="s">
        <v>1024</v>
      </c>
      <c r="B967" s="50" t="s">
        <v>51</v>
      </c>
      <c r="C967" s="50" t="s">
        <v>18</v>
      </c>
      <c r="D967" s="51">
        <v>120456.38</v>
      </c>
      <c r="E967" s="51" t="str">
        <f t="shared" si="1"/>
        <v>₹1,445,476.56</v>
      </c>
      <c r="F967" s="52" t="str">
        <f t="shared" si="2"/>
        <v>30.0%</v>
      </c>
      <c r="G967" s="51" t="str">
        <f t="shared" si="3"/>
        <v>₹433,642.97</v>
      </c>
      <c r="H967" s="51" t="str">
        <f t="shared" si="4"/>
        <v>₹36,136.91</v>
      </c>
      <c r="I967" s="51" t="str">
        <f>108956.97-H967</f>
        <v>₹72,820.06</v>
      </c>
    </row>
    <row r="968" ht="15.75" customHeight="1">
      <c r="A968" s="53" t="s">
        <v>1025</v>
      </c>
      <c r="B968" s="53" t="s">
        <v>36</v>
      </c>
      <c r="C968" s="53" t="s">
        <v>33</v>
      </c>
      <c r="D968" s="54">
        <v>96182.34</v>
      </c>
      <c r="E968" s="54" t="str">
        <f t="shared" si="1"/>
        <v>₹1,154,188.08</v>
      </c>
      <c r="F968" s="55" t="str">
        <f t="shared" si="2"/>
        <v>30.0%</v>
      </c>
      <c r="G968" s="54" t="str">
        <f t="shared" si="3"/>
        <v>₹346,256.42</v>
      </c>
      <c r="H968" s="54" t="str">
        <f t="shared" si="4"/>
        <v>₹28,854.70</v>
      </c>
      <c r="I968" s="54" t="str">
        <f>71690.76-H968</f>
        <v>₹42,836.06</v>
      </c>
    </row>
    <row r="969" ht="15.75" customHeight="1">
      <c r="A969" s="50" t="s">
        <v>1027</v>
      </c>
      <c r="B969" s="50" t="s">
        <v>13</v>
      </c>
      <c r="C969" s="50" t="s">
        <v>14</v>
      </c>
      <c r="D969" s="51">
        <v>39197.75</v>
      </c>
      <c r="E969" s="51" t="str">
        <f t="shared" si="1"/>
        <v>₹470,373.00</v>
      </c>
      <c r="F969" s="52" t="str">
        <f t="shared" si="2"/>
        <v>5.0%</v>
      </c>
      <c r="G969" s="51" t="str">
        <f t="shared" si="3"/>
        <v>₹23,518.65</v>
      </c>
      <c r="H969" s="51" t="str">
        <f t="shared" si="4"/>
        <v>₹1,959.89</v>
      </c>
      <c r="I969" s="51" t="str">
        <f>15181.81-H969</f>
        <v>₹13,221.92</v>
      </c>
    </row>
    <row r="970" ht="15.75" customHeight="1">
      <c r="A970" s="53" t="s">
        <v>1028</v>
      </c>
      <c r="B970" s="53" t="s">
        <v>29</v>
      </c>
      <c r="C970" s="53" t="s">
        <v>26</v>
      </c>
      <c r="D970" s="54">
        <v>143912.73</v>
      </c>
      <c r="E970" s="54" t="str">
        <f t="shared" si="1"/>
        <v>₹1,726,952.76</v>
      </c>
      <c r="F970" s="55" t="str">
        <f t="shared" si="2"/>
        <v>30.0%</v>
      </c>
      <c r="G970" s="54" t="str">
        <f t="shared" si="3"/>
        <v>₹518,085.83</v>
      </c>
      <c r="H970" s="54" t="str">
        <f t="shared" si="4"/>
        <v>₹43,173.82</v>
      </c>
      <c r="I970" s="54" t="str">
        <f>135348.88-H970</f>
        <v>₹92,175.06</v>
      </c>
    </row>
    <row r="971" ht="15.75" customHeight="1">
      <c r="A971" s="50" t="s">
        <v>1029</v>
      </c>
      <c r="B971" s="50" t="s">
        <v>17</v>
      </c>
      <c r="C971" s="50" t="s">
        <v>14</v>
      </c>
      <c r="D971" s="51">
        <v>144238.23</v>
      </c>
      <c r="E971" s="51" t="str">
        <f t="shared" si="1"/>
        <v>₹1,730,858.76</v>
      </c>
      <c r="F971" s="52" t="str">
        <f t="shared" si="2"/>
        <v>30.0%</v>
      </c>
      <c r="G971" s="51" t="str">
        <f t="shared" si="3"/>
        <v>₹519,257.63</v>
      </c>
      <c r="H971" s="51" t="str">
        <f t="shared" si="4"/>
        <v>₹43,271.47</v>
      </c>
      <c r="I971" s="51" t="str">
        <f>122033.1-H971</f>
        <v>₹78,761.63</v>
      </c>
    </row>
    <row r="972" ht="15.75" customHeight="1">
      <c r="A972" s="53" t="s">
        <v>1030</v>
      </c>
      <c r="B972" s="53" t="s">
        <v>17</v>
      </c>
      <c r="C972" s="53" t="s">
        <v>33</v>
      </c>
      <c r="D972" s="54">
        <v>52684.04</v>
      </c>
      <c r="E972" s="54" t="str">
        <f t="shared" si="1"/>
        <v>₹632,208.48</v>
      </c>
      <c r="F972" s="55" t="str">
        <f t="shared" si="2"/>
        <v>20.0%</v>
      </c>
      <c r="G972" s="54" t="str">
        <f t="shared" si="3"/>
        <v>₹126,441.70</v>
      </c>
      <c r="H972" s="54" t="str">
        <f t="shared" si="4"/>
        <v>₹10,536.81</v>
      </c>
      <c r="I972" s="54" t="str">
        <f>31417.56-H972</f>
        <v>₹20,880.75</v>
      </c>
    </row>
    <row r="973" ht="15.75" customHeight="1">
      <c r="A973" s="50" t="s">
        <v>1032</v>
      </c>
      <c r="B973" s="50" t="s">
        <v>53</v>
      </c>
      <c r="C973" s="50" t="s">
        <v>37</v>
      </c>
      <c r="D973" s="51">
        <v>74727.25</v>
      </c>
      <c r="E973" s="51" t="str">
        <f t="shared" si="1"/>
        <v>₹896,727.00</v>
      </c>
      <c r="F973" s="52" t="str">
        <f t="shared" si="2"/>
        <v>20.0%</v>
      </c>
      <c r="G973" s="51" t="str">
        <f t="shared" si="3"/>
        <v>₹179,345.40</v>
      </c>
      <c r="H973" s="51" t="str">
        <f t="shared" si="4"/>
        <v>₹14,945.45</v>
      </c>
      <c r="I973" s="51" t="str">
        <f>69065.58-H973</f>
        <v>₹54,120.13</v>
      </c>
    </row>
    <row r="974" ht="15.75" customHeight="1">
      <c r="A974" s="53" t="s">
        <v>1033</v>
      </c>
      <c r="B974" s="53" t="s">
        <v>29</v>
      </c>
      <c r="C974" s="53" t="s">
        <v>37</v>
      </c>
      <c r="D974" s="54">
        <v>63056.09</v>
      </c>
      <c r="E974" s="54" t="str">
        <f t="shared" si="1"/>
        <v>₹756,673.08</v>
      </c>
      <c r="F974" s="55" t="str">
        <f t="shared" si="2"/>
        <v>20.0%</v>
      </c>
      <c r="G974" s="54" t="str">
        <f t="shared" si="3"/>
        <v>₹151,334.62</v>
      </c>
      <c r="H974" s="54" t="str">
        <f t="shared" si="4"/>
        <v>₹12,611.22</v>
      </c>
      <c r="I974" s="54" t="str">
        <f>47260.98-H974</f>
        <v>₹34,649.76</v>
      </c>
    </row>
    <row r="975" ht="15.75" customHeight="1">
      <c r="A975" s="50" t="s">
        <v>1035</v>
      </c>
      <c r="B975" s="50" t="s">
        <v>29</v>
      </c>
      <c r="C975" s="50" t="s">
        <v>30</v>
      </c>
      <c r="D975" s="51">
        <v>92308.8</v>
      </c>
      <c r="E975" s="51" t="str">
        <f t="shared" si="1"/>
        <v>₹1,107,705.60</v>
      </c>
      <c r="F975" s="52" t="str">
        <f t="shared" si="2"/>
        <v>30.0%</v>
      </c>
      <c r="G975" s="51" t="str">
        <f t="shared" si="3"/>
        <v>₹332,311.68</v>
      </c>
      <c r="H975" s="51" t="str">
        <f t="shared" si="4"/>
        <v>₹27,692.64</v>
      </c>
      <c r="I975" s="51" t="str">
        <f>90028.08-H975</f>
        <v>₹62,335.44</v>
      </c>
    </row>
    <row r="976" ht="15.75" customHeight="1">
      <c r="A976" s="53" t="s">
        <v>1036</v>
      </c>
      <c r="B976" s="53" t="s">
        <v>29</v>
      </c>
      <c r="C976" s="53" t="s">
        <v>26</v>
      </c>
      <c r="D976" s="54">
        <v>118698.81</v>
      </c>
      <c r="E976" s="54" t="str">
        <f t="shared" si="1"/>
        <v>₹1,424,385.72</v>
      </c>
      <c r="F976" s="55" t="str">
        <f t="shared" si="2"/>
        <v>30.0%</v>
      </c>
      <c r="G976" s="54" t="str">
        <f t="shared" si="3"/>
        <v>₹427,315.72</v>
      </c>
      <c r="H976" s="54" t="str">
        <f t="shared" si="4"/>
        <v>₹35,609.64</v>
      </c>
      <c r="I976" s="54" t="str">
        <f>97699.4-H976</f>
        <v>₹62,089.76</v>
      </c>
    </row>
    <row r="977" ht="15.75" customHeight="1">
      <c r="A977" s="50" t="s">
        <v>1037</v>
      </c>
      <c r="B977" s="50" t="s">
        <v>29</v>
      </c>
      <c r="C977" s="50" t="s">
        <v>30</v>
      </c>
      <c r="D977" s="51">
        <v>84183.09</v>
      </c>
      <c r="E977" s="51" t="str">
        <f t="shared" si="1"/>
        <v>₹1,010,197.08</v>
      </c>
      <c r="F977" s="52" t="str">
        <f t="shared" si="2"/>
        <v>30.0%</v>
      </c>
      <c r="G977" s="51" t="str">
        <f t="shared" si="3"/>
        <v>₹303,059.12</v>
      </c>
      <c r="H977" s="51" t="str">
        <f t="shared" si="4"/>
        <v>₹25,254.93</v>
      </c>
      <c r="I977" s="51" t="str">
        <f>79406.72-H977</f>
        <v>₹54,151.79</v>
      </c>
    </row>
    <row r="978" ht="15.75" customHeight="1">
      <c r="A978" s="53" t="s">
        <v>1038</v>
      </c>
      <c r="B978" s="53" t="s">
        <v>17</v>
      </c>
      <c r="C978" s="53" t="s">
        <v>18</v>
      </c>
      <c r="D978" s="54">
        <v>75740.67</v>
      </c>
      <c r="E978" s="54" t="str">
        <f t="shared" si="1"/>
        <v>₹908,888.04</v>
      </c>
      <c r="F978" s="55" t="str">
        <f t="shared" si="2"/>
        <v>20.0%</v>
      </c>
      <c r="G978" s="54" t="str">
        <f t="shared" si="3"/>
        <v>₹181,777.61</v>
      </c>
      <c r="H978" s="54" t="str">
        <f t="shared" si="4"/>
        <v>₹15,148.13</v>
      </c>
      <c r="I978" s="54" t="str">
        <f>73505.71-H978</f>
        <v>₹58,357.58</v>
      </c>
    </row>
    <row r="979" ht="15.75" customHeight="1">
      <c r="A979" s="50" t="s">
        <v>1039</v>
      </c>
      <c r="B979" s="50" t="s">
        <v>25</v>
      </c>
      <c r="C979" s="50" t="s">
        <v>14</v>
      </c>
      <c r="D979" s="51">
        <v>108008.87</v>
      </c>
      <c r="E979" s="51" t="str">
        <f t="shared" si="1"/>
        <v>₹1,296,106.44</v>
      </c>
      <c r="F979" s="52" t="str">
        <f t="shared" si="2"/>
        <v>30.0%</v>
      </c>
      <c r="G979" s="51" t="str">
        <f t="shared" si="3"/>
        <v>₹388,831.93</v>
      </c>
      <c r="H979" s="51" t="str">
        <f t="shared" si="4"/>
        <v>₹32,402.66</v>
      </c>
      <c r="I979" s="51" t="str">
        <f>97703.5-H979</f>
        <v>₹65,300.84</v>
      </c>
    </row>
    <row r="980" ht="15.75" customHeight="1">
      <c r="A980" s="53" t="s">
        <v>1041</v>
      </c>
      <c r="B980" s="53" t="s">
        <v>51</v>
      </c>
      <c r="C980" s="53" t="s">
        <v>30</v>
      </c>
      <c r="D980" s="54">
        <v>59142.17</v>
      </c>
      <c r="E980" s="54" t="str">
        <f t="shared" si="1"/>
        <v>₹709,706.04</v>
      </c>
      <c r="F980" s="55" t="str">
        <f t="shared" si="2"/>
        <v>20.0%</v>
      </c>
      <c r="G980" s="54" t="str">
        <f t="shared" si="3"/>
        <v>₹141,941.21</v>
      </c>
      <c r="H980" s="54" t="str">
        <f t="shared" si="4"/>
        <v>₹11,828.43</v>
      </c>
      <c r="I980" s="54" t="str">
        <f>44507.58-H980</f>
        <v>₹32,679.15</v>
      </c>
    </row>
    <row r="981" ht="15.75" customHeight="1">
      <c r="A981" s="50" t="s">
        <v>1043</v>
      </c>
      <c r="B981" s="50" t="s">
        <v>51</v>
      </c>
      <c r="C981" s="50" t="s">
        <v>30</v>
      </c>
      <c r="D981" s="51">
        <v>89908.05</v>
      </c>
      <c r="E981" s="51" t="str">
        <f t="shared" si="1"/>
        <v>₹1,078,896.60</v>
      </c>
      <c r="F981" s="52" t="str">
        <f t="shared" si="2"/>
        <v>30.0%</v>
      </c>
      <c r="G981" s="51" t="str">
        <f t="shared" si="3"/>
        <v>₹323,668.98</v>
      </c>
      <c r="H981" s="51" t="str">
        <f t="shared" si="4"/>
        <v>₹26,972.42</v>
      </c>
      <c r="I981" s="51" t="str">
        <f>68462.58-H981</f>
        <v>₹41,490.17</v>
      </c>
    </row>
    <row r="982" ht="15.75" customHeight="1">
      <c r="A982" s="53" t="s">
        <v>1044</v>
      </c>
      <c r="B982" s="53" t="s">
        <v>36</v>
      </c>
      <c r="C982" s="53" t="s">
        <v>37</v>
      </c>
      <c r="D982" s="54">
        <v>95416.42</v>
      </c>
      <c r="E982" s="54" t="str">
        <f t="shared" si="1"/>
        <v>₹1,144,997.04</v>
      </c>
      <c r="F982" s="55" t="str">
        <f t="shared" si="2"/>
        <v>30.0%</v>
      </c>
      <c r="G982" s="54" t="str">
        <f t="shared" si="3"/>
        <v>₹343,499.11</v>
      </c>
      <c r="H982" s="54" t="str">
        <f t="shared" si="4"/>
        <v>₹28,624.93</v>
      </c>
      <c r="I982" s="54" t="str">
        <f>71047.48-H982</f>
        <v>₹42,422.55</v>
      </c>
    </row>
    <row r="983" ht="15.75" customHeight="1">
      <c r="A983" s="50" t="s">
        <v>1045</v>
      </c>
      <c r="B983" s="50" t="s">
        <v>51</v>
      </c>
      <c r="C983" s="50" t="s">
        <v>18</v>
      </c>
      <c r="D983" s="51">
        <v>95720.36</v>
      </c>
      <c r="E983" s="51" t="str">
        <f t="shared" si="1"/>
        <v>₹1,148,644.32</v>
      </c>
      <c r="F983" s="52" t="str">
        <f t="shared" si="2"/>
        <v>30.0%</v>
      </c>
      <c r="G983" s="51" t="str">
        <f t="shared" si="3"/>
        <v>₹344,593.30</v>
      </c>
      <c r="H983" s="51" t="str">
        <f t="shared" si="4"/>
        <v>₹28,716.11</v>
      </c>
      <c r="I983" s="51" t="str">
        <f>84452.79-H983</f>
        <v>₹55,736.68</v>
      </c>
    </row>
    <row r="984" ht="15.75" customHeight="1">
      <c r="A984" s="53" t="s">
        <v>1046</v>
      </c>
      <c r="B984" s="53" t="s">
        <v>25</v>
      </c>
      <c r="C984" s="53" t="s">
        <v>33</v>
      </c>
      <c r="D984" s="54">
        <v>139241.74</v>
      </c>
      <c r="E984" s="54" t="str">
        <f t="shared" si="1"/>
        <v>₹1,670,900.88</v>
      </c>
      <c r="F984" s="55" t="str">
        <f t="shared" si="2"/>
        <v>30.0%</v>
      </c>
      <c r="G984" s="54" t="str">
        <f t="shared" si="3"/>
        <v>₹501,270.26</v>
      </c>
      <c r="H984" s="54" t="str">
        <f t="shared" si="4"/>
        <v>₹41,772.52</v>
      </c>
      <c r="I984" s="54" t="str">
        <f>137260.79-H984</f>
        <v>₹95,488.27</v>
      </c>
    </row>
    <row r="985" ht="15.75" customHeight="1">
      <c r="A985" s="50" t="s">
        <v>1047</v>
      </c>
      <c r="B985" s="50" t="s">
        <v>25</v>
      </c>
      <c r="C985" s="50" t="s">
        <v>18</v>
      </c>
      <c r="D985" s="51">
        <v>70781.82</v>
      </c>
      <c r="E985" s="51" t="str">
        <f t="shared" si="1"/>
        <v>₹849,381.84</v>
      </c>
      <c r="F985" s="52" t="str">
        <f t="shared" si="2"/>
        <v>20.0%</v>
      </c>
      <c r="G985" s="51" t="str">
        <f t="shared" si="3"/>
        <v>₹169,876.37</v>
      </c>
      <c r="H985" s="51" t="str">
        <f t="shared" si="4"/>
        <v>₹14,156.36</v>
      </c>
      <c r="I985" s="51" t="str">
        <f>51928.49-H985</f>
        <v>₹37,772.13</v>
      </c>
    </row>
    <row r="986" ht="15.75" customHeight="1">
      <c r="A986" s="53" t="s">
        <v>1048</v>
      </c>
      <c r="B986" s="53" t="s">
        <v>53</v>
      </c>
      <c r="C986" s="53" t="s">
        <v>30</v>
      </c>
      <c r="D986" s="54">
        <v>83174.68</v>
      </c>
      <c r="E986" s="54" t="str">
        <f t="shared" si="1"/>
        <v>₹998,096.16</v>
      </c>
      <c r="F986" s="55" t="str">
        <f t="shared" si="2"/>
        <v>20.0%</v>
      </c>
      <c r="G986" s="54" t="str">
        <f t="shared" si="3"/>
        <v>₹199,619.23</v>
      </c>
      <c r="H986" s="54" t="str">
        <f t="shared" si="4"/>
        <v>₹16,634.94</v>
      </c>
      <c r="I986" s="54" t="str">
        <f>68827.94-H986</f>
        <v>₹52,193.00</v>
      </c>
    </row>
    <row r="987" ht="15.75" customHeight="1">
      <c r="A987" s="50" t="s">
        <v>1049</v>
      </c>
      <c r="B987" s="50" t="s">
        <v>13</v>
      </c>
      <c r="C987" s="50" t="s">
        <v>30</v>
      </c>
      <c r="D987" s="51">
        <v>118258.49</v>
      </c>
      <c r="E987" s="51" t="str">
        <f t="shared" si="1"/>
        <v>₹1,419,101.88</v>
      </c>
      <c r="F987" s="52" t="str">
        <f t="shared" si="2"/>
        <v>30.0%</v>
      </c>
      <c r="G987" s="51" t="str">
        <f t="shared" si="3"/>
        <v>₹425,730.56</v>
      </c>
      <c r="H987" s="51" t="str">
        <f t="shared" si="4"/>
        <v>₹35,477.55</v>
      </c>
      <c r="I987" s="51" t="str">
        <f>106785.15-H987</f>
        <v>₹71,307.60</v>
      </c>
    </row>
    <row r="988" ht="15.75" customHeight="1">
      <c r="A988" s="53" t="s">
        <v>1050</v>
      </c>
      <c r="B988" s="53" t="s">
        <v>13</v>
      </c>
      <c r="C988" s="53" t="s">
        <v>33</v>
      </c>
      <c r="D988" s="54">
        <v>52976.3</v>
      </c>
      <c r="E988" s="54" t="str">
        <f t="shared" si="1"/>
        <v>₹635,715.60</v>
      </c>
      <c r="F988" s="55" t="str">
        <f t="shared" si="2"/>
        <v>20.0%</v>
      </c>
      <c r="G988" s="54" t="str">
        <f t="shared" si="3"/>
        <v>₹127,143.12</v>
      </c>
      <c r="H988" s="54" t="str">
        <f t="shared" si="4"/>
        <v>₹10,595.26</v>
      </c>
      <c r="I988" s="54" t="str">
        <f>44899.21-H988</f>
        <v>₹34,303.95</v>
      </c>
    </row>
    <row r="989" ht="15.75" customHeight="1">
      <c r="A989" s="50" t="s">
        <v>1051</v>
      </c>
      <c r="B989" s="50" t="s">
        <v>53</v>
      </c>
      <c r="C989" s="50" t="s">
        <v>14</v>
      </c>
      <c r="D989" s="51">
        <v>114027.51</v>
      </c>
      <c r="E989" s="51" t="str">
        <f t="shared" si="1"/>
        <v>₹1,368,330.12</v>
      </c>
      <c r="F989" s="52" t="str">
        <f t="shared" si="2"/>
        <v>30.0%</v>
      </c>
      <c r="G989" s="51" t="str">
        <f t="shared" si="3"/>
        <v>₹410,499.04</v>
      </c>
      <c r="H989" s="51" t="str">
        <f t="shared" si="4"/>
        <v>₹34,208.25</v>
      </c>
      <c r="I989" s="51" t="str">
        <f>101218.75-H989</f>
        <v>₹67,010.50</v>
      </c>
    </row>
    <row r="990" ht="15.75" customHeight="1">
      <c r="A990" s="53" t="s">
        <v>1052</v>
      </c>
      <c r="B990" s="53" t="s">
        <v>29</v>
      </c>
      <c r="C990" s="53" t="s">
        <v>14</v>
      </c>
      <c r="D990" s="54">
        <v>59492.4</v>
      </c>
      <c r="E990" s="54" t="str">
        <f t="shared" si="1"/>
        <v>₹713,908.80</v>
      </c>
      <c r="F990" s="55" t="str">
        <f t="shared" si="2"/>
        <v>20.0%</v>
      </c>
      <c r="G990" s="54" t="str">
        <f t="shared" si="3"/>
        <v>₹142,781.76</v>
      </c>
      <c r="H990" s="54" t="str">
        <f t="shared" si="4"/>
        <v>₹11,898.48</v>
      </c>
      <c r="I990" s="54" t="str">
        <f>50694.75-H990</f>
        <v>₹38,796.27</v>
      </c>
    </row>
    <row r="991" ht="15.75" customHeight="1">
      <c r="A991" s="50" t="s">
        <v>1053</v>
      </c>
      <c r="B991" s="50" t="s">
        <v>36</v>
      </c>
      <c r="C991" s="50" t="s">
        <v>26</v>
      </c>
      <c r="D991" s="51">
        <v>33667.32</v>
      </c>
      <c r="E991" s="51" t="str">
        <f t="shared" si="1"/>
        <v>₹404,007.84</v>
      </c>
      <c r="F991" s="52" t="str">
        <f t="shared" si="2"/>
        <v>5.0%</v>
      </c>
      <c r="G991" s="51" t="str">
        <f t="shared" si="3"/>
        <v>₹20,200.39</v>
      </c>
      <c r="H991" s="51" t="str">
        <f t="shared" si="4"/>
        <v>₹1,683.37</v>
      </c>
      <c r="I991" s="51" t="str">
        <f>14620.53-H991</f>
        <v>₹12,937.16</v>
      </c>
    </row>
    <row r="992" ht="15.75" customHeight="1">
      <c r="A992" s="53" t="s">
        <v>1054</v>
      </c>
      <c r="B992" s="53" t="s">
        <v>17</v>
      </c>
      <c r="C992" s="53" t="s">
        <v>37</v>
      </c>
      <c r="D992" s="54">
        <v>156551.51</v>
      </c>
      <c r="E992" s="54" t="str">
        <f t="shared" si="1"/>
        <v>₹1,878,618.12</v>
      </c>
      <c r="F992" s="55" t="str">
        <f t="shared" si="2"/>
        <v>30.0%</v>
      </c>
      <c r="G992" s="54" t="str">
        <f t="shared" si="3"/>
        <v>₹563,585.44</v>
      </c>
      <c r="H992" s="54" t="str">
        <f t="shared" si="4"/>
        <v>₹46,965.45</v>
      </c>
      <c r="I992" s="54" t="str">
        <f>142726.11-H992</f>
        <v>₹95,760.66</v>
      </c>
    </row>
    <row r="993" ht="15.75" customHeight="1">
      <c r="A993" s="50" t="s">
        <v>1055</v>
      </c>
      <c r="B993" s="50" t="s">
        <v>53</v>
      </c>
      <c r="C993" s="50" t="s">
        <v>18</v>
      </c>
      <c r="D993" s="51">
        <v>141902.29</v>
      </c>
      <c r="E993" s="51" t="str">
        <f t="shared" si="1"/>
        <v>₹1,702,827.48</v>
      </c>
      <c r="F993" s="52" t="str">
        <f t="shared" si="2"/>
        <v>30.0%</v>
      </c>
      <c r="G993" s="51" t="str">
        <f t="shared" si="3"/>
        <v>₹510,848.24</v>
      </c>
      <c r="H993" s="51" t="str">
        <f t="shared" si="4"/>
        <v>₹42,570.69</v>
      </c>
      <c r="I993" s="51" t="str">
        <f>119919.52-H993</f>
        <v>₹77,348.83</v>
      </c>
    </row>
    <row r="994" ht="15.75" customHeight="1">
      <c r="A994" s="53" t="s">
        <v>1056</v>
      </c>
      <c r="B994" s="53" t="s">
        <v>51</v>
      </c>
      <c r="C994" s="53" t="s">
        <v>14</v>
      </c>
      <c r="D994" s="54">
        <v>141444.25</v>
      </c>
      <c r="E994" s="54" t="str">
        <f t="shared" si="1"/>
        <v>₹1,697,331.00</v>
      </c>
      <c r="F994" s="55" t="str">
        <f t="shared" si="2"/>
        <v>30.0%</v>
      </c>
      <c r="G994" s="54" t="str">
        <f t="shared" si="3"/>
        <v>₹509,199.30</v>
      </c>
      <c r="H994" s="54" t="str">
        <f t="shared" si="4"/>
        <v>₹42,433.28</v>
      </c>
      <c r="I994" s="54" t="str">
        <f>127627.42-H994</f>
        <v>₹85,194.15</v>
      </c>
    </row>
    <row r="995" ht="15.75" customHeight="1">
      <c r="A995" s="50" t="s">
        <v>1057</v>
      </c>
      <c r="B995" s="50" t="s">
        <v>51</v>
      </c>
      <c r="C995" s="50" t="s">
        <v>54</v>
      </c>
      <c r="D995" s="51">
        <v>91594.16</v>
      </c>
      <c r="E995" s="51" t="str">
        <f t="shared" si="1"/>
        <v>₹1,099,129.92</v>
      </c>
      <c r="F995" s="52" t="str">
        <f t="shared" si="2"/>
        <v>30.0%</v>
      </c>
      <c r="G995" s="51" t="str">
        <f t="shared" si="3"/>
        <v>₹329,738.98</v>
      </c>
      <c r="H995" s="51" t="str">
        <f t="shared" si="4"/>
        <v>₹27,478.25</v>
      </c>
      <c r="I995" s="51" t="str">
        <f>85256.73-H995</f>
        <v>₹57,778.48</v>
      </c>
    </row>
    <row r="996" ht="15.75" customHeight="1">
      <c r="A996" s="53" t="s">
        <v>1058</v>
      </c>
      <c r="B996" s="53" t="s">
        <v>17</v>
      </c>
      <c r="C996" s="53" t="s">
        <v>30</v>
      </c>
      <c r="D996" s="54">
        <v>74935.21</v>
      </c>
      <c r="E996" s="54" t="str">
        <f t="shared" si="1"/>
        <v>₹899,222.52</v>
      </c>
      <c r="F996" s="55" t="str">
        <f t="shared" si="2"/>
        <v>20.0%</v>
      </c>
      <c r="G996" s="54" t="str">
        <f t="shared" si="3"/>
        <v>₹179,844.50</v>
      </c>
      <c r="H996" s="54" t="str">
        <f t="shared" si="4"/>
        <v>₹14,987.04</v>
      </c>
      <c r="I996" s="54" t="str">
        <f>53583.46-H996</f>
        <v>₹38,596.42</v>
      </c>
    </row>
    <row r="997" ht="15.75" customHeight="1">
      <c r="A997" s="50" t="s">
        <v>1059</v>
      </c>
      <c r="B997" s="50" t="s">
        <v>13</v>
      </c>
      <c r="C997" s="50" t="s">
        <v>37</v>
      </c>
      <c r="D997" s="51">
        <v>121513.09</v>
      </c>
      <c r="E997" s="51" t="str">
        <f t="shared" si="1"/>
        <v>₹1,458,157.08</v>
      </c>
      <c r="F997" s="52" t="str">
        <f t="shared" si="2"/>
        <v>30.0%</v>
      </c>
      <c r="G997" s="51" t="str">
        <f t="shared" si="3"/>
        <v>₹437,447.12</v>
      </c>
      <c r="H997" s="51" t="str">
        <f t="shared" si="4"/>
        <v>₹36,453.93</v>
      </c>
      <c r="I997" s="51" t="str">
        <f>107361.22-H997</f>
        <v>₹70,907.29</v>
      </c>
    </row>
    <row r="998" ht="15.75" customHeight="1">
      <c r="A998" s="53" t="s">
        <v>1060</v>
      </c>
      <c r="B998" s="53" t="s">
        <v>53</v>
      </c>
      <c r="C998" s="53" t="s">
        <v>54</v>
      </c>
      <c r="D998" s="54">
        <v>105477.97</v>
      </c>
      <c r="E998" s="54" t="str">
        <f t="shared" si="1"/>
        <v>₹1,265,735.64</v>
      </c>
      <c r="F998" s="55" t="str">
        <f t="shared" si="2"/>
        <v>30.0%</v>
      </c>
      <c r="G998" s="54" t="str">
        <f t="shared" si="3"/>
        <v>₹379,720.69</v>
      </c>
      <c r="H998" s="54" t="str">
        <f t="shared" si="4"/>
        <v>₹31,643.39</v>
      </c>
      <c r="I998" s="54" t="str">
        <f>99910.36-H998</f>
        <v>₹68,266.97</v>
      </c>
    </row>
    <row r="999" ht="15.75" customHeight="1">
      <c r="A999" s="50" t="s">
        <v>1061</v>
      </c>
      <c r="B999" s="50" t="s">
        <v>29</v>
      </c>
      <c r="C999" s="50" t="s">
        <v>18</v>
      </c>
      <c r="D999" s="51">
        <v>82588.36</v>
      </c>
      <c r="E999" s="51" t="str">
        <f t="shared" si="1"/>
        <v>₹991,060.32</v>
      </c>
      <c r="F999" s="52" t="str">
        <f t="shared" si="2"/>
        <v>20.0%</v>
      </c>
      <c r="G999" s="51" t="str">
        <f t="shared" si="3"/>
        <v>₹198,212.06</v>
      </c>
      <c r="H999" s="51" t="str">
        <f t="shared" si="4"/>
        <v>₹16,517.67</v>
      </c>
      <c r="I999" s="51" t="str">
        <f>66812.42-H999</f>
        <v>₹50,294.75</v>
      </c>
    </row>
    <row r="1000" ht="15.75" customHeight="1">
      <c r="A1000" s="53" t="s">
        <v>1063</v>
      </c>
      <c r="B1000" s="53" t="s">
        <v>36</v>
      </c>
      <c r="C1000" s="53" t="s">
        <v>54</v>
      </c>
      <c r="D1000" s="54">
        <v>86778.92</v>
      </c>
      <c r="E1000" s="54" t="str">
        <f t="shared" si="1"/>
        <v>₹1,041,347.04</v>
      </c>
      <c r="F1000" s="55" t="str">
        <f t="shared" si="2"/>
        <v>30.0%</v>
      </c>
      <c r="G1000" s="54" t="str">
        <f t="shared" si="3"/>
        <v>₹312,404.11</v>
      </c>
      <c r="H1000" s="54" t="str">
        <f t="shared" si="4"/>
        <v>₹26,033.68</v>
      </c>
      <c r="I1000" s="54" t="str">
        <f>77514.86-H1000</f>
        <v>₹51,481.18</v>
      </c>
    </row>
    <row r="1001" ht="15.75" customHeight="1">
      <c r="A1001" s="50" t="s">
        <v>1064</v>
      </c>
      <c r="B1001" s="50" t="s">
        <v>25</v>
      </c>
      <c r="C1001" s="50" t="s">
        <v>18</v>
      </c>
      <c r="D1001" s="51">
        <v>40266.87</v>
      </c>
      <c r="E1001" s="51" t="str">
        <f t="shared" si="1"/>
        <v>₹483,202.44</v>
      </c>
      <c r="F1001" s="52" t="str">
        <f t="shared" si="2"/>
        <v>5.0%</v>
      </c>
      <c r="G1001" s="51" t="str">
        <f t="shared" si="3"/>
        <v>₹24,160.12</v>
      </c>
      <c r="H1001" s="51" t="str">
        <f t="shared" si="4"/>
        <v>₹2,013.34</v>
      </c>
      <c r="I1001" s="51" t="str">
        <f>19078.93-H1001</f>
        <v>₹17,065.59</v>
      </c>
    </row>
    <row r="1002" ht="15.75" customHeight="1">
      <c r="A1002" s="53" t="s">
        <v>1065</v>
      </c>
      <c r="B1002" s="53" t="s">
        <v>13</v>
      </c>
      <c r="C1002" s="53" t="s">
        <v>26</v>
      </c>
      <c r="D1002" s="54">
        <v>150877.95</v>
      </c>
      <c r="E1002" s="54" t="str">
        <f t="shared" si="1"/>
        <v>₹1,810,535.40</v>
      </c>
      <c r="F1002" s="55" t="str">
        <f t="shared" si="2"/>
        <v>30.0%</v>
      </c>
      <c r="G1002" s="54" t="str">
        <f t="shared" si="3"/>
        <v>₹543,160.62</v>
      </c>
      <c r="H1002" s="54" t="str">
        <f t="shared" si="4"/>
        <v>₹45,263.39</v>
      </c>
      <c r="I1002" s="54" t="str">
        <f>139272.11-H1002</f>
        <v>₹94,008.73</v>
      </c>
    </row>
    <row r="1003" ht="15.75" customHeight="1">
      <c r="A1003" s="50" t="s">
        <v>1066</v>
      </c>
      <c r="B1003" s="50" t="s">
        <v>36</v>
      </c>
      <c r="C1003" s="50" t="s">
        <v>37</v>
      </c>
      <c r="D1003" s="51">
        <v>69994.49</v>
      </c>
      <c r="E1003" s="51" t="str">
        <f t="shared" si="1"/>
        <v>₹839,933.88</v>
      </c>
      <c r="F1003" s="52" t="str">
        <f t="shared" si="2"/>
        <v>20.0%</v>
      </c>
      <c r="G1003" s="51" t="str">
        <f t="shared" si="3"/>
        <v>₹167,986.78</v>
      </c>
      <c r="H1003" s="51" t="str">
        <f t="shared" si="4"/>
        <v>₹13,998.90</v>
      </c>
      <c r="I1003" s="51" t="str">
        <f>51696.68-H1003</f>
        <v>₹37,697.78</v>
      </c>
    </row>
    <row r="1004" ht="15.75" customHeight="1">
      <c r="A1004" s="53" t="s">
        <v>1067</v>
      </c>
      <c r="B1004" s="53" t="s">
        <v>29</v>
      </c>
      <c r="C1004" s="53" t="s">
        <v>30</v>
      </c>
      <c r="D1004" s="54">
        <v>105969.41</v>
      </c>
      <c r="E1004" s="54" t="str">
        <f t="shared" si="1"/>
        <v>₹1,271,632.92</v>
      </c>
      <c r="F1004" s="55" t="str">
        <f t="shared" si="2"/>
        <v>30.0%</v>
      </c>
      <c r="G1004" s="54" t="str">
        <f t="shared" si="3"/>
        <v>₹381,489.88</v>
      </c>
      <c r="H1004" s="54" t="str">
        <f t="shared" si="4"/>
        <v>₹31,790.82</v>
      </c>
      <c r="I1004" s="54" t="str">
        <f>103128.77-H1004</f>
        <v>₹71,337.95</v>
      </c>
    </row>
    <row r="1005" ht="15.75" customHeight="1">
      <c r="A1005" s="50" t="s">
        <v>1068</v>
      </c>
      <c r="B1005" s="50" t="s">
        <v>51</v>
      </c>
      <c r="C1005" s="50" t="s">
        <v>30</v>
      </c>
      <c r="D1005" s="51">
        <v>77770.37</v>
      </c>
      <c r="E1005" s="51" t="str">
        <f t="shared" si="1"/>
        <v>₹933,244.44</v>
      </c>
      <c r="F1005" s="52" t="str">
        <f t="shared" si="2"/>
        <v>20.0%</v>
      </c>
      <c r="G1005" s="51" t="str">
        <f t="shared" si="3"/>
        <v>₹186,648.89</v>
      </c>
      <c r="H1005" s="51" t="str">
        <f t="shared" si="4"/>
        <v>₹15,554.07</v>
      </c>
      <c r="I1005" s="51" t="str">
        <f>67567.77-H1005</f>
        <v>₹52,013.70</v>
      </c>
    </row>
    <row r="1006" ht="15.75" customHeight="1">
      <c r="A1006" s="53" t="s">
        <v>1069</v>
      </c>
      <c r="B1006" s="53" t="s">
        <v>53</v>
      </c>
      <c r="C1006" s="53" t="s">
        <v>18</v>
      </c>
      <c r="D1006" s="54">
        <v>94542.99</v>
      </c>
      <c r="E1006" s="54" t="str">
        <f t="shared" si="1"/>
        <v>₹1,134,515.88</v>
      </c>
      <c r="F1006" s="55" t="str">
        <f t="shared" si="2"/>
        <v>30.0%</v>
      </c>
      <c r="G1006" s="54" t="str">
        <f t="shared" si="3"/>
        <v>₹340,354.76</v>
      </c>
      <c r="H1006" s="54" t="str">
        <f t="shared" si="4"/>
        <v>₹28,362.90</v>
      </c>
      <c r="I1006" s="54" t="str">
        <f>69953.57-H1006</f>
        <v>₹41,590.67</v>
      </c>
    </row>
    <row r="1007" ht="15.75" customHeight="1">
      <c r="A1007" s="50" t="s">
        <v>1070</v>
      </c>
      <c r="B1007" s="50" t="s">
        <v>13</v>
      </c>
      <c r="C1007" s="50" t="s">
        <v>26</v>
      </c>
      <c r="D1007" s="51">
        <v>85684.77</v>
      </c>
      <c r="E1007" s="51" t="str">
        <f t="shared" si="1"/>
        <v>₹1,028,217.24</v>
      </c>
      <c r="F1007" s="52" t="str">
        <f t="shared" si="2"/>
        <v>30.0%</v>
      </c>
      <c r="G1007" s="51" t="str">
        <f t="shared" si="3"/>
        <v>₹308,465.17</v>
      </c>
      <c r="H1007" s="51" t="str">
        <f t="shared" si="4"/>
        <v>₹25,705.43</v>
      </c>
      <c r="I1007" s="51" t="str">
        <f>81266.22-H1007</f>
        <v>₹55,560.79</v>
      </c>
    </row>
    <row r="1008" ht="15.75" customHeight="1">
      <c r="A1008" s="53" t="s">
        <v>1071</v>
      </c>
      <c r="B1008" s="53" t="s">
        <v>51</v>
      </c>
      <c r="C1008" s="53" t="s">
        <v>14</v>
      </c>
      <c r="D1008" s="54">
        <v>156992.22</v>
      </c>
      <c r="E1008" s="54" t="str">
        <f t="shared" si="1"/>
        <v>₹1,883,906.64</v>
      </c>
      <c r="F1008" s="55" t="str">
        <f t="shared" si="2"/>
        <v>30.0%</v>
      </c>
      <c r="G1008" s="54" t="str">
        <f t="shared" si="3"/>
        <v>₹565,171.99</v>
      </c>
      <c r="H1008" s="54" t="str">
        <f t="shared" si="4"/>
        <v>₹47,097.67</v>
      </c>
      <c r="I1008" s="54" t="str">
        <f>149687-H1008</f>
        <v>₹102,589.33</v>
      </c>
    </row>
    <row r="1009" ht="15.75" customHeight="1">
      <c r="A1009" s="50" t="s">
        <v>1072</v>
      </c>
      <c r="B1009" s="50" t="s">
        <v>25</v>
      </c>
      <c r="C1009" s="50" t="s">
        <v>37</v>
      </c>
      <c r="D1009" s="51">
        <v>128709.56</v>
      </c>
      <c r="E1009" s="51" t="str">
        <f t="shared" si="1"/>
        <v>₹1,544,514.72</v>
      </c>
      <c r="F1009" s="52" t="str">
        <f t="shared" si="2"/>
        <v>30.0%</v>
      </c>
      <c r="G1009" s="51" t="str">
        <f t="shared" si="3"/>
        <v>₹463,354.42</v>
      </c>
      <c r="H1009" s="51" t="str">
        <f t="shared" si="4"/>
        <v>₹38,612.87</v>
      </c>
      <c r="I1009" s="51" t="str">
        <f>120129.07-H1009</f>
        <v>₹81,516.20</v>
      </c>
    </row>
    <row r="1010" ht="15.75" customHeight="1">
      <c r="A1010" s="53" t="s">
        <v>1073</v>
      </c>
      <c r="B1010" s="53" t="s">
        <v>25</v>
      </c>
      <c r="C1010" s="53" t="s">
        <v>54</v>
      </c>
      <c r="D1010" s="54">
        <v>166490.56</v>
      </c>
      <c r="E1010" s="54" t="str">
        <f t="shared" si="1"/>
        <v>₹1,997,886.72</v>
      </c>
      <c r="F1010" s="55" t="str">
        <f t="shared" si="2"/>
        <v>30.0%</v>
      </c>
      <c r="G1010" s="54" t="str">
        <f t="shared" si="3"/>
        <v>₹599,366.02</v>
      </c>
      <c r="H1010" s="54" t="str">
        <f t="shared" si="4"/>
        <v>₹49,947.17</v>
      </c>
      <c r="I1010" s="54" t="str">
        <f>150056.6-H1010</f>
        <v>₹100,109.43</v>
      </c>
    </row>
    <row r="1011" ht="15.75" customHeight="1">
      <c r="A1011" s="50" t="s">
        <v>1074</v>
      </c>
      <c r="B1011" s="50" t="s">
        <v>36</v>
      </c>
      <c r="C1011" s="50" t="s">
        <v>30</v>
      </c>
      <c r="D1011" s="51">
        <v>146843.12</v>
      </c>
      <c r="E1011" s="51" t="str">
        <f t="shared" si="1"/>
        <v>₹1,762,117.44</v>
      </c>
      <c r="F1011" s="52" t="str">
        <f t="shared" si="2"/>
        <v>30.0%</v>
      </c>
      <c r="G1011" s="51" t="str">
        <f t="shared" si="3"/>
        <v>₹528,635.23</v>
      </c>
      <c r="H1011" s="51" t="str">
        <f t="shared" si="4"/>
        <v>₹44,052.94</v>
      </c>
      <c r="I1011" s="51" t="str">
        <f>127796.75-H1011</f>
        <v>₹83,743.81</v>
      </c>
    </row>
    <row r="1012" ht="15.75" customHeight="1">
      <c r="A1012" s="53" t="s">
        <v>1075</v>
      </c>
      <c r="B1012" s="53" t="s">
        <v>51</v>
      </c>
      <c r="C1012" s="53" t="s">
        <v>54</v>
      </c>
      <c r="D1012" s="54">
        <v>125869.53</v>
      </c>
      <c r="E1012" s="54" t="str">
        <f t="shared" si="1"/>
        <v>₹1,510,434.36</v>
      </c>
      <c r="F1012" s="55" t="str">
        <f t="shared" si="2"/>
        <v>30.0%</v>
      </c>
      <c r="G1012" s="54" t="str">
        <f t="shared" si="3"/>
        <v>₹453,130.31</v>
      </c>
      <c r="H1012" s="54" t="str">
        <f t="shared" si="4"/>
        <v>₹37,760.86</v>
      </c>
      <c r="I1012" s="54" t="str">
        <f>107006.13-H1012</f>
        <v>₹69,245.27</v>
      </c>
    </row>
    <row r="1013" ht="15.75" customHeight="1">
      <c r="A1013" s="50" t="s">
        <v>1076</v>
      </c>
      <c r="B1013" s="50" t="s">
        <v>25</v>
      </c>
      <c r="C1013" s="50" t="s">
        <v>14</v>
      </c>
      <c r="D1013" s="51">
        <v>124332.7</v>
      </c>
      <c r="E1013" s="51" t="str">
        <f t="shared" si="1"/>
        <v>₹1,491,992.40</v>
      </c>
      <c r="F1013" s="52" t="str">
        <f t="shared" si="2"/>
        <v>30.0%</v>
      </c>
      <c r="G1013" s="51" t="str">
        <f t="shared" si="3"/>
        <v>₹447,597.72</v>
      </c>
      <c r="H1013" s="51" t="str">
        <f t="shared" si="4"/>
        <v>₹37,299.81</v>
      </c>
      <c r="I1013" s="51" t="str">
        <f>111340.79-H1013</f>
        <v>₹74,040.98</v>
      </c>
    </row>
    <row r="1014" ht="15.75" customHeight="1">
      <c r="A1014" s="53" t="s">
        <v>1077</v>
      </c>
      <c r="B1014" s="53" t="s">
        <v>51</v>
      </c>
      <c r="C1014" s="53" t="s">
        <v>26</v>
      </c>
      <c r="D1014" s="54">
        <v>64479.66</v>
      </c>
      <c r="E1014" s="54" t="str">
        <f t="shared" si="1"/>
        <v>₹773,755.92</v>
      </c>
      <c r="F1014" s="55" t="str">
        <f t="shared" si="2"/>
        <v>20.0%</v>
      </c>
      <c r="G1014" s="54" t="str">
        <f t="shared" si="3"/>
        <v>₹154,751.18</v>
      </c>
      <c r="H1014" s="54" t="str">
        <f t="shared" si="4"/>
        <v>₹12,895.93</v>
      </c>
      <c r="I1014" s="54" t="str">
        <f>44114.56-H1014</f>
        <v>₹31,218.63</v>
      </c>
    </row>
    <row r="1015" ht="15.75" customHeight="1">
      <c r="A1015" s="50" t="s">
        <v>1078</v>
      </c>
      <c r="B1015" s="50" t="s">
        <v>36</v>
      </c>
      <c r="C1015" s="50" t="s">
        <v>37</v>
      </c>
      <c r="D1015" s="51">
        <v>45712.88</v>
      </c>
      <c r="E1015" s="51" t="str">
        <f t="shared" si="1"/>
        <v>₹548,554.56</v>
      </c>
      <c r="F1015" s="52" t="str">
        <f t="shared" si="2"/>
        <v>20.0%</v>
      </c>
      <c r="G1015" s="51" t="str">
        <f t="shared" si="3"/>
        <v>₹109,710.91</v>
      </c>
      <c r="H1015" s="51" t="str">
        <f t="shared" si="4"/>
        <v>₹9,142.58</v>
      </c>
      <c r="I1015" s="51" t="str">
        <f>34504.47-H1015</f>
        <v>₹25,361.89</v>
      </c>
    </row>
    <row r="1016" ht="15.75" customHeight="1">
      <c r="A1016" s="53" t="s">
        <v>1079</v>
      </c>
      <c r="B1016" s="53" t="s">
        <v>36</v>
      </c>
      <c r="C1016" s="53" t="s">
        <v>33</v>
      </c>
      <c r="D1016" s="54">
        <v>65398.71</v>
      </c>
      <c r="E1016" s="54" t="str">
        <f t="shared" si="1"/>
        <v>₹784,784.52</v>
      </c>
      <c r="F1016" s="55" t="str">
        <f t="shared" si="2"/>
        <v>20.0%</v>
      </c>
      <c r="G1016" s="54" t="str">
        <f t="shared" si="3"/>
        <v>₹156,956.90</v>
      </c>
      <c r="H1016" s="54" t="str">
        <f t="shared" si="4"/>
        <v>₹13,079.74</v>
      </c>
      <c r="I1016" s="54" t="str">
        <f>61863.64-H1016</f>
        <v>₹48,783.90</v>
      </c>
    </row>
    <row r="1017" ht="15.75" customHeight="1">
      <c r="A1017" s="50" t="s">
        <v>1080</v>
      </c>
      <c r="B1017" s="50" t="s">
        <v>13</v>
      </c>
      <c r="C1017" s="50" t="s">
        <v>54</v>
      </c>
      <c r="D1017" s="51">
        <v>99906.91</v>
      </c>
      <c r="E1017" s="51" t="str">
        <f t="shared" si="1"/>
        <v>₹1,198,882.92</v>
      </c>
      <c r="F1017" s="52" t="str">
        <f t="shared" si="2"/>
        <v>30.0%</v>
      </c>
      <c r="G1017" s="51" t="str">
        <f t="shared" si="3"/>
        <v>₹359,664.88</v>
      </c>
      <c r="H1017" s="51" t="str">
        <f t="shared" si="4"/>
        <v>₹29,972.07</v>
      </c>
      <c r="I1017" s="51" t="str">
        <f>85578.08-H1017</f>
        <v>₹55,606.01</v>
      </c>
    </row>
    <row r="1018" ht="15.75" customHeight="1">
      <c r="A1018" s="53" t="s">
        <v>1081</v>
      </c>
      <c r="B1018" s="53" t="s">
        <v>29</v>
      </c>
      <c r="C1018" s="53" t="s">
        <v>14</v>
      </c>
      <c r="D1018" s="54">
        <v>83033.05</v>
      </c>
      <c r="E1018" s="54" t="str">
        <f t="shared" si="1"/>
        <v>₹996,396.60</v>
      </c>
      <c r="F1018" s="55" t="str">
        <f t="shared" si="2"/>
        <v>20.0%</v>
      </c>
      <c r="G1018" s="54" t="str">
        <f t="shared" si="3"/>
        <v>₹199,279.32</v>
      </c>
      <c r="H1018" s="54" t="str">
        <f t="shared" si="4"/>
        <v>₹16,606.61</v>
      </c>
      <c r="I1018" s="54" t="str">
        <f>59201.67-H1018</f>
        <v>₹42,595.06</v>
      </c>
    </row>
    <row r="1019" ht="15.75" customHeight="1">
      <c r="A1019" s="50" t="s">
        <v>1082</v>
      </c>
      <c r="B1019" s="50" t="s">
        <v>53</v>
      </c>
      <c r="C1019" s="50" t="s">
        <v>33</v>
      </c>
      <c r="D1019" s="51">
        <v>60205.49</v>
      </c>
      <c r="E1019" s="51" t="str">
        <f t="shared" si="1"/>
        <v>₹722,465.88</v>
      </c>
      <c r="F1019" s="52" t="str">
        <f t="shared" si="2"/>
        <v>20.0%</v>
      </c>
      <c r="G1019" s="51" t="str">
        <f t="shared" si="3"/>
        <v>₹144,493.18</v>
      </c>
      <c r="H1019" s="51" t="str">
        <f t="shared" si="4"/>
        <v>₹12,041.10</v>
      </c>
      <c r="I1019" s="51" t="str">
        <f>40277.15-H1019</f>
        <v>₹28,236.05</v>
      </c>
    </row>
    <row r="1020" ht="15.75" customHeight="1">
      <c r="A1020" s="53" t="s">
        <v>1083</v>
      </c>
      <c r="B1020" s="53" t="s">
        <v>17</v>
      </c>
      <c r="C1020" s="53" t="s">
        <v>37</v>
      </c>
      <c r="D1020" s="54">
        <v>152543.6</v>
      </c>
      <c r="E1020" s="54" t="str">
        <f t="shared" si="1"/>
        <v>₹1,830,523.20</v>
      </c>
      <c r="F1020" s="55" t="str">
        <f t="shared" si="2"/>
        <v>30.0%</v>
      </c>
      <c r="G1020" s="54" t="str">
        <f t="shared" si="3"/>
        <v>₹549,156.96</v>
      </c>
      <c r="H1020" s="54" t="str">
        <f t="shared" si="4"/>
        <v>₹45,763.08</v>
      </c>
      <c r="I1020" s="54" t="str">
        <f>137865.43-H1020</f>
        <v>₹92,102.35</v>
      </c>
    </row>
    <row r="1021" ht="15.75" customHeight="1">
      <c r="A1021" s="50" t="s">
        <v>1084</v>
      </c>
      <c r="B1021" s="50" t="s">
        <v>29</v>
      </c>
      <c r="C1021" s="50" t="s">
        <v>18</v>
      </c>
      <c r="D1021" s="51">
        <v>68963.22</v>
      </c>
      <c r="E1021" s="51" t="str">
        <f t="shared" si="1"/>
        <v>₹827,558.64</v>
      </c>
      <c r="F1021" s="52" t="str">
        <f t="shared" si="2"/>
        <v>20.0%</v>
      </c>
      <c r="G1021" s="51" t="str">
        <f t="shared" si="3"/>
        <v>₹165,511.73</v>
      </c>
      <c r="H1021" s="51" t="str">
        <f t="shared" si="4"/>
        <v>₹13,792.64</v>
      </c>
      <c r="I1021" s="51" t="str">
        <f>52616.48-H1021</f>
        <v>₹38,823.84</v>
      </c>
    </row>
    <row r="1022" ht="15.75" customHeight="1">
      <c r="A1022" s="53" t="s">
        <v>1085</v>
      </c>
      <c r="B1022" s="53" t="s">
        <v>51</v>
      </c>
      <c r="C1022" s="53" t="s">
        <v>30</v>
      </c>
      <c r="D1022" s="54">
        <v>98971.43</v>
      </c>
      <c r="E1022" s="54" t="str">
        <f t="shared" si="1"/>
        <v>₹1,187,657.16</v>
      </c>
      <c r="F1022" s="55" t="str">
        <f t="shared" si="2"/>
        <v>30.0%</v>
      </c>
      <c r="G1022" s="54" t="str">
        <f t="shared" si="3"/>
        <v>₹356,297.15</v>
      </c>
      <c r="H1022" s="54" t="str">
        <f t="shared" si="4"/>
        <v>₹29,691.43</v>
      </c>
      <c r="I1022" s="54" t="str">
        <f>75672.66-H1022</f>
        <v>₹45,981.23</v>
      </c>
    </row>
    <row r="1023" ht="15.75" customHeight="1">
      <c r="A1023" s="50" t="s">
        <v>1086</v>
      </c>
      <c r="B1023" s="50" t="s">
        <v>13</v>
      </c>
      <c r="C1023" s="50" t="s">
        <v>33</v>
      </c>
      <c r="D1023" s="51">
        <v>79982.54</v>
      </c>
      <c r="E1023" s="51" t="str">
        <f t="shared" si="1"/>
        <v>₹959,790.48</v>
      </c>
      <c r="F1023" s="52" t="str">
        <f t="shared" si="2"/>
        <v>20.0%</v>
      </c>
      <c r="G1023" s="51" t="str">
        <f t="shared" si="3"/>
        <v>₹191,958.10</v>
      </c>
      <c r="H1023" s="51" t="str">
        <f t="shared" si="4"/>
        <v>₹15,996.51</v>
      </c>
      <c r="I1023" s="51" t="str">
        <f>68988.14-H1023</f>
        <v>₹52,991.63</v>
      </c>
    </row>
    <row r="1024" ht="15.75" customHeight="1">
      <c r="A1024" s="53" t="s">
        <v>1087</v>
      </c>
      <c r="B1024" s="53" t="s">
        <v>13</v>
      </c>
      <c r="C1024" s="53" t="s">
        <v>37</v>
      </c>
      <c r="D1024" s="54">
        <v>47953.94</v>
      </c>
      <c r="E1024" s="54" t="str">
        <f t="shared" si="1"/>
        <v>₹575,447.28</v>
      </c>
      <c r="F1024" s="55" t="str">
        <f t="shared" si="2"/>
        <v>20.0%</v>
      </c>
      <c r="G1024" s="54" t="str">
        <f t="shared" si="3"/>
        <v>₹115,089.46</v>
      </c>
      <c r="H1024" s="54" t="str">
        <f t="shared" si="4"/>
        <v>₹9,590.79</v>
      </c>
      <c r="I1024" s="54" t="str">
        <f>39334.78-H1024</f>
        <v>₹29,743.99</v>
      </c>
    </row>
    <row r="1025" ht="15.75" customHeight="1">
      <c r="A1025" s="50" t="s">
        <v>1088</v>
      </c>
      <c r="B1025" s="50" t="s">
        <v>17</v>
      </c>
      <c r="C1025" s="50" t="s">
        <v>33</v>
      </c>
      <c r="D1025" s="51">
        <v>145147.5</v>
      </c>
      <c r="E1025" s="51" t="str">
        <f t="shared" si="1"/>
        <v>₹1,741,770.00</v>
      </c>
      <c r="F1025" s="52" t="str">
        <f t="shared" si="2"/>
        <v>30.0%</v>
      </c>
      <c r="G1025" s="51" t="str">
        <f t="shared" si="3"/>
        <v>₹522,531.00</v>
      </c>
      <c r="H1025" s="51" t="str">
        <f t="shared" si="4"/>
        <v>₹43,544.25</v>
      </c>
      <c r="I1025" s="51" t="str">
        <f>120705.08-H1025</f>
        <v>₹77,160.83</v>
      </c>
    </row>
    <row r="1026" ht="15.75" customHeight="1">
      <c r="A1026" s="53" t="s">
        <v>1089</v>
      </c>
      <c r="B1026" s="53" t="s">
        <v>25</v>
      </c>
      <c r="C1026" s="53" t="s">
        <v>14</v>
      </c>
      <c r="D1026" s="54">
        <v>60068.49</v>
      </c>
      <c r="E1026" s="54" t="str">
        <f t="shared" si="1"/>
        <v>₹720,821.88</v>
      </c>
      <c r="F1026" s="55" t="str">
        <f t="shared" si="2"/>
        <v>20.0%</v>
      </c>
      <c r="G1026" s="54" t="str">
        <f t="shared" si="3"/>
        <v>₹144,164.38</v>
      </c>
      <c r="H1026" s="54" t="str">
        <f t="shared" si="4"/>
        <v>₹12,013.70</v>
      </c>
      <c r="I1026" s="54" t="str">
        <f>38414.13-H1026</f>
        <v>₹26,400.43</v>
      </c>
    </row>
    <row r="1027" ht="15.75" customHeight="1">
      <c r="A1027" s="50" t="s">
        <v>1090</v>
      </c>
      <c r="B1027" s="50" t="s">
        <v>51</v>
      </c>
      <c r="C1027" s="50" t="s">
        <v>37</v>
      </c>
      <c r="D1027" s="51">
        <v>164524.36</v>
      </c>
      <c r="E1027" s="51" t="str">
        <f t="shared" si="1"/>
        <v>₹1,974,292.32</v>
      </c>
      <c r="F1027" s="52" t="str">
        <f t="shared" si="2"/>
        <v>30.0%</v>
      </c>
      <c r="G1027" s="51" t="str">
        <f t="shared" si="3"/>
        <v>₹592,287.70</v>
      </c>
      <c r="H1027" s="51" t="str">
        <f t="shared" si="4"/>
        <v>₹49,357.31</v>
      </c>
      <c r="I1027" s="51" t="str">
        <f>156109.79-H1027</f>
        <v>₹106,752.48</v>
      </c>
    </row>
    <row r="1028" ht="15.75" customHeight="1">
      <c r="A1028" s="53" t="s">
        <v>1091</v>
      </c>
      <c r="B1028" s="53" t="s">
        <v>51</v>
      </c>
      <c r="C1028" s="53" t="s">
        <v>37</v>
      </c>
      <c r="D1028" s="54">
        <v>120473.34</v>
      </c>
      <c r="E1028" s="54" t="str">
        <f t="shared" si="1"/>
        <v>₹1,445,680.08</v>
      </c>
      <c r="F1028" s="55" t="str">
        <f t="shared" si="2"/>
        <v>30.0%</v>
      </c>
      <c r="G1028" s="54" t="str">
        <f t="shared" si="3"/>
        <v>₹433,704.02</v>
      </c>
      <c r="H1028" s="54" t="str">
        <f t="shared" si="4"/>
        <v>₹36,142.00</v>
      </c>
      <c r="I1028" s="54" t="str">
        <f>108610.72-H1028</f>
        <v>₹72,468.72</v>
      </c>
    </row>
    <row r="1029" ht="15.75" customHeight="1">
      <c r="A1029" s="50" t="s">
        <v>1092</v>
      </c>
      <c r="B1029" s="50" t="s">
        <v>13</v>
      </c>
      <c r="C1029" s="50" t="s">
        <v>18</v>
      </c>
      <c r="D1029" s="51">
        <v>72515.5</v>
      </c>
      <c r="E1029" s="51" t="str">
        <f t="shared" si="1"/>
        <v>₹870,186.00</v>
      </c>
      <c r="F1029" s="52" t="str">
        <f t="shared" si="2"/>
        <v>20.0%</v>
      </c>
      <c r="G1029" s="51" t="str">
        <f t="shared" si="3"/>
        <v>₹174,037.20</v>
      </c>
      <c r="H1029" s="51" t="str">
        <f t="shared" si="4"/>
        <v>₹14,503.10</v>
      </c>
      <c r="I1029" s="51" t="str">
        <f>61846.09-H1029</f>
        <v>₹47,342.99</v>
      </c>
    </row>
    <row r="1030" ht="15.75" customHeight="1">
      <c r="A1030" s="53" t="s">
        <v>1093</v>
      </c>
      <c r="B1030" s="53" t="s">
        <v>53</v>
      </c>
      <c r="C1030" s="53" t="s">
        <v>30</v>
      </c>
      <c r="D1030" s="54">
        <v>55627.0</v>
      </c>
      <c r="E1030" s="54" t="str">
        <f t="shared" si="1"/>
        <v>₹667,524.00</v>
      </c>
      <c r="F1030" s="55" t="str">
        <f t="shared" si="2"/>
        <v>20.0%</v>
      </c>
      <c r="G1030" s="54" t="str">
        <f t="shared" si="3"/>
        <v>₹133,504.80</v>
      </c>
      <c r="H1030" s="54" t="str">
        <f t="shared" si="4"/>
        <v>₹11,125.40</v>
      </c>
      <c r="I1030" s="54" t="str">
        <f>51474.16-H1030</f>
        <v>₹40,348.76</v>
      </c>
    </row>
    <row r="1031" ht="15.75" customHeight="1">
      <c r="A1031" s="50" t="s">
        <v>1094</v>
      </c>
      <c r="B1031" s="50" t="s">
        <v>13</v>
      </c>
      <c r="C1031" s="50" t="s">
        <v>37</v>
      </c>
      <c r="D1031" s="51">
        <v>140054.38</v>
      </c>
      <c r="E1031" s="51" t="str">
        <f t="shared" si="1"/>
        <v>₹1,680,652.56</v>
      </c>
      <c r="F1031" s="52" t="str">
        <f t="shared" si="2"/>
        <v>30.0%</v>
      </c>
      <c r="G1031" s="51" t="str">
        <f t="shared" si="3"/>
        <v>₹504,195.77</v>
      </c>
      <c r="H1031" s="51" t="str">
        <f t="shared" si="4"/>
        <v>₹42,016.31</v>
      </c>
      <c r="I1031" s="51" t="str">
        <f>116087.81-H1031</f>
        <v>₹74,071.50</v>
      </c>
    </row>
    <row r="1032" ht="15.75" customHeight="1">
      <c r="A1032" s="53" t="s">
        <v>1095</v>
      </c>
      <c r="B1032" s="53" t="s">
        <v>17</v>
      </c>
      <c r="C1032" s="53" t="s">
        <v>14</v>
      </c>
      <c r="D1032" s="54">
        <v>134456.62</v>
      </c>
      <c r="E1032" s="54" t="str">
        <f t="shared" si="1"/>
        <v>₹1,613,479.44</v>
      </c>
      <c r="F1032" s="55" t="str">
        <f t="shared" si="2"/>
        <v>30.0%</v>
      </c>
      <c r="G1032" s="54" t="str">
        <f t="shared" si="3"/>
        <v>₹484,043.83</v>
      </c>
      <c r="H1032" s="54" t="str">
        <f t="shared" si="4"/>
        <v>₹40,336.99</v>
      </c>
      <c r="I1032" s="54" t="str">
        <f>124050.97-H1032</f>
        <v>₹83,713.98</v>
      </c>
    </row>
    <row r="1033" ht="15.75" customHeight="1">
      <c r="A1033" s="50" t="s">
        <v>1096</v>
      </c>
      <c r="B1033" s="50" t="s">
        <v>53</v>
      </c>
      <c r="C1033" s="50" t="s">
        <v>37</v>
      </c>
      <c r="D1033" s="51">
        <v>121257.86</v>
      </c>
      <c r="E1033" s="51" t="str">
        <f t="shared" si="1"/>
        <v>₹1,455,094.32</v>
      </c>
      <c r="F1033" s="52" t="str">
        <f t="shared" si="2"/>
        <v>30.0%</v>
      </c>
      <c r="G1033" s="51" t="str">
        <f t="shared" si="3"/>
        <v>₹436,528.30</v>
      </c>
      <c r="H1033" s="51" t="str">
        <f t="shared" si="4"/>
        <v>₹36,377.36</v>
      </c>
      <c r="I1033" s="51" t="str">
        <f>99312.3-H1033</f>
        <v>₹62,934.94</v>
      </c>
    </row>
    <row r="1034" ht="15.75" customHeight="1">
      <c r="A1034" s="53" t="s">
        <v>1097</v>
      </c>
      <c r="B1034" s="53" t="s">
        <v>53</v>
      </c>
      <c r="C1034" s="53" t="s">
        <v>37</v>
      </c>
      <c r="D1034" s="54">
        <v>127620.21</v>
      </c>
      <c r="E1034" s="54" t="str">
        <f t="shared" si="1"/>
        <v>₹1,531,442.52</v>
      </c>
      <c r="F1034" s="55" t="str">
        <f t="shared" si="2"/>
        <v>30.0%</v>
      </c>
      <c r="G1034" s="54" t="str">
        <f t="shared" si="3"/>
        <v>₹459,432.76</v>
      </c>
      <c r="H1034" s="54" t="str">
        <f t="shared" si="4"/>
        <v>₹38,286.06</v>
      </c>
      <c r="I1034" s="54" t="str">
        <f>122480.98-H1034</f>
        <v>₹84,194.92</v>
      </c>
    </row>
    <row r="1035" ht="15.75" customHeight="1">
      <c r="A1035" s="50" t="s">
        <v>1098</v>
      </c>
      <c r="B1035" s="50" t="s">
        <v>25</v>
      </c>
      <c r="C1035" s="50" t="s">
        <v>54</v>
      </c>
      <c r="D1035" s="51">
        <v>48411.81</v>
      </c>
      <c r="E1035" s="51" t="str">
        <f t="shared" si="1"/>
        <v>₹580,941.72</v>
      </c>
      <c r="F1035" s="52" t="str">
        <f t="shared" si="2"/>
        <v>20.0%</v>
      </c>
      <c r="G1035" s="51" t="str">
        <f t="shared" si="3"/>
        <v>₹116,188.34</v>
      </c>
      <c r="H1035" s="51" t="str">
        <f t="shared" si="4"/>
        <v>₹9,682.36</v>
      </c>
      <c r="I1035" s="51" t="str">
        <f>34488.98-H1035</f>
        <v>₹24,806.62</v>
      </c>
    </row>
    <row r="1036" ht="15.75" customHeight="1">
      <c r="A1036" s="53" t="s">
        <v>1099</v>
      </c>
      <c r="B1036" s="53" t="s">
        <v>17</v>
      </c>
      <c r="C1036" s="53" t="s">
        <v>30</v>
      </c>
      <c r="D1036" s="54">
        <v>91702.59</v>
      </c>
      <c r="E1036" s="54" t="str">
        <f t="shared" si="1"/>
        <v>₹1,100,431.08</v>
      </c>
      <c r="F1036" s="55" t="str">
        <f t="shared" si="2"/>
        <v>30.0%</v>
      </c>
      <c r="G1036" s="54" t="str">
        <f t="shared" si="3"/>
        <v>₹330,129.32</v>
      </c>
      <c r="H1036" s="54" t="str">
        <f t="shared" si="4"/>
        <v>₹27,510.78</v>
      </c>
      <c r="I1036" s="54" t="str">
        <f>90615.54-H1036</f>
        <v>₹63,104.76</v>
      </c>
    </row>
    <row r="1037" ht="15.75" customHeight="1">
      <c r="A1037" s="50" t="s">
        <v>1100</v>
      </c>
      <c r="B1037" s="50" t="s">
        <v>25</v>
      </c>
      <c r="C1037" s="50" t="s">
        <v>14</v>
      </c>
      <c r="D1037" s="51">
        <v>49033.21</v>
      </c>
      <c r="E1037" s="51" t="str">
        <f t="shared" si="1"/>
        <v>₹588,398.52</v>
      </c>
      <c r="F1037" s="52" t="str">
        <f t="shared" si="2"/>
        <v>20.0%</v>
      </c>
      <c r="G1037" s="51" t="str">
        <f t="shared" si="3"/>
        <v>₹117,679.70</v>
      </c>
      <c r="H1037" s="51" t="str">
        <f t="shared" si="4"/>
        <v>₹9,806.64</v>
      </c>
      <c r="I1037" s="51" t="str">
        <f>29809.81-H1037</f>
        <v>₹20,003.17</v>
      </c>
    </row>
    <row r="1038" ht="15.75" customHeight="1">
      <c r="A1038" s="53" t="s">
        <v>1101</v>
      </c>
      <c r="B1038" s="53" t="s">
        <v>53</v>
      </c>
      <c r="C1038" s="53" t="s">
        <v>54</v>
      </c>
      <c r="D1038" s="54">
        <v>140826.26</v>
      </c>
      <c r="E1038" s="54" t="str">
        <f t="shared" si="1"/>
        <v>₹1,689,915.12</v>
      </c>
      <c r="F1038" s="55" t="str">
        <f t="shared" si="2"/>
        <v>30.0%</v>
      </c>
      <c r="G1038" s="54" t="str">
        <f t="shared" si="3"/>
        <v>₹506,974.54</v>
      </c>
      <c r="H1038" s="54" t="str">
        <f t="shared" si="4"/>
        <v>₹42,247.88</v>
      </c>
      <c r="I1038" s="54" t="str">
        <f>126093.87-H1038</f>
        <v>₹83,845.99</v>
      </c>
    </row>
    <row r="1039" ht="15.75" customHeight="1">
      <c r="A1039" s="50" t="s">
        <v>1102</v>
      </c>
      <c r="B1039" s="50" t="s">
        <v>36</v>
      </c>
      <c r="C1039" s="50" t="s">
        <v>33</v>
      </c>
      <c r="D1039" s="51">
        <v>95683.17</v>
      </c>
      <c r="E1039" s="51" t="str">
        <f t="shared" si="1"/>
        <v>₹1,148,198.04</v>
      </c>
      <c r="F1039" s="52" t="str">
        <f t="shared" si="2"/>
        <v>30.0%</v>
      </c>
      <c r="G1039" s="51" t="str">
        <f t="shared" si="3"/>
        <v>₹344,459.41</v>
      </c>
      <c r="H1039" s="51" t="str">
        <f t="shared" si="4"/>
        <v>₹28,704.95</v>
      </c>
      <c r="I1039" s="51" t="str">
        <f>79856.23-H1039</f>
        <v>₹51,151.28</v>
      </c>
    </row>
    <row r="1040" ht="15.75" customHeight="1">
      <c r="A1040" s="53" t="s">
        <v>1103</v>
      </c>
      <c r="B1040" s="53" t="s">
        <v>25</v>
      </c>
      <c r="C1040" s="53" t="s">
        <v>26</v>
      </c>
      <c r="D1040" s="54">
        <v>80532.2</v>
      </c>
      <c r="E1040" s="54" t="str">
        <f t="shared" si="1"/>
        <v>₹966,386.40</v>
      </c>
      <c r="F1040" s="55" t="str">
        <f t="shared" si="2"/>
        <v>20.0%</v>
      </c>
      <c r="G1040" s="54" t="str">
        <f t="shared" si="3"/>
        <v>₹193,277.28</v>
      </c>
      <c r="H1040" s="54" t="str">
        <f t="shared" si="4"/>
        <v>₹16,106.44</v>
      </c>
      <c r="I1040" s="54" t="str">
        <f>78765.04-H1040</f>
        <v>₹62,658.60</v>
      </c>
    </row>
    <row r="1041" ht="15.75" customHeight="1">
      <c r="A1041" s="50" t="s">
        <v>1104</v>
      </c>
      <c r="B1041" s="50" t="s">
        <v>13</v>
      </c>
      <c r="C1041" s="50" t="s">
        <v>30</v>
      </c>
      <c r="D1041" s="51">
        <v>54678.72</v>
      </c>
      <c r="E1041" s="51" t="str">
        <f t="shared" si="1"/>
        <v>₹656,144.64</v>
      </c>
      <c r="F1041" s="52" t="str">
        <f t="shared" si="2"/>
        <v>20.0%</v>
      </c>
      <c r="G1041" s="51" t="str">
        <f t="shared" si="3"/>
        <v>₹131,228.93</v>
      </c>
      <c r="H1041" s="51" t="str">
        <f t="shared" si="4"/>
        <v>₹10,935.74</v>
      </c>
      <c r="I1041" s="51" t="str">
        <f>49008.28-H1041</f>
        <v>₹38,072.54</v>
      </c>
    </row>
    <row r="1042" ht="15.75" customHeight="1">
      <c r="A1042" s="53" t="s">
        <v>1105</v>
      </c>
      <c r="B1042" s="53" t="s">
        <v>17</v>
      </c>
      <c r="C1042" s="53" t="s">
        <v>33</v>
      </c>
      <c r="D1042" s="54">
        <v>73188.23</v>
      </c>
      <c r="E1042" s="54" t="str">
        <f t="shared" si="1"/>
        <v>₹878,258.76</v>
      </c>
      <c r="F1042" s="55" t="str">
        <f t="shared" si="2"/>
        <v>20.0%</v>
      </c>
      <c r="G1042" s="54" t="str">
        <f t="shared" si="3"/>
        <v>₹175,651.75</v>
      </c>
      <c r="H1042" s="54" t="str">
        <f t="shared" si="4"/>
        <v>₹14,637.65</v>
      </c>
      <c r="I1042" s="54" t="str">
        <f>70867.12-H1042</f>
        <v>₹56,229.47</v>
      </c>
    </row>
    <row r="1043" ht="15.75" customHeight="1">
      <c r="A1043" s="50" t="s">
        <v>1106</v>
      </c>
      <c r="B1043" s="50" t="s">
        <v>25</v>
      </c>
      <c r="C1043" s="50" t="s">
        <v>14</v>
      </c>
      <c r="D1043" s="51">
        <v>119335.83</v>
      </c>
      <c r="E1043" s="51" t="str">
        <f t="shared" si="1"/>
        <v>₹1,432,029.96</v>
      </c>
      <c r="F1043" s="52" t="str">
        <f t="shared" si="2"/>
        <v>30.0%</v>
      </c>
      <c r="G1043" s="51" t="str">
        <f t="shared" si="3"/>
        <v>₹429,608.99</v>
      </c>
      <c r="H1043" s="51" t="str">
        <f t="shared" si="4"/>
        <v>₹35,800.75</v>
      </c>
      <c r="I1043" s="51" t="str">
        <f>103463.57-H1043</f>
        <v>₹67,662.82</v>
      </c>
    </row>
    <row r="1044" ht="15.75" customHeight="1">
      <c r="A1044" s="53" t="s">
        <v>1107</v>
      </c>
      <c r="B1044" s="53" t="s">
        <v>53</v>
      </c>
      <c r="C1044" s="53" t="s">
        <v>54</v>
      </c>
      <c r="D1044" s="54">
        <v>122352.99</v>
      </c>
      <c r="E1044" s="54" t="str">
        <f t="shared" si="1"/>
        <v>₹1,468,235.88</v>
      </c>
      <c r="F1044" s="55" t="str">
        <f t="shared" si="2"/>
        <v>30.0%</v>
      </c>
      <c r="G1044" s="54" t="str">
        <f t="shared" si="3"/>
        <v>₹440,470.76</v>
      </c>
      <c r="H1044" s="54" t="str">
        <f t="shared" si="4"/>
        <v>₹36,705.90</v>
      </c>
      <c r="I1044" s="54" t="str">
        <f>107981.43-H1044</f>
        <v>₹71,275.53</v>
      </c>
    </row>
    <row r="1045" ht="15.75" customHeight="1">
      <c r="A1045" s="50" t="s">
        <v>1108</v>
      </c>
      <c r="B1045" s="50" t="s">
        <v>53</v>
      </c>
      <c r="C1045" s="50" t="s">
        <v>26</v>
      </c>
      <c r="D1045" s="51">
        <v>143778.33</v>
      </c>
      <c r="E1045" s="51" t="str">
        <f t="shared" si="1"/>
        <v>₹1,725,339.96</v>
      </c>
      <c r="F1045" s="52" t="str">
        <f t="shared" si="2"/>
        <v>30.0%</v>
      </c>
      <c r="G1045" s="51" t="str">
        <f t="shared" si="3"/>
        <v>₹517,601.99</v>
      </c>
      <c r="H1045" s="51" t="str">
        <f t="shared" si="4"/>
        <v>₹43,133.50</v>
      </c>
      <c r="I1045" s="51" t="str">
        <f>128280.66-H1045</f>
        <v>₹85,147.16</v>
      </c>
    </row>
    <row r="1046" ht="15.75" customHeight="1">
      <c r="A1046" s="53" t="s">
        <v>1109</v>
      </c>
      <c r="B1046" s="53" t="s">
        <v>25</v>
      </c>
      <c r="C1046" s="53" t="s">
        <v>33</v>
      </c>
      <c r="D1046" s="54">
        <v>87887.36</v>
      </c>
      <c r="E1046" s="54" t="str">
        <f t="shared" si="1"/>
        <v>₹1,054,648.32</v>
      </c>
      <c r="F1046" s="55" t="str">
        <f t="shared" si="2"/>
        <v>30.0%</v>
      </c>
      <c r="G1046" s="54" t="str">
        <f t="shared" si="3"/>
        <v>₹316,394.50</v>
      </c>
      <c r="H1046" s="54" t="str">
        <f t="shared" si="4"/>
        <v>₹26,366.21</v>
      </c>
      <c r="I1046" s="54" t="str">
        <f>73930.7-H1046</f>
        <v>₹47,564.49</v>
      </c>
    </row>
    <row r="1047" ht="15.75" customHeight="1">
      <c r="A1047" s="50" t="s">
        <v>1110</v>
      </c>
      <c r="B1047" s="50" t="s">
        <v>36</v>
      </c>
      <c r="C1047" s="50" t="s">
        <v>54</v>
      </c>
      <c r="D1047" s="51">
        <v>118461.87</v>
      </c>
      <c r="E1047" s="51" t="str">
        <f t="shared" si="1"/>
        <v>₹1,421,542.44</v>
      </c>
      <c r="F1047" s="52" t="str">
        <f t="shared" si="2"/>
        <v>30.0%</v>
      </c>
      <c r="G1047" s="51" t="str">
        <f t="shared" si="3"/>
        <v>₹426,462.73</v>
      </c>
      <c r="H1047" s="51" t="str">
        <f t="shared" si="4"/>
        <v>₹35,538.56</v>
      </c>
      <c r="I1047" s="51" t="str">
        <f>111272.66-H1047</f>
        <v>₹75,734.10</v>
      </c>
    </row>
    <row r="1048" ht="15.75" customHeight="1">
      <c r="A1048" s="53" t="s">
        <v>1111</v>
      </c>
      <c r="B1048" s="53" t="s">
        <v>53</v>
      </c>
      <c r="C1048" s="53" t="s">
        <v>37</v>
      </c>
      <c r="D1048" s="54">
        <v>115044.58</v>
      </c>
      <c r="E1048" s="54" t="str">
        <f t="shared" si="1"/>
        <v>₹1,380,534.96</v>
      </c>
      <c r="F1048" s="55" t="str">
        <f t="shared" si="2"/>
        <v>30.0%</v>
      </c>
      <c r="G1048" s="54" t="str">
        <f t="shared" si="3"/>
        <v>₹414,160.49</v>
      </c>
      <c r="H1048" s="54" t="str">
        <f t="shared" si="4"/>
        <v>₹34,513.37</v>
      </c>
      <c r="I1048" s="54" t="str">
        <f>108554.15-H1048</f>
        <v>₹74,040.78</v>
      </c>
    </row>
    <row r="1049" ht="15.75" customHeight="1">
      <c r="A1049" s="50" t="s">
        <v>1112</v>
      </c>
      <c r="B1049" s="50" t="s">
        <v>25</v>
      </c>
      <c r="C1049" s="50" t="s">
        <v>26</v>
      </c>
      <c r="D1049" s="51">
        <v>127826.71</v>
      </c>
      <c r="E1049" s="51" t="str">
        <f t="shared" si="1"/>
        <v>₹1,533,920.52</v>
      </c>
      <c r="F1049" s="52" t="str">
        <f t="shared" si="2"/>
        <v>30.0%</v>
      </c>
      <c r="G1049" s="51" t="str">
        <f t="shared" si="3"/>
        <v>₹460,176.16</v>
      </c>
      <c r="H1049" s="51" t="str">
        <f t="shared" si="4"/>
        <v>₹38,348.01</v>
      </c>
      <c r="I1049" s="51" t="str">
        <f>123968.75-H1049</f>
        <v>₹85,620.74</v>
      </c>
    </row>
    <row r="1050" ht="15.75" customHeight="1">
      <c r="A1050" s="53" t="s">
        <v>1113</v>
      </c>
      <c r="B1050" s="53" t="s">
        <v>13</v>
      </c>
      <c r="C1050" s="53" t="s">
        <v>37</v>
      </c>
      <c r="D1050" s="54">
        <v>130894.62</v>
      </c>
      <c r="E1050" s="54" t="str">
        <f t="shared" si="1"/>
        <v>₹1,570,735.44</v>
      </c>
      <c r="F1050" s="55" t="str">
        <f t="shared" si="2"/>
        <v>30.0%</v>
      </c>
      <c r="G1050" s="54" t="str">
        <f t="shared" si="3"/>
        <v>₹471,220.63</v>
      </c>
      <c r="H1050" s="54" t="str">
        <f t="shared" si="4"/>
        <v>₹39,268.39</v>
      </c>
      <c r="I1050" s="54" t="str">
        <f>109592.38-H1050</f>
        <v>₹70,323.99</v>
      </c>
    </row>
    <row r="1051" ht="15.75" customHeight="1">
      <c r="A1051" s="50" t="s">
        <v>1114</v>
      </c>
      <c r="B1051" s="50" t="s">
        <v>53</v>
      </c>
      <c r="C1051" s="50" t="s">
        <v>26</v>
      </c>
      <c r="D1051" s="51">
        <v>105707.11</v>
      </c>
      <c r="E1051" s="51" t="str">
        <f t="shared" si="1"/>
        <v>₹1,268,485.32</v>
      </c>
      <c r="F1051" s="52" t="str">
        <f t="shared" si="2"/>
        <v>30.0%</v>
      </c>
      <c r="G1051" s="51" t="str">
        <f t="shared" si="3"/>
        <v>₹380,545.60</v>
      </c>
      <c r="H1051" s="51" t="str">
        <f t="shared" si="4"/>
        <v>₹31,712.13</v>
      </c>
      <c r="I1051" s="51" t="str">
        <f>100637.59-H1051</f>
        <v>₹68,925.46</v>
      </c>
    </row>
    <row r="1052" ht="15.75" customHeight="1">
      <c r="A1052" s="53" t="s">
        <v>1115</v>
      </c>
      <c r="B1052" s="53" t="s">
        <v>17</v>
      </c>
      <c r="C1052" s="53" t="s">
        <v>30</v>
      </c>
      <c r="D1052" s="54">
        <v>76040.3</v>
      </c>
      <c r="E1052" s="54" t="str">
        <f t="shared" si="1"/>
        <v>₹912,483.60</v>
      </c>
      <c r="F1052" s="55" t="str">
        <f t="shared" si="2"/>
        <v>20.0%</v>
      </c>
      <c r="G1052" s="54" t="str">
        <f t="shared" si="3"/>
        <v>₹182,496.72</v>
      </c>
      <c r="H1052" s="54" t="str">
        <f t="shared" si="4"/>
        <v>₹15,208.06</v>
      </c>
      <c r="I1052" s="54" t="str">
        <f>71198.67-H1052</f>
        <v>₹55,990.61</v>
      </c>
    </row>
    <row r="1053" ht="15.75" customHeight="1">
      <c r="A1053" s="50" t="s">
        <v>1116</v>
      </c>
      <c r="B1053" s="50" t="s">
        <v>13</v>
      </c>
      <c r="C1053" s="50" t="s">
        <v>26</v>
      </c>
      <c r="D1053" s="51">
        <v>70650.4</v>
      </c>
      <c r="E1053" s="51" t="str">
        <f t="shared" si="1"/>
        <v>₹847,804.80</v>
      </c>
      <c r="F1053" s="52" t="str">
        <f t="shared" si="2"/>
        <v>20.0%</v>
      </c>
      <c r="G1053" s="51" t="str">
        <f t="shared" si="3"/>
        <v>₹169,560.96</v>
      </c>
      <c r="H1053" s="51" t="str">
        <f t="shared" si="4"/>
        <v>₹14,130.08</v>
      </c>
      <c r="I1053" s="51" t="str">
        <f>48761.03-H1053</f>
        <v>₹34,630.95</v>
      </c>
    </row>
    <row r="1054" ht="15.75" customHeight="1">
      <c r="A1054" s="53" t="s">
        <v>1117</v>
      </c>
      <c r="B1054" s="53" t="s">
        <v>36</v>
      </c>
      <c r="C1054" s="53" t="s">
        <v>37</v>
      </c>
      <c r="D1054" s="54">
        <v>39793.41</v>
      </c>
      <c r="E1054" s="54" t="str">
        <f t="shared" si="1"/>
        <v>₹477,520.92</v>
      </c>
      <c r="F1054" s="55" t="str">
        <f t="shared" si="2"/>
        <v>5.0%</v>
      </c>
      <c r="G1054" s="54" t="str">
        <f t="shared" si="3"/>
        <v>₹23,876.05</v>
      </c>
      <c r="H1054" s="54" t="str">
        <f t="shared" si="4"/>
        <v>₹1,989.67</v>
      </c>
      <c r="I1054" s="54" t="str">
        <f>21096.5-H1054</f>
        <v>₹19,106.83</v>
      </c>
    </row>
    <row r="1055" ht="15.75" customHeight="1">
      <c r="A1055" s="50" t="s">
        <v>1118</v>
      </c>
      <c r="B1055" s="50" t="s">
        <v>53</v>
      </c>
      <c r="C1055" s="50" t="s">
        <v>37</v>
      </c>
      <c r="D1055" s="51">
        <v>43026.42</v>
      </c>
      <c r="E1055" s="51" t="str">
        <f t="shared" si="1"/>
        <v>₹516,317.04</v>
      </c>
      <c r="F1055" s="52" t="str">
        <f t="shared" si="2"/>
        <v>20.0%</v>
      </c>
      <c r="G1055" s="51" t="str">
        <f t="shared" si="3"/>
        <v>₹103,263.41</v>
      </c>
      <c r="H1055" s="51" t="str">
        <f t="shared" si="4"/>
        <v>₹8,605.28</v>
      </c>
      <c r="I1055" s="51" t="str">
        <f>26371.14-H1055</f>
        <v>₹17,765.86</v>
      </c>
    </row>
    <row r="1056" ht="15.75" customHeight="1">
      <c r="A1056" s="53" t="s">
        <v>1119</v>
      </c>
      <c r="B1056" s="53" t="s">
        <v>29</v>
      </c>
      <c r="C1056" s="53" t="s">
        <v>30</v>
      </c>
      <c r="D1056" s="54">
        <v>61354.13</v>
      </c>
      <c r="E1056" s="54" t="str">
        <f t="shared" si="1"/>
        <v>₹736,249.56</v>
      </c>
      <c r="F1056" s="55" t="str">
        <f t="shared" si="2"/>
        <v>20.0%</v>
      </c>
      <c r="G1056" s="54" t="str">
        <f t="shared" si="3"/>
        <v>₹147,249.91</v>
      </c>
      <c r="H1056" s="54" t="str">
        <f t="shared" si="4"/>
        <v>₹12,270.83</v>
      </c>
      <c r="I1056" s="54" t="str">
        <f>50885.96-H1056</f>
        <v>₹38,615.13</v>
      </c>
    </row>
    <row r="1057" ht="15.75" customHeight="1">
      <c r="A1057" s="50" t="s">
        <v>1120</v>
      </c>
      <c r="B1057" s="50" t="s">
        <v>13</v>
      </c>
      <c r="C1057" s="50" t="s">
        <v>30</v>
      </c>
      <c r="D1057" s="51">
        <v>120938.67</v>
      </c>
      <c r="E1057" s="51" t="str">
        <f t="shared" si="1"/>
        <v>₹1,451,264.04</v>
      </c>
      <c r="F1057" s="52" t="str">
        <f t="shared" si="2"/>
        <v>30.0%</v>
      </c>
      <c r="G1057" s="51" t="str">
        <f t="shared" si="3"/>
        <v>₹435,379.21</v>
      </c>
      <c r="H1057" s="51" t="str">
        <f t="shared" si="4"/>
        <v>₹36,281.60</v>
      </c>
      <c r="I1057" s="51" t="str">
        <f>114020.27-H1057</f>
        <v>₹77,738.67</v>
      </c>
    </row>
    <row r="1058" ht="15.75" customHeight="1">
      <c r="A1058" s="53" t="s">
        <v>1121</v>
      </c>
      <c r="B1058" s="53" t="s">
        <v>13</v>
      </c>
      <c r="C1058" s="53" t="s">
        <v>30</v>
      </c>
      <c r="D1058" s="54">
        <v>79517.64</v>
      </c>
      <c r="E1058" s="54" t="str">
        <f t="shared" si="1"/>
        <v>₹954,211.68</v>
      </c>
      <c r="F1058" s="55" t="str">
        <f t="shared" si="2"/>
        <v>20.0%</v>
      </c>
      <c r="G1058" s="54" t="str">
        <f t="shared" si="3"/>
        <v>₹190,842.34</v>
      </c>
      <c r="H1058" s="54" t="str">
        <f t="shared" si="4"/>
        <v>₹15,903.53</v>
      </c>
      <c r="I1058" s="54" t="str">
        <f>55021.1-H1058</f>
        <v>₹39,117.57</v>
      </c>
    </row>
    <row r="1059" ht="15.75" customHeight="1">
      <c r="A1059" s="50" t="s">
        <v>1122</v>
      </c>
      <c r="B1059" s="50" t="s">
        <v>13</v>
      </c>
      <c r="C1059" s="50" t="s">
        <v>37</v>
      </c>
      <c r="D1059" s="51">
        <v>79635.53</v>
      </c>
      <c r="E1059" s="51" t="str">
        <f t="shared" si="1"/>
        <v>₹955,626.36</v>
      </c>
      <c r="F1059" s="52" t="str">
        <f t="shared" si="2"/>
        <v>20.0%</v>
      </c>
      <c r="G1059" s="51" t="str">
        <f t="shared" si="3"/>
        <v>₹191,125.27</v>
      </c>
      <c r="H1059" s="51" t="str">
        <f t="shared" si="4"/>
        <v>₹15,927.11</v>
      </c>
      <c r="I1059" s="51" t="str">
        <f>59603.16-H1059</f>
        <v>₹43,676.05</v>
      </c>
    </row>
    <row r="1060" ht="15.75" customHeight="1">
      <c r="A1060" s="53" t="s">
        <v>1123</v>
      </c>
      <c r="B1060" s="53" t="s">
        <v>13</v>
      </c>
      <c r="C1060" s="53" t="s">
        <v>14</v>
      </c>
      <c r="D1060" s="54">
        <v>140971.46</v>
      </c>
      <c r="E1060" s="54" t="str">
        <f t="shared" si="1"/>
        <v>₹1,691,657.52</v>
      </c>
      <c r="F1060" s="55" t="str">
        <f t="shared" si="2"/>
        <v>30.0%</v>
      </c>
      <c r="G1060" s="54" t="str">
        <f t="shared" si="3"/>
        <v>₹507,497.26</v>
      </c>
      <c r="H1060" s="54" t="str">
        <f t="shared" si="4"/>
        <v>₹42,291.44</v>
      </c>
      <c r="I1060" s="54" t="str">
        <f>133077.87-H1060</f>
        <v>₹90,786.43</v>
      </c>
    </row>
    <row r="1061" ht="15.75" customHeight="1">
      <c r="A1061" s="50" t="s">
        <v>1124</v>
      </c>
      <c r="B1061" s="50" t="s">
        <v>17</v>
      </c>
      <c r="C1061" s="50" t="s">
        <v>54</v>
      </c>
      <c r="D1061" s="51">
        <v>81160.97</v>
      </c>
      <c r="E1061" s="51" t="str">
        <f t="shared" si="1"/>
        <v>₹973,931.64</v>
      </c>
      <c r="F1061" s="52" t="str">
        <f t="shared" si="2"/>
        <v>20.0%</v>
      </c>
      <c r="G1061" s="51" t="str">
        <f t="shared" si="3"/>
        <v>₹194,786.33</v>
      </c>
      <c r="H1061" s="51" t="str">
        <f t="shared" si="4"/>
        <v>₹16,232.19</v>
      </c>
      <c r="I1061" s="51" t="str">
        <f>59895.63-H1061</f>
        <v>₹43,663.44</v>
      </c>
    </row>
    <row r="1062" ht="15.75" customHeight="1">
      <c r="A1062" s="53" t="s">
        <v>1125</v>
      </c>
      <c r="B1062" s="53" t="s">
        <v>25</v>
      </c>
      <c r="C1062" s="53" t="s">
        <v>54</v>
      </c>
      <c r="D1062" s="54">
        <v>100811.97</v>
      </c>
      <c r="E1062" s="54" t="str">
        <f t="shared" si="1"/>
        <v>₹1,209,743.64</v>
      </c>
      <c r="F1062" s="55" t="str">
        <f t="shared" si="2"/>
        <v>30.0%</v>
      </c>
      <c r="G1062" s="54" t="str">
        <f t="shared" si="3"/>
        <v>₹362,923.09</v>
      </c>
      <c r="H1062" s="54" t="str">
        <f t="shared" si="4"/>
        <v>₹30,243.59</v>
      </c>
      <c r="I1062" s="54" t="str">
        <f>81718.14-H1062</f>
        <v>₹51,474.55</v>
      </c>
    </row>
    <row r="1063" ht="15.75" customHeight="1">
      <c r="A1063" s="50" t="s">
        <v>1126</v>
      </c>
      <c r="B1063" s="50" t="s">
        <v>29</v>
      </c>
      <c r="C1063" s="50" t="s">
        <v>37</v>
      </c>
      <c r="D1063" s="51">
        <v>110044.44</v>
      </c>
      <c r="E1063" s="51" t="str">
        <f t="shared" si="1"/>
        <v>₹1,320,533.28</v>
      </c>
      <c r="F1063" s="52" t="str">
        <f t="shared" si="2"/>
        <v>30.0%</v>
      </c>
      <c r="G1063" s="51" t="str">
        <f t="shared" si="3"/>
        <v>₹396,159.98</v>
      </c>
      <c r="H1063" s="51" t="str">
        <f t="shared" si="4"/>
        <v>₹33,013.33</v>
      </c>
      <c r="I1063" s="51" t="str">
        <f>102265.97-H1063</f>
        <v>₹69,252.64</v>
      </c>
    </row>
    <row r="1064" ht="15.75" customHeight="1">
      <c r="A1064" s="53" t="s">
        <v>1127</v>
      </c>
      <c r="B1064" s="53" t="s">
        <v>51</v>
      </c>
      <c r="C1064" s="53" t="s">
        <v>26</v>
      </c>
      <c r="D1064" s="54">
        <v>89923.85</v>
      </c>
      <c r="E1064" s="54" t="str">
        <f t="shared" si="1"/>
        <v>₹1,079,086.20</v>
      </c>
      <c r="F1064" s="55" t="str">
        <f t="shared" si="2"/>
        <v>30.0%</v>
      </c>
      <c r="G1064" s="54" t="str">
        <f t="shared" si="3"/>
        <v>₹323,725.86</v>
      </c>
      <c r="H1064" s="54" t="str">
        <f t="shared" si="4"/>
        <v>₹26,977.16</v>
      </c>
      <c r="I1064" s="54" t="str">
        <f>78973.31-H1064</f>
        <v>₹51,996.16</v>
      </c>
    </row>
    <row r="1065" ht="15.75" customHeight="1">
      <c r="A1065" s="50" t="s">
        <v>1128</v>
      </c>
      <c r="B1065" s="50" t="s">
        <v>13</v>
      </c>
      <c r="C1065" s="50" t="s">
        <v>33</v>
      </c>
      <c r="D1065" s="51">
        <v>63258.85</v>
      </c>
      <c r="E1065" s="51" t="str">
        <f t="shared" si="1"/>
        <v>₹759,106.20</v>
      </c>
      <c r="F1065" s="52" t="str">
        <f t="shared" si="2"/>
        <v>20.0%</v>
      </c>
      <c r="G1065" s="51" t="str">
        <f t="shared" si="3"/>
        <v>₹151,821.24</v>
      </c>
      <c r="H1065" s="51" t="str">
        <f t="shared" si="4"/>
        <v>₹12,651.77</v>
      </c>
      <c r="I1065" s="51" t="str">
        <f>58202.99-H1065</f>
        <v>₹45,551.22</v>
      </c>
    </row>
    <row r="1066" ht="15.75" customHeight="1">
      <c r="A1066" s="53" t="s">
        <v>1129</v>
      </c>
      <c r="B1066" s="53" t="s">
        <v>51</v>
      </c>
      <c r="C1066" s="53" t="s">
        <v>14</v>
      </c>
      <c r="D1066" s="54">
        <v>79717.37</v>
      </c>
      <c r="E1066" s="54" t="str">
        <f t="shared" si="1"/>
        <v>₹956,608.44</v>
      </c>
      <c r="F1066" s="55" t="str">
        <f t="shared" si="2"/>
        <v>20.0%</v>
      </c>
      <c r="G1066" s="54" t="str">
        <f t="shared" si="3"/>
        <v>₹191,321.69</v>
      </c>
      <c r="H1066" s="54" t="str">
        <f t="shared" si="4"/>
        <v>₹15,943.47</v>
      </c>
      <c r="I1066" s="54" t="str">
        <f>76496.59-H1066</f>
        <v>₹60,553.12</v>
      </c>
    </row>
    <row r="1067" ht="15.75" customHeight="1">
      <c r="A1067" s="50" t="s">
        <v>1130</v>
      </c>
      <c r="B1067" s="50" t="s">
        <v>25</v>
      </c>
      <c r="C1067" s="50" t="s">
        <v>33</v>
      </c>
      <c r="D1067" s="51">
        <v>60042.56</v>
      </c>
      <c r="E1067" s="51" t="str">
        <f t="shared" si="1"/>
        <v>₹720,510.72</v>
      </c>
      <c r="F1067" s="52" t="str">
        <f t="shared" si="2"/>
        <v>20.0%</v>
      </c>
      <c r="G1067" s="51" t="str">
        <f t="shared" si="3"/>
        <v>₹144,102.14</v>
      </c>
      <c r="H1067" s="51" t="str">
        <f t="shared" si="4"/>
        <v>₹12,008.51</v>
      </c>
      <c r="I1067" s="51" t="str">
        <f>41834.89-H1067</f>
        <v>₹29,826.38</v>
      </c>
    </row>
    <row r="1068" ht="15.75" customHeight="1">
      <c r="A1068" s="53" t="s">
        <v>1131</v>
      </c>
      <c r="B1068" s="53" t="s">
        <v>17</v>
      </c>
      <c r="C1068" s="53" t="s">
        <v>54</v>
      </c>
      <c r="D1068" s="54">
        <v>138591.29</v>
      </c>
      <c r="E1068" s="54" t="str">
        <f t="shared" si="1"/>
        <v>₹1,663,095.48</v>
      </c>
      <c r="F1068" s="55" t="str">
        <f t="shared" si="2"/>
        <v>30.0%</v>
      </c>
      <c r="G1068" s="54" t="str">
        <f t="shared" si="3"/>
        <v>₹498,928.64</v>
      </c>
      <c r="H1068" s="54" t="str">
        <f t="shared" si="4"/>
        <v>₹41,577.39</v>
      </c>
      <c r="I1068" s="54" t="str">
        <f>131537.25-H1068</f>
        <v>₹89,959.86</v>
      </c>
    </row>
    <row r="1069" ht="15.75" customHeight="1">
      <c r="A1069" s="50" t="s">
        <v>1132</v>
      </c>
      <c r="B1069" s="50" t="s">
        <v>29</v>
      </c>
      <c r="C1069" s="50" t="s">
        <v>37</v>
      </c>
      <c r="D1069" s="51">
        <v>120355.46</v>
      </c>
      <c r="E1069" s="51" t="str">
        <f t="shared" si="1"/>
        <v>₹1,444,265.52</v>
      </c>
      <c r="F1069" s="52" t="str">
        <f t="shared" si="2"/>
        <v>30.0%</v>
      </c>
      <c r="G1069" s="51" t="str">
        <f t="shared" si="3"/>
        <v>₹433,279.66</v>
      </c>
      <c r="H1069" s="51" t="str">
        <f t="shared" si="4"/>
        <v>₹36,106.64</v>
      </c>
      <c r="I1069" s="51" t="str">
        <f>99764.01-H1069</f>
        <v>₹63,657.37</v>
      </c>
    </row>
    <row r="1070" ht="15.75" customHeight="1">
      <c r="A1070" s="53" t="s">
        <v>1133</v>
      </c>
      <c r="B1070" s="53" t="s">
        <v>36</v>
      </c>
      <c r="C1070" s="53" t="s">
        <v>37</v>
      </c>
      <c r="D1070" s="54">
        <v>115304.97</v>
      </c>
      <c r="E1070" s="54" t="str">
        <f t="shared" si="1"/>
        <v>₹1,383,659.64</v>
      </c>
      <c r="F1070" s="55" t="str">
        <f t="shared" si="2"/>
        <v>30.0%</v>
      </c>
      <c r="G1070" s="54" t="str">
        <f t="shared" si="3"/>
        <v>₹415,097.89</v>
      </c>
      <c r="H1070" s="54" t="str">
        <f t="shared" si="4"/>
        <v>₹34,591.49</v>
      </c>
      <c r="I1070" s="54" t="str">
        <f>90412.56-H1070</f>
        <v>₹55,821.07</v>
      </c>
    </row>
    <row r="1071" ht="15.75" customHeight="1">
      <c r="A1071" s="50" t="s">
        <v>1134</v>
      </c>
      <c r="B1071" s="50" t="s">
        <v>36</v>
      </c>
      <c r="C1071" s="50" t="s">
        <v>26</v>
      </c>
      <c r="D1071" s="51">
        <v>128387.13</v>
      </c>
      <c r="E1071" s="51" t="str">
        <f t="shared" si="1"/>
        <v>₹1,540,645.56</v>
      </c>
      <c r="F1071" s="52" t="str">
        <f t="shared" si="2"/>
        <v>30.0%</v>
      </c>
      <c r="G1071" s="51" t="str">
        <f t="shared" si="3"/>
        <v>₹462,193.67</v>
      </c>
      <c r="H1071" s="51" t="str">
        <f t="shared" si="4"/>
        <v>₹38,516.14</v>
      </c>
      <c r="I1071" s="51" t="str">
        <f>126009.94-H1071</f>
        <v>₹87,493.80</v>
      </c>
    </row>
    <row r="1072" ht="15.75" customHeight="1">
      <c r="A1072" s="53" t="s">
        <v>1135</v>
      </c>
      <c r="B1072" s="53" t="s">
        <v>36</v>
      </c>
      <c r="C1072" s="53" t="s">
        <v>18</v>
      </c>
      <c r="D1072" s="54">
        <v>151029.28</v>
      </c>
      <c r="E1072" s="54" t="str">
        <f t="shared" si="1"/>
        <v>₹1,812,351.36</v>
      </c>
      <c r="F1072" s="55" t="str">
        <f t="shared" si="2"/>
        <v>30.0%</v>
      </c>
      <c r="G1072" s="54" t="str">
        <f t="shared" si="3"/>
        <v>₹543,705.41</v>
      </c>
      <c r="H1072" s="54" t="str">
        <f t="shared" si="4"/>
        <v>₹45,308.78</v>
      </c>
      <c r="I1072" s="54" t="str">
        <f>138939.92-H1072</f>
        <v>₹93,631.14</v>
      </c>
    </row>
    <row r="1073" ht="15.75" customHeight="1">
      <c r="A1073" s="50" t="s">
        <v>1136</v>
      </c>
      <c r="B1073" s="50" t="s">
        <v>53</v>
      </c>
      <c r="C1073" s="50" t="s">
        <v>18</v>
      </c>
      <c r="D1073" s="51">
        <v>58070.79</v>
      </c>
      <c r="E1073" s="51" t="str">
        <f t="shared" si="1"/>
        <v>₹696,849.48</v>
      </c>
      <c r="F1073" s="52" t="str">
        <f t="shared" si="2"/>
        <v>20.0%</v>
      </c>
      <c r="G1073" s="51" t="str">
        <f t="shared" si="3"/>
        <v>₹139,369.90</v>
      </c>
      <c r="H1073" s="51" t="str">
        <f t="shared" si="4"/>
        <v>₹11,614.16</v>
      </c>
      <c r="I1073" s="51" t="str">
        <f>37920.26-H1073</f>
        <v>₹26,306.10</v>
      </c>
    </row>
    <row r="1074" ht="15.75" customHeight="1">
      <c r="A1074" s="53" t="s">
        <v>1137</v>
      </c>
      <c r="B1074" s="53" t="s">
        <v>36</v>
      </c>
      <c r="C1074" s="53" t="s">
        <v>37</v>
      </c>
      <c r="D1074" s="54">
        <v>121311.02</v>
      </c>
      <c r="E1074" s="54" t="str">
        <f t="shared" si="1"/>
        <v>₹1,455,732.24</v>
      </c>
      <c r="F1074" s="55" t="str">
        <f t="shared" si="2"/>
        <v>30.0%</v>
      </c>
      <c r="G1074" s="54" t="str">
        <f t="shared" si="3"/>
        <v>₹436,719.67</v>
      </c>
      <c r="H1074" s="54" t="str">
        <f t="shared" si="4"/>
        <v>₹36,393.31</v>
      </c>
      <c r="I1074" s="54" t="str">
        <f>101481.72-H1074</f>
        <v>₹65,088.41</v>
      </c>
    </row>
    <row r="1075" ht="15.75" customHeight="1">
      <c r="A1075" s="50" t="s">
        <v>1138</v>
      </c>
      <c r="B1075" s="50" t="s">
        <v>36</v>
      </c>
      <c r="C1075" s="50" t="s">
        <v>33</v>
      </c>
      <c r="D1075" s="51">
        <v>111957.5</v>
      </c>
      <c r="E1075" s="51" t="str">
        <f t="shared" si="1"/>
        <v>₹1,343,490.00</v>
      </c>
      <c r="F1075" s="52" t="str">
        <f t="shared" si="2"/>
        <v>30.0%</v>
      </c>
      <c r="G1075" s="51" t="str">
        <f t="shared" si="3"/>
        <v>₹403,047.00</v>
      </c>
      <c r="H1075" s="51" t="str">
        <f t="shared" si="4"/>
        <v>₹33,587.25</v>
      </c>
      <c r="I1075" s="51" t="str">
        <f>92837.57-H1075</f>
        <v>₹59,250.32</v>
      </c>
    </row>
    <row r="1076" ht="15.75" customHeight="1">
      <c r="A1076" s="53" t="s">
        <v>1139</v>
      </c>
      <c r="B1076" s="53" t="s">
        <v>29</v>
      </c>
      <c r="C1076" s="53" t="s">
        <v>14</v>
      </c>
      <c r="D1076" s="54">
        <v>120141.69</v>
      </c>
      <c r="E1076" s="54" t="str">
        <f t="shared" si="1"/>
        <v>₹1,441,700.28</v>
      </c>
      <c r="F1076" s="55" t="str">
        <f t="shared" si="2"/>
        <v>30.0%</v>
      </c>
      <c r="G1076" s="54" t="str">
        <f t="shared" si="3"/>
        <v>₹432,510.08</v>
      </c>
      <c r="H1076" s="54" t="str">
        <f t="shared" si="4"/>
        <v>₹36,042.51</v>
      </c>
      <c r="I1076" s="54" t="str">
        <f>111091.31-H1076</f>
        <v>₹75,048.80</v>
      </c>
    </row>
    <row r="1077" ht="15.75" customHeight="1">
      <c r="A1077" s="50" t="s">
        <v>1140</v>
      </c>
      <c r="B1077" s="50" t="s">
        <v>13</v>
      </c>
      <c r="C1077" s="50" t="s">
        <v>33</v>
      </c>
      <c r="D1077" s="51">
        <v>144584.62</v>
      </c>
      <c r="E1077" s="51" t="str">
        <f t="shared" si="1"/>
        <v>₹1,735,015.44</v>
      </c>
      <c r="F1077" s="52" t="str">
        <f t="shared" si="2"/>
        <v>30.0%</v>
      </c>
      <c r="G1077" s="51" t="str">
        <f t="shared" si="3"/>
        <v>₹520,504.63</v>
      </c>
      <c r="H1077" s="51" t="str">
        <f t="shared" si="4"/>
        <v>₹43,375.39</v>
      </c>
      <c r="I1077" s="51" t="str">
        <f>132965.22-H1077</f>
        <v>₹89,589.83</v>
      </c>
    </row>
    <row r="1078" ht="15.75" customHeight="1">
      <c r="A1078" s="53" t="s">
        <v>1141</v>
      </c>
      <c r="B1078" s="53" t="s">
        <v>36</v>
      </c>
      <c r="C1078" s="53" t="s">
        <v>33</v>
      </c>
      <c r="D1078" s="54">
        <v>79871.11</v>
      </c>
      <c r="E1078" s="54" t="str">
        <f t="shared" si="1"/>
        <v>₹958,453.32</v>
      </c>
      <c r="F1078" s="55" t="str">
        <f t="shared" si="2"/>
        <v>20.0%</v>
      </c>
      <c r="G1078" s="54" t="str">
        <f t="shared" si="3"/>
        <v>₹191,690.66</v>
      </c>
      <c r="H1078" s="54" t="str">
        <f t="shared" si="4"/>
        <v>₹15,974.22</v>
      </c>
      <c r="I1078" s="54" t="str">
        <f>64794.39-H1078</f>
        <v>₹48,820.17</v>
      </c>
    </row>
    <row r="1079" ht="15.75" customHeight="1">
      <c r="A1079" s="50" t="s">
        <v>1142</v>
      </c>
      <c r="B1079" s="50" t="s">
        <v>53</v>
      </c>
      <c r="C1079" s="50" t="s">
        <v>54</v>
      </c>
      <c r="D1079" s="51">
        <v>76063.78</v>
      </c>
      <c r="E1079" s="51" t="str">
        <f t="shared" si="1"/>
        <v>₹912,765.36</v>
      </c>
      <c r="F1079" s="52" t="str">
        <f t="shared" si="2"/>
        <v>20.0%</v>
      </c>
      <c r="G1079" s="51" t="str">
        <f t="shared" si="3"/>
        <v>₹182,553.07</v>
      </c>
      <c r="H1079" s="51" t="str">
        <f t="shared" si="4"/>
        <v>₹15,212.76</v>
      </c>
      <c r="I1079" s="51" t="str">
        <f>51702.24-H1079</f>
        <v>₹36,489.48</v>
      </c>
    </row>
    <row r="1080" ht="15.75" customHeight="1">
      <c r="A1080" s="53" t="s">
        <v>1143</v>
      </c>
      <c r="B1080" s="53" t="s">
        <v>13</v>
      </c>
      <c r="C1080" s="53" t="s">
        <v>33</v>
      </c>
      <c r="D1080" s="54">
        <v>77118.0</v>
      </c>
      <c r="E1080" s="54" t="str">
        <f t="shared" si="1"/>
        <v>₹925,416.00</v>
      </c>
      <c r="F1080" s="55" t="str">
        <f t="shared" si="2"/>
        <v>20.0%</v>
      </c>
      <c r="G1080" s="54" t="str">
        <f t="shared" si="3"/>
        <v>₹185,083.20</v>
      </c>
      <c r="H1080" s="54" t="str">
        <f t="shared" si="4"/>
        <v>₹15,423.60</v>
      </c>
      <c r="I1080" s="54" t="str">
        <f>68593.09-H1080</f>
        <v>₹53,169.49</v>
      </c>
    </row>
    <row r="1081" ht="15.75" customHeight="1">
      <c r="A1081" s="50" t="s">
        <v>1144</v>
      </c>
      <c r="B1081" s="50" t="s">
        <v>51</v>
      </c>
      <c r="C1081" s="50" t="s">
        <v>26</v>
      </c>
      <c r="D1081" s="51">
        <v>88200.18</v>
      </c>
      <c r="E1081" s="51" t="str">
        <f t="shared" si="1"/>
        <v>₹1,058,402.16</v>
      </c>
      <c r="F1081" s="52" t="str">
        <f t="shared" si="2"/>
        <v>30.0%</v>
      </c>
      <c r="G1081" s="51" t="str">
        <f t="shared" si="3"/>
        <v>₹317,520.65</v>
      </c>
      <c r="H1081" s="51" t="str">
        <f t="shared" si="4"/>
        <v>₹26,460.05</v>
      </c>
      <c r="I1081" s="51" t="str">
        <f>65083.15-H1081</f>
        <v>₹38,623.10</v>
      </c>
    </row>
    <row r="1082" ht="15.75" customHeight="1">
      <c r="A1082" s="53" t="s">
        <v>1145</v>
      </c>
      <c r="B1082" s="53" t="s">
        <v>13</v>
      </c>
      <c r="C1082" s="53" t="s">
        <v>33</v>
      </c>
      <c r="D1082" s="54">
        <v>131897.06</v>
      </c>
      <c r="E1082" s="54" t="str">
        <f t="shared" si="1"/>
        <v>₹1,582,764.72</v>
      </c>
      <c r="F1082" s="55" t="str">
        <f t="shared" si="2"/>
        <v>30.0%</v>
      </c>
      <c r="G1082" s="54" t="str">
        <f t="shared" si="3"/>
        <v>₹474,829.42</v>
      </c>
      <c r="H1082" s="54" t="str">
        <f t="shared" si="4"/>
        <v>₹39,569.12</v>
      </c>
      <c r="I1082" s="54" t="str">
        <f>124797.82-H1082</f>
        <v>₹85,228.70</v>
      </c>
    </row>
    <row r="1083" ht="15.75" customHeight="1">
      <c r="A1083" s="50" t="s">
        <v>1146</v>
      </c>
      <c r="B1083" s="50" t="s">
        <v>53</v>
      </c>
      <c r="C1083" s="50" t="s">
        <v>26</v>
      </c>
      <c r="D1083" s="51">
        <v>162102.31</v>
      </c>
      <c r="E1083" s="51" t="str">
        <f t="shared" si="1"/>
        <v>₹1,945,227.72</v>
      </c>
      <c r="F1083" s="52" t="str">
        <f t="shared" si="2"/>
        <v>30.0%</v>
      </c>
      <c r="G1083" s="51" t="str">
        <f t="shared" si="3"/>
        <v>₹583,568.32</v>
      </c>
      <c r="H1083" s="51" t="str">
        <f t="shared" si="4"/>
        <v>₹48,630.69</v>
      </c>
      <c r="I1083" s="51" t="str">
        <f>137369.99-H1083</f>
        <v>₹88,739.30</v>
      </c>
    </row>
    <row r="1084" ht="15.75" customHeight="1">
      <c r="A1084" s="53" t="s">
        <v>1147</v>
      </c>
      <c r="B1084" s="53" t="s">
        <v>53</v>
      </c>
      <c r="C1084" s="53" t="s">
        <v>54</v>
      </c>
      <c r="D1084" s="54">
        <v>47726.73</v>
      </c>
      <c r="E1084" s="54" t="str">
        <f t="shared" si="1"/>
        <v>₹572,720.76</v>
      </c>
      <c r="F1084" s="55" t="str">
        <f t="shared" si="2"/>
        <v>20.0%</v>
      </c>
      <c r="G1084" s="54" t="str">
        <f t="shared" si="3"/>
        <v>₹114,544.15</v>
      </c>
      <c r="H1084" s="54" t="str">
        <f t="shared" si="4"/>
        <v>₹9,545.35</v>
      </c>
      <c r="I1084" s="54" t="str">
        <f>30805.27-H1084</f>
        <v>₹21,259.92</v>
      </c>
    </row>
    <row r="1085" ht="15.75" customHeight="1">
      <c r="A1085" s="50" t="s">
        <v>1148</v>
      </c>
      <c r="B1085" s="50" t="s">
        <v>51</v>
      </c>
      <c r="C1085" s="50" t="s">
        <v>54</v>
      </c>
      <c r="D1085" s="51">
        <v>77340.69</v>
      </c>
      <c r="E1085" s="51" t="str">
        <f t="shared" si="1"/>
        <v>₹928,088.28</v>
      </c>
      <c r="F1085" s="52" t="str">
        <f t="shared" si="2"/>
        <v>20.0%</v>
      </c>
      <c r="G1085" s="51" t="str">
        <f t="shared" si="3"/>
        <v>₹185,617.66</v>
      </c>
      <c r="H1085" s="51" t="str">
        <f t="shared" si="4"/>
        <v>₹15,468.14</v>
      </c>
      <c r="I1085" s="51" t="str">
        <f>65484.66-H1085</f>
        <v>₹50,016.52</v>
      </c>
    </row>
    <row r="1086" ht="15.75" customHeight="1">
      <c r="A1086" s="53" t="s">
        <v>1149</v>
      </c>
      <c r="B1086" s="53" t="s">
        <v>13</v>
      </c>
      <c r="C1086" s="53" t="s">
        <v>30</v>
      </c>
      <c r="D1086" s="54">
        <v>88185.96</v>
      </c>
      <c r="E1086" s="54" t="str">
        <f t="shared" si="1"/>
        <v>₹1,058,231.52</v>
      </c>
      <c r="F1086" s="55" t="str">
        <f t="shared" si="2"/>
        <v>30.0%</v>
      </c>
      <c r="G1086" s="54" t="str">
        <f t="shared" si="3"/>
        <v>₹317,469.46</v>
      </c>
      <c r="H1086" s="54" t="str">
        <f t="shared" si="4"/>
        <v>₹26,455.79</v>
      </c>
      <c r="I1086" s="54" t="str">
        <f>72657.89-H1086</f>
        <v>₹46,202.10</v>
      </c>
    </row>
    <row r="1087" ht="15.75" customHeight="1">
      <c r="A1087" s="50" t="s">
        <v>1150</v>
      </c>
      <c r="B1087" s="50" t="s">
        <v>25</v>
      </c>
      <c r="C1087" s="50" t="s">
        <v>26</v>
      </c>
      <c r="D1087" s="51">
        <v>62336.84</v>
      </c>
      <c r="E1087" s="51" t="str">
        <f t="shared" si="1"/>
        <v>₹748,042.08</v>
      </c>
      <c r="F1087" s="52" t="str">
        <f t="shared" si="2"/>
        <v>20.0%</v>
      </c>
      <c r="G1087" s="51" t="str">
        <f t="shared" si="3"/>
        <v>₹149,608.42</v>
      </c>
      <c r="H1087" s="51" t="str">
        <f t="shared" si="4"/>
        <v>₹12,467.37</v>
      </c>
      <c r="I1087" s="51" t="str">
        <f>55159.83-H1087</f>
        <v>₹42,692.46</v>
      </c>
    </row>
    <row r="1088" ht="15.75" customHeight="1">
      <c r="A1088" s="53" t="s">
        <v>1151</v>
      </c>
      <c r="B1088" s="53" t="s">
        <v>53</v>
      </c>
      <c r="C1088" s="53" t="s">
        <v>54</v>
      </c>
      <c r="D1088" s="54">
        <v>74830.0</v>
      </c>
      <c r="E1088" s="54" t="str">
        <f t="shared" si="1"/>
        <v>₹897,960.00</v>
      </c>
      <c r="F1088" s="55" t="str">
        <f t="shared" si="2"/>
        <v>20.0%</v>
      </c>
      <c r="G1088" s="54" t="str">
        <f t="shared" si="3"/>
        <v>₹179,592.00</v>
      </c>
      <c r="H1088" s="54" t="str">
        <f t="shared" si="4"/>
        <v>₹14,966.00</v>
      </c>
      <c r="I1088" s="54" t="str">
        <f>67612.74-H1088</f>
        <v>₹52,646.74</v>
      </c>
    </row>
    <row r="1089" ht="15.75" customHeight="1">
      <c r="A1089" s="50" t="s">
        <v>1152</v>
      </c>
      <c r="B1089" s="50" t="s">
        <v>51</v>
      </c>
      <c r="C1089" s="50" t="s">
        <v>26</v>
      </c>
      <c r="D1089" s="51">
        <v>84735.32</v>
      </c>
      <c r="E1089" s="51" t="str">
        <f t="shared" si="1"/>
        <v>₹1,016,823.84</v>
      </c>
      <c r="F1089" s="52" t="str">
        <f t="shared" si="2"/>
        <v>30.0%</v>
      </c>
      <c r="G1089" s="51" t="str">
        <f t="shared" si="3"/>
        <v>₹305,047.15</v>
      </c>
      <c r="H1089" s="51" t="str">
        <f t="shared" si="4"/>
        <v>₹25,420.60</v>
      </c>
      <c r="I1089" s="51" t="str">
        <f>81453.23-H1089</f>
        <v>₹56,032.63</v>
      </c>
    </row>
    <row r="1090" ht="15.75" customHeight="1">
      <c r="A1090" s="53" t="s">
        <v>1153</v>
      </c>
      <c r="B1090" s="53" t="s">
        <v>13</v>
      </c>
      <c r="C1090" s="53" t="s">
        <v>54</v>
      </c>
      <c r="D1090" s="54">
        <v>152999.34</v>
      </c>
      <c r="E1090" s="54" t="str">
        <f t="shared" si="1"/>
        <v>₹1,835,992.08</v>
      </c>
      <c r="F1090" s="55" t="str">
        <f t="shared" si="2"/>
        <v>30.0%</v>
      </c>
      <c r="G1090" s="54" t="str">
        <f t="shared" si="3"/>
        <v>₹550,797.62</v>
      </c>
      <c r="H1090" s="54" t="str">
        <f t="shared" si="4"/>
        <v>₹45,899.80</v>
      </c>
      <c r="I1090" s="54" t="str">
        <f>149705.11-H1090</f>
        <v>₹103,805.31</v>
      </c>
    </row>
    <row r="1091" ht="15.75" customHeight="1">
      <c r="A1091" s="50" t="s">
        <v>1154</v>
      </c>
      <c r="B1091" s="50" t="s">
        <v>53</v>
      </c>
      <c r="C1091" s="50" t="s">
        <v>30</v>
      </c>
      <c r="D1091" s="51">
        <v>54791.78</v>
      </c>
      <c r="E1091" s="51" t="str">
        <f t="shared" si="1"/>
        <v>₹657,501.36</v>
      </c>
      <c r="F1091" s="52" t="str">
        <f t="shared" si="2"/>
        <v>20.0%</v>
      </c>
      <c r="G1091" s="51" t="str">
        <f t="shared" si="3"/>
        <v>₹131,500.27</v>
      </c>
      <c r="H1091" s="51" t="str">
        <f t="shared" si="4"/>
        <v>₹10,958.36</v>
      </c>
      <c r="I1091" s="51" t="str">
        <f>45773.82-H1091</f>
        <v>₹34,815.46</v>
      </c>
    </row>
    <row r="1092" ht="15.75" customHeight="1">
      <c r="A1092" s="53" t="s">
        <v>1155</v>
      </c>
      <c r="B1092" s="53" t="s">
        <v>25</v>
      </c>
      <c r="C1092" s="53" t="s">
        <v>54</v>
      </c>
      <c r="D1092" s="54">
        <v>107633.98</v>
      </c>
      <c r="E1092" s="54" t="str">
        <f t="shared" si="1"/>
        <v>₹1,291,607.76</v>
      </c>
      <c r="F1092" s="55" t="str">
        <f t="shared" si="2"/>
        <v>30.0%</v>
      </c>
      <c r="G1092" s="54" t="str">
        <f t="shared" si="3"/>
        <v>₹387,482.33</v>
      </c>
      <c r="H1092" s="54" t="str">
        <f t="shared" si="4"/>
        <v>₹32,290.19</v>
      </c>
      <c r="I1092" s="54" t="str">
        <f>88444.02-H1092</f>
        <v>₹56,153.83</v>
      </c>
    </row>
    <row r="1093" ht="15.75" customHeight="1">
      <c r="A1093" s="50" t="s">
        <v>1156</v>
      </c>
      <c r="B1093" s="50" t="s">
        <v>13</v>
      </c>
      <c r="C1093" s="50" t="s">
        <v>30</v>
      </c>
      <c r="D1093" s="51">
        <v>123740.43</v>
      </c>
      <c r="E1093" s="51" t="str">
        <f t="shared" si="1"/>
        <v>₹1,484,885.16</v>
      </c>
      <c r="F1093" s="52" t="str">
        <f t="shared" si="2"/>
        <v>30.0%</v>
      </c>
      <c r="G1093" s="51" t="str">
        <f t="shared" si="3"/>
        <v>₹445,465.55</v>
      </c>
      <c r="H1093" s="51" t="str">
        <f t="shared" si="4"/>
        <v>₹37,122.13</v>
      </c>
      <c r="I1093" s="51" t="str">
        <f>108345.14-H1093</f>
        <v>₹71,223.01</v>
      </c>
    </row>
    <row r="1094" ht="15.75" customHeight="1">
      <c r="A1094" s="53" t="s">
        <v>1157</v>
      </c>
      <c r="B1094" s="53" t="s">
        <v>29</v>
      </c>
      <c r="C1094" s="53" t="s">
        <v>26</v>
      </c>
      <c r="D1094" s="54">
        <v>91902.75</v>
      </c>
      <c r="E1094" s="54" t="str">
        <f t="shared" si="1"/>
        <v>₹1,102,833.00</v>
      </c>
      <c r="F1094" s="55" t="str">
        <f t="shared" si="2"/>
        <v>30.0%</v>
      </c>
      <c r="G1094" s="54" t="str">
        <f t="shared" si="3"/>
        <v>₹330,849.90</v>
      </c>
      <c r="H1094" s="54" t="str">
        <f t="shared" si="4"/>
        <v>₹27,570.83</v>
      </c>
      <c r="I1094" s="54" t="str">
        <f>88889.43-H1094</f>
        <v>₹61,318.61</v>
      </c>
    </row>
    <row r="1095" ht="15.75" customHeight="1">
      <c r="A1095" s="50" t="s">
        <v>1158</v>
      </c>
      <c r="B1095" s="50" t="s">
        <v>51</v>
      </c>
      <c r="C1095" s="50" t="s">
        <v>26</v>
      </c>
      <c r="D1095" s="51">
        <v>146831.53</v>
      </c>
      <c r="E1095" s="51" t="str">
        <f t="shared" si="1"/>
        <v>₹1,761,978.36</v>
      </c>
      <c r="F1095" s="52" t="str">
        <f t="shared" si="2"/>
        <v>30.0%</v>
      </c>
      <c r="G1095" s="51" t="str">
        <f t="shared" si="3"/>
        <v>₹528,593.51</v>
      </c>
      <c r="H1095" s="51" t="str">
        <f t="shared" si="4"/>
        <v>₹44,049.46</v>
      </c>
      <c r="I1095" s="51" t="str">
        <f>125451.74-H1095</f>
        <v>₹81,402.28</v>
      </c>
    </row>
    <row r="1096" ht="15.75" customHeight="1">
      <c r="A1096" s="53" t="s">
        <v>1159</v>
      </c>
      <c r="B1096" s="53" t="s">
        <v>13</v>
      </c>
      <c r="C1096" s="53" t="s">
        <v>14</v>
      </c>
      <c r="D1096" s="54">
        <v>134800.7</v>
      </c>
      <c r="E1096" s="54" t="str">
        <f t="shared" si="1"/>
        <v>₹1,617,608.40</v>
      </c>
      <c r="F1096" s="55" t="str">
        <f t="shared" si="2"/>
        <v>30.0%</v>
      </c>
      <c r="G1096" s="54" t="str">
        <f t="shared" si="3"/>
        <v>₹485,282.52</v>
      </c>
      <c r="H1096" s="54" t="str">
        <f t="shared" si="4"/>
        <v>₹40,440.21</v>
      </c>
      <c r="I1096" s="54" t="str">
        <f>119567.19-H1096</f>
        <v>₹79,126.98</v>
      </c>
    </row>
    <row r="1097" ht="15.75" customHeight="1">
      <c r="A1097" s="50" t="s">
        <v>1160</v>
      </c>
      <c r="B1097" s="50" t="s">
        <v>29</v>
      </c>
      <c r="C1097" s="50" t="s">
        <v>18</v>
      </c>
      <c r="D1097" s="51">
        <v>64352.46</v>
      </c>
      <c r="E1097" s="51" t="str">
        <f t="shared" si="1"/>
        <v>₹772,229.52</v>
      </c>
      <c r="F1097" s="52" t="str">
        <f t="shared" si="2"/>
        <v>20.0%</v>
      </c>
      <c r="G1097" s="51" t="str">
        <f t="shared" si="3"/>
        <v>₹154,445.90</v>
      </c>
      <c r="H1097" s="51" t="str">
        <f t="shared" si="4"/>
        <v>₹12,870.49</v>
      </c>
      <c r="I1097" s="51" t="str">
        <f>40311.5-H1097</f>
        <v>₹27,441.01</v>
      </c>
    </row>
    <row r="1098" ht="15.75" customHeight="1">
      <c r="A1098" s="53" t="s">
        <v>1161</v>
      </c>
      <c r="B1098" s="53" t="s">
        <v>25</v>
      </c>
      <c r="C1098" s="53" t="s">
        <v>18</v>
      </c>
      <c r="D1098" s="54">
        <v>87507.29</v>
      </c>
      <c r="E1098" s="54" t="str">
        <f t="shared" si="1"/>
        <v>₹1,050,087.48</v>
      </c>
      <c r="F1098" s="55" t="str">
        <f t="shared" si="2"/>
        <v>30.0%</v>
      </c>
      <c r="G1098" s="54" t="str">
        <f t="shared" si="3"/>
        <v>₹315,026.24</v>
      </c>
      <c r="H1098" s="54" t="str">
        <f t="shared" si="4"/>
        <v>₹26,252.19</v>
      </c>
      <c r="I1098" s="54" t="str">
        <f>70587.75-H1098</f>
        <v>₹44,335.56</v>
      </c>
    </row>
    <row r="1099" ht="15.75" customHeight="1">
      <c r="A1099" s="50" t="s">
        <v>1162</v>
      </c>
      <c r="B1099" s="50" t="s">
        <v>53</v>
      </c>
      <c r="C1099" s="50" t="s">
        <v>14</v>
      </c>
      <c r="D1099" s="51">
        <v>80626.88</v>
      </c>
      <c r="E1099" s="51" t="str">
        <f t="shared" si="1"/>
        <v>₹967,522.56</v>
      </c>
      <c r="F1099" s="52" t="str">
        <f t="shared" si="2"/>
        <v>20.0%</v>
      </c>
      <c r="G1099" s="51" t="str">
        <f t="shared" si="3"/>
        <v>₹193,504.51</v>
      </c>
      <c r="H1099" s="51" t="str">
        <f t="shared" si="4"/>
        <v>₹16,125.38</v>
      </c>
      <c r="I1099" s="51" t="str">
        <f>75835.1-H1099</f>
        <v>₹59,709.72</v>
      </c>
    </row>
    <row r="1100" ht="15.75" customHeight="1">
      <c r="A1100" s="53" t="s">
        <v>1163</v>
      </c>
      <c r="B1100" s="53" t="s">
        <v>51</v>
      </c>
      <c r="C1100" s="53" t="s">
        <v>26</v>
      </c>
      <c r="D1100" s="54">
        <v>56265.24</v>
      </c>
      <c r="E1100" s="54" t="str">
        <f t="shared" si="1"/>
        <v>₹675,182.88</v>
      </c>
      <c r="F1100" s="55" t="str">
        <f t="shared" si="2"/>
        <v>20.0%</v>
      </c>
      <c r="G1100" s="54" t="str">
        <f t="shared" si="3"/>
        <v>₹135,036.58</v>
      </c>
      <c r="H1100" s="54" t="str">
        <f t="shared" si="4"/>
        <v>₹11,253.05</v>
      </c>
      <c r="I1100" s="54" t="str">
        <f>39877.05-H1100</f>
        <v>₹28,624.00</v>
      </c>
    </row>
    <row r="1101" ht="15.75" customHeight="1">
      <c r="A1101" s="50" t="s">
        <v>1164</v>
      </c>
      <c r="B1101" s="50" t="s">
        <v>13</v>
      </c>
      <c r="C1101" s="50" t="s">
        <v>33</v>
      </c>
      <c r="D1101" s="51">
        <v>96724.86</v>
      </c>
      <c r="E1101" s="51" t="str">
        <f t="shared" si="1"/>
        <v>₹1,160,698.32</v>
      </c>
      <c r="F1101" s="52" t="str">
        <f t="shared" si="2"/>
        <v>30.0%</v>
      </c>
      <c r="G1101" s="51" t="str">
        <f t="shared" si="3"/>
        <v>₹348,209.50</v>
      </c>
      <c r="H1101" s="51" t="str">
        <f t="shared" si="4"/>
        <v>₹29,017.46</v>
      </c>
      <c r="I1101" s="51" t="str">
        <f>95532.37-H1101</f>
        <v>₹66,514.91</v>
      </c>
    </row>
    <row r="1102" ht="15.75" customHeight="1">
      <c r="A1102" s="53" t="s">
        <v>1165</v>
      </c>
      <c r="B1102" s="53" t="s">
        <v>29</v>
      </c>
      <c r="C1102" s="53" t="s">
        <v>14</v>
      </c>
      <c r="D1102" s="54">
        <v>96248.48</v>
      </c>
      <c r="E1102" s="54" t="str">
        <f t="shared" si="1"/>
        <v>₹1,154,981.76</v>
      </c>
      <c r="F1102" s="55" t="str">
        <f t="shared" si="2"/>
        <v>30.0%</v>
      </c>
      <c r="G1102" s="54" t="str">
        <f t="shared" si="3"/>
        <v>₹346,494.53</v>
      </c>
      <c r="H1102" s="54" t="str">
        <f t="shared" si="4"/>
        <v>₹28,874.54</v>
      </c>
      <c r="I1102" s="54" t="str">
        <f>95383.18-H1102</f>
        <v>₹66,508.64</v>
      </c>
    </row>
    <row r="1103" ht="15.75" customHeight="1">
      <c r="A1103" s="50" t="s">
        <v>1166</v>
      </c>
      <c r="B1103" s="50" t="s">
        <v>25</v>
      </c>
      <c r="C1103" s="50" t="s">
        <v>18</v>
      </c>
      <c r="D1103" s="51">
        <v>60638.5</v>
      </c>
      <c r="E1103" s="51" t="str">
        <f t="shared" si="1"/>
        <v>₹727,662.00</v>
      </c>
      <c r="F1103" s="52" t="str">
        <f t="shared" si="2"/>
        <v>20.0%</v>
      </c>
      <c r="G1103" s="51" t="str">
        <f t="shared" si="3"/>
        <v>₹145,532.40</v>
      </c>
      <c r="H1103" s="51" t="str">
        <f t="shared" si="4"/>
        <v>₹12,127.70</v>
      </c>
      <c r="I1103" s="51" t="str">
        <f>56968.13-H1103</f>
        <v>₹44,840.43</v>
      </c>
    </row>
    <row r="1104" ht="15.75" customHeight="1">
      <c r="A1104" s="53" t="s">
        <v>1167</v>
      </c>
      <c r="B1104" s="53" t="s">
        <v>36</v>
      </c>
      <c r="C1104" s="53" t="s">
        <v>37</v>
      </c>
      <c r="D1104" s="54">
        <v>86320.08</v>
      </c>
      <c r="E1104" s="54" t="str">
        <f t="shared" si="1"/>
        <v>₹1,035,840.96</v>
      </c>
      <c r="F1104" s="55" t="str">
        <f t="shared" si="2"/>
        <v>30.0%</v>
      </c>
      <c r="G1104" s="54" t="str">
        <f t="shared" si="3"/>
        <v>₹310,752.29</v>
      </c>
      <c r="H1104" s="54" t="str">
        <f t="shared" si="4"/>
        <v>₹25,896.02</v>
      </c>
      <c r="I1104" s="54" t="str">
        <f>79654.3-H1104</f>
        <v>₹53,758.28</v>
      </c>
    </row>
    <row r="1105" ht="15.75" customHeight="1">
      <c r="A1105" s="50" t="s">
        <v>1168</v>
      </c>
      <c r="B1105" s="50" t="s">
        <v>36</v>
      </c>
      <c r="C1105" s="50" t="s">
        <v>37</v>
      </c>
      <c r="D1105" s="51">
        <v>128609.67</v>
      </c>
      <c r="E1105" s="51" t="str">
        <f t="shared" si="1"/>
        <v>₹1,543,316.04</v>
      </c>
      <c r="F1105" s="52" t="str">
        <f t="shared" si="2"/>
        <v>30.0%</v>
      </c>
      <c r="G1105" s="51" t="str">
        <f t="shared" si="3"/>
        <v>₹462,994.81</v>
      </c>
      <c r="H1105" s="51" t="str">
        <f t="shared" si="4"/>
        <v>₹38,582.90</v>
      </c>
      <c r="I1105" s="51" t="str">
        <f>117585.72-H1105</f>
        <v>₹79,002.82</v>
      </c>
    </row>
    <row r="1106" ht="15.75" customHeight="1">
      <c r="A1106" s="53" t="s">
        <v>1169</v>
      </c>
      <c r="B1106" s="53" t="s">
        <v>36</v>
      </c>
      <c r="C1106" s="53" t="s">
        <v>30</v>
      </c>
      <c r="D1106" s="54">
        <v>54138.21</v>
      </c>
      <c r="E1106" s="54" t="str">
        <f t="shared" si="1"/>
        <v>₹649,658.52</v>
      </c>
      <c r="F1106" s="55" t="str">
        <f t="shared" si="2"/>
        <v>20.0%</v>
      </c>
      <c r="G1106" s="54" t="str">
        <f t="shared" si="3"/>
        <v>₹129,931.70</v>
      </c>
      <c r="H1106" s="54" t="str">
        <f t="shared" si="4"/>
        <v>₹10,827.64</v>
      </c>
      <c r="I1106" s="54" t="str">
        <f>41695.92-H1106</f>
        <v>₹30,868.28</v>
      </c>
    </row>
    <row r="1107" ht="15.75" customHeight="1">
      <c r="A1107" s="50" t="s">
        <v>1170</v>
      </c>
      <c r="B1107" s="50" t="s">
        <v>25</v>
      </c>
      <c r="C1107" s="50" t="s">
        <v>37</v>
      </c>
      <c r="D1107" s="51">
        <v>69831.22</v>
      </c>
      <c r="E1107" s="51" t="str">
        <f t="shared" si="1"/>
        <v>₹837,974.64</v>
      </c>
      <c r="F1107" s="52" t="str">
        <f t="shared" si="2"/>
        <v>20.0%</v>
      </c>
      <c r="G1107" s="51" t="str">
        <f t="shared" si="3"/>
        <v>₹167,594.93</v>
      </c>
      <c r="H1107" s="51" t="str">
        <f t="shared" si="4"/>
        <v>₹13,966.24</v>
      </c>
      <c r="I1107" s="51" t="str">
        <f>65949.54-H1107</f>
        <v>₹51,983.30</v>
      </c>
    </row>
    <row r="1108" ht="15.75" customHeight="1">
      <c r="A1108" s="53" t="s">
        <v>1171</v>
      </c>
      <c r="B1108" s="53" t="s">
        <v>53</v>
      </c>
      <c r="C1108" s="53" t="s">
        <v>33</v>
      </c>
      <c r="D1108" s="54">
        <v>93207.56</v>
      </c>
      <c r="E1108" s="54" t="str">
        <f t="shared" si="1"/>
        <v>₹1,118,490.72</v>
      </c>
      <c r="F1108" s="55" t="str">
        <f t="shared" si="2"/>
        <v>30.0%</v>
      </c>
      <c r="G1108" s="54" t="str">
        <f t="shared" si="3"/>
        <v>₹335,547.22</v>
      </c>
      <c r="H1108" s="54" t="str">
        <f t="shared" si="4"/>
        <v>₹27,962.27</v>
      </c>
      <c r="I1108" s="54" t="str">
        <f>76209.47-H1108</f>
        <v>₹48,247.20</v>
      </c>
    </row>
    <row r="1109" ht="15.75" customHeight="1">
      <c r="A1109" s="50" t="s">
        <v>1172</v>
      </c>
      <c r="B1109" s="50" t="s">
        <v>13</v>
      </c>
      <c r="C1109" s="50" t="s">
        <v>26</v>
      </c>
      <c r="D1109" s="51">
        <v>141629.41</v>
      </c>
      <c r="E1109" s="51" t="str">
        <f t="shared" si="1"/>
        <v>₹1,699,552.92</v>
      </c>
      <c r="F1109" s="52" t="str">
        <f t="shared" si="2"/>
        <v>30.0%</v>
      </c>
      <c r="G1109" s="51" t="str">
        <f t="shared" si="3"/>
        <v>₹509,865.88</v>
      </c>
      <c r="H1109" s="51" t="str">
        <f t="shared" si="4"/>
        <v>₹42,488.82</v>
      </c>
      <c r="I1109" s="51" t="str">
        <f>126524.03-H1109</f>
        <v>₹84,035.21</v>
      </c>
    </row>
    <row r="1110" ht="15.75" customHeight="1">
      <c r="A1110" s="53" t="s">
        <v>1173</v>
      </c>
      <c r="B1110" s="53" t="s">
        <v>36</v>
      </c>
      <c r="C1110" s="53" t="s">
        <v>18</v>
      </c>
      <c r="D1110" s="54">
        <v>54852.12</v>
      </c>
      <c r="E1110" s="54" t="str">
        <f t="shared" si="1"/>
        <v>₹658,225.44</v>
      </c>
      <c r="F1110" s="55" t="str">
        <f t="shared" si="2"/>
        <v>20.0%</v>
      </c>
      <c r="G1110" s="54" t="str">
        <f t="shared" si="3"/>
        <v>₹131,645.09</v>
      </c>
      <c r="H1110" s="54" t="str">
        <f t="shared" si="4"/>
        <v>₹10,970.42</v>
      </c>
      <c r="I1110" s="54" t="str">
        <f>47137.75-H1110</f>
        <v>₹36,167.33</v>
      </c>
    </row>
    <row r="1111" ht="15.75" customHeight="1">
      <c r="A1111" s="50" t="s">
        <v>1174</v>
      </c>
      <c r="B1111" s="50" t="s">
        <v>17</v>
      </c>
      <c r="C1111" s="50" t="s">
        <v>54</v>
      </c>
      <c r="D1111" s="51">
        <v>118994.25</v>
      </c>
      <c r="E1111" s="51" t="str">
        <f t="shared" si="1"/>
        <v>₹1,427,931.00</v>
      </c>
      <c r="F1111" s="52" t="str">
        <f t="shared" si="2"/>
        <v>30.0%</v>
      </c>
      <c r="G1111" s="51" t="str">
        <f t="shared" si="3"/>
        <v>₹428,379.30</v>
      </c>
      <c r="H1111" s="51" t="str">
        <f t="shared" si="4"/>
        <v>₹35,698.28</v>
      </c>
      <c r="I1111" s="51" t="str">
        <f>118159.58-H1111</f>
        <v>₹82,461.31</v>
      </c>
    </row>
    <row r="1112" ht="15.75" customHeight="1">
      <c r="A1112" s="53" t="s">
        <v>1175</v>
      </c>
      <c r="B1112" s="53" t="s">
        <v>51</v>
      </c>
      <c r="C1112" s="53" t="s">
        <v>54</v>
      </c>
      <c r="D1112" s="54">
        <v>139577.95</v>
      </c>
      <c r="E1112" s="54" t="str">
        <f t="shared" si="1"/>
        <v>₹1,674,935.40</v>
      </c>
      <c r="F1112" s="55" t="str">
        <f t="shared" si="2"/>
        <v>30.0%</v>
      </c>
      <c r="G1112" s="54" t="str">
        <f t="shared" si="3"/>
        <v>₹502,480.62</v>
      </c>
      <c r="H1112" s="54" t="str">
        <f t="shared" si="4"/>
        <v>₹41,873.39</v>
      </c>
      <c r="I1112" s="54" t="str">
        <f>137175.58-H1112</f>
        <v>₹95,302.20</v>
      </c>
    </row>
    <row r="1113" ht="15.75" customHeight="1">
      <c r="A1113" s="50" t="s">
        <v>1176</v>
      </c>
      <c r="B1113" s="50" t="s">
        <v>17</v>
      </c>
      <c r="C1113" s="50" t="s">
        <v>26</v>
      </c>
      <c r="D1113" s="51">
        <v>88390.37</v>
      </c>
      <c r="E1113" s="51" t="str">
        <f t="shared" si="1"/>
        <v>₹1,060,684.44</v>
      </c>
      <c r="F1113" s="52" t="str">
        <f t="shared" si="2"/>
        <v>30.0%</v>
      </c>
      <c r="G1113" s="51" t="str">
        <f t="shared" si="3"/>
        <v>₹318,205.33</v>
      </c>
      <c r="H1113" s="51" t="str">
        <f t="shared" si="4"/>
        <v>₹26,517.11</v>
      </c>
      <c r="I1113" s="51" t="str">
        <f>73654.85-H1113</f>
        <v>₹47,137.74</v>
      </c>
    </row>
    <row r="1114" ht="15.75" customHeight="1">
      <c r="A1114" s="53" t="s">
        <v>1177</v>
      </c>
      <c r="B1114" s="53" t="s">
        <v>53</v>
      </c>
      <c r="C1114" s="53" t="s">
        <v>33</v>
      </c>
      <c r="D1114" s="54">
        <v>86095.98</v>
      </c>
      <c r="E1114" s="54" t="str">
        <f t="shared" si="1"/>
        <v>₹1,033,151.76</v>
      </c>
      <c r="F1114" s="55" t="str">
        <f t="shared" si="2"/>
        <v>30.0%</v>
      </c>
      <c r="G1114" s="54" t="str">
        <f t="shared" si="3"/>
        <v>₹309,945.53</v>
      </c>
      <c r="H1114" s="54" t="str">
        <f t="shared" si="4"/>
        <v>₹25,828.79</v>
      </c>
      <c r="I1114" s="54" t="str">
        <f>76363.9-H1114</f>
        <v>₹50,535.11</v>
      </c>
    </row>
    <row r="1115" ht="15.75" customHeight="1">
      <c r="A1115" s="50" t="s">
        <v>1178</v>
      </c>
      <c r="B1115" s="50" t="s">
        <v>36</v>
      </c>
      <c r="C1115" s="50" t="s">
        <v>30</v>
      </c>
      <c r="D1115" s="51">
        <v>98409.51</v>
      </c>
      <c r="E1115" s="51" t="str">
        <f t="shared" si="1"/>
        <v>₹1,180,914.12</v>
      </c>
      <c r="F1115" s="52" t="str">
        <f t="shared" si="2"/>
        <v>30.0%</v>
      </c>
      <c r="G1115" s="51" t="str">
        <f t="shared" si="3"/>
        <v>₹354,274.24</v>
      </c>
      <c r="H1115" s="51" t="str">
        <f t="shared" si="4"/>
        <v>₹29,522.85</v>
      </c>
      <c r="I1115" s="51" t="str">
        <f>82519.04-H1115</f>
        <v>₹52,996.19</v>
      </c>
    </row>
    <row r="1116" ht="15.75" customHeight="1">
      <c r="A1116" s="53" t="s">
        <v>1179</v>
      </c>
      <c r="B1116" s="53" t="s">
        <v>25</v>
      </c>
      <c r="C1116" s="53" t="s">
        <v>37</v>
      </c>
      <c r="D1116" s="54">
        <v>115232.64</v>
      </c>
      <c r="E1116" s="54" t="str">
        <f t="shared" si="1"/>
        <v>₹1,382,791.68</v>
      </c>
      <c r="F1116" s="55" t="str">
        <f t="shared" si="2"/>
        <v>30.0%</v>
      </c>
      <c r="G1116" s="54" t="str">
        <f t="shared" si="3"/>
        <v>₹414,837.50</v>
      </c>
      <c r="H1116" s="54" t="str">
        <f t="shared" si="4"/>
        <v>₹34,569.79</v>
      </c>
      <c r="I1116" s="54" t="str">
        <f>101325.32-H1116</f>
        <v>₹66,755.53</v>
      </c>
    </row>
    <row r="1117" ht="15.75" customHeight="1">
      <c r="A1117" s="50" t="s">
        <v>1180</v>
      </c>
      <c r="B1117" s="50" t="s">
        <v>25</v>
      </c>
      <c r="C1117" s="50" t="s">
        <v>14</v>
      </c>
      <c r="D1117" s="51">
        <v>98885.41</v>
      </c>
      <c r="E1117" s="51" t="str">
        <f t="shared" si="1"/>
        <v>₹1,186,624.92</v>
      </c>
      <c r="F1117" s="52" t="str">
        <f t="shared" si="2"/>
        <v>30.0%</v>
      </c>
      <c r="G1117" s="51" t="str">
        <f t="shared" si="3"/>
        <v>₹355,987.48</v>
      </c>
      <c r="H1117" s="51" t="str">
        <f t="shared" si="4"/>
        <v>₹29,665.62</v>
      </c>
      <c r="I1117" s="51" t="str">
        <f>92721.6-H1117</f>
        <v>₹63,055.98</v>
      </c>
    </row>
    <row r="1118" ht="15.75" customHeight="1">
      <c r="A1118" s="53" t="s">
        <v>1181</v>
      </c>
      <c r="B1118" s="53" t="s">
        <v>25</v>
      </c>
      <c r="C1118" s="53" t="s">
        <v>30</v>
      </c>
      <c r="D1118" s="54">
        <v>60284.35</v>
      </c>
      <c r="E1118" s="54" t="str">
        <f t="shared" si="1"/>
        <v>₹723,412.20</v>
      </c>
      <c r="F1118" s="55" t="str">
        <f t="shared" si="2"/>
        <v>20.0%</v>
      </c>
      <c r="G1118" s="54" t="str">
        <f t="shared" si="3"/>
        <v>₹144,682.44</v>
      </c>
      <c r="H1118" s="54" t="str">
        <f t="shared" si="4"/>
        <v>₹12,056.87</v>
      </c>
      <c r="I1118" s="54" t="str">
        <f>51360.7-H1118</f>
        <v>₹39,303.83</v>
      </c>
    </row>
    <row r="1119" ht="15.75" customHeight="1">
      <c r="A1119" s="50" t="s">
        <v>1182</v>
      </c>
      <c r="B1119" s="50" t="s">
        <v>51</v>
      </c>
      <c r="C1119" s="50" t="s">
        <v>26</v>
      </c>
      <c r="D1119" s="51">
        <v>130645.19</v>
      </c>
      <c r="E1119" s="51" t="str">
        <f t="shared" si="1"/>
        <v>₹1,567,742.28</v>
      </c>
      <c r="F1119" s="52" t="str">
        <f t="shared" si="2"/>
        <v>30.0%</v>
      </c>
      <c r="G1119" s="51" t="str">
        <f t="shared" si="3"/>
        <v>₹470,322.68</v>
      </c>
      <c r="H1119" s="51" t="str">
        <f t="shared" si="4"/>
        <v>₹39,193.56</v>
      </c>
      <c r="I1119" s="51" t="str">
        <f>115101.43-H1119</f>
        <v>₹75,907.87</v>
      </c>
    </row>
    <row r="1120" ht="15.75" customHeight="1">
      <c r="A1120" s="53" t="s">
        <v>1183</v>
      </c>
      <c r="B1120" s="53" t="s">
        <v>29</v>
      </c>
      <c r="C1120" s="53" t="s">
        <v>14</v>
      </c>
      <c r="D1120" s="54">
        <v>71274.18</v>
      </c>
      <c r="E1120" s="54" t="str">
        <f t="shared" si="1"/>
        <v>₹855,290.16</v>
      </c>
      <c r="F1120" s="55" t="str">
        <f t="shared" si="2"/>
        <v>20.0%</v>
      </c>
      <c r="G1120" s="54" t="str">
        <f t="shared" si="3"/>
        <v>₹171,058.03</v>
      </c>
      <c r="H1120" s="54" t="str">
        <f t="shared" si="4"/>
        <v>₹14,254.84</v>
      </c>
      <c r="I1120" s="54" t="str">
        <f>49683.23-H1120</f>
        <v>₹35,428.39</v>
      </c>
    </row>
    <row r="1121" ht="15.75" customHeight="1">
      <c r="A1121" s="50" t="s">
        <v>1184</v>
      </c>
      <c r="B1121" s="50" t="s">
        <v>53</v>
      </c>
      <c r="C1121" s="50" t="s">
        <v>33</v>
      </c>
      <c r="D1121" s="51">
        <v>51941.92</v>
      </c>
      <c r="E1121" s="51" t="str">
        <f t="shared" si="1"/>
        <v>₹623,303.04</v>
      </c>
      <c r="F1121" s="52" t="str">
        <f t="shared" si="2"/>
        <v>20.0%</v>
      </c>
      <c r="G1121" s="51" t="str">
        <f t="shared" si="3"/>
        <v>₹124,660.61</v>
      </c>
      <c r="H1121" s="51" t="str">
        <f t="shared" si="4"/>
        <v>₹10,388.38</v>
      </c>
      <c r="I1121" s="51" t="str">
        <f>32988.19-H1121</f>
        <v>₹22,599.81</v>
      </c>
    </row>
    <row r="1122" ht="15.75" customHeight="1">
      <c r="A1122" s="53" t="s">
        <v>1185</v>
      </c>
      <c r="B1122" s="53" t="s">
        <v>17</v>
      </c>
      <c r="C1122" s="53" t="s">
        <v>33</v>
      </c>
      <c r="D1122" s="54">
        <v>44554.41</v>
      </c>
      <c r="E1122" s="54" t="str">
        <f t="shared" si="1"/>
        <v>₹534,652.92</v>
      </c>
      <c r="F1122" s="55" t="str">
        <f t="shared" si="2"/>
        <v>20.0%</v>
      </c>
      <c r="G1122" s="54" t="str">
        <f t="shared" si="3"/>
        <v>₹106,930.58</v>
      </c>
      <c r="H1122" s="54" t="str">
        <f t="shared" si="4"/>
        <v>₹8,910.88</v>
      </c>
      <c r="I1122" s="54" t="str">
        <f>30496.11-H1122</f>
        <v>₹21,585.23</v>
      </c>
    </row>
    <row r="1123" ht="15.75" customHeight="1">
      <c r="A1123" s="50" t="s">
        <v>1186</v>
      </c>
      <c r="B1123" s="50" t="s">
        <v>29</v>
      </c>
      <c r="C1123" s="50" t="s">
        <v>26</v>
      </c>
      <c r="D1123" s="51">
        <v>93679.83</v>
      </c>
      <c r="E1123" s="51" t="str">
        <f t="shared" si="1"/>
        <v>₹1,124,157.96</v>
      </c>
      <c r="F1123" s="52" t="str">
        <f t="shared" si="2"/>
        <v>30.0%</v>
      </c>
      <c r="G1123" s="51" t="str">
        <f t="shared" si="3"/>
        <v>₹337,247.39</v>
      </c>
      <c r="H1123" s="51" t="str">
        <f t="shared" si="4"/>
        <v>₹28,103.95</v>
      </c>
      <c r="I1123" s="51" t="str">
        <f>84303.65-H1123</f>
        <v>₹56,199.70</v>
      </c>
    </row>
    <row r="1124" ht="15.75" customHeight="1">
      <c r="A1124" s="53" t="s">
        <v>1187</v>
      </c>
      <c r="B1124" s="53" t="s">
        <v>53</v>
      </c>
      <c r="C1124" s="53" t="s">
        <v>30</v>
      </c>
      <c r="D1124" s="54">
        <v>105677.09</v>
      </c>
      <c r="E1124" s="54" t="str">
        <f t="shared" si="1"/>
        <v>₹1,268,125.08</v>
      </c>
      <c r="F1124" s="55" t="str">
        <f t="shared" si="2"/>
        <v>30.0%</v>
      </c>
      <c r="G1124" s="54" t="str">
        <f t="shared" si="3"/>
        <v>₹380,437.52</v>
      </c>
      <c r="H1124" s="54" t="str">
        <f t="shared" si="4"/>
        <v>₹31,703.13</v>
      </c>
      <c r="I1124" s="54" t="str">
        <f>96233.33-H1124</f>
        <v>₹64,530.20</v>
      </c>
    </row>
    <row r="1125" ht="15.75" customHeight="1">
      <c r="A1125" s="50" t="s">
        <v>1188</v>
      </c>
      <c r="B1125" s="50" t="s">
        <v>25</v>
      </c>
      <c r="C1125" s="50" t="s">
        <v>33</v>
      </c>
      <c r="D1125" s="51">
        <v>65458.04</v>
      </c>
      <c r="E1125" s="51" t="str">
        <f t="shared" si="1"/>
        <v>₹785,496.48</v>
      </c>
      <c r="F1125" s="52" t="str">
        <f t="shared" si="2"/>
        <v>20.0%</v>
      </c>
      <c r="G1125" s="51" t="str">
        <f t="shared" si="3"/>
        <v>₹157,099.30</v>
      </c>
      <c r="H1125" s="51" t="str">
        <f t="shared" si="4"/>
        <v>₹13,091.61</v>
      </c>
      <c r="I1125" s="51" t="str">
        <f>43412.32-H1125</f>
        <v>₹30,320.71</v>
      </c>
    </row>
    <row r="1126" ht="15.75" customHeight="1">
      <c r="A1126" s="53" t="s">
        <v>1189</v>
      </c>
      <c r="B1126" s="53" t="s">
        <v>25</v>
      </c>
      <c r="C1126" s="53" t="s">
        <v>30</v>
      </c>
      <c r="D1126" s="54">
        <v>97937.4</v>
      </c>
      <c r="E1126" s="54" t="str">
        <f t="shared" si="1"/>
        <v>₹1,175,248.80</v>
      </c>
      <c r="F1126" s="55" t="str">
        <f t="shared" si="2"/>
        <v>30.0%</v>
      </c>
      <c r="G1126" s="54" t="str">
        <f t="shared" si="3"/>
        <v>₹352,574.64</v>
      </c>
      <c r="H1126" s="54" t="str">
        <f t="shared" si="4"/>
        <v>₹29,381.22</v>
      </c>
      <c r="I1126" s="54" t="str">
        <f>96475.93-H1126</f>
        <v>₹67,094.71</v>
      </c>
    </row>
    <row r="1127" ht="15.75" customHeight="1">
      <c r="A1127" s="50" t="s">
        <v>1190</v>
      </c>
      <c r="B1127" s="50" t="s">
        <v>53</v>
      </c>
      <c r="C1127" s="50" t="s">
        <v>33</v>
      </c>
      <c r="D1127" s="51">
        <v>71117.02</v>
      </c>
      <c r="E1127" s="51" t="str">
        <f t="shared" si="1"/>
        <v>₹853,404.24</v>
      </c>
      <c r="F1127" s="52" t="str">
        <f t="shared" si="2"/>
        <v>20.0%</v>
      </c>
      <c r="G1127" s="51" t="str">
        <f t="shared" si="3"/>
        <v>₹170,680.85</v>
      </c>
      <c r="H1127" s="51" t="str">
        <f t="shared" si="4"/>
        <v>₹14,223.40</v>
      </c>
      <c r="I1127" s="51" t="str">
        <f>46411.45-H1127</f>
        <v>₹32,188.05</v>
      </c>
    </row>
    <row r="1128" ht="15.75" customHeight="1">
      <c r="A1128" s="53" t="s">
        <v>1191</v>
      </c>
      <c r="B1128" s="53" t="s">
        <v>53</v>
      </c>
      <c r="C1128" s="53" t="s">
        <v>37</v>
      </c>
      <c r="D1128" s="54">
        <v>127388.67</v>
      </c>
      <c r="E1128" s="54" t="str">
        <f t="shared" si="1"/>
        <v>₹1,528,664.04</v>
      </c>
      <c r="F1128" s="55" t="str">
        <f t="shared" si="2"/>
        <v>30.0%</v>
      </c>
      <c r="G1128" s="54" t="str">
        <f t="shared" si="3"/>
        <v>₹458,599.21</v>
      </c>
      <c r="H1128" s="54" t="str">
        <f t="shared" si="4"/>
        <v>₹38,216.60</v>
      </c>
      <c r="I1128" s="54" t="str">
        <f>110611.47-H1128</f>
        <v>₹72,394.87</v>
      </c>
    </row>
    <row r="1129" ht="15.75" customHeight="1">
      <c r="A1129" s="50" t="s">
        <v>1192</v>
      </c>
      <c r="B1129" s="50" t="s">
        <v>29</v>
      </c>
      <c r="C1129" s="50" t="s">
        <v>33</v>
      </c>
      <c r="D1129" s="51">
        <v>82351.9</v>
      </c>
      <c r="E1129" s="51" t="str">
        <f t="shared" si="1"/>
        <v>₹988,222.80</v>
      </c>
      <c r="F1129" s="52" t="str">
        <f t="shared" si="2"/>
        <v>20.0%</v>
      </c>
      <c r="G1129" s="51" t="str">
        <f t="shared" si="3"/>
        <v>₹197,644.56</v>
      </c>
      <c r="H1129" s="51" t="str">
        <f t="shared" si="4"/>
        <v>₹16,470.38</v>
      </c>
      <c r="I1129" s="51" t="str">
        <f>65164.03-H1129</f>
        <v>₹48,693.65</v>
      </c>
    </row>
    <row r="1130" ht="15.75" customHeight="1">
      <c r="A1130" s="53" t="s">
        <v>1193</v>
      </c>
      <c r="B1130" s="53" t="s">
        <v>13</v>
      </c>
      <c r="C1130" s="53" t="s">
        <v>33</v>
      </c>
      <c r="D1130" s="54">
        <v>121736.8</v>
      </c>
      <c r="E1130" s="54" t="str">
        <f t="shared" si="1"/>
        <v>₹1,460,841.60</v>
      </c>
      <c r="F1130" s="55" t="str">
        <f t="shared" si="2"/>
        <v>30.0%</v>
      </c>
      <c r="G1130" s="54" t="str">
        <f t="shared" si="3"/>
        <v>₹438,252.48</v>
      </c>
      <c r="H1130" s="54" t="str">
        <f t="shared" si="4"/>
        <v>₹36,521.04</v>
      </c>
      <c r="I1130" s="54" t="str">
        <f>120305.85-H1130</f>
        <v>₹83,784.81</v>
      </c>
    </row>
    <row r="1131" ht="15.75" customHeight="1">
      <c r="A1131" s="50" t="s">
        <v>1194</v>
      </c>
      <c r="B1131" s="50" t="s">
        <v>25</v>
      </c>
      <c r="C1131" s="50" t="s">
        <v>14</v>
      </c>
      <c r="D1131" s="51">
        <v>138352.51</v>
      </c>
      <c r="E1131" s="51" t="str">
        <f t="shared" si="1"/>
        <v>₹1,660,230.12</v>
      </c>
      <c r="F1131" s="52" t="str">
        <f t="shared" si="2"/>
        <v>30.0%</v>
      </c>
      <c r="G1131" s="51" t="str">
        <f t="shared" si="3"/>
        <v>₹498,069.04</v>
      </c>
      <c r="H1131" s="51" t="str">
        <f t="shared" si="4"/>
        <v>₹41,505.75</v>
      </c>
      <c r="I1131" s="51" t="str">
        <f>125975.45-H1131</f>
        <v>₹84,469.70</v>
      </c>
    </row>
    <row r="1132" ht="15.75" customHeight="1">
      <c r="A1132" s="53" t="s">
        <v>1195</v>
      </c>
      <c r="B1132" s="53" t="s">
        <v>51</v>
      </c>
      <c r="C1132" s="53" t="s">
        <v>18</v>
      </c>
      <c r="D1132" s="54">
        <v>53680.14</v>
      </c>
      <c r="E1132" s="54" t="str">
        <f t="shared" si="1"/>
        <v>₹644,161.68</v>
      </c>
      <c r="F1132" s="55" t="str">
        <f t="shared" si="2"/>
        <v>20.0%</v>
      </c>
      <c r="G1132" s="54" t="str">
        <f t="shared" si="3"/>
        <v>₹128,832.34</v>
      </c>
      <c r="H1132" s="54" t="str">
        <f t="shared" si="4"/>
        <v>₹10,736.03</v>
      </c>
      <c r="I1132" s="54" t="str">
        <f>50588.56-H1132</f>
        <v>₹39,852.53</v>
      </c>
    </row>
    <row r="1133" ht="15.75" customHeight="1">
      <c r="A1133" s="50" t="s">
        <v>1196</v>
      </c>
      <c r="B1133" s="50" t="s">
        <v>17</v>
      </c>
      <c r="C1133" s="50" t="s">
        <v>30</v>
      </c>
      <c r="D1133" s="51">
        <v>78550.64</v>
      </c>
      <c r="E1133" s="51" t="str">
        <f t="shared" si="1"/>
        <v>₹942,607.68</v>
      </c>
      <c r="F1133" s="52" t="str">
        <f t="shared" si="2"/>
        <v>20.0%</v>
      </c>
      <c r="G1133" s="51" t="str">
        <f t="shared" si="3"/>
        <v>₹188,521.54</v>
      </c>
      <c r="H1133" s="51" t="str">
        <f t="shared" si="4"/>
        <v>₹15,710.13</v>
      </c>
      <c r="I1133" s="51" t="str">
        <f>71241.55-H1133</f>
        <v>₹55,531.42</v>
      </c>
    </row>
    <row r="1134" ht="15.75" customHeight="1">
      <c r="A1134" s="53" t="s">
        <v>1197</v>
      </c>
      <c r="B1134" s="53" t="s">
        <v>13</v>
      </c>
      <c r="C1134" s="53" t="s">
        <v>26</v>
      </c>
      <c r="D1134" s="54">
        <v>64374.0</v>
      </c>
      <c r="E1134" s="54" t="str">
        <f t="shared" si="1"/>
        <v>₹772,488.00</v>
      </c>
      <c r="F1134" s="55" t="str">
        <f t="shared" si="2"/>
        <v>20.0%</v>
      </c>
      <c r="G1134" s="54" t="str">
        <f t="shared" si="3"/>
        <v>₹154,497.60</v>
      </c>
      <c r="H1134" s="54" t="str">
        <f t="shared" si="4"/>
        <v>₹12,874.80</v>
      </c>
      <c r="I1134" s="54" t="str">
        <f>42061.3-H1134</f>
        <v>₹29,186.50</v>
      </c>
    </row>
    <row r="1135" ht="15.75" customHeight="1">
      <c r="A1135" s="50" t="s">
        <v>1198</v>
      </c>
      <c r="B1135" s="50" t="s">
        <v>13</v>
      </c>
      <c r="C1135" s="50" t="s">
        <v>26</v>
      </c>
      <c r="D1135" s="51">
        <v>149908.43</v>
      </c>
      <c r="E1135" s="51" t="str">
        <f t="shared" si="1"/>
        <v>₹1,798,901.16</v>
      </c>
      <c r="F1135" s="52" t="str">
        <f t="shared" si="2"/>
        <v>30.0%</v>
      </c>
      <c r="G1135" s="51" t="str">
        <f t="shared" si="3"/>
        <v>₹539,670.35</v>
      </c>
      <c r="H1135" s="51" t="str">
        <f t="shared" si="4"/>
        <v>₹44,972.53</v>
      </c>
      <c r="I1135" s="51" t="str">
        <f>135933.71-H1135</f>
        <v>₹90,961.18</v>
      </c>
    </row>
    <row r="1136" ht="15.75" customHeight="1">
      <c r="A1136" s="53" t="s">
        <v>1199</v>
      </c>
      <c r="B1136" s="53" t="s">
        <v>13</v>
      </c>
      <c r="C1136" s="53" t="s">
        <v>14</v>
      </c>
      <c r="D1136" s="54">
        <v>131733.63</v>
      </c>
      <c r="E1136" s="54" t="str">
        <f t="shared" si="1"/>
        <v>₹1,580,803.56</v>
      </c>
      <c r="F1136" s="55" t="str">
        <f t="shared" si="2"/>
        <v>30.0%</v>
      </c>
      <c r="G1136" s="54" t="str">
        <f t="shared" si="3"/>
        <v>₹474,241.07</v>
      </c>
      <c r="H1136" s="54" t="str">
        <f t="shared" si="4"/>
        <v>₹39,520.09</v>
      </c>
      <c r="I1136" s="54" t="str">
        <f>121104.92-H1136</f>
        <v>₹81,584.83</v>
      </c>
    </row>
    <row r="1137" ht="15.75" customHeight="1">
      <c r="A1137" s="50" t="s">
        <v>1200</v>
      </c>
      <c r="B1137" s="50" t="s">
        <v>51</v>
      </c>
      <c r="C1137" s="50" t="s">
        <v>14</v>
      </c>
      <c r="D1137" s="51">
        <v>60151.49</v>
      </c>
      <c r="E1137" s="51" t="str">
        <f t="shared" si="1"/>
        <v>₹721,817.88</v>
      </c>
      <c r="F1137" s="52" t="str">
        <f t="shared" si="2"/>
        <v>20.0%</v>
      </c>
      <c r="G1137" s="51" t="str">
        <f t="shared" si="3"/>
        <v>₹144,363.58</v>
      </c>
      <c r="H1137" s="51" t="str">
        <f t="shared" si="4"/>
        <v>₹12,030.30</v>
      </c>
      <c r="I1137" s="51" t="str">
        <f>57870.78-H1137</f>
        <v>₹45,840.48</v>
      </c>
    </row>
    <row r="1138" ht="15.75" customHeight="1">
      <c r="A1138" s="53" t="s">
        <v>1201</v>
      </c>
      <c r="B1138" s="53" t="s">
        <v>51</v>
      </c>
      <c r="C1138" s="53" t="s">
        <v>14</v>
      </c>
      <c r="D1138" s="54">
        <v>120344.33</v>
      </c>
      <c r="E1138" s="54" t="str">
        <f t="shared" si="1"/>
        <v>₹1,444,131.96</v>
      </c>
      <c r="F1138" s="55" t="str">
        <f t="shared" si="2"/>
        <v>30.0%</v>
      </c>
      <c r="G1138" s="54" t="str">
        <f t="shared" si="3"/>
        <v>₹433,239.59</v>
      </c>
      <c r="H1138" s="54" t="str">
        <f t="shared" si="4"/>
        <v>₹36,103.30</v>
      </c>
      <c r="I1138" s="54" t="str">
        <f>102348.35-H1138</f>
        <v>₹66,245.05</v>
      </c>
    </row>
    <row r="1139" ht="15.75" customHeight="1">
      <c r="A1139" s="50" t="s">
        <v>1203</v>
      </c>
      <c r="B1139" s="50" t="s">
        <v>36</v>
      </c>
      <c r="C1139" s="50" t="s">
        <v>26</v>
      </c>
      <c r="D1139" s="51">
        <v>118715.48</v>
      </c>
      <c r="E1139" s="51" t="str">
        <f t="shared" si="1"/>
        <v>₹1,424,585.76</v>
      </c>
      <c r="F1139" s="52" t="str">
        <f t="shared" si="2"/>
        <v>30.0%</v>
      </c>
      <c r="G1139" s="51" t="str">
        <f t="shared" si="3"/>
        <v>₹427,375.73</v>
      </c>
      <c r="H1139" s="51" t="str">
        <f t="shared" si="4"/>
        <v>₹35,614.64</v>
      </c>
      <c r="I1139" s="51" t="str">
        <f>100995.63-H1139</f>
        <v>₹65,380.99</v>
      </c>
    </row>
    <row r="1140" ht="15.75" customHeight="1">
      <c r="A1140" s="53" t="s">
        <v>1204</v>
      </c>
      <c r="B1140" s="53" t="s">
        <v>51</v>
      </c>
      <c r="C1140" s="53" t="s">
        <v>18</v>
      </c>
      <c r="D1140" s="54">
        <v>107416.92</v>
      </c>
      <c r="E1140" s="54" t="str">
        <f t="shared" si="1"/>
        <v>₹1,289,003.04</v>
      </c>
      <c r="F1140" s="55" t="str">
        <f t="shared" si="2"/>
        <v>30.0%</v>
      </c>
      <c r="G1140" s="54" t="str">
        <f t="shared" si="3"/>
        <v>₹386,700.91</v>
      </c>
      <c r="H1140" s="54" t="str">
        <f t="shared" si="4"/>
        <v>₹32,225.08</v>
      </c>
      <c r="I1140" s="54" t="str">
        <f>91872.85-H1140</f>
        <v>₹59,647.77</v>
      </c>
    </row>
    <row r="1141" ht="15.75" customHeight="1">
      <c r="A1141" s="50" t="s">
        <v>1205</v>
      </c>
      <c r="B1141" s="50" t="s">
        <v>51</v>
      </c>
      <c r="C1141" s="50" t="s">
        <v>26</v>
      </c>
      <c r="D1141" s="51">
        <v>108879.29</v>
      </c>
      <c r="E1141" s="51" t="str">
        <f t="shared" si="1"/>
        <v>₹1,306,551.48</v>
      </c>
      <c r="F1141" s="52" t="str">
        <f t="shared" si="2"/>
        <v>30.0%</v>
      </c>
      <c r="G1141" s="51" t="str">
        <f t="shared" si="3"/>
        <v>₹391,965.44</v>
      </c>
      <c r="H1141" s="51" t="str">
        <f t="shared" si="4"/>
        <v>₹32,663.79</v>
      </c>
      <c r="I1141" s="51" t="str">
        <f>95877.86-H1141</f>
        <v>₹63,214.07</v>
      </c>
    </row>
    <row r="1142" ht="15.75" customHeight="1">
      <c r="A1142" s="53" t="s">
        <v>1206</v>
      </c>
      <c r="B1142" s="53" t="s">
        <v>13</v>
      </c>
      <c r="C1142" s="53" t="s">
        <v>18</v>
      </c>
      <c r="D1142" s="54">
        <v>78926.96</v>
      </c>
      <c r="E1142" s="54" t="str">
        <f t="shared" si="1"/>
        <v>₹947,123.52</v>
      </c>
      <c r="F1142" s="55" t="str">
        <f t="shared" si="2"/>
        <v>20.0%</v>
      </c>
      <c r="G1142" s="54" t="str">
        <f t="shared" si="3"/>
        <v>₹189,424.70</v>
      </c>
      <c r="H1142" s="54" t="str">
        <f t="shared" si="4"/>
        <v>₹15,785.39</v>
      </c>
      <c r="I1142" s="54" t="str">
        <f>67799.24-H1142</f>
        <v>₹52,013.85</v>
      </c>
    </row>
    <row r="1143" ht="15.75" customHeight="1">
      <c r="A1143" s="50" t="s">
        <v>1207</v>
      </c>
      <c r="B1143" s="50" t="s">
        <v>29</v>
      </c>
      <c r="C1143" s="50" t="s">
        <v>14</v>
      </c>
      <c r="D1143" s="51">
        <v>65218.93</v>
      </c>
      <c r="E1143" s="51" t="str">
        <f t="shared" si="1"/>
        <v>₹782,627.16</v>
      </c>
      <c r="F1143" s="52" t="str">
        <f t="shared" si="2"/>
        <v>20.0%</v>
      </c>
      <c r="G1143" s="51" t="str">
        <f t="shared" si="3"/>
        <v>₹156,525.43</v>
      </c>
      <c r="H1143" s="51" t="str">
        <f t="shared" si="4"/>
        <v>₹13,043.79</v>
      </c>
      <c r="I1143" s="51" t="str">
        <f>50183.79-H1143</f>
        <v>₹37,140.00</v>
      </c>
    </row>
    <row r="1144" ht="15.75" customHeight="1">
      <c r="A1144" s="53" t="s">
        <v>1208</v>
      </c>
      <c r="B1144" s="53" t="s">
        <v>17</v>
      </c>
      <c r="C1144" s="53" t="s">
        <v>33</v>
      </c>
      <c r="D1144" s="54">
        <v>153956.41</v>
      </c>
      <c r="E1144" s="54" t="str">
        <f t="shared" si="1"/>
        <v>₹1,847,476.92</v>
      </c>
      <c r="F1144" s="55" t="str">
        <f t="shared" si="2"/>
        <v>30.0%</v>
      </c>
      <c r="G1144" s="54" t="str">
        <f t="shared" si="3"/>
        <v>₹554,243.08</v>
      </c>
      <c r="H1144" s="54" t="str">
        <f t="shared" si="4"/>
        <v>₹46,186.92</v>
      </c>
      <c r="I1144" s="54" t="str">
        <f>147738.22-H1144</f>
        <v>₹101,551.30</v>
      </c>
    </row>
    <row r="1145" ht="15.75" customHeight="1">
      <c r="A1145" s="50" t="s">
        <v>1209</v>
      </c>
      <c r="B1145" s="50" t="s">
        <v>53</v>
      </c>
      <c r="C1145" s="50" t="s">
        <v>14</v>
      </c>
      <c r="D1145" s="51">
        <v>140875.92</v>
      </c>
      <c r="E1145" s="51" t="str">
        <f t="shared" si="1"/>
        <v>₹1,690,511.04</v>
      </c>
      <c r="F1145" s="52" t="str">
        <f t="shared" si="2"/>
        <v>30.0%</v>
      </c>
      <c r="G1145" s="51" t="str">
        <f t="shared" si="3"/>
        <v>₹507,153.31</v>
      </c>
      <c r="H1145" s="51" t="str">
        <f t="shared" si="4"/>
        <v>₹42,262.78</v>
      </c>
      <c r="I1145" s="51" t="str">
        <f>117315.07-H1145</f>
        <v>₹75,052.29</v>
      </c>
    </row>
    <row r="1146" ht="15.75" customHeight="1">
      <c r="A1146" s="53" t="s">
        <v>1210</v>
      </c>
      <c r="B1146" s="53" t="s">
        <v>53</v>
      </c>
      <c r="C1146" s="53" t="s">
        <v>26</v>
      </c>
      <c r="D1146" s="54">
        <v>86237.21</v>
      </c>
      <c r="E1146" s="54" t="str">
        <f t="shared" si="1"/>
        <v>₹1,034,846.52</v>
      </c>
      <c r="F1146" s="55" t="str">
        <f t="shared" si="2"/>
        <v>30.0%</v>
      </c>
      <c r="G1146" s="54" t="str">
        <f t="shared" si="3"/>
        <v>₹310,453.96</v>
      </c>
      <c r="H1146" s="54" t="str">
        <f t="shared" si="4"/>
        <v>₹25,871.16</v>
      </c>
      <c r="I1146" s="54" t="str">
        <f>78113-H1146</f>
        <v>₹52,241.84</v>
      </c>
    </row>
    <row r="1147" ht="15.75" customHeight="1">
      <c r="A1147" s="50" t="s">
        <v>1211</v>
      </c>
      <c r="B1147" s="50" t="s">
        <v>29</v>
      </c>
      <c r="C1147" s="50" t="s">
        <v>30</v>
      </c>
      <c r="D1147" s="51">
        <v>71742.59</v>
      </c>
      <c r="E1147" s="51" t="str">
        <f t="shared" si="1"/>
        <v>₹860,911.08</v>
      </c>
      <c r="F1147" s="52" t="str">
        <f t="shared" si="2"/>
        <v>20.0%</v>
      </c>
      <c r="G1147" s="51" t="str">
        <f t="shared" si="3"/>
        <v>₹172,182.22</v>
      </c>
      <c r="H1147" s="51" t="str">
        <f t="shared" si="4"/>
        <v>₹14,348.52</v>
      </c>
      <c r="I1147" s="51" t="str">
        <f>60225.43-H1147</f>
        <v>₹45,876.91</v>
      </c>
    </row>
    <row r="1148" ht="15.75" customHeight="1">
      <c r="A1148" s="53" t="s">
        <v>1212</v>
      </c>
      <c r="B1148" s="53" t="s">
        <v>17</v>
      </c>
      <c r="C1148" s="53" t="s">
        <v>54</v>
      </c>
      <c r="D1148" s="54">
        <v>105514.4</v>
      </c>
      <c r="E1148" s="54" t="str">
        <f t="shared" si="1"/>
        <v>₹1,266,172.80</v>
      </c>
      <c r="F1148" s="55" t="str">
        <f t="shared" si="2"/>
        <v>30.0%</v>
      </c>
      <c r="G1148" s="54" t="str">
        <f t="shared" si="3"/>
        <v>₹379,851.84</v>
      </c>
      <c r="H1148" s="54" t="str">
        <f t="shared" si="4"/>
        <v>₹31,654.32</v>
      </c>
      <c r="I1148" s="54" t="str">
        <f>85275.12-H1148</f>
        <v>₹53,620.80</v>
      </c>
    </row>
    <row r="1149" ht="15.75" customHeight="1">
      <c r="A1149" s="50" t="s">
        <v>1213</v>
      </c>
      <c r="B1149" s="50" t="s">
        <v>36</v>
      </c>
      <c r="C1149" s="50" t="s">
        <v>54</v>
      </c>
      <c r="D1149" s="51">
        <v>132811.97</v>
      </c>
      <c r="E1149" s="51" t="str">
        <f t="shared" si="1"/>
        <v>₹1,593,743.64</v>
      </c>
      <c r="F1149" s="52" t="str">
        <f t="shared" si="2"/>
        <v>30.0%</v>
      </c>
      <c r="G1149" s="51" t="str">
        <f t="shared" si="3"/>
        <v>₹478,123.09</v>
      </c>
      <c r="H1149" s="51" t="str">
        <f t="shared" si="4"/>
        <v>₹39,843.59</v>
      </c>
      <c r="I1149" s="51" t="str">
        <f>128352.38-H1149</f>
        <v>₹88,508.79</v>
      </c>
    </row>
    <row r="1150" ht="15.75" customHeight="1">
      <c r="A1150" s="53" t="s">
        <v>1214</v>
      </c>
      <c r="B1150" s="53" t="s">
        <v>53</v>
      </c>
      <c r="C1150" s="53" t="s">
        <v>14</v>
      </c>
      <c r="D1150" s="54">
        <v>137472.86</v>
      </c>
      <c r="E1150" s="54" t="str">
        <f t="shared" si="1"/>
        <v>₹1,649,674.32</v>
      </c>
      <c r="F1150" s="55" t="str">
        <f t="shared" si="2"/>
        <v>30.0%</v>
      </c>
      <c r="G1150" s="54" t="str">
        <f t="shared" si="3"/>
        <v>₹494,902.30</v>
      </c>
      <c r="H1150" s="54" t="str">
        <f t="shared" si="4"/>
        <v>₹41,241.86</v>
      </c>
      <c r="I1150" s="54" t="str">
        <f>129798.39-H1150</f>
        <v>₹88,556.53</v>
      </c>
    </row>
    <row r="1151" ht="15.75" customHeight="1">
      <c r="A1151" s="50" t="s">
        <v>1215</v>
      </c>
      <c r="B1151" s="50" t="s">
        <v>25</v>
      </c>
      <c r="C1151" s="50" t="s">
        <v>18</v>
      </c>
      <c r="D1151" s="51">
        <v>132490.0</v>
      </c>
      <c r="E1151" s="51" t="str">
        <f t="shared" si="1"/>
        <v>₹1,589,880.00</v>
      </c>
      <c r="F1151" s="52" t="str">
        <f t="shared" si="2"/>
        <v>30.0%</v>
      </c>
      <c r="G1151" s="51" t="str">
        <f t="shared" si="3"/>
        <v>₹476,964.00</v>
      </c>
      <c r="H1151" s="51" t="str">
        <f t="shared" si="4"/>
        <v>₹39,747.00</v>
      </c>
      <c r="I1151" s="51" t="str">
        <f>115342.05-H1151</f>
        <v>₹75,595.05</v>
      </c>
    </row>
    <row r="1152" ht="15.75" customHeight="1">
      <c r="A1152" s="53" t="s">
        <v>1216</v>
      </c>
      <c r="B1152" s="53" t="s">
        <v>51</v>
      </c>
      <c r="C1152" s="53" t="s">
        <v>14</v>
      </c>
      <c r="D1152" s="54">
        <v>126406.8</v>
      </c>
      <c r="E1152" s="54" t="str">
        <f t="shared" si="1"/>
        <v>₹1,516,881.60</v>
      </c>
      <c r="F1152" s="55" t="str">
        <f t="shared" si="2"/>
        <v>30.0%</v>
      </c>
      <c r="G1152" s="54" t="str">
        <f t="shared" si="3"/>
        <v>₹455,064.48</v>
      </c>
      <c r="H1152" s="54" t="str">
        <f t="shared" si="4"/>
        <v>₹37,922.04</v>
      </c>
      <c r="I1152" s="54" t="str">
        <f>118177.31-H1152</f>
        <v>₹80,255.27</v>
      </c>
    </row>
    <row r="1153" ht="15.75" customHeight="1">
      <c r="A1153" s="50" t="s">
        <v>1217</v>
      </c>
      <c r="B1153" s="50" t="s">
        <v>17</v>
      </c>
      <c r="C1153" s="50" t="s">
        <v>37</v>
      </c>
      <c r="D1153" s="51">
        <v>44302.17</v>
      </c>
      <c r="E1153" s="51" t="str">
        <f t="shared" si="1"/>
        <v>₹531,626.04</v>
      </c>
      <c r="F1153" s="52" t="str">
        <f t="shared" si="2"/>
        <v>20.0%</v>
      </c>
      <c r="G1153" s="51" t="str">
        <f t="shared" si="3"/>
        <v>₹106,325.21</v>
      </c>
      <c r="H1153" s="51" t="str">
        <f t="shared" si="4"/>
        <v>₹8,860.43</v>
      </c>
      <c r="I1153" s="51" t="str">
        <f>24385.88-H1153</f>
        <v>₹15,525.45</v>
      </c>
    </row>
    <row r="1154" ht="15.75" customHeight="1">
      <c r="A1154" s="53" t="s">
        <v>1218</v>
      </c>
      <c r="B1154" s="53" t="s">
        <v>17</v>
      </c>
      <c r="C1154" s="53" t="s">
        <v>14</v>
      </c>
      <c r="D1154" s="54">
        <v>49901.1</v>
      </c>
      <c r="E1154" s="54" t="str">
        <f t="shared" si="1"/>
        <v>₹598,813.20</v>
      </c>
      <c r="F1154" s="55" t="str">
        <f t="shared" si="2"/>
        <v>20.0%</v>
      </c>
      <c r="G1154" s="54" t="str">
        <f t="shared" si="3"/>
        <v>₹119,762.64</v>
      </c>
      <c r="H1154" s="54" t="str">
        <f t="shared" si="4"/>
        <v>₹9,980.22</v>
      </c>
      <c r="I1154" s="54" t="str">
        <f>46204.99-H1154</f>
        <v>₹36,224.77</v>
      </c>
    </row>
    <row r="1155" ht="15.75" customHeight="1">
      <c r="A1155" s="50" t="s">
        <v>1219</v>
      </c>
      <c r="B1155" s="50" t="s">
        <v>17</v>
      </c>
      <c r="C1155" s="50" t="s">
        <v>14</v>
      </c>
      <c r="D1155" s="51">
        <v>157451.45</v>
      </c>
      <c r="E1155" s="51" t="str">
        <f t="shared" si="1"/>
        <v>₹1,889,417.40</v>
      </c>
      <c r="F1155" s="52" t="str">
        <f t="shared" si="2"/>
        <v>30.0%</v>
      </c>
      <c r="G1155" s="51" t="str">
        <f t="shared" si="3"/>
        <v>₹566,825.22</v>
      </c>
      <c r="H1155" s="51" t="str">
        <f t="shared" si="4"/>
        <v>₹47,235.44</v>
      </c>
      <c r="I1155" s="51" t="str">
        <f>138265.64-H1155</f>
        <v>₹91,030.21</v>
      </c>
    </row>
    <row r="1156" ht="15.75" customHeight="1">
      <c r="A1156" s="53" t="s">
        <v>1220</v>
      </c>
      <c r="B1156" s="53" t="s">
        <v>17</v>
      </c>
      <c r="C1156" s="53" t="s">
        <v>37</v>
      </c>
      <c r="D1156" s="54">
        <v>107652.02</v>
      </c>
      <c r="E1156" s="54" t="str">
        <f t="shared" si="1"/>
        <v>₹1,291,824.24</v>
      </c>
      <c r="F1156" s="55" t="str">
        <f t="shared" si="2"/>
        <v>30.0%</v>
      </c>
      <c r="G1156" s="54" t="str">
        <f t="shared" si="3"/>
        <v>₹387,547.27</v>
      </c>
      <c r="H1156" s="54" t="str">
        <f t="shared" si="4"/>
        <v>₹32,295.61</v>
      </c>
      <c r="I1156" s="54" t="str">
        <f>96648.19-H1156</f>
        <v>₹64,352.58</v>
      </c>
    </row>
    <row r="1157" ht="15.75" customHeight="1">
      <c r="A1157" s="50" t="s">
        <v>1221</v>
      </c>
      <c r="B1157" s="50" t="s">
        <v>13</v>
      </c>
      <c r="C1157" s="50" t="s">
        <v>14</v>
      </c>
      <c r="D1157" s="51">
        <v>49489.31</v>
      </c>
      <c r="E1157" s="51" t="str">
        <f t="shared" si="1"/>
        <v>₹593,871.72</v>
      </c>
      <c r="F1157" s="52" t="str">
        <f t="shared" si="2"/>
        <v>20.0%</v>
      </c>
      <c r="G1157" s="51" t="str">
        <f t="shared" si="3"/>
        <v>₹118,774.34</v>
      </c>
      <c r="H1157" s="51" t="str">
        <f t="shared" si="4"/>
        <v>₹9,897.86</v>
      </c>
      <c r="I1157" s="51" t="str">
        <f>38482.08-H1157</f>
        <v>₹28,584.22</v>
      </c>
    </row>
    <row r="1158" ht="15.75" customHeight="1">
      <c r="A1158" s="53" t="s">
        <v>1222</v>
      </c>
      <c r="B1158" s="53" t="s">
        <v>17</v>
      </c>
      <c r="C1158" s="53" t="s">
        <v>18</v>
      </c>
      <c r="D1158" s="54">
        <v>50001.61</v>
      </c>
      <c r="E1158" s="54" t="str">
        <f t="shared" si="1"/>
        <v>₹600,019.32</v>
      </c>
      <c r="F1158" s="55" t="str">
        <f t="shared" si="2"/>
        <v>20.0%</v>
      </c>
      <c r="G1158" s="54" t="str">
        <f t="shared" si="3"/>
        <v>₹120,003.86</v>
      </c>
      <c r="H1158" s="54" t="str">
        <f t="shared" si="4"/>
        <v>₹10,000.32</v>
      </c>
      <c r="I1158" s="54" t="str">
        <f>38990.99-H1158</f>
        <v>₹28,990.67</v>
      </c>
    </row>
    <row r="1159" ht="15.75" customHeight="1">
      <c r="A1159" s="50" t="s">
        <v>1223</v>
      </c>
      <c r="B1159" s="50" t="s">
        <v>17</v>
      </c>
      <c r="C1159" s="50" t="s">
        <v>14</v>
      </c>
      <c r="D1159" s="51">
        <v>50513.9</v>
      </c>
      <c r="E1159" s="51" t="str">
        <f t="shared" si="1"/>
        <v>₹606,166.80</v>
      </c>
      <c r="F1159" s="52" t="str">
        <f t="shared" si="2"/>
        <v>20.0%</v>
      </c>
      <c r="G1159" s="51" t="str">
        <f t="shared" si="3"/>
        <v>₹121,233.36</v>
      </c>
      <c r="H1159" s="51" t="str">
        <f t="shared" si="4"/>
        <v>₹10,102.78</v>
      </c>
      <c r="I1159" s="51" t="str">
        <f>39499.88-H1159</f>
        <v>₹29,397.10</v>
      </c>
    </row>
    <row r="1160" ht="15.75" customHeight="1">
      <c r="A1160" s="53" t="s">
        <v>1224</v>
      </c>
      <c r="B1160" s="53" t="s">
        <v>13</v>
      </c>
      <c r="C1160" s="53" t="s">
        <v>18</v>
      </c>
      <c r="D1160" s="54">
        <v>50526.2</v>
      </c>
      <c r="E1160" s="54" t="str">
        <f t="shared" si="1"/>
        <v>₹606,314.40</v>
      </c>
      <c r="F1160" s="55" t="str">
        <f t="shared" si="2"/>
        <v>20.0%</v>
      </c>
      <c r="G1160" s="54" t="str">
        <f t="shared" si="3"/>
        <v>₹121,262.88</v>
      </c>
      <c r="H1160" s="54" t="str">
        <f t="shared" si="4"/>
        <v>₹10,105.24</v>
      </c>
      <c r="I1160" s="54" t="str">
        <f>39508.78-H1160</f>
        <v>₹29,403.54</v>
      </c>
    </row>
    <row r="1161" ht="15.75" customHeight="1">
      <c r="A1161" s="50" t="s">
        <v>1225</v>
      </c>
      <c r="B1161" s="50" t="s">
        <v>25</v>
      </c>
      <c r="C1161" s="50" t="s">
        <v>26</v>
      </c>
      <c r="D1161" s="51">
        <v>341778.49</v>
      </c>
      <c r="E1161" s="51" t="str">
        <f t="shared" si="1"/>
        <v>₹4,101,341.88</v>
      </c>
      <c r="F1161" s="52" t="str">
        <f t="shared" si="2"/>
        <v>30.0%</v>
      </c>
      <c r="G1161" s="51" t="str">
        <f t="shared" si="3"/>
        <v>₹1,230,402.56</v>
      </c>
      <c r="H1161" s="51" t="str">
        <f t="shared" si="4"/>
        <v>₹102,533.55</v>
      </c>
      <c r="I1161" s="51" t="str">
        <f>330757.67-H1161</f>
        <v>₹228,224.12</v>
      </c>
    </row>
    <row r="1162" ht="15.75" customHeight="1">
      <c r="A1162" s="53" t="s">
        <v>1226</v>
      </c>
      <c r="B1162" s="53" t="s">
        <v>29</v>
      </c>
      <c r="C1162" s="53" t="s">
        <v>30</v>
      </c>
      <c r="D1162" s="54">
        <v>90376.17</v>
      </c>
      <c r="E1162" s="54" t="str">
        <f t="shared" si="1"/>
        <v>₹1,084,514.04</v>
      </c>
      <c r="F1162" s="55" t="str">
        <f t="shared" si="2"/>
        <v>30.0%</v>
      </c>
      <c r="G1162" s="54" t="str">
        <f t="shared" si="3"/>
        <v>₹325,354.21</v>
      </c>
      <c r="H1162" s="54" t="str">
        <f t="shared" si="4"/>
        <v>₹27,112.85</v>
      </c>
      <c r="I1162" s="54" t="str">
        <f>79351.96-H1162</f>
        <v>₹52,239.11</v>
      </c>
    </row>
    <row r="1163" ht="15.75" customHeight="1">
      <c r="A1163" s="50" t="s">
        <v>1227</v>
      </c>
      <c r="B1163" s="50" t="s">
        <v>17</v>
      </c>
      <c r="C1163" s="50" t="s">
        <v>33</v>
      </c>
      <c r="D1163" s="51">
        <v>90399.35</v>
      </c>
      <c r="E1163" s="51" t="str">
        <f t="shared" si="1"/>
        <v>₹1,084,792.20</v>
      </c>
      <c r="F1163" s="52" t="str">
        <f t="shared" si="2"/>
        <v>30.0%</v>
      </c>
      <c r="G1163" s="51" t="str">
        <f t="shared" si="3"/>
        <v>₹325,437.66</v>
      </c>
      <c r="H1163" s="51" t="str">
        <f t="shared" si="4"/>
        <v>₹27,119.81</v>
      </c>
      <c r="I1163" s="51" t="str">
        <f>79371.74-H1163</f>
        <v>₹52,251.94</v>
      </c>
    </row>
    <row r="1164" ht="15.75" customHeight="1">
      <c r="A1164" s="53" t="s">
        <v>1228</v>
      </c>
      <c r="B1164" s="53" t="s">
        <v>36</v>
      </c>
      <c r="C1164" s="53" t="s">
        <v>37</v>
      </c>
      <c r="D1164" s="54">
        <v>90422.53</v>
      </c>
      <c r="E1164" s="54" t="str">
        <f t="shared" si="1"/>
        <v>₹1,085,070.36</v>
      </c>
      <c r="F1164" s="55" t="str">
        <f t="shared" si="2"/>
        <v>30.0%</v>
      </c>
      <c r="G1164" s="54" t="str">
        <f t="shared" si="3"/>
        <v>₹325,521.11</v>
      </c>
      <c r="H1164" s="54" t="str">
        <f t="shared" si="4"/>
        <v>₹27,126.76</v>
      </c>
      <c r="I1164" s="54" t="str">
        <f>79391.52-H1164</f>
        <v>₹52,264.76</v>
      </c>
    </row>
    <row r="1165" ht="15.75" customHeight="1">
      <c r="A1165" s="50" t="s">
        <v>1229</v>
      </c>
      <c r="B1165" s="50" t="s">
        <v>25</v>
      </c>
      <c r="C1165" s="50" t="s">
        <v>18</v>
      </c>
      <c r="D1165" s="51">
        <v>90445.71</v>
      </c>
      <c r="E1165" s="51" t="str">
        <f t="shared" si="1"/>
        <v>₹1,085,348.52</v>
      </c>
      <c r="F1165" s="52" t="str">
        <f t="shared" si="2"/>
        <v>30.0%</v>
      </c>
      <c r="G1165" s="51" t="str">
        <f t="shared" si="3"/>
        <v>₹325,604.56</v>
      </c>
      <c r="H1165" s="51" t="str">
        <f t="shared" si="4"/>
        <v>₹27,133.71</v>
      </c>
      <c r="I1165" s="51" t="str">
        <f>79411.3-H1165</f>
        <v>₹52,277.59</v>
      </c>
    </row>
    <row r="1166" ht="15.75" customHeight="1">
      <c r="A1166" s="53" t="s">
        <v>1230</v>
      </c>
      <c r="B1166" s="53" t="s">
        <v>17</v>
      </c>
      <c r="C1166" s="53" t="s">
        <v>14</v>
      </c>
      <c r="D1166" s="54">
        <v>90468.89</v>
      </c>
      <c r="E1166" s="54" t="str">
        <f t="shared" si="1"/>
        <v>₹1,085,626.68</v>
      </c>
      <c r="F1166" s="55" t="str">
        <f t="shared" si="2"/>
        <v>30.0%</v>
      </c>
      <c r="G1166" s="54" t="str">
        <f t="shared" si="3"/>
        <v>₹325,688.00</v>
      </c>
      <c r="H1166" s="54" t="str">
        <f t="shared" si="4"/>
        <v>₹27,140.67</v>
      </c>
      <c r="I1166" s="54" t="str">
        <f>79431.09-H1166</f>
        <v>₹52,290.42</v>
      </c>
    </row>
    <row r="1167" ht="15.75" customHeight="1">
      <c r="A1167" s="50" t="s">
        <v>1231</v>
      </c>
      <c r="B1167" s="50" t="s">
        <v>25</v>
      </c>
      <c r="C1167" s="50" t="s">
        <v>14</v>
      </c>
      <c r="D1167" s="51">
        <v>90492.06</v>
      </c>
      <c r="E1167" s="51" t="str">
        <f t="shared" si="1"/>
        <v>₹1,085,904.72</v>
      </c>
      <c r="F1167" s="52" t="str">
        <f t="shared" si="2"/>
        <v>30.0%</v>
      </c>
      <c r="G1167" s="51" t="str">
        <f t="shared" si="3"/>
        <v>₹325,771.42</v>
      </c>
      <c r="H1167" s="51" t="str">
        <f t="shared" si="4"/>
        <v>₹27,147.62</v>
      </c>
      <c r="I1167" s="51" t="str">
        <f>79450.86-H1167</f>
        <v>₹52,303.24</v>
      </c>
    </row>
    <row r="1168" ht="15.75" customHeight="1">
      <c r="A1168" s="53" t="s">
        <v>1232</v>
      </c>
      <c r="B1168" s="53" t="s">
        <v>29</v>
      </c>
      <c r="C1168" s="53" t="s">
        <v>33</v>
      </c>
      <c r="D1168" s="54">
        <v>90515.24</v>
      </c>
      <c r="E1168" s="54" t="str">
        <f t="shared" si="1"/>
        <v>₹1,086,182.88</v>
      </c>
      <c r="F1168" s="55" t="str">
        <f t="shared" si="2"/>
        <v>30.0%</v>
      </c>
      <c r="G1168" s="54" t="str">
        <f t="shared" si="3"/>
        <v>₹325,854.86</v>
      </c>
      <c r="H1168" s="54" t="str">
        <f t="shared" si="4"/>
        <v>₹27,154.57</v>
      </c>
      <c r="I1168" s="54" t="str">
        <f>79470.64-H1168</f>
        <v>₹52,316.07</v>
      </c>
    </row>
    <row r="1169" ht="15.75" customHeight="1">
      <c r="A1169" s="50" t="s">
        <v>1233</v>
      </c>
      <c r="B1169" s="50" t="s">
        <v>17</v>
      </c>
      <c r="C1169" s="50" t="s">
        <v>37</v>
      </c>
      <c r="D1169" s="51">
        <v>90538.42</v>
      </c>
      <c r="E1169" s="51" t="str">
        <f t="shared" si="1"/>
        <v>₹1,086,461.04</v>
      </c>
      <c r="F1169" s="52" t="str">
        <f t="shared" si="2"/>
        <v>30.0%</v>
      </c>
      <c r="G1169" s="51" t="str">
        <f t="shared" si="3"/>
        <v>₹325,938.31</v>
      </c>
      <c r="H1169" s="51" t="str">
        <f t="shared" si="4"/>
        <v>₹27,161.53</v>
      </c>
      <c r="I1169" s="51" t="str">
        <f>79490.42-H1169</f>
        <v>₹52,328.89</v>
      </c>
    </row>
    <row r="1170" ht="15.75" customHeight="1">
      <c r="A1170" s="53" t="s">
        <v>1234</v>
      </c>
      <c r="B1170" s="53" t="s">
        <v>36</v>
      </c>
      <c r="C1170" s="53" t="s">
        <v>33</v>
      </c>
      <c r="D1170" s="54">
        <v>90561.6</v>
      </c>
      <c r="E1170" s="54" t="str">
        <f t="shared" si="1"/>
        <v>₹1,086,739.20</v>
      </c>
      <c r="F1170" s="55" t="str">
        <f t="shared" si="2"/>
        <v>30.0%</v>
      </c>
      <c r="G1170" s="54" t="str">
        <f t="shared" si="3"/>
        <v>₹326,021.76</v>
      </c>
      <c r="H1170" s="54" t="str">
        <f t="shared" si="4"/>
        <v>₹27,168.48</v>
      </c>
      <c r="I1170" s="54" t="str">
        <f>79510.21-H1170</f>
        <v>₹52,341.73</v>
      </c>
    </row>
    <row r="1171" ht="15.75" customHeight="1">
      <c r="A1171" s="50" t="s">
        <v>1235</v>
      </c>
      <c r="B1171" s="50" t="s">
        <v>29</v>
      </c>
      <c r="C1171" s="50" t="s">
        <v>26</v>
      </c>
      <c r="D1171" s="51">
        <v>90584.77</v>
      </c>
      <c r="E1171" s="51" t="str">
        <f t="shared" si="1"/>
        <v>₹1,087,017.24</v>
      </c>
      <c r="F1171" s="52" t="str">
        <f t="shared" si="2"/>
        <v>30.0%</v>
      </c>
      <c r="G1171" s="51" t="str">
        <f t="shared" si="3"/>
        <v>₹326,105.17</v>
      </c>
      <c r="H1171" s="51" t="str">
        <f t="shared" si="4"/>
        <v>₹27,175.43</v>
      </c>
      <c r="I1171" s="51" t="str">
        <f>79529.98-H1171</f>
        <v>₹52,354.55</v>
      </c>
    </row>
    <row r="1172" ht="15.75" customHeight="1">
      <c r="A1172" s="53" t="s">
        <v>1236</v>
      </c>
      <c r="B1172" s="53" t="s">
        <v>36</v>
      </c>
      <c r="C1172" s="53" t="s">
        <v>33</v>
      </c>
      <c r="D1172" s="54">
        <v>90607.95</v>
      </c>
      <c r="E1172" s="54" t="str">
        <f t="shared" si="1"/>
        <v>₹1,087,295.40</v>
      </c>
      <c r="F1172" s="55" t="str">
        <f t="shared" si="2"/>
        <v>30.0%</v>
      </c>
      <c r="G1172" s="54" t="str">
        <f t="shared" si="3"/>
        <v>₹326,188.62</v>
      </c>
      <c r="H1172" s="54" t="str">
        <f t="shared" si="4"/>
        <v>₹27,182.39</v>
      </c>
      <c r="I1172" s="54" t="str">
        <f>79549.76-H1172</f>
        <v>₹52,367.38</v>
      </c>
    </row>
    <row r="1173" ht="15.75" customHeight="1">
      <c r="A1173" s="50" t="s">
        <v>1237</v>
      </c>
      <c r="B1173" s="50" t="s">
        <v>29</v>
      </c>
      <c r="C1173" s="50" t="s">
        <v>30</v>
      </c>
      <c r="D1173" s="51">
        <v>90631.13</v>
      </c>
      <c r="E1173" s="51" t="str">
        <f t="shared" si="1"/>
        <v>₹1,087,573.56</v>
      </c>
      <c r="F1173" s="52" t="str">
        <f t="shared" si="2"/>
        <v>30.0%</v>
      </c>
      <c r="G1173" s="51" t="str">
        <f t="shared" si="3"/>
        <v>₹326,272.07</v>
      </c>
      <c r="H1173" s="51" t="str">
        <f t="shared" si="4"/>
        <v>₹27,189.34</v>
      </c>
      <c r="I1173" s="51" t="str">
        <f>79569.54-H1173</f>
        <v>₹52,380.20</v>
      </c>
    </row>
    <row r="1174" ht="15.75" customHeight="1">
      <c r="A1174" s="53" t="s">
        <v>1238</v>
      </c>
      <c r="B1174" s="53" t="s">
        <v>51</v>
      </c>
      <c r="C1174" s="53" t="s">
        <v>33</v>
      </c>
      <c r="D1174" s="54">
        <v>90654.31</v>
      </c>
      <c r="E1174" s="54" t="str">
        <f t="shared" si="1"/>
        <v>₹1,087,851.72</v>
      </c>
      <c r="F1174" s="55" t="str">
        <f t="shared" si="2"/>
        <v>30.0%</v>
      </c>
      <c r="G1174" s="54" t="str">
        <f t="shared" si="3"/>
        <v>₹326,355.52</v>
      </c>
      <c r="H1174" s="54" t="str">
        <f t="shared" si="4"/>
        <v>₹27,196.29</v>
      </c>
      <c r="I1174" s="54" t="str">
        <f>79589.33-H1174</f>
        <v>₹52,393.04</v>
      </c>
    </row>
    <row r="1175" ht="15.75" customHeight="1">
      <c r="A1175" s="50" t="s">
        <v>1239</v>
      </c>
      <c r="B1175" s="50" t="s">
        <v>53</v>
      </c>
      <c r="C1175" s="50" t="s">
        <v>54</v>
      </c>
      <c r="D1175" s="51">
        <v>101370.57</v>
      </c>
      <c r="E1175" s="51" t="str">
        <f t="shared" si="1"/>
        <v>₹1,216,446.84</v>
      </c>
      <c r="F1175" s="52" t="str">
        <f t="shared" si="2"/>
        <v>30.0%</v>
      </c>
      <c r="G1175" s="51" t="str">
        <f t="shared" si="3"/>
        <v>₹364,934.05</v>
      </c>
      <c r="H1175" s="51" t="str">
        <f t="shared" si="4"/>
        <v>₹30,411.17</v>
      </c>
      <c r="I1175" s="51" t="str">
        <f>90302.19-H1175</f>
        <v>₹59,891.02</v>
      </c>
    </row>
    <row r="1176" ht="15.75" customHeight="1">
      <c r="A1176" s="53" t="s">
        <v>1240</v>
      </c>
      <c r="B1176" s="53" t="s">
        <v>53</v>
      </c>
      <c r="C1176" s="53" t="s">
        <v>54</v>
      </c>
      <c r="D1176" s="54">
        <v>90700.66</v>
      </c>
      <c r="E1176" s="54" t="str">
        <f t="shared" si="1"/>
        <v>₹1,088,407.92</v>
      </c>
      <c r="F1176" s="55" t="str">
        <f t="shared" si="2"/>
        <v>30.0%</v>
      </c>
      <c r="G1176" s="54" t="str">
        <f t="shared" si="3"/>
        <v>₹326,522.38</v>
      </c>
      <c r="H1176" s="54" t="str">
        <f t="shared" si="4"/>
        <v>₹27,210.20</v>
      </c>
      <c r="I1176" s="54" t="str">
        <f>79628.88-H1176</f>
        <v>₹52,418.68</v>
      </c>
    </row>
    <row r="1177" ht="15.75" customHeight="1">
      <c r="A1177" s="50" t="s">
        <v>1241</v>
      </c>
      <c r="B1177" s="50" t="s">
        <v>51</v>
      </c>
      <c r="C1177" s="50" t="s">
        <v>26</v>
      </c>
      <c r="D1177" s="51">
        <v>90723.84</v>
      </c>
      <c r="E1177" s="51" t="str">
        <f t="shared" si="1"/>
        <v>₹1,088,686.08</v>
      </c>
      <c r="F1177" s="52" t="str">
        <f t="shared" si="2"/>
        <v>30.0%</v>
      </c>
      <c r="G1177" s="51" t="str">
        <f t="shared" si="3"/>
        <v>₹326,605.82</v>
      </c>
      <c r="H1177" s="51" t="str">
        <f t="shared" si="4"/>
        <v>₹27,217.15</v>
      </c>
      <c r="I1177" s="51" t="str">
        <f>79648.66-H1177</f>
        <v>₹52,431.51</v>
      </c>
    </row>
    <row r="1178" ht="15.75" customHeight="1">
      <c r="A1178" s="53" t="s">
        <v>1242</v>
      </c>
      <c r="B1178" s="53" t="s">
        <v>36</v>
      </c>
      <c r="C1178" s="53" t="s">
        <v>37</v>
      </c>
      <c r="D1178" s="54">
        <v>90747.02</v>
      </c>
      <c r="E1178" s="54" t="str">
        <f t="shared" si="1"/>
        <v>₹1,088,964.24</v>
      </c>
      <c r="F1178" s="55" t="str">
        <f t="shared" si="2"/>
        <v>30.0%</v>
      </c>
      <c r="G1178" s="54" t="str">
        <f t="shared" si="3"/>
        <v>₹326,689.27</v>
      </c>
      <c r="H1178" s="54" t="str">
        <f t="shared" si="4"/>
        <v>₹27,224.11</v>
      </c>
      <c r="I1178" s="54" t="str">
        <f>79668.45-H1178</f>
        <v>₹52,444.34</v>
      </c>
    </row>
    <row r="1179" ht="15.75" customHeight="1">
      <c r="A1179" s="50" t="s">
        <v>1243</v>
      </c>
      <c r="B1179" s="50" t="s">
        <v>13</v>
      </c>
      <c r="C1179" s="50" t="s">
        <v>14</v>
      </c>
      <c r="D1179" s="51">
        <v>90770.2</v>
      </c>
      <c r="E1179" s="51" t="str">
        <f t="shared" si="1"/>
        <v>₹1,089,242.40</v>
      </c>
      <c r="F1179" s="52" t="str">
        <f t="shared" si="2"/>
        <v>30.0%</v>
      </c>
      <c r="G1179" s="51" t="str">
        <f t="shared" si="3"/>
        <v>₹326,772.72</v>
      </c>
      <c r="H1179" s="51" t="str">
        <f t="shared" si="4"/>
        <v>₹27,231.06</v>
      </c>
      <c r="I1179" s="51" t="str">
        <f>76442.82-H1179</f>
        <v>₹49,211.76</v>
      </c>
    </row>
    <row r="1180" ht="15.75" customHeight="1">
      <c r="A1180" s="53" t="s">
        <v>1244</v>
      </c>
      <c r="B1180" s="53" t="s">
        <v>29</v>
      </c>
      <c r="C1180" s="53" t="s">
        <v>14</v>
      </c>
      <c r="D1180" s="54">
        <v>90793.37</v>
      </c>
      <c r="E1180" s="54" t="str">
        <f t="shared" si="1"/>
        <v>₹1,089,520.44</v>
      </c>
      <c r="F1180" s="55" t="str">
        <f t="shared" si="2"/>
        <v>30.0%</v>
      </c>
      <c r="G1180" s="54" t="str">
        <f t="shared" si="3"/>
        <v>₹326,856.13</v>
      </c>
      <c r="H1180" s="54" t="str">
        <f t="shared" si="4"/>
        <v>₹27,238.01</v>
      </c>
      <c r="I1180" s="54" t="str">
        <f>79708-H1180</f>
        <v>₹52,469.99</v>
      </c>
    </row>
    <row r="1181" ht="15.75" customHeight="1">
      <c r="A1181" s="50" t="s">
        <v>1245</v>
      </c>
      <c r="B1181" s="50" t="s">
        <v>13</v>
      </c>
      <c r="C1181" s="50" t="s">
        <v>33</v>
      </c>
      <c r="D1181" s="51">
        <v>90816.55</v>
      </c>
      <c r="E1181" s="51" t="str">
        <f t="shared" si="1"/>
        <v>₹1,089,798.60</v>
      </c>
      <c r="F1181" s="52" t="str">
        <f t="shared" si="2"/>
        <v>30.0%</v>
      </c>
      <c r="G1181" s="51" t="str">
        <f t="shared" si="3"/>
        <v>₹326,939.58</v>
      </c>
      <c r="H1181" s="51" t="str">
        <f t="shared" si="4"/>
        <v>₹27,244.97</v>
      </c>
      <c r="I1181" s="51" t="str">
        <f>79727.78-H1181</f>
        <v>₹52,482.82</v>
      </c>
    </row>
    <row r="1182" ht="15.75" customHeight="1">
      <c r="A1182" s="53" t="s">
        <v>1247</v>
      </c>
      <c r="B1182" s="53" t="s">
        <v>25</v>
      </c>
      <c r="C1182" s="53" t="s">
        <v>18</v>
      </c>
      <c r="D1182" s="54">
        <v>90839.73</v>
      </c>
      <c r="E1182" s="54" t="str">
        <f t="shared" si="1"/>
        <v>₹1,090,076.76</v>
      </c>
      <c r="F1182" s="55" t="str">
        <f t="shared" si="2"/>
        <v>30.0%</v>
      </c>
      <c r="G1182" s="54" t="str">
        <f t="shared" si="3"/>
        <v>₹327,023.03</v>
      </c>
      <c r="H1182" s="54" t="str">
        <f t="shared" si="4"/>
        <v>₹27,251.92</v>
      </c>
      <c r="I1182" s="54" t="str">
        <f>76205.29-H1182</f>
        <v>₹48,953.37</v>
      </c>
    </row>
    <row r="1183" ht="15.75" customHeight="1">
      <c r="A1183" s="50" t="s">
        <v>1248</v>
      </c>
      <c r="B1183" s="50" t="s">
        <v>29</v>
      </c>
      <c r="C1183" s="50" t="s">
        <v>26</v>
      </c>
      <c r="D1183" s="51">
        <v>90862.91</v>
      </c>
      <c r="E1183" s="51" t="str">
        <f t="shared" si="1"/>
        <v>₹1,090,354.92</v>
      </c>
      <c r="F1183" s="52" t="str">
        <f t="shared" si="2"/>
        <v>30.0%</v>
      </c>
      <c r="G1183" s="51" t="str">
        <f t="shared" si="3"/>
        <v>₹327,106.48</v>
      </c>
      <c r="H1183" s="51" t="str">
        <f t="shared" si="4"/>
        <v>₹27,258.87</v>
      </c>
      <c r="I1183" s="51" t="str">
        <f>79767.35-H1183</f>
        <v>₹52,508.48</v>
      </c>
    </row>
    <row r="1184" ht="15.75" customHeight="1">
      <c r="A1184" s="53" t="s">
        <v>1249</v>
      </c>
      <c r="B1184" s="53" t="s">
        <v>53</v>
      </c>
      <c r="C1184" s="53" t="s">
        <v>33</v>
      </c>
      <c r="D1184" s="54">
        <v>90886.08</v>
      </c>
      <c r="E1184" s="54" t="str">
        <f t="shared" si="1"/>
        <v>₹1,090,632.96</v>
      </c>
      <c r="F1184" s="55" t="str">
        <f t="shared" si="2"/>
        <v>30.0%</v>
      </c>
      <c r="G1184" s="54" t="str">
        <f t="shared" si="3"/>
        <v>₹327,189.89</v>
      </c>
      <c r="H1184" s="54" t="str">
        <f t="shared" si="4"/>
        <v>₹27,265.82</v>
      </c>
      <c r="I1184" s="54" t="str">
        <f>79787.12-H1184</f>
        <v>₹52,521.30</v>
      </c>
    </row>
    <row r="1185" ht="15.75" customHeight="1">
      <c r="A1185" s="50" t="s">
        <v>1250</v>
      </c>
      <c r="B1185" s="50" t="s">
        <v>51</v>
      </c>
      <c r="C1185" s="50" t="s">
        <v>14</v>
      </c>
      <c r="D1185" s="51">
        <v>90909.26</v>
      </c>
      <c r="E1185" s="51" t="str">
        <f t="shared" si="1"/>
        <v>₹1,090,911.12</v>
      </c>
      <c r="F1185" s="52" t="str">
        <f t="shared" si="2"/>
        <v>30.0%</v>
      </c>
      <c r="G1185" s="51" t="str">
        <f t="shared" si="3"/>
        <v>₹327,273.34</v>
      </c>
      <c r="H1185" s="51" t="str">
        <f t="shared" si="4"/>
        <v>₹27,272.78</v>
      </c>
      <c r="I1185" s="51" t="str">
        <f>79806.9-H1185</f>
        <v>₹52,534.12</v>
      </c>
    </row>
    <row r="1186" ht="15.75" customHeight="1">
      <c r="A1186" s="53" t="s">
        <v>1251</v>
      </c>
      <c r="B1186" s="53" t="s">
        <v>36</v>
      </c>
      <c r="C1186" s="53" t="s">
        <v>26</v>
      </c>
      <c r="D1186" s="54">
        <v>90932.44</v>
      </c>
      <c r="E1186" s="54" t="str">
        <f t="shared" si="1"/>
        <v>₹1,091,189.28</v>
      </c>
      <c r="F1186" s="55" t="str">
        <f t="shared" si="2"/>
        <v>30.0%</v>
      </c>
      <c r="G1186" s="54" t="str">
        <f t="shared" si="3"/>
        <v>₹327,356.78</v>
      </c>
      <c r="H1186" s="54" t="str">
        <f t="shared" si="4"/>
        <v>₹27,279.73</v>
      </c>
      <c r="I1186" s="54" t="str">
        <f>79826.69-H1186</f>
        <v>₹52,546.96</v>
      </c>
    </row>
    <row r="1187" ht="15.75" customHeight="1">
      <c r="A1187" s="50" t="s">
        <v>1252</v>
      </c>
      <c r="B1187" s="50" t="s">
        <v>13</v>
      </c>
      <c r="C1187" s="50" t="s">
        <v>54</v>
      </c>
      <c r="D1187" s="51">
        <v>90955.62</v>
      </c>
      <c r="E1187" s="51" t="str">
        <f t="shared" si="1"/>
        <v>₹1,091,467.44</v>
      </c>
      <c r="F1187" s="52" t="str">
        <f t="shared" si="2"/>
        <v>30.0%</v>
      </c>
      <c r="G1187" s="51" t="str">
        <f t="shared" si="3"/>
        <v>₹327,440.23</v>
      </c>
      <c r="H1187" s="51" t="str">
        <f t="shared" si="4"/>
        <v>₹27,286.69</v>
      </c>
      <c r="I1187" s="51" t="str">
        <f>79846.47-H1187</f>
        <v>₹52,559.78</v>
      </c>
    </row>
    <row r="1188" ht="15.75" customHeight="1">
      <c r="A1188" s="53" t="s">
        <v>1253</v>
      </c>
      <c r="B1188" s="53" t="s">
        <v>36</v>
      </c>
      <c r="C1188" s="53" t="s">
        <v>30</v>
      </c>
      <c r="D1188" s="54">
        <v>90978.79</v>
      </c>
      <c r="E1188" s="54" t="str">
        <f t="shared" si="1"/>
        <v>₹1,091,745.48</v>
      </c>
      <c r="F1188" s="55" t="str">
        <f t="shared" si="2"/>
        <v>30.0%</v>
      </c>
      <c r="G1188" s="54" t="str">
        <f t="shared" si="3"/>
        <v>₹327,523.64</v>
      </c>
      <c r="H1188" s="54" t="str">
        <f t="shared" si="4"/>
        <v>₹27,293.64</v>
      </c>
      <c r="I1188" s="54" t="str">
        <f>79866.24-H1188</f>
        <v>₹52,572.60</v>
      </c>
    </row>
    <row r="1189" ht="15.75" customHeight="1">
      <c r="A1189" s="50" t="s">
        <v>1254</v>
      </c>
      <c r="B1189" s="50" t="s">
        <v>29</v>
      </c>
      <c r="C1189" s="50" t="s">
        <v>54</v>
      </c>
      <c r="D1189" s="51">
        <v>91001.97</v>
      </c>
      <c r="E1189" s="51" t="str">
        <f t="shared" si="1"/>
        <v>₹1,092,023.64</v>
      </c>
      <c r="F1189" s="52" t="str">
        <f t="shared" si="2"/>
        <v>30.0%</v>
      </c>
      <c r="G1189" s="51" t="str">
        <f t="shared" si="3"/>
        <v>₹327,607.09</v>
      </c>
      <c r="H1189" s="51" t="str">
        <f t="shared" si="4"/>
        <v>₹27,300.59</v>
      </c>
      <c r="I1189" s="51" t="str">
        <f>79886.02-H1189</f>
        <v>₹52,585.43</v>
      </c>
    </row>
    <row r="1190" ht="15.75" customHeight="1">
      <c r="A1190" s="53" t="s">
        <v>1255</v>
      </c>
      <c r="B1190" s="53" t="s">
        <v>36</v>
      </c>
      <c r="C1190" s="53" t="s">
        <v>14</v>
      </c>
      <c r="D1190" s="54">
        <v>91025.15</v>
      </c>
      <c r="E1190" s="54" t="str">
        <f t="shared" si="1"/>
        <v>₹1,092,301.80</v>
      </c>
      <c r="F1190" s="55" t="str">
        <f t="shared" si="2"/>
        <v>30.0%</v>
      </c>
      <c r="G1190" s="54" t="str">
        <f t="shared" si="3"/>
        <v>₹327,690.54</v>
      </c>
      <c r="H1190" s="54" t="str">
        <f t="shared" si="4"/>
        <v>₹27,307.55</v>
      </c>
      <c r="I1190" s="54" t="str">
        <f>79905.81-H1190</f>
        <v>₹52,598.27</v>
      </c>
    </row>
    <row r="1191" ht="15.75" customHeight="1">
      <c r="A1191" s="50" t="s">
        <v>1256</v>
      </c>
      <c r="B1191" s="50" t="s">
        <v>51</v>
      </c>
      <c r="C1191" s="50" t="s">
        <v>37</v>
      </c>
      <c r="D1191" s="51">
        <v>91048.33</v>
      </c>
      <c r="E1191" s="51" t="str">
        <f t="shared" si="1"/>
        <v>₹1,092,579.96</v>
      </c>
      <c r="F1191" s="52" t="str">
        <f t="shared" si="2"/>
        <v>30.0%</v>
      </c>
      <c r="G1191" s="51" t="str">
        <f t="shared" si="3"/>
        <v>₹327,773.99</v>
      </c>
      <c r="H1191" s="51" t="str">
        <f t="shared" si="4"/>
        <v>₹27,314.50</v>
      </c>
      <c r="I1191" s="51" t="str">
        <f>79925.59-H1191</f>
        <v>₹52,611.09</v>
      </c>
    </row>
    <row r="1192" ht="15.75" customHeight="1">
      <c r="A1192" s="53" t="s">
        <v>1257</v>
      </c>
      <c r="B1192" s="53" t="s">
        <v>17</v>
      </c>
      <c r="C1192" s="53" t="s">
        <v>14</v>
      </c>
      <c r="D1192" s="54">
        <v>101895.04</v>
      </c>
      <c r="E1192" s="54" t="str">
        <f t="shared" si="1"/>
        <v>₹1,222,740.48</v>
      </c>
      <c r="F1192" s="55" t="str">
        <f t="shared" si="2"/>
        <v>30.0%</v>
      </c>
      <c r="G1192" s="54" t="str">
        <f t="shared" si="3"/>
        <v>₹366,822.14</v>
      </c>
      <c r="H1192" s="54" t="str">
        <f t="shared" si="4"/>
        <v>₹30,568.51</v>
      </c>
      <c r="I1192" s="54" t="str">
        <f>90768.9-H1192</f>
        <v>₹60,200.39</v>
      </c>
    </row>
    <row r="1193" ht="15.75" customHeight="1">
      <c r="A1193" s="50" t="s">
        <v>1258</v>
      </c>
      <c r="B1193" s="50" t="s">
        <v>36</v>
      </c>
      <c r="C1193" s="50" t="s">
        <v>30</v>
      </c>
      <c r="D1193" s="51">
        <v>91094.68</v>
      </c>
      <c r="E1193" s="51" t="str">
        <f t="shared" si="1"/>
        <v>₹1,093,136.16</v>
      </c>
      <c r="F1193" s="52" t="str">
        <f t="shared" si="2"/>
        <v>30.0%</v>
      </c>
      <c r="G1193" s="51" t="str">
        <f t="shared" si="3"/>
        <v>₹327,940.85</v>
      </c>
      <c r="H1193" s="51" t="str">
        <f t="shared" si="4"/>
        <v>₹27,328.40</v>
      </c>
      <c r="I1193" s="51" t="str">
        <f>79965.14-H1193</f>
        <v>₹52,636.74</v>
      </c>
    </row>
    <row r="1194" ht="15.75" customHeight="1">
      <c r="A1194" s="53" t="s">
        <v>1259</v>
      </c>
      <c r="B1194" s="53" t="s">
        <v>36</v>
      </c>
      <c r="C1194" s="53" t="s">
        <v>30</v>
      </c>
      <c r="D1194" s="54">
        <v>91117.86</v>
      </c>
      <c r="E1194" s="54" t="str">
        <f t="shared" si="1"/>
        <v>₹1,093,414.32</v>
      </c>
      <c r="F1194" s="55" t="str">
        <f t="shared" si="2"/>
        <v>30.0%</v>
      </c>
      <c r="G1194" s="54" t="str">
        <f t="shared" si="3"/>
        <v>₹328,024.30</v>
      </c>
      <c r="H1194" s="54" t="str">
        <f t="shared" si="4"/>
        <v>₹27,335.36</v>
      </c>
      <c r="I1194" s="54" t="str">
        <f>79984.93-H1194</f>
        <v>₹52,649.57</v>
      </c>
    </row>
    <row r="1195" ht="15.75" customHeight="1">
      <c r="A1195" s="50" t="s">
        <v>1260</v>
      </c>
      <c r="B1195" s="50" t="s">
        <v>13</v>
      </c>
      <c r="C1195" s="50" t="s">
        <v>54</v>
      </c>
      <c r="D1195" s="51">
        <v>91141.04</v>
      </c>
      <c r="E1195" s="51" t="str">
        <f t="shared" si="1"/>
        <v>₹1,093,692.48</v>
      </c>
      <c r="F1195" s="52" t="str">
        <f t="shared" si="2"/>
        <v>30.0%</v>
      </c>
      <c r="G1195" s="51" t="str">
        <f t="shared" si="3"/>
        <v>₹328,107.74</v>
      </c>
      <c r="H1195" s="51" t="str">
        <f t="shared" si="4"/>
        <v>₹27,342.31</v>
      </c>
      <c r="I1195" s="51" t="str">
        <f>80004.71-H1195</f>
        <v>₹52,662.40</v>
      </c>
    </row>
    <row r="1196" ht="15.75" customHeight="1">
      <c r="A1196" s="53" t="s">
        <v>1261</v>
      </c>
      <c r="B1196" s="53" t="s">
        <v>13</v>
      </c>
      <c r="C1196" s="53" t="s">
        <v>18</v>
      </c>
      <c r="D1196" s="54">
        <v>91164.22</v>
      </c>
      <c r="E1196" s="54" t="str">
        <f t="shared" si="1"/>
        <v>₹1,093,970.64</v>
      </c>
      <c r="F1196" s="55" t="str">
        <f t="shared" si="2"/>
        <v>30.0%</v>
      </c>
      <c r="G1196" s="54" t="str">
        <f t="shared" si="3"/>
        <v>₹328,191.19</v>
      </c>
      <c r="H1196" s="54" t="str">
        <f t="shared" si="4"/>
        <v>₹27,349.27</v>
      </c>
      <c r="I1196" s="54" t="str">
        <f>80024.49-H1196</f>
        <v>₹52,675.22</v>
      </c>
    </row>
    <row r="1197" ht="15.75" customHeight="1">
      <c r="A1197" s="50" t="s">
        <v>1262</v>
      </c>
      <c r="B1197" s="50" t="s">
        <v>25</v>
      </c>
      <c r="C1197" s="50" t="s">
        <v>26</v>
      </c>
      <c r="D1197" s="51">
        <v>91187.39</v>
      </c>
      <c r="E1197" s="51" t="str">
        <f t="shared" si="1"/>
        <v>₹1,094,248.68</v>
      </c>
      <c r="F1197" s="52" t="str">
        <f t="shared" si="2"/>
        <v>30.0%</v>
      </c>
      <c r="G1197" s="51" t="str">
        <f t="shared" si="3"/>
        <v>₹328,274.60</v>
      </c>
      <c r="H1197" s="51" t="str">
        <f t="shared" si="4"/>
        <v>₹27,356.22</v>
      </c>
      <c r="I1197" s="51" t="str">
        <f>76552.95-H1197</f>
        <v>₹49,196.73</v>
      </c>
    </row>
    <row r="1198" ht="15.75" customHeight="1">
      <c r="A1198" s="53" t="s">
        <v>1263</v>
      </c>
      <c r="B1198" s="53" t="s">
        <v>36</v>
      </c>
      <c r="C1198" s="53" t="s">
        <v>30</v>
      </c>
      <c r="D1198" s="54">
        <v>91210.57</v>
      </c>
      <c r="E1198" s="54" t="str">
        <f t="shared" si="1"/>
        <v>₹1,094,526.84</v>
      </c>
      <c r="F1198" s="55" t="str">
        <f t="shared" si="2"/>
        <v>30.0%</v>
      </c>
      <c r="G1198" s="54" t="str">
        <f t="shared" si="3"/>
        <v>₹328,358.05</v>
      </c>
      <c r="H1198" s="54" t="str">
        <f t="shared" si="4"/>
        <v>₹27,363.17</v>
      </c>
      <c r="I1198" s="54" t="str">
        <f>80064.05-H1198</f>
        <v>₹52,700.88</v>
      </c>
    </row>
    <row r="1199" ht="15.75" customHeight="1">
      <c r="A1199" s="50" t="s">
        <v>1264</v>
      </c>
      <c r="B1199" s="50" t="s">
        <v>25</v>
      </c>
      <c r="C1199" s="50" t="s">
        <v>26</v>
      </c>
      <c r="D1199" s="51">
        <v>91233.75</v>
      </c>
      <c r="E1199" s="51" t="str">
        <f t="shared" si="1"/>
        <v>₹1,094,805.00</v>
      </c>
      <c r="F1199" s="52" t="str">
        <f t="shared" si="2"/>
        <v>30.0%</v>
      </c>
      <c r="G1199" s="51" t="str">
        <f t="shared" si="3"/>
        <v>₹328,441.50</v>
      </c>
      <c r="H1199" s="51" t="str">
        <f t="shared" si="4"/>
        <v>₹27,370.13</v>
      </c>
      <c r="I1199" s="51" t="str">
        <f>80083.83-H1199</f>
        <v>₹52,713.71</v>
      </c>
    </row>
    <row r="1200" ht="15.75" customHeight="1">
      <c r="A1200" s="53" t="s">
        <v>1265</v>
      </c>
      <c r="B1200" s="53" t="s">
        <v>25</v>
      </c>
      <c r="C1200" s="53" t="s">
        <v>14</v>
      </c>
      <c r="D1200" s="54">
        <v>91256.93</v>
      </c>
      <c r="E1200" s="54" t="str">
        <f t="shared" si="1"/>
        <v>₹1,095,083.16</v>
      </c>
      <c r="F1200" s="55" t="str">
        <f t="shared" si="2"/>
        <v>30.0%</v>
      </c>
      <c r="G1200" s="54" t="str">
        <f t="shared" si="3"/>
        <v>₹328,524.95</v>
      </c>
      <c r="H1200" s="54" t="str">
        <f t="shared" si="4"/>
        <v>₹27,377.08</v>
      </c>
      <c r="I1200" s="54" t="str">
        <f>80103.61-H1200</f>
        <v>₹52,726.53</v>
      </c>
    </row>
    <row r="1201" ht="15.75" customHeight="1">
      <c r="A1201" s="50" t="s">
        <v>1266</v>
      </c>
      <c r="B1201" s="50" t="s">
        <v>36</v>
      </c>
      <c r="C1201" s="50" t="s">
        <v>54</v>
      </c>
      <c r="D1201" s="51">
        <v>91279.28</v>
      </c>
      <c r="E1201" s="51" t="str">
        <f t="shared" si="1"/>
        <v>₹1,095,351.36</v>
      </c>
      <c r="F1201" s="52" t="str">
        <f t="shared" si="2"/>
        <v>30.0%</v>
      </c>
      <c r="G1201" s="51" t="str">
        <f t="shared" si="3"/>
        <v>₹328,605.41</v>
      </c>
      <c r="H1201" s="51" t="str">
        <f t="shared" si="4"/>
        <v>₹27,383.78</v>
      </c>
      <c r="I1201" s="51" t="str">
        <f>80122.56-H1201</f>
        <v>₹52,738.78</v>
      </c>
    </row>
    <row r="1202" ht="15.75" customHeight="1">
      <c r="A1202" s="53" t="s">
        <v>1267</v>
      </c>
      <c r="B1202" s="53" t="s">
        <v>36</v>
      </c>
      <c r="C1202" s="53" t="s">
        <v>14</v>
      </c>
      <c r="D1202" s="54">
        <v>91303.28</v>
      </c>
      <c r="E1202" s="54" t="str">
        <f t="shared" si="1"/>
        <v>₹1,095,639.36</v>
      </c>
      <c r="F1202" s="55" t="str">
        <f t="shared" si="2"/>
        <v>30.0%</v>
      </c>
      <c r="G1202" s="54" t="str">
        <f t="shared" si="3"/>
        <v>₹328,691.81</v>
      </c>
      <c r="H1202" s="54" t="str">
        <f t="shared" si="4"/>
        <v>₹27,390.98</v>
      </c>
      <c r="I1202" s="54" t="str">
        <f>80143.17-H1202</f>
        <v>₹52,752.19</v>
      </c>
    </row>
    <row r="1203" ht="15.75" customHeight="1">
      <c r="A1203" s="50" t="s">
        <v>1268</v>
      </c>
      <c r="B1203" s="50" t="s">
        <v>29</v>
      </c>
      <c r="C1203" s="50" t="s">
        <v>54</v>
      </c>
      <c r="D1203" s="51">
        <v>91326.46</v>
      </c>
      <c r="E1203" s="51" t="str">
        <f t="shared" si="1"/>
        <v>₹1,095,917.52</v>
      </c>
      <c r="F1203" s="52" t="str">
        <f t="shared" si="2"/>
        <v>30.0%</v>
      </c>
      <c r="G1203" s="51" t="str">
        <f t="shared" si="3"/>
        <v>₹328,775.26</v>
      </c>
      <c r="H1203" s="51" t="str">
        <f t="shared" si="4"/>
        <v>₹27,397.94</v>
      </c>
      <c r="I1203" s="51" t="str">
        <f>80162.95-H1203</f>
        <v>₹52,765.01</v>
      </c>
    </row>
    <row r="1204" ht="15.75" customHeight="1">
      <c r="A1204" s="53" t="s">
        <v>1269</v>
      </c>
      <c r="B1204" s="53" t="s">
        <v>13</v>
      </c>
      <c r="C1204" s="53" t="s">
        <v>54</v>
      </c>
      <c r="D1204" s="54">
        <v>91349.64</v>
      </c>
      <c r="E1204" s="54" t="str">
        <f t="shared" si="1"/>
        <v>₹1,096,195.68</v>
      </c>
      <c r="F1204" s="55" t="str">
        <f t="shared" si="2"/>
        <v>30.0%</v>
      </c>
      <c r="G1204" s="54" t="str">
        <f t="shared" si="3"/>
        <v>₹328,858.70</v>
      </c>
      <c r="H1204" s="54" t="str">
        <f t="shared" si="4"/>
        <v>₹27,404.89</v>
      </c>
      <c r="I1204" s="54" t="str">
        <f>80182.73-H1204</f>
        <v>₹52,777.84</v>
      </c>
    </row>
    <row r="1205" ht="15.75" customHeight="1">
      <c r="A1205" s="50" t="s">
        <v>1270</v>
      </c>
      <c r="B1205" s="50" t="s">
        <v>13</v>
      </c>
      <c r="C1205" s="50" t="s">
        <v>37</v>
      </c>
      <c r="D1205" s="51">
        <v>91372.82</v>
      </c>
      <c r="E1205" s="51" t="str">
        <f t="shared" si="1"/>
        <v>₹1,096,473.84</v>
      </c>
      <c r="F1205" s="52" t="str">
        <f t="shared" si="2"/>
        <v>30.0%</v>
      </c>
      <c r="G1205" s="51" t="str">
        <f t="shared" si="3"/>
        <v>₹328,942.15</v>
      </c>
      <c r="H1205" s="51" t="str">
        <f t="shared" si="4"/>
        <v>₹27,411.85</v>
      </c>
      <c r="I1205" s="51" t="str">
        <f>80202.51-H1205</f>
        <v>₹52,790.66</v>
      </c>
    </row>
    <row r="1206" ht="15.75" customHeight="1">
      <c r="A1206" s="53" t="s">
        <v>1271</v>
      </c>
      <c r="B1206" s="53" t="s">
        <v>53</v>
      </c>
      <c r="C1206" s="53" t="s">
        <v>26</v>
      </c>
      <c r="D1206" s="54">
        <v>91395.99</v>
      </c>
      <c r="E1206" s="54" t="str">
        <f t="shared" si="1"/>
        <v>₹1,096,751.88</v>
      </c>
      <c r="F1206" s="55" t="str">
        <f t="shared" si="2"/>
        <v>30.0%</v>
      </c>
      <c r="G1206" s="54" t="str">
        <f t="shared" si="3"/>
        <v>₹329,025.56</v>
      </c>
      <c r="H1206" s="54" t="str">
        <f t="shared" si="4"/>
        <v>₹27,418.80</v>
      </c>
      <c r="I1206" s="54" t="str">
        <f>80222.28-H1206</f>
        <v>₹52,803.48</v>
      </c>
    </row>
    <row r="1207" ht="15.75" customHeight="1">
      <c r="A1207" s="50" t="s">
        <v>1272</v>
      </c>
      <c r="B1207" s="50" t="s">
        <v>17</v>
      </c>
      <c r="C1207" s="50" t="s">
        <v>37</v>
      </c>
      <c r="D1207" s="51">
        <v>91419.17</v>
      </c>
      <c r="E1207" s="51" t="str">
        <f t="shared" si="1"/>
        <v>₹1,097,030.04</v>
      </c>
      <c r="F1207" s="52" t="str">
        <f t="shared" si="2"/>
        <v>30.0%</v>
      </c>
      <c r="G1207" s="51" t="str">
        <f t="shared" si="3"/>
        <v>₹329,109.01</v>
      </c>
      <c r="H1207" s="51" t="str">
        <f t="shared" si="4"/>
        <v>₹27,425.75</v>
      </c>
      <c r="I1207" s="51" t="str">
        <f>80242.07-H1207</f>
        <v>₹52,816.32</v>
      </c>
    </row>
    <row r="1208" ht="15.75" customHeight="1">
      <c r="A1208" s="53" t="s">
        <v>1273</v>
      </c>
      <c r="B1208" s="53" t="s">
        <v>51</v>
      </c>
      <c r="C1208" s="53" t="s">
        <v>37</v>
      </c>
      <c r="D1208" s="54">
        <v>91442.35</v>
      </c>
      <c r="E1208" s="54" t="str">
        <f t="shared" si="1"/>
        <v>₹1,097,308.20</v>
      </c>
      <c r="F1208" s="55" t="str">
        <f t="shared" si="2"/>
        <v>30.0%</v>
      </c>
      <c r="G1208" s="54" t="str">
        <f t="shared" si="3"/>
        <v>₹329,192.46</v>
      </c>
      <c r="H1208" s="54" t="str">
        <f t="shared" si="4"/>
        <v>₹27,432.71</v>
      </c>
      <c r="I1208" s="54" t="str">
        <f>80261.85-H1208</f>
        <v>₹52,829.15</v>
      </c>
    </row>
    <row r="1209" ht="15.75" customHeight="1">
      <c r="A1209" s="50" t="s">
        <v>1274</v>
      </c>
      <c r="B1209" s="50" t="s">
        <v>53</v>
      </c>
      <c r="C1209" s="50" t="s">
        <v>37</v>
      </c>
      <c r="D1209" s="51">
        <v>91465.53</v>
      </c>
      <c r="E1209" s="51" t="str">
        <f t="shared" si="1"/>
        <v>₹1,097,586.36</v>
      </c>
      <c r="F1209" s="52" t="str">
        <f t="shared" si="2"/>
        <v>30.0%</v>
      </c>
      <c r="G1209" s="51" t="str">
        <f t="shared" si="3"/>
        <v>₹329,275.91</v>
      </c>
      <c r="H1209" s="51" t="str">
        <f t="shared" si="4"/>
        <v>₹27,439.66</v>
      </c>
      <c r="I1209" s="51" t="str">
        <f>80281.63-H1209</f>
        <v>₹52,841.97</v>
      </c>
    </row>
    <row r="1210" ht="15.75" customHeight="1">
      <c r="A1210" s="53" t="s">
        <v>1275</v>
      </c>
      <c r="B1210" s="53" t="s">
        <v>51</v>
      </c>
      <c r="C1210" s="53" t="s">
        <v>33</v>
      </c>
      <c r="D1210" s="54">
        <v>91488.7</v>
      </c>
      <c r="E1210" s="54" t="str">
        <f t="shared" si="1"/>
        <v>₹1,097,864.40</v>
      </c>
      <c r="F1210" s="55" t="str">
        <f t="shared" si="2"/>
        <v>30.0%</v>
      </c>
      <c r="G1210" s="54" t="str">
        <f t="shared" si="3"/>
        <v>₹329,359.32</v>
      </c>
      <c r="H1210" s="54" t="str">
        <f t="shared" si="4"/>
        <v>₹27,446.61</v>
      </c>
      <c r="I1210" s="54" t="str">
        <f>80301.4-H1210</f>
        <v>₹52,854.79</v>
      </c>
    </row>
    <row r="1211" ht="15.75" customHeight="1">
      <c r="A1211" s="50" t="s">
        <v>1276</v>
      </c>
      <c r="B1211" s="50" t="s">
        <v>25</v>
      </c>
      <c r="C1211" s="50" t="s">
        <v>14</v>
      </c>
      <c r="D1211" s="51">
        <v>91511.88</v>
      </c>
      <c r="E1211" s="51" t="str">
        <f t="shared" si="1"/>
        <v>₹1,098,142.56</v>
      </c>
      <c r="F1211" s="52" t="str">
        <f t="shared" si="2"/>
        <v>30.0%</v>
      </c>
      <c r="G1211" s="51" t="str">
        <f t="shared" si="3"/>
        <v>₹329,442.77</v>
      </c>
      <c r="H1211" s="51" t="str">
        <f t="shared" si="4"/>
        <v>₹27,453.56</v>
      </c>
      <c r="I1211" s="51" t="str">
        <f>76877.44-H1211</f>
        <v>₹49,423.88</v>
      </c>
    </row>
    <row r="1212" ht="15.75" customHeight="1">
      <c r="A1212" s="53" t="s">
        <v>1277</v>
      </c>
      <c r="B1212" s="53" t="s">
        <v>17</v>
      </c>
      <c r="C1212" s="53" t="s">
        <v>37</v>
      </c>
      <c r="D1212" s="54">
        <v>91535.06</v>
      </c>
      <c r="E1212" s="54" t="str">
        <f t="shared" si="1"/>
        <v>₹1,098,420.72</v>
      </c>
      <c r="F1212" s="55" t="str">
        <f t="shared" si="2"/>
        <v>30.0%</v>
      </c>
      <c r="G1212" s="54" t="str">
        <f t="shared" si="3"/>
        <v>₹329,526.22</v>
      </c>
      <c r="H1212" s="54" t="str">
        <f t="shared" si="4"/>
        <v>₹27,460.52</v>
      </c>
      <c r="I1212" s="54" t="str">
        <f>80340.97-H1212</f>
        <v>₹52,880.45</v>
      </c>
    </row>
    <row r="1213" ht="15.75" customHeight="1">
      <c r="A1213" s="50" t="s">
        <v>1278</v>
      </c>
      <c r="B1213" s="50" t="s">
        <v>51</v>
      </c>
      <c r="C1213" s="50" t="s">
        <v>33</v>
      </c>
      <c r="D1213" s="51">
        <v>91558.24</v>
      </c>
      <c r="E1213" s="51" t="str">
        <f t="shared" si="1"/>
        <v>₹1,098,698.88</v>
      </c>
      <c r="F1213" s="52" t="str">
        <f t="shared" si="2"/>
        <v>30.0%</v>
      </c>
      <c r="G1213" s="51" t="str">
        <f t="shared" si="3"/>
        <v>₹329,609.66</v>
      </c>
      <c r="H1213" s="51" t="str">
        <f t="shared" si="4"/>
        <v>₹27,467.47</v>
      </c>
      <c r="I1213" s="51" t="str">
        <f>80360.75-H1213</f>
        <v>₹52,893.28</v>
      </c>
    </row>
    <row r="1214" ht="15.75" customHeight="1">
      <c r="A1214" s="53" t="s">
        <v>1279</v>
      </c>
      <c r="B1214" s="53" t="s">
        <v>53</v>
      </c>
      <c r="C1214" s="53" t="s">
        <v>26</v>
      </c>
      <c r="D1214" s="54">
        <v>91581.41</v>
      </c>
      <c r="E1214" s="54" t="str">
        <f t="shared" si="1"/>
        <v>₹1,098,976.92</v>
      </c>
      <c r="F1214" s="55" t="str">
        <f t="shared" si="2"/>
        <v>30.0%</v>
      </c>
      <c r="G1214" s="54" t="str">
        <f t="shared" si="3"/>
        <v>₹329,693.08</v>
      </c>
      <c r="H1214" s="54" t="str">
        <f t="shared" si="4"/>
        <v>₹27,474.42</v>
      </c>
      <c r="I1214" s="54" t="str">
        <f>80380.52-H1214</f>
        <v>₹52,906.10</v>
      </c>
    </row>
    <row r="1215" ht="15.75" customHeight="1">
      <c r="A1215" s="50" t="s">
        <v>1280</v>
      </c>
      <c r="B1215" s="50" t="s">
        <v>13</v>
      </c>
      <c r="C1215" s="50" t="s">
        <v>14</v>
      </c>
      <c r="D1215" s="51">
        <v>91604.59</v>
      </c>
      <c r="E1215" s="51" t="str">
        <f t="shared" si="1"/>
        <v>₹1,099,255.08</v>
      </c>
      <c r="F1215" s="52" t="str">
        <f t="shared" si="2"/>
        <v>30.0%</v>
      </c>
      <c r="G1215" s="51" t="str">
        <f t="shared" si="3"/>
        <v>₹329,776.52</v>
      </c>
      <c r="H1215" s="51" t="str">
        <f t="shared" si="4"/>
        <v>₹27,481.38</v>
      </c>
      <c r="I1215" s="51" t="str">
        <f>80400.31-H1215</f>
        <v>₹52,918.93</v>
      </c>
    </row>
    <row r="1216" ht="15.75" customHeight="1">
      <c r="A1216" s="53" t="s">
        <v>1281</v>
      </c>
      <c r="B1216" s="53" t="s">
        <v>13</v>
      </c>
      <c r="C1216" s="53" t="s">
        <v>37</v>
      </c>
      <c r="D1216" s="54">
        <v>91627.77</v>
      </c>
      <c r="E1216" s="54" t="str">
        <f t="shared" si="1"/>
        <v>₹1,099,533.24</v>
      </c>
      <c r="F1216" s="55" t="str">
        <f t="shared" si="2"/>
        <v>30.0%</v>
      </c>
      <c r="G1216" s="54" t="str">
        <f t="shared" si="3"/>
        <v>₹329,859.97</v>
      </c>
      <c r="H1216" s="54" t="str">
        <f t="shared" si="4"/>
        <v>₹27,488.33</v>
      </c>
      <c r="I1216" s="54" t="str">
        <f>80420.09-H1216</f>
        <v>₹52,931.76</v>
      </c>
    </row>
    <row r="1217" ht="15.75" customHeight="1">
      <c r="A1217" s="50" t="s">
        <v>1282</v>
      </c>
      <c r="B1217" s="50" t="s">
        <v>51</v>
      </c>
      <c r="C1217" s="50" t="s">
        <v>18</v>
      </c>
      <c r="D1217" s="51">
        <v>91650.95</v>
      </c>
      <c r="E1217" s="51" t="str">
        <f t="shared" si="1"/>
        <v>₹1,099,811.40</v>
      </c>
      <c r="F1217" s="52" t="str">
        <f t="shared" si="2"/>
        <v>30.0%</v>
      </c>
      <c r="G1217" s="51" t="str">
        <f t="shared" si="3"/>
        <v>₹329,943.42</v>
      </c>
      <c r="H1217" s="51" t="str">
        <f t="shared" si="4"/>
        <v>₹27,495.29</v>
      </c>
      <c r="I1217" s="51" t="str">
        <f>80439.87-H1217</f>
        <v>₹52,944.59</v>
      </c>
    </row>
    <row r="1218" ht="15.75" customHeight="1">
      <c r="A1218" s="53" t="s">
        <v>1283</v>
      </c>
      <c r="B1218" s="53" t="s">
        <v>17</v>
      </c>
      <c r="C1218" s="53" t="s">
        <v>18</v>
      </c>
      <c r="D1218" s="54">
        <v>91674.13</v>
      </c>
      <c r="E1218" s="54" t="str">
        <f t="shared" si="1"/>
        <v>₹1,100,089.56</v>
      </c>
      <c r="F1218" s="55" t="str">
        <f t="shared" si="2"/>
        <v>30.0%</v>
      </c>
      <c r="G1218" s="54" t="str">
        <f t="shared" si="3"/>
        <v>₹330,026.87</v>
      </c>
      <c r="H1218" s="54" t="str">
        <f t="shared" si="4"/>
        <v>₹27,502.24</v>
      </c>
      <c r="I1218" s="54" t="str">
        <f>80459.65-H1218</f>
        <v>₹52,957.41</v>
      </c>
    </row>
    <row r="1219" ht="15.75" customHeight="1">
      <c r="A1219" s="50" t="s">
        <v>1284</v>
      </c>
      <c r="B1219" s="50" t="s">
        <v>13</v>
      </c>
      <c r="C1219" s="50" t="s">
        <v>33</v>
      </c>
      <c r="D1219" s="51">
        <v>91697.3</v>
      </c>
      <c r="E1219" s="51" t="str">
        <f t="shared" si="1"/>
        <v>₹1,100,367.60</v>
      </c>
      <c r="F1219" s="52" t="str">
        <f t="shared" si="2"/>
        <v>30.0%</v>
      </c>
      <c r="G1219" s="51" t="str">
        <f t="shared" si="3"/>
        <v>₹330,110.28</v>
      </c>
      <c r="H1219" s="51" t="str">
        <f t="shared" si="4"/>
        <v>₹27,509.19</v>
      </c>
      <c r="I1219" s="51" t="str">
        <f>80479.43-H1219</f>
        <v>₹52,970.24</v>
      </c>
    </row>
    <row r="1220" ht="15.75" customHeight="1">
      <c r="A1220" s="53" t="s">
        <v>1285</v>
      </c>
      <c r="B1220" s="53" t="s">
        <v>17</v>
      </c>
      <c r="C1220" s="53" t="s">
        <v>14</v>
      </c>
      <c r="D1220" s="54">
        <v>91720.48</v>
      </c>
      <c r="E1220" s="54" t="str">
        <f t="shared" si="1"/>
        <v>₹1,100,645.76</v>
      </c>
      <c r="F1220" s="55" t="str">
        <f t="shared" si="2"/>
        <v>30.0%</v>
      </c>
      <c r="G1220" s="54" t="str">
        <f t="shared" si="3"/>
        <v>₹330,193.73</v>
      </c>
      <c r="H1220" s="54" t="str">
        <f t="shared" si="4"/>
        <v>₹27,516.14</v>
      </c>
      <c r="I1220" s="54" t="str">
        <f>80499.21-H1220</f>
        <v>₹52,983.07</v>
      </c>
    </row>
    <row r="1221" ht="15.75" customHeight="1">
      <c r="A1221" s="50" t="s">
        <v>1286</v>
      </c>
      <c r="B1221" s="50" t="s">
        <v>17</v>
      </c>
      <c r="C1221" s="50" t="s">
        <v>26</v>
      </c>
      <c r="D1221" s="51">
        <v>91743.66</v>
      </c>
      <c r="E1221" s="51" t="str">
        <f t="shared" si="1"/>
        <v>₹1,100,923.92</v>
      </c>
      <c r="F1221" s="52" t="str">
        <f t="shared" si="2"/>
        <v>30.0%</v>
      </c>
      <c r="G1221" s="51" t="str">
        <f t="shared" si="3"/>
        <v>₹330,277.18</v>
      </c>
      <c r="H1221" s="51" t="str">
        <f t="shared" si="4"/>
        <v>₹27,523.10</v>
      </c>
      <c r="I1221" s="51" t="str">
        <f>80518.99-H1221</f>
        <v>₹52,995.89</v>
      </c>
    </row>
    <row r="1222" ht="15.75" customHeight="1">
      <c r="A1222" s="53" t="s">
        <v>1287</v>
      </c>
      <c r="B1222" s="53" t="s">
        <v>29</v>
      </c>
      <c r="C1222" s="53" t="s">
        <v>33</v>
      </c>
      <c r="D1222" s="54">
        <v>91766.84</v>
      </c>
      <c r="E1222" s="54" t="str">
        <f t="shared" si="1"/>
        <v>₹1,101,202.08</v>
      </c>
      <c r="F1222" s="55" t="str">
        <f t="shared" si="2"/>
        <v>30.0%</v>
      </c>
      <c r="G1222" s="54" t="str">
        <f t="shared" si="3"/>
        <v>₹330,360.62</v>
      </c>
      <c r="H1222" s="54" t="str">
        <f t="shared" si="4"/>
        <v>₹27,530.05</v>
      </c>
      <c r="I1222" s="54" t="str">
        <f>80538.77-H1222</f>
        <v>₹53,008.72</v>
      </c>
    </row>
    <row r="1223" ht="15.75" customHeight="1">
      <c r="A1223" s="50" t="s">
        <v>1288</v>
      </c>
      <c r="B1223" s="50" t="s">
        <v>51</v>
      </c>
      <c r="C1223" s="50" t="s">
        <v>18</v>
      </c>
      <c r="D1223" s="51">
        <v>91790.01</v>
      </c>
      <c r="E1223" s="51" t="str">
        <f t="shared" si="1"/>
        <v>₹1,101,480.12</v>
      </c>
      <c r="F1223" s="52" t="str">
        <f t="shared" si="2"/>
        <v>30.0%</v>
      </c>
      <c r="G1223" s="51" t="str">
        <f t="shared" si="3"/>
        <v>₹330,444.04</v>
      </c>
      <c r="H1223" s="51" t="str">
        <f t="shared" si="4"/>
        <v>₹27,537.00</v>
      </c>
      <c r="I1223" s="51" t="str">
        <f>80558.55-H1223</f>
        <v>₹53,021.55</v>
      </c>
    </row>
    <row r="1224" ht="15.75" customHeight="1">
      <c r="A1224" s="53" t="s">
        <v>1289</v>
      </c>
      <c r="B1224" s="53" t="s">
        <v>53</v>
      </c>
      <c r="C1224" s="53" t="s">
        <v>18</v>
      </c>
      <c r="D1224" s="54">
        <v>91813.19</v>
      </c>
      <c r="E1224" s="54" t="str">
        <f t="shared" si="1"/>
        <v>₹1,101,758.28</v>
      </c>
      <c r="F1224" s="55" t="str">
        <f t="shared" si="2"/>
        <v>30.0%</v>
      </c>
      <c r="G1224" s="54" t="str">
        <f t="shared" si="3"/>
        <v>₹330,527.48</v>
      </c>
      <c r="H1224" s="54" t="str">
        <f t="shared" si="4"/>
        <v>₹27,543.96</v>
      </c>
      <c r="I1224" s="54" t="str">
        <f>80578.33-H1224</f>
        <v>₹53,034.37</v>
      </c>
    </row>
    <row r="1225" ht="15.75" customHeight="1">
      <c r="A1225" s="50" t="s">
        <v>1290</v>
      </c>
      <c r="B1225" s="50" t="s">
        <v>36</v>
      </c>
      <c r="C1225" s="50" t="s">
        <v>14</v>
      </c>
      <c r="D1225" s="51">
        <v>91836.37</v>
      </c>
      <c r="E1225" s="51" t="str">
        <f t="shared" si="1"/>
        <v>₹1,102,036.44</v>
      </c>
      <c r="F1225" s="52" t="str">
        <f t="shared" si="2"/>
        <v>30.0%</v>
      </c>
      <c r="G1225" s="51" t="str">
        <f t="shared" si="3"/>
        <v>₹330,610.93</v>
      </c>
      <c r="H1225" s="51" t="str">
        <f t="shared" si="4"/>
        <v>₹27,550.91</v>
      </c>
      <c r="I1225" s="51" t="str">
        <f>80598.11-H1225</f>
        <v>₹53,047.20</v>
      </c>
    </row>
    <row r="1226" ht="15.75" customHeight="1">
      <c r="A1226" s="53" t="s">
        <v>1291</v>
      </c>
      <c r="B1226" s="53" t="s">
        <v>25</v>
      </c>
      <c r="C1226" s="53" t="s">
        <v>18</v>
      </c>
      <c r="D1226" s="54">
        <v>91859.55</v>
      </c>
      <c r="E1226" s="54" t="str">
        <f t="shared" si="1"/>
        <v>₹1,102,314.60</v>
      </c>
      <c r="F1226" s="55" t="str">
        <f t="shared" si="2"/>
        <v>30.0%</v>
      </c>
      <c r="G1226" s="54" t="str">
        <f t="shared" si="3"/>
        <v>₹330,694.38</v>
      </c>
      <c r="H1226" s="54" t="str">
        <f t="shared" si="4"/>
        <v>₹27,557.87</v>
      </c>
      <c r="I1226" s="54" t="str">
        <f>80617.89-H1226</f>
        <v>₹53,060.03</v>
      </c>
    </row>
    <row r="1227" ht="15.75" customHeight="1">
      <c r="A1227" s="50" t="s">
        <v>1292</v>
      </c>
      <c r="B1227" s="50" t="s">
        <v>17</v>
      </c>
      <c r="C1227" s="50" t="s">
        <v>54</v>
      </c>
      <c r="D1227" s="51">
        <v>91882.72</v>
      </c>
      <c r="E1227" s="51" t="str">
        <f t="shared" si="1"/>
        <v>₹1,102,592.64</v>
      </c>
      <c r="F1227" s="52" t="str">
        <f t="shared" si="2"/>
        <v>30.0%</v>
      </c>
      <c r="G1227" s="51" t="str">
        <f t="shared" si="3"/>
        <v>₹330,777.79</v>
      </c>
      <c r="H1227" s="51" t="str">
        <f t="shared" si="4"/>
        <v>₹27,564.82</v>
      </c>
      <c r="I1227" s="51" t="str">
        <f>80637.67-H1227</f>
        <v>₹53,072.85</v>
      </c>
    </row>
    <row r="1228" ht="15.75" customHeight="1">
      <c r="A1228" s="53" t="s">
        <v>1293</v>
      </c>
      <c r="B1228" s="53" t="s">
        <v>29</v>
      </c>
      <c r="C1228" s="53" t="s">
        <v>33</v>
      </c>
      <c r="D1228" s="54">
        <v>91905.9</v>
      </c>
      <c r="E1228" s="54" t="str">
        <f t="shared" si="1"/>
        <v>₹1,102,870.80</v>
      </c>
      <c r="F1228" s="55" t="str">
        <f t="shared" si="2"/>
        <v>30.0%</v>
      </c>
      <c r="G1228" s="54" t="str">
        <f t="shared" si="3"/>
        <v>₹330,861.24</v>
      </c>
      <c r="H1228" s="54" t="str">
        <f t="shared" si="4"/>
        <v>₹27,571.77</v>
      </c>
      <c r="I1228" s="54" t="str">
        <f>80657.45-H1228</f>
        <v>₹53,085.68</v>
      </c>
    </row>
    <row r="1229" ht="15.75" customHeight="1">
      <c r="A1229" s="50" t="s">
        <v>1294</v>
      </c>
      <c r="B1229" s="50" t="s">
        <v>51</v>
      </c>
      <c r="C1229" s="50" t="s">
        <v>54</v>
      </c>
      <c r="D1229" s="51">
        <v>91929.08</v>
      </c>
      <c r="E1229" s="51" t="str">
        <f t="shared" si="1"/>
        <v>₹1,103,148.96</v>
      </c>
      <c r="F1229" s="52" t="str">
        <f t="shared" si="2"/>
        <v>30.0%</v>
      </c>
      <c r="G1229" s="51" t="str">
        <f t="shared" si="3"/>
        <v>₹330,944.69</v>
      </c>
      <c r="H1229" s="51" t="str">
        <f t="shared" si="4"/>
        <v>₹27,578.72</v>
      </c>
      <c r="I1229" s="51" t="str">
        <f>80677.23-H1229</f>
        <v>₹53,098.51</v>
      </c>
    </row>
    <row r="1230" ht="15.75" customHeight="1">
      <c r="A1230" s="53" t="s">
        <v>1295</v>
      </c>
      <c r="B1230" s="53" t="s">
        <v>29</v>
      </c>
      <c r="C1230" s="53" t="s">
        <v>18</v>
      </c>
      <c r="D1230" s="54">
        <v>102097.7</v>
      </c>
      <c r="E1230" s="54" t="str">
        <f t="shared" si="1"/>
        <v>₹1,225,172.40</v>
      </c>
      <c r="F1230" s="55" t="str">
        <f t="shared" si="2"/>
        <v>30.0%</v>
      </c>
      <c r="G1230" s="54" t="str">
        <f t="shared" si="3"/>
        <v>₹367,551.72</v>
      </c>
      <c r="H1230" s="54" t="str">
        <f t="shared" si="4"/>
        <v>₹30,629.31</v>
      </c>
      <c r="I1230" s="54" t="str">
        <f>90842.45-H1230</f>
        <v>₹60,213.14</v>
      </c>
    </row>
    <row r="1231" ht="15.75" customHeight="1">
      <c r="A1231" s="50" t="s">
        <v>1296</v>
      </c>
      <c r="B1231" s="50" t="s">
        <v>17</v>
      </c>
      <c r="C1231" s="50" t="s">
        <v>14</v>
      </c>
      <c r="D1231" s="51">
        <v>91975.44</v>
      </c>
      <c r="E1231" s="51" t="str">
        <f t="shared" si="1"/>
        <v>₹1,103,705.28</v>
      </c>
      <c r="F1231" s="52" t="str">
        <f t="shared" si="2"/>
        <v>30.0%</v>
      </c>
      <c r="G1231" s="51" t="str">
        <f t="shared" si="3"/>
        <v>₹331,111.58</v>
      </c>
      <c r="H1231" s="51" t="str">
        <f t="shared" si="4"/>
        <v>₹27,592.63</v>
      </c>
      <c r="I1231" s="51" t="str">
        <f>80716.8-H1231</f>
        <v>₹53,124.17</v>
      </c>
    </row>
    <row r="1232" ht="15.75" customHeight="1">
      <c r="A1232" s="53" t="s">
        <v>1297</v>
      </c>
      <c r="B1232" s="53" t="s">
        <v>17</v>
      </c>
      <c r="C1232" s="53" t="s">
        <v>14</v>
      </c>
      <c r="D1232" s="54">
        <v>91998.61</v>
      </c>
      <c r="E1232" s="54" t="str">
        <f t="shared" si="1"/>
        <v>₹1,103,983.32</v>
      </c>
      <c r="F1232" s="55" t="str">
        <f t="shared" si="2"/>
        <v>30.0%</v>
      </c>
      <c r="G1232" s="54" t="str">
        <f t="shared" si="3"/>
        <v>₹331,195.00</v>
      </c>
      <c r="H1232" s="54" t="str">
        <f t="shared" si="4"/>
        <v>₹27,599.58</v>
      </c>
      <c r="I1232" s="54" t="str">
        <f>80736.57-H1232</f>
        <v>₹53,136.99</v>
      </c>
    </row>
    <row r="1233" ht="15.75" customHeight="1">
      <c r="A1233" s="50" t="s">
        <v>1298</v>
      </c>
      <c r="B1233" s="50" t="s">
        <v>53</v>
      </c>
      <c r="C1233" s="50" t="s">
        <v>37</v>
      </c>
      <c r="D1233" s="51">
        <v>92021.79</v>
      </c>
      <c r="E1233" s="51" t="str">
        <f t="shared" si="1"/>
        <v>₹1,104,261.48</v>
      </c>
      <c r="F1233" s="52" t="str">
        <f t="shared" si="2"/>
        <v>30.0%</v>
      </c>
      <c r="G1233" s="51" t="str">
        <f t="shared" si="3"/>
        <v>₹331,278.44</v>
      </c>
      <c r="H1233" s="51" t="str">
        <f t="shared" si="4"/>
        <v>₹27,606.54</v>
      </c>
      <c r="I1233" s="51" t="str">
        <f>80756.35-H1233</f>
        <v>₹53,149.81</v>
      </c>
    </row>
    <row r="1234" ht="15.75" customHeight="1">
      <c r="A1234" s="53" t="s">
        <v>1299</v>
      </c>
      <c r="B1234" s="53" t="s">
        <v>13</v>
      </c>
      <c r="C1234" s="53" t="s">
        <v>54</v>
      </c>
      <c r="D1234" s="54">
        <v>92044.97</v>
      </c>
      <c r="E1234" s="54" t="str">
        <f t="shared" si="1"/>
        <v>₹1,104,539.64</v>
      </c>
      <c r="F1234" s="55" t="str">
        <f t="shared" si="2"/>
        <v>30.0%</v>
      </c>
      <c r="G1234" s="54" t="str">
        <f t="shared" si="3"/>
        <v>₹331,361.89</v>
      </c>
      <c r="H1234" s="54" t="str">
        <f t="shared" si="4"/>
        <v>₹27,613.49</v>
      </c>
      <c r="I1234" s="54" t="str">
        <f>80776.13-H1234</f>
        <v>₹53,162.64</v>
      </c>
    </row>
    <row r="1235" ht="15.75" customHeight="1">
      <c r="A1235" s="50" t="s">
        <v>1300</v>
      </c>
      <c r="B1235" s="50" t="s">
        <v>13</v>
      </c>
      <c r="C1235" s="50" t="s">
        <v>18</v>
      </c>
      <c r="D1235" s="51">
        <v>92068.15</v>
      </c>
      <c r="E1235" s="51" t="str">
        <f t="shared" si="1"/>
        <v>₹1,104,817.80</v>
      </c>
      <c r="F1235" s="52" t="str">
        <f t="shared" si="2"/>
        <v>30.0%</v>
      </c>
      <c r="G1235" s="51" t="str">
        <f t="shared" si="3"/>
        <v>₹331,445.34</v>
      </c>
      <c r="H1235" s="51" t="str">
        <f t="shared" si="4"/>
        <v>₹27,620.45</v>
      </c>
      <c r="I1235" s="51" t="str">
        <f>80795.92-H1235</f>
        <v>₹53,175.48</v>
      </c>
    </row>
    <row r="1236" ht="15.75" customHeight="1">
      <c r="A1236" s="53" t="s">
        <v>1301</v>
      </c>
      <c r="B1236" s="53" t="s">
        <v>29</v>
      </c>
      <c r="C1236" s="53" t="s">
        <v>37</v>
      </c>
      <c r="D1236" s="54">
        <v>92091.32</v>
      </c>
      <c r="E1236" s="54" t="str">
        <f t="shared" si="1"/>
        <v>₹1,105,095.84</v>
      </c>
      <c r="F1236" s="55" t="str">
        <f t="shared" si="2"/>
        <v>30.0%</v>
      </c>
      <c r="G1236" s="54" t="str">
        <f t="shared" si="3"/>
        <v>₹331,528.75</v>
      </c>
      <c r="H1236" s="54" t="str">
        <f t="shared" si="4"/>
        <v>₹27,627.40</v>
      </c>
      <c r="I1236" s="54" t="str">
        <f>80815.69-H1236</f>
        <v>₹53,188.29</v>
      </c>
    </row>
    <row r="1237" ht="15.75" customHeight="1">
      <c r="A1237" s="50" t="s">
        <v>1302</v>
      </c>
      <c r="B1237" s="50" t="s">
        <v>36</v>
      </c>
      <c r="C1237" s="50" t="s">
        <v>33</v>
      </c>
      <c r="D1237" s="51">
        <v>92114.5</v>
      </c>
      <c r="E1237" s="51" t="str">
        <f t="shared" si="1"/>
        <v>₹1,105,374.00</v>
      </c>
      <c r="F1237" s="52" t="str">
        <f t="shared" si="2"/>
        <v>30.0%</v>
      </c>
      <c r="G1237" s="51" t="str">
        <f t="shared" si="3"/>
        <v>₹331,612.20</v>
      </c>
      <c r="H1237" s="51" t="str">
        <f t="shared" si="4"/>
        <v>₹27,634.35</v>
      </c>
      <c r="I1237" s="51" t="str">
        <f>80835.47-H1237</f>
        <v>₹53,201.12</v>
      </c>
    </row>
    <row r="1238" ht="15.75" customHeight="1">
      <c r="A1238" s="53" t="s">
        <v>1303</v>
      </c>
      <c r="B1238" s="53" t="s">
        <v>51</v>
      </c>
      <c r="C1238" s="53" t="s">
        <v>30</v>
      </c>
      <c r="D1238" s="54">
        <v>92137.68</v>
      </c>
      <c r="E1238" s="54" t="str">
        <f t="shared" si="1"/>
        <v>₹1,105,652.16</v>
      </c>
      <c r="F1238" s="55" t="str">
        <f t="shared" si="2"/>
        <v>30.0%</v>
      </c>
      <c r="G1238" s="54" t="str">
        <f t="shared" si="3"/>
        <v>₹331,695.65</v>
      </c>
      <c r="H1238" s="54" t="str">
        <f t="shared" si="4"/>
        <v>₹27,641.30</v>
      </c>
      <c r="I1238" s="54" t="str">
        <f>80855.25-H1238</f>
        <v>₹53,213.95</v>
      </c>
    </row>
    <row r="1239" ht="15.75" customHeight="1">
      <c r="A1239" s="50" t="s">
        <v>1304</v>
      </c>
      <c r="B1239" s="50" t="s">
        <v>53</v>
      </c>
      <c r="C1239" s="50" t="s">
        <v>37</v>
      </c>
      <c r="D1239" s="51">
        <v>92160.86</v>
      </c>
      <c r="E1239" s="51" t="str">
        <f t="shared" si="1"/>
        <v>₹1,105,930.32</v>
      </c>
      <c r="F1239" s="52" t="str">
        <f t="shared" si="2"/>
        <v>30.0%</v>
      </c>
      <c r="G1239" s="51" t="str">
        <f t="shared" si="3"/>
        <v>₹331,779.10</v>
      </c>
      <c r="H1239" s="51" t="str">
        <f t="shared" si="4"/>
        <v>₹27,648.26</v>
      </c>
      <c r="I1239" s="51" t="str">
        <f>80875.04-H1239</f>
        <v>₹53,226.78</v>
      </c>
    </row>
    <row r="1240" ht="15.75" customHeight="1">
      <c r="A1240" s="53" t="s">
        <v>1305</v>
      </c>
      <c r="B1240" s="53" t="s">
        <v>51</v>
      </c>
      <c r="C1240" s="53" t="s">
        <v>54</v>
      </c>
      <c r="D1240" s="54">
        <v>92184.03</v>
      </c>
      <c r="E1240" s="54" t="str">
        <f t="shared" si="1"/>
        <v>₹1,106,208.36</v>
      </c>
      <c r="F1240" s="55" t="str">
        <f t="shared" si="2"/>
        <v>30.0%</v>
      </c>
      <c r="G1240" s="54" t="str">
        <f t="shared" si="3"/>
        <v>₹331,862.51</v>
      </c>
      <c r="H1240" s="54" t="str">
        <f t="shared" si="4"/>
        <v>₹27,655.21</v>
      </c>
      <c r="I1240" s="54" t="str">
        <f>80894.81-H1240</f>
        <v>₹53,239.60</v>
      </c>
    </row>
    <row r="1241" ht="15.75" customHeight="1">
      <c r="A1241" s="50" t="s">
        <v>1306</v>
      </c>
      <c r="B1241" s="50" t="s">
        <v>36</v>
      </c>
      <c r="C1241" s="50" t="s">
        <v>18</v>
      </c>
      <c r="D1241" s="51">
        <v>92207.21</v>
      </c>
      <c r="E1241" s="51" t="str">
        <f t="shared" si="1"/>
        <v>₹1,106,486.52</v>
      </c>
      <c r="F1241" s="52" t="str">
        <f t="shared" si="2"/>
        <v>30.0%</v>
      </c>
      <c r="G1241" s="51" t="str">
        <f t="shared" si="3"/>
        <v>₹331,945.96</v>
      </c>
      <c r="H1241" s="51" t="str">
        <f t="shared" si="4"/>
        <v>₹27,662.16</v>
      </c>
      <c r="I1241" s="51" t="str">
        <f>80914.59-H1241</f>
        <v>₹53,252.43</v>
      </c>
    </row>
    <row r="1242" ht="15.75" customHeight="1">
      <c r="A1242" s="53" t="s">
        <v>1307</v>
      </c>
      <c r="B1242" s="53" t="s">
        <v>51</v>
      </c>
      <c r="C1242" s="53" t="s">
        <v>18</v>
      </c>
      <c r="D1242" s="54">
        <v>92230.39</v>
      </c>
      <c r="E1242" s="54" t="str">
        <f t="shared" si="1"/>
        <v>₹1,106,764.68</v>
      </c>
      <c r="F1242" s="55" t="str">
        <f t="shared" si="2"/>
        <v>30.0%</v>
      </c>
      <c r="G1242" s="54" t="str">
        <f t="shared" si="3"/>
        <v>₹332,029.40</v>
      </c>
      <c r="H1242" s="54" t="str">
        <f t="shared" si="4"/>
        <v>₹27,669.12</v>
      </c>
      <c r="I1242" s="54" t="str">
        <f>80934.37-H1242</f>
        <v>₹53,265.25</v>
      </c>
    </row>
    <row r="1243" ht="15.75" customHeight="1">
      <c r="A1243" s="50" t="s">
        <v>1308</v>
      </c>
      <c r="B1243" s="50" t="s">
        <v>17</v>
      </c>
      <c r="C1243" s="50" t="s">
        <v>26</v>
      </c>
      <c r="D1243" s="51">
        <v>92253.57</v>
      </c>
      <c r="E1243" s="51" t="str">
        <f t="shared" si="1"/>
        <v>₹1,107,042.84</v>
      </c>
      <c r="F1243" s="52" t="str">
        <f t="shared" si="2"/>
        <v>30.0%</v>
      </c>
      <c r="G1243" s="51" t="str">
        <f t="shared" si="3"/>
        <v>₹332,112.85</v>
      </c>
      <c r="H1243" s="51" t="str">
        <f t="shared" si="4"/>
        <v>₹27,676.07</v>
      </c>
      <c r="I1243" s="51" t="str">
        <f>80954.16-H1243</f>
        <v>₹53,278.09</v>
      </c>
    </row>
    <row r="1244" ht="15.75" customHeight="1">
      <c r="A1244" s="53" t="s">
        <v>1309</v>
      </c>
      <c r="B1244" s="53" t="s">
        <v>51</v>
      </c>
      <c r="C1244" s="53" t="s">
        <v>14</v>
      </c>
      <c r="D1244" s="54">
        <v>92276.74</v>
      </c>
      <c r="E1244" s="54" t="str">
        <f t="shared" si="1"/>
        <v>₹1,107,320.88</v>
      </c>
      <c r="F1244" s="55" t="str">
        <f t="shared" si="2"/>
        <v>30.0%</v>
      </c>
      <c r="G1244" s="54" t="str">
        <f t="shared" si="3"/>
        <v>₹332,196.26</v>
      </c>
      <c r="H1244" s="54" t="str">
        <f t="shared" si="4"/>
        <v>₹27,683.02</v>
      </c>
      <c r="I1244" s="54" t="str">
        <f>80973.93-H1244</f>
        <v>₹53,290.91</v>
      </c>
    </row>
    <row r="1245" ht="15.75" customHeight="1">
      <c r="A1245" s="50" t="s">
        <v>1310</v>
      </c>
      <c r="B1245" s="50" t="s">
        <v>36</v>
      </c>
      <c r="C1245" s="50" t="s">
        <v>54</v>
      </c>
      <c r="D1245" s="51">
        <v>92323.1</v>
      </c>
      <c r="E1245" s="51" t="str">
        <f t="shared" si="1"/>
        <v>₹1,107,877.20</v>
      </c>
      <c r="F1245" s="52" t="str">
        <f t="shared" si="2"/>
        <v>30.0%</v>
      </c>
      <c r="G1245" s="51" t="str">
        <f t="shared" si="3"/>
        <v>₹332,363.16</v>
      </c>
      <c r="H1245" s="51" t="str">
        <f t="shared" si="4"/>
        <v>₹27,696.93</v>
      </c>
      <c r="I1245" s="51" t="str">
        <f>81013.49-H1245</f>
        <v>₹53,316.56</v>
      </c>
    </row>
    <row r="1246" ht="15.75" customHeight="1">
      <c r="A1246" s="53" t="s">
        <v>1311</v>
      </c>
      <c r="B1246" s="53" t="s">
        <v>25</v>
      </c>
      <c r="C1246" s="53" t="s">
        <v>54</v>
      </c>
      <c r="D1246" s="54">
        <v>92346.28</v>
      </c>
      <c r="E1246" s="54" t="str">
        <f t="shared" si="1"/>
        <v>₹1,108,155.36</v>
      </c>
      <c r="F1246" s="55" t="str">
        <f t="shared" si="2"/>
        <v>30.0%</v>
      </c>
      <c r="G1246" s="54" t="str">
        <f t="shared" si="3"/>
        <v>₹332,446.61</v>
      </c>
      <c r="H1246" s="54" t="str">
        <f t="shared" si="4"/>
        <v>₹27,703.88</v>
      </c>
      <c r="I1246" s="54" t="str">
        <f>81033.28-H1246</f>
        <v>₹53,329.40</v>
      </c>
    </row>
    <row r="1247" ht="15.75" customHeight="1">
      <c r="A1247" s="50" t="s">
        <v>1312</v>
      </c>
      <c r="B1247" s="50" t="s">
        <v>17</v>
      </c>
      <c r="C1247" s="50" t="s">
        <v>37</v>
      </c>
      <c r="D1247" s="51">
        <v>92369.46</v>
      </c>
      <c r="E1247" s="51" t="str">
        <f t="shared" si="1"/>
        <v>₹1,108,433.52</v>
      </c>
      <c r="F1247" s="52" t="str">
        <f t="shared" si="2"/>
        <v>30.0%</v>
      </c>
      <c r="G1247" s="51" t="str">
        <f t="shared" si="3"/>
        <v>₹332,530.06</v>
      </c>
      <c r="H1247" s="51" t="str">
        <f t="shared" si="4"/>
        <v>₹27,710.84</v>
      </c>
      <c r="I1247" s="51" t="str">
        <f>81053.06-H1247</f>
        <v>₹53,342.22</v>
      </c>
    </row>
    <row r="1248" ht="15.75" customHeight="1">
      <c r="A1248" s="53" t="s">
        <v>1313</v>
      </c>
      <c r="B1248" s="53" t="s">
        <v>13</v>
      </c>
      <c r="C1248" s="53" t="s">
        <v>37</v>
      </c>
      <c r="D1248" s="54">
        <v>92392.63</v>
      </c>
      <c r="E1248" s="54" t="str">
        <f t="shared" si="1"/>
        <v>₹1,108,711.56</v>
      </c>
      <c r="F1248" s="55" t="str">
        <f t="shared" si="2"/>
        <v>30.0%</v>
      </c>
      <c r="G1248" s="54" t="str">
        <f t="shared" si="3"/>
        <v>₹332,613.47</v>
      </c>
      <c r="H1248" s="54" t="str">
        <f t="shared" si="4"/>
        <v>₹27,717.79</v>
      </c>
      <c r="I1248" s="54" t="str">
        <f>81072.83-H1248</f>
        <v>₹53,355.04</v>
      </c>
    </row>
    <row r="1249" ht="15.75" customHeight="1">
      <c r="A1249" s="50" t="s">
        <v>1314</v>
      </c>
      <c r="B1249" s="50" t="s">
        <v>53</v>
      </c>
      <c r="C1249" s="50" t="s">
        <v>26</v>
      </c>
      <c r="D1249" s="51">
        <v>92415.81</v>
      </c>
      <c r="E1249" s="51" t="str">
        <f t="shared" si="1"/>
        <v>₹1,108,989.72</v>
      </c>
      <c r="F1249" s="52" t="str">
        <f t="shared" si="2"/>
        <v>30.0%</v>
      </c>
      <c r="G1249" s="51" t="str">
        <f t="shared" si="3"/>
        <v>₹332,696.92</v>
      </c>
      <c r="H1249" s="51" t="str">
        <f t="shared" si="4"/>
        <v>₹27,724.74</v>
      </c>
      <c r="I1249" s="51" t="str">
        <f>81092.61-H1249</f>
        <v>₹53,367.87</v>
      </c>
    </row>
    <row r="1250" ht="15.75" customHeight="1">
      <c r="A1250" s="53" t="s">
        <v>1315</v>
      </c>
      <c r="B1250" s="53" t="s">
        <v>36</v>
      </c>
      <c r="C1250" s="53" t="s">
        <v>30</v>
      </c>
      <c r="D1250" s="54">
        <v>92438.99</v>
      </c>
      <c r="E1250" s="54" t="str">
        <f t="shared" si="1"/>
        <v>₹1,109,267.88</v>
      </c>
      <c r="F1250" s="55" t="str">
        <f t="shared" si="2"/>
        <v>30.0%</v>
      </c>
      <c r="G1250" s="54" t="str">
        <f t="shared" si="3"/>
        <v>₹332,780.36</v>
      </c>
      <c r="H1250" s="54" t="str">
        <f t="shared" si="4"/>
        <v>₹27,731.70</v>
      </c>
      <c r="I1250" s="54" t="str">
        <f>81112.4-H1250</f>
        <v>₹53,380.70</v>
      </c>
    </row>
    <row r="1251" ht="15.75" customHeight="1">
      <c r="A1251" s="50" t="s">
        <v>1316</v>
      </c>
      <c r="B1251" s="50" t="s">
        <v>25</v>
      </c>
      <c r="C1251" s="50" t="s">
        <v>18</v>
      </c>
      <c r="D1251" s="51">
        <v>92462.17</v>
      </c>
      <c r="E1251" s="51" t="str">
        <f t="shared" si="1"/>
        <v>₹1,109,546.04</v>
      </c>
      <c r="F1251" s="52" t="str">
        <f t="shared" si="2"/>
        <v>30.0%</v>
      </c>
      <c r="G1251" s="51" t="str">
        <f t="shared" si="3"/>
        <v>₹332,863.81</v>
      </c>
      <c r="H1251" s="51" t="str">
        <f t="shared" si="4"/>
        <v>₹27,738.65</v>
      </c>
      <c r="I1251" s="51" t="str">
        <f>81132.18-H1251</f>
        <v>₹53,393.53</v>
      </c>
    </row>
    <row r="1252" ht="15.75" customHeight="1">
      <c r="A1252" s="53" t="s">
        <v>1317</v>
      </c>
      <c r="B1252" s="53" t="s">
        <v>29</v>
      </c>
      <c r="C1252" s="53" t="s">
        <v>54</v>
      </c>
      <c r="D1252" s="54">
        <v>92485.34</v>
      </c>
      <c r="E1252" s="54" t="str">
        <f t="shared" si="1"/>
        <v>₹1,109,824.08</v>
      </c>
      <c r="F1252" s="55" t="str">
        <f t="shared" si="2"/>
        <v>30.0%</v>
      </c>
      <c r="G1252" s="54" t="str">
        <f t="shared" si="3"/>
        <v>₹332,947.22</v>
      </c>
      <c r="H1252" s="54" t="str">
        <f t="shared" si="4"/>
        <v>₹27,745.60</v>
      </c>
      <c r="I1252" s="54" t="str">
        <f>81151.95-H1252</f>
        <v>₹53,406.35</v>
      </c>
    </row>
    <row r="1253" ht="15.75" customHeight="1">
      <c r="A1253" s="50" t="s">
        <v>1318</v>
      </c>
      <c r="B1253" s="50" t="s">
        <v>53</v>
      </c>
      <c r="C1253" s="50" t="s">
        <v>14</v>
      </c>
      <c r="D1253" s="51">
        <v>92508.52</v>
      </c>
      <c r="E1253" s="51" t="str">
        <f t="shared" si="1"/>
        <v>₹1,110,102.24</v>
      </c>
      <c r="F1253" s="52" t="str">
        <f t="shared" si="2"/>
        <v>30.0%</v>
      </c>
      <c r="G1253" s="51" t="str">
        <f t="shared" si="3"/>
        <v>₹333,030.67</v>
      </c>
      <c r="H1253" s="51" t="str">
        <f t="shared" si="4"/>
        <v>₹27,752.56</v>
      </c>
      <c r="I1253" s="51" t="str">
        <f>81171.73-H1253</f>
        <v>₹53,419.17</v>
      </c>
    </row>
    <row r="1254" ht="15.75" customHeight="1">
      <c r="A1254" s="53" t="s">
        <v>1319</v>
      </c>
      <c r="B1254" s="53" t="s">
        <v>51</v>
      </c>
      <c r="C1254" s="53" t="s">
        <v>14</v>
      </c>
      <c r="D1254" s="54">
        <v>92531.7</v>
      </c>
      <c r="E1254" s="54" t="str">
        <f t="shared" si="1"/>
        <v>₹1,110,380.40</v>
      </c>
      <c r="F1254" s="55" t="str">
        <f t="shared" si="2"/>
        <v>30.0%</v>
      </c>
      <c r="G1254" s="54" t="str">
        <f t="shared" si="3"/>
        <v>₹333,114.12</v>
      </c>
      <c r="H1254" s="54" t="str">
        <f t="shared" si="4"/>
        <v>₹27,759.51</v>
      </c>
      <c r="I1254" s="54" t="str">
        <f>81191.52-H1254</f>
        <v>₹53,432.01</v>
      </c>
    </row>
    <row r="1255" ht="15.75" customHeight="1">
      <c r="A1255" s="50" t="s">
        <v>1320</v>
      </c>
      <c r="B1255" s="50" t="s">
        <v>51</v>
      </c>
      <c r="C1255" s="50" t="s">
        <v>26</v>
      </c>
      <c r="D1255" s="51">
        <v>92554.88</v>
      </c>
      <c r="E1255" s="51" t="str">
        <f t="shared" si="1"/>
        <v>₹1,110,658.56</v>
      </c>
      <c r="F1255" s="52" t="str">
        <f t="shared" si="2"/>
        <v>30.0%</v>
      </c>
      <c r="G1255" s="51" t="str">
        <f t="shared" si="3"/>
        <v>₹333,197.57</v>
      </c>
      <c r="H1255" s="51" t="str">
        <f t="shared" si="4"/>
        <v>₹27,766.46</v>
      </c>
      <c r="I1255" s="51" t="str">
        <f>81211.3-H1255</f>
        <v>₹53,444.84</v>
      </c>
    </row>
    <row r="1256" ht="15.75" customHeight="1">
      <c r="A1256" s="53" t="s">
        <v>1321</v>
      </c>
      <c r="B1256" s="53" t="s">
        <v>29</v>
      </c>
      <c r="C1256" s="53" t="s">
        <v>26</v>
      </c>
      <c r="D1256" s="54">
        <v>92601.23</v>
      </c>
      <c r="E1256" s="54" t="str">
        <f t="shared" si="1"/>
        <v>₹1,111,214.76</v>
      </c>
      <c r="F1256" s="55" t="str">
        <f t="shared" si="2"/>
        <v>30.0%</v>
      </c>
      <c r="G1256" s="54" t="str">
        <f t="shared" si="3"/>
        <v>₹333,364.43</v>
      </c>
      <c r="H1256" s="54" t="str">
        <f t="shared" si="4"/>
        <v>₹27,780.37</v>
      </c>
      <c r="I1256" s="54" t="str">
        <f>81250.85-H1256</f>
        <v>₹53,470.48</v>
      </c>
    </row>
    <row r="1257" ht="15.75" customHeight="1">
      <c r="A1257" s="50" t="s">
        <v>1322</v>
      </c>
      <c r="B1257" s="50" t="s">
        <v>13</v>
      </c>
      <c r="C1257" s="50" t="s">
        <v>18</v>
      </c>
      <c r="D1257" s="51">
        <v>92624.41</v>
      </c>
      <c r="E1257" s="51" t="str">
        <f t="shared" si="1"/>
        <v>₹1,111,492.92</v>
      </c>
      <c r="F1257" s="52" t="str">
        <f t="shared" si="2"/>
        <v>30.0%</v>
      </c>
      <c r="G1257" s="51" t="str">
        <f t="shared" si="3"/>
        <v>₹333,447.88</v>
      </c>
      <c r="H1257" s="51" t="str">
        <f t="shared" si="4"/>
        <v>₹27,787.32</v>
      </c>
      <c r="I1257" s="51" t="str">
        <f>81270.63-H1257</f>
        <v>₹53,483.31</v>
      </c>
    </row>
    <row r="1258" ht="15.75" customHeight="1">
      <c r="A1258" s="53" t="s">
        <v>1323</v>
      </c>
      <c r="B1258" s="53" t="s">
        <v>29</v>
      </c>
      <c r="C1258" s="53" t="s">
        <v>54</v>
      </c>
      <c r="D1258" s="54">
        <v>92647.59</v>
      </c>
      <c r="E1258" s="54" t="str">
        <f t="shared" si="1"/>
        <v>₹1,111,771.08</v>
      </c>
      <c r="F1258" s="55" t="str">
        <f t="shared" si="2"/>
        <v>30.0%</v>
      </c>
      <c r="G1258" s="54" t="str">
        <f t="shared" si="3"/>
        <v>₹333,531.32</v>
      </c>
      <c r="H1258" s="54" t="str">
        <f t="shared" si="4"/>
        <v>₹27,794.28</v>
      </c>
      <c r="I1258" s="54" t="str">
        <f>81290.42-H1258</f>
        <v>₹53,496.14</v>
      </c>
    </row>
    <row r="1259" ht="15.75" customHeight="1">
      <c r="A1259" s="50" t="s">
        <v>1324</v>
      </c>
      <c r="B1259" s="50" t="s">
        <v>13</v>
      </c>
      <c r="C1259" s="50" t="s">
        <v>30</v>
      </c>
      <c r="D1259" s="51">
        <v>92670.77</v>
      </c>
      <c r="E1259" s="51" t="str">
        <f t="shared" si="1"/>
        <v>₹1,112,049.24</v>
      </c>
      <c r="F1259" s="52" t="str">
        <f t="shared" si="2"/>
        <v>30.0%</v>
      </c>
      <c r="G1259" s="51" t="str">
        <f t="shared" si="3"/>
        <v>₹333,614.77</v>
      </c>
      <c r="H1259" s="51" t="str">
        <f t="shared" si="4"/>
        <v>₹27,801.23</v>
      </c>
      <c r="I1259" s="51" t="str">
        <f>81310.2-H1259</f>
        <v>₹53,508.97</v>
      </c>
    </row>
    <row r="1260" ht="15.75" customHeight="1">
      <c r="A1260" s="53" t="s">
        <v>1326</v>
      </c>
      <c r="B1260" s="53" t="s">
        <v>17</v>
      </c>
      <c r="C1260" s="53" t="s">
        <v>54</v>
      </c>
      <c r="D1260" s="54">
        <v>92693.94</v>
      </c>
      <c r="E1260" s="54" t="str">
        <f t="shared" si="1"/>
        <v>₹1,112,327.28</v>
      </c>
      <c r="F1260" s="55" t="str">
        <f t="shared" si="2"/>
        <v>30.0%</v>
      </c>
      <c r="G1260" s="54" t="str">
        <f t="shared" si="3"/>
        <v>₹333,698.18</v>
      </c>
      <c r="H1260" s="54" t="str">
        <f t="shared" si="4"/>
        <v>₹27,808.18</v>
      </c>
      <c r="I1260" s="54" t="str">
        <f>81329.97-H1260</f>
        <v>₹53,521.79</v>
      </c>
    </row>
    <row r="1261" ht="15.75" customHeight="1">
      <c r="A1261" s="50" t="s">
        <v>1327</v>
      </c>
      <c r="B1261" s="50" t="s">
        <v>51</v>
      </c>
      <c r="C1261" s="50" t="s">
        <v>26</v>
      </c>
      <c r="D1261" s="51">
        <v>92717.12</v>
      </c>
      <c r="E1261" s="51" t="str">
        <f t="shared" si="1"/>
        <v>₹1,112,605.44</v>
      </c>
      <c r="F1261" s="52" t="str">
        <f t="shared" si="2"/>
        <v>30.0%</v>
      </c>
      <c r="G1261" s="51" t="str">
        <f t="shared" si="3"/>
        <v>₹333,781.63</v>
      </c>
      <c r="H1261" s="51" t="str">
        <f t="shared" si="4"/>
        <v>₹27,815.14</v>
      </c>
      <c r="I1261" s="51" t="str">
        <f>81349.75-H1261</f>
        <v>₹53,534.61</v>
      </c>
    </row>
    <row r="1262" ht="15.75" customHeight="1">
      <c r="A1262" s="53" t="s">
        <v>1328</v>
      </c>
      <c r="B1262" s="53" t="s">
        <v>36</v>
      </c>
      <c r="C1262" s="53" t="s">
        <v>33</v>
      </c>
      <c r="D1262" s="54">
        <v>92740.3</v>
      </c>
      <c r="E1262" s="54" t="str">
        <f t="shared" si="1"/>
        <v>₹1,112,883.60</v>
      </c>
      <c r="F1262" s="55" t="str">
        <f t="shared" si="2"/>
        <v>30.0%</v>
      </c>
      <c r="G1262" s="54" t="str">
        <f t="shared" si="3"/>
        <v>₹333,865.08</v>
      </c>
      <c r="H1262" s="54" t="str">
        <f t="shared" si="4"/>
        <v>₹27,822.09</v>
      </c>
      <c r="I1262" s="54" t="str">
        <f>81369.54-H1262</f>
        <v>₹53,547.45</v>
      </c>
    </row>
    <row r="1263" ht="15.75" customHeight="1">
      <c r="A1263" s="50" t="s">
        <v>1329</v>
      </c>
      <c r="B1263" s="50" t="s">
        <v>29</v>
      </c>
      <c r="C1263" s="50" t="s">
        <v>26</v>
      </c>
      <c r="D1263" s="51">
        <v>92763.48</v>
      </c>
      <c r="E1263" s="51" t="str">
        <f t="shared" si="1"/>
        <v>₹1,113,161.76</v>
      </c>
      <c r="F1263" s="52" t="str">
        <f t="shared" si="2"/>
        <v>30.0%</v>
      </c>
      <c r="G1263" s="51" t="str">
        <f t="shared" si="3"/>
        <v>₹333,948.53</v>
      </c>
      <c r="H1263" s="51" t="str">
        <f t="shared" si="4"/>
        <v>₹27,829.04</v>
      </c>
      <c r="I1263" s="51" t="str">
        <f>81389.32-H1263</f>
        <v>₹53,560.28</v>
      </c>
    </row>
    <row r="1264" ht="15.75" customHeight="1">
      <c r="A1264" s="53" t="s">
        <v>1330</v>
      </c>
      <c r="B1264" s="53" t="s">
        <v>51</v>
      </c>
      <c r="C1264" s="53" t="s">
        <v>18</v>
      </c>
      <c r="D1264" s="54">
        <v>92786.65</v>
      </c>
      <c r="E1264" s="54" t="str">
        <f t="shared" si="1"/>
        <v>₹1,113,439.80</v>
      </c>
      <c r="F1264" s="55" t="str">
        <f t="shared" si="2"/>
        <v>30.0%</v>
      </c>
      <c r="G1264" s="54" t="str">
        <f t="shared" si="3"/>
        <v>₹334,031.94</v>
      </c>
      <c r="H1264" s="54" t="str">
        <f t="shared" si="4"/>
        <v>₹27,836.00</v>
      </c>
      <c r="I1264" s="54" t="str">
        <f>81409.09-H1264</f>
        <v>₹53,573.10</v>
      </c>
    </row>
    <row r="1265" ht="15.75" customHeight="1">
      <c r="A1265" s="50" t="s">
        <v>1331</v>
      </c>
      <c r="B1265" s="50" t="s">
        <v>51</v>
      </c>
      <c r="C1265" s="50" t="s">
        <v>30</v>
      </c>
      <c r="D1265" s="51">
        <v>92809.83</v>
      </c>
      <c r="E1265" s="51" t="str">
        <f t="shared" si="1"/>
        <v>₹1,113,717.96</v>
      </c>
      <c r="F1265" s="52" t="str">
        <f t="shared" si="2"/>
        <v>30.0%</v>
      </c>
      <c r="G1265" s="51" t="str">
        <f t="shared" si="3"/>
        <v>₹334,115.39</v>
      </c>
      <c r="H1265" s="51" t="str">
        <f t="shared" si="4"/>
        <v>₹27,842.95</v>
      </c>
      <c r="I1265" s="51" t="str">
        <f>81428.87-H1265</f>
        <v>₹53,585.92</v>
      </c>
    </row>
    <row r="1266" ht="15.75" customHeight="1">
      <c r="A1266" s="53" t="s">
        <v>1332</v>
      </c>
      <c r="B1266" s="53" t="s">
        <v>51</v>
      </c>
      <c r="C1266" s="53" t="s">
        <v>37</v>
      </c>
      <c r="D1266" s="54">
        <v>92856.19</v>
      </c>
      <c r="E1266" s="54" t="str">
        <f t="shared" si="1"/>
        <v>₹1,114,274.28</v>
      </c>
      <c r="F1266" s="55" t="str">
        <f t="shared" si="2"/>
        <v>30.0%</v>
      </c>
      <c r="G1266" s="54" t="str">
        <f t="shared" si="3"/>
        <v>₹334,282.28</v>
      </c>
      <c r="H1266" s="54" t="str">
        <f t="shared" si="4"/>
        <v>₹27,856.86</v>
      </c>
      <c r="I1266" s="54" t="str">
        <f>81468.44-H1266</f>
        <v>₹53,611.58</v>
      </c>
    </row>
    <row r="1267" ht="15.75" customHeight="1">
      <c r="A1267" s="50" t="s">
        <v>1333</v>
      </c>
      <c r="B1267" s="50" t="s">
        <v>29</v>
      </c>
      <c r="C1267" s="50" t="s">
        <v>14</v>
      </c>
      <c r="D1267" s="51">
        <v>92879.36</v>
      </c>
      <c r="E1267" s="51" t="str">
        <f t="shared" si="1"/>
        <v>₹1,114,552.32</v>
      </c>
      <c r="F1267" s="52" t="str">
        <f t="shared" si="2"/>
        <v>30.0%</v>
      </c>
      <c r="G1267" s="51" t="str">
        <f t="shared" si="3"/>
        <v>₹334,365.70</v>
      </c>
      <c r="H1267" s="51" t="str">
        <f t="shared" si="4"/>
        <v>₹27,863.81</v>
      </c>
      <c r="I1267" s="51" t="str">
        <f>81488.21-H1267</f>
        <v>₹53,624.40</v>
      </c>
    </row>
    <row r="1268" ht="15.75" customHeight="1">
      <c r="A1268" s="53" t="s">
        <v>1334</v>
      </c>
      <c r="B1268" s="53" t="s">
        <v>36</v>
      </c>
      <c r="C1268" s="53" t="s">
        <v>18</v>
      </c>
      <c r="D1268" s="54">
        <v>92902.54</v>
      </c>
      <c r="E1268" s="54" t="str">
        <f t="shared" si="1"/>
        <v>₹1,114,830.48</v>
      </c>
      <c r="F1268" s="55" t="str">
        <f t="shared" si="2"/>
        <v>30.0%</v>
      </c>
      <c r="G1268" s="54" t="str">
        <f t="shared" si="3"/>
        <v>₹334,449.14</v>
      </c>
      <c r="H1268" s="54" t="str">
        <f t="shared" si="4"/>
        <v>₹27,870.76</v>
      </c>
      <c r="I1268" s="54" t="str">
        <f>81507.99-H1268</f>
        <v>₹53,637.23</v>
      </c>
    </row>
    <row r="1269" ht="15.75" customHeight="1">
      <c r="A1269" s="50" t="s">
        <v>1335</v>
      </c>
      <c r="B1269" s="50" t="s">
        <v>17</v>
      </c>
      <c r="C1269" s="50" t="s">
        <v>18</v>
      </c>
      <c r="D1269" s="51">
        <v>92925.72</v>
      </c>
      <c r="E1269" s="51" t="str">
        <f t="shared" si="1"/>
        <v>₹1,115,108.64</v>
      </c>
      <c r="F1269" s="52" t="str">
        <f t="shared" si="2"/>
        <v>30.0%</v>
      </c>
      <c r="G1269" s="51" t="str">
        <f t="shared" si="3"/>
        <v>₹334,532.59</v>
      </c>
      <c r="H1269" s="51" t="str">
        <f t="shared" si="4"/>
        <v>₹27,877.72</v>
      </c>
      <c r="I1269" s="51" t="str">
        <f>81527.78-H1269</f>
        <v>₹53,650.06</v>
      </c>
    </row>
    <row r="1270" ht="15.75" customHeight="1">
      <c r="A1270" s="53" t="s">
        <v>1336</v>
      </c>
      <c r="B1270" s="53" t="s">
        <v>25</v>
      </c>
      <c r="C1270" s="53" t="s">
        <v>37</v>
      </c>
      <c r="D1270" s="54">
        <v>92948.9</v>
      </c>
      <c r="E1270" s="54" t="str">
        <f t="shared" si="1"/>
        <v>₹1,115,386.80</v>
      </c>
      <c r="F1270" s="55" t="str">
        <f t="shared" si="2"/>
        <v>30.0%</v>
      </c>
      <c r="G1270" s="54" t="str">
        <f t="shared" si="3"/>
        <v>₹334,616.04</v>
      </c>
      <c r="H1270" s="54" t="str">
        <f t="shared" si="4"/>
        <v>₹27,884.67</v>
      </c>
      <c r="I1270" s="54" t="str">
        <f>81547.56-H1270</f>
        <v>₹53,662.89</v>
      </c>
    </row>
    <row r="1271" ht="15.75" customHeight="1">
      <c r="A1271" s="50" t="s">
        <v>1337</v>
      </c>
      <c r="B1271" s="50" t="s">
        <v>17</v>
      </c>
      <c r="C1271" s="50" t="s">
        <v>37</v>
      </c>
      <c r="D1271" s="51">
        <v>92972.08</v>
      </c>
      <c r="E1271" s="51" t="str">
        <f t="shared" si="1"/>
        <v>₹1,115,664.96</v>
      </c>
      <c r="F1271" s="52" t="str">
        <f t="shared" si="2"/>
        <v>30.0%</v>
      </c>
      <c r="G1271" s="51" t="str">
        <f t="shared" si="3"/>
        <v>₹334,699.49</v>
      </c>
      <c r="H1271" s="51" t="str">
        <f t="shared" si="4"/>
        <v>₹27,891.62</v>
      </c>
      <c r="I1271" s="51" t="str">
        <f>81567.34-H1271</f>
        <v>₹53,675.72</v>
      </c>
    </row>
    <row r="1272" ht="15.75" customHeight="1">
      <c r="A1272" s="53" t="s">
        <v>1338</v>
      </c>
      <c r="B1272" s="53" t="s">
        <v>51</v>
      </c>
      <c r="C1272" s="53" t="s">
        <v>54</v>
      </c>
      <c r="D1272" s="54">
        <v>93018.43</v>
      </c>
      <c r="E1272" s="54" t="str">
        <f t="shared" si="1"/>
        <v>₹1,116,221.16</v>
      </c>
      <c r="F1272" s="55" t="str">
        <f t="shared" si="2"/>
        <v>30.0%</v>
      </c>
      <c r="G1272" s="54" t="str">
        <f t="shared" si="3"/>
        <v>₹334,866.35</v>
      </c>
      <c r="H1272" s="54" t="str">
        <f t="shared" si="4"/>
        <v>₹27,905.53</v>
      </c>
      <c r="I1272" s="54" t="str">
        <f>81606.9-H1272</f>
        <v>₹53,701.37</v>
      </c>
    </row>
    <row r="1273" ht="15.75" customHeight="1">
      <c r="A1273" s="50" t="s">
        <v>1339</v>
      </c>
      <c r="B1273" s="50" t="s">
        <v>25</v>
      </c>
      <c r="C1273" s="50" t="s">
        <v>37</v>
      </c>
      <c r="D1273" s="51">
        <v>93041.61</v>
      </c>
      <c r="E1273" s="51" t="str">
        <f t="shared" si="1"/>
        <v>₹1,116,499.32</v>
      </c>
      <c r="F1273" s="52" t="str">
        <f t="shared" si="2"/>
        <v>30.0%</v>
      </c>
      <c r="G1273" s="51" t="str">
        <f t="shared" si="3"/>
        <v>₹334,949.80</v>
      </c>
      <c r="H1273" s="51" t="str">
        <f t="shared" si="4"/>
        <v>₹27,912.48</v>
      </c>
      <c r="I1273" s="51" t="str">
        <f>81626.68-H1273</f>
        <v>₹53,714.20</v>
      </c>
    </row>
    <row r="1274" ht="15.75" customHeight="1">
      <c r="A1274" s="53" t="s">
        <v>1340</v>
      </c>
      <c r="B1274" s="53" t="s">
        <v>29</v>
      </c>
      <c r="C1274" s="53" t="s">
        <v>33</v>
      </c>
      <c r="D1274" s="54">
        <v>93064.79</v>
      </c>
      <c r="E1274" s="54" t="str">
        <f t="shared" si="1"/>
        <v>₹1,116,777.48</v>
      </c>
      <c r="F1274" s="55" t="str">
        <f t="shared" si="2"/>
        <v>30.0%</v>
      </c>
      <c r="G1274" s="54" t="str">
        <f t="shared" si="3"/>
        <v>₹335,033.24</v>
      </c>
      <c r="H1274" s="54" t="str">
        <f t="shared" si="4"/>
        <v>₹27,919.44</v>
      </c>
      <c r="I1274" s="54" t="str">
        <f>81646.46-H1274</f>
        <v>₹53,727.02</v>
      </c>
    </row>
    <row r="1275" ht="15.75" customHeight="1">
      <c r="A1275" s="50" t="s">
        <v>1341</v>
      </c>
      <c r="B1275" s="50" t="s">
        <v>51</v>
      </c>
      <c r="C1275" s="50" t="s">
        <v>26</v>
      </c>
      <c r="D1275" s="51">
        <v>93087.96</v>
      </c>
      <c r="E1275" s="51" t="str">
        <f t="shared" si="1"/>
        <v>₹1,117,055.52</v>
      </c>
      <c r="F1275" s="52" t="str">
        <f t="shared" si="2"/>
        <v>30.0%</v>
      </c>
      <c r="G1275" s="51" t="str">
        <f t="shared" si="3"/>
        <v>₹335,116.66</v>
      </c>
      <c r="H1275" s="51" t="str">
        <f t="shared" si="4"/>
        <v>₹27,926.39</v>
      </c>
      <c r="I1275" s="51" t="str">
        <f>81666.23-H1275</f>
        <v>₹53,739.84</v>
      </c>
    </row>
    <row r="1276" ht="15.75" customHeight="1">
      <c r="A1276" s="53" t="s">
        <v>1342</v>
      </c>
      <c r="B1276" s="53" t="s">
        <v>36</v>
      </c>
      <c r="C1276" s="53" t="s">
        <v>26</v>
      </c>
      <c r="D1276" s="54">
        <v>93111.14</v>
      </c>
      <c r="E1276" s="54" t="str">
        <f t="shared" si="1"/>
        <v>₹1,117,333.68</v>
      </c>
      <c r="F1276" s="55" t="str">
        <f t="shared" si="2"/>
        <v>30.0%</v>
      </c>
      <c r="G1276" s="54" t="str">
        <f t="shared" si="3"/>
        <v>₹335,200.10</v>
      </c>
      <c r="H1276" s="54" t="str">
        <f t="shared" si="4"/>
        <v>₹27,933.34</v>
      </c>
      <c r="I1276" s="54" t="str">
        <f>81686.02-H1276</f>
        <v>₹53,752.68</v>
      </c>
    </row>
    <row r="1277" ht="15.75" customHeight="1">
      <c r="A1277" s="50" t="s">
        <v>1343</v>
      </c>
      <c r="B1277" s="50" t="s">
        <v>29</v>
      </c>
      <c r="C1277" s="50" t="s">
        <v>33</v>
      </c>
      <c r="D1277" s="51">
        <v>93134.32</v>
      </c>
      <c r="E1277" s="51" t="str">
        <f t="shared" si="1"/>
        <v>₹1,117,611.84</v>
      </c>
      <c r="F1277" s="52" t="str">
        <f t="shared" si="2"/>
        <v>30.0%</v>
      </c>
      <c r="G1277" s="51" t="str">
        <f t="shared" si="3"/>
        <v>₹335,283.55</v>
      </c>
      <c r="H1277" s="51" t="str">
        <f t="shared" si="4"/>
        <v>₹27,940.30</v>
      </c>
      <c r="I1277" s="51" t="str">
        <f>81705.8-H1277</f>
        <v>₹53,765.50</v>
      </c>
    </row>
    <row r="1278" ht="15.75" customHeight="1">
      <c r="A1278" s="53" t="s">
        <v>1344</v>
      </c>
      <c r="B1278" s="53" t="s">
        <v>53</v>
      </c>
      <c r="C1278" s="53" t="s">
        <v>30</v>
      </c>
      <c r="D1278" s="54">
        <v>93157.5</v>
      </c>
      <c r="E1278" s="54" t="str">
        <f t="shared" si="1"/>
        <v>₹1,117,890.00</v>
      </c>
      <c r="F1278" s="55" t="str">
        <f t="shared" si="2"/>
        <v>30.0%</v>
      </c>
      <c r="G1278" s="54" t="str">
        <f t="shared" si="3"/>
        <v>₹335,367.00</v>
      </c>
      <c r="H1278" s="54" t="str">
        <f t="shared" si="4"/>
        <v>₹27,947.25</v>
      </c>
      <c r="I1278" s="54" t="str">
        <f>81725.58-H1278</f>
        <v>₹53,778.33</v>
      </c>
    </row>
    <row r="1279" ht="15.75" customHeight="1">
      <c r="A1279" s="50" t="s">
        <v>1345</v>
      </c>
      <c r="B1279" s="50" t="s">
        <v>13</v>
      </c>
      <c r="C1279" s="50" t="s">
        <v>54</v>
      </c>
      <c r="D1279" s="51">
        <v>93180.67</v>
      </c>
      <c r="E1279" s="51" t="str">
        <f t="shared" si="1"/>
        <v>₹1,118,168.04</v>
      </c>
      <c r="F1279" s="52" t="str">
        <f t="shared" si="2"/>
        <v>30.0%</v>
      </c>
      <c r="G1279" s="51" t="str">
        <f t="shared" si="3"/>
        <v>₹335,450.41</v>
      </c>
      <c r="H1279" s="51" t="str">
        <f t="shared" si="4"/>
        <v>₹27,954.20</v>
      </c>
      <c r="I1279" s="51" t="str">
        <f>81745.35-H1279</f>
        <v>₹53,791.15</v>
      </c>
    </row>
    <row r="1280" ht="15.75" customHeight="1">
      <c r="A1280" s="53" t="s">
        <v>1346</v>
      </c>
      <c r="B1280" s="53" t="s">
        <v>29</v>
      </c>
      <c r="C1280" s="53" t="s">
        <v>30</v>
      </c>
      <c r="D1280" s="54">
        <v>93203.85</v>
      </c>
      <c r="E1280" s="54" t="str">
        <f t="shared" si="1"/>
        <v>₹1,118,446.20</v>
      </c>
      <c r="F1280" s="55" t="str">
        <f t="shared" si="2"/>
        <v>30.0%</v>
      </c>
      <c r="G1280" s="54" t="str">
        <f t="shared" si="3"/>
        <v>₹335,533.86</v>
      </c>
      <c r="H1280" s="54" t="str">
        <f t="shared" si="4"/>
        <v>₹27,961.16</v>
      </c>
      <c r="I1280" s="54" t="str">
        <f>81765.14-H1280</f>
        <v>₹53,803.99</v>
      </c>
    </row>
    <row r="1281" ht="15.75" customHeight="1">
      <c r="A1281" s="50" t="s">
        <v>1347</v>
      </c>
      <c r="B1281" s="50" t="s">
        <v>36</v>
      </c>
      <c r="C1281" s="50" t="s">
        <v>37</v>
      </c>
      <c r="D1281" s="51">
        <v>93227.03</v>
      </c>
      <c r="E1281" s="51" t="str">
        <f t="shared" si="1"/>
        <v>₹1,118,724.36</v>
      </c>
      <c r="F1281" s="52" t="str">
        <f t="shared" si="2"/>
        <v>30.0%</v>
      </c>
      <c r="G1281" s="51" t="str">
        <f t="shared" si="3"/>
        <v>₹335,617.31</v>
      </c>
      <c r="H1281" s="51" t="str">
        <f t="shared" si="4"/>
        <v>₹27,968.11</v>
      </c>
      <c r="I1281" s="51" t="str">
        <f>81784.92-H1281</f>
        <v>₹53,816.81</v>
      </c>
    </row>
    <row r="1282" ht="15.75" customHeight="1">
      <c r="A1282" s="53" t="s">
        <v>1348</v>
      </c>
      <c r="B1282" s="53" t="s">
        <v>29</v>
      </c>
      <c r="C1282" s="53" t="s">
        <v>18</v>
      </c>
      <c r="D1282" s="54">
        <v>93250.21</v>
      </c>
      <c r="E1282" s="54" t="str">
        <f t="shared" si="1"/>
        <v>₹1,119,002.52</v>
      </c>
      <c r="F1282" s="55" t="str">
        <f t="shared" si="2"/>
        <v>30.0%</v>
      </c>
      <c r="G1282" s="54" t="str">
        <f t="shared" si="3"/>
        <v>₹335,700.76</v>
      </c>
      <c r="H1282" s="54" t="str">
        <f t="shared" si="4"/>
        <v>₹27,975.06</v>
      </c>
      <c r="I1282" s="54" t="str">
        <f>81804.7-H1282</f>
        <v>₹53,829.64</v>
      </c>
    </row>
    <row r="1283" ht="15.75" customHeight="1">
      <c r="A1283" s="50" t="s">
        <v>1349</v>
      </c>
      <c r="B1283" s="50" t="s">
        <v>51</v>
      </c>
      <c r="C1283" s="50" t="s">
        <v>33</v>
      </c>
      <c r="D1283" s="51">
        <v>93273.39</v>
      </c>
      <c r="E1283" s="51" t="str">
        <f t="shared" si="1"/>
        <v>₹1,119,280.68</v>
      </c>
      <c r="F1283" s="52" t="str">
        <f t="shared" si="2"/>
        <v>30.0%</v>
      </c>
      <c r="G1283" s="51" t="str">
        <f t="shared" si="3"/>
        <v>₹335,784.20</v>
      </c>
      <c r="H1283" s="51" t="str">
        <f t="shared" si="4"/>
        <v>₹27,982.02</v>
      </c>
      <c r="I1283" s="51" t="str">
        <f>81824.48-H1283</f>
        <v>₹53,842.46</v>
      </c>
    </row>
    <row r="1284" ht="15.75" customHeight="1">
      <c r="A1284" s="53" t="s">
        <v>1350</v>
      </c>
      <c r="B1284" s="53" t="s">
        <v>51</v>
      </c>
      <c r="C1284" s="53" t="s">
        <v>30</v>
      </c>
      <c r="D1284" s="54">
        <v>93296.56</v>
      </c>
      <c r="E1284" s="54" t="str">
        <f t="shared" si="1"/>
        <v>₹1,119,558.72</v>
      </c>
      <c r="F1284" s="55" t="str">
        <f t="shared" si="2"/>
        <v>30.0%</v>
      </c>
      <c r="G1284" s="54" t="str">
        <f t="shared" si="3"/>
        <v>₹335,867.62</v>
      </c>
      <c r="H1284" s="54" t="str">
        <f t="shared" si="4"/>
        <v>₹27,988.97</v>
      </c>
      <c r="I1284" s="54" t="str">
        <f>81844.26-H1284</f>
        <v>₹53,855.29</v>
      </c>
    </row>
    <row r="1285" ht="15.75" customHeight="1">
      <c r="A1285" s="50" t="s">
        <v>1351</v>
      </c>
      <c r="B1285" s="50" t="s">
        <v>53</v>
      </c>
      <c r="C1285" s="50" t="s">
        <v>33</v>
      </c>
      <c r="D1285" s="51">
        <v>93319.74</v>
      </c>
      <c r="E1285" s="51" t="str">
        <f t="shared" si="1"/>
        <v>₹1,119,836.88</v>
      </c>
      <c r="F1285" s="52" t="str">
        <f t="shared" si="2"/>
        <v>30.0%</v>
      </c>
      <c r="G1285" s="51" t="str">
        <f t="shared" si="3"/>
        <v>₹335,951.06</v>
      </c>
      <c r="H1285" s="51" t="str">
        <f t="shared" si="4"/>
        <v>₹27,995.92</v>
      </c>
      <c r="I1285" s="51" t="str">
        <f>81864.04-H1285</f>
        <v>₹53,868.12</v>
      </c>
    </row>
    <row r="1286" ht="15.75" customHeight="1">
      <c r="A1286" s="53" t="s">
        <v>1352</v>
      </c>
      <c r="B1286" s="53" t="s">
        <v>51</v>
      </c>
      <c r="C1286" s="53" t="s">
        <v>33</v>
      </c>
      <c r="D1286" s="54">
        <v>93342.92</v>
      </c>
      <c r="E1286" s="54" t="str">
        <f t="shared" si="1"/>
        <v>₹1,120,115.04</v>
      </c>
      <c r="F1286" s="55" t="str">
        <f t="shared" si="2"/>
        <v>30.0%</v>
      </c>
      <c r="G1286" s="54" t="str">
        <f t="shared" si="3"/>
        <v>₹336,034.51</v>
      </c>
      <c r="H1286" s="54" t="str">
        <f t="shared" si="4"/>
        <v>₹28,002.88</v>
      </c>
      <c r="I1286" s="54" t="str">
        <f>81883.82-H1286</f>
        <v>₹53,880.94</v>
      </c>
    </row>
    <row r="1287" ht="15.75" customHeight="1">
      <c r="A1287" s="50" t="s">
        <v>1353</v>
      </c>
      <c r="B1287" s="50" t="s">
        <v>53</v>
      </c>
      <c r="C1287" s="50" t="s">
        <v>33</v>
      </c>
      <c r="D1287" s="51">
        <v>93366.1</v>
      </c>
      <c r="E1287" s="51" t="str">
        <f t="shared" si="1"/>
        <v>₹1,120,393.20</v>
      </c>
      <c r="F1287" s="52" t="str">
        <f t="shared" si="2"/>
        <v>30.0%</v>
      </c>
      <c r="G1287" s="51" t="str">
        <f t="shared" si="3"/>
        <v>₹336,117.96</v>
      </c>
      <c r="H1287" s="51" t="str">
        <f t="shared" si="4"/>
        <v>₹28,009.83</v>
      </c>
      <c r="I1287" s="51" t="str">
        <f>81903.6-H1287</f>
        <v>₹53,893.77</v>
      </c>
    </row>
    <row r="1288" ht="15.75" customHeight="1">
      <c r="A1288" s="53" t="s">
        <v>1354</v>
      </c>
      <c r="B1288" s="53" t="s">
        <v>17</v>
      </c>
      <c r="C1288" s="53" t="s">
        <v>26</v>
      </c>
      <c r="D1288" s="54">
        <v>93389.27</v>
      </c>
      <c r="E1288" s="54" t="str">
        <f t="shared" si="1"/>
        <v>₹1,120,671.24</v>
      </c>
      <c r="F1288" s="55" t="str">
        <f t="shared" si="2"/>
        <v>30.0%</v>
      </c>
      <c r="G1288" s="54" t="str">
        <f t="shared" si="3"/>
        <v>₹336,201.37</v>
      </c>
      <c r="H1288" s="54" t="str">
        <f t="shared" si="4"/>
        <v>₹28,016.78</v>
      </c>
      <c r="I1288" s="54" t="str">
        <f>81923.38-H1288</f>
        <v>₹53,906.60</v>
      </c>
    </row>
    <row r="1289" ht="15.75" customHeight="1">
      <c r="A1289" s="50" t="s">
        <v>1355</v>
      </c>
      <c r="B1289" s="50" t="s">
        <v>51</v>
      </c>
      <c r="C1289" s="50" t="s">
        <v>14</v>
      </c>
      <c r="D1289" s="51">
        <v>93412.45</v>
      </c>
      <c r="E1289" s="51" t="str">
        <f t="shared" si="1"/>
        <v>₹1,120,949.40</v>
      </c>
      <c r="F1289" s="52" t="str">
        <f t="shared" si="2"/>
        <v>30.0%</v>
      </c>
      <c r="G1289" s="51" t="str">
        <f t="shared" si="3"/>
        <v>₹336,284.82</v>
      </c>
      <c r="H1289" s="51" t="str">
        <f t="shared" si="4"/>
        <v>₹28,023.74</v>
      </c>
      <c r="I1289" s="51" t="str">
        <f>81943.16-H1289</f>
        <v>₹53,919.43</v>
      </c>
    </row>
    <row r="1290" ht="15.75" customHeight="1">
      <c r="A1290" s="53" t="s">
        <v>1356</v>
      </c>
      <c r="B1290" s="53" t="s">
        <v>36</v>
      </c>
      <c r="C1290" s="53" t="s">
        <v>54</v>
      </c>
      <c r="D1290" s="54">
        <v>93435.63</v>
      </c>
      <c r="E1290" s="54" t="str">
        <f t="shared" si="1"/>
        <v>₹1,121,227.56</v>
      </c>
      <c r="F1290" s="55" t="str">
        <f t="shared" si="2"/>
        <v>30.0%</v>
      </c>
      <c r="G1290" s="54" t="str">
        <f t="shared" si="3"/>
        <v>₹336,368.27</v>
      </c>
      <c r="H1290" s="54" t="str">
        <f t="shared" si="4"/>
        <v>₹28,030.69</v>
      </c>
      <c r="I1290" s="54" t="str">
        <f>81962.94-H1290</f>
        <v>₹53,932.25</v>
      </c>
    </row>
    <row r="1291" ht="15.75" customHeight="1">
      <c r="A1291" s="50" t="s">
        <v>1357</v>
      </c>
      <c r="B1291" s="50" t="s">
        <v>25</v>
      </c>
      <c r="C1291" s="50" t="s">
        <v>37</v>
      </c>
      <c r="D1291" s="51">
        <v>93458.81</v>
      </c>
      <c r="E1291" s="51" t="str">
        <f t="shared" si="1"/>
        <v>₹1,121,505.72</v>
      </c>
      <c r="F1291" s="52" t="str">
        <f t="shared" si="2"/>
        <v>30.0%</v>
      </c>
      <c r="G1291" s="51" t="str">
        <f t="shared" si="3"/>
        <v>₹336,451.72</v>
      </c>
      <c r="H1291" s="51" t="str">
        <f t="shared" si="4"/>
        <v>₹28,037.64</v>
      </c>
      <c r="I1291" s="51" t="str">
        <f>81982.72-H1291</f>
        <v>₹53,945.08</v>
      </c>
    </row>
    <row r="1292" ht="15.75" customHeight="1">
      <c r="A1292" s="53" t="s">
        <v>1358</v>
      </c>
      <c r="B1292" s="53" t="s">
        <v>25</v>
      </c>
      <c r="C1292" s="53" t="s">
        <v>54</v>
      </c>
      <c r="D1292" s="54">
        <v>93481.98</v>
      </c>
      <c r="E1292" s="54" t="str">
        <f t="shared" si="1"/>
        <v>₹1,121,783.76</v>
      </c>
      <c r="F1292" s="55" t="str">
        <f t="shared" si="2"/>
        <v>30.0%</v>
      </c>
      <c r="G1292" s="54" t="str">
        <f t="shared" si="3"/>
        <v>₹336,535.13</v>
      </c>
      <c r="H1292" s="54" t="str">
        <f t="shared" si="4"/>
        <v>₹28,044.59</v>
      </c>
      <c r="I1292" s="54" t="str">
        <f>82002.5-H1292</f>
        <v>₹53,957.91</v>
      </c>
    </row>
    <row r="1293" ht="15.75" customHeight="1">
      <c r="A1293" s="50" t="s">
        <v>1359</v>
      </c>
      <c r="B1293" s="50" t="s">
        <v>29</v>
      </c>
      <c r="C1293" s="50" t="s">
        <v>37</v>
      </c>
      <c r="D1293" s="51">
        <v>93528.34</v>
      </c>
      <c r="E1293" s="51" t="str">
        <f t="shared" si="1"/>
        <v>₹1,122,340.08</v>
      </c>
      <c r="F1293" s="52" t="str">
        <f t="shared" si="2"/>
        <v>30.0%</v>
      </c>
      <c r="G1293" s="51" t="str">
        <f t="shared" si="3"/>
        <v>₹336,702.02</v>
      </c>
      <c r="H1293" s="51" t="str">
        <f t="shared" si="4"/>
        <v>₹28,058.50</v>
      </c>
      <c r="I1293" s="51" t="str">
        <f>82042.06-H1293</f>
        <v>₹53,983.56</v>
      </c>
    </row>
    <row r="1294" ht="15.75" customHeight="1">
      <c r="A1294" s="53" t="s">
        <v>1360</v>
      </c>
      <c r="B1294" s="53" t="s">
        <v>13</v>
      </c>
      <c r="C1294" s="53" t="s">
        <v>30</v>
      </c>
      <c r="D1294" s="54">
        <v>93551.52</v>
      </c>
      <c r="E1294" s="54" t="str">
        <f t="shared" si="1"/>
        <v>₹1,122,618.24</v>
      </c>
      <c r="F1294" s="55" t="str">
        <f t="shared" si="2"/>
        <v>30.0%</v>
      </c>
      <c r="G1294" s="54" t="str">
        <f t="shared" si="3"/>
        <v>₹336,785.47</v>
      </c>
      <c r="H1294" s="54" t="str">
        <f t="shared" si="4"/>
        <v>₹28,065.46</v>
      </c>
      <c r="I1294" s="54" t="str">
        <f>82061.84-H1294</f>
        <v>₹53,996.38</v>
      </c>
    </row>
    <row r="1295" ht="15.75" customHeight="1">
      <c r="A1295" s="50" t="s">
        <v>1361</v>
      </c>
      <c r="B1295" s="50" t="s">
        <v>17</v>
      </c>
      <c r="C1295" s="50" t="s">
        <v>30</v>
      </c>
      <c r="D1295" s="51">
        <v>93574.7</v>
      </c>
      <c r="E1295" s="51" t="str">
        <f t="shared" si="1"/>
        <v>₹1,122,896.40</v>
      </c>
      <c r="F1295" s="52" t="str">
        <f t="shared" si="2"/>
        <v>30.0%</v>
      </c>
      <c r="G1295" s="51" t="str">
        <f t="shared" si="3"/>
        <v>₹336,868.92</v>
      </c>
      <c r="H1295" s="51" t="str">
        <f t="shared" si="4"/>
        <v>₹28,072.41</v>
      </c>
      <c r="I1295" s="51" t="str">
        <f>82081.63-H1295</f>
        <v>₹54,009.22</v>
      </c>
    </row>
    <row r="1296" ht="15.75" customHeight="1">
      <c r="A1296" s="53" t="s">
        <v>1362</v>
      </c>
      <c r="B1296" s="53" t="s">
        <v>17</v>
      </c>
      <c r="C1296" s="53" t="s">
        <v>30</v>
      </c>
      <c r="D1296" s="54">
        <v>93597.87</v>
      </c>
      <c r="E1296" s="54" t="str">
        <f t="shared" si="1"/>
        <v>₹1,123,174.44</v>
      </c>
      <c r="F1296" s="55" t="str">
        <f t="shared" si="2"/>
        <v>30.0%</v>
      </c>
      <c r="G1296" s="54" t="str">
        <f t="shared" si="3"/>
        <v>₹336,952.33</v>
      </c>
      <c r="H1296" s="54" t="str">
        <f t="shared" si="4"/>
        <v>₹28,079.36</v>
      </c>
      <c r="I1296" s="54" t="str">
        <f>82101.4-H1296</f>
        <v>₹54,022.04</v>
      </c>
    </row>
    <row r="1297" ht="15.75" customHeight="1">
      <c r="A1297" s="50" t="s">
        <v>1363</v>
      </c>
      <c r="B1297" s="50" t="s">
        <v>25</v>
      </c>
      <c r="C1297" s="50" t="s">
        <v>30</v>
      </c>
      <c r="D1297" s="51">
        <v>93667.41</v>
      </c>
      <c r="E1297" s="51" t="str">
        <f t="shared" si="1"/>
        <v>₹1,124,008.92</v>
      </c>
      <c r="F1297" s="52" t="str">
        <f t="shared" si="2"/>
        <v>30.0%</v>
      </c>
      <c r="G1297" s="51" t="str">
        <f t="shared" si="3"/>
        <v>₹337,202.68</v>
      </c>
      <c r="H1297" s="51" t="str">
        <f t="shared" si="4"/>
        <v>₹28,100.22</v>
      </c>
      <c r="I1297" s="51" t="str">
        <f>82160.75-H1297</f>
        <v>₹54,060.53</v>
      </c>
    </row>
    <row r="1298" ht="15.75" customHeight="1">
      <c r="A1298" s="53" t="s">
        <v>1364</v>
      </c>
      <c r="B1298" s="53" t="s">
        <v>25</v>
      </c>
      <c r="C1298" s="53" t="s">
        <v>37</v>
      </c>
      <c r="D1298" s="54">
        <v>93690.58</v>
      </c>
      <c r="E1298" s="54" t="str">
        <f t="shared" si="1"/>
        <v>₹1,124,286.96</v>
      </c>
      <c r="F1298" s="55" t="str">
        <f t="shared" si="2"/>
        <v>30.0%</v>
      </c>
      <c r="G1298" s="54" t="str">
        <f t="shared" si="3"/>
        <v>₹337,286.09</v>
      </c>
      <c r="H1298" s="54" t="str">
        <f t="shared" si="4"/>
        <v>₹28,107.17</v>
      </c>
      <c r="I1298" s="54" t="str">
        <f>82180.52-H1298</f>
        <v>₹54,073.35</v>
      </c>
    </row>
    <row r="1299" ht="15.75" customHeight="1">
      <c r="A1299" s="50" t="s">
        <v>1365</v>
      </c>
      <c r="B1299" s="50" t="s">
        <v>13</v>
      </c>
      <c r="C1299" s="50" t="s">
        <v>54</v>
      </c>
      <c r="D1299" s="51">
        <v>93713.76</v>
      </c>
      <c r="E1299" s="51" t="str">
        <f t="shared" si="1"/>
        <v>₹1,124,565.12</v>
      </c>
      <c r="F1299" s="52" t="str">
        <f t="shared" si="2"/>
        <v>30.0%</v>
      </c>
      <c r="G1299" s="51" t="str">
        <f t="shared" si="3"/>
        <v>₹337,369.54</v>
      </c>
      <c r="H1299" s="51" t="str">
        <f t="shared" si="4"/>
        <v>₹28,114.13</v>
      </c>
      <c r="I1299" s="51" t="str">
        <f>82200.3-H1299</f>
        <v>₹54,086.17</v>
      </c>
    </row>
    <row r="1300" ht="15.75" customHeight="1">
      <c r="A1300" s="53" t="s">
        <v>1366</v>
      </c>
      <c r="B1300" s="53" t="s">
        <v>53</v>
      </c>
      <c r="C1300" s="53" t="s">
        <v>14</v>
      </c>
      <c r="D1300" s="54">
        <v>93736.94</v>
      </c>
      <c r="E1300" s="54" t="str">
        <f t="shared" si="1"/>
        <v>₹1,124,843.28</v>
      </c>
      <c r="F1300" s="55" t="str">
        <f t="shared" si="2"/>
        <v>30.0%</v>
      </c>
      <c r="G1300" s="54" t="str">
        <f t="shared" si="3"/>
        <v>₹337,452.98</v>
      </c>
      <c r="H1300" s="54" t="str">
        <f t="shared" si="4"/>
        <v>₹28,121.08</v>
      </c>
      <c r="I1300" s="54" t="str">
        <f>82220.08-H1300</f>
        <v>₹54,099.00</v>
      </c>
    </row>
    <row r="1301" ht="15.75" customHeight="1">
      <c r="A1301" s="50" t="s">
        <v>1367</v>
      </c>
      <c r="B1301" s="50" t="s">
        <v>17</v>
      </c>
      <c r="C1301" s="50" t="s">
        <v>30</v>
      </c>
      <c r="D1301" s="51">
        <v>93760.12</v>
      </c>
      <c r="E1301" s="51" t="str">
        <f t="shared" si="1"/>
        <v>₹1,125,121.44</v>
      </c>
      <c r="F1301" s="52" t="str">
        <f t="shared" si="2"/>
        <v>30.0%</v>
      </c>
      <c r="G1301" s="51" t="str">
        <f t="shared" si="3"/>
        <v>₹337,536.43</v>
      </c>
      <c r="H1301" s="51" t="str">
        <f t="shared" si="4"/>
        <v>₹28,128.04</v>
      </c>
      <c r="I1301" s="51" t="str">
        <f>82239.86-H1301</f>
        <v>₹54,111.82</v>
      </c>
    </row>
    <row r="1302" ht="15.75" customHeight="1">
      <c r="A1302" s="53" t="s">
        <v>1368</v>
      </c>
      <c r="B1302" s="53" t="s">
        <v>25</v>
      </c>
      <c r="C1302" s="53" t="s">
        <v>18</v>
      </c>
      <c r="D1302" s="54">
        <v>93783.29</v>
      </c>
      <c r="E1302" s="54" t="str">
        <f t="shared" si="1"/>
        <v>₹1,125,399.48</v>
      </c>
      <c r="F1302" s="55" t="str">
        <f t="shared" si="2"/>
        <v>30.0%</v>
      </c>
      <c r="G1302" s="54" t="str">
        <f t="shared" si="3"/>
        <v>₹337,619.84</v>
      </c>
      <c r="H1302" s="54" t="str">
        <f t="shared" si="4"/>
        <v>₹28,134.99</v>
      </c>
      <c r="I1302" s="54" t="str">
        <f>82259.64-H1302</f>
        <v>₹54,124.65</v>
      </c>
    </row>
    <row r="1303" ht="15.75" customHeight="1">
      <c r="A1303" s="50" t="s">
        <v>1369</v>
      </c>
      <c r="B1303" s="50" t="s">
        <v>36</v>
      </c>
      <c r="C1303" s="50" t="s">
        <v>37</v>
      </c>
      <c r="D1303" s="51">
        <v>93806.47</v>
      </c>
      <c r="E1303" s="51" t="str">
        <f t="shared" si="1"/>
        <v>₹1,125,677.64</v>
      </c>
      <c r="F1303" s="52" t="str">
        <f t="shared" si="2"/>
        <v>30.0%</v>
      </c>
      <c r="G1303" s="51" t="str">
        <f t="shared" si="3"/>
        <v>₹337,703.29</v>
      </c>
      <c r="H1303" s="51" t="str">
        <f t="shared" si="4"/>
        <v>₹28,141.94</v>
      </c>
      <c r="I1303" s="51" t="str">
        <f>82279.42-H1303</f>
        <v>₹54,137.48</v>
      </c>
    </row>
    <row r="1304" ht="15.75" customHeight="1">
      <c r="A1304" s="53" t="s">
        <v>1370</v>
      </c>
      <c r="B1304" s="53" t="s">
        <v>36</v>
      </c>
      <c r="C1304" s="53" t="s">
        <v>18</v>
      </c>
      <c r="D1304" s="54">
        <v>93829.65</v>
      </c>
      <c r="E1304" s="54" t="str">
        <f t="shared" si="1"/>
        <v>₹1,125,955.80</v>
      </c>
      <c r="F1304" s="55" t="str">
        <f t="shared" si="2"/>
        <v>30.0%</v>
      </c>
      <c r="G1304" s="54" t="str">
        <f t="shared" si="3"/>
        <v>₹337,786.74</v>
      </c>
      <c r="H1304" s="54" t="str">
        <f t="shared" si="4"/>
        <v>₹28,148.90</v>
      </c>
      <c r="I1304" s="54" t="str">
        <f>82299.2-H1304</f>
        <v>₹54,150.31</v>
      </c>
    </row>
    <row r="1305" ht="15.75" customHeight="1">
      <c r="A1305" s="50" t="s">
        <v>1371</v>
      </c>
      <c r="B1305" s="50" t="s">
        <v>29</v>
      </c>
      <c r="C1305" s="50" t="s">
        <v>33</v>
      </c>
      <c r="D1305" s="51">
        <v>93852.83</v>
      </c>
      <c r="E1305" s="51" t="str">
        <f t="shared" si="1"/>
        <v>₹1,126,233.96</v>
      </c>
      <c r="F1305" s="52" t="str">
        <f t="shared" si="2"/>
        <v>30.0%</v>
      </c>
      <c r="G1305" s="51" t="str">
        <f t="shared" si="3"/>
        <v>₹337,870.19</v>
      </c>
      <c r="H1305" s="51" t="str">
        <f t="shared" si="4"/>
        <v>₹28,155.85</v>
      </c>
      <c r="I1305" s="51" t="str">
        <f>82318.98-H1305</f>
        <v>₹54,163.13</v>
      </c>
    </row>
    <row r="1306" ht="15.75" customHeight="1">
      <c r="A1306" s="53" t="s">
        <v>1372</v>
      </c>
      <c r="B1306" s="53" t="s">
        <v>36</v>
      </c>
      <c r="C1306" s="53" t="s">
        <v>33</v>
      </c>
      <c r="D1306" s="54">
        <v>93876.01</v>
      </c>
      <c r="E1306" s="54" t="str">
        <f t="shared" si="1"/>
        <v>₹1,126,512.12</v>
      </c>
      <c r="F1306" s="55" t="str">
        <f t="shared" si="2"/>
        <v>30.0%</v>
      </c>
      <c r="G1306" s="54" t="str">
        <f t="shared" si="3"/>
        <v>₹337,953.64</v>
      </c>
      <c r="H1306" s="54" t="str">
        <f t="shared" si="4"/>
        <v>₹28,162.80</v>
      </c>
      <c r="I1306" s="54" t="str">
        <f>82338.77-H1306</f>
        <v>₹54,175.97</v>
      </c>
    </row>
    <row r="1307" ht="15.75" customHeight="1">
      <c r="A1307" s="50" t="s">
        <v>1373</v>
      </c>
      <c r="B1307" s="50" t="s">
        <v>36</v>
      </c>
      <c r="C1307" s="50" t="s">
        <v>14</v>
      </c>
      <c r="D1307" s="51">
        <v>93899.18</v>
      </c>
      <c r="E1307" s="51" t="str">
        <f t="shared" si="1"/>
        <v>₹1,126,790.16</v>
      </c>
      <c r="F1307" s="52" t="str">
        <f t="shared" si="2"/>
        <v>30.0%</v>
      </c>
      <c r="G1307" s="51" t="str">
        <f t="shared" si="3"/>
        <v>₹338,037.05</v>
      </c>
      <c r="H1307" s="51" t="str">
        <f t="shared" si="4"/>
        <v>₹28,169.75</v>
      </c>
      <c r="I1307" s="51" t="str">
        <f>82358.54-H1307</f>
        <v>₹54,188.79</v>
      </c>
    </row>
    <row r="1308" ht="15.75" customHeight="1">
      <c r="A1308" s="53" t="s">
        <v>1374</v>
      </c>
      <c r="B1308" s="53" t="s">
        <v>25</v>
      </c>
      <c r="C1308" s="53" t="s">
        <v>37</v>
      </c>
      <c r="D1308" s="54">
        <v>93922.36</v>
      </c>
      <c r="E1308" s="54" t="str">
        <f t="shared" si="1"/>
        <v>₹1,127,068.32</v>
      </c>
      <c r="F1308" s="55" t="str">
        <f t="shared" si="2"/>
        <v>30.0%</v>
      </c>
      <c r="G1308" s="54" t="str">
        <f t="shared" si="3"/>
        <v>₹338,120.50</v>
      </c>
      <c r="H1308" s="54" t="str">
        <f t="shared" si="4"/>
        <v>₹28,176.71</v>
      </c>
      <c r="I1308" s="54" t="str">
        <f>82378.32-H1308</f>
        <v>₹54,201.61</v>
      </c>
    </row>
    <row r="1309" ht="15.75" customHeight="1">
      <c r="A1309" s="50" t="s">
        <v>1375</v>
      </c>
      <c r="B1309" s="50" t="s">
        <v>36</v>
      </c>
      <c r="C1309" s="50" t="s">
        <v>14</v>
      </c>
      <c r="D1309" s="51">
        <v>93945.54</v>
      </c>
      <c r="E1309" s="51" t="str">
        <f t="shared" si="1"/>
        <v>₹1,127,346.48</v>
      </c>
      <c r="F1309" s="52" t="str">
        <f t="shared" si="2"/>
        <v>30.0%</v>
      </c>
      <c r="G1309" s="51" t="str">
        <f t="shared" si="3"/>
        <v>₹338,203.94</v>
      </c>
      <c r="H1309" s="51" t="str">
        <f t="shared" si="4"/>
        <v>₹28,183.66</v>
      </c>
      <c r="I1309" s="51" t="str">
        <f>82398.1-H1309</f>
        <v>₹54,214.44</v>
      </c>
    </row>
    <row r="1310" ht="15.75" customHeight="1">
      <c r="A1310" s="53" t="s">
        <v>1376</v>
      </c>
      <c r="B1310" s="53" t="s">
        <v>36</v>
      </c>
      <c r="C1310" s="53" t="s">
        <v>26</v>
      </c>
      <c r="D1310" s="54">
        <v>93968.72</v>
      </c>
      <c r="E1310" s="54" t="str">
        <f t="shared" si="1"/>
        <v>₹1,127,624.64</v>
      </c>
      <c r="F1310" s="55" t="str">
        <f t="shared" si="2"/>
        <v>30.0%</v>
      </c>
      <c r="G1310" s="54" t="str">
        <f t="shared" si="3"/>
        <v>₹338,287.39</v>
      </c>
      <c r="H1310" s="54" t="str">
        <f t="shared" si="4"/>
        <v>₹28,190.62</v>
      </c>
      <c r="I1310" s="54" t="str">
        <f>82417.89-H1310</f>
        <v>₹54,227.27</v>
      </c>
    </row>
    <row r="1311" ht="15.75" customHeight="1">
      <c r="A1311" s="50" t="s">
        <v>1377</v>
      </c>
      <c r="B1311" s="50" t="s">
        <v>36</v>
      </c>
      <c r="C1311" s="50" t="s">
        <v>18</v>
      </c>
      <c r="D1311" s="51">
        <v>93991.89</v>
      </c>
      <c r="E1311" s="51" t="str">
        <f t="shared" si="1"/>
        <v>₹1,127,902.68</v>
      </c>
      <c r="F1311" s="52" t="str">
        <f t="shared" si="2"/>
        <v>30.0%</v>
      </c>
      <c r="G1311" s="51" t="str">
        <f t="shared" si="3"/>
        <v>₹338,370.80</v>
      </c>
      <c r="H1311" s="51" t="str">
        <f t="shared" si="4"/>
        <v>₹28,197.57</v>
      </c>
      <c r="I1311" s="51" t="str">
        <f>82437.66-H1311</f>
        <v>₹54,240.09</v>
      </c>
    </row>
    <row r="1312" ht="15.75" customHeight="1">
      <c r="A1312" s="53" t="s">
        <v>1378</v>
      </c>
      <c r="B1312" s="53" t="s">
        <v>13</v>
      </c>
      <c r="C1312" s="53" t="s">
        <v>30</v>
      </c>
      <c r="D1312" s="54">
        <v>94015.07</v>
      </c>
      <c r="E1312" s="54" t="str">
        <f t="shared" si="1"/>
        <v>₹1,128,180.84</v>
      </c>
      <c r="F1312" s="55" t="str">
        <f t="shared" si="2"/>
        <v>30.0%</v>
      </c>
      <c r="G1312" s="54" t="str">
        <f t="shared" si="3"/>
        <v>₹338,454.25</v>
      </c>
      <c r="H1312" s="54" t="str">
        <f t="shared" si="4"/>
        <v>₹28,204.52</v>
      </c>
      <c r="I1312" s="54" t="str">
        <f>82457.44-H1312</f>
        <v>₹54,252.92</v>
      </c>
    </row>
    <row r="1313" ht="15.75" customHeight="1">
      <c r="A1313" s="50" t="s">
        <v>1379</v>
      </c>
      <c r="B1313" s="50" t="s">
        <v>25</v>
      </c>
      <c r="C1313" s="50" t="s">
        <v>14</v>
      </c>
      <c r="D1313" s="51">
        <v>94038.25</v>
      </c>
      <c r="E1313" s="51" t="str">
        <f t="shared" si="1"/>
        <v>₹1,128,459.00</v>
      </c>
      <c r="F1313" s="52" t="str">
        <f t="shared" si="2"/>
        <v>30.0%</v>
      </c>
      <c r="G1313" s="51" t="str">
        <f t="shared" si="3"/>
        <v>₹338,537.70</v>
      </c>
      <c r="H1313" s="51" t="str">
        <f t="shared" si="4"/>
        <v>₹28,211.48</v>
      </c>
      <c r="I1313" s="51" t="str">
        <f>82477.22-H1313</f>
        <v>₹54,265.75</v>
      </c>
    </row>
    <row r="1314" ht="15.75" customHeight="1">
      <c r="A1314" s="53" t="s">
        <v>1380</v>
      </c>
      <c r="B1314" s="53" t="s">
        <v>13</v>
      </c>
      <c r="C1314" s="53" t="s">
        <v>33</v>
      </c>
      <c r="D1314" s="54">
        <v>94061.43</v>
      </c>
      <c r="E1314" s="54" t="str">
        <f t="shared" si="1"/>
        <v>₹1,128,737.16</v>
      </c>
      <c r="F1314" s="55" t="str">
        <f t="shared" si="2"/>
        <v>30.0%</v>
      </c>
      <c r="G1314" s="54" t="str">
        <f t="shared" si="3"/>
        <v>₹338,621.15</v>
      </c>
      <c r="H1314" s="54" t="str">
        <f t="shared" si="4"/>
        <v>₹28,218.43</v>
      </c>
      <c r="I1314" s="54" t="str">
        <f>82497.01-H1314</f>
        <v>₹54,278.58</v>
      </c>
    </row>
    <row r="1315" ht="15.75" customHeight="1">
      <c r="A1315" s="50" t="s">
        <v>1381</v>
      </c>
      <c r="B1315" s="50" t="s">
        <v>51</v>
      </c>
      <c r="C1315" s="50" t="s">
        <v>54</v>
      </c>
      <c r="D1315" s="51">
        <v>94084.6</v>
      </c>
      <c r="E1315" s="51" t="str">
        <f t="shared" si="1"/>
        <v>₹1,129,015.20</v>
      </c>
      <c r="F1315" s="52" t="str">
        <f t="shared" si="2"/>
        <v>30.0%</v>
      </c>
      <c r="G1315" s="51" t="str">
        <f t="shared" si="3"/>
        <v>₹338,704.56</v>
      </c>
      <c r="H1315" s="51" t="str">
        <f t="shared" si="4"/>
        <v>₹28,225.38</v>
      </c>
      <c r="I1315" s="51" t="str">
        <f>82516.78-H1315</f>
        <v>₹54,291.40</v>
      </c>
    </row>
    <row r="1316" ht="15.75" customHeight="1">
      <c r="A1316" s="53" t="s">
        <v>1382</v>
      </c>
      <c r="B1316" s="53" t="s">
        <v>13</v>
      </c>
      <c r="C1316" s="53" t="s">
        <v>30</v>
      </c>
      <c r="D1316" s="54">
        <v>94107.78</v>
      </c>
      <c r="E1316" s="54" t="str">
        <f t="shared" si="1"/>
        <v>₹1,129,293.36</v>
      </c>
      <c r="F1316" s="55" t="str">
        <f t="shared" si="2"/>
        <v>30.0%</v>
      </c>
      <c r="G1316" s="54" t="str">
        <f t="shared" si="3"/>
        <v>₹338,788.01</v>
      </c>
      <c r="H1316" s="54" t="str">
        <f t="shared" si="4"/>
        <v>₹28,232.33</v>
      </c>
      <c r="I1316" s="54" t="str">
        <f>82536.56-H1316</f>
        <v>₹54,304.23</v>
      </c>
    </row>
    <row r="1317" ht="15.75" customHeight="1">
      <c r="A1317" s="50" t="s">
        <v>1383</v>
      </c>
      <c r="B1317" s="50" t="s">
        <v>29</v>
      </c>
      <c r="C1317" s="50" t="s">
        <v>26</v>
      </c>
      <c r="D1317" s="51">
        <v>94130.96</v>
      </c>
      <c r="E1317" s="51" t="str">
        <f t="shared" si="1"/>
        <v>₹1,129,571.52</v>
      </c>
      <c r="F1317" s="52" t="str">
        <f t="shared" si="2"/>
        <v>30.0%</v>
      </c>
      <c r="G1317" s="51" t="str">
        <f t="shared" si="3"/>
        <v>₹338,871.46</v>
      </c>
      <c r="H1317" s="51" t="str">
        <f t="shared" si="4"/>
        <v>₹28,239.29</v>
      </c>
      <c r="I1317" s="51" t="str">
        <f>82556.34-H1317</f>
        <v>₹54,317.05</v>
      </c>
    </row>
    <row r="1318" ht="15.75" customHeight="1">
      <c r="A1318" s="53" t="s">
        <v>1384</v>
      </c>
      <c r="B1318" s="53" t="s">
        <v>25</v>
      </c>
      <c r="C1318" s="53" t="s">
        <v>37</v>
      </c>
      <c r="D1318" s="54">
        <v>94154.14</v>
      </c>
      <c r="E1318" s="54" t="str">
        <f t="shared" si="1"/>
        <v>₹1,129,849.68</v>
      </c>
      <c r="F1318" s="55" t="str">
        <f t="shared" si="2"/>
        <v>30.0%</v>
      </c>
      <c r="G1318" s="54" t="str">
        <f t="shared" si="3"/>
        <v>₹338,954.90</v>
      </c>
      <c r="H1318" s="54" t="str">
        <f t="shared" si="4"/>
        <v>₹28,246.24</v>
      </c>
      <c r="I1318" s="54" t="str">
        <f>82576.13-H1318</f>
        <v>₹54,329.89</v>
      </c>
    </row>
    <row r="1319" ht="15.75" customHeight="1">
      <c r="A1319" s="50" t="s">
        <v>1385</v>
      </c>
      <c r="B1319" s="50" t="s">
        <v>53</v>
      </c>
      <c r="C1319" s="50" t="s">
        <v>54</v>
      </c>
      <c r="D1319" s="51">
        <v>94177.32</v>
      </c>
      <c r="E1319" s="51" t="str">
        <f t="shared" si="1"/>
        <v>₹1,130,127.84</v>
      </c>
      <c r="F1319" s="52" t="str">
        <f t="shared" si="2"/>
        <v>30.0%</v>
      </c>
      <c r="G1319" s="51" t="str">
        <f t="shared" si="3"/>
        <v>₹339,038.35</v>
      </c>
      <c r="H1319" s="51" t="str">
        <f t="shared" si="4"/>
        <v>₹28,253.20</v>
      </c>
      <c r="I1319" s="51" t="str">
        <f>82595.91-H1319</f>
        <v>₹54,342.71</v>
      </c>
    </row>
    <row r="1320" ht="15.75" customHeight="1">
      <c r="A1320" s="53" t="s">
        <v>1386</v>
      </c>
      <c r="B1320" s="53" t="s">
        <v>29</v>
      </c>
      <c r="C1320" s="53" t="s">
        <v>26</v>
      </c>
      <c r="D1320" s="54">
        <v>94200.49</v>
      </c>
      <c r="E1320" s="54" t="str">
        <f t="shared" si="1"/>
        <v>₹1,130,405.88</v>
      </c>
      <c r="F1320" s="55" t="str">
        <f t="shared" si="2"/>
        <v>30.0%</v>
      </c>
      <c r="G1320" s="54" t="str">
        <f t="shared" si="3"/>
        <v>₹339,121.76</v>
      </c>
      <c r="H1320" s="54" t="str">
        <f t="shared" si="4"/>
        <v>₹28,260.15</v>
      </c>
      <c r="I1320" s="54" t="str">
        <f>82615.68-H1320</f>
        <v>₹54,355.53</v>
      </c>
    </row>
    <row r="1321" ht="15.75" customHeight="1">
      <c r="A1321" s="50" t="s">
        <v>1387</v>
      </c>
      <c r="B1321" s="50" t="s">
        <v>25</v>
      </c>
      <c r="C1321" s="50" t="s">
        <v>26</v>
      </c>
      <c r="D1321" s="51">
        <v>94223.67</v>
      </c>
      <c r="E1321" s="51" t="str">
        <f t="shared" si="1"/>
        <v>₹1,130,684.04</v>
      </c>
      <c r="F1321" s="52" t="str">
        <f t="shared" si="2"/>
        <v>30.0%</v>
      </c>
      <c r="G1321" s="51" t="str">
        <f t="shared" si="3"/>
        <v>₹339,205.21</v>
      </c>
      <c r="H1321" s="51" t="str">
        <f t="shared" si="4"/>
        <v>₹28,267.10</v>
      </c>
      <c r="I1321" s="51" t="str">
        <f>82635.46-H1321</f>
        <v>₹54,368.36</v>
      </c>
    </row>
    <row r="1322" ht="15.75" customHeight="1">
      <c r="A1322" s="53" t="s">
        <v>1388</v>
      </c>
      <c r="B1322" s="53" t="s">
        <v>51</v>
      </c>
      <c r="C1322" s="53" t="s">
        <v>37</v>
      </c>
      <c r="D1322" s="54">
        <v>94270.03</v>
      </c>
      <c r="E1322" s="54" t="str">
        <f t="shared" si="1"/>
        <v>₹1,131,240.36</v>
      </c>
      <c r="F1322" s="55" t="str">
        <f t="shared" si="2"/>
        <v>30.0%</v>
      </c>
      <c r="G1322" s="54" t="str">
        <f t="shared" si="3"/>
        <v>₹339,372.11</v>
      </c>
      <c r="H1322" s="54" t="str">
        <f t="shared" si="4"/>
        <v>₹28,281.01</v>
      </c>
      <c r="I1322" s="54" t="str">
        <f>82675.03-H1322</f>
        <v>₹54,394.02</v>
      </c>
    </row>
    <row r="1323" ht="15.75" customHeight="1">
      <c r="A1323" s="50" t="s">
        <v>1389</v>
      </c>
      <c r="B1323" s="50" t="s">
        <v>17</v>
      </c>
      <c r="C1323" s="50" t="s">
        <v>37</v>
      </c>
      <c r="D1323" s="51">
        <v>94293.2</v>
      </c>
      <c r="E1323" s="51" t="str">
        <f t="shared" si="1"/>
        <v>₹1,131,518.40</v>
      </c>
      <c r="F1323" s="52" t="str">
        <f t="shared" si="2"/>
        <v>30.0%</v>
      </c>
      <c r="G1323" s="51" t="str">
        <f t="shared" si="3"/>
        <v>₹339,455.52</v>
      </c>
      <c r="H1323" s="51" t="str">
        <f t="shared" si="4"/>
        <v>₹28,287.96</v>
      </c>
      <c r="I1323" s="51" t="str">
        <f>82694.8-H1323</f>
        <v>₹54,406.84</v>
      </c>
    </row>
    <row r="1324" ht="15.75" customHeight="1">
      <c r="A1324" s="53" t="s">
        <v>1390</v>
      </c>
      <c r="B1324" s="53" t="s">
        <v>51</v>
      </c>
      <c r="C1324" s="53" t="s">
        <v>14</v>
      </c>
      <c r="D1324" s="54">
        <v>94316.38</v>
      </c>
      <c r="E1324" s="54" t="str">
        <f t="shared" si="1"/>
        <v>₹1,131,796.56</v>
      </c>
      <c r="F1324" s="55" t="str">
        <f t="shared" si="2"/>
        <v>30.0%</v>
      </c>
      <c r="G1324" s="54" t="str">
        <f t="shared" si="3"/>
        <v>₹339,538.97</v>
      </c>
      <c r="H1324" s="54" t="str">
        <f t="shared" si="4"/>
        <v>₹28,294.91</v>
      </c>
      <c r="I1324" s="54" t="str">
        <f>82714.58-H1324</f>
        <v>₹54,419.67</v>
      </c>
    </row>
    <row r="1325" ht="15.75" customHeight="1">
      <c r="A1325" s="50" t="s">
        <v>1391</v>
      </c>
      <c r="B1325" s="50" t="s">
        <v>36</v>
      </c>
      <c r="C1325" s="50" t="s">
        <v>18</v>
      </c>
      <c r="D1325" s="51">
        <v>94339.56</v>
      </c>
      <c r="E1325" s="51" t="str">
        <f t="shared" si="1"/>
        <v>₹1,132,074.72</v>
      </c>
      <c r="F1325" s="52" t="str">
        <f t="shared" si="2"/>
        <v>30.0%</v>
      </c>
      <c r="G1325" s="51" t="str">
        <f t="shared" si="3"/>
        <v>₹339,622.42</v>
      </c>
      <c r="H1325" s="51" t="str">
        <f t="shared" si="4"/>
        <v>₹28,301.87</v>
      </c>
      <c r="I1325" s="51" t="str">
        <f>82734.37-H1325</f>
        <v>₹54,432.50</v>
      </c>
    </row>
    <row r="1326" ht="15.75" customHeight="1">
      <c r="A1326" s="53" t="s">
        <v>1392</v>
      </c>
      <c r="B1326" s="53" t="s">
        <v>36</v>
      </c>
      <c r="C1326" s="53" t="s">
        <v>33</v>
      </c>
      <c r="D1326" s="54">
        <v>94362.74</v>
      </c>
      <c r="E1326" s="54" t="str">
        <f t="shared" si="1"/>
        <v>₹1,132,352.88</v>
      </c>
      <c r="F1326" s="55" t="str">
        <f t="shared" si="2"/>
        <v>30.0%</v>
      </c>
      <c r="G1326" s="54" t="str">
        <f t="shared" si="3"/>
        <v>₹339,705.86</v>
      </c>
      <c r="H1326" s="54" t="str">
        <f t="shared" si="4"/>
        <v>₹28,308.82</v>
      </c>
      <c r="I1326" s="54" t="str">
        <f>82754.15-H1326</f>
        <v>₹54,445.33</v>
      </c>
    </row>
    <row r="1327" ht="15.75" customHeight="1">
      <c r="A1327" s="50" t="s">
        <v>1393</v>
      </c>
      <c r="B1327" s="50" t="s">
        <v>17</v>
      </c>
      <c r="C1327" s="50" t="s">
        <v>37</v>
      </c>
      <c r="D1327" s="51">
        <v>94385.91</v>
      </c>
      <c r="E1327" s="51" t="str">
        <f t="shared" si="1"/>
        <v>₹1,132,630.92</v>
      </c>
      <c r="F1327" s="52" t="str">
        <f t="shared" si="2"/>
        <v>30.0%</v>
      </c>
      <c r="G1327" s="51" t="str">
        <f t="shared" si="3"/>
        <v>₹339,789.28</v>
      </c>
      <c r="H1327" s="51" t="str">
        <f t="shared" si="4"/>
        <v>₹28,315.77</v>
      </c>
      <c r="I1327" s="51" t="str">
        <f>82773.92-H1327</f>
        <v>₹54,458.15</v>
      </c>
    </row>
    <row r="1328" ht="15.75" customHeight="1">
      <c r="A1328" s="53" t="s">
        <v>1394</v>
      </c>
      <c r="B1328" s="53" t="s">
        <v>13</v>
      </c>
      <c r="C1328" s="53" t="s">
        <v>14</v>
      </c>
      <c r="D1328" s="54">
        <v>94409.09</v>
      </c>
      <c r="E1328" s="54" t="str">
        <f t="shared" si="1"/>
        <v>₹1,132,909.08</v>
      </c>
      <c r="F1328" s="55" t="str">
        <f t="shared" si="2"/>
        <v>30.0%</v>
      </c>
      <c r="G1328" s="54" t="str">
        <f t="shared" si="3"/>
        <v>₹339,872.72</v>
      </c>
      <c r="H1328" s="54" t="str">
        <f t="shared" si="4"/>
        <v>₹28,322.73</v>
      </c>
      <c r="I1328" s="54" t="str">
        <f>82793.7-H1328</f>
        <v>₹54,470.97</v>
      </c>
    </row>
    <row r="1329" ht="15.75" customHeight="1">
      <c r="A1329" s="50" t="s">
        <v>1395</v>
      </c>
      <c r="B1329" s="50" t="s">
        <v>36</v>
      </c>
      <c r="C1329" s="50" t="s">
        <v>30</v>
      </c>
      <c r="D1329" s="51">
        <v>94432.27</v>
      </c>
      <c r="E1329" s="51" t="str">
        <f t="shared" si="1"/>
        <v>₹1,133,187.24</v>
      </c>
      <c r="F1329" s="52" t="str">
        <f t="shared" si="2"/>
        <v>30.0%</v>
      </c>
      <c r="G1329" s="51" t="str">
        <f t="shared" si="3"/>
        <v>₹339,956.17</v>
      </c>
      <c r="H1329" s="51" t="str">
        <f t="shared" si="4"/>
        <v>₹28,329.68</v>
      </c>
      <c r="I1329" s="51" t="str">
        <f>82813.49-H1329</f>
        <v>₹54,483.81</v>
      </c>
    </row>
    <row r="1330" ht="15.75" customHeight="1">
      <c r="A1330" s="53" t="s">
        <v>1396</v>
      </c>
      <c r="B1330" s="53" t="s">
        <v>29</v>
      </c>
      <c r="C1330" s="53" t="s">
        <v>33</v>
      </c>
      <c r="D1330" s="54">
        <v>94455.45</v>
      </c>
      <c r="E1330" s="54" t="str">
        <f t="shared" si="1"/>
        <v>₹1,133,465.40</v>
      </c>
      <c r="F1330" s="55" t="str">
        <f t="shared" si="2"/>
        <v>30.0%</v>
      </c>
      <c r="G1330" s="54" t="str">
        <f t="shared" si="3"/>
        <v>₹340,039.62</v>
      </c>
      <c r="H1330" s="54" t="str">
        <f t="shared" si="4"/>
        <v>₹28,336.64</v>
      </c>
      <c r="I1330" s="54" t="str">
        <f>82833.27-H1330</f>
        <v>₹54,496.64</v>
      </c>
    </row>
    <row r="1331" ht="15.75" customHeight="1">
      <c r="A1331" s="50" t="s">
        <v>1397</v>
      </c>
      <c r="B1331" s="50" t="s">
        <v>13</v>
      </c>
      <c r="C1331" s="50" t="s">
        <v>26</v>
      </c>
      <c r="D1331" s="51">
        <v>94478.63</v>
      </c>
      <c r="E1331" s="51" t="str">
        <f t="shared" si="1"/>
        <v>₹1,133,743.56</v>
      </c>
      <c r="F1331" s="52" t="str">
        <f t="shared" si="2"/>
        <v>30.0%</v>
      </c>
      <c r="G1331" s="51" t="str">
        <f t="shared" si="3"/>
        <v>₹340,123.07</v>
      </c>
      <c r="H1331" s="51" t="str">
        <f t="shared" si="4"/>
        <v>₹28,343.59</v>
      </c>
      <c r="I1331" s="51" t="str">
        <f>82853.05-H1331</f>
        <v>₹54,509.46</v>
      </c>
    </row>
    <row r="1332" ht="15.75" customHeight="1">
      <c r="A1332" s="53" t="s">
        <v>1398</v>
      </c>
      <c r="B1332" s="53" t="s">
        <v>53</v>
      </c>
      <c r="C1332" s="53" t="s">
        <v>18</v>
      </c>
      <c r="D1332" s="54">
        <v>94501.8</v>
      </c>
      <c r="E1332" s="54" t="str">
        <f t="shared" si="1"/>
        <v>₹1,134,021.60</v>
      </c>
      <c r="F1332" s="55" t="str">
        <f t="shared" si="2"/>
        <v>30.0%</v>
      </c>
      <c r="G1332" s="54" t="str">
        <f t="shared" si="3"/>
        <v>₹340,206.48</v>
      </c>
      <c r="H1332" s="54" t="str">
        <f t="shared" si="4"/>
        <v>₹28,350.54</v>
      </c>
      <c r="I1332" s="54" t="str">
        <f>79736.49-H1332</f>
        <v>₹51,385.95</v>
      </c>
    </row>
    <row r="1333" ht="15.75" customHeight="1">
      <c r="A1333" s="50" t="s">
        <v>1399</v>
      </c>
      <c r="B1333" s="50" t="s">
        <v>13</v>
      </c>
      <c r="C1333" s="50" t="s">
        <v>33</v>
      </c>
      <c r="D1333" s="51">
        <v>94524.98</v>
      </c>
      <c r="E1333" s="51" t="str">
        <f t="shared" si="1"/>
        <v>₹1,134,299.76</v>
      </c>
      <c r="F1333" s="52" t="str">
        <f t="shared" si="2"/>
        <v>30.0%</v>
      </c>
      <c r="G1333" s="51" t="str">
        <f t="shared" si="3"/>
        <v>₹340,289.93</v>
      </c>
      <c r="H1333" s="51" t="str">
        <f t="shared" si="4"/>
        <v>₹28,357.49</v>
      </c>
      <c r="I1333" s="51" t="str">
        <f>82892.61-H1333</f>
        <v>₹54,535.12</v>
      </c>
    </row>
    <row r="1334" ht="15.75" customHeight="1">
      <c r="A1334" s="53" t="s">
        <v>1400</v>
      </c>
      <c r="B1334" s="53" t="s">
        <v>29</v>
      </c>
      <c r="C1334" s="53" t="s">
        <v>18</v>
      </c>
      <c r="D1334" s="54">
        <v>94548.16</v>
      </c>
      <c r="E1334" s="54" t="str">
        <f t="shared" si="1"/>
        <v>₹1,134,577.92</v>
      </c>
      <c r="F1334" s="55" t="str">
        <f t="shared" si="2"/>
        <v>30.0%</v>
      </c>
      <c r="G1334" s="54" t="str">
        <f t="shared" si="3"/>
        <v>₹340,373.38</v>
      </c>
      <c r="H1334" s="54" t="str">
        <f t="shared" si="4"/>
        <v>₹28,364.45</v>
      </c>
      <c r="I1334" s="54" t="str">
        <f>82912.39-H1334</f>
        <v>₹54,547.94</v>
      </c>
    </row>
    <row r="1335" ht="15.75" customHeight="1">
      <c r="A1335" s="50" t="s">
        <v>1401</v>
      </c>
      <c r="B1335" s="50" t="s">
        <v>29</v>
      </c>
      <c r="C1335" s="50" t="s">
        <v>18</v>
      </c>
      <c r="D1335" s="51">
        <v>94571.34</v>
      </c>
      <c r="E1335" s="51" t="str">
        <f t="shared" si="1"/>
        <v>₹1,134,856.08</v>
      </c>
      <c r="F1335" s="52" t="str">
        <f t="shared" si="2"/>
        <v>30.0%</v>
      </c>
      <c r="G1335" s="51" t="str">
        <f t="shared" si="3"/>
        <v>₹340,456.82</v>
      </c>
      <c r="H1335" s="51" t="str">
        <f t="shared" si="4"/>
        <v>₹28,371.40</v>
      </c>
      <c r="I1335" s="51" t="str">
        <f>82932.17-H1335</f>
        <v>₹54,560.77</v>
      </c>
    </row>
    <row r="1336" ht="15.75" customHeight="1">
      <c r="A1336" s="53" t="s">
        <v>1402</v>
      </c>
      <c r="B1336" s="53" t="s">
        <v>51</v>
      </c>
      <c r="C1336" s="53" t="s">
        <v>54</v>
      </c>
      <c r="D1336" s="54">
        <v>94594.51</v>
      </c>
      <c r="E1336" s="54" t="str">
        <f t="shared" si="1"/>
        <v>₹1,135,134.12</v>
      </c>
      <c r="F1336" s="55" t="str">
        <f t="shared" si="2"/>
        <v>30.0%</v>
      </c>
      <c r="G1336" s="54" t="str">
        <f t="shared" si="3"/>
        <v>₹340,540.24</v>
      </c>
      <c r="H1336" s="54" t="str">
        <f t="shared" si="4"/>
        <v>₹28,378.35</v>
      </c>
      <c r="I1336" s="54" t="str">
        <f>82951.94-H1336</f>
        <v>₹54,573.59</v>
      </c>
    </row>
    <row r="1337" ht="15.75" customHeight="1">
      <c r="A1337" s="50" t="s">
        <v>1403</v>
      </c>
      <c r="B1337" s="50" t="s">
        <v>53</v>
      </c>
      <c r="C1337" s="50" t="s">
        <v>33</v>
      </c>
      <c r="D1337" s="51">
        <v>94617.69</v>
      </c>
      <c r="E1337" s="51" t="str">
        <f t="shared" si="1"/>
        <v>₹1,135,412.28</v>
      </c>
      <c r="F1337" s="52" t="str">
        <f t="shared" si="2"/>
        <v>30.0%</v>
      </c>
      <c r="G1337" s="51" t="str">
        <f t="shared" si="3"/>
        <v>₹340,623.68</v>
      </c>
      <c r="H1337" s="51" t="str">
        <f t="shared" si="4"/>
        <v>₹28,385.31</v>
      </c>
      <c r="I1337" s="51" t="str">
        <f>82971.73-H1337</f>
        <v>₹54,586.42</v>
      </c>
    </row>
    <row r="1338" ht="15.75" customHeight="1">
      <c r="A1338" s="53" t="s">
        <v>1404</v>
      </c>
      <c r="B1338" s="53" t="s">
        <v>36</v>
      </c>
      <c r="C1338" s="53" t="s">
        <v>33</v>
      </c>
      <c r="D1338" s="54">
        <v>94640.87</v>
      </c>
      <c r="E1338" s="54" t="str">
        <f t="shared" si="1"/>
        <v>₹1,135,690.44</v>
      </c>
      <c r="F1338" s="55" t="str">
        <f t="shared" si="2"/>
        <v>30.0%</v>
      </c>
      <c r="G1338" s="54" t="str">
        <f t="shared" si="3"/>
        <v>₹340,707.13</v>
      </c>
      <c r="H1338" s="54" t="str">
        <f t="shared" si="4"/>
        <v>₹28,392.26</v>
      </c>
      <c r="I1338" s="54" t="str">
        <f>82991.51-H1338</f>
        <v>₹54,599.25</v>
      </c>
    </row>
    <row r="1339" ht="15.75" customHeight="1">
      <c r="A1339" s="50" t="s">
        <v>1405</v>
      </c>
      <c r="B1339" s="50" t="s">
        <v>53</v>
      </c>
      <c r="C1339" s="50" t="s">
        <v>26</v>
      </c>
      <c r="D1339" s="51">
        <v>94687.22</v>
      </c>
      <c r="E1339" s="51" t="str">
        <f t="shared" si="1"/>
        <v>₹1,136,246.64</v>
      </c>
      <c r="F1339" s="52" t="str">
        <f t="shared" si="2"/>
        <v>30.0%</v>
      </c>
      <c r="G1339" s="51" t="str">
        <f t="shared" si="3"/>
        <v>₹340,873.99</v>
      </c>
      <c r="H1339" s="51" t="str">
        <f t="shared" si="4"/>
        <v>₹28,406.17</v>
      </c>
      <c r="I1339" s="51" t="str">
        <f>83031.06-H1339</f>
        <v>₹54,624.89</v>
      </c>
    </row>
    <row r="1340" ht="15.75" customHeight="1">
      <c r="A1340" s="53" t="s">
        <v>1406</v>
      </c>
      <c r="B1340" s="53" t="s">
        <v>25</v>
      </c>
      <c r="C1340" s="53" t="s">
        <v>18</v>
      </c>
      <c r="D1340" s="54">
        <v>94710.4</v>
      </c>
      <c r="E1340" s="54" t="str">
        <f t="shared" si="1"/>
        <v>₹1,136,524.80</v>
      </c>
      <c r="F1340" s="55" t="str">
        <f t="shared" si="2"/>
        <v>30.0%</v>
      </c>
      <c r="G1340" s="54" t="str">
        <f t="shared" si="3"/>
        <v>₹340,957.44</v>
      </c>
      <c r="H1340" s="54" t="str">
        <f t="shared" si="4"/>
        <v>₹28,413.12</v>
      </c>
      <c r="I1340" s="54" t="str">
        <f>83050.85-H1340</f>
        <v>₹54,637.73</v>
      </c>
    </row>
    <row r="1341" ht="15.75" customHeight="1">
      <c r="A1341" s="50" t="s">
        <v>1407</v>
      </c>
      <c r="B1341" s="50" t="s">
        <v>13</v>
      </c>
      <c r="C1341" s="50" t="s">
        <v>18</v>
      </c>
      <c r="D1341" s="51">
        <v>94733.58</v>
      </c>
      <c r="E1341" s="51" t="str">
        <f t="shared" si="1"/>
        <v>₹1,136,802.96</v>
      </c>
      <c r="F1341" s="52" t="str">
        <f t="shared" si="2"/>
        <v>30.0%</v>
      </c>
      <c r="G1341" s="51" t="str">
        <f t="shared" si="3"/>
        <v>₹341,040.89</v>
      </c>
      <c r="H1341" s="51" t="str">
        <f t="shared" si="4"/>
        <v>₹28,420.07</v>
      </c>
      <c r="I1341" s="51" t="str">
        <f>83070.63-H1341</f>
        <v>₹54,650.56</v>
      </c>
    </row>
    <row r="1342" ht="15.75" customHeight="1">
      <c r="A1342" s="53" t="s">
        <v>1408</v>
      </c>
      <c r="B1342" s="53" t="s">
        <v>13</v>
      </c>
      <c r="C1342" s="53" t="s">
        <v>30</v>
      </c>
      <c r="D1342" s="54">
        <v>94756.76</v>
      </c>
      <c r="E1342" s="54" t="str">
        <f t="shared" si="1"/>
        <v>₹1,137,081.12</v>
      </c>
      <c r="F1342" s="55" t="str">
        <f t="shared" si="2"/>
        <v>30.0%</v>
      </c>
      <c r="G1342" s="54" t="str">
        <f t="shared" si="3"/>
        <v>₹341,124.34</v>
      </c>
      <c r="H1342" s="54" t="str">
        <f t="shared" si="4"/>
        <v>₹28,427.03</v>
      </c>
      <c r="I1342" s="54" t="str">
        <f>83090.41-H1342</f>
        <v>₹54,663.38</v>
      </c>
    </row>
    <row r="1343" ht="15.75" customHeight="1">
      <c r="A1343" s="50" t="s">
        <v>1409</v>
      </c>
      <c r="B1343" s="50" t="s">
        <v>51</v>
      </c>
      <c r="C1343" s="50" t="s">
        <v>30</v>
      </c>
      <c r="D1343" s="51">
        <v>94779.94</v>
      </c>
      <c r="E1343" s="51" t="str">
        <f t="shared" si="1"/>
        <v>₹1,137,359.28</v>
      </c>
      <c r="F1343" s="52" t="str">
        <f t="shared" si="2"/>
        <v>30.0%</v>
      </c>
      <c r="G1343" s="51" t="str">
        <f t="shared" si="3"/>
        <v>₹341,207.78</v>
      </c>
      <c r="H1343" s="51" t="str">
        <f t="shared" si="4"/>
        <v>₹28,433.98</v>
      </c>
      <c r="I1343" s="51" t="str">
        <f>83110.19-H1343</f>
        <v>₹54,676.21</v>
      </c>
    </row>
    <row r="1344" ht="15.75" customHeight="1">
      <c r="A1344" s="53" t="s">
        <v>1410</v>
      </c>
      <c r="B1344" s="53" t="s">
        <v>29</v>
      </c>
      <c r="C1344" s="53" t="s">
        <v>26</v>
      </c>
      <c r="D1344" s="54">
        <v>94803.11</v>
      </c>
      <c r="E1344" s="54" t="str">
        <f t="shared" si="1"/>
        <v>₹1,137,637.32</v>
      </c>
      <c r="F1344" s="55" t="str">
        <f t="shared" si="2"/>
        <v>30.0%</v>
      </c>
      <c r="G1344" s="54" t="str">
        <f t="shared" si="3"/>
        <v>₹341,291.20</v>
      </c>
      <c r="H1344" s="54" t="str">
        <f t="shared" si="4"/>
        <v>₹28,440.93</v>
      </c>
      <c r="I1344" s="54" t="str">
        <f>83129.97-H1344</f>
        <v>₹54,689.04</v>
      </c>
    </row>
    <row r="1345" ht="15.75" customHeight="1">
      <c r="A1345" s="50" t="s">
        <v>1411</v>
      </c>
      <c r="B1345" s="50" t="s">
        <v>13</v>
      </c>
      <c r="C1345" s="50" t="s">
        <v>26</v>
      </c>
      <c r="D1345" s="51">
        <v>94826.29</v>
      </c>
      <c r="E1345" s="51" t="str">
        <f t="shared" si="1"/>
        <v>₹1,137,915.48</v>
      </c>
      <c r="F1345" s="52" t="str">
        <f t="shared" si="2"/>
        <v>30.0%</v>
      </c>
      <c r="G1345" s="51" t="str">
        <f t="shared" si="3"/>
        <v>₹341,374.64</v>
      </c>
      <c r="H1345" s="51" t="str">
        <f t="shared" si="4"/>
        <v>₹28,447.89</v>
      </c>
      <c r="I1345" s="51" t="str">
        <f>83149.75-H1345</f>
        <v>₹54,701.86</v>
      </c>
    </row>
    <row r="1346" ht="15.75" customHeight="1">
      <c r="A1346" s="53" t="s">
        <v>1412</v>
      </c>
      <c r="B1346" s="53" t="s">
        <v>25</v>
      </c>
      <c r="C1346" s="53" t="s">
        <v>30</v>
      </c>
      <c r="D1346" s="54">
        <v>94849.47</v>
      </c>
      <c r="E1346" s="54" t="str">
        <f t="shared" si="1"/>
        <v>₹1,138,193.64</v>
      </c>
      <c r="F1346" s="55" t="str">
        <f t="shared" si="2"/>
        <v>30.0%</v>
      </c>
      <c r="G1346" s="54" t="str">
        <f t="shared" si="3"/>
        <v>₹341,458.09</v>
      </c>
      <c r="H1346" s="54" t="str">
        <f t="shared" si="4"/>
        <v>₹28,454.84</v>
      </c>
      <c r="I1346" s="54" t="str">
        <f>83169.53-H1346</f>
        <v>₹54,714.69</v>
      </c>
    </row>
    <row r="1347" ht="15.75" customHeight="1">
      <c r="A1347" s="50" t="s">
        <v>1413</v>
      </c>
      <c r="B1347" s="50" t="s">
        <v>29</v>
      </c>
      <c r="C1347" s="50" t="s">
        <v>14</v>
      </c>
      <c r="D1347" s="51">
        <v>94872.65</v>
      </c>
      <c r="E1347" s="51" t="str">
        <f t="shared" si="1"/>
        <v>₹1,138,471.80</v>
      </c>
      <c r="F1347" s="52" t="str">
        <f t="shared" si="2"/>
        <v>30.0%</v>
      </c>
      <c r="G1347" s="51" t="str">
        <f t="shared" si="3"/>
        <v>₹341,541.54</v>
      </c>
      <c r="H1347" s="51" t="str">
        <f t="shared" si="4"/>
        <v>₹28,461.80</v>
      </c>
      <c r="I1347" s="51" t="str">
        <f>83189.31-H1347</f>
        <v>₹54,727.52</v>
      </c>
    </row>
    <row r="1348" ht="15.75" customHeight="1">
      <c r="A1348" s="53" t="s">
        <v>1414</v>
      </c>
      <c r="B1348" s="53" t="s">
        <v>29</v>
      </c>
      <c r="C1348" s="53" t="s">
        <v>18</v>
      </c>
      <c r="D1348" s="54">
        <v>94895.82</v>
      </c>
      <c r="E1348" s="54" t="str">
        <f t="shared" si="1"/>
        <v>₹1,138,749.84</v>
      </c>
      <c r="F1348" s="55" t="str">
        <f t="shared" si="2"/>
        <v>30.0%</v>
      </c>
      <c r="G1348" s="54" t="str">
        <f t="shared" si="3"/>
        <v>₹341,624.95</v>
      </c>
      <c r="H1348" s="54" t="str">
        <f t="shared" si="4"/>
        <v>₹28,468.75</v>
      </c>
      <c r="I1348" s="54" t="str">
        <f>83209.08-H1348</f>
        <v>₹54,740.33</v>
      </c>
    </row>
    <row r="1349" ht="15.75" customHeight="1">
      <c r="A1349" s="50" t="s">
        <v>1415</v>
      </c>
      <c r="B1349" s="50" t="s">
        <v>29</v>
      </c>
      <c r="C1349" s="50" t="s">
        <v>14</v>
      </c>
      <c r="D1349" s="51">
        <v>94919.0</v>
      </c>
      <c r="E1349" s="51" t="str">
        <f t="shared" si="1"/>
        <v>₹1,139,028.00</v>
      </c>
      <c r="F1349" s="52" t="str">
        <f t="shared" si="2"/>
        <v>30.0%</v>
      </c>
      <c r="G1349" s="51" t="str">
        <f t="shared" si="3"/>
        <v>₹341,708.40</v>
      </c>
      <c r="H1349" s="51" t="str">
        <f t="shared" si="4"/>
        <v>₹28,475.70</v>
      </c>
      <c r="I1349" s="51" t="str">
        <f>83228.87-H1349</f>
        <v>₹54,753.17</v>
      </c>
    </row>
    <row r="1350" ht="15.75" customHeight="1">
      <c r="A1350" s="53" t="s">
        <v>1416</v>
      </c>
      <c r="B1350" s="53" t="s">
        <v>29</v>
      </c>
      <c r="C1350" s="53" t="s">
        <v>37</v>
      </c>
      <c r="D1350" s="54">
        <v>94942.18</v>
      </c>
      <c r="E1350" s="54" t="str">
        <f t="shared" si="1"/>
        <v>₹1,139,306.16</v>
      </c>
      <c r="F1350" s="55" t="str">
        <f t="shared" si="2"/>
        <v>30.0%</v>
      </c>
      <c r="G1350" s="54" t="str">
        <f t="shared" si="3"/>
        <v>₹341,791.85</v>
      </c>
      <c r="H1350" s="54" t="str">
        <f t="shared" si="4"/>
        <v>₹28,482.65</v>
      </c>
      <c r="I1350" s="54" t="str">
        <f>83248.65-H1350</f>
        <v>₹54,766.00</v>
      </c>
    </row>
    <row r="1351" ht="15.75" customHeight="1">
      <c r="A1351" s="50" t="s">
        <v>1417</v>
      </c>
      <c r="B1351" s="50" t="s">
        <v>29</v>
      </c>
      <c r="C1351" s="50" t="s">
        <v>18</v>
      </c>
      <c r="D1351" s="51">
        <v>94965.36</v>
      </c>
      <c r="E1351" s="51" t="str">
        <f t="shared" si="1"/>
        <v>₹1,139,584.32</v>
      </c>
      <c r="F1351" s="52" t="str">
        <f t="shared" si="2"/>
        <v>30.0%</v>
      </c>
      <c r="G1351" s="51" t="str">
        <f t="shared" si="3"/>
        <v>₹341,875.30</v>
      </c>
      <c r="H1351" s="51" t="str">
        <f t="shared" si="4"/>
        <v>₹28,489.61</v>
      </c>
      <c r="I1351" s="51" t="str">
        <f>83268.43-H1351</f>
        <v>₹54,778.82</v>
      </c>
    </row>
    <row r="1352" ht="15.75" customHeight="1">
      <c r="A1352" s="53" t="s">
        <v>1418</v>
      </c>
      <c r="B1352" s="53" t="s">
        <v>36</v>
      </c>
      <c r="C1352" s="53" t="s">
        <v>14</v>
      </c>
      <c r="D1352" s="54">
        <v>94988.53</v>
      </c>
      <c r="E1352" s="54" t="str">
        <f t="shared" si="1"/>
        <v>₹1,139,862.36</v>
      </c>
      <c r="F1352" s="55" t="str">
        <f t="shared" si="2"/>
        <v>30.0%</v>
      </c>
      <c r="G1352" s="54" t="str">
        <f t="shared" si="3"/>
        <v>₹341,958.71</v>
      </c>
      <c r="H1352" s="54" t="str">
        <f t="shared" si="4"/>
        <v>₹28,496.56</v>
      </c>
      <c r="I1352" s="54" t="str">
        <f>83288.2-H1352</f>
        <v>₹54,791.64</v>
      </c>
    </row>
    <row r="1353" ht="15.75" customHeight="1">
      <c r="A1353" s="50" t="s">
        <v>1419</v>
      </c>
      <c r="B1353" s="50" t="s">
        <v>29</v>
      </c>
      <c r="C1353" s="50" t="s">
        <v>18</v>
      </c>
      <c r="D1353" s="51">
        <v>95011.71</v>
      </c>
      <c r="E1353" s="51" t="str">
        <f t="shared" si="1"/>
        <v>₹1,140,140.52</v>
      </c>
      <c r="F1353" s="52" t="str">
        <f t="shared" si="2"/>
        <v>30.0%</v>
      </c>
      <c r="G1353" s="51" t="str">
        <f t="shared" si="3"/>
        <v>₹342,042.16</v>
      </c>
      <c r="H1353" s="51" t="str">
        <f t="shared" si="4"/>
        <v>₹28,503.51</v>
      </c>
      <c r="I1353" s="51" t="str">
        <f>83307.99-H1353</f>
        <v>₹54,804.48</v>
      </c>
    </row>
    <row r="1354" ht="15.75" customHeight="1">
      <c r="A1354" s="53" t="s">
        <v>1420</v>
      </c>
      <c r="B1354" s="53" t="s">
        <v>13</v>
      </c>
      <c r="C1354" s="53" t="s">
        <v>18</v>
      </c>
      <c r="D1354" s="54">
        <v>95034.89</v>
      </c>
      <c r="E1354" s="54" t="str">
        <f t="shared" si="1"/>
        <v>₹1,140,418.68</v>
      </c>
      <c r="F1354" s="55" t="str">
        <f t="shared" si="2"/>
        <v>30.0%</v>
      </c>
      <c r="G1354" s="54" t="str">
        <f t="shared" si="3"/>
        <v>₹342,125.60</v>
      </c>
      <c r="H1354" s="54" t="str">
        <f t="shared" si="4"/>
        <v>₹28,510.47</v>
      </c>
      <c r="I1354" s="54" t="str">
        <f>83327.77-H1354</f>
        <v>₹54,817.30</v>
      </c>
    </row>
    <row r="1355" ht="15.75" customHeight="1">
      <c r="A1355" s="50" t="s">
        <v>1421</v>
      </c>
      <c r="B1355" s="50" t="s">
        <v>53</v>
      </c>
      <c r="C1355" s="50" t="s">
        <v>54</v>
      </c>
      <c r="D1355" s="51">
        <v>95058.07</v>
      </c>
      <c r="E1355" s="51" t="str">
        <f t="shared" si="1"/>
        <v>₹1,140,696.84</v>
      </c>
      <c r="F1355" s="52" t="str">
        <f t="shared" si="2"/>
        <v>30.0%</v>
      </c>
      <c r="G1355" s="51" t="str">
        <f t="shared" si="3"/>
        <v>₹342,209.05</v>
      </c>
      <c r="H1355" s="51" t="str">
        <f t="shared" si="4"/>
        <v>₹28,517.42</v>
      </c>
      <c r="I1355" s="51" t="str">
        <f>83347.55-H1355</f>
        <v>₹54,830.13</v>
      </c>
    </row>
    <row r="1356" ht="15.75" customHeight="1">
      <c r="A1356" s="53" t="s">
        <v>1422</v>
      </c>
      <c r="B1356" s="53" t="s">
        <v>36</v>
      </c>
      <c r="C1356" s="53" t="s">
        <v>54</v>
      </c>
      <c r="D1356" s="54">
        <v>95081.25</v>
      </c>
      <c r="E1356" s="54" t="str">
        <f t="shared" si="1"/>
        <v>₹1,140,975.00</v>
      </c>
      <c r="F1356" s="55" t="str">
        <f t="shared" si="2"/>
        <v>30.0%</v>
      </c>
      <c r="G1356" s="54" t="str">
        <f t="shared" si="3"/>
        <v>₹342,292.50</v>
      </c>
      <c r="H1356" s="54" t="str">
        <f t="shared" si="4"/>
        <v>₹28,524.38</v>
      </c>
      <c r="I1356" s="54" t="str">
        <f>83367.33-H1356</f>
        <v>₹54,842.96</v>
      </c>
    </row>
    <row r="1357" ht="15.75" customHeight="1">
      <c r="A1357" s="50" t="s">
        <v>1423</v>
      </c>
      <c r="B1357" s="50" t="s">
        <v>29</v>
      </c>
      <c r="C1357" s="50" t="s">
        <v>37</v>
      </c>
      <c r="D1357" s="51">
        <v>95104.42</v>
      </c>
      <c r="E1357" s="51" t="str">
        <f t="shared" si="1"/>
        <v>₹1,141,253.04</v>
      </c>
      <c r="F1357" s="52" t="str">
        <f t="shared" si="2"/>
        <v>30.0%</v>
      </c>
      <c r="G1357" s="51" t="str">
        <f t="shared" si="3"/>
        <v>₹342,375.91</v>
      </c>
      <c r="H1357" s="51" t="str">
        <f t="shared" si="4"/>
        <v>₹28,531.33</v>
      </c>
      <c r="I1357" s="51" t="str">
        <f>83387.11-H1357</f>
        <v>₹54,855.78</v>
      </c>
    </row>
    <row r="1358" ht="15.75" customHeight="1">
      <c r="A1358" s="53" t="s">
        <v>1424</v>
      </c>
      <c r="B1358" s="53" t="s">
        <v>51</v>
      </c>
      <c r="C1358" s="53" t="s">
        <v>14</v>
      </c>
      <c r="D1358" s="54">
        <v>95127.6</v>
      </c>
      <c r="E1358" s="54" t="str">
        <f t="shared" si="1"/>
        <v>₹1,141,531.20</v>
      </c>
      <c r="F1358" s="55" t="str">
        <f t="shared" si="2"/>
        <v>30.0%</v>
      </c>
      <c r="G1358" s="54" t="str">
        <f t="shared" si="3"/>
        <v>₹342,459.36</v>
      </c>
      <c r="H1358" s="54" t="str">
        <f t="shared" si="4"/>
        <v>₹28,538.28</v>
      </c>
      <c r="I1358" s="54" t="str">
        <f>83406.89-H1358</f>
        <v>₹54,868.61</v>
      </c>
    </row>
    <row r="1359" ht="15.75" customHeight="1">
      <c r="A1359" s="50" t="s">
        <v>1425</v>
      </c>
      <c r="B1359" s="50" t="s">
        <v>13</v>
      </c>
      <c r="C1359" s="50" t="s">
        <v>18</v>
      </c>
      <c r="D1359" s="51">
        <v>95150.78</v>
      </c>
      <c r="E1359" s="51" t="str">
        <f t="shared" si="1"/>
        <v>₹1,141,809.36</v>
      </c>
      <c r="F1359" s="52" t="str">
        <f t="shared" si="2"/>
        <v>30.0%</v>
      </c>
      <c r="G1359" s="51" t="str">
        <f t="shared" si="3"/>
        <v>₹342,542.81</v>
      </c>
      <c r="H1359" s="51" t="str">
        <f t="shared" si="4"/>
        <v>₹28,545.23</v>
      </c>
      <c r="I1359" s="51" t="str">
        <f>83426.67-H1359</f>
        <v>₹54,881.44</v>
      </c>
    </row>
    <row r="1360" ht="15.75" customHeight="1">
      <c r="A1360" s="53" t="s">
        <v>1426</v>
      </c>
      <c r="B1360" s="53" t="s">
        <v>51</v>
      </c>
      <c r="C1360" s="53" t="s">
        <v>26</v>
      </c>
      <c r="D1360" s="54">
        <v>95173.96</v>
      </c>
      <c r="E1360" s="54" t="str">
        <f t="shared" si="1"/>
        <v>₹1,142,087.52</v>
      </c>
      <c r="F1360" s="55" t="str">
        <f t="shared" si="2"/>
        <v>30.0%</v>
      </c>
      <c r="G1360" s="54" t="str">
        <f t="shared" si="3"/>
        <v>₹342,626.26</v>
      </c>
      <c r="H1360" s="54" t="str">
        <f t="shared" si="4"/>
        <v>₹28,552.19</v>
      </c>
      <c r="I1360" s="54" t="str">
        <f>83446.45-H1360</f>
        <v>₹54,894.26</v>
      </c>
    </row>
    <row r="1361" ht="15.75" customHeight="1">
      <c r="A1361" s="50" t="s">
        <v>1427</v>
      </c>
      <c r="B1361" s="50" t="s">
        <v>53</v>
      </c>
      <c r="C1361" s="50" t="s">
        <v>30</v>
      </c>
      <c r="D1361" s="51">
        <v>95197.13</v>
      </c>
      <c r="E1361" s="51" t="str">
        <f t="shared" si="1"/>
        <v>₹1,142,365.56</v>
      </c>
      <c r="F1361" s="52" t="str">
        <f t="shared" si="2"/>
        <v>30.0%</v>
      </c>
      <c r="G1361" s="51" t="str">
        <f t="shared" si="3"/>
        <v>₹342,709.67</v>
      </c>
      <c r="H1361" s="51" t="str">
        <f t="shared" si="4"/>
        <v>₹28,559.14</v>
      </c>
      <c r="I1361" s="51" t="str">
        <f>83466.23-H1361</f>
        <v>₹54,907.09</v>
      </c>
    </row>
    <row r="1362" ht="15.75" customHeight="1">
      <c r="A1362" s="53" t="s">
        <v>1428</v>
      </c>
      <c r="B1362" s="53" t="s">
        <v>17</v>
      </c>
      <c r="C1362" s="53" t="s">
        <v>33</v>
      </c>
      <c r="D1362" s="54">
        <v>95220.31</v>
      </c>
      <c r="E1362" s="54" t="str">
        <f t="shared" si="1"/>
        <v>₹1,142,643.72</v>
      </c>
      <c r="F1362" s="55" t="str">
        <f t="shared" si="2"/>
        <v>30.0%</v>
      </c>
      <c r="G1362" s="54" t="str">
        <f t="shared" si="3"/>
        <v>₹342,793.12</v>
      </c>
      <c r="H1362" s="54" t="str">
        <f t="shared" si="4"/>
        <v>₹28,566.09</v>
      </c>
      <c r="I1362" s="54" t="str">
        <f>83486.01-H1362</f>
        <v>₹54,919.92</v>
      </c>
    </row>
    <row r="1363" ht="15.75" customHeight="1">
      <c r="A1363" s="50" t="s">
        <v>1429</v>
      </c>
      <c r="B1363" s="50" t="s">
        <v>25</v>
      </c>
      <c r="C1363" s="50" t="s">
        <v>30</v>
      </c>
      <c r="D1363" s="51">
        <v>95243.49</v>
      </c>
      <c r="E1363" s="51" t="str">
        <f t="shared" si="1"/>
        <v>₹1,142,921.88</v>
      </c>
      <c r="F1363" s="52" t="str">
        <f t="shared" si="2"/>
        <v>30.0%</v>
      </c>
      <c r="G1363" s="51" t="str">
        <f t="shared" si="3"/>
        <v>₹342,876.56</v>
      </c>
      <c r="H1363" s="51" t="str">
        <f t="shared" si="4"/>
        <v>₹28,573.05</v>
      </c>
      <c r="I1363" s="51" t="str">
        <f>83505.79-H1363</f>
        <v>₹54,932.74</v>
      </c>
    </row>
    <row r="1364" ht="15.75" customHeight="1">
      <c r="A1364" s="53" t="s">
        <v>1430</v>
      </c>
      <c r="B1364" s="53" t="s">
        <v>25</v>
      </c>
      <c r="C1364" s="53" t="s">
        <v>26</v>
      </c>
      <c r="D1364" s="54">
        <v>95266.67</v>
      </c>
      <c r="E1364" s="54" t="str">
        <f t="shared" si="1"/>
        <v>₹1,143,200.04</v>
      </c>
      <c r="F1364" s="55" t="str">
        <f t="shared" si="2"/>
        <v>30.0%</v>
      </c>
      <c r="G1364" s="54" t="str">
        <f t="shared" si="3"/>
        <v>₹342,960.01</v>
      </c>
      <c r="H1364" s="54" t="str">
        <f t="shared" si="4"/>
        <v>₹28,580.00</v>
      </c>
      <c r="I1364" s="54" t="str">
        <f>83525.57-H1364</f>
        <v>₹54,945.57</v>
      </c>
    </row>
    <row r="1365" ht="15.75" customHeight="1">
      <c r="A1365" s="50" t="s">
        <v>1431</v>
      </c>
      <c r="B1365" s="50" t="s">
        <v>51</v>
      </c>
      <c r="C1365" s="50" t="s">
        <v>18</v>
      </c>
      <c r="D1365" s="51">
        <v>95289.84</v>
      </c>
      <c r="E1365" s="51" t="str">
        <f t="shared" si="1"/>
        <v>₹1,143,478.08</v>
      </c>
      <c r="F1365" s="52" t="str">
        <f t="shared" si="2"/>
        <v>30.0%</v>
      </c>
      <c r="G1365" s="51" t="str">
        <f t="shared" si="3"/>
        <v>₹343,043.42</v>
      </c>
      <c r="H1365" s="51" t="str">
        <f t="shared" si="4"/>
        <v>₹28,586.95</v>
      </c>
      <c r="I1365" s="51" t="str">
        <f>83545.35-H1365</f>
        <v>₹54,958.40</v>
      </c>
    </row>
    <row r="1366" ht="15.75" customHeight="1">
      <c r="A1366" s="53" t="s">
        <v>1432</v>
      </c>
      <c r="B1366" s="53" t="s">
        <v>25</v>
      </c>
      <c r="C1366" s="53" t="s">
        <v>33</v>
      </c>
      <c r="D1366" s="54">
        <v>95313.02</v>
      </c>
      <c r="E1366" s="54" t="str">
        <f t="shared" si="1"/>
        <v>₹1,143,756.24</v>
      </c>
      <c r="F1366" s="55" t="str">
        <f t="shared" si="2"/>
        <v>30.0%</v>
      </c>
      <c r="G1366" s="54" t="str">
        <f t="shared" si="3"/>
        <v>₹343,126.87</v>
      </c>
      <c r="H1366" s="54" t="str">
        <f t="shared" si="4"/>
        <v>₹28,593.91</v>
      </c>
      <c r="I1366" s="54" t="str">
        <f>83565.13-H1366</f>
        <v>₹54,971.22</v>
      </c>
    </row>
    <row r="1367" ht="15.75" customHeight="1">
      <c r="A1367" s="50" t="s">
        <v>1433</v>
      </c>
      <c r="B1367" s="50" t="s">
        <v>17</v>
      </c>
      <c r="C1367" s="50" t="s">
        <v>18</v>
      </c>
      <c r="D1367" s="51">
        <v>95336.2</v>
      </c>
      <c r="E1367" s="51" t="str">
        <f t="shared" si="1"/>
        <v>₹1,144,034.40</v>
      </c>
      <c r="F1367" s="52" t="str">
        <f t="shared" si="2"/>
        <v>30.0%</v>
      </c>
      <c r="G1367" s="51" t="str">
        <f t="shared" si="3"/>
        <v>₹343,210.32</v>
      </c>
      <c r="H1367" s="51" t="str">
        <f t="shared" si="4"/>
        <v>₹28,600.86</v>
      </c>
      <c r="I1367" s="51" t="str">
        <f>83584.91-H1367</f>
        <v>₹54,984.05</v>
      </c>
    </row>
    <row r="1368" ht="15.75" customHeight="1">
      <c r="A1368" s="53" t="s">
        <v>1434</v>
      </c>
      <c r="B1368" s="53" t="s">
        <v>13</v>
      </c>
      <c r="C1368" s="53" t="s">
        <v>14</v>
      </c>
      <c r="D1368" s="54">
        <v>95359.38</v>
      </c>
      <c r="E1368" s="54" t="str">
        <f t="shared" si="1"/>
        <v>₹1,144,312.56</v>
      </c>
      <c r="F1368" s="55" t="str">
        <f t="shared" si="2"/>
        <v>30.0%</v>
      </c>
      <c r="G1368" s="54" t="str">
        <f t="shared" si="3"/>
        <v>₹343,293.77</v>
      </c>
      <c r="H1368" s="54" t="str">
        <f t="shared" si="4"/>
        <v>₹28,607.81</v>
      </c>
      <c r="I1368" s="54" t="str">
        <f>83604.69-H1368</f>
        <v>₹54,996.88</v>
      </c>
    </row>
    <row r="1369" ht="15.75" customHeight="1">
      <c r="A1369" s="50" t="s">
        <v>1435</v>
      </c>
      <c r="B1369" s="50" t="s">
        <v>17</v>
      </c>
      <c r="C1369" s="50" t="s">
        <v>54</v>
      </c>
      <c r="D1369" s="51">
        <v>95382.56</v>
      </c>
      <c r="E1369" s="51" t="str">
        <f t="shared" si="1"/>
        <v>₹1,144,590.72</v>
      </c>
      <c r="F1369" s="52" t="str">
        <f t="shared" si="2"/>
        <v>30.0%</v>
      </c>
      <c r="G1369" s="51" t="str">
        <f t="shared" si="3"/>
        <v>₹343,377.22</v>
      </c>
      <c r="H1369" s="51" t="str">
        <f t="shared" si="4"/>
        <v>₹28,614.77</v>
      </c>
      <c r="I1369" s="51" t="str">
        <f>83624.48-H1369</f>
        <v>₹55,009.71</v>
      </c>
    </row>
    <row r="1370" ht="15.75" customHeight="1">
      <c r="A1370" s="53" t="s">
        <v>1436</v>
      </c>
      <c r="B1370" s="53" t="s">
        <v>53</v>
      </c>
      <c r="C1370" s="53" t="s">
        <v>30</v>
      </c>
      <c r="D1370" s="54">
        <v>95405.73</v>
      </c>
      <c r="E1370" s="54" t="str">
        <f t="shared" si="1"/>
        <v>₹1,144,868.76</v>
      </c>
      <c r="F1370" s="55" t="str">
        <f t="shared" si="2"/>
        <v>30.0%</v>
      </c>
      <c r="G1370" s="54" t="str">
        <f t="shared" si="3"/>
        <v>₹343,460.63</v>
      </c>
      <c r="H1370" s="54" t="str">
        <f t="shared" si="4"/>
        <v>₹28,621.72</v>
      </c>
      <c r="I1370" s="54" t="str">
        <f>83644.25-H1370</f>
        <v>₹55,022.53</v>
      </c>
    </row>
    <row r="1371" ht="15.75" customHeight="1">
      <c r="A1371" s="50" t="s">
        <v>1437</v>
      </c>
      <c r="B1371" s="50" t="s">
        <v>13</v>
      </c>
      <c r="C1371" s="50" t="s">
        <v>33</v>
      </c>
      <c r="D1371" s="51">
        <v>95428.91</v>
      </c>
      <c r="E1371" s="51" t="str">
        <f t="shared" si="1"/>
        <v>₹1,145,146.92</v>
      </c>
      <c r="F1371" s="52" t="str">
        <f t="shared" si="2"/>
        <v>30.0%</v>
      </c>
      <c r="G1371" s="51" t="str">
        <f t="shared" si="3"/>
        <v>₹343,544.08</v>
      </c>
      <c r="H1371" s="51" t="str">
        <f t="shared" si="4"/>
        <v>₹28,628.67</v>
      </c>
      <c r="I1371" s="51" t="str">
        <f>83664.03-H1371</f>
        <v>₹55,035.36</v>
      </c>
    </row>
    <row r="1372" ht="15.75" customHeight="1">
      <c r="A1372" s="53" t="s">
        <v>1438</v>
      </c>
      <c r="B1372" s="53" t="s">
        <v>53</v>
      </c>
      <c r="C1372" s="53" t="s">
        <v>54</v>
      </c>
      <c r="D1372" s="54">
        <v>95452.09</v>
      </c>
      <c r="E1372" s="54" t="str">
        <f t="shared" si="1"/>
        <v>₹1,145,425.08</v>
      </c>
      <c r="F1372" s="55" t="str">
        <f t="shared" si="2"/>
        <v>30.0%</v>
      </c>
      <c r="G1372" s="54" t="str">
        <f t="shared" si="3"/>
        <v>₹343,627.52</v>
      </c>
      <c r="H1372" s="54" t="str">
        <f t="shared" si="4"/>
        <v>₹28,635.63</v>
      </c>
      <c r="I1372" s="54" t="str">
        <f>83683.81-H1372</f>
        <v>₹55,048.18</v>
      </c>
    </row>
    <row r="1373" ht="15.75" customHeight="1">
      <c r="A1373" s="50" t="s">
        <v>1439</v>
      </c>
      <c r="B1373" s="50" t="s">
        <v>25</v>
      </c>
      <c r="C1373" s="50" t="s">
        <v>37</v>
      </c>
      <c r="D1373" s="51">
        <v>95475.27</v>
      </c>
      <c r="E1373" s="51" t="str">
        <f t="shared" si="1"/>
        <v>₹1,145,703.24</v>
      </c>
      <c r="F1373" s="52" t="str">
        <f t="shared" si="2"/>
        <v>30.0%</v>
      </c>
      <c r="G1373" s="51" t="str">
        <f t="shared" si="3"/>
        <v>₹343,710.97</v>
      </c>
      <c r="H1373" s="51" t="str">
        <f t="shared" si="4"/>
        <v>₹28,642.58</v>
      </c>
      <c r="I1373" s="51" t="str">
        <f>83703.6-H1373</f>
        <v>₹55,061.02</v>
      </c>
    </row>
    <row r="1374" ht="15.75" customHeight="1">
      <c r="A1374" s="53" t="s">
        <v>1440</v>
      </c>
      <c r="B1374" s="53" t="s">
        <v>36</v>
      </c>
      <c r="C1374" s="53" t="s">
        <v>33</v>
      </c>
      <c r="D1374" s="54">
        <v>95498.44</v>
      </c>
      <c r="E1374" s="54" t="str">
        <f t="shared" si="1"/>
        <v>₹1,145,981.28</v>
      </c>
      <c r="F1374" s="55" t="str">
        <f t="shared" si="2"/>
        <v>30.0%</v>
      </c>
      <c r="G1374" s="54" t="str">
        <f t="shared" si="3"/>
        <v>₹343,794.38</v>
      </c>
      <c r="H1374" s="54" t="str">
        <f t="shared" si="4"/>
        <v>₹28,649.53</v>
      </c>
      <c r="I1374" s="54" t="str">
        <f>83723.37-H1374</f>
        <v>₹55,073.84</v>
      </c>
    </row>
    <row r="1375" ht="15.75" customHeight="1">
      <c r="A1375" s="50" t="s">
        <v>1441</v>
      </c>
      <c r="B1375" s="50" t="s">
        <v>36</v>
      </c>
      <c r="C1375" s="50" t="s">
        <v>33</v>
      </c>
      <c r="D1375" s="51">
        <v>95521.62</v>
      </c>
      <c r="E1375" s="51" t="str">
        <f t="shared" si="1"/>
        <v>₹1,146,259.44</v>
      </c>
      <c r="F1375" s="52" t="str">
        <f t="shared" si="2"/>
        <v>30.0%</v>
      </c>
      <c r="G1375" s="51" t="str">
        <f t="shared" si="3"/>
        <v>₹343,877.83</v>
      </c>
      <c r="H1375" s="51" t="str">
        <f t="shared" si="4"/>
        <v>₹28,656.49</v>
      </c>
      <c r="I1375" s="51" t="str">
        <f>83743.15-H1375</f>
        <v>₹55,086.66</v>
      </c>
    </row>
    <row r="1376" ht="15.75" customHeight="1">
      <c r="A1376" s="53" t="s">
        <v>1442</v>
      </c>
      <c r="B1376" s="53" t="s">
        <v>17</v>
      </c>
      <c r="C1376" s="53" t="s">
        <v>14</v>
      </c>
      <c r="D1376" s="54">
        <v>95544.8</v>
      </c>
      <c r="E1376" s="54" t="str">
        <f t="shared" si="1"/>
        <v>₹1,146,537.60</v>
      </c>
      <c r="F1376" s="55" t="str">
        <f t="shared" si="2"/>
        <v>30.0%</v>
      </c>
      <c r="G1376" s="54" t="str">
        <f t="shared" si="3"/>
        <v>₹343,961.28</v>
      </c>
      <c r="H1376" s="54" t="str">
        <f t="shared" si="4"/>
        <v>₹28,663.44</v>
      </c>
      <c r="I1376" s="54" t="str">
        <f>83762.93-H1376</f>
        <v>₹55,099.49</v>
      </c>
    </row>
    <row r="1377" ht="15.75" customHeight="1">
      <c r="A1377" s="50" t="s">
        <v>1443</v>
      </c>
      <c r="B1377" s="50" t="s">
        <v>29</v>
      </c>
      <c r="C1377" s="50" t="s">
        <v>26</v>
      </c>
      <c r="D1377" s="51">
        <v>95567.98</v>
      </c>
      <c r="E1377" s="51" t="str">
        <f t="shared" si="1"/>
        <v>₹1,146,815.76</v>
      </c>
      <c r="F1377" s="52" t="str">
        <f t="shared" si="2"/>
        <v>30.0%</v>
      </c>
      <c r="G1377" s="51" t="str">
        <f t="shared" si="3"/>
        <v>₹344,044.73</v>
      </c>
      <c r="H1377" s="51" t="str">
        <f t="shared" si="4"/>
        <v>₹28,670.39</v>
      </c>
      <c r="I1377" s="51" t="str">
        <f>83782.72-H1377</f>
        <v>₹55,112.33</v>
      </c>
    </row>
    <row r="1378" ht="15.75" customHeight="1">
      <c r="A1378" s="53" t="s">
        <v>1444</v>
      </c>
      <c r="B1378" s="53" t="s">
        <v>29</v>
      </c>
      <c r="C1378" s="53" t="s">
        <v>18</v>
      </c>
      <c r="D1378" s="54">
        <v>95591.15</v>
      </c>
      <c r="E1378" s="54" t="str">
        <f t="shared" si="1"/>
        <v>₹1,147,093.80</v>
      </c>
      <c r="F1378" s="55" t="str">
        <f t="shared" si="2"/>
        <v>30.0%</v>
      </c>
      <c r="G1378" s="54" t="str">
        <f t="shared" si="3"/>
        <v>₹344,128.14</v>
      </c>
      <c r="H1378" s="54" t="str">
        <f t="shared" si="4"/>
        <v>₹28,677.35</v>
      </c>
      <c r="I1378" s="54" t="str">
        <f>83802.49-H1378</f>
        <v>₹55,125.15</v>
      </c>
    </row>
    <row r="1379" ht="15.75" customHeight="1">
      <c r="A1379" s="50" t="s">
        <v>1445</v>
      </c>
      <c r="B1379" s="50" t="s">
        <v>25</v>
      </c>
      <c r="C1379" s="50" t="s">
        <v>18</v>
      </c>
      <c r="D1379" s="51">
        <v>95614.33</v>
      </c>
      <c r="E1379" s="51" t="str">
        <f t="shared" si="1"/>
        <v>₹1,147,371.96</v>
      </c>
      <c r="F1379" s="52" t="str">
        <f t="shared" si="2"/>
        <v>30.0%</v>
      </c>
      <c r="G1379" s="51" t="str">
        <f t="shared" si="3"/>
        <v>₹344,211.59</v>
      </c>
      <c r="H1379" s="51" t="str">
        <f t="shared" si="4"/>
        <v>₹28,684.30</v>
      </c>
      <c r="I1379" s="51" t="str">
        <f>83822.27-H1379</f>
        <v>₹55,137.97</v>
      </c>
    </row>
    <row r="1380" ht="15.75" customHeight="1">
      <c r="A1380" s="53" t="s">
        <v>1446</v>
      </c>
      <c r="B1380" s="53" t="s">
        <v>53</v>
      </c>
      <c r="C1380" s="53" t="s">
        <v>37</v>
      </c>
      <c r="D1380" s="54">
        <v>95637.51</v>
      </c>
      <c r="E1380" s="54" t="str">
        <f t="shared" si="1"/>
        <v>₹1,147,650.12</v>
      </c>
      <c r="F1380" s="55" t="str">
        <f t="shared" si="2"/>
        <v>30.0%</v>
      </c>
      <c r="G1380" s="54" t="str">
        <f t="shared" si="3"/>
        <v>₹344,295.04</v>
      </c>
      <c r="H1380" s="54" t="str">
        <f t="shared" si="4"/>
        <v>₹28,691.25</v>
      </c>
      <c r="I1380" s="54" t="str">
        <f>83842.05-H1380</f>
        <v>₹55,150.80</v>
      </c>
    </row>
    <row r="1381" ht="15.75" customHeight="1">
      <c r="A1381" s="50" t="s">
        <v>1447</v>
      </c>
      <c r="B1381" s="50" t="s">
        <v>25</v>
      </c>
      <c r="C1381" s="50" t="s">
        <v>54</v>
      </c>
      <c r="D1381" s="51">
        <v>95683.87</v>
      </c>
      <c r="E1381" s="51" t="str">
        <f t="shared" si="1"/>
        <v>₹1,148,206.44</v>
      </c>
      <c r="F1381" s="52" t="str">
        <f t="shared" si="2"/>
        <v>30.0%</v>
      </c>
      <c r="G1381" s="51" t="str">
        <f t="shared" si="3"/>
        <v>₹344,461.93</v>
      </c>
      <c r="H1381" s="51" t="str">
        <f t="shared" si="4"/>
        <v>₹28,705.16</v>
      </c>
      <c r="I1381" s="51" t="str">
        <f>83881.62-H1381</f>
        <v>₹55,176.46</v>
      </c>
    </row>
    <row r="1382" ht="15.75" customHeight="1">
      <c r="A1382" s="53" t="s">
        <v>1448</v>
      </c>
      <c r="B1382" s="53" t="s">
        <v>13</v>
      </c>
      <c r="C1382" s="53" t="s">
        <v>18</v>
      </c>
      <c r="D1382" s="54">
        <v>95707.04</v>
      </c>
      <c r="E1382" s="54" t="str">
        <f t="shared" si="1"/>
        <v>₹1,148,484.48</v>
      </c>
      <c r="F1382" s="55" t="str">
        <f t="shared" si="2"/>
        <v>30.0%</v>
      </c>
      <c r="G1382" s="54" t="str">
        <f t="shared" si="3"/>
        <v>₹344,545.34</v>
      </c>
      <c r="H1382" s="54" t="str">
        <f t="shared" si="4"/>
        <v>₹28,712.11</v>
      </c>
      <c r="I1382" s="54" t="str">
        <f>83901.39-H1382</f>
        <v>₹55,189.28</v>
      </c>
    </row>
    <row r="1383" ht="15.75" customHeight="1">
      <c r="A1383" s="50" t="s">
        <v>1449</v>
      </c>
      <c r="B1383" s="50" t="s">
        <v>29</v>
      </c>
      <c r="C1383" s="50" t="s">
        <v>14</v>
      </c>
      <c r="D1383" s="51">
        <v>95730.22</v>
      </c>
      <c r="E1383" s="51" t="str">
        <f t="shared" si="1"/>
        <v>₹1,148,762.64</v>
      </c>
      <c r="F1383" s="52" t="str">
        <f t="shared" si="2"/>
        <v>30.0%</v>
      </c>
      <c r="G1383" s="51" t="str">
        <f t="shared" si="3"/>
        <v>₹344,628.79</v>
      </c>
      <c r="H1383" s="51" t="str">
        <f t="shared" si="4"/>
        <v>₹28,719.07</v>
      </c>
      <c r="I1383" s="51" t="str">
        <f>83921.17-H1383</f>
        <v>₹55,202.10</v>
      </c>
    </row>
    <row r="1384" ht="15.75" customHeight="1">
      <c r="A1384" s="53" t="s">
        <v>1450</v>
      </c>
      <c r="B1384" s="53" t="s">
        <v>29</v>
      </c>
      <c r="C1384" s="53" t="s">
        <v>14</v>
      </c>
      <c r="D1384" s="54">
        <v>95753.4</v>
      </c>
      <c r="E1384" s="54" t="str">
        <f t="shared" si="1"/>
        <v>₹1,149,040.80</v>
      </c>
      <c r="F1384" s="55" t="str">
        <f t="shared" si="2"/>
        <v>30.0%</v>
      </c>
      <c r="G1384" s="54" t="str">
        <f t="shared" si="3"/>
        <v>₹344,712.24</v>
      </c>
      <c r="H1384" s="54" t="str">
        <f t="shared" si="4"/>
        <v>₹28,726.02</v>
      </c>
      <c r="I1384" s="54" t="str">
        <f>83940.96-H1384</f>
        <v>₹55,214.94</v>
      </c>
    </row>
    <row r="1385" ht="15.75" customHeight="1">
      <c r="A1385" s="50" t="s">
        <v>1451</v>
      </c>
      <c r="B1385" s="50" t="s">
        <v>51</v>
      </c>
      <c r="C1385" s="50" t="s">
        <v>18</v>
      </c>
      <c r="D1385" s="51">
        <v>95776.58</v>
      </c>
      <c r="E1385" s="51" t="str">
        <f t="shared" si="1"/>
        <v>₹1,149,318.96</v>
      </c>
      <c r="F1385" s="52" t="str">
        <f t="shared" si="2"/>
        <v>30.0%</v>
      </c>
      <c r="G1385" s="51" t="str">
        <f t="shared" si="3"/>
        <v>₹344,795.69</v>
      </c>
      <c r="H1385" s="51" t="str">
        <f t="shared" si="4"/>
        <v>₹28,732.97</v>
      </c>
      <c r="I1385" s="51" t="str">
        <f>83960.74-H1385</f>
        <v>₹55,227.77</v>
      </c>
    </row>
    <row r="1386" ht="15.75" customHeight="1">
      <c r="A1386" s="53" t="s">
        <v>1452</v>
      </c>
      <c r="B1386" s="53" t="s">
        <v>36</v>
      </c>
      <c r="C1386" s="53" t="s">
        <v>54</v>
      </c>
      <c r="D1386" s="54">
        <v>95799.75</v>
      </c>
      <c r="E1386" s="54" t="str">
        <f t="shared" si="1"/>
        <v>₹1,149,597.00</v>
      </c>
      <c r="F1386" s="55" t="str">
        <f t="shared" si="2"/>
        <v>30.0%</v>
      </c>
      <c r="G1386" s="54" t="str">
        <f t="shared" si="3"/>
        <v>₹344,879.10</v>
      </c>
      <c r="H1386" s="54" t="str">
        <f t="shared" si="4"/>
        <v>₹28,739.93</v>
      </c>
      <c r="I1386" s="54" t="str">
        <f>83980.51-H1386</f>
        <v>₹55,240.59</v>
      </c>
    </row>
    <row r="1387" ht="15.75" customHeight="1">
      <c r="A1387" s="50" t="s">
        <v>1453</v>
      </c>
      <c r="B1387" s="50" t="s">
        <v>25</v>
      </c>
      <c r="C1387" s="50" t="s">
        <v>37</v>
      </c>
      <c r="D1387" s="51">
        <v>95822.93</v>
      </c>
      <c r="E1387" s="51" t="str">
        <f t="shared" si="1"/>
        <v>₹1,149,875.16</v>
      </c>
      <c r="F1387" s="52" t="str">
        <f t="shared" si="2"/>
        <v>30.0%</v>
      </c>
      <c r="G1387" s="51" t="str">
        <f t="shared" si="3"/>
        <v>₹344,962.55</v>
      </c>
      <c r="H1387" s="51" t="str">
        <f t="shared" si="4"/>
        <v>₹28,746.88</v>
      </c>
      <c r="I1387" s="51" t="str">
        <f>84000.29-H1387</f>
        <v>₹55,253.41</v>
      </c>
    </row>
    <row r="1388" ht="15.75" customHeight="1">
      <c r="A1388" s="53" t="s">
        <v>1454</v>
      </c>
      <c r="B1388" s="53" t="s">
        <v>17</v>
      </c>
      <c r="C1388" s="53" t="s">
        <v>18</v>
      </c>
      <c r="D1388" s="54">
        <v>95846.11</v>
      </c>
      <c r="E1388" s="54" t="str">
        <f t="shared" si="1"/>
        <v>₹1,150,153.32</v>
      </c>
      <c r="F1388" s="55" t="str">
        <f t="shared" si="2"/>
        <v>30.0%</v>
      </c>
      <c r="G1388" s="54" t="str">
        <f t="shared" si="3"/>
        <v>₹345,046.00</v>
      </c>
      <c r="H1388" s="54" t="str">
        <f t="shared" si="4"/>
        <v>₹28,753.83</v>
      </c>
      <c r="I1388" s="54" t="str">
        <f>84020.08-H1388</f>
        <v>₹55,266.25</v>
      </c>
    </row>
    <row r="1389" ht="15.75" customHeight="1">
      <c r="A1389" s="50" t="s">
        <v>1455</v>
      </c>
      <c r="B1389" s="50" t="s">
        <v>36</v>
      </c>
      <c r="C1389" s="50" t="s">
        <v>54</v>
      </c>
      <c r="D1389" s="51">
        <v>95869.29</v>
      </c>
      <c r="E1389" s="51" t="str">
        <f t="shared" si="1"/>
        <v>₹1,150,431.48</v>
      </c>
      <c r="F1389" s="52" t="str">
        <f t="shared" si="2"/>
        <v>30.0%</v>
      </c>
      <c r="G1389" s="51" t="str">
        <f t="shared" si="3"/>
        <v>₹345,129.44</v>
      </c>
      <c r="H1389" s="51" t="str">
        <f t="shared" si="4"/>
        <v>₹28,760.79</v>
      </c>
      <c r="I1389" s="51" t="str">
        <f>84039.86-H1389</f>
        <v>₹55,279.07</v>
      </c>
    </row>
    <row r="1390" ht="15.75" customHeight="1">
      <c r="A1390" s="53" t="s">
        <v>1456</v>
      </c>
      <c r="B1390" s="53" t="s">
        <v>17</v>
      </c>
      <c r="C1390" s="53" t="s">
        <v>33</v>
      </c>
      <c r="D1390" s="54">
        <v>104452.34</v>
      </c>
      <c r="E1390" s="54" t="str">
        <f t="shared" si="1"/>
        <v>₹1,253,428.08</v>
      </c>
      <c r="F1390" s="55" t="str">
        <f t="shared" si="2"/>
        <v>30.0%</v>
      </c>
      <c r="G1390" s="54" t="str">
        <f t="shared" si="3"/>
        <v>₹376,028.42</v>
      </c>
      <c r="H1390" s="54" t="str">
        <f t="shared" si="4"/>
        <v>₹31,335.70</v>
      </c>
      <c r="I1390" s="54" t="str">
        <f>92619.51-H1390</f>
        <v>₹61,283.81</v>
      </c>
    </row>
    <row r="1391" ht="15.75" customHeight="1">
      <c r="A1391" s="50" t="s">
        <v>1457</v>
      </c>
      <c r="B1391" s="50" t="s">
        <v>17</v>
      </c>
      <c r="C1391" s="50" t="s">
        <v>30</v>
      </c>
      <c r="D1391" s="51">
        <v>95915.64</v>
      </c>
      <c r="E1391" s="51" t="str">
        <f t="shared" si="1"/>
        <v>₹1,150,987.68</v>
      </c>
      <c r="F1391" s="52" t="str">
        <f t="shared" si="2"/>
        <v>30.0%</v>
      </c>
      <c r="G1391" s="51" t="str">
        <f t="shared" si="3"/>
        <v>₹345,296.30</v>
      </c>
      <c r="H1391" s="51" t="str">
        <f t="shared" si="4"/>
        <v>₹28,774.69</v>
      </c>
      <c r="I1391" s="51" t="str">
        <f>84079.41-H1391</f>
        <v>₹55,304.72</v>
      </c>
    </row>
    <row r="1392" ht="15.75" customHeight="1">
      <c r="A1392" s="53" t="s">
        <v>1458</v>
      </c>
      <c r="B1392" s="53" t="s">
        <v>51</v>
      </c>
      <c r="C1392" s="53" t="s">
        <v>26</v>
      </c>
      <c r="D1392" s="54">
        <v>95938.82</v>
      </c>
      <c r="E1392" s="54" t="str">
        <f t="shared" si="1"/>
        <v>₹1,151,265.84</v>
      </c>
      <c r="F1392" s="55" t="str">
        <f t="shared" si="2"/>
        <v>30.0%</v>
      </c>
      <c r="G1392" s="54" t="str">
        <f t="shared" si="3"/>
        <v>₹345,379.75</v>
      </c>
      <c r="H1392" s="54" t="str">
        <f t="shared" si="4"/>
        <v>₹28,781.65</v>
      </c>
      <c r="I1392" s="54" t="str">
        <f>84099.2-H1392</f>
        <v>₹55,317.55</v>
      </c>
    </row>
    <row r="1393" ht="15.75" customHeight="1">
      <c r="A1393" s="50" t="s">
        <v>1459</v>
      </c>
      <c r="B1393" s="50" t="s">
        <v>36</v>
      </c>
      <c r="C1393" s="50" t="s">
        <v>18</v>
      </c>
      <c r="D1393" s="51">
        <v>95962.0</v>
      </c>
      <c r="E1393" s="51" t="str">
        <f t="shared" si="1"/>
        <v>₹1,151,544.00</v>
      </c>
      <c r="F1393" s="52" t="str">
        <f t="shared" si="2"/>
        <v>30.0%</v>
      </c>
      <c r="G1393" s="51" t="str">
        <f t="shared" si="3"/>
        <v>₹345,463.20</v>
      </c>
      <c r="H1393" s="51" t="str">
        <f t="shared" si="4"/>
        <v>₹28,788.60</v>
      </c>
      <c r="I1393" s="51" t="str">
        <f>84118.98-H1393</f>
        <v>₹55,330.38</v>
      </c>
    </row>
    <row r="1394" ht="15.75" customHeight="1">
      <c r="A1394" s="53" t="s">
        <v>1460</v>
      </c>
      <c r="B1394" s="53" t="s">
        <v>53</v>
      </c>
      <c r="C1394" s="53" t="s">
        <v>37</v>
      </c>
      <c r="D1394" s="54">
        <v>95985.18</v>
      </c>
      <c r="E1394" s="54" t="str">
        <f t="shared" si="1"/>
        <v>₹1,151,822.16</v>
      </c>
      <c r="F1394" s="55" t="str">
        <f t="shared" si="2"/>
        <v>30.0%</v>
      </c>
      <c r="G1394" s="54" t="str">
        <f t="shared" si="3"/>
        <v>₹345,546.65</v>
      </c>
      <c r="H1394" s="54" t="str">
        <f t="shared" si="4"/>
        <v>₹28,795.55</v>
      </c>
      <c r="I1394" s="54" t="str">
        <f>84138.76-H1394</f>
        <v>₹55,343.21</v>
      </c>
    </row>
    <row r="1395" ht="15.75" customHeight="1">
      <c r="A1395" s="50" t="s">
        <v>1461</v>
      </c>
      <c r="B1395" s="50" t="s">
        <v>17</v>
      </c>
      <c r="C1395" s="50" t="s">
        <v>54</v>
      </c>
      <c r="D1395" s="51">
        <v>96008.35</v>
      </c>
      <c r="E1395" s="51" t="str">
        <f t="shared" si="1"/>
        <v>₹1,152,100.20</v>
      </c>
      <c r="F1395" s="52" t="str">
        <f t="shared" si="2"/>
        <v>30.0%</v>
      </c>
      <c r="G1395" s="51" t="str">
        <f t="shared" si="3"/>
        <v>₹345,630.06</v>
      </c>
      <c r="H1395" s="51" t="str">
        <f t="shared" si="4"/>
        <v>₹28,802.51</v>
      </c>
      <c r="I1395" s="51" t="str">
        <f>84158.53-H1395</f>
        <v>₹55,356.03</v>
      </c>
    </row>
    <row r="1396" ht="15.75" customHeight="1">
      <c r="A1396" s="53" t="s">
        <v>1462</v>
      </c>
      <c r="B1396" s="53" t="s">
        <v>36</v>
      </c>
      <c r="C1396" s="53" t="s">
        <v>37</v>
      </c>
      <c r="D1396" s="54">
        <v>96031.53</v>
      </c>
      <c r="E1396" s="54" t="str">
        <f t="shared" si="1"/>
        <v>₹1,152,378.36</v>
      </c>
      <c r="F1396" s="55" t="str">
        <f t="shared" si="2"/>
        <v>30.0%</v>
      </c>
      <c r="G1396" s="54" t="str">
        <f t="shared" si="3"/>
        <v>₹345,713.51</v>
      </c>
      <c r="H1396" s="54" t="str">
        <f t="shared" si="4"/>
        <v>₹28,809.46</v>
      </c>
      <c r="I1396" s="54" t="str">
        <f>84178.31-H1396</f>
        <v>₹55,368.85</v>
      </c>
    </row>
    <row r="1397" ht="15.75" customHeight="1">
      <c r="A1397" s="50" t="s">
        <v>1463</v>
      </c>
      <c r="B1397" s="50" t="s">
        <v>17</v>
      </c>
      <c r="C1397" s="50" t="s">
        <v>33</v>
      </c>
      <c r="D1397" s="51">
        <v>96054.71</v>
      </c>
      <c r="E1397" s="51" t="str">
        <f t="shared" si="1"/>
        <v>₹1,152,656.52</v>
      </c>
      <c r="F1397" s="52" t="str">
        <f t="shared" si="2"/>
        <v>30.0%</v>
      </c>
      <c r="G1397" s="51" t="str">
        <f t="shared" si="3"/>
        <v>₹345,796.96</v>
      </c>
      <c r="H1397" s="51" t="str">
        <f t="shared" si="4"/>
        <v>₹28,816.41</v>
      </c>
      <c r="I1397" s="51" t="str">
        <f>84198.1-H1397</f>
        <v>₹55,381.69</v>
      </c>
    </row>
    <row r="1398" ht="15.75" customHeight="1">
      <c r="A1398" s="53" t="s">
        <v>1464</v>
      </c>
      <c r="B1398" s="53" t="s">
        <v>29</v>
      </c>
      <c r="C1398" s="53" t="s">
        <v>14</v>
      </c>
      <c r="D1398" s="54">
        <v>96077.89</v>
      </c>
      <c r="E1398" s="54" t="str">
        <f t="shared" si="1"/>
        <v>₹1,152,934.68</v>
      </c>
      <c r="F1398" s="55" t="str">
        <f t="shared" si="2"/>
        <v>30.0%</v>
      </c>
      <c r="G1398" s="54" t="str">
        <f t="shared" si="3"/>
        <v>₹345,880.40</v>
      </c>
      <c r="H1398" s="54" t="str">
        <f t="shared" si="4"/>
        <v>₹28,823.37</v>
      </c>
      <c r="I1398" s="54" t="str">
        <f>84217.88-H1398</f>
        <v>₹55,394.51</v>
      </c>
    </row>
    <row r="1399" ht="15.75" customHeight="1">
      <c r="A1399" s="50" t="s">
        <v>1465</v>
      </c>
      <c r="B1399" s="50" t="s">
        <v>53</v>
      </c>
      <c r="C1399" s="50" t="s">
        <v>14</v>
      </c>
      <c r="D1399" s="51">
        <v>96101.06</v>
      </c>
      <c r="E1399" s="51" t="str">
        <f t="shared" si="1"/>
        <v>₹1,153,212.72</v>
      </c>
      <c r="F1399" s="52" t="str">
        <f t="shared" si="2"/>
        <v>30.0%</v>
      </c>
      <c r="G1399" s="51" t="str">
        <f t="shared" si="3"/>
        <v>₹345,963.82</v>
      </c>
      <c r="H1399" s="51" t="str">
        <f t="shared" si="4"/>
        <v>₹28,830.32</v>
      </c>
      <c r="I1399" s="51" t="str">
        <f>84237.65-H1399</f>
        <v>₹55,407.33</v>
      </c>
    </row>
    <row r="1400" ht="15.75" customHeight="1">
      <c r="A1400" s="53" t="s">
        <v>1466</v>
      </c>
      <c r="B1400" s="53" t="s">
        <v>25</v>
      </c>
      <c r="C1400" s="53" t="s">
        <v>30</v>
      </c>
      <c r="D1400" s="54">
        <v>96124.24</v>
      </c>
      <c r="E1400" s="54" t="str">
        <f t="shared" si="1"/>
        <v>₹1,153,490.88</v>
      </c>
      <c r="F1400" s="55" t="str">
        <f t="shared" si="2"/>
        <v>30.0%</v>
      </c>
      <c r="G1400" s="54" t="str">
        <f t="shared" si="3"/>
        <v>₹346,047.26</v>
      </c>
      <c r="H1400" s="54" t="str">
        <f t="shared" si="4"/>
        <v>₹28,837.27</v>
      </c>
      <c r="I1400" s="54" t="str">
        <f>84257.43-H1400</f>
        <v>₹55,420.16</v>
      </c>
    </row>
    <row r="1401" ht="15.75" customHeight="1">
      <c r="A1401" s="50" t="s">
        <v>1467</v>
      </c>
      <c r="B1401" s="50" t="s">
        <v>25</v>
      </c>
      <c r="C1401" s="50" t="s">
        <v>33</v>
      </c>
      <c r="D1401" s="51">
        <v>96147.42</v>
      </c>
      <c r="E1401" s="51" t="str">
        <f t="shared" si="1"/>
        <v>₹1,153,769.04</v>
      </c>
      <c r="F1401" s="52" t="str">
        <f t="shared" si="2"/>
        <v>30.0%</v>
      </c>
      <c r="G1401" s="51" t="str">
        <f t="shared" si="3"/>
        <v>₹346,130.71</v>
      </c>
      <c r="H1401" s="51" t="str">
        <f t="shared" si="4"/>
        <v>₹28,844.23</v>
      </c>
      <c r="I1401" s="51" t="str">
        <f>84277.22-H1401</f>
        <v>₹55,432.99</v>
      </c>
    </row>
    <row r="1402" ht="15.75" customHeight="1">
      <c r="A1402" s="53" t="s">
        <v>1468</v>
      </c>
      <c r="B1402" s="53" t="s">
        <v>51</v>
      </c>
      <c r="C1402" s="53" t="s">
        <v>14</v>
      </c>
      <c r="D1402" s="54">
        <v>96170.6</v>
      </c>
      <c r="E1402" s="54" t="str">
        <f t="shared" si="1"/>
        <v>₹1,154,047.20</v>
      </c>
      <c r="F1402" s="55" t="str">
        <f t="shared" si="2"/>
        <v>30.0%</v>
      </c>
      <c r="G1402" s="54" t="str">
        <f t="shared" si="3"/>
        <v>₹346,214.16</v>
      </c>
      <c r="H1402" s="54" t="str">
        <f t="shared" si="4"/>
        <v>₹28,851.18</v>
      </c>
      <c r="I1402" s="54" t="str">
        <f>84297-H1402</f>
        <v>₹55,445.82</v>
      </c>
    </row>
    <row r="1403" ht="15.75" customHeight="1">
      <c r="A1403" s="50" t="s">
        <v>1469</v>
      </c>
      <c r="B1403" s="50" t="s">
        <v>17</v>
      </c>
      <c r="C1403" s="50" t="s">
        <v>30</v>
      </c>
      <c r="D1403" s="51">
        <v>96193.77</v>
      </c>
      <c r="E1403" s="51" t="str">
        <f t="shared" si="1"/>
        <v>₹1,154,325.24</v>
      </c>
      <c r="F1403" s="52" t="str">
        <f t="shared" si="2"/>
        <v>30.0%</v>
      </c>
      <c r="G1403" s="51" t="str">
        <f t="shared" si="3"/>
        <v>₹346,297.57</v>
      </c>
      <c r="H1403" s="51" t="str">
        <f t="shared" si="4"/>
        <v>₹28,858.13</v>
      </c>
      <c r="I1403" s="51" t="str">
        <f>84316.77-H1403</f>
        <v>₹55,458.64</v>
      </c>
    </row>
    <row r="1404" ht="15.75" customHeight="1">
      <c r="A1404" s="53" t="s">
        <v>1470</v>
      </c>
      <c r="B1404" s="53" t="s">
        <v>25</v>
      </c>
      <c r="C1404" s="53" t="s">
        <v>37</v>
      </c>
      <c r="D1404" s="54">
        <v>96216.95</v>
      </c>
      <c r="E1404" s="54" t="str">
        <f t="shared" si="1"/>
        <v>₹1,154,603.40</v>
      </c>
      <c r="F1404" s="55" t="str">
        <f t="shared" si="2"/>
        <v>30.0%</v>
      </c>
      <c r="G1404" s="54" t="str">
        <f t="shared" si="3"/>
        <v>₹346,381.02</v>
      </c>
      <c r="H1404" s="54" t="str">
        <f t="shared" si="4"/>
        <v>₹28,865.09</v>
      </c>
      <c r="I1404" s="54" t="str">
        <f>84336.55-H1404</f>
        <v>₹55,471.47</v>
      </c>
    </row>
    <row r="1405" ht="15.75" customHeight="1">
      <c r="A1405" s="50" t="s">
        <v>1471</v>
      </c>
      <c r="B1405" s="50" t="s">
        <v>53</v>
      </c>
      <c r="C1405" s="50" t="s">
        <v>33</v>
      </c>
      <c r="D1405" s="51">
        <v>96240.13</v>
      </c>
      <c r="E1405" s="51" t="str">
        <f t="shared" si="1"/>
        <v>₹1,154,881.56</v>
      </c>
      <c r="F1405" s="52" t="str">
        <f t="shared" si="2"/>
        <v>30.0%</v>
      </c>
      <c r="G1405" s="51" t="str">
        <f t="shared" si="3"/>
        <v>₹346,464.47</v>
      </c>
      <c r="H1405" s="51" t="str">
        <f t="shared" si="4"/>
        <v>₹28,872.04</v>
      </c>
      <c r="I1405" s="51" t="str">
        <f>84356.34-H1405</f>
        <v>₹55,484.30</v>
      </c>
    </row>
    <row r="1406" ht="15.75" customHeight="1">
      <c r="A1406" s="53" t="s">
        <v>1472</v>
      </c>
      <c r="B1406" s="53" t="s">
        <v>36</v>
      </c>
      <c r="C1406" s="53" t="s">
        <v>54</v>
      </c>
      <c r="D1406" s="54">
        <v>96263.31</v>
      </c>
      <c r="E1406" s="54" t="str">
        <f t="shared" si="1"/>
        <v>₹1,155,159.72</v>
      </c>
      <c r="F1406" s="55" t="str">
        <f t="shared" si="2"/>
        <v>30.0%</v>
      </c>
      <c r="G1406" s="54" t="str">
        <f t="shared" si="3"/>
        <v>₹346,547.92</v>
      </c>
      <c r="H1406" s="54" t="str">
        <f t="shared" si="4"/>
        <v>₹28,878.99</v>
      </c>
      <c r="I1406" s="54" t="str">
        <f>84376.12-H1406</f>
        <v>₹55,497.13</v>
      </c>
    </row>
    <row r="1407" ht="15.75" customHeight="1">
      <c r="A1407" s="50" t="s">
        <v>1473</v>
      </c>
      <c r="B1407" s="50" t="s">
        <v>53</v>
      </c>
      <c r="C1407" s="50" t="s">
        <v>14</v>
      </c>
      <c r="D1407" s="51">
        <v>96286.49</v>
      </c>
      <c r="E1407" s="51" t="str">
        <f t="shared" si="1"/>
        <v>₹1,155,437.88</v>
      </c>
      <c r="F1407" s="52" t="str">
        <f t="shared" si="2"/>
        <v>30.0%</v>
      </c>
      <c r="G1407" s="51" t="str">
        <f t="shared" si="3"/>
        <v>₹346,631.36</v>
      </c>
      <c r="H1407" s="51" t="str">
        <f t="shared" si="4"/>
        <v>₹28,885.95</v>
      </c>
      <c r="I1407" s="51" t="str">
        <f>84395.9-H1407</f>
        <v>₹55,509.95</v>
      </c>
    </row>
    <row r="1408" ht="15.75" customHeight="1">
      <c r="A1408" s="53" t="s">
        <v>1474</v>
      </c>
      <c r="B1408" s="53" t="s">
        <v>17</v>
      </c>
      <c r="C1408" s="53" t="s">
        <v>18</v>
      </c>
      <c r="D1408" s="54">
        <v>96309.66</v>
      </c>
      <c r="E1408" s="54" t="str">
        <f t="shared" si="1"/>
        <v>₹1,155,715.92</v>
      </c>
      <c r="F1408" s="55" t="str">
        <f t="shared" si="2"/>
        <v>30.0%</v>
      </c>
      <c r="G1408" s="54" t="str">
        <f t="shared" si="3"/>
        <v>₹346,714.78</v>
      </c>
      <c r="H1408" s="54" t="str">
        <f t="shared" si="4"/>
        <v>₹28,892.90</v>
      </c>
      <c r="I1408" s="54" t="str">
        <f>84415.67-H1408</f>
        <v>₹55,522.77</v>
      </c>
    </row>
    <row r="1409" ht="15.75" customHeight="1">
      <c r="A1409" s="50" t="s">
        <v>1475</v>
      </c>
      <c r="B1409" s="50" t="s">
        <v>36</v>
      </c>
      <c r="C1409" s="50" t="s">
        <v>54</v>
      </c>
      <c r="D1409" s="51">
        <v>96332.84</v>
      </c>
      <c r="E1409" s="51" t="str">
        <f t="shared" si="1"/>
        <v>₹1,155,994.08</v>
      </c>
      <c r="F1409" s="52" t="str">
        <f t="shared" si="2"/>
        <v>30.0%</v>
      </c>
      <c r="G1409" s="51" t="str">
        <f t="shared" si="3"/>
        <v>₹346,798.22</v>
      </c>
      <c r="H1409" s="51" t="str">
        <f t="shared" si="4"/>
        <v>₹28,899.85</v>
      </c>
      <c r="I1409" s="51" t="str">
        <f>82138.48-H1409</f>
        <v>₹53,238.63</v>
      </c>
    </row>
    <row r="1410" ht="15.75" customHeight="1">
      <c r="A1410" s="53" t="s">
        <v>1476</v>
      </c>
      <c r="B1410" s="53" t="s">
        <v>36</v>
      </c>
      <c r="C1410" s="53" t="s">
        <v>26</v>
      </c>
      <c r="D1410" s="54">
        <v>96356.02</v>
      </c>
      <c r="E1410" s="54" t="str">
        <f t="shared" si="1"/>
        <v>₹1,156,272.24</v>
      </c>
      <c r="F1410" s="55" t="str">
        <f t="shared" si="2"/>
        <v>30.0%</v>
      </c>
      <c r="G1410" s="54" t="str">
        <f t="shared" si="3"/>
        <v>₹346,881.67</v>
      </c>
      <c r="H1410" s="54" t="str">
        <f t="shared" si="4"/>
        <v>₹28,906.81</v>
      </c>
      <c r="I1410" s="54" t="str">
        <f>84455.24-H1410</f>
        <v>₹55,548.43</v>
      </c>
    </row>
    <row r="1411" ht="15.75" customHeight="1">
      <c r="A1411" s="50" t="s">
        <v>1477</v>
      </c>
      <c r="B1411" s="50" t="s">
        <v>51</v>
      </c>
      <c r="C1411" s="50" t="s">
        <v>14</v>
      </c>
      <c r="D1411" s="51">
        <v>96379.2</v>
      </c>
      <c r="E1411" s="51" t="str">
        <f t="shared" si="1"/>
        <v>₹1,156,550.40</v>
      </c>
      <c r="F1411" s="52" t="str">
        <f t="shared" si="2"/>
        <v>30.0%</v>
      </c>
      <c r="G1411" s="51" t="str">
        <f t="shared" si="3"/>
        <v>₹346,965.12</v>
      </c>
      <c r="H1411" s="51" t="str">
        <f t="shared" si="4"/>
        <v>₹28,913.76</v>
      </c>
      <c r="I1411" s="51" t="str">
        <f>84475.02-H1411</f>
        <v>₹55,561.26</v>
      </c>
    </row>
    <row r="1412" ht="15.75" customHeight="1">
      <c r="A1412" s="53" t="s">
        <v>1478</v>
      </c>
      <c r="B1412" s="53" t="s">
        <v>17</v>
      </c>
      <c r="C1412" s="53" t="s">
        <v>37</v>
      </c>
      <c r="D1412" s="54">
        <v>96402.37</v>
      </c>
      <c r="E1412" s="54" t="str">
        <f t="shared" si="1"/>
        <v>₹1,156,828.44</v>
      </c>
      <c r="F1412" s="55" t="str">
        <f t="shared" si="2"/>
        <v>30.0%</v>
      </c>
      <c r="G1412" s="54" t="str">
        <f t="shared" si="3"/>
        <v>₹347,048.53</v>
      </c>
      <c r="H1412" s="54" t="str">
        <f t="shared" si="4"/>
        <v>₹28,920.71</v>
      </c>
      <c r="I1412" s="54" t="str">
        <f>84494.79-H1412</f>
        <v>₹55,574.08</v>
      </c>
    </row>
    <row r="1413" ht="15.75" customHeight="1">
      <c r="A1413" s="50" t="s">
        <v>1479</v>
      </c>
      <c r="B1413" s="50" t="s">
        <v>53</v>
      </c>
      <c r="C1413" s="50" t="s">
        <v>37</v>
      </c>
      <c r="D1413" s="51">
        <v>96425.55</v>
      </c>
      <c r="E1413" s="51" t="str">
        <f t="shared" si="1"/>
        <v>₹1,157,106.60</v>
      </c>
      <c r="F1413" s="52" t="str">
        <f t="shared" si="2"/>
        <v>30.0%</v>
      </c>
      <c r="G1413" s="51" t="str">
        <f t="shared" si="3"/>
        <v>₹347,131.98</v>
      </c>
      <c r="H1413" s="51" t="str">
        <f t="shared" si="4"/>
        <v>₹28,927.67</v>
      </c>
      <c r="I1413" s="51" t="str">
        <f>84514.58-H1413</f>
        <v>₹55,586.92</v>
      </c>
    </row>
    <row r="1414" ht="15.75" customHeight="1">
      <c r="A1414" s="53" t="s">
        <v>1480</v>
      </c>
      <c r="B1414" s="53" t="s">
        <v>36</v>
      </c>
      <c r="C1414" s="53" t="s">
        <v>26</v>
      </c>
      <c r="D1414" s="54">
        <v>96448.73</v>
      </c>
      <c r="E1414" s="54" t="str">
        <f t="shared" si="1"/>
        <v>₹1,157,384.76</v>
      </c>
      <c r="F1414" s="55" t="str">
        <f t="shared" si="2"/>
        <v>30.0%</v>
      </c>
      <c r="G1414" s="54" t="str">
        <f t="shared" si="3"/>
        <v>₹347,215.43</v>
      </c>
      <c r="H1414" s="54" t="str">
        <f t="shared" si="4"/>
        <v>₹28,934.62</v>
      </c>
      <c r="I1414" s="54" t="str">
        <f>84534.36-H1414</f>
        <v>₹55,599.74</v>
      </c>
    </row>
    <row r="1415" ht="15.75" customHeight="1">
      <c r="A1415" s="50" t="s">
        <v>1481</v>
      </c>
      <c r="B1415" s="50" t="s">
        <v>29</v>
      </c>
      <c r="C1415" s="50" t="s">
        <v>14</v>
      </c>
      <c r="D1415" s="51">
        <v>96471.91</v>
      </c>
      <c r="E1415" s="51" t="str">
        <f t="shared" si="1"/>
        <v>₹1,157,662.92</v>
      </c>
      <c r="F1415" s="52" t="str">
        <f t="shared" si="2"/>
        <v>30.0%</v>
      </c>
      <c r="G1415" s="51" t="str">
        <f t="shared" si="3"/>
        <v>₹347,298.88</v>
      </c>
      <c r="H1415" s="51" t="str">
        <f t="shared" si="4"/>
        <v>₹28,941.57</v>
      </c>
      <c r="I1415" s="51" t="str">
        <f>84554.14-H1415</f>
        <v>₹55,612.57</v>
      </c>
    </row>
    <row r="1416" ht="15.75" customHeight="1">
      <c r="A1416" s="53" t="s">
        <v>1482</v>
      </c>
      <c r="B1416" s="53" t="s">
        <v>13</v>
      </c>
      <c r="C1416" s="53" t="s">
        <v>26</v>
      </c>
      <c r="D1416" s="54">
        <v>96495.08</v>
      </c>
      <c r="E1416" s="54" t="str">
        <f t="shared" si="1"/>
        <v>₹1,157,940.96</v>
      </c>
      <c r="F1416" s="55" t="str">
        <f t="shared" si="2"/>
        <v>30.0%</v>
      </c>
      <c r="G1416" s="54" t="str">
        <f t="shared" si="3"/>
        <v>₹347,382.29</v>
      </c>
      <c r="H1416" s="54" t="str">
        <f t="shared" si="4"/>
        <v>₹28,948.52</v>
      </c>
      <c r="I1416" s="54" t="str">
        <f>84573.91-H1416</f>
        <v>₹55,625.39</v>
      </c>
    </row>
    <row r="1417" ht="15.75" customHeight="1">
      <c r="A1417" s="50" t="s">
        <v>1483</v>
      </c>
      <c r="B1417" s="50" t="s">
        <v>17</v>
      </c>
      <c r="C1417" s="50" t="s">
        <v>37</v>
      </c>
      <c r="D1417" s="51">
        <v>96518.26</v>
      </c>
      <c r="E1417" s="51" t="str">
        <f t="shared" si="1"/>
        <v>₹1,158,219.12</v>
      </c>
      <c r="F1417" s="52" t="str">
        <f t="shared" si="2"/>
        <v>30.0%</v>
      </c>
      <c r="G1417" s="51" t="str">
        <f t="shared" si="3"/>
        <v>₹347,465.74</v>
      </c>
      <c r="H1417" s="51" t="str">
        <f t="shared" si="4"/>
        <v>₹28,955.48</v>
      </c>
      <c r="I1417" s="51" t="str">
        <f>84593.7-H1417</f>
        <v>₹55,638.22</v>
      </c>
    </row>
    <row r="1418" ht="15.75" customHeight="1">
      <c r="A1418" s="53" t="s">
        <v>1484</v>
      </c>
      <c r="B1418" s="53" t="s">
        <v>13</v>
      </c>
      <c r="C1418" s="53" t="s">
        <v>18</v>
      </c>
      <c r="D1418" s="54">
        <v>96541.44</v>
      </c>
      <c r="E1418" s="54" t="str">
        <f t="shared" si="1"/>
        <v>₹1,158,497.28</v>
      </c>
      <c r="F1418" s="55" t="str">
        <f t="shared" si="2"/>
        <v>30.0%</v>
      </c>
      <c r="G1418" s="54" t="str">
        <f t="shared" si="3"/>
        <v>₹347,549.18</v>
      </c>
      <c r="H1418" s="54" t="str">
        <f t="shared" si="4"/>
        <v>₹28,962.43</v>
      </c>
      <c r="I1418" s="54" t="str">
        <f>84613.48-H1418</f>
        <v>₹55,651.05</v>
      </c>
    </row>
    <row r="1419" ht="15.75" customHeight="1">
      <c r="A1419" s="50" t="s">
        <v>1485</v>
      </c>
      <c r="B1419" s="50" t="s">
        <v>53</v>
      </c>
      <c r="C1419" s="50" t="s">
        <v>54</v>
      </c>
      <c r="D1419" s="51">
        <v>96564.62</v>
      </c>
      <c r="E1419" s="51" t="str">
        <f t="shared" si="1"/>
        <v>₹1,158,775.44</v>
      </c>
      <c r="F1419" s="52" t="str">
        <f t="shared" si="2"/>
        <v>30.0%</v>
      </c>
      <c r="G1419" s="51" t="str">
        <f t="shared" si="3"/>
        <v>₹347,632.63</v>
      </c>
      <c r="H1419" s="51" t="str">
        <f t="shared" si="4"/>
        <v>₹28,969.39</v>
      </c>
      <c r="I1419" s="51" t="str">
        <f>84633.26-H1419</f>
        <v>₹55,663.87</v>
      </c>
    </row>
    <row r="1420" ht="15.75" customHeight="1">
      <c r="A1420" s="53" t="s">
        <v>1486</v>
      </c>
      <c r="B1420" s="53" t="s">
        <v>25</v>
      </c>
      <c r="C1420" s="53" t="s">
        <v>18</v>
      </c>
      <c r="D1420" s="54">
        <v>96587.8</v>
      </c>
      <c r="E1420" s="54" t="str">
        <f t="shared" si="1"/>
        <v>₹1,159,053.60</v>
      </c>
      <c r="F1420" s="55" t="str">
        <f t="shared" si="2"/>
        <v>30.0%</v>
      </c>
      <c r="G1420" s="54" t="str">
        <f t="shared" si="3"/>
        <v>₹347,716.08</v>
      </c>
      <c r="H1420" s="54" t="str">
        <f t="shared" si="4"/>
        <v>₹28,976.34</v>
      </c>
      <c r="I1420" s="54" t="str">
        <f>84653.04-H1420</f>
        <v>₹55,676.70</v>
      </c>
    </row>
    <row r="1421" ht="15.75" customHeight="1">
      <c r="A1421" s="50" t="s">
        <v>1487</v>
      </c>
      <c r="B1421" s="50" t="s">
        <v>36</v>
      </c>
      <c r="C1421" s="50" t="s">
        <v>37</v>
      </c>
      <c r="D1421" s="51">
        <v>96610.97</v>
      </c>
      <c r="E1421" s="51" t="str">
        <f t="shared" si="1"/>
        <v>₹1,159,331.64</v>
      </c>
      <c r="F1421" s="52" t="str">
        <f t="shared" si="2"/>
        <v>30.0%</v>
      </c>
      <c r="G1421" s="51" t="str">
        <f t="shared" si="3"/>
        <v>₹347,799.49</v>
      </c>
      <c r="H1421" s="51" t="str">
        <f t="shared" si="4"/>
        <v>₹28,983.29</v>
      </c>
      <c r="I1421" s="51" t="str">
        <f>84672.82-H1421</f>
        <v>₹55,689.53</v>
      </c>
    </row>
    <row r="1422" ht="15.75" customHeight="1">
      <c r="A1422" s="53" t="s">
        <v>1488</v>
      </c>
      <c r="B1422" s="53" t="s">
        <v>29</v>
      </c>
      <c r="C1422" s="53" t="s">
        <v>26</v>
      </c>
      <c r="D1422" s="54">
        <v>96634.15</v>
      </c>
      <c r="E1422" s="54" t="str">
        <f t="shared" si="1"/>
        <v>₹1,159,609.80</v>
      </c>
      <c r="F1422" s="55" t="str">
        <f t="shared" si="2"/>
        <v>30.0%</v>
      </c>
      <c r="G1422" s="54" t="str">
        <f t="shared" si="3"/>
        <v>₹347,882.94</v>
      </c>
      <c r="H1422" s="54" t="str">
        <f t="shared" si="4"/>
        <v>₹28,990.25</v>
      </c>
      <c r="I1422" s="54" t="str">
        <f>84692.6-H1422</f>
        <v>₹55,702.36</v>
      </c>
    </row>
    <row r="1423" ht="15.75" customHeight="1">
      <c r="A1423" s="50" t="s">
        <v>1489</v>
      </c>
      <c r="B1423" s="50" t="s">
        <v>29</v>
      </c>
      <c r="C1423" s="50" t="s">
        <v>26</v>
      </c>
      <c r="D1423" s="51">
        <v>96657.33</v>
      </c>
      <c r="E1423" s="51" t="str">
        <f t="shared" si="1"/>
        <v>₹1,159,887.96</v>
      </c>
      <c r="F1423" s="52" t="str">
        <f t="shared" si="2"/>
        <v>30.0%</v>
      </c>
      <c r="G1423" s="51" t="str">
        <f t="shared" si="3"/>
        <v>₹347,966.39</v>
      </c>
      <c r="H1423" s="51" t="str">
        <f t="shared" si="4"/>
        <v>₹28,997.20</v>
      </c>
      <c r="I1423" s="51" t="str">
        <f>84712.38-H1423</f>
        <v>₹55,715.18</v>
      </c>
    </row>
    <row r="1424" ht="15.75" customHeight="1">
      <c r="A1424" s="53" t="s">
        <v>1490</v>
      </c>
      <c r="B1424" s="53" t="s">
        <v>53</v>
      </c>
      <c r="C1424" s="53" t="s">
        <v>14</v>
      </c>
      <c r="D1424" s="54">
        <v>96680.51</v>
      </c>
      <c r="E1424" s="54" t="str">
        <f t="shared" si="1"/>
        <v>₹1,160,166.12</v>
      </c>
      <c r="F1424" s="55" t="str">
        <f t="shared" si="2"/>
        <v>30.0%</v>
      </c>
      <c r="G1424" s="54" t="str">
        <f t="shared" si="3"/>
        <v>₹348,049.84</v>
      </c>
      <c r="H1424" s="54" t="str">
        <f t="shared" si="4"/>
        <v>₹29,004.15</v>
      </c>
      <c r="I1424" s="54" t="str">
        <f>84732.16-H1424</f>
        <v>₹55,728.01</v>
      </c>
    </row>
    <row r="1425" ht="15.75" customHeight="1">
      <c r="A1425" s="50" t="s">
        <v>1491</v>
      </c>
      <c r="B1425" s="50" t="s">
        <v>13</v>
      </c>
      <c r="C1425" s="50" t="s">
        <v>54</v>
      </c>
      <c r="D1425" s="51">
        <v>96726.86</v>
      </c>
      <c r="E1425" s="51" t="str">
        <f t="shared" si="1"/>
        <v>₹1,160,722.32</v>
      </c>
      <c r="F1425" s="52" t="str">
        <f t="shared" si="2"/>
        <v>30.0%</v>
      </c>
      <c r="G1425" s="51" t="str">
        <f t="shared" si="3"/>
        <v>₹348,216.70</v>
      </c>
      <c r="H1425" s="51" t="str">
        <f t="shared" si="4"/>
        <v>₹29,018.06</v>
      </c>
      <c r="I1425" s="51" t="str">
        <f>84771.72-H1425</f>
        <v>₹55,753.66</v>
      </c>
    </row>
    <row r="1426" ht="15.75" customHeight="1">
      <c r="A1426" s="53" t="s">
        <v>1492</v>
      </c>
      <c r="B1426" s="53" t="s">
        <v>53</v>
      </c>
      <c r="C1426" s="53" t="s">
        <v>33</v>
      </c>
      <c r="D1426" s="54">
        <v>96750.04</v>
      </c>
      <c r="E1426" s="54" t="str">
        <f t="shared" si="1"/>
        <v>₹1,161,000.48</v>
      </c>
      <c r="F1426" s="55" t="str">
        <f t="shared" si="2"/>
        <v>30.0%</v>
      </c>
      <c r="G1426" s="54" t="str">
        <f t="shared" si="3"/>
        <v>₹348,300.14</v>
      </c>
      <c r="H1426" s="54" t="str">
        <f t="shared" si="4"/>
        <v>₹29,025.01</v>
      </c>
      <c r="I1426" s="54" t="str">
        <f>84791.5-H1426</f>
        <v>₹55,766.49</v>
      </c>
    </row>
    <row r="1427" ht="15.75" customHeight="1">
      <c r="A1427" s="50" t="s">
        <v>1493</v>
      </c>
      <c r="B1427" s="50" t="s">
        <v>29</v>
      </c>
      <c r="C1427" s="50" t="s">
        <v>26</v>
      </c>
      <c r="D1427" s="51">
        <v>96773.22</v>
      </c>
      <c r="E1427" s="51" t="str">
        <f t="shared" si="1"/>
        <v>₹1,161,278.64</v>
      </c>
      <c r="F1427" s="52" t="str">
        <f t="shared" si="2"/>
        <v>30.0%</v>
      </c>
      <c r="G1427" s="51" t="str">
        <f t="shared" si="3"/>
        <v>₹348,383.59</v>
      </c>
      <c r="H1427" s="51" t="str">
        <f t="shared" si="4"/>
        <v>₹29,031.97</v>
      </c>
      <c r="I1427" s="51" t="str">
        <f>84811.28-H1427</f>
        <v>₹55,779.31</v>
      </c>
    </row>
    <row r="1428" ht="15.75" customHeight="1">
      <c r="A1428" s="53" t="s">
        <v>1494</v>
      </c>
      <c r="B1428" s="53" t="s">
        <v>36</v>
      </c>
      <c r="C1428" s="53" t="s">
        <v>30</v>
      </c>
      <c r="D1428" s="54">
        <v>96819.57</v>
      </c>
      <c r="E1428" s="54" t="str">
        <f t="shared" si="1"/>
        <v>₹1,161,834.84</v>
      </c>
      <c r="F1428" s="55" t="str">
        <f t="shared" si="2"/>
        <v>30.0%</v>
      </c>
      <c r="G1428" s="54" t="str">
        <f t="shared" si="3"/>
        <v>₹348,550.45</v>
      </c>
      <c r="H1428" s="54" t="str">
        <f t="shared" si="4"/>
        <v>₹29,045.87</v>
      </c>
      <c r="I1428" s="54" t="str">
        <f>84850.84-H1428</f>
        <v>₹55,804.97</v>
      </c>
    </row>
    <row r="1429" ht="15.75" customHeight="1">
      <c r="A1429" s="50" t="s">
        <v>1495</v>
      </c>
      <c r="B1429" s="50" t="s">
        <v>17</v>
      </c>
      <c r="C1429" s="50" t="s">
        <v>18</v>
      </c>
      <c r="D1429" s="51">
        <v>96842.75</v>
      </c>
      <c r="E1429" s="51" t="str">
        <f t="shared" si="1"/>
        <v>₹1,162,113.00</v>
      </c>
      <c r="F1429" s="52" t="str">
        <f t="shared" si="2"/>
        <v>30.0%</v>
      </c>
      <c r="G1429" s="51" t="str">
        <f t="shared" si="3"/>
        <v>₹348,633.90</v>
      </c>
      <c r="H1429" s="51" t="str">
        <f t="shared" si="4"/>
        <v>₹29,052.83</v>
      </c>
      <c r="I1429" s="51" t="str">
        <f>84870.62-H1429</f>
        <v>₹55,817.80</v>
      </c>
    </row>
    <row r="1430" ht="15.75" customHeight="1">
      <c r="A1430" s="53" t="s">
        <v>1496</v>
      </c>
      <c r="B1430" s="53" t="s">
        <v>25</v>
      </c>
      <c r="C1430" s="53" t="s">
        <v>37</v>
      </c>
      <c r="D1430" s="54">
        <v>96865.93</v>
      </c>
      <c r="E1430" s="54" t="str">
        <f t="shared" si="1"/>
        <v>₹1,162,391.16</v>
      </c>
      <c r="F1430" s="55" t="str">
        <f t="shared" si="2"/>
        <v>30.0%</v>
      </c>
      <c r="G1430" s="54" t="str">
        <f t="shared" si="3"/>
        <v>₹348,717.35</v>
      </c>
      <c r="H1430" s="54" t="str">
        <f t="shared" si="4"/>
        <v>₹29,059.78</v>
      </c>
      <c r="I1430" s="54" t="str">
        <f>84890.4-H1430</f>
        <v>₹55,830.62</v>
      </c>
    </row>
    <row r="1431" ht="15.75" customHeight="1">
      <c r="A1431" s="50" t="s">
        <v>1497</v>
      </c>
      <c r="B1431" s="50" t="s">
        <v>36</v>
      </c>
      <c r="C1431" s="50" t="s">
        <v>37</v>
      </c>
      <c r="D1431" s="51">
        <v>96889.11</v>
      </c>
      <c r="E1431" s="51" t="str">
        <f t="shared" si="1"/>
        <v>₹1,162,669.32</v>
      </c>
      <c r="F1431" s="52" t="str">
        <f t="shared" si="2"/>
        <v>30.0%</v>
      </c>
      <c r="G1431" s="51" t="str">
        <f t="shared" si="3"/>
        <v>₹348,800.80</v>
      </c>
      <c r="H1431" s="51" t="str">
        <f t="shared" si="4"/>
        <v>₹29,066.73</v>
      </c>
      <c r="I1431" s="51" t="str">
        <f>84910.19-H1431</f>
        <v>₹55,843.46</v>
      </c>
    </row>
    <row r="1432" ht="15.75" customHeight="1">
      <c r="A1432" s="53" t="s">
        <v>1498</v>
      </c>
      <c r="B1432" s="53" t="s">
        <v>25</v>
      </c>
      <c r="C1432" s="53" t="s">
        <v>54</v>
      </c>
      <c r="D1432" s="54">
        <v>96912.28</v>
      </c>
      <c r="E1432" s="54" t="str">
        <f t="shared" si="1"/>
        <v>₹1,162,947.36</v>
      </c>
      <c r="F1432" s="55" t="str">
        <f t="shared" si="2"/>
        <v>30.0%</v>
      </c>
      <c r="G1432" s="54" t="str">
        <f t="shared" si="3"/>
        <v>₹348,884.21</v>
      </c>
      <c r="H1432" s="54" t="str">
        <f t="shared" si="4"/>
        <v>₹29,073.68</v>
      </c>
      <c r="I1432" s="54" t="str">
        <f>82277.84-H1432</f>
        <v>₹53,204.16</v>
      </c>
    </row>
    <row r="1433" ht="15.75" customHeight="1">
      <c r="A1433" s="50" t="s">
        <v>1499</v>
      </c>
      <c r="B1433" s="50" t="s">
        <v>53</v>
      </c>
      <c r="C1433" s="50" t="s">
        <v>33</v>
      </c>
      <c r="D1433" s="51">
        <v>96935.46</v>
      </c>
      <c r="E1433" s="51" t="str">
        <f t="shared" si="1"/>
        <v>₹1,163,225.52</v>
      </c>
      <c r="F1433" s="52" t="str">
        <f t="shared" si="2"/>
        <v>30.0%</v>
      </c>
      <c r="G1433" s="51" t="str">
        <f t="shared" si="3"/>
        <v>₹348,967.66</v>
      </c>
      <c r="H1433" s="51" t="str">
        <f t="shared" si="4"/>
        <v>₹29,080.64</v>
      </c>
      <c r="I1433" s="51" t="str">
        <f>84949.74-H1433</f>
        <v>₹55,869.10</v>
      </c>
    </row>
    <row r="1434" ht="15.75" customHeight="1">
      <c r="A1434" s="53" t="s">
        <v>1500</v>
      </c>
      <c r="B1434" s="53" t="s">
        <v>29</v>
      </c>
      <c r="C1434" s="53" t="s">
        <v>14</v>
      </c>
      <c r="D1434" s="54">
        <v>96958.64</v>
      </c>
      <c r="E1434" s="54" t="str">
        <f t="shared" si="1"/>
        <v>₹1,163,503.68</v>
      </c>
      <c r="F1434" s="55" t="str">
        <f t="shared" si="2"/>
        <v>30.0%</v>
      </c>
      <c r="G1434" s="54" t="str">
        <f t="shared" si="3"/>
        <v>₹349,051.10</v>
      </c>
      <c r="H1434" s="54" t="str">
        <f t="shared" si="4"/>
        <v>₹29,087.59</v>
      </c>
      <c r="I1434" s="54" t="str">
        <f>84969.52-H1434</f>
        <v>₹55,881.93</v>
      </c>
    </row>
    <row r="1435" ht="15.75" customHeight="1">
      <c r="A1435" s="50" t="s">
        <v>1501</v>
      </c>
      <c r="B1435" s="50" t="s">
        <v>17</v>
      </c>
      <c r="C1435" s="50" t="s">
        <v>33</v>
      </c>
      <c r="D1435" s="51">
        <v>96981.82</v>
      </c>
      <c r="E1435" s="51" t="str">
        <f t="shared" si="1"/>
        <v>₹1,163,781.84</v>
      </c>
      <c r="F1435" s="52" t="str">
        <f t="shared" si="2"/>
        <v>30.0%</v>
      </c>
      <c r="G1435" s="51" t="str">
        <f t="shared" si="3"/>
        <v>₹349,134.55</v>
      </c>
      <c r="H1435" s="51" t="str">
        <f t="shared" si="4"/>
        <v>₹29,094.55</v>
      </c>
      <c r="I1435" s="51" t="str">
        <f>84989.31-H1435</f>
        <v>₹55,894.76</v>
      </c>
    </row>
    <row r="1436" ht="15.75" customHeight="1">
      <c r="A1436" s="53" t="s">
        <v>1502</v>
      </c>
      <c r="B1436" s="53" t="s">
        <v>36</v>
      </c>
      <c r="C1436" s="53" t="s">
        <v>54</v>
      </c>
      <c r="D1436" s="54">
        <v>97004.99</v>
      </c>
      <c r="E1436" s="54" t="str">
        <f t="shared" si="1"/>
        <v>₹1,164,059.88</v>
      </c>
      <c r="F1436" s="55" t="str">
        <f t="shared" si="2"/>
        <v>30.0%</v>
      </c>
      <c r="G1436" s="54" t="str">
        <f t="shared" si="3"/>
        <v>₹349,217.96</v>
      </c>
      <c r="H1436" s="54" t="str">
        <f t="shared" si="4"/>
        <v>₹29,101.50</v>
      </c>
      <c r="I1436" s="54" t="str">
        <f>85009.08-H1436</f>
        <v>₹55,907.58</v>
      </c>
    </row>
    <row r="1437" ht="15.75" customHeight="1">
      <c r="A1437" s="50" t="s">
        <v>1503</v>
      </c>
      <c r="B1437" s="50" t="s">
        <v>25</v>
      </c>
      <c r="C1437" s="50" t="s">
        <v>30</v>
      </c>
      <c r="D1437" s="51">
        <v>97028.17</v>
      </c>
      <c r="E1437" s="51" t="str">
        <f t="shared" si="1"/>
        <v>₹1,164,338.04</v>
      </c>
      <c r="F1437" s="52" t="str">
        <f t="shared" si="2"/>
        <v>30.0%</v>
      </c>
      <c r="G1437" s="51" t="str">
        <f t="shared" si="3"/>
        <v>₹349,301.41</v>
      </c>
      <c r="H1437" s="51" t="str">
        <f t="shared" si="4"/>
        <v>₹29,108.45</v>
      </c>
      <c r="I1437" s="51" t="str">
        <f>85028.86-H1437</f>
        <v>₹55,920.41</v>
      </c>
    </row>
    <row r="1438" ht="15.75" customHeight="1">
      <c r="A1438" s="53" t="s">
        <v>1504</v>
      </c>
      <c r="B1438" s="53" t="s">
        <v>25</v>
      </c>
      <c r="C1438" s="53" t="s">
        <v>33</v>
      </c>
      <c r="D1438" s="54">
        <v>97051.35</v>
      </c>
      <c r="E1438" s="54" t="str">
        <f t="shared" si="1"/>
        <v>₹1,164,616.20</v>
      </c>
      <c r="F1438" s="55" t="str">
        <f t="shared" si="2"/>
        <v>30.0%</v>
      </c>
      <c r="G1438" s="54" t="str">
        <f t="shared" si="3"/>
        <v>₹349,384.86</v>
      </c>
      <c r="H1438" s="54" t="str">
        <f t="shared" si="4"/>
        <v>₹29,115.41</v>
      </c>
      <c r="I1438" s="54" t="str">
        <f>85048.64-H1438</f>
        <v>₹55,933.24</v>
      </c>
    </row>
    <row r="1439" ht="15.75" customHeight="1">
      <c r="A1439" s="50" t="s">
        <v>1505</v>
      </c>
      <c r="B1439" s="50" t="s">
        <v>25</v>
      </c>
      <c r="C1439" s="50" t="s">
        <v>37</v>
      </c>
      <c r="D1439" s="51">
        <v>97074.53</v>
      </c>
      <c r="E1439" s="51" t="str">
        <f t="shared" si="1"/>
        <v>₹1,164,894.36</v>
      </c>
      <c r="F1439" s="52" t="str">
        <f t="shared" si="2"/>
        <v>30.0%</v>
      </c>
      <c r="G1439" s="51" t="str">
        <f t="shared" si="3"/>
        <v>₹349,468.31</v>
      </c>
      <c r="H1439" s="51" t="str">
        <f t="shared" si="4"/>
        <v>₹29,122.36</v>
      </c>
      <c r="I1439" s="51" t="str">
        <f>85068.43-H1439</f>
        <v>₹55,946.07</v>
      </c>
    </row>
    <row r="1440" ht="15.75" customHeight="1">
      <c r="A1440" s="53" t="s">
        <v>1506</v>
      </c>
      <c r="B1440" s="53" t="s">
        <v>53</v>
      </c>
      <c r="C1440" s="53" t="s">
        <v>14</v>
      </c>
      <c r="D1440" s="54">
        <v>97097.7</v>
      </c>
      <c r="E1440" s="54" t="str">
        <f t="shared" si="1"/>
        <v>₹1,165,172.40</v>
      </c>
      <c r="F1440" s="55" t="str">
        <f t="shared" si="2"/>
        <v>30.0%</v>
      </c>
      <c r="G1440" s="54" t="str">
        <f t="shared" si="3"/>
        <v>₹349,551.72</v>
      </c>
      <c r="H1440" s="54" t="str">
        <f t="shared" si="4"/>
        <v>₹29,129.31</v>
      </c>
      <c r="I1440" s="54" t="str">
        <f>85088.2-H1440</f>
        <v>₹55,958.89</v>
      </c>
    </row>
    <row r="1441" ht="15.75" customHeight="1">
      <c r="A1441" s="50" t="s">
        <v>1507</v>
      </c>
      <c r="B1441" s="50" t="s">
        <v>36</v>
      </c>
      <c r="C1441" s="50" t="s">
        <v>14</v>
      </c>
      <c r="D1441" s="51">
        <v>97120.88</v>
      </c>
      <c r="E1441" s="51" t="str">
        <f t="shared" si="1"/>
        <v>₹1,165,450.56</v>
      </c>
      <c r="F1441" s="52" t="str">
        <f t="shared" si="2"/>
        <v>30.0%</v>
      </c>
      <c r="G1441" s="51" t="str">
        <f t="shared" si="3"/>
        <v>₹349,635.17</v>
      </c>
      <c r="H1441" s="51" t="str">
        <f t="shared" si="4"/>
        <v>₹29,136.26</v>
      </c>
      <c r="I1441" s="51" t="str">
        <f>85107.98-H1441</f>
        <v>₹55,971.72</v>
      </c>
    </row>
    <row r="1442" ht="15.75" customHeight="1">
      <c r="A1442" s="53" t="s">
        <v>1508</v>
      </c>
      <c r="B1442" s="53" t="s">
        <v>13</v>
      </c>
      <c r="C1442" s="53" t="s">
        <v>14</v>
      </c>
      <c r="D1442" s="54">
        <v>97144.06</v>
      </c>
      <c r="E1442" s="54" t="str">
        <f t="shared" si="1"/>
        <v>₹1,165,728.72</v>
      </c>
      <c r="F1442" s="55" t="str">
        <f t="shared" si="2"/>
        <v>30.0%</v>
      </c>
      <c r="G1442" s="54" t="str">
        <f t="shared" si="3"/>
        <v>₹349,718.62</v>
      </c>
      <c r="H1442" s="54" t="str">
        <f t="shared" si="4"/>
        <v>₹29,143.22</v>
      </c>
      <c r="I1442" s="54" t="str">
        <f>85127.76-H1442</f>
        <v>₹55,984.54</v>
      </c>
    </row>
    <row r="1443" ht="15.75" customHeight="1">
      <c r="A1443" s="50" t="s">
        <v>1510</v>
      </c>
      <c r="B1443" s="50" t="s">
        <v>53</v>
      </c>
      <c r="C1443" s="50" t="s">
        <v>26</v>
      </c>
      <c r="D1443" s="51">
        <v>97167.24</v>
      </c>
      <c r="E1443" s="51" t="str">
        <f t="shared" si="1"/>
        <v>₹1,166,006.88</v>
      </c>
      <c r="F1443" s="52" t="str">
        <f t="shared" si="2"/>
        <v>30.0%</v>
      </c>
      <c r="G1443" s="51" t="str">
        <f t="shared" si="3"/>
        <v>₹349,802.06</v>
      </c>
      <c r="H1443" s="51" t="str">
        <f t="shared" si="4"/>
        <v>₹29,150.17</v>
      </c>
      <c r="I1443" s="51" t="str">
        <f>85147.54-H1443</f>
        <v>₹55,997.37</v>
      </c>
    </row>
    <row r="1444" ht="15.75" customHeight="1">
      <c r="A1444" s="53" t="s">
        <v>1511</v>
      </c>
      <c r="B1444" s="53" t="s">
        <v>17</v>
      </c>
      <c r="C1444" s="53" t="s">
        <v>18</v>
      </c>
      <c r="D1444" s="54">
        <v>97190.42</v>
      </c>
      <c r="E1444" s="54" t="str">
        <f t="shared" si="1"/>
        <v>₹1,166,285.04</v>
      </c>
      <c r="F1444" s="55" t="str">
        <f t="shared" si="2"/>
        <v>30.0%</v>
      </c>
      <c r="G1444" s="54" t="str">
        <f t="shared" si="3"/>
        <v>₹349,885.51</v>
      </c>
      <c r="H1444" s="54" t="str">
        <f t="shared" si="4"/>
        <v>₹29,157.13</v>
      </c>
      <c r="I1444" s="54" t="str">
        <f>85167.33-H1444</f>
        <v>₹56,010.20</v>
      </c>
    </row>
    <row r="1445" ht="15.75" customHeight="1">
      <c r="A1445" s="50" t="s">
        <v>1512</v>
      </c>
      <c r="B1445" s="50" t="s">
        <v>25</v>
      </c>
      <c r="C1445" s="50" t="s">
        <v>14</v>
      </c>
      <c r="D1445" s="51">
        <v>97213.59</v>
      </c>
      <c r="E1445" s="51" t="str">
        <f t="shared" si="1"/>
        <v>₹1,166,563.08</v>
      </c>
      <c r="F1445" s="52" t="str">
        <f t="shared" si="2"/>
        <v>30.0%</v>
      </c>
      <c r="G1445" s="51" t="str">
        <f t="shared" si="3"/>
        <v>₹349,968.92</v>
      </c>
      <c r="H1445" s="51" t="str">
        <f t="shared" si="4"/>
        <v>₹29,164.08</v>
      </c>
      <c r="I1445" s="51" t="str">
        <f>85187.1-H1445</f>
        <v>₹56,023.02</v>
      </c>
    </row>
    <row r="1446" ht="15.75" customHeight="1">
      <c r="A1446" s="53" t="s">
        <v>1513</v>
      </c>
      <c r="B1446" s="53" t="s">
        <v>13</v>
      </c>
      <c r="C1446" s="53" t="s">
        <v>26</v>
      </c>
      <c r="D1446" s="54">
        <v>97236.77</v>
      </c>
      <c r="E1446" s="54" t="str">
        <f t="shared" si="1"/>
        <v>₹1,166,841.24</v>
      </c>
      <c r="F1446" s="55" t="str">
        <f t="shared" si="2"/>
        <v>30.0%</v>
      </c>
      <c r="G1446" s="54" t="str">
        <f t="shared" si="3"/>
        <v>₹350,052.37</v>
      </c>
      <c r="H1446" s="54" t="str">
        <f t="shared" si="4"/>
        <v>₹29,171.03</v>
      </c>
      <c r="I1446" s="54" t="str">
        <f>85206.88-H1446</f>
        <v>₹56,035.85</v>
      </c>
    </row>
    <row r="1447" ht="15.75" customHeight="1">
      <c r="A1447" s="50" t="s">
        <v>1514</v>
      </c>
      <c r="B1447" s="50" t="s">
        <v>51</v>
      </c>
      <c r="C1447" s="50" t="s">
        <v>26</v>
      </c>
      <c r="D1447" s="51">
        <v>97259.95</v>
      </c>
      <c r="E1447" s="51" t="str">
        <f t="shared" si="1"/>
        <v>₹1,167,119.40</v>
      </c>
      <c r="F1447" s="52" t="str">
        <f t="shared" si="2"/>
        <v>30.0%</v>
      </c>
      <c r="G1447" s="51" t="str">
        <f t="shared" si="3"/>
        <v>₹350,135.82</v>
      </c>
      <c r="H1447" s="51" t="str">
        <f t="shared" si="4"/>
        <v>₹29,177.99</v>
      </c>
      <c r="I1447" s="51" t="str">
        <f>85226.66-H1447</f>
        <v>₹56,048.68</v>
      </c>
    </row>
    <row r="1448" ht="15.75" customHeight="1">
      <c r="A1448" s="53" t="s">
        <v>1515</v>
      </c>
      <c r="B1448" s="53" t="s">
        <v>51</v>
      </c>
      <c r="C1448" s="53" t="s">
        <v>26</v>
      </c>
      <c r="D1448" s="54">
        <v>97283.13</v>
      </c>
      <c r="E1448" s="54" t="str">
        <f t="shared" si="1"/>
        <v>₹1,167,397.56</v>
      </c>
      <c r="F1448" s="55" t="str">
        <f t="shared" si="2"/>
        <v>30.0%</v>
      </c>
      <c r="G1448" s="54" t="str">
        <f t="shared" si="3"/>
        <v>₹350,219.27</v>
      </c>
      <c r="H1448" s="54" t="str">
        <f t="shared" si="4"/>
        <v>₹29,184.94</v>
      </c>
      <c r="I1448" s="54" t="str">
        <f>85246.45-H1448</f>
        <v>₹56,061.51</v>
      </c>
    </row>
    <row r="1449" ht="15.75" customHeight="1">
      <c r="A1449" s="50" t="s">
        <v>1516</v>
      </c>
      <c r="B1449" s="50" t="s">
        <v>53</v>
      </c>
      <c r="C1449" s="50" t="s">
        <v>54</v>
      </c>
      <c r="D1449" s="51">
        <v>97329.48</v>
      </c>
      <c r="E1449" s="51" t="str">
        <f t="shared" si="1"/>
        <v>₹1,167,953.76</v>
      </c>
      <c r="F1449" s="52" t="str">
        <f t="shared" si="2"/>
        <v>30.0%</v>
      </c>
      <c r="G1449" s="51" t="str">
        <f t="shared" si="3"/>
        <v>₹350,386.13</v>
      </c>
      <c r="H1449" s="51" t="str">
        <f t="shared" si="4"/>
        <v>₹29,198.84</v>
      </c>
      <c r="I1449" s="51" t="str">
        <f>85286-H1449</f>
        <v>₹56,087.16</v>
      </c>
    </row>
    <row r="1450" ht="15.75" customHeight="1">
      <c r="A1450" s="53" t="s">
        <v>1517</v>
      </c>
      <c r="B1450" s="53" t="s">
        <v>51</v>
      </c>
      <c r="C1450" s="53" t="s">
        <v>33</v>
      </c>
      <c r="D1450" s="54">
        <v>97352.66</v>
      </c>
      <c r="E1450" s="54" t="str">
        <f t="shared" si="1"/>
        <v>₹1,168,231.92</v>
      </c>
      <c r="F1450" s="55" t="str">
        <f t="shared" si="2"/>
        <v>30.0%</v>
      </c>
      <c r="G1450" s="54" t="str">
        <f t="shared" si="3"/>
        <v>₹350,469.58</v>
      </c>
      <c r="H1450" s="54" t="str">
        <f t="shared" si="4"/>
        <v>₹29,205.80</v>
      </c>
      <c r="I1450" s="54" t="str">
        <f>85305.78-H1450</f>
        <v>₹56,099.98</v>
      </c>
    </row>
    <row r="1451" ht="15.75" customHeight="1">
      <c r="A1451" s="50" t="s">
        <v>1518</v>
      </c>
      <c r="B1451" s="50" t="s">
        <v>29</v>
      </c>
      <c r="C1451" s="50" t="s">
        <v>14</v>
      </c>
      <c r="D1451" s="51">
        <v>97375.84</v>
      </c>
      <c r="E1451" s="51" t="str">
        <f t="shared" si="1"/>
        <v>₹1,168,510.08</v>
      </c>
      <c r="F1451" s="52" t="str">
        <f t="shared" si="2"/>
        <v>30.0%</v>
      </c>
      <c r="G1451" s="51" t="str">
        <f t="shared" si="3"/>
        <v>₹350,553.02</v>
      </c>
      <c r="H1451" s="51" t="str">
        <f t="shared" si="4"/>
        <v>₹29,212.75</v>
      </c>
      <c r="I1451" s="51" t="str">
        <f>85325.57-H1451</f>
        <v>₹56,112.82</v>
      </c>
    </row>
    <row r="1452" ht="15.75" customHeight="1">
      <c r="A1452" s="53" t="s">
        <v>1519</v>
      </c>
      <c r="B1452" s="53" t="s">
        <v>36</v>
      </c>
      <c r="C1452" s="53" t="s">
        <v>33</v>
      </c>
      <c r="D1452" s="54">
        <v>97399.01</v>
      </c>
      <c r="E1452" s="54" t="str">
        <f t="shared" si="1"/>
        <v>₹1,168,788.12</v>
      </c>
      <c r="F1452" s="55" t="str">
        <f t="shared" si="2"/>
        <v>30.0%</v>
      </c>
      <c r="G1452" s="54" t="str">
        <f t="shared" si="3"/>
        <v>₹350,636.44</v>
      </c>
      <c r="H1452" s="54" t="str">
        <f t="shared" si="4"/>
        <v>₹29,219.70</v>
      </c>
      <c r="I1452" s="54" t="str">
        <f>85345.34-H1452</f>
        <v>₹56,125.64</v>
      </c>
    </row>
    <row r="1453" ht="15.75" customHeight="1">
      <c r="A1453" s="50" t="s">
        <v>1520</v>
      </c>
      <c r="B1453" s="50" t="s">
        <v>29</v>
      </c>
      <c r="C1453" s="50" t="s">
        <v>26</v>
      </c>
      <c r="D1453" s="51">
        <v>97422.19</v>
      </c>
      <c r="E1453" s="51" t="str">
        <f t="shared" si="1"/>
        <v>₹1,169,066.28</v>
      </c>
      <c r="F1453" s="52" t="str">
        <f t="shared" si="2"/>
        <v>30.0%</v>
      </c>
      <c r="G1453" s="51" t="str">
        <f t="shared" si="3"/>
        <v>₹350,719.88</v>
      </c>
      <c r="H1453" s="51" t="str">
        <f t="shared" si="4"/>
        <v>₹29,226.66</v>
      </c>
      <c r="I1453" s="51" t="str">
        <f>85365.12-H1453</f>
        <v>₹56,138.46</v>
      </c>
    </row>
    <row r="1454" ht="15.75" customHeight="1">
      <c r="A1454" s="53" t="s">
        <v>1521</v>
      </c>
      <c r="B1454" s="53" t="s">
        <v>53</v>
      </c>
      <c r="C1454" s="53" t="s">
        <v>33</v>
      </c>
      <c r="D1454" s="54">
        <v>97445.37</v>
      </c>
      <c r="E1454" s="54" t="str">
        <f t="shared" si="1"/>
        <v>₹1,169,344.44</v>
      </c>
      <c r="F1454" s="55" t="str">
        <f t="shared" si="2"/>
        <v>30.0%</v>
      </c>
      <c r="G1454" s="54" t="str">
        <f t="shared" si="3"/>
        <v>₹350,803.33</v>
      </c>
      <c r="H1454" s="54" t="str">
        <f t="shared" si="4"/>
        <v>₹29,233.61</v>
      </c>
      <c r="I1454" s="54" t="str">
        <f>85384.9-H1454</f>
        <v>₹56,151.29</v>
      </c>
    </row>
    <row r="1455" ht="15.75" customHeight="1">
      <c r="A1455" s="50" t="s">
        <v>1522</v>
      </c>
      <c r="B1455" s="50" t="s">
        <v>36</v>
      </c>
      <c r="C1455" s="50" t="s">
        <v>37</v>
      </c>
      <c r="D1455" s="51">
        <v>97468.55</v>
      </c>
      <c r="E1455" s="51" t="str">
        <f t="shared" si="1"/>
        <v>₹1,169,622.60</v>
      </c>
      <c r="F1455" s="52" t="str">
        <f t="shared" si="2"/>
        <v>30.0%</v>
      </c>
      <c r="G1455" s="51" t="str">
        <f t="shared" si="3"/>
        <v>₹350,886.78</v>
      </c>
      <c r="H1455" s="51" t="str">
        <f t="shared" si="4"/>
        <v>₹29,240.57</v>
      </c>
      <c r="I1455" s="51" t="str">
        <f>85404.69-H1455</f>
        <v>₹56,164.13</v>
      </c>
    </row>
    <row r="1456" ht="15.75" customHeight="1">
      <c r="A1456" s="53" t="s">
        <v>1523</v>
      </c>
      <c r="B1456" s="53" t="s">
        <v>17</v>
      </c>
      <c r="C1456" s="53" t="s">
        <v>18</v>
      </c>
      <c r="D1456" s="54">
        <v>97491.73</v>
      </c>
      <c r="E1456" s="54" t="str">
        <f t="shared" si="1"/>
        <v>₹1,169,900.76</v>
      </c>
      <c r="F1456" s="55" t="str">
        <f t="shared" si="2"/>
        <v>30.0%</v>
      </c>
      <c r="G1456" s="54" t="str">
        <f t="shared" si="3"/>
        <v>₹350,970.23</v>
      </c>
      <c r="H1456" s="54" t="str">
        <f t="shared" si="4"/>
        <v>₹29,247.52</v>
      </c>
      <c r="I1456" s="54" t="str">
        <f>85424.47-H1456</f>
        <v>₹56,176.95</v>
      </c>
    </row>
    <row r="1457" ht="15.75" customHeight="1">
      <c r="A1457" s="50" t="s">
        <v>1524</v>
      </c>
      <c r="B1457" s="50" t="s">
        <v>13</v>
      </c>
      <c r="C1457" s="50" t="s">
        <v>26</v>
      </c>
      <c r="D1457" s="51">
        <v>97514.9</v>
      </c>
      <c r="E1457" s="51" t="str">
        <f t="shared" si="1"/>
        <v>₹1,170,178.80</v>
      </c>
      <c r="F1457" s="52" t="str">
        <f t="shared" si="2"/>
        <v>30.0%</v>
      </c>
      <c r="G1457" s="51" t="str">
        <f t="shared" si="3"/>
        <v>₹351,053.64</v>
      </c>
      <c r="H1457" s="51" t="str">
        <f t="shared" si="4"/>
        <v>₹29,254.47</v>
      </c>
      <c r="I1457" s="51" t="str">
        <f>85444.24-H1457</f>
        <v>₹56,189.77</v>
      </c>
    </row>
    <row r="1458" ht="15.75" customHeight="1">
      <c r="A1458" s="53" t="s">
        <v>1525</v>
      </c>
      <c r="B1458" s="53" t="s">
        <v>53</v>
      </c>
      <c r="C1458" s="53" t="s">
        <v>26</v>
      </c>
      <c r="D1458" s="54">
        <v>97538.08</v>
      </c>
      <c r="E1458" s="54" t="str">
        <f t="shared" si="1"/>
        <v>₹1,170,456.96</v>
      </c>
      <c r="F1458" s="55" t="str">
        <f t="shared" si="2"/>
        <v>30.0%</v>
      </c>
      <c r="G1458" s="54" t="str">
        <f t="shared" si="3"/>
        <v>₹351,137.09</v>
      </c>
      <c r="H1458" s="54" t="str">
        <f t="shared" si="4"/>
        <v>₹29,261.42</v>
      </c>
      <c r="I1458" s="54" t="str">
        <f>85464.02-H1458</f>
        <v>₹56,202.60</v>
      </c>
    </row>
    <row r="1459" ht="15.75" customHeight="1">
      <c r="A1459" s="50" t="s">
        <v>1526</v>
      </c>
      <c r="B1459" s="50" t="s">
        <v>29</v>
      </c>
      <c r="C1459" s="50" t="s">
        <v>33</v>
      </c>
      <c r="D1459" s="51">
        <v>97584.44</v>
      </c>
      <c r="E1459" s="51" t="str">
        <f t="shared" si="1"/>
        <v>₹1,171,013.28</v>
      </c>
      <c r="F1459" s="52" t="str">
        <f t="shared" si="2"/>
        <v>30.0%</v>
      </c>
      <c r="G1459" s="51" t="str">
        <f t="shared" si="3"/>
        <v>₹351,303.98</v>
      </c>
      <c r="H1459" s="51" t="str">
        <f t="shared" si="4"/>
        <v>₹29,275.33</v>
      </c>
      <c r="I1459" s="51" t="str">
        <f>85503.59-H1459</f>
        <v>₹56,228.26</v>
      </c>
    </row>
    <row r="1460" ht="15.75" customHeight="1">
      <c r="A1460" s="53" t="s">
        <v>1527</v>
      </c>
      <c r="B1460" s="53" t="s">
        <v>36</v>
      </c>
      <c r="C1460" s="53" t="s">
        <v>33</v>
      </c>
      <c r="D1460" s="54">
        <v>97607.61</v>
      </c>
      <c r="E1460" s="54" t="str">
        <f t="shared" si="1"/>
        <v>₹1,171,291.32</v>
      </c>
      <c r="F1460" s="55" t="str">
        <f t="shared" si="2"/>
        <v>30.0%</v>
      </c>
      <c r="G1460" s="54" t="str">
        <f t="shared" si="3"/>
        <v>₹351,387.40</v>
      </c>
      <c r="H1460" s="54" t="str">
        <f t="shared" si="4"/>
        <v>₹29,282.28</v>
      </c>
      <c r="I1460" s="54" t="str">
        <f>85523.36-H1460</f>
        <v>₹56,241.08</v>
      </c>
    </row>
    <row r="1461" ht="15.75" customHeight="1">
      <c r="A1461" s="50" t="s">
        <v>1528</v>
      </c>
      <c r="B1461" s="50" t="s">
        <v>29</v>
      </c>
      <c r="C1461" s="50" t="s">
        <v>54</v>
      </c>
      <c r="D1461" s="51">
        <v>97630.79</v>
      </c>
      <c r="E1461" s="51" t="str">
        <f t="shared" si="1"/>
        <v>₹1,171,569.48</v>
      </c>
      <c r="F1461" s="52" t="str">
        <f t="shared" si="2"/>
        <v>30.0%</v>
      </c>
      <c r="G1461" s="51" t="str">
        <f t="shared" si="3"/>
        <v>₹351,470.84</v>
      </c>
      <c r="H1461" s="51" t="str">
        <f t="shared" si="4"/>
        <v>₹29,289.24</v>
      </c>
      <c r="I1461" s="51" t="str">
        <f>85543.14-H1461</f>
        <v>₹56,253.90</v>
      </c>
    </row>
    <row r="1462" ht="15.75" customHeight="1">
      <c r="A1462" s="53" t="s">
        <v>1529</v>
      </c>
      <c r="B1462" s="53" t="s">
        <v>13</v>
      </c>
      <c r="C1462" s="53" t="s">
        <v>30</v>
      </c>
      <c r="D1462" s="54">
        <v>97653.97</v>
      </c>
      <c r="E1462" s="54" t="str">
        <f t="shared" si="1"/>
        <v>₹1,171,847.64</v>
      </c>
      <c r="F1462" s="55" t="str">
        <f t="shared" si="2"/>
        <v>30.0%</v>
      </c>
      <c r="G1462" s="54" t="str">
        <f t="shared" si="3"/>
        <v>₹351,554.29</v>
      </c>
      <c r="H1462" s="54" t="str">
        <f t="shared" si="4"/>
        <v>₹29,296.19</v>
      </c>
      <c r="I1462" s="54" t="str">
        <f>85562.93-H1462</f>
        <v>₹56,266.74</v>
      </c>
    </row>
    <row r="1463" ht="15.75" customHeight="1">
      <c r="A1463" s="50" t="s">
        <v>1530</v>
      </c>
      <c r="B1463" s="50" t="s">
        <v>25</v>
      </c>
      <c r="C1463" s="50" t="s">
        <v>33</v>
      </c>
      <c r="D1463" s="51">
        <v>97677.15</v>
      </c>
      <c r="E1463" s="51" t="str">
        <f t="shared" si="1"/>
        <v>₹1,172,125.80</v>
      </c>
      <c r="F1463" s="52" t="str">
        <f t="shared" si="2"/>
        <v>30.0%</v>
      </c>
      <c r="G1463" s="51" t="str">
        <f t="shared" si="3"/>
        <v>₹351,637.74</v>
      </c>
      <c r="H1463" s="51" t="str">
        <f t="shared" si="4"/>
        <v>₹29,303.15</v>
      </c>
      <c r="I1463" s="51" t="str">
        <f>85582.71-H1463</f>
        <v>₹56,279.57</v>
      </c>
    </row>
    <row r="1464" ht="15.75" customHeight="1">
      <c r="A1464" s="53" t="s">
        <v>1531</v>
      </c>
      <c r="B1464" s="53" t="s">
        <v>36</v>
      </c>
      <c r="C1464" s="53" t="s">
        <v>30</v>
      </c>
      <c r="D1464" s="54">
        <v>97700.32</v>
      </c>
      <c r="E1464" s="54" t="str">
        <f t="shared" si="1"/>
        <v>₹1,172,403.84</v>
      </c>
      <c r="F1464" s="55" t="str">
        <f t="shared" si="2"/>
        <v>30.0%</v>
      </c>
      <c r="G1464" s="54" t="str">
        <f t="shared" si="3"/>
        <v>₹351,721.15</v>
      </c>
      <c r="H1464" s="54" t="str">
        <f t="shared" si="4"/>
        <v>₹29,310.10</v>
      </c>
      <c r="I1464" s="54" t="str">
        <f>85602.48-H1464</f>
        <v>₹56,292.38</v>
      </c>
    </row>
    <row r="1465" ht="15.75" customHeight="1">
      <c r="A1465" s="50" t="s">
        <v>1532</v>
      </c>
      <c r="B1465" s="50" t="s">
        <v>36</v>
      </c>
      <c r="C1465" s="50" t="s">
        <v>14</v>
      </c>
      <c r="D1465" s="51">
        <v>97723.5</v>
      </c>
      <c r="E1465" s="51" t="str">
        <f t="shared" si="1"/>
        <v>₹1,172,682.00</v>
      </c>
      <c r="F1465" s="52" t="str">
        <f t="shared" si="2"/>
        <v>30.0%</v>
      </c>
      <c r="G1465" s="51" t="str">
        <f t="shared" si="3"/>
        <v>₹351,804.60</v>
      </c>
      <c r="H1465" s="51" t="str">
        <f t="shared" si="4"/>
        <v>₹29,317.05</v>
      </c>
      <c r="I1465" s="51" t="str">
        <f>85622.26-H1465</f>
        <v>₹56,305.21</v>
      </c>
    </row>
    <row r="1466" ht="15.75" customHeight="1">
      <c r="A1466" s="53" t="s">
        <v>1533</v>
      </c>
      <c r="B1466" s="53" t="s">
        <v>29</v>
      </c>
      <c r="C1466" s="53" t="s">
        <v>18</v>
      </c>
      <c r="D1466" s="54">
        <v>97746.68</v>
      </c>
      <c r="E1466" s="54" t="str">
        <f t="shared" si="1"/>
        <v>₹1,172,960.16</v>
      </c>
      <c r="F1466" s="55" t="str">
        <f t="shared" si="2"/>
        <v>30.0%</v>
      </c>
      <c r="G1466" s="54" t="str">
        <f t="shared" si="3"/>
        <v>₹351,888.05</v>
      </c>
      <c r="H1466" s="54" t="str">
        <f t="shared" si="4"/>
        <v>₹29,324.00</v>
      </c>
      <c r="I1466" s="54" t="str">
        <f>85642.05-H1466</f>
        <v>₹56,318.05</v>
      </c>
    </row>
    <row r="1467" ht="15.75" customHeight="1">
      <c r="A1467" s="50" t="s">
        <v>1534</v>
      </c>
      <c r="B1467" s="50" t="s">
        <v>13</v>
      </c>
      <c r="C1467" s="50" t="s">
        <v>18</v>
      </c>
      <c r="D1467" s="51">
        <v>97769.86</v>
      </c>
      <c r="E1467" s="51" t="str">
        <f t="shared" si="1"/>
        <v>₹1,173,238.32</v>
      </c>
      <c r="F1467" s="52" t="str">
        <f t="shared" si="2"/>
        <v>30.0%</v>
      </c>
      <c r="G1467" s="51" t="str">
        <f t="shared" si="3"/>
        <v>₹351,971.50</v>
      </c>
      <c r="H1467" s="51" t="str">
        <f t="shared" si="4"/>
        <v>₹29,330.96</v>
      </c>
      <c r="I1467" s="51" t="str">
        <f>85661.83-H1467</f>
        <v>₹56,330.87</v>
      </c>
    </row>
    <row r="1468" ht="15.75" customHeight="1">
      <c r="A1468" s="53" t="s">
        <v>1535</v>
      </c>
      <c r="B1468" s="53" t="s">
        <v>51</v>
      </c>
      <c r="C1468" s="53" t="s">
        <v>14</v>
      </c>
      <c r="D1468" s="54">
        <v>97793.04</v>
      </c>
      <c r="E1468" s="54" t="str">
        <f t="shared" si="1"/>
        <v>₹1,173,516.48</v>
      </c>
      <c r="F1468" s="55" t="str">
        <f t="shared" si="2"/>
        <v>30.0%</v>
      </c>
      <c r="G1468" s="54" t="str">
        <f t="shared" si="3"/>
        <v>₹352,054.94</v>
      </c>
      <c r="H1468" s="54" t="str">
        <f t="shared" si="4"/>
        <v>₹29,337.91</v>
      </c>
      <c r="I1468" s="54" t="str">
        <f>85681.61-H1468</f>
        <v>₹56,343.70</v>
      </c>
    </row>
    <row r="1469" ht="15.75" customHeight="1">
      <c r="A1469" s="50" t="s">
        <v>1536</v>
      </c>
      <c r="B1469" s="50" t="s">
        <v>17</v>
      </c>
      <c r="C1469" s="50" t="s">
        <v>33</v>
      </c>
      <c r="D1469" s="51">
        <v>97816.21</v>
      </c>
      <c r="E1469" s="51" t="str">
        <f t="shared" si="1"/>
        <v>₹1,173,794.52</v>
      </c>
      <c r="F1469" s="52" t="str">
        <f t="shared" si="2"/>
        <v>30.0%</v>
      </c>
      <c r="G1469" s="51" t="str">
        <f t="shared" si="3"/>
        <v>₹352,138.36</v>
      </c>
      <c r="H1469" s="51" t="str">
        <f t="shared" si="4"/>
        <v>₹29,344.86</v>
      </c>
      <c r="I1469" s="51" t="str">
        <f>85701.38-H1469</f>
        <v>₹56,356.52</v>
      </c>
    </row>
    <row r="1470" ht="15.75" customHeight="1">
      <c r="A1470" s="53" t="s">
        <v>1537</v>
      </c>
      <c r="B1470" s="53" t="s">
        <v>51</v>
      </c>
      <c r="C1470" s="53" t="s">
        <v>37</v>
      </c>
      <c r="D1470" s="54">
        <v>97839.39</v>
      </c>
      <c r="E1470" s="54" t="str">
        <f t="shared" si="1"/>
        <v>₹1,174,072.68</v>
      </c>
      <c r="F1470" s="55" t="str">
        <f t="shared" si="2"/>
        <v>30.0%</v>
      </c>
      <c r="G1470" s="54" t="str">
        <f t="shared" si="3"/>
        <v>₹352,221.80</v>
      </c>
      <c r="H1470" s="54" t="str">
        <f t="shared" si="4"/>
        <v>₹29,351.82</v>
      </c>
      <c r="I1470" s="54" t="str">
        <f>85721.17-H1470</f>
        <v>₹56,369.35</v>
      </c>
    </row>
    <row r="1471" ht="15.75" customHeight="1">
      <c r="A1471" s="50" t="s">
        <v>1538</v>
      </c>
      <c r="B1471" s="50" t="s">
        <v>13</v>
      </c>
      <c r="C1471" s="50" t="s">
        <v>54</v>
      </c>
      <c r="D1471" s="51">
        <v>97862.57</v>
      </c>
      <c r="E1471" s="51" t="str">
        <f t="shared" si="1"/>
        <v>₹1,174,350.84</v>
      </c>
      <c r="F1471" s="52" t="str">
        <f t="shared" si="2"/>
        <v>30.0%</v>
      </c>
      <c r="G1471" s="51" t="str">
        <f t="shared" si="3"/>
        <v>₹352,305.25</v>
      </c>
      <c r="H1471" s="51" t="str">
        <f t="shared" si="4"/>
        <v>₹29,358.77</v>
      </c>
      <c r="I1471" s="51" t="str">
        <f>85740.95-H1471</f>
        <v>₹56,382.18</v>
      </c>
    </row>
    <row r="1472" ht="15.75" customHeight="1">
      <c r="A1472" s="53" t="s">
        <v>1539</v>
      </c>
      <c r="B1472" s="53" t="s">
        <v>51</v>
      </c>
      <c r="C1472" s="53" t="s">
        <v>33</v>
      </c>
      <c r="D1472" s="54">
        <v>97885.75</v>
      </c>
      <c r="E1472" s="54" t="str">
        <f t="shared" si="1"/>
        <v>₹1,174,629.00</v>
      </c>
      <c r="F1472" s="55" t="str">
        <f t="shared" si="2"/>
        <v>30.0%</v>
      </c>
      <c r="G1472" s="54" t="str">
        <f t="shared" si="3"/>
        <v>₹352,388.70</v>
      </c>
      <c r="H1472" s="54" t="str">
        <f t="shared" si="4"/>
        <v>₹29,365.73</v>
      </c>
      <c r="I1472" s="54" t="str">
        <f>85760.73-H1472</f>
        <v>₹56,395.01</v>
      </c>
    </row>
    <row r="1473" ht="15.75" customHeight="1">
      <c r="A1473" s="50" t="s">
        <v>1540</v>
      </c>
      <c r="B1473" s="50" t="s">
        <v>51</v>
      </c>
      <c r="C1473" s="50" t="s">
        <v>26</v>
      </c>
      <c r="D1473" s="51">
        <v>97908.92</v>
      </c>
      <c r="E1473" s="51" t="str">
        <f t="shared" si="1"/>
        <v>₹1,174,907.04</v>
      </c>
      <c r="F1473" s="52" t="str">
        <f t="shared" si="2"/>
        <v>30.0%</v>
      </c>
      <c r="G1473" s="51" t="str">
        <f t="shared" si="3"/>
        <v>₹352,472.11</v>
      </c>
      <c r="H1473" s="51" t="str">
        <f t="shared" si="4"/>
        <v>₹29,372.68</v>
      </c>
      <c r="I1473" s="51" t="str">
        <f>85780.5-H1473</f>
        <v>₹56,407.82</v>
      </c>
    </row>
    <row r="1474" ht="15.75" customHeight="1">
      <c r="A1474" s="53" t="s">
        <v>1541</v>
      </c>
      <c r="B1474" s="53" t="s">
        <v>36</v>
      </c>
      <c r="C1474" s="53" t="s">
        <v>37</v>
      </c>
      <c r="D1474" s="54">
        <v>97932.1</v>
      </c>
      <c r="E1474" s="54" t="str">
        <f t="shared" si="1"/>
        <v>₹1,175,185.20</v>
      </c>
      <c r="F1474" s="55" t="str">
        <f t="shared" si="2"/>
        <v>30.0%</v>
      </c>
      <c r="G1474" s="54" t="str">
        <f t="shared" si="3"/>
        <v>₹352,555.56</v>
      </c>
      <c r="H1474" s="54" t="str">
        <f t="shared" si="4"/>
        <v>₹29,379.63</v>
      </c>
      <c r="I1474" s="54" t="str">
        <f>85800.29-H1474</f>
        <v>₹56,420.66</v>
      </c>
    </row>
    <row r="1475" ht="15.75" customHeight="1">
      <c r="A1475" s="50" t="s">
        <v>1543</v>
      </c>
      <c r="B1475" s="50" t="s">
        <v>29</v>
      </c>
      <c r="C1475" s="50" t="s">
        <v>30</v>
      </c>
      <c r="D1475" s="51">
        <v>97955.28</v>
      </c>
      <c r="E1475" s="51" t="str">
        <f t="shared" si="1"/>
        <v>₹1,175,463.36</v>
      </c>
      <c r="F1475" s="52" t="str">
        <f t="shared" si="2"/>
        <v>30.0%</v>
      </c>
      <c r="G1475" s="51" t="str">
        <f t="shared" si="3"/>
        <v>₹352,639.01</v>
      </c>
      <c r="H1475" s="51" t="str">
        <f t="shared" si="4"/>
        <v>₹29,386.58</v>
      </c>
      <c r="I1475" s="51" t="str">
        <f>85820.07-H1475</f>
        <v>₹56,433.49</v>
      </c>
    </row>
    <row r="1476" ht="15.75" customHeight="1">
      <c r="A1476" s="53" t="s">
        <v>1544</v>
      </c>
      <c r="B1476" s="53" t="s">
        <v>51</v>
      </c>
      <c r="C1476" s="53" t="s">
        <v>18</v>
      </c>
      <c r="D1476" s="54">
        <v>98001.63</v>
      </c>
      <c r="E1476" s="54" t="str">
        <f t="shared" si="1"/>
        <v>₹1,176,019.56</v>
      </c>
      <c r="F1476" s="55" t="str">
        <f t="shared" si="2"/>
        <v>30.0%</v>
      </c>
      <c r="G1476" s="54" t="str">
        <f t="shared" si="3"/>
        <v>₹352,805.87</v>
      </c>
      <c r="H1476" s="54" t="str">
        <f t="shared" si="4"/>
        <v>₹29,400.49</v>
      </c>
      <c r="I1476" s="54" t="str">
        <f>85859.62-H1476</f>
        <v>₹56,459.13</v>
      </c>
    </row>
    <row r="1477" ht="15.75" customHeight="1">
      <c r="A1477" s="50" t="s">
        <v>1545</v>
      </c>
      <c r="B1477" s="50" t="s">
        <v>53</v>
      </c>
      <c r="C1477" s="50" t="s">
        <v>37</v>
      </c>
      <c r="D1477" s="51">
        <v>98024.81</v>
      </c>
      <c r="E1477" s="51" t="str">
        <f t="shared" si="1"/>
        <v>₹1,176,297.72</v>
      </c>
      <c r="F1477" s="52" t="str">
        <f t="shared" si="2"/>
        <v>30.0%</v>
      </c>
      <c r="G1477" s="51" t="str">
        <f t="shared" si="3"/>
        <v>₹352,889.32</v>
      </c>
      <c r="H1477" s="51" t="str">
        <f t="shared" si="4"/>
        <v>₹29,407.44</v>
      </c>
      <c r="I1477" s="51" t="str">
        <f>85879.41-H1477</f>
        <v>₹56,471.97</v>
      </c>
    </row>
    <row r="1478" ht="15.75" customHeight="1">
      <c r="A1478" s="53" t="s">
        <v>1546</v>
      </c>
      <c r="B1478" s="53" t="s">
        <v>29</v>
      </c>
      <c r="C1478" s="53" t="s">
        <v>26</v>
      </c>
      <c r="D1478" s="54">
        <v>98047.99</v>
      </c>
      <c r="E1478" s="54" t="str">
        <f t="shared" si="1"/>
        <v>₹1,176,575.88</v>
      </c>
      <c r="F1478" s="55" t="str">
        <f t="shared" si="2"/>
        <v>30.0%</v>
      </c>
      <c r="G1478" s="54" t="str">
        <f t="shared" si="3"/>
        <v>₹352,972.76</v>
      </c>
      <c r="H1478" s="54" t="str">
        <f t="shared" si="4"/>
        <v>₹29,414.40</v>
      </c>
      <c r="I1478" s="54" t="str">
        <f>85899.19-H1478</f>
        <v>₹56,484.79</v>
      </c>
    </row>
    <row r="1479" ht="15.75" customHeight="1">
      <c r="A1479" s="50" t="s">
        <v>1547</v>
      </c>
      <c r="B1479" s="50" t="s">
        <v>17</v>
      </c>
      <c r="C1479" s="50" t="s">
        <v>18</v>
      </c>
      <c r="D1479" s="51">
        <v>98071.17</v>
      </c>
      <c r="E1479" s="51" t="str">
        <f t="shared" si="1"/>
        <v>₹1,176,854.04</v>
      </c>
      <c r="F1479" s="52" t="str">
        <f t="shared" si="2"/>
        <v>30.0%</v>
      </c>
      <c r="G1479" s="51" t="str">
        <f t="shared" si="3"/>
        <v>₹353,056.21</v>
      </c>
      <c r="H1479" s="51" t="str">
        <f t="shared" si="4"/>
        <v>₹29,421.35</v>
      </c>
      <c r="I1479" s="51" t="str">
        <f>85918.97-H1479</f>
        <v>₹56,497.62</v>
      </c>
    </row>
    <row r="1480" ht="15.75" customHeight="1">
      <c r="A1480" s="53" t="s">
        <v>1548</v>
      </c>
      <c r="B1480" s="53" t="s">
        <v>36</v>
      </c>
      <c r="C1480" s="53" t="s">
        <v>37</v>
      </c>
      <c r="D1480" s="54">
        <v>98094.35</v>
      </c>
      <c r="E1480" s="54" t="str">
        <f t="shared" si="1"/>
        <v>₹1,177,132.20</v>
      </c>
      <c r="F1480" s="55" t="str">
        <f t="shared" si="2"/>
        <v>30.0%</v>
      </c>
      <c r="G1480" s="54" t="str">
        <f t="shared" si="3"/>
        <v>₹353,139.66</v>
      </c>
      <c r="H1480" s="54" t="str">
        <f t="shared" si="4"/>
        <v>₹29,428.31</v>
      </c>
      <c r="I1480" s="54" t="str">
        <f>85938.75-H1480</f>
        <v>₹56,510.45</v>
      </c>
    </row>
    <row r="1481" ht="15.75" customHeight="1">
      <c r="A1481" s="50" t="s">
        <v>1549</v>
      </c>
      <c r="B1481" s="50" t="s">
        <v>13</v>
      </c>
      <c r="C1481" s="50" t="s">
        <v>33</v>
      </c>
      <c r="D1481" s="51">
        <v>98117.52</v>
      </c>
      <c r="E1481" s="51" t="str">
        <f t="shared" si="1"/>
        <v>₹1,177,410.24</v>
      </c>
      <c r="F1481" s="52" t="str">
        <f t="shared" si="2"/>
        <v>30.0%</v>
      </c>
      <c r="G1481" s="51" t="str">
        <f t="shared" si="3"/>
        <v>₹353,223.07</v>
      </c>
      <c r="H1481" s="51" t="str">
        <f t="shared" si="4"/>
        <v>₹29,435.26</v>
      </c>
      <c r="I1481" s="51" t="str">
        <f>83790.14-H1481</f>
        <v>₹54,354.88</v>
      </c>
    </row>
    <row r="1482" ht="15.75" customHeight="1">
      <c r="A1482" s="53" t="s">
        <v>1550</v>
      </c>
      <c r="B1482" s="53" t="s">
        <v>36</v>
      </c>
      <c r="C1482" s="53" t="s">
        <v>14</v>
      </c>
      <c r="D1482" s="54">
        <v>98140.7</v>
      </c>
      <c r="E1482" s="54" t="str">
        <f t="shared" si="1"/>
        <v>₹1,177,688.40</v>
      </c>
      <c r="F1482" s="55" t="str">
        <f t="shared" si="2"/>
        <v>30.0%</v>
      </c>
      <c r="G1482" s="54" t="str">
        <f t="shared" si="3"/>
        <v>₹353,306.52</v>
      </c>
      <c r="H1482" s="54" t="str">
        <f t="shared" si="4"/>
        <v>₹29,442.21</v>
      </c>
      <c r="I1482" s="54" t="str">
        <f>85978.31-H1482</f>
        <v>₹56,536.10</v>
      </c>
    </row>
    <row r="1483" ht="15.75" customHeight="1">
      <c r="A1483" s="50" t="s">
        <v>1551</v>
      </c>
      <c r="B1483" s="50" t="s">
        <v>51</v>
      </c>
      <c r="C1483" s="50" t="s">
        <v>33</v>
      </c>
      <c r="D1483" s="51">
        <v>98163.88</v>
      </c>
      <c r="E1483" s="51" t="str">
        <f t="shared" si="1"/>
        <v>₹1,177,966.56</v>
      </c>
      <c r="F1483" s="52" t="str">
        <f t="shared" si="2"/>
        <v>30.0%</v>
      </c>
      <c r="G1483" s="51" t="str">
        <f t="shared" si="3"/>
        <v>₹353,389.97</v>
      </c>
      <c r="H1483" s="51" t="str">
        <f t="shared" si="4"/>
        <v>₹29,449.16</v>
      </c>
      <c r="I1483" s="51" t="str">
        <f>85998.09-H1483</f>
        <v>₹56,548.93</v>
      </c>
    </row>
    <row r="1484" ht="15.75" customHeight="1">
      <c r="A1484" s="53" t="s">
        <v>1552</v>
      </c>
      <c r="B1484" s="53" t="s">
        <v>25</v>
      </c>
      <c r="C1484" s="53" t="s">
        <v>33</v>
      </c>
      <c r="D1484" s="54">
        <v>98187.06</v>
      </c>
      <c r="E1484" s="54" t="str">
        <f t="shared" si="1"/>
        <v>₹1,178,244.72</v>
      </c>
      <c r="F1484" s="55" t="str">
        <f t="shared" si="2"/>
        <v>30.0%</v>
      </c>
      <c r="G1484" s="54" t="str">
        <f t="shared" si="3"/>
        <v>₹353,473.42</v>
      </c>
      <c r="H1484" s="54" t="str">
        <f t="shared" si="4"/>
        <v>₹29,456.12</v>
      </c>
      <c r="I1484" s="54" t="str">
        <f>86017.87-H1484</f>
        <v>₹56,561.75</v>
      </c>
    </row>
    <row r="1485" ht="15.75" customHeight="1">
      <c r="A1485" s="50" t="s">
        <v>1553</v>
      </c>
      <c r="B1485" s="50" t="s">
        <v>17</v>
      </c>
      <c r="C1485" s="50" t="s">
        <v>33</v>
      </c>
      <c r="D1485" s="51">
        <v>98210.23</v>
      </c>
      <c r="E1485" s="51" t="str">
        <f t="shared" si="1"/>
        <v>₹1,178,522.76</v>
      </c>
      <c r="F1485" s="52" t="str">
        <f t="shared" si="2"/>
        <v>30.0%</v>
      </c>
      <c r="G1485" s="51" t="str">
        <f t="shared" si="3"/>
        <v>₹353,556.83</v>
      </c>
      <c r="H1485" s="51" t="str">
        <f t="shared" si="4"/>
        <v>₹29,463.07</v>
      </c>
      <c r="I1485" s="51" t="str">
        <f>86037.65-H1485</f>
        <v>₹56,574.58</v>
      </c>
    </row>
    <row r="1486" ht="15.75" customHeight="1">
      <c r="A1486" s="53" t="s">
        <v>1554</v>
      </c>
      <c r="B1486" s="53" t="s">
        <v>17</v>
      </c>
      <c r="C1486" s="53" t="s">
        <v>14</v>
      </c>
      <c r="D1486" s="54">
        <v>98233.41</v>
      </c>
      <c r="E1486" s="54" t="str">
        <f t="shared" si="1"/>
        <v>₹1,178,800.92</v>
      </c>
      <c r="F1486" s="55" t="str">
        <f t="shared" si="2"/>
        <v>30.0%</v>
      </c>
      <c r="G1486" s="54" t="str">
        <f t="shared" si="3"/>
        <v>₹353,640.28</v>
      </c>
      <c r="H1486" s="54" t="str">
        <f t="shared" si="4"/>
        <v>₹29,470.02</v>
      </c>
      <c r="I1486" s="54" t="str">
        <f>86057.43-H1486</f>
        <v>₹56,587.41</v>
      </c>
    </row>
    <row r="1487" ht="15.75" customHeight="1">
      <c r="A1487" s="50" t="s">
        <v>1555</v>
      </c>
      <c r="B1487" s="50" t="s">
        <v>25</v>
      </c>
      <c r="C1487" s="50" t="s">
        <v>30</v>
      </c>
      <c r="D1487" s="51">
        <v>98256.59</v>
      </c>
      <c r="E1487" s="51" t="str">
        <f t="shared" si="1"/>
        <v>₹1,179,079.08</v>
      </c>
      <c r="F1487" s="52" t="str">
        <f t="shared" si="2"/>
        <v>30.0%</v>
      </c>
      <c r="G1487" s="51" t="str">
        <f t="shared" si="3"/>
        <v>₹353,723.72</v>
      </c>
      <c r="H1487" s="51" t="str">
        <f t="shared" si="4"/>
        <v>₹29,476.98</v>
      </c>
      <c r="I1487" s="51" t="str">
        <f>86077.21-H1487</f>
        <v>₹56,600.23</v>
      </c>
    </row>
    <row r="1488" ht="15.75" customHeight="1">
      <c r="A1488" s="53" t="s">
        <v>1556</v>
      </c>
      <c r="B1488" s="53" t="s">
        <v>25</v>
      </c>
      <c r="C1488" s="53" t="s">
        <v>30</v>
      </c>
      <c r="D1488" s="54">
        <v>98279.77</v>
      </c>
      <c r="E1488" s="54" t="str">
        <f t="shared" si="1"/>
        <v>₹1,179,357.24</v>
      </c>
      <c r="F1488" s="55" t="str">
        <f t="shared" si="2"/>
        <v>30.0%</v>
      </c>
      <c r="G1488" s="54" t="str">
        <f t="shared" si="3"/>
        <v>₹353,807.17</v>
      </c>
      <c r="H1488" s="54" t="str">
        <f t="shared" si="4"/>
        <v>₹29,483.93</v>
      </c>
      <c r="I1488" s="54" t="str">
        <f>86096.99-H1488</f>
        <v>₹56,613.06</v>
      </c>
    </row>
    <row r="1489" ht="15.75" customHeight="1">
      <c r="A1489" s="50" t="s">
        <v>1557</v>
      </c>
      <c r="B1489" s="50" t="s">
        <v>36</v>
      </c>
      <c r="C1489" s="50" t="s">
        <v>14</v>
      </c>
      <c r="D1489" s="51">
        <v>98302.94</v>
      </c>
      <c r="E1489" s="51" t="str">
        <f t="shared" si="1"/>
        <v>₹1,179,635.28</v>
      </c>
      <c r="F1489" s="52" t="str">
        <f t="shared" si="2"/>
        <v>30.0%</v>
      </c>
      <c r="G1489" s="51" t="str">
        <f t="shared" si="3"/>
        <v>₹353,890.58</v>
      </c>
      <c r="H1489" s="51" t="str">
        <f t="shared" si="4"/>
        <v>₹29,490.88</v>
      </c>
      <c r="I1489" s="51" t="str">
        <f>86116.76-H1489</f>
        <v>₹56,625.88</v>
      </c>
    </row>
    <row r="1490" ht="15.75" customHeight="1">
      <c r="A1490" s="53" t="s">
        <v>1558</v>
      </c>
      <c r="B1490" s="53" t="s">
        <v>51</v>
      </c>
      <c r="C1490" s="53" t="s">
        <v>37</v>
      </c>
      <c r="D1490" s="54">
        <v>98326.12</v>
      </c>
      <c r="E1490" s="54" t="str">
        <f t="shared" si="1"/>
        <v>₹1,179,913.44</v>
      </c>
      <c r="F1490" s="55" t="str">
        <f t="shared" si="2"/>
        <v>30.0%</v>
      </c>
      <c r="G1490" s="54" t="str">
        <f t="shared" si="3"/>
        <v>₹353,974.03</v>
      </c>
      <c r="H1490" s="54" t="str">
        <f t="shared" si="4"/>
        <v>₹29,497.84</v>
      </c>
      <c r="I1490" s="54" t="str">
        <f>86136.55-H1490</f>
        <v>₹56,638.71</v>
      </c>
    </row>
    <row r="1491" ht="15.75" customHeight="1">
      <c r="A1491" s="50" t="s">
        <v>1559</v>
      </c>
      <c r="B1491" s="50" t="s">
        <v>13</v>
      </c>
      <c r="C1491" s="50" t="s">
        <v>54</v>
      </c>
      <c r="D1491" s="51">
        <v>98349.3</v>
      </c>
      <c r="E1491" s="51" t="str">
        <f t="shared" si="1"/>
        <v>₹1,180,191.60</v>
      </c>
      <c r="F1491" s="52" t="str">
        <f t="shared" si="2"/>
        <v>30.0%</v>
      </c>
      <c r="G1491" s="51" t="str">
        <f t="shared" si="3"/>
        <v>₹354,057.48</v>
      </c>
      <c r="H1491" s="51" t="str">
        <f t="shared" si="4"/>
        <v>₹29,504.79</v>
      </c>
      <c r="I1491" s="51" t="str">
        <f>86156.33-H1491</f>
        <v>₹56,651.54</v>
      </c>
    </row>
    <row r="1492" ht="15.75" customHeight="1">
      <c r="A1492" s="53" t="s">
        <v>1560</v>
      </c>
      <c r="B1492" s="53" t="s">
        <v>29</v>
      </c>
      <c r="C1492" s="53" t="s">
        <v>18</v>
      </c>
      <c r="D1492" s="54">
        <v>98372.48</v>
      </c>
      <c r="E1492" s="54" t="str">
        <f t="shared" si="1"/>
        <v>₹1,180,469.76</v>
      </c>
      <c r="F1492" s="55" t="str">
        <f t="shared" si="2"/>
        <v>30.0%</v>
      </c>
      <c r="G1492" s="54" t="str">
        <f t="shared" si="3"/>
        <v>₹354,140.93</v>
      </c>
      <c r="H1492" s="54" t="str">
        <f t="shared" si="4"/>
        <v>₹29,511.74</v>
      </c>
      <c r="I1492" s="54" t="str">
        <f>86176.11-H1492</f>
        <v>₹56,664.37</v>
      </c>
    </row>
    <row r="1493" ht="15.75" customHeight="1">
      <c r="A1493" s="50" t="s">
        <v>1561</v>
      </c>
      <c r="B1493" s="50" t="s">
        <v>53</v>
      </c>
      <c r="C1493" s="50" t="s">
        <v>37</v>
      </c>
      <c r="D1493" s="51">
        <v>98395.66</v>
      </c>
      <c r="E1493" s="51" t="str">
        <f t="shared" si="1"/>
        <v>₹1,180,747.92</v>
      </c>
      <c r="F1493" s="52" t="str">
        <f t="shared" si="2"/>
        <v>30.0%</v>
      </c>
      <c r="G1493" s="51" t="str">
        <f t="shared" si="3"/>
        <v>₹354,224.38</v>
      </c>
      <c r="H1493" s="51" t="str">
        <f t="shared" si="4"/>
        <v>₹29,518.70</v>
      </c>
      <c r="I1493" s="51" t="str">
        <f>86195.89-H1493</f>
        <v>₹56,677.19</v>
      </c>
    </row>
    <row r="1494" ht="15.75" customHeight="1">
      <c r="A1494" s="53" t="s">
        <v>1562</v>
      </c>
      <c r="B1494" s="53" t="s">
        <v>36</v>
      </c>
      <c r="C1494" s="53" t="s">
        <v>26</v>
      </c>
      <c r="D1494" s="54">
        <v>98418.83</v>
      </c>
      <c r="E1494" s="54" t="str">
        <f t="shared" si="1"/>
        <v>₹1,181,025.96</v>
      </c>
      <c r="F1494" s="55" t="str">
        <f t="shared" si="2"/>
        <v>30.0%</v>
      </c>
      <c r="G1494" s="54" t="str">
        <f t="shared" si="3"/>
        <v>₹354,307.79</v>
      </c>
      <c r="H1494" s="54" t="str">
        <f t="shared" si="4"/>
        <v>₹29,525.65</v>
      </c>
      <c r="I1494" s="54" t="str">
        <f>86215.67-H1494</f>
        <v>₹56,690.02</v>
      </c>
    </row>
    <row r="1495" ht="15.75" customHeight="1">
      <c r="A1495" s="50" t="s">
        <v>1563</v>
      </c>
      <c r="B1495" s="50" t="s">
        <v>17</v>
      </c>
      <c r="C1495" s="50" t="s">
        <v>30</v>
      </c>
      <c r="D1495" s="51">
        <v>98442.01</v>
      </c>
      <c r="E1495" s="51" t="str">
        <f t="shared" si="1"/>
        <v>₹1,181,304.12</v>
      </c>
      <c r="F1495" s="52" t="str">
        <f t="shared" si="2"/>
        <v>30.0%</v>
      </c>
      <c r="G1495" s="51" t="str">
        <f t="shared" si="3"/>
        <v>₹354,391.24</v>
      </c>
      <c r="H1495" s="51" t="str">
        <f t="shared" si="4"/>
        <v>₹29,532.60</v>
      </c>
      <c r="I1495" s="51" t="str">
        <f>86235.45-H1495</f>
        <v>₹56,702.85</v>
      </c>
    </row>
    <row r="1496" ht="15.75" customHeight="1">
      <c r="A1496" s="53" t="s">
        <v>1564</v>
      </c>
      <c r="B1496" s="53" t="s">
        <v>53</v>
      </c>
      <c r="C1496" s="53" t="s">
        <v>33</v>
      </c>
      <c r="D1496" s="54">
        <v>98465.19</v>
      </c>
      <c r="E1496" s="54" t="str">
        <f t="shared" si="1"/>
        <v>₹1,181,582.28</v>
      </c>
      <c r="F1496" s="55" t="str">
        <f t="shared" si="2"/>
        <v>30.0%</v>
      </c>
      <c r="G1496" s="54" t="str">
        <f t="shared" si="3"/>
        <v>₹354,474.68</v>
      </c>
      <c r="H1496" s="54" t="str">
        <f t="shared" si="4"/>
        <v>₹29,539.56</v>
      </c>
      <c r="I1496" s="54" t="str">
        <f>86255.23-H1496</f>
        <v>₹56,715.67</v>
      </c>
    </row>
    <row r="1497" ht="15.75" customHeight="1">
      <c r="A1497" s="50" t="s">
        <v>1565</v>
      </c>
      <c r="B1497" s="50" t="s">
        <v>17</v>
      </c>
      <c r="C1497" s="50" t="s">
        <v>14</v>
      </c>
      <c r="D1497" s="51">
        <v>98488.37</v>
      </c>
      <c r="E1497" s="51" t="str">
        <f t="shared" si="1"/>
        <v>₹1,181,860.44</v>
      </c>
      <c r="F1497" s="52" t="str">
        <f t="shared" si="2"/>
        <v>30.0%</v>
      </c>
      <c r="G1497" s="51" t="str">
        <f t="shared" si="3"/>
        <v>₹354,558.13</v>
      </c>
      <c r="H1497" s="51" t="str">
        <f t="shared" si="4"/>
        <v>₹29,546.51</v>
      </c>
      <c r="I1497" s="51" t="str">
        <f>86275.01-H1497</f>
        <v>₹56,728.50</v>
      </c>
    </row>
    <row r="1498" ht="15.75" customHeight="1">
      <c r="A1498" s="53" t="s">
        <v>1566</v>
      </c>
      <c r="B1498" s="53" t="s">
        <v>36</v>
      </c>
      <c r="C1498" s="53" t="s">
        <v>30</v>
      </c>
      <c r="D1498" s="54">
        <v>98511.54</v>
      </c>
      <c r="E1498" s="54" t="str">
        <f t="shared" si="1"/>
        <v>₹1,182,138.48</v>
      </c>
      <c r="F1498" s="55" t="str">
        <f t="shared" si="2"/>
        <v>30.0%</v>
      </c>
      <c r="G1498" s="54" t="str">
        <f t="shared" si="3"/>
        <v>₹354,641.54</v>
      </c>
      <c r="H1498" s="54" t="str">
        <f t="shared" si="4"/>
        <v>₹29,553.46</v>
      </c>
      <c r="I1498" s="54" t="str">
        <f>86294.79-H1498</f>
        <v>₹56,741.33</v>
      </c>
    </row>
    <row r="1499" ht="15.75" customHeight="1">
      <c r="A1499" s="50" t="s">
        <v>1567</v>
      </c>
      <c r="B1499" s="50" t="s">
        <v>29</v>
      </c>
      <c r="C1499" s="50" t="s">
        <v>30</v>
      </c>
      <c r="D1499" s="51">
        <v>98534.72</v>
      </c>
      <c r="E1499" s="51" t="str">
        <f t="shared" si="1"/>
        <v>₹1,182,416.64</v>
      </c>
      <c r="F1499" s="52" t="str">
        <f t="shared" si="2"/>
        <v>30.0%</v>
      </c>
      <c r="G1499" s="51" t="str">
        <f t="shared" si="3"/>
        <v>₹354,724.99</v>
      </c>
      <c r="H1499" s="51" t="str">
        <f t="shared" si="4"/>
        <v>₹29,560.42</v>
      </c>
      <c r="I1499" s="51" t="str">
        <f>86314.57-H1499</f>
        <v>₹56,754.15</v>
      </c>
    </row>
    <row r="1500" ht="15.75" customHeight="1">
      <c r="A1500" s="53" t="s">
        <v>1568</v>
      </c>
      <c r="B1500" s="53" t="s">
        <v>29</v>
      </c>
      <c r="C1500" s="53" t="s">
        <v>37</v>
      </c>
      <c r="D1500" s="54">
        <v>98557.9</v>
      </c>
      <c r="E1500" s="54" t="str">
        <f t="shared" si="1"/>
        <v>₹1,182,694.80</v>
      </c>
      <c r="F1500" s="55" t="str">
        <f t="shared" si="2"/>
        <v>30.0%</v>
      </c>
      <c r="G1500" s="54" t="str">
        <f t="shared" si="3"/>
        <v>₹354,808.44</v>
      </c>
      <c r="H1500" s="54" t="str">
        <f t="shared" si="4"/>
        <v>₹29,567.37</v>
      </c>
      <c r="I1500" s="54" t="str">
        <f>86334.35-H1500</f>
        <v>₹56,766.98</v>
      </c>
    </row>
    <row r="1501" ht="15.75" customHeight="1">
      <c r="A1501" s="50" t="s">
        <v>1569</v>
      </c>
      <c r="B1501" s="50" t="s">
        <v>36</v>
      </c>
      <c r="C1501" s="50" t="s">
        <v>26</v>
      </c>
      <c r="D1501" s="51">
        <v>98581.08</v>
      </c>
      <c r="E1501" s="51" t="str">
        <f t="shared" si="1"/>
        <v>₹1,182,972.96</v>
      </c>
      <c r="F1501" s="52" t="str">
        <f t="shared" si="2"/>
        <v>30.0%</v>
      </c>
      <c r="G1501" s="51" t="str">
        <f t="shared" si="3"/>
        <v>₹354,891.89</v>
      </c>
      <c r="H1501" s="51" t="str">
        <f t="shared" si="4"/>
        <v>₹29,574.32</v>
      </c>
      <c r="I1501" s="51" t="str">
        <f>86354.13-H1501</f>
        <v>₹56,779.81</v>
      </c>
    </row>
    <row r="1502" ht="15.75" customHeight="1">
      <c r="A1502" s="53" t="s">
        <v>1570</v>
      </c>
      <c r="B1502" s="53" t="s">
        <v>53</v>
      </c>
      <c r="C1502" s="53" t="s">
        <v>33</v>
      </c>
      <c r="D1502" s="54">
        <v>98604.25</v>
      </c>
      <c r="E1502" s="54" t="str">
        <f t="shared" si="1"/>
        <v>₹1,183,251.00</v>
      </c>
      <c r="F1502" s="55" t="str">
        <f t="shared" si="2"/>
        <v>30.0%</v>
      </c>
      <c r="G1502" s="54" t="str">
        <f t="shared" si="3"/>
        <v>₹354,975.30</v>
      </c>
      <c r="H1502" s="54" t="str">
        <f t="shared" si="4"/>
        <v>₹29,581.28</v>
      </c>
      <c r="I1502" s="54" t="str">
        <f>86373.91-H1502</f>
        <v>₹56,792.64</v>
      </c>
    </row>
    <row r="1503" ht="15.75" customHeight="1">
      <c r="A1503" s="50" t="s">
        <v>1571</v>
      </c>
      <c r="B1503" s="50" t="s">
        <v>53</v>
      </c>
      <c r="C1503" s="50" t="s">
        <v>54</v>
      </c>
      <c r="D1503" s="51">
        <v>98627.43</v>
      </c>
      <c r="E1503" s="51" t="str">
        <f t="shared" si="1"/>
        <v>₹1,183,529.16</v>
      </c>
      <c r="F1503" s="52" t="str">
        <f t="shared" si="2"/>
        <v>30.0%</v>
      </c>
      <c r="G1503" s="51" t="str">
        <f t="shared" si="3"/>
        <v>₹355,058.75</v>
      </c>
      <c r="H1503" s="51" t="str">
        <f t="shared" si="4"/>
        <v>₹29,588.23</v>
      </c>
      <c r="I1503" s="51" t="str">
        <f>86393.69-H1503</f>
        <v>₹56,805.46</v>
      </c>
    </row>
    <row r="1504" ht="15.75" customHeight="1">
      <c r="A1504" s="53" t="s">
        <v>1572</v>
      </c>
      <c r="B1504" s="53" t="s">
        <v>13</v>
      </c>
      <c r="C1504" s="53" t="s">
        <v>37</v>
      </c>
      <c r="D1504" s="54">
        <v>98673.79</v>
      </c>
      <c r="E1504" s="54" t="str">
        <f t="shared" si="1"/>
        <v>₹1,184,085.48</v>
      </c>
      <c r="F1504" s="55" t="str">
        <f t="shared" si="2"/>
        <v>30.0%</v>
      </c>
      <c r="G1504" s="54" t="str">
        <f t="shared" si="3"/>
        <v>₹355,225.64</v>
      </c>
      <c r="H1504" s="54" t="str">
        <f t="shared" si="4"/>
        <v>₹29,602.14</v>
      </c>
      <c r="I1504" s="54" t="str">
        <f>86433.25-H1504</f>
        <v>₹56,831.11</v>
      </c>
    </row>
    <row r="1505" ht="15.75" customHeight="1">
      <c r="A1505" s="50" t="s">
        <v>1573</v>
      </c>
      <c r="B1505" s="50" t="s">
        <v>17</v>
      </c>
      <c r="C1505" s="50" t="s">
        <v>37</v>
      </c>
      <c r="D1505" s="51">
        <v>98696.97</v>
      </c>
      <c r="E1505" s="51" t="str">
        <f t="shared" si="1"/>
        <v>₹1,184,363.64</v>
      </c>
      <c r="F1505" s="52" t="str">
        <f t="shared" si="2"/>
        <v>30.0%</v>
      </c>
      <c r="G1505" s="51" t="str">
        <f t="shared" si="3"/>
        <v>₹355,309.09</v>
      </c>
      <c r="H1505" s="51" t="str">
        <f t="shared" si="4"/>
        <v>₹29,609.09</v>
      </c>
      <c r="I1505" s="51" t="str">
        <f>86453.04-H1505</f>
        <v>₹56,843.95</v>
      </c>
    </row>
    <row r="1506" ht="15.75" customHeight="1">
      <c r="A1506" s="53" t="s">
        <v>1574</v>
      </c>
      <c r="B1506" s="53" t="s">
        <v>36</v>
      </c>
      <c r="C1506" s="53" t="s">
        <v>30</v>
      </c>
      <c r="D1506" s="54">
        <v>98720.14</v>
      </c>
      <c r="E1506" s="54" t="str">
        <f t="shared" si="1"/>
        <v>₹1,184,641.68</v>
      </c>
      <c r="F1506" s="55" t="str">
        <f t="shared" si="2"/>
        <v>30.0%</v>
      </c>
      <c r="G1506" s="54" t="str">
        <f t="shared" si="3"/>
        <v>₹355,392.50</v>
      </c>
      <c r="H1506" s="54" t="str">
        <f t="shared" si="4"/>
        <v>₹29,616.04</v>
      </c>
      <c r="I1506" s="54" t="str">
        <f>86472.81-H1506</f>
        <v>₹56,856.77</v>
      </c>
    </row>
    <row r="1507" ht="15.75" customHeight="1">
      <c r="A1507" s="50" t="s">
        <v>1576</v>
      </c>
      <c r="B1507" s="50" t="s">
        <v>36</v>
      </c>
      <c r="C1507" s="50" t="s">
        <v>26</v>
      </c>
      <c r="D1507" s="51">
        <v>98743.32</v>
      </c>
      <c r="E1507" s="51" t="str">
        <f t="shared" si="1"/>
        <v>₹1,184,919.84</v>
      </c>
      <c r="F1507" s="52" t="str">
        <f t="shared" si="2"/>
        <v>30.0%</v>
      </c>
      <c r="G1507" s="51" t="str">
        <f t="shared" si="3"/>
        <v>₹355,475.95</v>
      </c>
      <c r="H1507" s="51" t="str">
        <f t="shared" si="4"/>
        <v>₹29,623.00</v>
      </c>
      <c r="I1507" s="51" t="str">
        <f>86492.59-H1507</f>
        <v>₹56,869.59</v>
      </c>
    </row>
    <row r="1508" ht="15.75" customHeight="1">
      <c r="A1508" s="53" t="s">
        <v>1577</v>
      </c>
      <c r="B1508" s="53" t="s">
        <v>51</v>
      </c>
      <c r="C1508" s="53" t="s">
        <v>37</v>
      </c>
      <c r="D1508" s="54">
        <v>98766.5</v>
      </c>
      <c r="E1508" s="54" t="str">
        <f t="shared" si="1"/>
        <v>₹1,185,198.00</v>
      </c>
      <c r="F1508" s="55" t="str">
        <f t="shared" si="2"/>
        <v>30.0%</v>
      </c>
      <c r="G1508" s="54" t="str">
        <f t="shared" si="3"/>
        <v>₹355,559.40</v>
      </c>
      <c r="H1508" s="54" t="str">
        <f t="shared" si="4"/>
        <v>₹29,629.95</v>
      </c>
      <c r="I1508" s="54" t="str">
        <f>86512.37-H1508</f>
        <v>₹56,882.42</v>
      </c>
    </row>
    <row r="1509" ht="15.75" customHeight="1">
      <c r="A1509" s="50" t="s">
        <v>1578</v>
      </c>
      <c r="B1509" s="50" t="s">
        <v>51</v>
      </c>
      <c r="C1509" s="50" t="s">
        <v>54</v>
      </c>
      <c r="D1509" s="51">
        <v>98789.68</v>
      </c>
      <c r="E1509" s="51" t="str">
        <f t="shared" si="1"/>
        <v>₹1,185,476.16</v>
      </c>
      <c r="F1509" s="52" t="str">
        <f t="shared" si="2"/>
        <v>30.0%</v>
      </c>
      <c r="G1509" s="51" t="str">
        <f t="shared" si="3"/>
        <v>₹355,642.85</v>
      </c>
      <c r="H1509" s="51" t="str">
        <f t="shared" si="4"/>
        <v>₹29,636.90</v>
      </c>
      <c r="I1509" s="51" t="str">
        <f>86532.16-H1509</f>
        <v>₹56,895.26</v>
      </c>
    </row>
    <row r="1510" ht="15.75" customHeight="1">
      <c r="A1510" s="53" t="s">
        <v>1579</v>
      </c>
      <c r="B1510" s="53" t="s">
        <v>13</v>
      </c>
      <c r="C1510" s="53" t="s">
        <v>18</v>
      </c>
      <c r="D1510" s="54">
        <v>98812.85</v>
      </c>
      <c r="E1510" s="54" t="str">
        <f t="shared" si="1"/>
        <v>₹1,185,754.20</v>
      </c>
      <c r="F1510" s="55" t="str">
        <f t="shared" si="2"/>
        <v>30.0%</v>
      </c>
      <c r="G1510" s="54" t="str">
        <f t="shared" si="3"/>
        <v>₹355,726.26</v>
      </c>
      <c r="H1510" s="54" t="str">
        <f t="shared" si="4"/>
        <v>₹29,643.86</v>
      </c>
      <c r="I1510" s="54" t="str">
        <f>86551.93-H1510</f>
        <v>₹56,908.08</v>
      </c>
    </row>
    <row r="1511" ht="15.75" customHeight="1">
      <c r="A1511" s="50" t="s">
        <v>1580</v>
      </c>
      <c r="B1511" s="50" t="s">
        <v>29</v>
      </c>
      <c r="C1511" s="50" t="s">
        <v>37</v>
      </c>
      <c r="D1511" s="51">
        <v>98836.03</v>
      </c>
      <c r="E1511" s="51" t="str">
        <f t="shared" si="1"/>
        <v>₹1,186,032.36</v>
      </c>
      <c r="F1511" s="52" t="str">
        <f t="shared" si="2"/>
        <v>30.0%</v>
      </c>
      <c r="G1511" s="51" t="str">
        <f t="shared" si="3"/>
        <v>₹355,809.71</v>
      </c>
      <c r="H1511" s="51" t="str">
        <f t="shared" si="4"/>
        <v>₹29,650.81</v>
      </c>
      <c r="I1511" s="51" t="str">
        <f>86571.71-H1511</f>
        <v>₹56,920.90</v>
      </c>
    </row>
    <row r="1512" ht="15.75" customHeight="1">
      <c r="A1512" s="53" t="s">
        <v>1581</v>
      </c>
      <c r="B1512" s="53" t="s">
        <v>13</v>
      </c>
      <c r="C1512" s="53" t="s">
        <v>30</v>
      </c>
      <c r="D1512" s="54">
        <v>98859.21</v>
      </c>
      <c r="E1512" s="54" t="str">
        <f t="shared" si="1"/>
        <v>₹1,186,310.52</v>
      </c>
      <c r="F1512" s="55" t="str">
        <f t="shared" si="2"/>
        <v>30.0%</v>
      </c>
      <c r="G1512" s="54" t="str">
        <f t="shared" si="3"/>
        <v>₹355,893.16</v>
      </c>
      <c r="H1512" s="54" t="str">
        <f t="shared" si="4"/>
        <v>₹29,657.76</v>
      </c>
      <c r="I1512" s="54" t="str">
        <f>86591.49-H1512</f>
        <v>₹56,933.73</v>
      </c>
    </row>
    <row r="1513" ht="15.75" customHeight="1">
      <c r="A1513" s="50" t="s">
        <v>1582</v>
      </c>
      <c r="B1513" s="50" t="s">
        <v>36</v>
      </c>
      <c r="C1513" s="50" t="s">
        <v>26</v>
      </c>
      <c r="D1513" s="51">
        <v>98905.56</v>
      </c>
      <c r="E1513" s="51" t="str">
        <f t="shared" si="1"/>
        <v>₹1,186,866.72</v>
      </c>
      <c r="F1513" s="52" t="str">
        <f t="shared" si="2"/>
        <v>30.0%</v>
      </c>
      <c r="G1513" s="51" t="str">
        <f t="shared" si="3"/>
        <v>₹356,060.02</v>
      </c>
      <c r="H1513" s="51" t="str">
        <f t="shared" si="4"/>
        <v>₹29,671.67</v>
      </c>
      <c r="I1513" s="51" t="str">
        <f>86631.05-H1513</f>
        <v>₹56,959.38</v>
      </c>
    </row>
    <row r="1514" ht="15.75" customHeight="1">
      <c r="A1514" s="53" t="s">
        <v>1583</v>
      </c>
      <c r="B1514" s="53" t="s">
        <v>29</v>
      </c>
      <c r="C1514" s="53" t="s">
        <v>18</v>
      </c>
      <c r="D1514" s="54">
        <v>98928.74</v>
      </c>
      <c r="E1514" s="54" t="str">
        <f t="shared" si="1"/>
        <v>₹1,187,144.88</v>
      </c>
      <c r="F1514" s="55" t="str">
        <f t="shared" si="2"/>
        <v>30.0%</v>
      </c>
      <c r="G1514" s="54" t="str">
        <f t="shared" si="3"/>
        <v>₹356,143.46</v>
      </c>
      <c r="H1514" s="54" t="str">
        <f t="shared" si="4"/>
        <v>₹29,678.62</v>
      </c>
      <c r="I1514" s="54" t="str">
        <f>86650.83-H1514</f>
        <v>₹56,972.21</v>
      </c>
    </row>
    <row r="1515" ht="15.75" customHeight="1">
      <c r="A1515" s="50" t="s">
        <v>1584</v>
      </c>
      <c r="B1515" s="50" t="s">
        <v>36</v>
      </c>
      <c r="C1515" s="50" t="s">
        <v>30</v>
      </c>
      <c r="D1515" s="51">
        <v>98951.92</v>
      </c>
      <c r="E1515" s="51" t="str">
        <f t="shared" si="1"/>
        <v>₹1,187,423.04</v>
      </c>
      <c r="F1515" s="52" t="str">
        <f t="shared" si="2"/>
        <v>30.0%</v>
      </c>
      <c r="G1515" s="51" t="str">
        <f t="shared" si="3"/>
        <v>₹356,226.91</v>
      </c>
      <c r="H1515" s="51" t="str">
        <f t="shared" si="4"/>
        <v>₹29,685.58</v>
      </c>
      <c r="I1515" s="51" t="str">
        <f>86670.61-H1515</f>
        <v>₹56,985.03</v>
      </c>
    </row>
    <row r="1516" ht="15.75" customHeight="1">
      <c r="A1516" s="53" t="s">
        <v>1585</v>
      </c>
      <c r="B1516" s="53" t="s">
        <v>29</v>
      </c>
      <c r="C1516" s="53" t="s">
        <v>30</v>
      </c>
      <c r="D1516" s="54">
        <v>98975.1</v>
      </c>
      <c r="E1516" s="54" t="str">
        <f t="shared" si="1"/>
        <v>₹1,187,701.20</v>
      </c>
      <c r="F1516" s="55" t="str">
        <f t="shared" si="2"/>
        <v>30.0%</v>
      </c>
      <c r="G1516" s="54" t="str">
        <f t="shared" si="3"/>
        <v>₹356,310.36</v>
      </c>
      <c r="H1516" s="54" t="str">
        <f t="shared" si="4"/>
        <v>₹29,692.53</v>
      </c>
      <c r="I1516" s="54" t="str">
        <f>86690.4-H1516</f>
        <v>₹56,997.87</v>
      </c>
    </row>
    <row r="1517" ht="15.75" customHeight="1">
      <c r="A1517" s="50" t="s">
        <v>1586</v>
      </c>
      <c r="B1517" s="50" t="s">
        <v>13</v>
      </c>
      <c r="C1517" s="50" t="s">
        <v>37</v>
      </c>
      <c r="D1517" s="51">
        <v>98998.28</v>
      </c>
      <c r="E1517" s="51" t="str">
        <f t="shared" si="1"/>
        <v>₹1,187,979.36</v>
      </c>
      <c r="F1517" s="52" t="str">
        <f t="shared" si="2"/>
        <v>30.0%</v>
      </c>
      <c r="G1517" s="51" t="str">
        <f t="shared" si="3"/>
        <v>₹356,393.81</v>
      </c>
      <c r="H1517" s="51" t="str">
        <f t="shared" si="4"/>
        <v>₹29,699.48</v>
      </c>
      <c r="I1517" s="51" t="str">
        <f>86710.18-H1517</f>
        <v>₹57,010.70</v>
      </c>
    </row>
    <row r="1518" ht="15.75" customHeight="1">
      <c r="A1518" s="53" t="s">
        <v>1587</v>
      </c>
      <c r="B1518" s="53" t="s">
        <v>13</v>
      </c>
      <c r="C1518" s="53" t="s">
        <v>54</v>
      </c>
      <c r="D1518" s="54">
        <v>99021.45</v>
      </c>
      <c r="E1518" s="54" t="str">
        <f t="shared" si="1"/>
        <v>₹1,188,257.40</v>
      </c>
      <c r="F1518" s="55" t="str">
        <f t="shared" si="2"/>
        <v>30.0%</v>
      </c>
      <c r="G1518" s="54" t="str">
        <f t="shared" si="3"/>
        <v>₹356,477.22</v>
      </c>
      <c r="H1518" s="54" t="str">
        <f t="shared" si="4"/>
        <v>₹29,706.44</v>
      </c>
      <c r="I1518" s="54" t="str">
        <f>86729.95-H1518</f>
        <v>₹57,023.52</v>
      </c>
    </row>
    <row r="1519" ht="15.75" customHeight="1">
      <c r="A1519" s="50" t="s">
        <v>1588</v>
      </c>
      <c r="B1519" s="50" t="s">
        <v>51</v>
      </c>
      <c r="C1519" s="50" t="s">
        <v>54</v>
      </c>
      <c r="D1519" s="51">
        <v>99044.63</v>
      </c>
      <c r="E1519" s="51" t="str">
        <f t="shared" si="1"/>
        <v>₹1,188,535.56</v>
      </c>
      <c r="F1519" s="52" t="str">
        <f t="shared" si="2"/>
        <v>30.0%</v>
      </c>
      <c r="G1519" s="51" t="str">
        <f t="shared" si="3"/>
        <v>₹356,560.67</v>
      </c>
      <c r="H1519" s="51" t="str">
        <f t="shared" si="4"/>
        <v>₹29,713.39</v>
      </c>
      <c r="I1519" s="51" t="str">
        <f>86749.73-H1519</f>
        <v>₹57,036.34</v>
      </c>
    </row>
    <row r="1520" ht="15.75" customHeight="1">
      <c r="A1520" s="53" t="s">
        <v>1589</v>
      </c>
      <c r="B1520" s="53" t="s">
        <v>51</v>
      </c>
      <c r="C1520" s="53" t="s">
        <v>26</v>
      </c>
      <c r="D1520" s="54">
        <v>99067.81</v>
      </c>
      <c r="E1520" s="54" t="str">
        <f t="shared" si="1"/>
        <v>₹1,188,813.72</v>
      </c>
      <c r="F1520" s="55" t="str">
        <f t="shared" si="2"/>
        <v>30.0%</v>
      </c>
      <c r="G1520" s="54" t="str">
        <f t="shared" si="3"/>
        <v>₹356,644.12</v>
      </c>
      <c r="H1520" s="54" t="str">
        <f t="shared" si="4"/>
        <v>₹29,720.34</v>
      </c>
      <c r="I1520" s="54" t="str">
        <f>86769.52-H1520</f>
        <v>₹57,049.18</v>
      </c>
    </row>
    <row r="1521" ht="15.75" customHeight="1">
      <c r="A1521" s="50" t="s">
        <v>1590</v>
      </c>
      <c r="B1521" s="50" t="s">
        <v>13</v>
      </c>
      <c r="C1521" s="50" t="s">
        <v>37</v>
      </c>
      <c r="D1521" s="51">
        <v>99090.99</v>
      </c>
      <c r="E1521" s="51" t="str">
        <f t="shared" si="1"/>
        <v>₹1,189,091.88</v>
      </c>
      <c r="F1521" s="52" t="str">
        <f t="shared" si="2"/>
        <v>30.0%</v>
      </c>
      <c r="G1521" s="51" t="str">
        <f t="shared" si="3"/>
        <v>₹356,727.56</v>
      </c>
      <c r="H1521" s="51" t="str">
        <f t="shared" si="4"/>
        <v>₹29,727.30</v>
      </c>
      <c r="I1521" s="51" t="str">
        <f>86789.3-H1521</f>
        <v>₹57,062.00</v>
      </c>
    </row>
    <row r="1522" ht="15.75" customHeight="1">
      <c r="A1522" s="53" t="s">
        <v>1591</v>
      </c>
      <c r="B1522" s="53" t="s">
        <v>51</v>
      </c>
      <c r="C1522" s="53" t="s">
        <v>54</v>
      </c>
      <c r="D1522" s="54">
        <v>99114.16</v>
      </c>
      <c r="E1522" s="54" t="str">
        <f t="shared" si="1"/>
        <v>₹1,189,369.92</v>
      </c>
      <c r="F1522" s="55" t="str">
        <f t="shared" si="2"/>
        <v>30.0%</v>
      </c>
      <c r="G1522" s="54" t="str">
        <f t="shared" si="3"/>
        <v>₹356,810.98</v>
      </c>
      <c r="H1522" s="54" t="str">
        <f t="shared" si="4"/>
        <v>₹29,734.25</v>
      </c>
      <c r="I1522" s="54" t="str">
        <f>86809.07-H1522</f>
        <v>₹57,074.82</v>
      </c>
    </row>
    <row r="1523" ht="15.75" customHeight="1">
      <c r="A1523" s="50" t="s">
        <v>1592</v>
      </c>
      <c r="B1523" s="50" t="s">
        <v>25</v>
      </c>
      <c r="C1523" s="50" t="s">
        <v>54</v>
      </c>
      <c r="D1523" s="51">
        <v>99137.34</v>
      </c>
      <c r="E1523" s="51" t="str">
        <f t="shared" si="1"/>
        <v>₹1,189,648.08</v>
      </c>
      <c r="F1523" s="52" t="str">
        <f t="shared" si="2"/>
        <v>30.0%</v>
      </c>
      <c r="G1523" s="51" t="str">
        <f t="shared" si="3"/>
        <v>₹356,894.42</v>
      </c>
      <c r="H1523" s="51" t="str">
        <f t="shared" si="4"/>
        <v>₹29,741.20</v>
      </c>
      <c r="I1523" s="51" t="str">
        <f>86828.85-H1523</f>
        <v>₹57,087.65</v>
      </c>
    </row>
    <row r="1524" ht="15.75" customHeight="1">
      <c r="A1524" s="53" t="s">
        <v>1593</v>
      </c>
      <c r="B1524" s="53" t="s">
        <v>17</v>
      </c>
      <c r="C1524" s="53" t="s">
        <v>14</v>
      </c>
      <c r="D1524" s="54">
        <v>99160.52</v>
      </c>
      <c r="E1524" s="54" t="str">
        <f t="shared" si="1"/>
        <v>₹1,189,926.24</v>
      </c>
      <c r="F1524" s="55" t="str">
        <f t="shared" si="2"/>
        <v>30.0%</v>
      </c>
      <c r="G1524" s="54" t="str">
        <f t="shared" si="3"/>
        <v>₹356,977.87</v>
      </c>
      <c r="H1524" s="54" t="str">
        <f t="shared" si="4"/>
        <v>₹29,748.16</v>
      </c>
      <c r="I1524" s="54" t="str">
        <f>86848.64-H1524</f>
        <v>₹57,100.48</v>
      </c>
    </row>
    <row r="1525" ht="15.75" customHeight="1">
      <c r="A1525" s="50" t="s">
        <v>1594</v>
      </c>
      <c r="B1525" s="50" t="s">
        <v>29</v>
      </c>
      <c r="C1525" s="50" t="s">
        <v>54</v>
      </c>
      <c r="D1525" s="51">
        <v>99183.7</v>
      </c>
      <c r="E1525" s="51" t="str">
        <f t="shared" si="1"/>
        <v>₹1,190,204.40</v>
      </c>
      <c r="F1525" s="52" t="str">
        <f t="shared" si="2"/>
        <v>30.0%</v>
      </c>
      <c r="G1525" s="51" t="str">
        <f t="shared" si="3"/>
        <v>₹357,061.32</v>
      </c>
      <c r="H1525" s="51" t="str">
        <f t="shared" si="4"/>
        <v>₹29,755.11</v>
      </c>
      <c r="I1525" s="51" t="str">
        <f>86868.42-H1525</f>
        <v>₹57,113.31</v>
      </c>
    </row>
    <row r="1526" ht="15.75" customHeight="1">
      <c r="A1526" s="53" t="s">
        <v>1595</v>
      </c>
      <c r="B1526" s="53" t="s">
        <v>13</v>
      </c>
      <c r="C1526" s="53" t="s">
        <v>54</v>
      </c>
      <c r="D1526" s="54">
        <v>99230.05</v>
      </c>
      <c r="E1526" s="54" t="str">
        <f t="shared" si="1"/>
        <v>₹1,190,760.60</v>
      </c>
      <c r="F1526" s="55" t="str">
        <f t="shared" si="2"/>
        <v>30.0%</v>
      </c>
      <c r="G1526" s="54" t="str">
        <f t="shared" si="3"/>
        <v>₹357,228.18</v>
      </c>
      <c r="H1526" s="54" t="str">
        <f t="shared" si="4"/>
        <v>₹29,769.02</v>
      </c>
      <c r="I1526" s="54" t="str">
        <f>86907.97-H1526</f>
        <v>₹57,138.96</v>
      </c>
    </row>
    <row r="1527" ht="15.75" customHeight="1">
      <c r="A1527" s="50" t="s">
        <v>1596</v>
      </c>
      <c r="B1527" s="50" t="s">
        <v>25</v>
      </c>
      <c r="C1527" s="50" t="s">
        <v>33</v>
      </c>
      <c r="D1527" s="51">
        <v>99253.23</v>
      </c>
      <c r="E1527" s="51" t="str">
        <f t="shared" si="1"/>
        <v>₹1,191,038.76</v>
      </c>
      <c r="F1527" s="52" t="str">
        <f t="shared" si="2"/>
        <v>30.0%</v>
      </c>
      <c r="G1527" s="51" t="str">
        <f t="shared" si="3"/>
        <v>₹357,311.63</v>
      </c>
      <c r="H1527" s="51" t="str">
        <f t="shared" si="4"/>
        <v>₹29,775.97</v>
      </c>
      <c r="I1527" s="51" t="str">
        <f>86927.76-H1527</f>
        <v>₹57,151.79</v>
      </c>
    </row>
    <row r="1528" ht="15.75" customHeight="1">
      <c r="A1528" s="53" t="s">
        <v>1597</v>
      </c>
      <c r="B1528" s="53" t="s">
        <v>36</v>
      </c>
      <c r="C1528" s="53" t="s">
        <v>26</v>
      </c>
      <c r="D1528" s="54">
        <v>99276.41</v>
      </c>
      <c r="E1528" s="54" t="str">
        <f t="shared" si="1"/>
        <v>₹1,191,316.92</v>
      </c>
      <c r="F1528" s="55" t="str">
        <f t="shared" si="2"/>
        <v>30.0%</v>
      </c>
      <c r="G1528" s="54" t="str">
        <f t="shared" si="3"/>
        <v>₹357,395.08</v>
      </c>
      <c r="H1528" s="54" t="str">
        <f t="shared" si="4"/>
        <v>₹29,782.92</v>
      </c>
      <c r="I1528" s="54" t="str">
        <f>86947.54-H1528</f>
        <v>₹57,164.62</v>
      </c>
    </row>
    <row r="1529" ht="15.75" customHeight="1">
      <c r="A1529" s="50" t="s">
        <v>1598</v>
      </c>
      <c r="B1529" s="50" t="s">
        <v>51</v>
      </c>
      <c r="C1529" s="50" t="s">
        <v>30</v>
      </c>
      <c r="D1529" s="51">
        <v>99299.59</v>
      </c>
      <c r="E1529" s="51" t="str">
        <f t="shared" si="1"/>
        <v>₹1,191,595.08</v>
      </c>
      <c r="F1529" s="52" t="str">
        <f t="shared" si="2"/>
        <v>30.0%</v>
      </c>
      <c r="G1529" s="51" t="str">
        <f t="shared" si="3"/>
        <v>₹357,478.52</v>
      </c>
      <c r="H1529" s="51" t="str">
        <f t="shared" si="4"/>
        <v>₹29,789.88</v>
      </c>
      <c r="I1529" s="51" t="str">
        <f>86967.32-H1529</f>
        <v>₹57,177.44</v>
      </c>
    </row>
    <row r="1530" ht="15.75" customHeight="1">
      <c r="A1530" s="53" t="s">
        <v>1599</v>
      </c>
      <c r="B1530" s="53" t="s">
        <v>51</v>
      </c>
      <c r="C1530" s="53" t="s">
        <v>54</v>
      </c>
      <c r="D1530" s="54">
        <v>99322.76</v>
      </c>
      <c r="E1530" s="54" t="str">
        <f t="shared" si="1"/>
        <v>₹1,191,873.12</v>
      </c>
      <c r="F1530" s="55" t="str">
        <f t="shared" si="2"/>
        <v>30.0%</v>
      </c>
      <c r="G1530" s="54" t="str">
        <f t="shared" si="3"/>
        <v>₹357,561.94</v>
      </c>
      <c r="H1530" s="54" t="str">
        <f t="shared" si="4"/>
        <v>₹29,796.83</v>
      </c>
      <c r="I1530" s="54" t="str">
        <f>86987.09-H1530</f>
        <v>₹57,190.26</v>
      </c>
    </row>
    <row r="1531" ht="15.75" customHeight="1">
      <c r="A1531" s="50" t="s">
        <v>1600</v>
      </c>
      <c r="B1531" s="50" t="s">
        <v>53</v>
      </c>
      <c r="C1531" s="50" t="s">
        <v>14</v>
      </c>
      <c r="D1531" s="51">
        <v>99345.94</v>
      </c>
      <c r="E1531" s="51" t="str">
        <f t="shared" si="1"/>
        <v>₹1,192,151.28</v>
      </c>
      <c r="F1531" s="52" t="str">
        <f t="shared" si="2"/>
        <v>30.0%</v>
      </c>
      <c r="G1531" s="51" t="str">
        <f t="shared" si="3"/>
        <v>₹357,645.38</v>
      </c>
      <c r="H1531" s="51" t="str">
        <f t="shared" si="4"/>
        <v>₹29,803.78</v>
      </c>
      <c r="I1531" s="51" t="str">
        <f>87006.88-H1531</f>
        <v>₹57,203.10</v>
      </c>
    </row>
    <row r="1532" ht="15.75" customHeight="1">
      <c r="A1532" s="53" t="s">
        <v>1601</v>
      </c>
      <c r="B1532" s="53" t="s">
        <v>17</v>
      </c>
      <c r="C1532" s="53" t="s">
        <v>54</v>
      </c>
      <c r="D1532" s="54">
        <v>99369.12</v>
      </c>
      <c r="E1532" s="54" t="str">
        <f t="shared" si="1"/>
        <v>₹1,192,429.44</v>
      </c>
      <c r="F1532" s="55" t="str">
        <f t="shared" si="2"/>
        <v>30.0%</v>
      </c>
      <c r="G1532" s="54" t="str">
        <f t="shared" si="3"/>
        <v>₹357,728.83</v>
      </c>
      <c r="H1532" s="54" t="str">
        <f t="shared" si="4"/>
        <v>₹29,810.74</v>
      </c>
      <c r="I1532" s="54" t="str">
        <f>87026.66-H1532</f>
        <v>₹57,215.92</v>
      </c>
    </row>
    <row r="1533" ht="15.75" customHeight="1">
      <c r="A1533" s="50" t="s">
        <v>1602</v>
      </c>
      <c r="B1533" s="50" t="s">
        <v>25</v>
      </c>
      <c r="C1533" s="50" t="s">
        <v>33</v>
      </c>
      <c r="D1533" s="51">
        <v>99392.3</v>
      </c>
      <c r="E1533" s="51" t="str">
        <f t="shared" si="1"/>
        <v>₹1,192,707.60</v>
      </c>
      <c r="F1533" s="52" t="str">
        <f t="shared" si="2"/>
        <v>30.0%</v>
      </c>
      <c r="G1533" s="51" t="str">
        <f t="shared" si="3"/>
        <v>₹357,812.28</v>
      </c>
      <c r="H1533" s="51" t="str">
        <f t="shared" si="4"/>
        <v>₹29,817.69</v>
      </c>
      <c r="I1533" s="51" t="str">
        <f>87046.44-H1533</f>
        <v>₹57,228.75</v>
      </c>
    </row>
    <row r="1534" ht="15.75" customHeight="1">
      <c r="A1534" s="53" t="s">
        <v>1603</v>
      </c>
      <c r="B1534" s="53" t="s">
        <v>53</v>
      </c>
      <c r="C1534" s="53" t="s">
        <v>30</v>
      </c>
      <c r="D1534" s="54">
        <v>99415.47</v>
      </c>
      <c r="E1534" s="54" t="str">
        <f t="shared" si="1"/>
        <v>₹1,192,985.64</v>
      </c>
      <c r="F1534" s="55" t="str">
        <f t="shared" si="2"/>
        <v>30.0%</v>
      </c>
      <c r="G1534" s="54" t="str">
        <f t="shared" si="3"/>
        <v>₹357,895.69</v>
      </c>
      <c r="H1534" s="54" t="str">
        <f t="shared" si="4"/>
        <v>₹29,824.64</v>
      </c>
      <c r="I1534" s="54" t="str">
        <f>87066.21-H1534</f>
        <v>₹57,241.57</v>
      </c>
    </row>
    <row r="1535" ht="15.75" customHeight="1">
      <c r="A1535" s="50" t="s">
        <v>1604</v>
      </c>
      <c r="B1535" s="50" t="s">
        <v>53</v>
      </c>
      <c r="C1535" s="50" t="s">
        <v>33</v>
      </c>
      <c r="D1535" s="51">
        <v>99438.65</v>
      </c>
      <c r="E1535" s="51" t="str">
        <f t="shared" si="1"/>
        <v>₹1,193,263.80</v>
      </c>
      <c r="F1535" s="52" t="str">
        <f t="shared" si="2"/>
        <v>30.0%</v>
      </c>
      <c r="G1535" s="51" t="str">
        <f t="shared" si="3"/>
        <v>₹357,979.14</v>
      </c>
      <c r="H1535" s="51" t="str">
        <f t="shared" si="4"/>
        <v>₹29,831.60</v>
      </c>
      <c r="I1535" s="51" t="str">
        <f>87085.99-H1535</f>
        <v>₹57,254.40</v>
      </c>
    </row>
    <row r="1536" ht="15.75" customHeight="1">
      <c r="A1536" s="53" t="s">
        <v>1605</v>
      </c>
      <c r="B1536" s="53" t="s">
        <v>25</v>
      </c>
      <c r="C1536" s="53" t="s">
        <v>18</v>
      </c>
      <c r="D1536" s="54">
        <v>99461.83</v>
      </c>
      <c r="E1536" s="54" t="str">
        <f t="shared" si="1"/>
        <v>₹1,193,541.96</v>
      </c>
      <c r="F1536" s="55" t="str">
        <f t="shared" si="2"/>
        <v>30.0%</v>
      </c>
      <c r="G1536" s="54" t="str">
        <f t="shared" si="3"/>
        <v>₹358,062.59</v>
      </c>
      <c r="H1536" s="54" t="str">
        <f t="shared" si="4"/>
        <v>₹29,838.55</v>
      </c>
      <c r="I1536" s="54" t="str">
        <f>87105.78-H1536</f>
        <v>₹57,267.23</v>
      </c>
    </row>
    <row r="1537" ht="15.75" customHeight="1">
      <c r="A1537" s="50" t="s">
        <v>1606</v>
      </c>
      <c r="B1537" s="50" t="s">
        <v>25</v>
      </c>
      <c r="C1537" s="50" t="s">
        <v>26</v>
      </c>
      <c r="D1537" s="51">
        <v>99485.01</v>
      </c>
      <c r="E1537" s="51" t="str">
        <f t="shared" si="1"/>
        <v>₹1,193,820.12</v>
      </c>
      <c r="F1537" s="52" t="str">
        <f t="shared" si="2"/>
        <v>30.0%</v>
      </c>
      <c r="G1537" s="51" t="str">
        <f t="shared" si="3"/>
        <v>₹358,146.04</v>
      </c>
      <c r="H1537" s="51" t="str">
        <f t="shared" si="4"/>
        <v>₹29,845.50</v>
      </c>
      <c r="I1537" s="51" t="str">
        <f>87125.56-H1537</f>
        <v>₹57,280.06</v>
      </c>
    </row>
    <row r="1538" ht="15.75" customHeight="1">
      <c r="A1538" s="53" t="s">
        <v>1607</v>
      </c>
      <c r="B1538" s="53" t="s">
        <v>53</v>
      </c>
      <c r="C1538" s="53" t="s">
        <v>14</v>
      </c>
      <c r="D1538" s="54">
        <v>99508.18</v>
      </c>
      <c r="E1538" s="54" t="str">
        <f t="shared" si="1"/>
        <v>₹1,194,098.16</v>
      </c>
      <c r="F1538" s="55" t="str">
        <f t="shared" si="2"/>
        <v>30.0%</v>
      </c>
      <c r="G1538" s="54" t="str">
        <f t="shared" si="3"/>
        <v>₹358,229.45</v>
      </c>
      <c r="H1538" s="54" t="str">
        <f t="shared" si="4"/>
        <v>₹29,852.45</v>
      </c>
      <c r="I1538" s="54" t="str">
        <f>87145.33-H1538</f>
        <v>₹57,292.88</v>
      </c>
    </row>
    <row r="1539" ht="15.75" customHeight="1">
      <c r="A1539" s="50" t="s">
        <v>1608</v>
      </c>
      <c r="B1539" s="50" t="s">
        <v>53</v>
      </c>
      <c r="C1539" s="50" t="s">
        <v>30</v>
      </c>
      <c r="D1539" s="51">
        <v>99531.36</v>
      </c>
      <c r="E1539" s="51" t="str">
        <f t="shared" si="1"/>
        <v>₹1,194,376.32</v>
      </c>
      <c r="F1539" s="52" t="str">
        <f t="shared" si="2"/>
        <v>30.0%</v>
      </c>
      <c r="G1539" s="51" t="str">
        <f t="shared" si="3"/>
        <v>₹358,312.90</v>
      </c>
      <c r="H1539" s="51" t="str">
        <f t="shared" si="4"/>
        <v>₹29,859.41</v>
      </c>
      <c r="I1539" s="51" t="str">
        <f>87165.11-H1539</f>
        <v>₹57,305.70</v>
      </c>
    </row>
    <row r="1540" ht="15.75" customHeight="1">
      <c r="A1540" s="53" t="s">
        <v>1609</v>
      </c>
      <c r="B1540" s="53" t="s">
        <v>51</v>
      </c>
      <c r="C1540" s="53" t="s">
        <v>18</v>
      </c>
      <c r="D1540" s="54">
        <v>105822.16</v>
      </c>
      <c r="E1540" s="54" t="str">
        <f t="shared" si="1"/>
        <v>₹1,269,865.92</v>
      </c>
      <c r="F1540" s="55" t="str">
        <f t="shared" si="2"/>
        <v>30.0%</v>
      </c>
      <c r="G1540" s="54" t="str">
        <f t="shared" si="3"/>
        <v>₹380,959.78</v>
      </c>
      <c r="H1540" s="54" t="str">
        <f t="shared" si="4"/>
        <v>₹31,746.65</v>
      </c>
      <c r="I1540" s="54" t="str">
        <f>93452.52-H1540</f>
        <v>₹61,705.87</v>
      </c>
    </row>
    <row r="1541" ht="15.75" customHeight="1">
      <c r="A1541" s="50" t="s">
        <v>1610</v>
      </c>
      <c r="B1541" s="50" t="s">
        <v>36</v>
      </c>
      <c r="C1541" s="50" t="s">
        <v>30</v>
      </c>
      <c r="D1541" s="51">
        <v>99577.72</v>
      </c>
      <c r="E1541" s="51" t="str">
        <f t="shared" si="1"/>
        <v>₹1,194,932.64</v>
      </c>
      <c r="F1541" s="52" t="str">
        <f t="shared" si="2"/>
        <v>30.0%</v>
      </c>
      <c r="G1541" s="51" t="str">
        <f t="shared" si="3"/>
        <v>₹358,479.79</v>
      </c>
      <c r="H1541" s="51" t="str">
        <f t="shared" si="4"/>
        <v>₹29,873.32</v>
      </c>
      <c r="I1541" s="51" t="str">
        <f>87204.68-H1541</f>
        <v>₹57,331.36</v>
      </c>
    </row>
    <row r="1542" ht="15.75" customHeight="1">
      <c r="A1542" s="53" t="s">
        <v>1611</v>
      </c>
      <c r="B1542" s="53" t="s">
        <v>13</v>
      </c>
      <c r="C1542" s="53" t="s">
        <v>26</v>
      </c>
      <c r="D1542" s="54">
        <v>99600.9</v>
      </c>
      <c r="E1542" s="54" t="str">
        <f t="shared" si="1"/>
        <v>₹1,195,210.80</v>
      </c>
      <c r="F1542" s="55" t="str">
        <f t="shared" si="2"/>
        <v>30.0%</v>
      </c>
      <c r="G1542" s="54" t="str">
        <f t="shared" si="3"/>
        <v>₹358,563.24</v>
      </c>
      <c r="H1542" s="54" t="str">
        <f t="shared" si="4"/>
        <v>₹29,880.27</v>
      </c>
      <c r="I1542" s="54" t="str">
        <f>87224.46-H1542</f>
        <v>₹57,344.19</v>
      </c>
    </row>
    <row r="1543" ht="15.75" customHeight="1">
      <c r="A1543" s="50" t="s">
        <v>1612</v>
      </c>
      <c r="B1543" s="50" t="s">
        <v>13</v>
      </c>
      <c r="C1543" s="50" t="s">
        <v>30</v>
      </c>
      <c r="D1543" s="51">
        <v>99624.07</v>
      </c>
      <c r="E1543" s="51" t="str">
        <f t="shared" si="1"/>
        <v>₹1,195,488.84</v>
      </c>
      <c r="F1543" s="52" t="str">
        <f t="shared" si="2"/>
        <v>30.0%</v>
      </c>
      <c r="G1543" s="51" t="str">
        <f t="shared" si="3"/>
        <v>₹358,646.65</v>
      </c>
      <c r="H1543" s="51" t="str">
        <f t="shared" si="4"/>
        <v>₹29,887.22</v>
      </c>
      <c r="I1543" s="51" t="str">
        <f>87244.23-H1543</f>
        <v>₹57,357.01</v>
      </c>
    </row>
    <row r="1544" ht="15.75" customHeight="1">
      <c r="A1544" s="53" t="s">
        <v>1613</v>
      </c>
      <c r="B1544" s="53" t="s">
        <v>53</v>
      </c>
      <c r="C1544" s="53" t="s">
        <v>14</v>
      </c>
      <c r="D1544" s="54">
        <v>99647.25</v>
      </c>
      <c r="E1544" s="54" t="str">
        <f t="shared" si="1"/>
        <v>₹1,195,767.00</v>
      </c>
      <c r="F1544" s="55" t="str">
        <f t="shared" si="2"/>
        <v>30.0%</v>
      </c>
      <c r="G1544" s="54" t="str">
        <f t="shared" si="3"/>
        <v>₹358,730.10</v>
      </c>
      <c r="H1544" s="54" t="str">
        <f t="shared" si="4"/>
        <v>₹29,894.18</v>
      </c>
      <c r="I1544" s="54" t="str">
        <f>87264.02-H1544</f>
        <v>₹57,369.85</v>
      </c>
    </row>
    <row r="1545" ht="15.75" customHeight="1">
      <c r="A1545" s="50" t="s">
        <v>1614</v>
      </c>
      <c r="B1545" s="50" t="s">
        <v>29</v>
      </c>
      <c r="C1545" s="50" t="s">
        <v>54</v>
      </c>
      <c r="D1545" s="51">
        <v>99670.43</v>
      </c>
      <c r="E1545" s="51" t="str">
        <f t="shared" si="1"/>
        <v>₹1,196,045.16</v>
      </c>
      <c r="F1545" s="52" t="str">
        <f t="shared" si="2"/>
        <v>30.0%</v>
      </c>
      <c r="G1545" s="51" t="str">
        <f t="shared" si="3"/>
        <v>₹358,813.55</v>
      </c>
      <c r="H1545" s="51" t="str">
        <f t="shared" si="4"/>
        <v>₹29,901.13</v>
      </c>
      <c r="I1545" s="51" t="str">
        <f>87283.8-H1545</f>
        <v>₹57,382.67</v>
      </c>
    </row>
    <row r="1546" ht="15.75" customHeight="1">
      <c r="A1546" s="53" t="s">
        <v>1615</v>
      </c>
      <c r="B1546" s="53" t="s">
        <v>13</v>
      </c>
      <c r="C1546" s="53" t="s">
        <v>54</v>
      </c>
      <c r="D1546" s="54">
        <v>99693.61</v>
      </c>
      <c r="E1546" s="54" t="str">
        <f t="shared" si="1"/>
        <v>₹1,196,323.32</v>
      </c>
      <c r="F1546" s="55" t="str">
        <f t="shared" si="2"/>
        <v>30.0%</v>
      </c>
      <c r="G1546" s="54" t="str">
        <f t="shared" si="3"/>
        <v>₹358,897.00</v>
      </c>
      <c r="H1546" s="54" t="str">
        <f t="shared" si="4"/>
        <v>₹29,908.08</v>
      </c>
      <c r="I1546" s="54" t="str">
        <f>87303.58-H1546</f>
        <v>₹57,395.50</v>
      </c>
    </row>
    <row r="1547" ht="15.75" customHeight="1">
      <c r="A1547" s="50" t="s">
        <v>1616</v>
      </c>
      <c r="B1547" s="50" t="s">
        <v>36</v>
      </c>
      <c r="C1547" s="50" t="s">
        <v>14</v>
      </c>
      <c r="D1547" s="51">
        <v>99716.78</v>
      </c>
      <c r="E1547" s="51" t="str">
        <f t="shared" si="1"/>
        <v>₹1,196,601.36</v>
      </c>
      <c r="F1547" s="52" t="str">
        <f t="shared" si="2"/>
        <v>30.0%</v>
      </c>
      <c r="G1547" s="51" t="str">
        <f t="shared" si="3"/>
        <v>₹358,980.41</v>
      </c>
      <c r="H1547" s="51" t="str">
        <f t="shared" si="4"/>
        <v>₹29,915.03</v>
      </c>
      <c r="I1547" s="51" t="str">
        <f>87323.35-H1547</f>
        <v>₹57,408.32</v>
      </c>
    </row>
    <row r="1548" ht="15.75" customHeight="1">
      <c r="A1548" s="53" t="s">
        <v>1617</v>
      </c>
      <c r="B1548" s="53" t="s">
        <v>25</v>
      </c>
      <c r="C1548" s="53" t="s">
        <v>33</v>
      </c>
      <c r="D1548" s="54">
        <v>99739.96</v>
      </c>
      <c r="E1548" s="54" t="str">
        <f t="shared" si="1"/>
        <v>₹1,196,879.52</v>
      </c>
      <c r="F1548" s="55" t="str">
        <f t="shared" si="2"/>
        <v>30.0%</v>
      </c>
      <c r="G1548" s="54" t="str">
        <f t="shared" si="3"/>
        <v>₹359,063.86</v>
      </c>
      <c r="H1548" s="54" t="str">
        <f t="shared" si="4"/>
        <v>₹29,921.99</v>
      </c>
      <c r="I1548" s="54" t="str">
        <f>87343.14-H1548</f>
        <v>₹57,421.15</v>
      </c>
    </row>
    <row r="1549" ht="15.75" customHeight="1">
      <c r="A1549" s="50" t="s">
        <v>1618</v>
      </c>
      <c r="B1549" s="50" t="s">
        <v>13</v>
      </c>
      <c r="C1549" s="50" t="s">
        <v>30</v>
      </c>
      <c r="D1549" s="51">
        <v>105686.85</v>
      </c>
      <c r="E1549" s="51" t="str">
        <f t="shared" si="1"/>
        <v>₹1,268,242.20</v>
      </c>
      <c r="F1549" s="52" t="str">
        <f t="shared" si="2"/>
        <v>30.0%</v>
      </c>
      <c r="G1549" s="51" t="str">
        <f t="shared" si="3"/>
        <v>₹380,472.66</v>
      </c>
      <c r="H1549" s="51" t="str">
        <f t="shared" si="4"/>
        <v>₹31,706.06</v>
      </c>
      <c r="I1549" s="51" t="str">
        <f>93286.63-H1549</f>
        <v>₹61,580.58</v>
      </c>
    </row>
    <row r="1550" ht="15.75" customHeight="1">
      <c r="A1550" s="53" t="s">
        <v>1619</v>
      </c>
      <c r="B1550" s="53" t="s">
        <v>13</v>
      </c>
      <c r="C1550" s="53" t="s">
        <v>18</v>
      </c>
      <c r="D1550" s="54">
        <v>99786.32</v>
      </c>
      <c r="E1550" s="54" t="str">
        <f t="shared" si="1"/>
        <v>₹1,197,435.84</v>
      </c>
      <c r="F1550" s="55" t="str">
        <f t="shared" si="2"/>
        <v>30.0%</v>
      </c>
      <c r="G1550" s="54" t="str">
        <f t="shared" si="3"/>
        <v>₹359,230.75</v>
      </c>
      <c r="H1550" s="54" t="str">
        <f t="shared" si="4"/>
        <v>₹29,935.90</v>
      </c>
      <c r="I1550" s="54" t="str">
        <f>87382.7-H1550</f>
        <v>₹57,446.80</v>
      </c>
    </row>
    <row r="1551" ht="15.75" customHeight="1">
      <c r="A1551" s="50" t="s">
        <v>1620</v>
      </c>
      <c r="B1551" s="50" t="s">
        <v>36</v>
      </c>
      <c r="C1551" s="50" t="s">
        <v>33</v>
      </c>
      <c r="D1551" s="51">
        <v>99809.49</v>
      </c>
      <c r="E1551" s="51" t="str">
        <f t="shared" si="1"/>
        <v>₹1,197,713.88</v>
      </c>
      <c r="F1551" s="52" t="str">
        <f t="shared" si="2"/>
        <v>30.0%</v>
      </c>
      <c r="G1551" s="51" t="str">
        <f t="shared" si="3"/>
        <v>₹359,314.16</v>
      </c>
      <c r="H1551" s="51" t="str">
        <f t="shared" si="4"/>
        <v>₹29,942.85</v>
      </c>
      <c r="I1551" s="51" t="str">
        <f>87402.47-H1551</f>
        <v>₹57,459.62</v>
      </c>
    </row>
    <row r="1552" ht="15.75" customHeight="1">
      <c r="A1552" s="53" t="s">
        <v>1621</v>
      </c>
      <c r="B1552" s="53" t="s">
        <v>17</v>
      </c>
      <c r="C1552" s="53" t="s">
        <v>26</v>
      </c>
      <c r="D1552" s="54">
        <v>99832.67</v>
      </c>
      <c r="E1552" s="54" t="str">
        <f t="shared" si="1"/>
        <v>₹1,197,992.04</v>
      </c>
      <c r="F1552" s="55" t="str">
        <f t="shared" si="2"/>
        <v>30.0%</v>
      </c>
      <c r="G1552" s="54" t="str">
        <f t="shared" si="3"/>
        <v>₹359,397.61</v>
      </c>
      <c r="H1552" s="54" t="str">
        <f t="shared" si="4"/>
        <v>₹29,949.80</v>
      </c>
      <c r="I1552" s="54" t="str">
        <f>87422.26-H1552</f>
        <v>₹57,472.46</v>
      </c>
    </row>
    <row r="1553" ht="15.75" customHeight="1">
      <c r="A1553" s="50" t="s">
        <v>1622</v>
      </c>
      <c r="B1553" s="50" t="s">
        <v>51</v>
      </c>
      <c r="C1553" s="50" t="s">
        <v>30</v>
      </c>
      <c r="D1553" s="51">
        <v>99855.85</v>
      </c>
      <c r="E1553" s="51" t="str">
        <f t="shared" si="1"/>
        <v>₹1,198,270.20</v>
      </c>
      <c r="F1553" s="52" t="str">
        <f t="shared" si="2"/>
        <v>30.0%</v>
      </c>
      <c r="G1553" s="51" t="str">
        <f t="shared" si="3"/>
        <v>₹359,481.06</v>
      </c>
      <c r="H1553" s="51" t="str">
        <f t="shared" si="4"/>
        <v>₹29,956.76</v>
      </c>
      <c r="I1553" s="51" t="str">
        <f>87442.04-H1553</f>
        <v>₹57,485.29</v>
      </c>
    </row>
    <row r="1554" ht="15.75" customHeight="1">
      <c r="A1554" s="53" t="s">
        <v>1623</v>
      </c>
      <c r="B1554" s="53" t="s">
        <v>36</v>
      </c>
      <c r="C1554" s="53" t="s">
        <v>26</v>
      </c>
      <c r="D1554" s="54">
        <v>99879.03</v>
      </c>
      <c r="E1554" s="54" t="str">
        <f t="shared" si="1"/>
        <v>₹1,198,548.36</v>
      </c>
      <c r="F1554" s="55" t="str">
        <f t="shared" si="2"/>
        <v>30.0%</v>
      </c>
      <c r="G1554" s="54" t="str">
        <f t="shared" si="3"/>
        <v>₹359,564.51</v>
      </c>
      <c r="H1554" s="54" t="str">
        <f t="shared" si="4"/>
        <v>₹29,963.71</v>
      </c>
      <c r="I1554" s="54" t="str">
        <f>87461.82-H1554</f>
        <v>₹57,498.11</v>
      </c>
    </row>
    <row r="1555" ht="15.75" customHeight="1">
      <c r="A1555" s="50" t="s">
        <v>1624</v>
      </c>
      <c r="B1555" s="50" t="s">
        <v>53</v>
      </c>
      <c r="C1555" s="50" t="s">
        <v>30</v>
      </c>
      <c r="D1555" s="51">
        <v>106263.87</v>
      </c>
      <c r="E1555" s="51" t="str">
        <f t="shared" si="1"/>
        <v>₹1,275,166.44</v>
      </c>
      <c r="F1555" s="52" t="str">
        <f t="shared" si="2"/>
        <v>30.0%</v>
      </c>
      <c r="G1555" s="51" t="str">
        <f t="shared" si="3"/>
        <v>₹382,549.93</v>
      </c>
      <c r="H1555" s="51" t="str">
        <f t="shared" si="4"/>
        <v>₹31,879.16</v>
      </c>
      <c r="I1555" s="51" t="str">
        <f>93843.26-H1555</f>
        <v>₹61,964.10</v>
      </c>
    </row>
    <row r="1556" ht="15.75" customHeight="1">
      <c r="A1556" s="53" t="s">
        <v>1625</v>
      </c>
      <c r="B1556" s="53" t="s">
        <v>51</v>
      </c>
      <c r="C1556" s="53" t="s">
        <v>26</v>
      </c>
      <c r="D1556" s="54">
        <v>99925.38</v>
      </c>
      <c r="E1556" s="54" t="str">
        <f t="shared" si="1"/>
        <v>₹1,199,104.56</v>
      </c>
      <c r="F1556" s="55" t="str">
        <f t="shared" si="2"/>
        <v>30.0%</v>
      </c>
      <c r="G1556" s="54" t="str">
        <f t="shared" si="3"/>
        <v>₹359,731.37</v>
      </c>
      <c r="H1556" s="54" t="str">
        <f t="shared" si="4"/>
        <v>₹29,977.61</v>
      </c>
      <c r="I1556" s="54" t="str">
        <f>87501.38-H1556</f>
        <v>₹57,523.77</v>
      </c>
    </row>
    <row r="1557" ht="15.75" customHeight="1">
      <c r="A1557" s="50" t="s">
        <v>1626</v>
      </c>
      <c r="B1557" s="50" t="s">
        <v>25</v>
      </c>
      <c r="C1557" s="50" t="s">
        <v>33</v>
      </c>
      <c r="D1557" s="51">
        <v>99948.56</v>
      </c>
      <c r="E1557" s="51" t="str">
        <f t="shared" si="1"/>
        <v>₹1,199,382.72</v>
      </c>
      <c r="F1557" s="52" t="str">
        <f t="shared" si="2"/>
        <v>30.0%</v>
      </c>
      <c r="G1557" s="51" t="str">
        <f t="shared" si="3"/>
        <v>₹359,814.82</v>
      </c>
      <c r="H1557" s="51" t="str">
        <f t="shared" si="4"/>
        <v>₹29,984.57</v>
      </c>
      <c r="I1557" s="51" t="str">
        <f>87521.16-H1557</f>
        <v>₹57,536.59</v>
      </c>
    </row>
    <row r="1558" ht="15.75" customHeight="1">
      <c r="A1558" s="53" t="s">
        <v>1627</v>
      </c>
      <c r="B1558" s="53" t="s">
        <v>51</v>
      </c>
      <c r="C1558" s="53" t="s">
        <v>54</v>
      </c>
      <c r="D1558" s="54">
        <v>99971.74</v>
      </c>
      <c r="E1558" s="54" t="str">
        <f t="shared" si="1"/>
        <v>₹1,199,660.88</v>
      </c>
      <c r="F1558" s="55" t="str">
        <f t="shared" si="2"/>
        <v>30.0%</v>
      </c>
      <c r="G1558" s="54" t="str">
        <f t="shared" si="3"/>
        <v>₹359,898.26</v>
      </c>
      <c r="H1558" s="54" t="str">
        <f t="shared" si="4"/>
        <v>₹29,991.52</v>
      </c>
      <c r="I1558" s="54" t="str">
        <f>87540.94-H1558</f>
        <v>₹57,549.42</v>
      </c>
    </row>
    <row r="1559" ht="15.75" customHeight="1">
      <c r="A1559" s="50" t="s">
        <v>1628</v>
      </c>
      <c r="B1559" s="50" t="s">
        <v>51</v>
      </c>
      <c r="C1559" s="50" t="s">
        <v>18</v>
      </c>
      <c r="D1559" s="51">
        <v>99994.92</v>
      </c>
      <c r="E1559" s="51" t="str">
        <f t="shared" si="1"/>
        <v>₹1,199,939.04</v>
      </c>
      <c r="F1559" s="52" t="str">
        <f t="shared" si="2"/>
        <v>30.0%</v>
      </c>
      <c r="G1559" s="51" t="str">
        <f t="shared" si="3"/>
        <v>₹359,981.71</v>
      </c>
      <c r="H1559" s="51" t="str">
        <f t="shared" si="4"/>
        <v>₹29,998.48</v>
      </c>
      <c r="I1559" s="51" t="str">
        <f>87560.72-H1559</f>
        <v>₹57,562.24</v>
      </c>
    </row>
    <row r="1560" ht="15.75" customHeight="1">
      <c r="A1560" s="53" t="s">
        <v>1629</v>
      </c>
      <c r="B1560" s="53" t="s">
        <v>13</v>
      </c>
      <c r="C1560" s="53" t="s">
        <v>18</v>
      </c>
      <c r="D1560" s="54">
        <v>100018.09</v>
      </c>
      <c r="E1560" s="54" t="str">
        <f t="shared" si="1"/>
        <v>₹1,200,217.08</v>
      </c>
      <c r="F1560" s="55" t="str">
        <f t="shared" si="2"/>
        <v>30.0%</v>
      </c>
      <c r="G1560" s="54" t="str">
        <f t="shared" si="3"/>
        <v>₹360,065.12</v>
      </c>
      <c r="H1560" s="54" t="str">
        <f t="shared" si="4"/>
        <v>₹30,005.43</v>
      </c>
      <c r="I1560" s="54" t="str">
        <f>87580.5-H1560</f>
        <v>₹57,575.07</v>
      </c>
    </row>
    <row r="1561" ht="15.75" customHeight="1">
      <c r="A1561" s="50" t="s">
        <v>1630</v>
      </c>
      <c r="B1561" s="50" t="s">
        <v>51</v>
      </c>
      <c r="C1561" s="50" t="s">
        <v>33</v>
      </c>
      <c r="D1561" s="51">
        <v>100041.27</v>
      </c>
      <c r="E1561" s="51" t="str">
        <f t="shared" si="1"/>
        <v>₹1,200,495.24</v>
      </c>
      <c r="F1561" s="52" t="str">
        <f t="shared" si="2"/>
        <v>30.0%</v>
      </c>
      <c r="G1561" s="51" t="str">
        <f t="shared" si="3"/>
        <v>₹360,148.57</v>
      </c>
      <c r="H1561" s="51" t="str">
        <f t="shared" si="4"/>
        <v>₹30,012.38</v>
      </c>
      <c r="I1561" s="51" t="str">
        <f>87600.28-H1561</f>
        <v>₹57,587.90</v>
      </c>
    </row>
    <row r="1562" ht="15.75" customHeight="1">
      <c r="A1562" s="53" t="s">
        <v>1631</v>
      </c>
      <c r="B1562" s="53" t="s">
        <v>29</v>
      </c>
      <c r="C1562" s="53" t="s">
        <v>26</v>
      </c>
      <c r="D1562" s="54">
        <v>100064.45</v>
      </c>
      <c r="E1562" s="54" t="str">
        <f t="shared" si="1"/>
        <v>₹1,200,773.40</v>
      </c>
      <c r="F1562" s="55" t="str">
        <f t="shared" si="2"/>
        <v>30.0%</v>
      </c>
      <c r="G1562" s="54" t="str">
        <f t="shared" si="3"/>
        <v>₹360,232.02</v>
      </c>
      <c r="H1562" s="54" t="str">
        <f t="shared" si="4"/>
        <v>₹30,019.34</v>
      </c>
      <c r="I1562" s="54" t="str">
        <f>87620.06-H1562</f>
        <v>₹57,600.73</v>
      </c>
    </row>
    <row r="1563" ht="15.75" customHeight="1">
      <c r="A1563" s="50" t="s">
        <v>1632</v>
      </c>
      <c r="B1563" s="50" t="s">
        <v>36</v>
      </c>
      <c r="C1563" s="50" t="s">
        <v>54</v>
      </c>
      <c r="D1563" s="51">
        <v>100087.63</v>
      </c>
      <c r="E1563" s="51" t="str">
        <f t="shared" si="1"/>
        <v>₹1,201,051.56</v>
      </c>
      <c r="F1563" s="52" t="str">
        <f t="shared" si="2"/>
        <v>30.0%</v>
      </c>
      <c r="G1563" s="51" t="str">
        <f t="shared" si="3"/>
        <v>₹360,315.47</v>
      </c>
      <c r="H1563" s="51" t="str">
        <f t="shared" si="4"/>
        <v>₹30,026.29</v>
      </c>
      <c r="I1563" s="51" t="str">
        <f>87639.84-H1563</f>
        <v>₹57,613.55</v>
      </c>
    </row>
    <row r="1564" ht="15.75" customHeight="1">
      <c r="A1564" s="53" t="s">
        <v>1633</v>
      </c>
      <c r="B1564" s="53" t="s">
        <v>29</v>
      </c>
      <c r="C1564" s="53" t="s">
        <v>18</v>
      </c>
      <c r="D1564" s="54">
        <v>100110.8</v>
      </c>
      <c r="E1564" s="54" t="str">
        <f t="shared" si="1"/>
        <v>₹1,201,329.60</v>
      </c>
      <c r="F1564" s="55" t="str">
        <f t="shared" si="2"/>
        <v>30.0%</v>
      </c>
      <c r="G1564" s="54" t="str">
        <f t="shared" si="3"/>
        <v>₹360,398.88</v>
      </c>
      <c r="H1564" s="54" t="str">
        <f t="shared" si="4"/>
        <v>₹30,033.24</v>
      </c>
      <c r="I1564" s="54" t="str">
        <f>87659.62-H1564</f>
        <v>₹57,626.38</v>
      </c>
    </row>
    <row r="1565" ht="15.75" customHeight="1">
      <c r="A1565" s="50" t="s">
        <v>1634</v>
      </c>
      <c r="B1565" s="50" t="s">
        <v>13</v>
      </c>
      <c r="C1565" s="50" t="s">
        <v>26</v>
      </c>
      <c r="D1565" s="51">
        <v>100133.98</v>
      </c>
      <c r="E1565" s="51" t="str">
        <f t="shared" si="1"/>
        <v>₹1,201,607.76</v>
      </c>
      <c r="F1565" s="52" t="str">
        <f t="shared" si="2"/>
        <v>30.0%</v>
      </c>
      <c r="G1565" s="51" t="str">
        <f t="shared" si="3"/>
        <v>₹360,482.33</v>
      </c>
      <c r="H1565" s="51" t="str">
        <f t="shared" si="4"/>
        <v>₹30,040.19</v>
      </c>
      <c r="I1565" s="51" t="str">
        <f>87679.4-H1565</f>
        <v>₹57,639.21</v>
      </c>
    </row>
    <row r="1566" ht="15.75" customHeight="1">
      <c r="A1566" s="53" t="s">
        <v>1635</v>
      </c>
      <c r="B1566" s="53" t="s">
        <v>17</v>
      </c>
      <c r="C1566" s="53" t="s">
        <v>26</v>
      </c>
      <c r="D1566" s="54">
        <v>100157.16</v>
      </c>
      <c r="E1566" s="54" t="str">
        <f t="shared" si="1"/>
        <v>₹1,201,885.92</v>
      </c>
      <c r="F1566" s="55" t="str">
        <f t="shared" si="2"/>
        <v>30.0%</v>
      </c>
      <c r="G1566" s="54" t="str">
        <f t="shared" si="3"/>
        <v>₹360,565.78</v>
      </c>
      <c r="H1566" s="54" t="str">
        <f t="shared" si="4"/>
        <v>₹30,047.15</v>
      </c>
      <c r="I1566" s="54" t="str">
        <f>87699.18-H1566</f>
        <v>₹57,652.03</v>
      </c>
    </row>
    <row r="1567" ht="15.75" customHeight="1">
      <c r="A1567" s="50" t="s">
        <v>1636</v>
      </c>
      <c r="B1567" s="50" t="s">
        <v>53</v>
      </c>
      <c r="C1567" s="50" t="s">
        <v>30</v>
      </c>
      <c r="D1567" s="51">
        <v>100180.34</v>
      </c>
      <c r="E1567" s="51" t="str">
        <f t="shared" si="1"/>
        <v>₹1,202,164.08</v>
      </c>
      <c r="F1567" s="52" t="str">
        <f t="shared" si="2"/>
        <v>30.0%</v>
      </c>
      <c r="G1567" s="51" t="str">
        <f t="shared" si="3"/>
        <v>₹360,649.22</v>
      </c>
      <c r="H1567" s="51" t="str">
        <f t="shared" si="4"/>
        <v>₹30,054.10</v>
      </c>
      <c r="I1567" s="51" t="str">
        <f>87718.96-H1567</f>
        <v>₹57,664.86</v>
      </c>
    </row>
    <row r="1568" ht="15.75" customHeight="1">
      <c r="A1568" s="53" t="s">
        <v>1637</v>
      </c>
      <c r="B1568" s="53" t="s">
        <v>51</v>
      </c>
      <c r="C1568" s="53" t="s">
        <v>30</v>
      </c>
      <c r="D1568" s="54">
        <v>100203.52</v>
      </c>
      <c r="E1568" s="54" t="str">
        <f t="shared" si="1"/>
        <v>₹1,202,442.24</v>
      </c>
      <c r="F1568" s="55" t="str">
        <f t="shared" si="2"/>
        <v>30.0%</v>
      </c>
      <c r="G1568" s="54" t="str">
        <f t="shared" si="3"/>
        <v>₹360,732.67</v>
      </c>
      <c r="H1568" s="54" t="str">
        <f t="shared" si="4"/>
        <v>₹30,061.06</v>
      </c>
      <c r="I1568" s="54" t="str">
        <f>87738.75-H1568</f>
        <v>₹57,677.69</v>
      </c>
    </row>
    <row r="1569" ht="15.75" customHeight="1">
      <c r="A1569" s="50" t="s">
        <v>1638</v>
      </c>
      <c r="B1569" s="50" t="s">
        <v>51</v>
      </c>
      <c r="C1569" s="50" t="s">
        <v>18</v>
      </c>
      <c r="D1569" s="51">
        <v>100226.69</v>
      </c>
      <c r="E1569" s="51" t="str">
        <f t="shared" si="1"/>
        <v>₹1,202,720.28</v>
      </c>
      <c r="F1569" s="52" t="str">
        <f t="shared" si="2"/>
        <v>30.0%</v>
      </c>
      <c r="G1569" s="51" t="str">
        <f t="shared" si="3"/>
        <v>₹360,816.08</v>
      </c>
      <c r="H1569" s="51" t="str">
        <f t="shared" si="4"/>
        <v>₹30,068.01</v>
      </c>
      <c r="I1569" s="51" t="str">
        <f>87758.52-H1569</f>
        <v>₹57,690.51</v>
      </c>
    </row>
    <row r="1570" ht="15.75" customHeight="1">
      <c r="A1570" s="53" t="s">
        <v>1639</v>
      </c>
      <c r="B1570" s="53" t="s">
        <v>29</v>
      </c>
      <c r="C1570" s="53" t="s">
        <v>26</v>
      </c>
      <c r="D1570" s="54">
        <v>100249.87</v>
      </c>
      <c r="E1570" s="54" t="str">
        <f t="shared" si="1"/>
        <v>₹1,202,998.44</v>
      </c>
      <c r="F1570" s="55" t="str">
        <f t="shared" si="2"/>
        <v>30.0%</v>
      </c>
      <c r="G1570" s="54" t="str">
        <f t="shared" si="3"/>
        <v>₹360,899.53</v>
      </c>
      <c r="H1570" s="54" t="str">
        <f t="shared" si="4"/>
        <v>₹30,074.96</v>
      </c>
      <c r="I1570" s="54" t="str">
        <f>87778.3-H1570</f>
        <v>₹57,703.34</v>
      </c>
    </row>
    <row r="1571" ht="15.75" customHeight="1">
      <c r="A1571" s="50" t="s">
        <v>1641</v>
      </c>
      <c r="B1571" s="50" t="s">
        <v>29</v>
      </c>
      <c r="C1571" s="50" t="s">
        <v>33</v>
      </c>
      <c r="D1571" s="51">
        <v>100273.05</v>
      </c>
      <c r="E1571" s="51" t="str">
        <f t="shared" si="1"/>
        <v>₹1,203,276.60</v>
      </c>
      <c r="F1571" s="52" t="str">
        <f t="shared" si="2"/>
        <v>30.0%</v>
      </c>
      <c r="G1571" s="51" t="str">
        <f t="shared" si="3"/>
        <v>₹360,982.98</v>
      </c>
      <c r="H1571" s="51" t="str">
        <f t="shared" si="4"/>
        <v>₹30,081.92</v>
      </c>
      <c r="I1571" s="51" t="str">
        <f>87798.08-H1571</f>
        <v>₹57,716.17</v>
      </c>
    </row>
    <row r="1572" ht="15.75" customHeight="1">
      <c r="A1572" s="53" t="s">
        <v>1642</v>
      </c>
      <c r="B1572" s="53" t="s">
        <v>36</v>
      </c>
      <c r="C1572" s="53" t="s">
        <v>26</v>
      </c>
      <c r="D1572" s="54">
        <v>100296.23</v>
      </c>
      <c r="E1572" s="54" t="str">
        <f t="shared" si="1"/>
        <v>₹1,203,554.76</v>
      </c>
      <c r="F1572" s="55" t="str">
        <f t="shared" si="2"/>
        <v>30.0%</v>
      </c>
      <c r="G1572" s="54" t="str">
        <f t="shared" si="3"/>
        <v>₹361,066.43</v>
      </c>
      <c r="H1572" s="54" t="str">
        <f t="shared" si="4"/>
        <v>₹30,088.87</v>
      </c>
      <c r="I1572" s="54" t="str">
        <f>87817.87-H1572</f>
        <v>₹57,729.00</v>
      </c>
    </row>
    <row r="1573" ht="15.75" customHeight="1">
      <c r="A1573" s="50" t="s">
        <v>1643</v>
      </c>
      <c r="B1573" s="50" t="s">
        <v>17</v>
      </c>
      <c r="C1573" s="50" t="s">
        <v>37</v>
      </c>
      <c r="D1573" s="51">
        <v>100319.4</v>
      </c>
      <c r="E1573" s="51" t="str">
        <f t="shared" si="1"/>
        <v>₹1,203,832.80</v>
      </c>
      <c r="F1573" s="52" t="str">
        <f t="shared" si="2"/>
        <v>30.0%</v>
      </c>
      <c r="G1573" s="51" t="str">
        <f t="shared" si="3"/>
        <v>₹361,149.84</v>
      </c>
      <c r="H1573" s="51" t="str">
        <f t="shared" si="4"/>
        <v>₹30,095.82</v>
      </c>
      <c r="I1573" s="51" t="str">
        <f>87837.64-H1573</f>
        <v>₹57,741.82</v>
      </c>
    </row>
    <row r="1574" ht="15.75" customHeight="1">
      <c r="A1574" s="53" t="s">
        <v>1644</v>
      </c>
      <c r="B1574" s="53" t="s">
        <v>53</v>
      </c>
      <c r="C1574" s="53" t="s">
        <v>37</v>
      </c>
      <c r="D1574" s="54">
        <v>100342.58</v>
      </c>
      <c r="E1574" s="54" t="str">
        <f t="shared" si="1"/>
        <v>₹1,204,110.96</v>
      </c>
      <c r="F1574" s="55" t="str">
        <f t="shared" si="2"/>
        <v>30.0%</v>
      </c>
      <c r="G1574" s="54" t="str">
        <f t="shared" si="3"/>
        <v>₹361,233.29</v>
      </c>
      <c r="H1574" s="54" t="str">
        <f t="shared" si="4"/>
        <v>₹30,102.77</v>
      </c>
      <c r="I1574" s="54" t="str">
        <f>87857.42-H1574</f>
        <v>₹57,754.65</v>
      </c>
    </row>
    <row r="1575" ht="15.75" customHeight="1">
      <c r="A1575" s="50" t="s">
        <v>1645</v>
      </c>
      <c r="B1575" s="50" t="s">
        <v>36</v>
      </c>
      <c r="C1575" s="50" t="s">
        <v>37</v>
      </c>
      <c r="D1575" s="51">
        <v>100365.76</v>
      </c>
      <c r="E1575" s="51" t="str">
        <f t="shared" si="1"/>
        <v>₹1,204,389.12</v>
      </c>
      <c r="F1575" s="52" t="str">
        <f t="shared" si="2"/>
        <v>30.0%</v>
      </c>
      <c r="G1575" s="51" t="str">
        <f t="shared" si="3"/>
        <v>₹361,316.74</v>
      </c>
      <c r="H1575" s="51" t="str">
        <f t="shared" si="4"/>
        <v>₹30,109.73</v>
      </c>
      <c r="I1575" s="51" t="str">
        <f>87877.2-H1575</f>
        <v>₹57,767.47</v>
      </c>
    </row>
    <row r="1576" ht="15.75" customHeight="1">
      <c r="A1576" s="53" t="s">
        <v>1646</v>
      </c>
      <c r="B1576" s="53" t="s">
        <v>36</v>
      </c>
      <c r="C1576" s="53" t="s">
        <v>54</v>
      </c>
      <c r="D1576" s="54">
        <v>100412.11</v>
      </c>
      <c r="E1576" s="54" t="str">
        <f t="shared" si="1"/>
        <v>₹1,204,945.32</v>
      </c>
      <c r="F1576" s="55" t="str">
        <f t="shared" si="2"/>
        <v>30.0%</v>
      </c>
      <c r="G1576" s="54" t="str">
        <f t="shared" si="3"/>
        <v>₹361,483.60</v>
      </c>
      <c r="H1576" s="54" t="str">
        <f t="shared" si="4"/>
        <v>₹30,123.63</v>
      </c>
      <c r="I1576" s="54" t="str">
        <f>87916.76-H1576</f>
        <v>₹57,793.13</v>
      </c>
    </row>
    <row r="1577" ht="15.75" customHeight="1">
      <c r="A1577" s="50" t="s">
        <v>1647</v>
      </c>
      <c r="B1577" s="50" t="s">
        <v>53</v>
      </c>
      <c r="C1577" s="50" t="s">
        <v>54</v>
      </c>
      <c r="D1577" s="51">
        <v>100435.29</v>
      </c>
      <c r="E1577" s="51" t="str">
        <f t="shared" si="1"/>
        <v>₹1,205,223.48</v>
      </c>
      <c r="F1577" s="52" t="str">
        <f t="shared" si="2"/>
        <v>30.0%</v>
      </c>
      <c r="G1577" s="51" t="str">
        <f t="shared" si="3"/>
        <v>₹361,567.04</v>
      </c>
      <c r="H1577" s="51" t="str">
        <f t="shared" si="4"/>
        <v>₹30,130.59</v>
      </c>
      <c r="I1577" s="51" t="str">
        <f>87936.54-H1577</f>
        <v>₹57,805.95</v>
      </c>
    </row>
    <row r="1578" ht="15.75" customHeight="1">
      <c r="A1578" s="53" t="s">
        <v>1648</v>
      </c>
      <c r="B1578" s="53" t="s">
        <v>53</v>
      </c>
      <c r="C1578" s="53" t="s">
        <v>14</v>
      </c>
      <c r="D1578" s="54">
        <v>100458.47</v>
      </c>
      <c r="E1578" s="54" t="str">
        <f t="shared" si="1"/>
        <v>₹1,205,501.64</v>
      </c>
      <c r="F1578" s="55" t="str">
        <f t="shared" si="2"/>
        <v>30.0%</v>
      </c>
      <c r="G1578" s="54" t="str">
        <f t="shared" si="3"/>
        <v>₹361,650.49</v>
      </c>
      <c r="H1578" s="54" t="str">
        <f t="shared" si="4"/>
        <v>₹30,137.54</v>
      </c>
      <c r="I1578" s="54" t="str">
        <f>87956.32-H1578</f>
        <v>₹57,818.78</v>
      </c>
    </row>
    <row r="1579" ht="15.75" customHeight="1">
      <c r="A1579" s="50" t="s">
        <v>1649</v>
      </c>
      <c r="B1579" s="50" t="s">
        <v>25</v>
      </c>
      <c r="C1579" s="50" t="s">
        <v>14</v>
      </c>
      <c r="D1579" s="51">
        <v>100481.65</v>
      </c>
      <c r="E1579" s="51" t="str">
        <f t="shared" si="1"/>
        <v>₹1,205,779.80</v>
      </c>
      <c r="F1579" s="52" t="str">
        <f t="shared" si="2"/>
        <v>30.0%</v>
      </c>
      <c r="G1579" s="51" t="str">
        <f t="shared" si="3"/>
        <v>₹361,733.94</v>
      </c>
      <c r="H1579" s="51" t="str">
        <f t="shared" si="4"/>
        <v>₹30,144.50</v>
      </c>
      <c r="I1579" s="51" t="str">
        <f>87976.11-H1579</f>
        <v>₹57,831.62</v>
      </c>
    </row>
    <row r="1580" ht="15.75" customHeight="1">
      <c r="A1580" s="53" t="s">
        <v>1650</v>
      </c>
      <c r="B1580" s="53" t="s">
        <v>51</v>
      </c>
      <c r="C1580" s="53" t="s">
        <v>14</v>
      </c>
      <c r="D1580" s="54">
        <v>100504.83</v>
      </c>
      <c r="E1580" s="54" t="str">
        <f t="shared" si="1"/>
        <v>₹1,206,057.96</v>
      </c>
      <c r="F1580" s="55" t="str">
        <f t="shared" si="2"/>
        <v>30.0%</v>
      </c>
      <c r="G1580" s="54" t="str">
        <f t="shared" si="3"/>
        <v>₹361,817.39</v>
      </c>
      <c r="H1580" s="54" t="str">
        <f t="shared" si="4"/>
        <v>₹30,151.45</v>
      </c>
      <c r="I1580" s="54" t="str">
        <f>87995.89-H1580</f>
        <v>₹57,844.44</v>
      </c>
    </row>
    <row r="1581" ht="15.75" customHeight="1">
      <c r="A1581" s="50" t="s">
        <v>1651</v>
      </c>
      <c r="B1581" s="50" t="s">
        <v>53</v>
      </c>
      <c r="C1581" s="50" t="s">
        <v>54</v>
      </c>
      <c r="D1581" s="51">
        <v>100551.18</v>
      </c>
      <c r="E1581" s="51" t="str">
        <f t="shared" si="1"/>
        <v>₹1,206,614.16</v>
      </c>
      <c r="F1581" s="52" t="str">
        <f t="shared" si="2"/>
        <v>30.0%</v>
      </c>
      <c r="G1581" s="51" t="str">
        <f t="shared" si="3"/>
        <v>₹361,984.25</v>
      </c>
      <c r="H1581" s="51" t="str">
        <f t="shared" si="4"/>
        <v>₹30,165.35</v>
      </c>
      <c r="I1581" s="51" t="str">
        <f>88035.44-H1581</f>
        <v>₹57,870.09</v>
      </c>
    </row>
    <row r="1582" ht="15.75" customHeight="1">
      <c r="A1582" s="53" t="s">
        <v>1652</v>
      </c>
      <c r="B1582" s="53" t="s">
        <v>17</v>
      </c>
      <c r="C1582" s="53" t="s">
        <v>37</v>
      </c>
      <c r="D1582" s="54">
        <v>100574.36</v>
      </c>
      <c r="E1582" s="54" t="str">
        <f t="shared" si="1"/>
        <v>₹1,206,892.32</v>
      </c>
      <c r="F1582" s="55" t="str">
        <f t="shared" si="2"/>
        <v>30.0%</v>
      </c>
      <c r="G1582" s="54" t="str">
        <f t="shared" si="3"/>
        <v>₹362,067.70</v>
      </c>
      <c r="H1582" s="54" t="str">
        <f t="shared" si="4"/>
        <v>₹30,172.31</v>
      </c>
      <c r="I1582" s="54" t="str">
        <f>88055.22-H1582</f>
        <v>₹57,882.91</v>
      </c>
    </row>
    <row r="1583" ht="15.75" customHeight="1">
      <c r="A1583" s="50" t="s">
        <v>1653</v>
      </c>
      <c r="B1583" s="50" t="s">
        <v>17</v>
      </c>
      <c r="C1583" s="50" t="s">
        <v>14</v>
      </c>
      <c r="D1583" s="51">
        <v>100597.54</v>
      </c>
      <c r="E1583" s="51" t="str">
        <f t="shared" si="1"/>
        <v>₹1,207,170.48</v>
      </c>
      <c r="F1583" s="52" t="str">
        <f t="shared" si="2"/>
        <v>30.0%</v>
      </c>
      <c r="G1583" s="51" t="str">
        <f t="shared" si="3"/>
        <v>₹362,151.14</v>
      </c>
      <c r="H1583" s="51" t="str">
        <f t="shared" si="4"/>
        <v>₹30,179.26</v>
      </c>
      <c r="I1583" s="51" t="str">
        <f>88075.01-H1583</f>
        <v>₹57,895.75</v>
      </c>
    </row>
    <row r="1584" ht="15.75" customHeight="1">
      <c r="A1584" s="53" t="s">
        <v>1654</v>
      </c>
      <c r="B1584" s="53" t="s">
        <v>25</v>
      </c>
      <c r="C1584" s="53" t="s">
        <v>33</v>
      </c>
      <c r="D1584" s="54">
        <v>100620.71</v>
      </c>
      <c r="E1584" s="54" t="str">
        <f t="shared" si="1"/>
        <v>₹1,207,448.52</v>
      </c>
      <c r="F1584" s="55" t="str">
        <f t="shared" si="2"/>
        <v>30.0%</v>
      </c>
      <c r="G1584" s="54" t="str">
        <f t="shared" si="3"/>
        <v>₹362,234.56</v>
      </c>
      <c r="H1584" s="54" t="str">
        <f t="shared" si="4"/>
        <v>₹30,186.21</v>
      </c>
      <c r="I1584" s="54" t="str">
        <f>88094.78-H1584</f>
        <v>₹57,908.57</v>
      </c>
    </row>
    <row r="1585" ht="15.75" customHeight="1">
      <c r="A1585" s="50" t="s">
        <v>1655</v>
      </c>
      <c r="B1585" s="50" t="s">
        <v>36</v>
      </c>
      <c r="C1585" s="50" t="s">
        <v>37</v>
      </c>
      <c r="D1585" s="51">
        <v>100643.89</v>
      </c>
      <c r="E1585" s="51" t="str">
        <f t="shared" si="1"/>
        <v>₹1,207,726.68</v>
      </c>
      <c r="F1585" s="52" t="str">
        <f t="shared" si="2"/>
        <v>30.0%</v>
      </c>
      <c r="G1585" s="51" t="str">
        <f t="shared" si="3"/>
        <v>₹362,318.00</v>
      </c>
      <c r="H1585" s="51" t="str">
        <f t="shared" si="4"/>
        <v>₹30,193.17</v>
      </c>
      <c r="I1585" s="51" t="str">
        <f>88114.56-H1585</f>
        <v>₹57,921.39</v>
      </c>
    </row>
    <row r="1586" ht="15.75" customHeight="1">
      <c r="A1586" s="53" t="s">
        <v>1656</v>
      </c>
      <c r="B1586" s="53" t="s">
        <v>13</v>
      </c>
      <c r="C1586" s="53" t="s">
        <v>26</v>
      </c>
      <c r="D1586" s="54">
        <v>100667.07</v>
      </c>
      <c r="E1586" s="54" t="str">
        <f t="shared" si="1"/>
        <v>₹1,208,004.84</v>
      </c>
      <c r="F1586" s="55" t="str">
        <f t="shared" si="2"/>
        <v>30.0%</v>
      </c>
      <c r="G1586" s="54" t="str">
        <f t="shared" si="3"/>
        <v>₹362,401.45</v>
      </c>
      <c r="H1586" s="54" t="str">
        <f t="shared" si="4"/>
        <v>₹30,200.12</v>
      </c>
      <c r="I1586" s="54" t="str">
        <f>88134.34-H1586</f>
        <v>₹57,934.22</v>
      </c>
    </row>
    <row r="1587" ht="15.75" customHeight="1">
      <c r="A1587" s="50" t="s">
        <v>1657</v>
      </c>
      <c r="B1587" s="50" t="s">
        <v>53</v>
      </c>
      <c r="C1587" s="50" t="s">
        <v>54</v>
      </c>
      <c r="D1587" s="51">
        <v>100690.25</v>
      </c>
      <c r="E1587" s="51" t="str">
        <f t="shared" si="1"/>
        <v>₹1,208,283.00</v>
      </c>
      <c r="F1587" s="52" t="str">
        <f t="shared" si="2"/>
        <v>30.0%</v>
      </c>
      <c r="G1587" s="51" t="str">
        <f t="shared" si="3"/>
        <v>₹362,484.90</v>
      </c>
      <c r="H1587" s="51" t="str">
        <f t="shared" si="4"/>
        <v>₹30,207.08</v>
      </c>
      <c r="I1587" s="51" t="str">
        <f>88154.13-H1587</f>
        <v>₹57,947.06</v>
      </c>
    </row>
    <row r="1588" ht="15.75" customHeight="1">
      <c r="A1588" s="53" t="s">
        <v>1658</v>
      </c>
      <c r="B1588" s="53" t="s">
        <v>25</v>
      </c>
      <c r="C1588" s="53" t="s">
        <v>54</v>
      </c>
      <c r="D1588" s="54">
        <v>100713.42</v>
      </c>
      <c r="E1588" s="54" t="str">
        <f t="shared" si="1"/>
        <v>₹1,208,561.04</v>
      </c>
      <c r="F1588" s="55" t="str">
        <f t="shared" si="2"/>
        <v>30.0%</v>
      </c>
      <c r="G1588" s="54" t="str">
        <f t="shared" si="3"/>
        <v>₹362,568.31</v>
      </c>
      <c r="H1588" s="54" t="str">
        <f t="shared" si="4"/>
        <v>₹30,214.03</v>
      </c>
      <c r="I1588" s="54" t="str">
        <f>88173.9-H1588</f>
        <v>₹57,959.87</v>
      </c>
    </row>
    <row r="1589" ht="15.75" customHeight="1">
      <c r="A1589" s="50" t="s">
        <v>1659</v>
      </c>
      <c r="B1589" s="50" t="s">
        <v>53</v>
      </c>
      <c r="C1589" s="50" t="s">
        <v>14</v>
      </c>
      <c r="D1589" s="51">
        <v>100736.6</v>
      </c>
      <c r="E1589" s="51" t="str">
        <f t="shared" si="1"/>
        <v>₹1,208,839.20</v>
      </c>
      <c r="F1589" s="52" t="str">
        <f t="shared" si="2"/>
        <v>30.0%</v>
      </c>
      <c r="G1589" s="51" t="str">
        <f t="shared" si="3"/>
        <v>₹362,651.76</v>
      </c>
      <c r="H1589" s="51" t="str">
        <f t="shared" si="4"/>
        <v>₹30,220.98</v>
      </c>
      <c r="I1589" s="51" t="str">
        <f>88193.68-H1589</f>
        <v>₹57,972.70</v>
      </c>
    </row>
    <row r="1590" ht="15.75" customHeight="1">
      <c r="A1590" s="53" t="s">
        <v>1660</v>
      </c>
      <c r="B1590" s="53" t="s">
        <v>36</v>
      </c>
      <c r="C1590" s="53" t="s">
        <v>33</v>
      </c>
      <c r="D1590" s="54">
        <v>100759.78</v>
      </c>
      <c r="E1590" s="54" t="str">
        <f t="shared" si="1"/>
        <v>₹1,209,117.36</v>
      </c>
      <c r="F1590" s="55" t="str">
        <f t="shared" si="2"/>
        <v>30.0%</v>
      </c>
      <c r="G1590" s="54" t="str">
        <f t="shared" si="3"/>
        <v>₹362,735.21</v>
      </c>
      <c r="H1590" s="54" t="str">
        <f t="shared" si="4"/>
        <v>₹30,227.93</v>
      </c>
      <c r="I1590" s="54" t="str">
        <f>88213.46-H1590</f>
        <v>₹57,985.53</v>
      </c>
    </row>
    <row r="1591" ht="15.75" customHeight="1">
      <c r="A1591" s="50" t="s">
        <v>1661</v>
      </c>
      <c r="B1591" s="50" t="s">
        <v>53</v>
      </c>
      <c r="C1591" s="50" t="s">
        <v>18</v>
      </c>
      <c r="D1591" s="51">
        <v>100782.96</v>
      </c>
      <c r="E1591" s="51" t="str">
        <f t="shared" si="1"/>
        <v>₹1,209,395.52</v>
      </c>
      <c r="F1591" s="52" t="str">
        <f t="shared" si="2"/>
        <v>30.0%</v>
      </c>
      <c r="G1591" s="51" t="str">
        <f t="shared" si="3"/>
        <v>₹362,818.66</v>
      </c>
      <c r="H1591" s="51" t="str">
        <f t="shared" si="4"/>
        <v>₹30,234.89</v>
      </c>
      <c r="I1591" s="51" t="str">
        <f>88233.25-H1591</f>
        <v>₹57,998.36</v>
      </c>
    </row>
    <row r="1592" ht="15.75" customHeight="1">
      <c r="A1592" s="53" t="s">
        <v>1662</v>
      </c>
      <c r="B1592" s="53" t="s">
        <v>53</v>
      </c>
      <c r="C1592" s="53" t="s">
        <v>30</v>
      </c>
      <c r="D1592" s="54">
        <v>100806.14</v>
      </c>
      <c r="E1592" s="54" t="str">
        <f t="shared" si="1"/>
        <v>₹1,209,673.68</v>
      </c>
      <c r="F1592" s="55" t="str">
        <f t="shared" si="2"/>
        <v>30.0%</v>
      </c>
      <c r="G1592" s="54" t="str">
        <f t="shared" si="3"/>
        <v>₹362,902.10</v>
      </c>
      <c r="H1592" s="54" t="str">
        <f t="shared" si="4"/>
        <v>₹30,241.84</v>
      </c>
      <c r="I1592" s="54" t="str">
        <f>88253.03-H1592</f>
        <v>₹58,011.19</v>
      </c>
    </row>
    <row r="1593" ht="15.75" customHeight="1">
      <c r="A1593" s="50" t="s">
        <v>1663</v>
      </c>
      <c r="B1593" s="50" t="s">
        <v>29</v>
      </c>
      <c r="C1593" s="50" t="s">
        <v>30</v>
      </c>
      <c r="D1593" s="51">
        <v>100829.31</v>
      </c>
      <c r="E1593" s="51" t="str">
        <f t="shared" si="1"/>
        <v>₹1,209,951.72</v>
      </c>
      <c r="F1593" s="52" t="str">
        <f t="shared" si="2"/>
        <v>30.0%</v>
      </c>
      <c r="G1593" s="51" t="str">
        <f t="shared" si="3"/>
        <v>₹362,985.52</v>
      </c>
      <c r="H1593" s="51" t="str">
        <f t="shared" si="4"/>
        <v>₹30,248.79</v>
      </c>
      <c r="I1593" s="51" t="str">
        <f>88272.8-H1593</f>
        <v>₹58,024.01</v>
      </c>
    </row>
    <row r="1594" ht="15.75" customHeight="1">
      <c r="A1594" s="53" t="s">
        <v>1664</v>
      </c>
      <c r="B1594" s="53" t="s">
        <v>53</v>
      </c>
      <c r="C1594" s="53" t="s">
        <v>33</v>
      </c>
      <c r="D1594" s="54">
        <v>100852.49</v>
      </c>
      <c r="E1594" s="54" t="str">
        <f t="shared" si="1"/>
        <v>₹1,210,229.88</v>
      </c>
      <c r="F1594" s="55" t="str">
        <f t="shared" si="2"/>
        <v>30.0%</v>
      </c>
      <c r="G1594" s="54" t="str">
        <f t="shared" si="3"/>
        <v>₹363,068.96</v>
      </c>
      <c r="H1594" s="54" t="str">
        <f t="shared" si="4"/>
        <v>₹30,255.75</v>
      </c>
      <c r="I1594" s="54" t="str">
        <f>88292.58-H1594</f>
        <v>₹58,036.83</v>
      </c>
    </row>
    <row r="1595" ht="15.75" customHeight="1">
      <c r="A1595" s="50" t="s">
        <v>1665</v>
      </c>
      <c r="B1595" s="50" t="s">
        <v>13</v>
      </c>
      <c r="C1595" s="50" t="s">
        <v>14</v>
      </c>
      <c r="D1595" s="51">
        <v>100875.67</v>
      </c>
      <c r="E1595" s="51" t="str">
        <f t="shared" si="1"/>
        <v>₹1,210,508.04</v>
      </c>
      <c r="F1595" s="52" t="str">
        <f t="shared" si="2"/>
        <v>30.0%</v>
      </c>
      <c r="G1595" s="51" t="str">
        <f t="shared" si="3"/>
        <v>₹363,152.41</v>
      </c>
      <c r="H1595" s="51" t="str">
        <f t="shared" si="4"/>
        <v>₹30,262.70</v>
      </c>
      <c r="I1595" s="51" t="str">
        <f>88312.37-H1595</f>
        <v>₹58,049.67</v>
      </c>
    </row>
    <row r="1596" ht="15.75" customHeight="1">
      <c r="A1596" s="53" t="s">
        <v>1666</v>
      </c>
      <c r="B1596" s="53" t="s">
        <v>51</v>
      </c>
      <c r="C1596" s="53" t="s">
        <v>26</v>
      </c>
      <c r="D1596" s="54">
        <v>100898.85</v>
      </c>
      <c r="E1596" s="54" t="str">
        <f t="shared" si="1"/>
        <v>₹1,210,786.20</v>
      </c>
      <c r="F1596" s="55" t="str">
        <f t="shared" si="2"/>
        <v>30.0%</v>
      </c>
      <c r="G1596" s="54" t="str">
        <f t="shared" si="3"/>
        <v>₹363,235.86</v>
      </c>
      <c r="H1596" s="54" t="str">
        <f t="shared" si="4"/>
        <v>₹30,269.66</v>
      </c>
      <c r="I1596" s="54" t="str">
        <f>88332.15-H1596</f>
        <v>₹58,062.50</v>
      </c>
    </row>
    <row r="1597" ht="15.75" customHeight="1">
      <c r="A1597" s="50" t="s">
        <v>1667</v>
      </c>
      <c r="B1597" s="50" t="s">
        <v>36</v>
      </c>
      <c r="C1597" s="50" t="s">
        <v>26</v>
      </c>
      <c r="D1597" s="51">
        <v>100922.02</v>
      </c>
      <c r="E1597" s="51" t="str">
        <f t="shared" si="1"/>
        <v>₹1,211,064.24</v>
      </c>
      <c r="F1597" s="52" t="str">
        <f t="shared" si="2"/>
        <v>30.0%</v>
      </c>
      <c r="G1597" s="51" t="str">
        <f t="shared" si="3"/>
        <v>₹363,319.27</v>
      </c>
      <c r="H1597" s="51" t="str">
        <f t="shared" si="4"/>
        <v>₹30,276.61</v>
      </c>
      <c r="I1597" s="51" t="str">
        <f>88351.92-H1597</f>
        <v>₹58,075.31</v>
      </c>
    </row>
    <row r="1598" ht="15.75" customHeight="1">
      <c r="A1598" s="53" t="s">
        <v>1668</v>
      </c>
      <c r="B1598" s="53" t="s">
        <v>36</v>
      </c>
      <c r="C1598" s="53" t="s">
        <v>30</v>
      </c>
      <c r="D1598" s="54">
        <v>100945.2</v>
      </c>
      <c r="E1598" s="54" t="str">
        <f t="shared" si="1"/>
        <v>₹1,211,342.40</v>
      </c>
      <c r="F1598" s="55" t="str">
        <f t="shared" si="2"/>
        <v>30.0%</v>
      </c>
      <c r="G1598" s="54" t="str">
        <f t="shared" si="3"/>
        <v>₹363,402.72</v>
      </c>
      <c r="H1598" s="54" t="str">
        <f t="shared" si="4"/>
        <v>₹30,283.56</v>
      </c>
      <c r="I1598" s="54" t="str">
        <f>88371.7-H1598</f>
        <v>₹58,088.14</v>
      </c>
    </row>
    <row r="1599" ht="15.75" customHeight="1">
      <c r="A1599" s="50" t="s">
        <v>1669</v>
      </c>
      <c r="B1599" s="50" t="s">
        <v>53</v>
      </c>
      <c r="C1599" s="50" t="s">
        <v>18</v>
      </c>
      <c r="D1599" s="51">
        <v>100968.38</v>
      </c>
      <c r="E1599" s="51" t="str">
        <f t="shared" si="1"/>
        <v>₹1,211,620.56</v>
      </c>
      <c r="F1599" s="52" t="str">
        <f t="shared" si="2"/>
        <v>30.0%</v>
      </c>
      <c r="G1599" s="51" t="str">
        <f t="shared" si="3"/>
        <v>₹363,486.17</v>
      </c>
      <c r="H1599" s="51" t="str">
        <f t="shared" si="4"/>
        <v>₹30,290.51</v>
      </c>
      <c r="I1599" s="51" t="str">
        <f>88391.49-H1599</f>
        <v>₹58,100.98</v>
      </c>
    </row>
    <row r="1600" ht="15.75" customHeight="1">
      <c r="A1600" s="53" t="s">
        <v>1670</v>
      </c>
      <c r="B1600" s="53" t="s">
        <v>13</v>
      </c>
      <c r="C1600" s="53" t="s">
        <v>14</v>
      </c>
      <c r="D1600" s="54">
        <v>100991.56</v>
      </c>
      <c r="E1600" s="54" t="str">
        <f t="shared" si="1"/>
        <v>₹1,211,898.72</v>
      </c>
      <c r="F1600" s="55" t="str">
        <f t="shared" si="2"/>
        <v>30.0%</v>
      </c>
      <c r="G1600" s="54" t="str">
        <f t="shared" si="3"/>
        <v>₹363,569.62</v>
      </c>
      <c r="H1600" s="54" t="str">
        <f t="shared" si="4"/>
        <v>₹30,297.47</v>
      </c>
      <c r="I1600" s="54" t="str">
        <f>88411.27-H1600</f>
        <v>₹58,113.80</v>
      </c>
    </row>
    <row r="1601" ht="15.75" customHeight="1">
      <c r="A1601" s="50" t="s">
        <v>1671</v>
      </c>
      <c r="B1601" s="50" t="s">
        <v>51</v>
      </c>
      <c r="C1601" s="50" t="s">
        <v>18</v>
      </c>
      <c r="D1601" s="51">
        <v>101014.73</v>
      </c>
      <c r="E1601" s="51" t="str">
        <f t="shared" si="1"/>
        <v>₹1,212,176.76</v>
      </c>
      <c r="F1601" s="52" t="str">
        <f t="shared" si="2"/>
        <v>30.0%</v>
      </c>
      <c r="G1601" s="51" t="str">
        <f t="shared" si="3"/>
        <v>₹363,653.03</v>
      </c>
      <c r="H1601" s="51" t="str">
        <f t="shared" si="4"/>
        <v>₹30,304.42</v>
      </c>
      <c r="I1601" s="51" t="str">
        <f>88431.04-H1601</f>
        <v>₹58,126.62</v>
      </c>
    </row>
    <row r="1602" ht="15.75" customHeight="1">
      <c r="A1602" s="53" t="s">
        <v>1672</v>
      </c>
      <c r="B1602" s="53" t="s">
        <v>36</v>
      </c>
      <c r="C1602" s="53" t="s">
        <v>33</v>
      </c>
      <c r="D1602" s="54">
        <v>101037.91</v>
      </c>
      <c r="E1602" s="54" t="str">
        <f t="shared" si="1"/>
        <v>₹1,212,454.92</v>
      </c>
      <c r="F1602" s="55" t="str">
        <f t="shared" si="2"/>
        <v>30.0%</v>
      </c>
      <c r="G1602" s="54" t="str">
        <f t="shared" si="3"/>
        <v>₹363,736.48</v>
      </c>
      <c r="H1602" s="54" t="str">
        <f t="shared" si="4"/>
        <v>₹30,311.37</v>
      </c>
      <c r="I1602" s="54" t="str">
        <f>88450.82-H1602</f>
        <v>₹58,139.45</v>
      </c>
    </row>
    <row r="1603" ht="15.75" customHeight="1">
      <c r="A1603" s="50" t="s">
        <v>1673</v>
      </c>
      <c r="B1603" s="50" t="s">
        <v>36</v>
      </c>
      <c r="C1603" s="50" t="s">
        <v>37</v>
      </c>
      <c r="D1603" s="51">
        <v>101061.09</v>
      </c>
      <c r="E1603" s="51" t="str">
        <f t="shared" si="1"/>
        <v>₹1,212,733.08</v>
      </c>
      <c r="F1603" s="52" t="str">
        <f t="shared" si="2"/>
        <v>30.0%</v>
      </c>
      <c r="G1603" s="51" t="str">
        <f t="shared" si="3"/>
        <v>₹363,819.92</v>
      </c>
      <c r="H1603" s="51" t="str">
        <f t="shared" si="4"/>
        <v>₹30,318.33</v>
      </c>
      <c r="I1603" s="51" t="str">
        <f>88470.61-H1603</f>
        <v>₹58,152.28</v>
      </c>
    </row>
    <row r="1604" ht="15.75" customHeight="1">
      <c r="A1604" s="53" t="s">
        <v>1674</v>
      </c>
      <c r="B1604" s="53" t="s">
        <v>53</v>
      </c>
      <c r="C1604" s="53" t="s">
        <v>14</v>
      </c>
      <c r="D1604" s="54">
        <v>101084.27</v>
      </c>
      <c r="E1604" s="54" t="str">
        <f t="shared" si="1"/>
        <v>₹1,213,011.24</v>
      </c>
      <c r="F1604" s="55" t="str">
        <f t="shared" si="2"/>
        <v>30.0%</v>
      </c>
      <c r="G1604" s="54" t="str">
        <f t="shared" si="3"/>
        <v>₹363,903.37</v>
      </c>
      <c r="H1604" s="54" t="str">
        <f t="shared" si="4"/>
        <v>₹30,325.28</v>
      </c>
      <c r="I1604" s="54" t="str">
        <f>88490.39-H1604</f>
        <v>₹58,165.11</v>
      </c>
    </row>
    <row r="1605" ht="15.75" customHeight="1">
      <c r="A1605" s="50" t="s">
        <v>1675</v>
      </c>
      <c r="B1605" s="50" t="s">
        <v>29</v>
      </c>
      <c r="C1605" s="50" t="s">
        <v>54</v>
      </c>
      <c r="D1605" s="51">
        <v>101107.45</v>
      </c>
      <c r="E1605" s="51" t="str">
        <f t="shared" si="1"/>
        <v>₹1,213,289.40</v>
      </c>
      <c r="F1605" s="52" t="str">
        <f t="shared" si="2"/>
        <v>30.0%</v>
      </c>
      <c r="G1605" s="51" t="str">
        <f t="shared" si="3"/>
        <v>₹363,986.82</v>
      </c>
      <c r="H1605" s="51" t="str">
        <f t="shared" si="4"/>
        <v>₹30,332.24</v>
      </c>
      <c r="I1605" s="51" t="str">
        <f>88510.17-H1605</f>
        <v>₹58,177.94</v>
      </c>
    </row>
    <row r="1606" ht="15.75" customHeight="1">
      <c r="A1606" s="53" t="s">
        <v>1676</v>
      </c>
      <c r="B1606" s="53" t="s">
        <v>53</v>
      </c>
      <c r="C1606" s="53" t="s">
        <v>37</v>
      </c>
      <c r="D1606" s="54">
        <v>101130.62</v>
      </c>
      <c r="E1606" s="54" t="str">
        <f t="shared" si="1"/>
        <v>₹1,213,567.44</v>
      </c>
      <c r="F1606" s="55" t="str">
        <f t="shared" si="2"/>
        <v>30.0%</v>
      </c>
      <c r="G1606" s="54" t="str">
        <f t="shared" si="3"/>
        <v>₹364,070.23</v>
      </c>
      <c r="H1606" s="54" t="str">
        <f t="shared" si="4"/>
        <v>₹30,339.19</v>
      </c>
      <c r="I1606" s="54" t="str">
        <f>88529.94-H1606</f>
        <v>₹58,190.75</v>
      </c>
    </row>
    <row r="1607" ht="15.75" customHeight="1">
      <c r="A1607" s="50" t="s">
        <v>1677</v>
      </c>
      <c r="B1607" s="50" t="s">
        <v>36</v>
      </c>
      <c r="C1607" s="50" t="s">
        <v>26</v>
      </c>
      <c r="D1607" s="51">
        <v>101176.98</v>
      </c>
      <c r="E1607" s="51" t="str">
        <f t="shared" si="1"/>
        <v>₹1,214,123.76</v>
      </c>
      <c r="F1607" s="52" t="str">
        <f t="shared" si="2"/>
        <v>30.0%</v>
      </c>
      <c r="G1607" s="51" t="str">
        <f t="shared" si="3"/>
        <v>₹364,237.13</v>
      </c>
      <c r="H1607" s="51" t="str">
        <f t="shared" si="4"/>
        <v>₹30,353.09</v>
      </c>
      <c r="I1607" s="51" t="str">
        <f>88569.51-H1607</f>
        <v>₹58,216.42</v>
      </c>
    </row>
    <row r="1608" ht="15.75" customHeight="1">
      <c r="A1608" s="53" t="s">
        <v>1678</v>
      </c>
      <c r="B1608" s="53" t="s">
        <v>36</v>
      </c>
      <c r="C1608" s="53" t="s">
        <v>37</v>
      </c>
      <c r="D1608" s="54">
        <v>101200.16</v>
      </c>
      <c r="E1608" s="54" t="str">
        <f t="shared" si="1"/>
        <v>₹1,214,401.92</v>
      </c>
      <c r="F1608" s="55" t="str">
        <f t="shared" si="2"/>
        <v>30.0%</v>
      </c>
      <c r="G1608" s="54" t="str">
        <f t="shared" si="3"/>
        <v>₹364,320.58</v>
      </c>
      <c r="H1608" s="54" t="str">
        <f t="shared" si="4"/>
        <v>₹30,360.05</v>
      </c>
      <c r="I1608" s="54" t="str">
        <f>88589.29-H1608</f>
        <v>₹58,229.24</v>
      </c>
    </row>
    <row r="1609" ht="15.75" customHeight="1">
      <c r="A1609" s="50" t="s">
        <v>1679</v>
      </c>
      <c r="B1609" s="50" t="s">
        <v>36</v>
      </c>
      <c r="C1609" s="50" t="s">
        <v>33</v>
      </c>
      <c r="D1609" s="51">
        <v>101223.33</v>
      </c>
      <c r="E1609" s="51" t="str">
        <f t="shared" si="1"/>
        <v>₹1,214,679.96</v>
      </c>
      <c r="F1609" s="52" t="str">
        <f t="shared" si="2"/>
        <v>30.0%</v>
      </c>
      <c r="G1609" s="51" t="str">
        <f t="shared" si="3"/>
        <v>₹364,403.99</v>
      </c>
      <c r="H1609" s="51" t="str">
        <f t="shared" si="4"/>
        <v>₹30,367.00</v>
      </c>
      <c r="I1609" s="51" t="str">
        <f>88609.06-H1609</f>
        <v>₹58,242.06</v>
      </c>
    </row>
    <row r="1610" ht="15.75" customHeight="1">
      <c r="A1610" s="53" t="s">
        <v>1680</v>
      </c>
      <c r="B1610" s="53" t="s">
        <v>29</v>
      </c>
      <c r="C1610" s="53" t="s">
        <v>54</v>
      </c>
      <c r="D1610" s="54">
        <v>101246.51</v>
      </c>
      <c r="E1610" s="54" t="str">
        <f t="shared" si="1"/>
        <v>₹1,214,958.12</v>
      </c>
      <c r="F1610" s="55" t="str">
        <f t="shared" si="2"/>
        <v>30.0%</v>
      </c>
      <c r="G1610" s="54" t="str">
        <f t="shared" si="3"/>
        <v>₹364,487.44</v>
      </c>
      <c r="H1610" s="54" t="str">
        <f t="shared" si="4"/>
        <v>₹30,373.95</v>
      </c>
      <c r="I1610" s="54" t="str">
        <f>88628.85-H1610</f>
        <v>₹58,254.90</v>
      </c>
    </row>
    <row r="1611" ht="15.75" customHeight="1">
      <c r="A1611" s="50" t="s">
        <v>1681</v>
      </c>
      <c r="B1611" s="50" t="s">
        <v>29</v>
      </c>
      <c r="C1611" s="50" t="s">
        <v>33</v>
      </c>
      <c r="D1611" s="51">
        <v>101269.69</v>
      </c>
      <c r="E1611" s="51" t="str">
        <f t="shared" si="1"/>
        <v>₹1,215,236.28</v>
      </c>
      <c r="F1611" s="52" t="str">
        <f t="shared" si="2"/>
        <v>30.0%</v>
      </c>
      <c r="G1611" s="51" t="str">
        <f t="shared" si="3"/>
        <v>₹364,570.88</v>
      </c>
      <c r="H1611" s="51" t="str">
        <f t="shared" si="4"/>
        <v>₹30,380.91</v>
      </c>
      <c r="I1611" s="51" t="str">
        <f>88648.63-H1611</f>
        <v>₹58,267.72</v>
      </c>
    </row>
    <row r="1612" ht="15.75" customHeight="1">
      <c r="A1612" s="53" t="s">
        <v>1682</v>
      </c>
      <c r="B1612" s="53" t="s">
        <v>36</v>
      </c>
      <c r="C1612" s="53" t="s">
        <v>33</v>
      </c>
      <c r="D1612" s="54">
        <v>101292.87</v>
      </c>
      <c r="E1612" s="54" t="str">
        <f t="shared" si="1"/>
        <v>₹1,215,514.44</v>
      </c>
      <c r="F1612" s="55" t="str">
        <f t="shared" si="2"/>
        <v>30.0%</v>
      </c>
      <c r="G1612" s="54" t="str">
        <f t="shared" si="3"/>
        <v>₹364,654.33</v>
      </c>
      <c r="H1612" s="54" t="str">
        <f t="shared" si="4"/>
        <v>₹30,387.86</v>
      </c>
      <c r="I1612" s="54" t="str">
        <f>88668.41-H1612</f>
        <v>₹58,280.55</v>
      </c>
    </row>
    <row r="1613" ht="15.75" customHeight="1">
      <c r="A1613" s="50" t="s">
        <v>1683</v>
      </c>
      <c r="B1613" s="50" t="s">
        <v>25</v>
      </c>
      <c r="C1613" s="50" t="s">
        <v>30</v>
      </c>
      <c r="D1613" s="51">
        <v>101316.04</v>
      </c>
      <c r="E1613" s="51" t="str">
        <f t="shared" si="1"/>
        <v>₹1,215,792.48</v>
      </c>
      <c r="F1613" s="52" t="str">
        <f t="shared" si="2"/>
        <v>30.0%</v>
      </c>
      <c r="G1613" s="51" t="str">
        <f t="shared" si="3"/>
        <v>₹364,737.74</v>
      </c>
      <c r="H1613" s="51" t="str">
        <f t="shared" si="4"/>
        <v>₹30,394.81</v>
      </c>
      <c r="I1613" s="51" t="str">
        <f>88688.18-H1613</f>
        <v>₹58,293.37</v>
      </c>
    </row>
    <row r="1614" ht="15.75" customHeight="1">
      <c r="A1614" s="53" t="s">
        <v>1684</v>
      </c>
      <c r="B1614" s="53" t="s">
        <v>17</v>
      </c>
      <c r="C1614" s="53" t="s">
        <v>37</v>
      </c>
      <c r="D1614" s="54">
        <v>101339.22</v>
      </c>
      <c r="E1614" s="54" t="str">
        <f t="shared" si="1"/>
        <v>₹1,216,070.64</v>
      </c>
      <c r="F1614" s="55" t="str">
        <f t="shared" si="2"/>
        <v>30.0%</v>
      </c>
      <c r="G1614" s="54" t="str">
        <f t="shared" si="3"/>
        <v>₹364,821.19</v>
      </c>
      <c r="H1614" s="54" t="str">
        <f t="shared" si="4"/>
        <v>₹30,401.77</v>
      </c>
      <c r="I1614" s="54" t="str">
        <f>88707.97-H1614</f>
        <v>₹58,306.20</v>
      </c>
    </row>
    <row r="1615" ht="15.75" customHeight="1">
      <c r="A1615" s="50" t="s">
        <v>1685</v>
      </c>
      <c r="B1615" s="50" t="s">
        <v>17</v>
      </c>
      <c r="C1615" s="50" t="s">
        <v>18</v>
      </c>
      <c r="D1615" s="51">
        <v>101362.4</v>
      </c>
      <c r="E1615" s="51" t="str">
        <f t="shared" si="1"/>
        <v>₹1,216,348.80</v>
      </c>
      <c r="F1615" s="52" t="str">
        <f t="shared" si="2"/>
        <v>30.0%</v>
      </c>
      <c r="G1615" s="51" t="str">
        <f t="shared" si="3"/>
        <v>₹364,904.64</v>
      </c>
      <c r="H1615" s="51" t="str">
        <f t="shared" si="4"/>
        <v>₹30,408.72</v>
      </c>
      <c r="I1615" s="51" t="str">
        <f>88727.75-H1615</f>
        <v>₹58,319.03</v>
      </c>
    </row>
    <row r="1616" ht="15.75" customHeight="1">
      <c r="A1616" s="53" t="s">
        <v>1686</v>
      </c>
      <c r="B1616" s="53" t="s">
        <v>25</v>
      </c>
      <c r="C1616" s="53" t="s">
        <v>18</v>
      </c>
      <c r="D1616" s="54">
        <v>101385.58</v>
      </c>
      <c r="E1616" s="54" t="str">
        <f t="shared" si="1"/>
        <v>₹1,216,626.96</v>
      </c>
      <c r="F1616" s="55" t="str">
        <f t="shared" si="2"/>
        <v>30.0%</v>
      </c>
      <c r="G1616" s="54" t="str">
        <f t="shared" si="3"/>
        <v>₹364,988.09</v>
      </c>
      <c r="H1616" s="54" t="str">
        <f t="shared" si="4"/>
        <v>₹30,415.67</v>
      </c>
      <c r="I1616" s="54" t="str">
        <f>88747.53-H1616</f>
        <v>₹58,331.86</v>
      </c>
    </row>
    <row r="1617" ht="15.75" customHeight="1">
      <c r="A1617" s="50" t="s">
        <v>1687</v>
      </c>
      <c r="B1617" s="50" t="s">
        <v>36</v>
      </c>
      <c r="C1617" s="50" t="s">
        <v>30</v>
      </c>
      <c r="D1617" s="51">
        <v>101408.76</v>
      </c>
      <c r="E1617" s="51" t="str">
        <f t="shared" si="1"/>
        <v>₹1,216,905.12</v>
      </c>
      <c r="F1617" s="52" t="str">
        <f t="shared" si="2"/>
        <v>30.0%</v>
      </c>
      <c r="G1617" s="51" t="str">
        <f t="shared" si="3"/>
        <v>₹365,071.54</v>
      </c>
      <c r="H1617" s="51" t="str">
        <f t="shared" si="4"/>
        <v>₹30,422.63</v>
      </c>
      <c r="I1617" s="51" t="str">
        <f>88767.31-H1617</f>
        <v>₹58,344.68</v>
      </c>
    </row>
    <row r="1618" ht="15.75" customHeight="1">
      <c r="A1618" s="53" t="s">
        <v>1688</v>
      </c>
      <c r="B1618" s="53" t="s">
        <v>36</v>
      </c>
      <c r="C1618" s="53" t="s">
        <v>26</v>
      </c>
      <c r="D1618" s="54">
        <v>101431.93</v>
      </c>
      <c r="E1618" s="54" t="str">
        <f t="shared" si="1"/>
        <v>₹1,217,183.16</v>
      </c>
      <c r="F1618" s="55" t="str">
        <f t="shared" si="2"/>
        <v>30.0%</v>
      </c>
      <c r="G1618" s="54" t="str">
        <f t="shared" si="3"/>
        <v>₹365,154.95</v>
      </c>
      <c r="H1618" s="54" t="str">
        <f t="shared" si="4"/>
        <v>₹30,429.58</v>
      </c>
      <c r="I1618" s="54" t="str">
        <f>88787.09-H1618</f>
        <v>₹58,357.51</v>
      </c>
    </row>
    <row r="1619" ht="15.75" customHeight="1">
      <c r="A1619" s="50" t="s">
        <v>1689</v>
      </c>
      <c r="B1619" s="50" t="s">
        <v>36</v>
      </c>
      <c r="C1619" s="50" t="s">
        <v>37</v>
      </c>
      <c r="D1619" s="51">
        <v>101455.11</v>
      </c>
      <c r="E1619" s="51" t="str">
        <f t="shared" si="1"/>
        <v>₹1,217,461.32</v>
      </c>
      <c r="F1619" s="52" t="str">
        <f t="shared" si="2"/>
        <v>30.0%</v>
      </c>
      <c r="G1619" s="51" t="str">
        <f t="shared" si="3"/>
        <v>₹365,238.40</v>
      </c>
      <c r="H1619" s="51" t="str">
        <f t="shared" si="4"/>
        <v>₹30,436.53</v>
      </c>
      <c r="I1619" s="51" t="str">
        <f>88806.87-H1619</f>
        <v>₹58,370.34</v>
      </c>
    </row>
    <row r="1620" ht="15.75" customHeight="1">
      <c r="A1620" s="53" t="s">
        <v>1690</v>
      </c>
      <c r="B1620" s="53" t="s">
        <v>17</v>
      </c>
      <c r="C1620" s="53" t="s">
        <v>26</v>
      </c>
      <c r="D1620" s="54">
        <v>101478.29</v>
      </c>
      <c r="E1620" s="54" t="str">
        <f t="shared" si="1"/>
        <v>₹1,217,739.48</v>
      </c>
      <c r="F1620" s="55" t="str">
        <f t="shared" si="2"/>
        <v>30.0%</v>
      </c>
      <c r="G1620" s="54" t="str">
        <f t="shared" si="3"/>
        <v>₹365,321.84</v>
      </c>
      <c r="H1620" s="54" t="str">
        <f t="shared" si="4"/>
        <v>₹30,443.49</v>
      </c>
      <c r="I1620" s="54" t="str">
        <f>88826.65-H1620</f>
        <v>₹58,383.16</v>
      </c>
    </row>
    <row r="1621" ht="15.75" customHeight="1">
      <c r="A1621" s="50" t="s">
        <v>1691</v>
      </c>
      <c r="B1621" s="50" t="s">
        <v>13</v>
      </c>
      <c r="C1621" s="50" t="s">
        <v>14</v>
      </c>
      <c r="D1621" s="51">
        <v>101501.47</v>
      </c>
      <c r="E1621" s="51" t="str">
        <f t="shared" si="1"/>
        <v>₹1,218,017.64</v>
      </c>
      <c r="F1621" s="52" t="str">
        <f t="shared" si="2"/>
        <v>30.0%</v>
      </c>
      <c r="G1621" s="51" t="str">
        <f t="shared" si="3"/>
        <v>₹365,405.29</v>
      </c>
      <c r="H1621" s="51" t="str">
        <f t="shared" si="4"/>
        <v>₹30,450.44</v>
      </c>
      <c r="I1621" s="51" t="str">
        <f>87174.09-H1621</f>
        <v>₹56,723.65</v>
      </c>
    </row>
    <row r="1622" ht="15.75" customHeight="1">
      <c r="A1622" s="53" t="s">
        <v>1692</v>
      </c>
      <c r="B1622" s="53" t="s">
        <v>13</v>
      </c>
      <c r="C1622" s="53" t="s">
        <v>37</v>
      </c>
      <c r="D1622" s="54">
        <v>101524.64</v>
      </c>
      <c r="E1622" s="54" t="str">
        <f t="shared" si="1"/>
        <v>₹1,218,295.68</v>
      </c>
      <c r="F1622" s="55" t="str">
        <f t="shared" si="2"/>
        <v>30.0%</v>
      </c>
      <c r="G1622" s="54" t="str">
        <f t="shared" si="3"/>
        <v>₹365,488.70</v>
      </c>
      <c r="H1622" s="54" t="str">
        <f t="shared" si="4"/>
        <v>₹30,457.39</v>
      </c>
      <c r="I1622" s="54" t="str">
        <f>88866.21-H1622</f>
        <v>₹58,408.82</v>
      </c>
    </row>
    <row r="1623" ht="15.75" customHeight="1">
      <c r="A1623" s="50" t="s">
        <v>1693</v>
      </c>
      <c r="B1623" s="50" t="s">
        <v>51</v>
      </c>
      <c r="C1623" s="50" t="s">
        <v>37</v>
      </c>
      <c r="D1623" s="51">
        <v>101571.0</v>
      </c>
      <c r="E1623" s="51" t="str">
        <f t="shared" si="1"/>
        <v>₹1,218,852.00</v>
      </c>
      <c r="F1623" s="52" t="str">
        <f t="shared" si="2"/>
        <v>30.0%</v>
      </c>
      <c r="G1623" s="51" t="str">
        <f t="shared" si="3"/>
        <v>₹365,655.60</v>
      </c>
      <c r="H1623" s="51" t="str">
        <f t="shared" si="4"/>
        <v>₹30,471.30</v>
      </c>
      <c r="I1623" s="51" t="str">
        <f>88905.77-H1623</f>
        <v>₹58,434.47</v>
      </c>
    </row>
    <row r="1624" ht="15.75" customHeight="1">
      <c r="A1624" s="53" t="s">
        <v>1694</v>
      </c>
      <c r="B1624" s="53" t="s">
        <v>36</v>
      </c>
      <c r="C1624" s="53" t="s">
        <v>33</v>
      </c>
      <c r="D1624" s="54">
        <v>101594.18</v>
      </c>
      <c r="E1624" s="54" t="str">
        <f t="shared" si="1"/>
        <v>₹1,219,130.16</v>
      </c>
      <c r="F1624" s="55" t="str">
        <f t="shared" si="2"/>
        <v>30.0%</v>
      </c>
      <c r="G1624" s="54" t="str">
        <f t="shared" si="3"/>
        <v>₹365,739.05</v>
      </c>
      <c r="H1624" s="54" t="str">
        <f t="shared" si="4"/>
        <v>₹30,478.25</v>
      </c>
      <c r="I1624" s="54" t="str">
        <f>88925.55-H1624</f>
        <v>₹58,447.30</v>
      </c>
    </row>
    <row r="1625" ht="15.75" customHeight="1">
      <c r="A1625" s="50" t="s">
        <v>1695</v>
      </c>
      <c r="B1625" s="50" t="s">
        <v>51</v>
      </c>
      <c r="C1625" s="50" t="s">
        <v>33</v>
      </c>
      <c r="D1625" s="51">
        <v>101617.35</v>
      </c>
      <c r="E1625" s="51" t="str">
        <f t="shared" si="1"/>
        <v>₹1,219,408.20</v>
      </c>
      <c r="F1625" s="52" t="str">
        <f t="shared" si="2"/>
        <v>30.0%</v>
      </c>
      <c r="G1625" s="51" t="str">
        <f t="shared" si="3"/>
        <v>₹365,822.46</v>
      </c>
      <c r="H1625" s="51" t="str">
        <f t="shared" si="4"/>
        <v>₹30,485.21</v>
      </c>
      <c r="I1625" s="51" t="str">
        <f>88945.33-H1625</f>
        <v>₹58,460.13</v>
      </c>
    </row>
    <row r="1626" ht="15.75" customHeight="1">
      <c r="A1626" s="53" t="s">
        <v>1696</v>
      </c>
      <c r="B1626" s="53" t="s">
        <v>13</v>
      </c>
      <c r="C1626" s="53" t="s">
        <v>54</v>
      </c>
      <c r="D1626" s="54">
        <v>101686.89</v>
      </c>
      <c r="E1626" s="54" t="str">
        <f t="shared" si="1"/>
        <v>₹1,220,242.68</v>
      </c>
      <c r="F1626" s="55" t="str">
        <f t="shared" si="2"/>
        <v>30.0%</v>
      </c>
      <c r="G1626" s="54" t="str">
        <f t="shared" si="3"/>
        <v>₹366,072.80</v>
      </c>
      <c r="H1626" s="54" t="str">
        <f t="shared" si="4"/>
        <v>₹30,506.07</v>
      </c>
      <c r="I1626" s="54" t="str">
        <f>89004.67-H1626</f>
        <v>₹58,498.60</v>
      </c>
    </row>
    <row r="1627" ht="15.75" customHeight="1">
      <c r="A1627" s="50" t="s">
        <v>1697</v>
      </c>
      <c r="B1627" s="50" t="s">
        <v>17</v>
      </c>
      <c r="C1627" s="50" t="s">
        <v>26</v>
      </c>
      <c r="D1627" s="51">
        <v>101710.07</v>
      </c>
      <c r="E1627" s="51" t="str">
        <f t="shared" si="1"/>
        <v>₹1,220,520.84</v>
      </c>
      <c r="F1627" s="52" t="str">
        <f t="shared" si="2"/>
        <v>30.0%</v>
      </c>
      <c r="G1627" s="51" t="str">
        <f t="shared" si="3"/>
        <v>₹366,156.25</v>
      </c>
      <c r="H1627" s="51" t="str">
        <f t="shared" si="4"/>
        <v>₹30,513.02</v>
      </c>
      <c r="I1627" s="51" t="str">
        <f>89024.45-H1627</f>
        <v>₹58,511.43</v>
      </c>
    </row>
    <row r="1628" ht="15.75" customHeight="1">
      <c r="A1628" s="53" t="s">
        <v>1698</v>
      </c>
      <c r="B1628" s="53" t="s">
        <v>51</v>
      </c>
      <c r="C1628" s="53" t="s">
        <v>37</v>
      </c>
      <c r="D1628" s="54">
        <v>101733.24</v>
      </c>
      <c r="E1628" s="54" t="str">
        <f t="shared" si="1"/>
        <v>₹1,220,798.88</v>
      </c>
      <c r="F1628" s="55" t="str">
        <f t="shared" si="2"/>
        <v>30.0%</v>
      </c>
      <c r="G1628" s="54" t="str">
        <f t="shared" si="3"/>
        <v>₹366,239.66</v>
      </c>
      <c r="H1628" s="54" t="str">
        <f t="shared" si="4"/>
        <v>₹30,519.97</v>
      </c>
      <c r="I1628" s="54" t="str">
        <f>89044.23-H1628</f>
        <v>₹58,524.26</v>
      </c>
    </row>
    <row r="1629" ht="15.75" customHeight="1">
      <c r="A1629" s="50" t="s">
        <v>1699</v>
      </c>
      <c r="B1629" s="50" t="s">
        <v>51</v>
      </c>
      <c r="C1629" s="50" t="s">
        <v>26</v>
      </c>
      <c r="D1629" s="51">
        <v>101756.42</v>
      </c>
      <c r="E1629" s="51" t="str">
        <f t="shared" si="1"/>
        <v>₹1,221,077.04</v>
      </c>
      <c r="F1629" s="52" t="str">
        <f t="shared" si="2"/>
        <v>30.0%</v>
      </c>
      <c r="G1629" s="51" t="str">
        <f t="shared" si="3"/>
        <v>₹366,323.11</v>
      </c>
      <c r="H1629" s="51" t="str">
        <f t="shared" si="4"/>
        <v>₹30,526.93</v>
      </c>
      <c r="I1629" s="51" t="str">
        <f>89064.01-H1629</f>
        <v>₹58,537.08</v>
      </c>
    </row>
    <row r="1630" ht="15.75" customHeight="1">
      <c r="A1630" s="53" t="s">
        <v>1700</v>
      </c>
      <c r="B1630" s="53" t="s">
        <v>36</v>
      </c>
      <c r="C1630" s="53" t="s">
        <v>14</v>
      </c>
      <c r="D1630" s="54">
        <v>101779.6</v>
      </c>
      <c r="E1630" s="54" t="str">
        <f t="shared" si="1"/>
        <v>₹1,221,355.20</v>
      </c>
      <c r="F1630" s="55" t="str">
        <f t="shared" si="2"/>
        <v>30.0%</v>
      </c>
      <c r="G1630" s="54" t="str">
        <f t="shared" si="3"/>
        <v>₹366,406.56</v>
      </c>
      <c r="H1630" s="54" t="str">
        <f t="shared" si="4"/>
        <v>₹30,533.88</v>
      </c>
      <c r="I1630" s="54" t="str">
        <f>89083.79-H1630</f>
        <v>₹58,549.91</v>
      </c>
    </row>
    <row r="1631" ht="15.75" customHeight="1">
      <c r="A1631" s="50" t="s">
        <v>1701</v>
      </c>
      <c r="B1631" s="50" t="s">
        <v>36</v>
      </c>
      <c r="C1631" s="50" t="s">
        <v>14</v>
      </c>
      <c r="D1631" s="51">
        <v>101802.78</v>
      </c>
      <c r="E1631" s="51" t="str">
        <f t="shared" si="1"/>
        <v>₹1,221,633.36</v>
      </c>
      <c r="F1631" s="52" t="str">
        <f t="shared" si="2"/>
        <v>30.0%</v>
      </c>
      <c r="G1631" s="51" t="str">
        <f t="shared" si="3"/>
        <v>₹366,490.01</v>
      </c>
      <c r="H1631" s="51" t="str">
        <f t="shared" si="4"/>
        <v>₹30,540.83</v>
      </c>
      <c r="I1631" s="51" t="str">
        <f>89103.57-H1631</f>
        <v>₹58,562.74</v>
      </c>
    </row>
    <row r="1632" ht="15.75" customHeight="1">
      <c r="A1632" s="53" t="s">
        <v>1702</v>
      </c>
      <c r="B1632" s="53" t="s">
        <v>53</v>
      </c>
      <c r="C1632" s="53" t="s">
        <v>14</v>
      </c>
      <c r="D1632" s="54">
        <v>101825.95</v>
      </c>
      <c r="E1632" s="54" t="str">
        <f t="shared" si="1"/>
        <v>₹1,221,911.40</v>
      </c>
      <c r="F1632" s="55" t="str">
        <f t="shared" si="2"/>
        <v>30.0%</v>
      </c>
      <c r="G1632" s="54" t="str">
        <f t="shared" si="3"/>
        <v>₹366,573.42</v>
      </c>
      <c r="H1632" s="54" t="str">
        <f t="shared" si="4"/>
        <v>₹30,547.79</v>
      </c>
      <c r="I1632" s="54" t="str">
        <f>89123.35-H1632</f>
        <v>₹58,575.57</v>
      </c>
    </row>
    <row r="1633" ht="15.75" customHeight="1">
      <c r="A1633" s="50" t="s">
        <v>1703</v>
      </c>
      <c r="B1633" s="50" t="s">
        <v>36</v>
      </c>
      <c r="C1633" s="50" t="s">
        <v>14</v>
      </c>
      <c r="D1633" s="51">
        <v>101849.13</v>
      </c>
      <c r="E1633" s="51" t="str">
        <f t="shared" si="1"/>
        <v>₹1,222,189.56</v>
      </c>
      <c r="F1633" s="52" t="str">
        <f t="shared" si="2"/>
        <v>30.0%</v>
      </c>
      <c r="G1633" s="51" t="str">
        <f t="shared" si="3"/>
        <v>₹366,656.87</v>
      </c>
      <c r="H1633" s="51" t="str">
        <f t="shared" si="4"/>
        <v>₹30,554.74</v>
      </c>
      <c r="I1633" s="51" t="str">
        <f>89143.13-H1633</f>
        <v>₹58,588.39</v>
      </c>
    </row>
    <row r="1634" ht="15.75" customHeight="1">
      <c r="A1634" s="53" t="s">
        <v>1704</v>
      </c>
      <c r="B1634" s="53" t="s">
        <v>29</v>
      </c>
      <c r="C1634" s="53" t="s">
        <v>37</v>
      </c>
      <c r="D1634" s="54">
        <v>101872.31</v>
      </c>
      <c r="E1634" s="54" t="str">
        <f t="shared" si="1"/>
        <v>₹1,222,467.72</v>
      </c>
      <c r="F1634" s="55" t="str">
        <f t="shared" si="2"/>
        <v>30.0%</v>
      </c>
      <c r="G1634" s="54" t="str">
        <f t="shared" si="3"/>
        <v>₹366,740.32</v>
      </c>
      <c r="H1634" s="54" t="str">
        <f t="shared" si="4"/>
        <v>₹30,561.69</v>
      </c>
      <c r="I1634" s="54" t="str">
        <f>89162.91-H1634</f>
        <v>₹58,601.22</v>
      </c>
    </row>
    <row r="1635" ht="15.75" customHeight="1">
      <c r="A1635" s="50" t="s">
        <v>1705</v>
      </c>
      <c r="B1635" s="50" t="s">
        <v>25</v>
      </c>
      <c r="C1635" s="50" t="s">
        <v>54</v>
      </c>
      <c r="D1635" s="51">
        <v>101895.49</v>
      </c>
      <c r="E1635" s="51" t="str">
        <f t="shared" si="1"/>
        <v>₹1,222,745.88</v>
      </c>
      <c r="F1635" s="52" t="str">
        <f t="shared" si="2"/>
        <v>30.0%</v>
      </c>
      <c r="G1635" s="51" t="str">
        <f t="shared" si="3"/>
        <v>₹366,823.76</v>
      </c>
      <c r="H1635" s="51" t="str">
        <f t="shared" si="4"/>
        <v>₹30,568.65</v>
      </c>
      <c r="I1635" s="51" t="str">
        <f>89182.69-H1635</f>
        <v>₹58,614.04</v>
      </c>
    </row>
    <row r="1636" ht="15.75" customHeight="1">
      <c r="A1636" s="53" t="s">
        <v>1706</v>
      </c>
      <c r="B1636" s="53" t="s">
        <v>53</v>
      </c>
      <c r="C1636" s="53" t="s">
        <v>37</v>
      </c>
      <c r="D1636" s="54">
        <v>101918.66</v>
      </c>
      <c r="E1636" s="54" t="str">
        <f t="shared" si="1"/>
        <v>₹1,223,023.92</v>
      </c>
      <c r="F1636" s="55" t="str">
        <f t="shared" si="2"/>
        <v>30.0%</v>
      </c>
      <c r="G1636" s="54" t="str">
        <f t="shared" si="3"/>
        <v>₹366,907.18</v>
      </c>
      <c r="H1636" s="54" t="str">
        <f t="shared" si="4"/>
        <v>₹30,575.60</v>
      </c>
      <c r="I1636" s="54" t="str">
        <f>89202.47-H1636</f>
        <v>₹58,626.87</v>
      </c>
    </row>
    <row r="1637" ht="15.75" customHeight="1">
      <c r="A1637" s="50" t="s">
        <v>1707</v>
      </c>
      <c r="B1637" s="50" t="s">
        <v>17</v>
      </c>
      <c r="C1637" s="50" t="s">
        <v>30</v>
      </c>
      <c r="D1637" s="51">
        <v>101941.84</v>
      </c>
      <c r="E1637" s="51" t="str">
        <f t="shared" si="1"/>
        <v>₹1,223,302.08</v>
      </c>
      <c r="F1637" s="52" t="str">
        <f t="shared" si="2"/>
        <v>30.0%</v>
      </c>
      <c r="G1637" s="51" t="str">
        <f t="shared" si="3"/>
        <v>₹366,990.62</v>
      </c>
      <c r="H1637" s="51" t="str">
        <f t="shared" si="4"/>
        <v>₹30,582.55</v>
      </c>
      <c r="I1637" s="51" t="str">
        <f>89222.25-H1637</f>
        <v>₹58,639.70</v>
      </c>
    </row>
    <row r="1638" ht="15.75" customHeight="1">
      <c r="A1638" s="53" t="s">
        <v>1708</v>
      </c>
      <c r="B1638" s="53" t="s">
        <v>51</v>
      </c>
      <c r="C1638" s="53" t="s">
        <v>37</v>
      </c>
      <c r="D1638" s="54">
        <v>101965.02</v>
      </c>
      <c r="E1638" s="54" t="str">
        <f t="shared" si="1"/>
        <v>₹1,223,580.24</v>
      </c>
      <c r="F1638" s="55" t="str">
        <f t="shared" si="2"/>
        <v>30.0%</v>
      </c>
      <c r="G1638" s="54" t="str">
        <f t="shared" si="3"/>
        <v>₹367,074.07</v>
      </c>
      <c r="H1638" s="54" t="str">
        <f t="shared" si="4"/>
        <v>₹30,589.51</v>
      </c>
      <c r="I1638" s="54" t="str">
        <f>89242.03-H1638</f>
        <v>₹58,652.52</v>
      </c>
    </row>
    <row r="1639" ht="15.75" customHeight="1">
      <c r="A1639" s="50" t="s">
        <v>1709</v>
      </c>
      <c r="B1639" s="50" t="s">
        <v>13</v>
      </c>
      <c r="C1639" s="50" t="s">
        <v>30</v>
      </c>
      <c r="D1639" s="51">
        <v>101988.2</v>
      </c>
      <c r="E1639" s="51" t="str">
        <f t="shared" si="1"/>
        <v>₹1,223,858.40</v>
      </c>
      <c r="F1639" s="52" t="str">
        <f t="shared" si="2"/>
        <v>30.0%</v>
      </c>
      <c r="G1639" s="51" t="str">
        <f t="shared" si="3"/>
        <v>₹367,157.52</v>
      </c>
      <c r="H1639" s="51" t="str">
        <f t="shared" si="4"/>
        <v>₹30,596.46</v>
      </c>
      <c r="I1639" s="51" t="str">
        <f>89261.81-H1639</f>
        <v>₹58,665.35</v>
      </c>
    </row>
    <row r="1640" ht="15.75" customHeight="1">
      <c r="A1640" s="53" t="s">
        <v>1710</v>
      </c>
      <c r="B1640" s="53" t="s">
        <v>25</v>
      </c>
      <c r="C1640" s="53" t="s">
        <v>54</v>
      </c>
      <c r="D1640" s="54">
        <v>102011.38</v>
      </c>
      <c r="E1640" s="54" t="str">
        <f t="shared" si="1"/>
        <v>₹1,224,136.56</v>
      </c>
      <c r="F1640" s="55" t="str">
        <f t="shared" si="2"/>
        <v>30.0%</v>
      </c>
      <c r="G1640" s="54" t="str">
        <f t="shared" si="3"/>
        <v>₹367,240.97</v>
      </c>
      <c r="H1640" s="54" t="str">
        <f t="shared" si="4"/>
        <v>₹30,603.41</v>
      </c>
      <c r="I1640" s="54" t="str">
        <f>89281.6-H1640</f>
        <v>₹58,678.19</v>
      </c>
    </row>
    <row r="1641" ht="15.75" customHeight="1">
      <c r="A1641" s="50" t="s">
        <v>1711</v>
      </c>
      <c r="B1641" s="50" t="s">
        <v>51</v>
      </c>
      <c r="C1641" s="50" t="s">
        <v>30</v>
      </c>
      <c r="D1641" s="51">
        <v>102034.55</v>
      </c>
      <c r="E1641" s="51" t="str">
        <f t="shared" si="1"/>
        <v>₹1,224,414.60</v>
      </c>
      <c r="F1641" s="52" t="str">
        <f t="shared" si="2"/>
        <v>30.0%</v>
      </c>
      <c r="G1641" s="51" t="str">
        <f t="shared" si="3"/>
        <v>₹367,324.38</v>
      </c>
      <c r="H1641" s="51" t="str">
        <f t="shared" si="4"/>
        <v>₹30,610.37</v>
      </c>
      <c r="I1641" s="51" t="str">
        <f>89301.37-H1641</f>
        <v>₹58,691.01</v>
      </c>
    </row>
    <row r="1642" ht="15.75" customHeight="1">
      <c r="A1642" s="53" t="s">
        <v>1712</v>
      </c>
      <c r="B1642" s="53" t="s">
        <v>36</v>
      </c>
      <c r="C1642" s="53" t="s">
        <v>18</v>
      </c>
      <c r="D1642" s="54">
        <v>102057.73</v>
      </c>
      <c r="E1642" s="54" t="str">
        <f t="shared" si="1"/>
        <v>₹1,224,692.76</v>
      </c>
      <c r="F1642" s="55" t="str">
        <f t="shared" si="2"/>
        <v>30.0%</v>
      </c>
      <c r="G1642" s="54" t="str">
        <f t="shared" si="3"/>
        <v>₹367,407.83</v>
      </c>
      <c r="H1642" s="54" t="str">
        <f t="shared" si="4"/>
        <v>₹30,617.32</v>
      </c>
      <c r="I1642" s="54" t="str">
        <f>89321.15-H1642</f>
        <v>₹58,703.83</v>
      </c>
    </row>
    <row r="1643" ht="15.75" customHeight="1">
      <c r="A1643" s="50" t="s">
        <v>1713</v>
      </c>
      <c r="B1643" s="50" t="s">
        <v>17</v>
      </c>
      <c r="C1643" s="50" t="s">
        <v>37</v>
      </c>
      <c r="D1643" s="51">
        <v>102080.91</v>
      </c>
      <c r="E1643" s="51" t="str">
        <f t="shared" si="1"/>
        <v>₹1,224,970.92</v>
      </c>
      <c r="F1643" s="52" t="str">
        <f t="shared" si="2"/>
        <v>30.0%</v>
      </c>
      <c r="G1643" s="51" t="str">
        <f t="shared" si="3"/>
        <v>₹367,491.28</v>
      </c>
      <c r="H1643" s="51" t="str">
        <f t="shared" si="4"/>
        <v>₹30,624.27</v>
      </c>
      <c r="I1643" s="51" t="str">
        <f>89340.93-H1643</f>
        <v>₹58,716.66</v>
      </c>
    </row>
    <row r="1644" ht="15.75" customHeight="1">
      <c r="A1644" s="53" t="s">
        <v>1714</v>
      </c>
      <c r="B1644" s="53" t="s">
        <v>51</v>
      </c>
      <c r="C1644" s="53" t="s">
        <v>37</v>
      </c>
      <c r="D1644" s="54">
        <v>102104.09</v>
      </c>
      <c r="E1644" s="54" t="str">
        <f t="shared" si="1"/>
        <v>₹1,225,249.08</v>
      </c>
      <c r="F1644" s="55" t="str">
        <f t="shared" si="2"/>
        <v>30.0%</v>
      </c>
      <c r="G1644" s="54" t="str">
        <f t="shared" si="3"/>
        <v>₹367,574.72</v>
      </c>
      <c r="H1644" s="54" t="str">
        <f t="shared" si="4"/>
        <v>₹30,631.23</v>
      </c>
      <c r="I1644" s="54" t="str">
        <f>89360.72-H1644</f>
        <v>₹58,729.49</v>
      </c>
    </row>
    <row r="1645" ht="15.75" customHeight="1">
      <c r="A1645" s="50" t="s">
        <v>1715</v>
      </c>
      <c r="B1645" s="50" t="s">
        <v>53</v>
      </c>
      <c r="C1645" s="50" t="s">
        <v>37</v>
      </c>
      <c r="D1645" s="51">
        <v>102127.26</v>
      </c>
      <c r="E1645" s="51" t="str">
        <f t="shared" si="1"/>
        <v>₹1,225,527.12</v>
      </c>
      <c r="F1645" s="52" t="str">
        <f t="shared" si="2"/>
        <v>30.0%</v>
      </c>
      <c r="G1645" s="51" t="str">
        <f t="shared" si="3"/>
        <v>₹367,658.14</v>
      </c>
      <c r="H1645" s="51" t="str">
        <f t="shared" si="4"/>
        <v>₹30,638.18</v>
      </c>
      <c r="I1645" s="51" t="str">
        <f>89380.49-H1645</f>
        <v>₹58,742.31</v>
      </c>
    </row>
    <row r="1646" ht="15.75" customHeight="1">
      <c r="A1646" s="53" t="s">
        <v>1716</v>
      </c>
      <c r="B1646" s="53" t="s">
        <v>53</v>
      </c>
      <c r="C1646" s="53" t="s">
        <v>26</v>
      </c>
      <c r="D1646" s="54">
        <v>102150.44</v>
      </c>
      <c r="E1646" s="54" t="str">
        <f t="shared" si="1"/>
        <v>₹1,225,805.28</v>
      </c>
      <c r="F1646" s="55" t="str">
        <f t="shared" si="2"/>
        <v>30.0%</v>
      </c>
      <c r="G1646" s="54" t="str">
        <f t="shared" si="3"/>
        <v>₹367,741.58</v>
      </c>
      <c r="H1646" s="54" t="str">
        <f t="shared" si="4"/>
        <v>₹30,645.13</v>
      </c>
      <c r="I1646" s="54" t="str">
        <f>89400.27-H1646</f>
        <v>₹58,755.14</v>
      </c>
    </row>
    <row r="1647" ht="15.75" customHeight="1">
      <c r="A1647" s="50" t="s">
        <v>1717</v>
      </c>
      <c r="B1647" s="50" t="s">
        <v>36</v>
      </c>
      <c r="C1647" s="50" t="s">
        <v>14</v>
      </c>
      <c r="D1647" s="51">
        <v>102173.62</v>
      </c>
      <c r="E1647" s="51" t="str">
        <f t="shared" si="1"/>
        <v>₹1,226,083.44</v>
      </c>
      <c r="F1647" s="52" t="str">
        <f t="shared" si="2"/>
        <v>30.0%</v>
      </c>
      <c r="G1647" s="51" t="str">
        <f t="shared" si="3"/>
        <v>₹367,825.03</v>
      </c>
      <c r="H1647" s="51" t="str">
        <f t="shared" si="4"/>
        <v>₹30,652.09</v>
      </c>
      <c r="I1647" s="51" t="str">
        <f>89420.05-H1647</f>
        <v>₹58,767.96</v>
      </c>
    </row>
    <row r="1648" ht="15.75" customHeight="1">
      <c r="A1648" s="53" t="s">
        <v>1718</v>
      </c>
      <c r="B1648" s="53" t="s">
        <v>36</v>
      </c>
      <c r="C1648" s="53" t="s">
        <v>33</v>
      </c>
      <c r="D1648" s="54">
        <v>106100.02</v>
      </c>
      <c r="E1648" s="54" t="str">
        <f t="shared" si="1"/>
        <v>₹1,273,200.24</v>
      </c>
      <c r="F1648" s="55" t="str">
        <f t="shared" si="2"/>
        <v>30.0%</v>
      </c>
      <c r="G1648" s="54" t="str">
        <f t="shared" si="3"/>
        <v>₹381,960.07</v>
      </c>
      <c r="H1648" s="54" t="str">
        <f t="shared" si="4"/>
        <v>₹31,830.01</v>
      </c>
      <c r="I1648" s="54" t="str">
        <f>93343.06-H1648</f>
        <v>₹61,513.05</v>
      </c>
    </row>
    <row r="1649" ht="15.75" customHeight="1">
      <c r="A1649" s="50" t="s">
        <v>1719</v>
      </c>
      <c r="B1649" s="50" t="s">
        <v>25</v>
      </c>
      <c r="C1649" s="50" t="s">
        <v>26</v>
      </c>
      <c r="D1649" s="51">
        <v>102219.97</v>
      </c>
      <c r="E1649" s="51" t="str">
        <f t="shared" si="1"/>
        <v>₹1,226,639.64</v>
      </c>
      <c r="F1649" s="52" t="str">
        <f t="shared" si="2"/>
        <v>30.0%</v>
      </c>
      <c r="G1649" s="51" t="str">
        <f t="shared" si="3"/>
        <v>₹367,991.89</v>
      </c>
      <c r="H1649" s="51" t="str">
        <f t="shared" si="4"/>
        <v>₹30,665.99</v>
      </c>
      <c r="I1649" s="51" t="str">
        <f>89459.61-H1649</f>
        <v>₹58,793.62</v>
      </c>
    </row>
    <row r="1650" ht="15.75" customHeight="1">
      <c r="A1650" s="53" t="s">
        <v>1720</v>
      </c>
      <c r="B1650" s="53" t="s">
        <v>25</v>
      </c>
      <c r="C1650" s="53" t="s">
        <v>18</v>
      </c>
      <c r="D1650" s="54">
        <v>102243.15</v>
      </c>
      <c r="E1650" s="54" t="str">
        <f t="shared" si="1"/>
        <v>₹1,226,917.80</v>
      </c>
      <c r="F1650" s="55" t="str">
        <f t="shared" si="2"/>
        <v>30.0%</v>
      </c>
      <c r="G1650" s="54" t="str">
        <f t="shared" si="3"/>
        <v>₹368,075.34</v>
      </c>
      <c r="H1650" s="54" t="str">
        <f t="shared" si="4"/>
        <v>₹30,672.95</v>
      </c>
      <c r="I1650" s="54" t="str">
        <f>89479.39-H1650</f>
        <v>₹58,806.45</v>
      </c>
    </row>
    <row r="1651" ht="15.75" customHeight="1">
      <c r="A1651" s="50" t="s">
        <v>1721</v>
      </c>
      <c r="B1651" s="50" t="s">
        <v>25</v>
      </c>
      <c r="C1651" s="50" t="s">
        <v>30</v>
      </c>
      <c r="D1651" s="51">
        <v>102266.33</v>
      </c>
      <c r="E1651" s="51" t="str">
        <f t="shared" si="1"/>
        <v>₹1,227,195.96</v>
      </c>
      <c r="F1651" s="52" t="str">
        <f t="shared" si="2"/>
        <v>30.0%</v>
      </c>
      <c r="G1651" s="51" t="str">
        <f t="shared" si="3"/>
        <v>₹368,158.79</v>
      </c>
      <c r="H1651" s="51" t="str">
        <f t="shared" si="4"/>
        <v>₹30,679.90</v>
      </c>
      <c r="I1651" s="51" t="str">
        <f>89499.17-H1651</f>
        <v>₹58,819.27</v>
      </c>
    </row>
    <row r="1652" ht="15.75" customHeight="1">
      <c r="A1652" s="53" t="s">
        <v>1722</v>
      </c>
      <c r="B1652" s="53" t="s">
        <v>53</v>
      </c>
      <c r="C1652" s="53" t="s">
        <v>30</v>
      </c>
      <c r="D1652" s="54">
        <v>102289.51</v>
      </c>
      <c r="E1652" s="54" t="str">
        <f t="shared" si="1"/>
        <v>₹1,227,474.12</v>
      </c>
      <c r="F1652" s="55" t="str">
        <f t="shared" si="2"/>
        <v>30.0%</v>
      </c>
      <c r="G1652" s="54" t="str">
        <f t="shared" si="3"/>
        <v>₹368,242.24</v>
      </c>
      <c r="H1652" s="54" t="str">
        <f t="shared" si="4"/>
        <v>₹30,686.85</v>
      </c>
      <c r="I1652" s="54" t="str">
        <f>89518.96-H1652</f>
        <v>₹58,832.11</v>
      </c>
    </row>
    <row r="1653" ht="15.75" customHeight="1">
      <c r="A1653" s="50" t="s">
        <v>1723</v>
      </c>
      <c r="B1653" s="50" t="s">
        <v>25</v>
      </c>
      <c r="C1653" s="50" t="s">
        <v>37</v>
      </c>
      <c r="D1653" s="51">
        <v>102312.69</v>
      </c>
      <c r="E1653" s="51" t="str">
        <f t="shared" si="1"/>
        <v>₹1,227,752.28</v>
      </c>
      <c r="F1653" s="52" t="str">
        <f t="shared" si="2"/>
        <v>30.0%</v>
      </c>
      <c r="G1653" s="51" t="str">
        <f t="shared" si="3"/>
        <v>₹368,325.68</v>
      </c>
      <c r="H1653" s="51" t="str">
        <f t="shared" si="4"/>
        <v>₹30,693.81</v>
      </c>
      <c r="I1653" s="51" t="str">
        <f>89538.74-H1653</f>
        <v>₹58,844.93</v>
      </c>
    </row>
    <row r="1654" ht="15.75" customHeight="1">
      <c r="A1654" s="53" t="s">
        <v>1724</v>
      </c>
      <c r="B1654" s="53" t="s">
        <v>17</v>
      </c>
      <c r="C1654" s="53" t="s">
        <v>33</v>
      </c>
      <c r="D1654" s="54">
        <v>107870.27</v>
      </c>
      <c r="E1654" s="54" t="str">
        <f t="shared" si="1"/>
        <v>₹1,294,443.24</v>
      </c>
      <c r="F1654" s="55" t="str">
        <f t="shared" si="2"/>
        <v>30.0%</v>
      </c>
      <c r="G1654" s="54" t="str">
        <f t="shared" si="3"/>
        <v>₹388,332.97</v>
      </c>
      <c r="H1654" s="54" t="str">
        <f t="shared" si="4"/>
        <v>₹32,361.08</v>
      </c>
      <c r="I1654" s="54" t="str">
        <f>95092.92-H1654</f>
        <v>₹62,731.84</v>
      </c>
    </row>
    <row r="1655" ht="15.75" customHeight="1">
      <c r="A1655" s="50" t="s">
        <v>1725</v>
      </c>
      <c r="B1655" s="50" t="s">
        <v>51</v>
      </c>
      <c r="C1655" s="50" t="s">
        <v>18</v>
      </c>
      <c r="D1655" s="51">
        <v>102359.04</v>
      </c>
      <c r="E1655" s="51" t="str">
        <f t="shared" si="1"/>
        <v>₹1,228,308.48</v>
      </c>
      <c r="F1655" s="52" t="str">
        <f t="shared" si="2"/>
        <v>30.0%</v>
      </c>
      <c r="G1655" s="51" t="str">
        <f t="shared" si="3"/>
        <v>₹368,492.54</v>
      </c>
      <c r="H1655" s="51" t="str">
        <f t="shared" si="4"/>
        <v>₹30,707.71</v>
      </c>
      <c r="I1655" s="51" t="str">
        <f>89578.29-H1655</f>
        <v>₹58,870.58</v>
      </c>
    </row>
    <row r="1656" ht="15.75" customHeight="1">
      <c r="A1656" s="53" t="s">
        <v>1726</v>
      </c>
      <c r="B1656" s="53" t="s">
        <v>36</v>
      </c>
      <c r="C1656" s="53" t="s">
        <v>30</v>
      </c>
      <c r="D1656" s="54">
        <v>102382.22</v>
      </c>
      <c r="E1656" s="54" t="str">
        <f t="shared" si="1"/>
        <v>₹1,228,586.64</v>
      </c>
      <c r="F1656" s="55" t="str">
        <f t="shared" si="2"/>
        <v>30.0%</v>
      </c>
      <c r="G1656" s="54" t="str">
        <f t="shared" si="3"/>
        <v>₹368,575.99</v>
      </c>
      <c r="H1656" s="54" t="str">
        <f t="shared" si="4"/>
        <v>₹30,714.67</v>
      </c>
      <c r="I1656" s="54" t="str">
        <f>89598.08-H1656</f>
        <v>₹58,883.41</v>
      </c>
    </row>
    <row r="1657" ht="15.75" customHeight="1">
      <c r="A1657" s="50" t="s">
        <v>1727</v>
      </c>
      <c r="B1657" s="50" t="s">
        <v>17</v>
      </c>
      <c r="C1657" s="50" t="s">
        <v>18</v>
      </c>
      <c r="D1657" s="51">
        <v>102405.4</v>
      </c>
      <c r="E1657" s="51" t="str">
        <f t="shared" si="1"/>
        <v>₹1,228,864.80</v>
      </c>
      <c r="F1657" s="52" t="str">
        <f t="shared" si="2"/>
        <v>30.0%</v>
      </c>
      <c r="G1657" s="51" t="str">
        <f t="shared" si="3"/>
        <v>₹368,659.44</v>
      </c>
      <c r="H1657" s="51" t="str">
        <f t="shared" si="4"/>
        <v>₹30,721.62</v>
      </c>
      <c r="I1657" s="51" t="str">
        <f>89617.86-H1657</f>
        <v>₹58,896.24</v>
      </c>
    </row>
    <row r="1658" ht="15.75" customHeight="1">
      <c r="A1658" s="53" t="s">
        <v>1728</v>
      </c>
      <c r="B1658" s="53" t="s">
        <v>29</v>
      </c>
      <c r="C1658" s="53" t="s">
        <v>18</v>
      </c>
      <c r="D1658" s="54">
        <v>102428.57</v>
      </c>
      <c r="E1658" s="54" t="str">
        <f t="shared" si="1"/>
        <v>₹1,229,142.84</v>
      </c>
      <c r="F1658" s="55" t="str">
        <f t="shared" si="2"/>
        <v>30.0%</v>
      </c>
      <c r="G1658" s="54" t="str">
        <f t="shared" si="3"/>
        <v>₹368,742.85</v>
      </c>
      <c r="H1658" s="54" t="str">
        <f t="shared" si="4"/>
        <v>₹30,728.57</v>
      </c>
      <c r="I1658" s="54" t="str">
        <f>89637.63-H1658</f>
        <v>₹58,909.06</v>
      </c>
    </row>
    <row r="1659" ht="15.75" customHeight="1">
      <c r="A1659" s="50" t="s">
        <v>1729</v>
      </c>
      <c r="B1659" s="50" t="s">
        <v>53</v>
      </c>
      <c r="C1659" s="50" t="s">
        <v>14</v>
      </c>
      <c r="D1659" s="51">
        <v>102451.75</v>
      </c>
      <c r="E1659" s="51" t="str">
        <f t="shared" si="1"/>
        <v>₹1,229,421.00</v>
      </c>
      <c r="F1659" s="52" t="str">
        <f t="shared" si="2"/>
        <v>30.0%</v>
      </c>
      <c r="G1659" s="51" t="str">
        <f t="shared" si="3"/>
        <v>₹368,826.30</v>
      </c>
      <c r="H1659" s="51" t="str">
        <f t="shared" si="4"/>
        <v>₹30,735.53</v>
      </c>
      <c r="I1659" s="51" t="str">
        <f>89657.41-H1659</f>
        <v>₹58,921.89</v>
      </c>
    </row>
    <row r="1660" ht="15.75" customHeight="1">
      <c r="A1660" s="53" t="s">
        <v>1730</v>
      </c>
      <c r="B1660" s="53" t="s">
        <v>13</v>
      </c>
      <c r="C1660" s="53" t="s">
        <v>18</v>
      </c>
      <c r="D1660" s="54">
        <v>102474.93</v>
      </c>
      <c r="E1660" s="54" t="str">
        <f t="shared" si="1"/>
        <v>₹1,229,699.16</v>
      </c>
      <c r="F1660" s="55" t="str">
        <f t="shared" si="2"/>
        <v>30.0%</v>
      </c>
      <c r="G1660" s="54" t="str">
        <f t="shared" si="3"/>
        <v>₹368,909.75</v>
      </c>
      <c r="H1660" s="54" t="str">
        <f t="shared" si="4"/>
        <v>₹30,742.48</v>
      </c>
      <c r="I1660" s="54" t="str">
        <f>89677.2-H1660</f>
        <v>₹58,934.72</v>
      </c>
    </row>
    <row r="1661" ht="15.75" customHeight="1">
      <c r="A1661" s="50" t="s">
        <v>1731</v>
      </c>
      <c r="B1661" s="50" t="s">
        <v>51</v>
      </c>
      <c r="C1661" s="50" t="s">
        <v>54</v>
      </c>
      <c r="D1661" s="51">
        <v>102498.11</v>
      </c>
      <c r="E1661" s="51" t="str">
        <f t="shared" si="1"/>
        <v>₹1,229,977.32</v>
      </c>
      <c r="F1661" s="52" t="str">
        <f t="shared" si="2"/>
        <v>30.0%</v>
      </c>
      <c r="G1661" s="51" t="str">
        <f t="shared" si="3"/>
        <v>₹368,993.20</v>
      </c>
      <c r="H1661" s="51" t="str">
        <f t="shared" si="4"/>
        <v>₹30,749.43</v>
      </c>
      <c r="I1661" s="51" t="str">
        <f>89696.98-H1661</f>
        <v>₹58,947.55</v>
      </c>
    </row>
    <row r="1662" ht="15.75" customHeight="1">
      <c r="A1662" s="53" t="s">
        <v>1732</v>
      </c>
      <c r="B1662" s="53" t="s">
        <v>29</v>
      </c>
      <c r="C1662" s="53" t="s">
        <v>37</v>
      </c>
      <c r="D1662" s="54">
        <v>102521.28</v>
      </c>
      <c r="E1662" s="54" t="str">
        <f t="shared" si="1"/>
        <v>₹1,230,255.36</v>
      </c>
      <c r="F1662" s="55" t="str">
        <f t="shared" si="2"/>
        <v>30.0%</v>
      </c>
      <c r="G1662" s="54" t="str">
        <f t="shared" si="3"/>
        <v>₹369,076.61</v>
      </c>
      <c r="H1662" s="54" t="str">
        <f t="shared" si="4"/>
        <v>₹30,756.38</v>
      </c>
      <c r="I1662" s="54" t="str">
        <f>89716.75-H1662</f>
        <v>₹58,960.37</v>
      </c>
    </row>
    <row r="1663" ht="15.75" customHeight="1">
      <c r="A1663" s="50" t="s">
        <v>1733</v>
      </c>
      <c r="B1663" s="50" t="s">
        <v>13</v>
      </c>
      <c r="C1663" s="50" t="s">
        <v>26</v>
      </c>
      <c r="D1663" s="51">
        <v>102544.46</v>
      </c>
      <c r="E1663" s="51" t="str">
        <f t="shared" si="1"/>
        <v>₹1,230,533.52</v>
      </c>
      <c r="F1663" s="52" t="str">
        <f t="shared" si="2"/>
        <v>30.0%</v>
      </c>
      <c r="G1663" s="51" t="str">
        <f t="shared" si="3"/>
        <v>₹369,160.06</v>
      </c>
      <c r="H1663" s="51" t="str">
        <f t="shared" si="4"/>
        <v>₹30,763.34</v>
      </c>
      <c r="I1663" s="51" t="str">
        <f>89736.53-H1663</f>
        <v>₹58,973.19</v>
      </c>
    </row>
    <row r="1664" ht="15.75" customHeight="1">
      <c r="A1664" s="53" t="s">
        <v>1734</v>
      </c>
      <c r="B1664" s="53" t="s">
        <v>17</v>
      </c>
      <c r="C1664" s="53" t="s">
        <v>14</v>
      </c>
      <c r="D1664" s="54">
        <v>107993.22</v>
      </c>
      <c r="E1664" s="54" t="str">
        <f t="shared" si="1"/>
        <v>₹1,295,918.64</v>
      </c>
      <c r="F1664" s="55" t="str">
        <f t="shared" si="2"/>
        <v>30.0%</v>
      </c>
      <c r="G1664" s="54" t="str">
        <f t="shared" si="3"/>
        <v>₹388,775.59</v>
      </c>
      <c r="H1664" s="54" t="str">
        <f t="shared" si="4"/>
        <v>₹32,397.97</v>
      </c>
      <c r="I1664" s="54" t="str">
        <f>95181.9-H1664</f>
        <v>₹62,783.93</v>
      </c>
    </row>
    <row r="1665" ht="15.75" customHeight="1">
      <c r="A1665" s="50" t="s">
        <v>1735</v>
      </c>
      <c r="B1665" s="50" t="s">
        <v>51</v>
      </c>
      <c r="C1665" s="50" t="s">
        <v>18</v>
      </c>
      <c r="D1665" s="51">
        <v>102590.82</v>
      </c>
      <c r="E1665" s="51" t="str">
        <f t="shared" si="1"/>
        <v>₹1,231,089.84</v>
      </c>
      <c r="F1665" s="52" t="str">
        <f t="shared" si="2"/>
        <v>30.0%</v>
      </c>
      <c r="G1665" s="51" t="str">
        <f t="shared" si="3"/>
        <v>₹369,326.95</v>
      </c>
      <c r="H1665" s="51" t="str">
        <f t="shared" si="4"/>
        <v>₹30,777.25</v>
      </c>
      <c r="I1665" s="51" t="str">
        <f>89776.1-H1665</f>
        <v>₹58,998.85</v>
      </c>
    </row>
    <row r="1666" ht="15.75" customHeight="1">
      <c r="A1666" s="53" t="s">
        <v>1736</v>
      </c>
      <c r="B1666" s="53" t="s">
        <v>17</v>
      </c>
      <c r="C1666" s="53" t="s">
        <v>18</v>
      </c>
      <c r="D1666" s="54">
        <v>102614.0</v>
      </c>
      <c r="E1666" s="54" t="str">
        <f t="shared" si="1"/>
        <v>₹1,231,368.00</v>
      </c>
      <c r="F1666" s="55" t="str">
        <f t="shared" si="2"/>
        <v>30.0%</v>
      </c>
      <c r="G1666" s="54" t="str">
        <f t="shared" si="3"/>
        <v>₹369,410.40</v>
      </c>
      <c r="H1666" s="54" t="str">
        <f t="shared" si="4"/>
        <v>₹30,784.20</v>
      </c>
      <c r="I1666" s="54" t="str">
        <f>89795.88-H1666</f>
        <v>₹59,011.68</v>
      </c>
    </row>
    <row r="1667" ht="15.75" customHeight="1">
      <c r="A1667" s="50" t="s">
        <v>1737</v>
      </c>
      <c r="B1667" s="50" t="s">
        <v>51</v>
      </c>
      <c r="C1667" s="50" t="s">
        <v>14</v>
      </c>
      <c r="D1667" s="51">
        <v>102637.17</v>
      </c>
      <c r="E1667" s="51" t="str">
        <f t="shared" si="1"/>
        <v>₹1,231,646.04</v>
      </c>
      <c r="F1667" s="52" t="str">
        <f t="shared" si="2"/>
        <v>30.0%</v>
      </c>
      <c r="G1667" s="51" t="str">
        <f t="shared" si="3"/>
        <v>₹369,493.81</v>
      </c>
      <c r="H1667" s="51" t="str">
        <f t="shared" si="4"/>
        <v>₹30,791.15</v>
      </c>
      <c r="I1667" s="51" t="str">
        <f>89815.65-H1667</f>
        <v>₹59,024.50</v>
      </c>
    </row>
    <row r="1668" ht="15.75" customHeight="1">
      <c r="A1668" s="53" t="s">
        <v>1738</v>
      </c>
      <c r="B1668" s="53" t="s">
        <v>36</v>
      </c>
      <c r="C1668" s="53" t="s">
        <v>18</v>
      </c>
      <c r="D1668" s="54">
        <v>102660.35</v>
      </c>
      <c r="E1668" s="54" t="str">
        <f t="shared" si="1"/>
        <v>₹1,231,924.20</v>
      </c>
      <c r="F1668" s="55" t="str">
        <f t="shared" si="2"/>
        <v>30.0%</v>
      </c>
      <c r="G1668" s="54" t="str">
        <f t="shared" si="3"/>
        <v>₹369,577.26</v>
      </c>
      <c r="H1668" s="54" t="str">
        <f t="shared" si="4"/>
        <v>₹30,798.11</v>
      </c>
      <c r="I1668" s="54" t="str">
        <f>89835.44-H1668</f>
        <v>₹59,037.34</v>
      </c>
    </row>
    <row r="1669" ht="15.75" customHeight="1">
      <c r="A1669" s="50" t="s">
        <v>1739</v>
      </c>
      <c r="B1669" s="50" t="s">
        <v>51</v>
      </c>
      <c r="C1669" s="50" t="s">
        <v>37</v>
      </c>
      <c r="D1669" s="51">
        <v>102683.53</v>
      </c>
      <c r="E1669" s="51" t="str">
        <f t="shared" si="1"/>
        <v>₹1,232,202.36</v>
      </c>
      <c r="F1669" s="52" t="str">
        <f t="shared" si="2"/>
        <v>30.0%</v>
      </c>
      <c r="G1669" s="51" t="str">
        <f t="shared" si="3"/>
        <v>₹369,660.71</v>
      </c>
      <c r="H1669" s="51" t="str">
        <f t="shared" si="4"/>
        <v>₹30,805.06</v>
      </c>
      <c r="I1669" s="51" t="str">
        <f>89855.22-H1669</f>
        <v>₹59,050.16</v>
      </c>
    </row>
    <row r="1670" ht="15.75" customHeight="1">
      <c r="A1670" s="53" t="s">
        <v>1740</v>
      </c>
      <c r="B1670" s="53" t="s">
        <v>29</v>
      </c>
      <c r="C1670" s="53" t="s">
        <v>26</v>
      </c>
      <c r="D1670" s="54">
        <v>102706.71</v>
      </c>
      <c r="E1670" s="54" t="str">
        <f t="shared" si="1"/>
        <v>₹1,232,480.52</v>
      </c>
      <c r="F1670" s="55" t="str">
        <f t="shared" si="2"/>
        <v>30.0%</v>
      </c>
      <c r="G1670" s="54" t="str">
        <f t="shared" si="3"/>
        <v>₹369,744.16</v>
      </c>
      <c r="H1670" s="54" t="str">
        <f t="shared" si="4"/>
        <v>₹30,812.01</v>
      </c>
      <c r="I1670" s="54" t="str">
        <f>89875-H1670</f>
        <v>₹59,062.99</v>
      </c>
    </row>
    <row r="1671" ht="15.75" customHeight="1">
      <c r="A1671" s="50" t="s">
        <v>1741</v>
      </c>
      <c r="B1671" s="50" t="s">
        <v>17</v>
      </c>
      <c r="C1671" s="50" t="s">
        <v>30</v>
      </c>
      <c r="D1671" s="51">
        <v>102729.88</v>
      </c>
      <c r="E1671" s="51" t="str">
        <f t="shared" si="1"/>
        <v>₹1,232,758.56</v>
      </c>
      <c r="F1671" s="52" t="str">
        <f t="shared" si="2"/>
        <v>30.0%</v>
      </c>
      <c r="G1671" s="51" t="str">
        <f t="shared" si="3"/>
        <v>₹369,827.57</v>
      </c>
      <c r="H1671" s="51" t="str">
        <f t="shared" si="4"/>
        <v>₹30,818.96</v>
      </c>
      <c r="I1671" s="51" t="str">
        <f>89894.77-H1671</f>
        <v>₹59,075.81</v>
      </c>
    </row>
    <row r="1672" ht="15.75" customHeight="1">
      <c r="A1672" s="53" t="s">
        <v>1742</v>
      </c>
      <c r="B1672" s="53" t="s">
        <v>29</v>
      </c>
      <c r="C1672" s="53" t="s">
        <v>33</v>
      </c>
      <c r="D1672" s="54">
        <v>102753.06</v>
      </c>
      <c r="E1672" s="54" t="str">
        <f t="shared" si="1"/>
        <v>₹1,233,036.72</v>
      </c>
      <c r="F1672" s="55" t="str">
        <f t="shared" si="2"/>
        <v>30.0%</v>
      </c>
      <c r="G1672" s="54" t="str">
        <f t="shared" si="3"/>
        <v>₹369,911.02</v>
      </c>
      <c r="H1672" s="54" t="str">
        <f t="shared" si="4"/>
        <v>₹30,825.92</v>
      </c>
      <c r="I1672" s="54" t="str">
        <f>89914.56-H1672</f>
        <v>₹59,088.64</v>
      </c>
    </row>
    <row r="1673" ht="15.75" customHeight="1">
      <c r="A1673" s="50" t="s">
        <v>1743</v>
      </c>
      <c r="B1673" s="50" t="s">
        <v>51</v>
      </c>
      <c r="C1673" s="50" t="s">
        <v>54</v>
      </c>
      <c r="D1673" s="51">
        <v>102799.42</v>
      </c>
      <c r="E1673" s="51" t="str">
        <f t="shared" si="1"/>
        <v>₹1,233,593.04</v>
      </c>
      <c r="F1673" s="52" t="str">
        <f t="shared" si="2"/>
        <v>30.0%</v>
      </c>
      <c r="G1673" s="51" t="str">
        <f t="shared" si="3"/>
        <v>₹370,077.91</v>
      </c>
      <c r="H1673" s="51" t="str">
        <f t="shared" si="4"/>
        <v>₹30,839.83</v>
      </c>
      <c r="I1673" s="51" t="str">
        <f>89954.12-H1673</f>
        <v>₹59,114.29</v>
      </c>
    </row>
    <row r="1674" ht="15.75" customHeight="1">
      <c r="A1674" s="53" t="s">
        <v>1744</v>
      </c>
      <c r="B1674" s="53" t="s">
        <v>53</v>
      </c>
      <c r="C1674" s="53" t="s">
        <v>18</v>
      </c>
      <c r="D1674" s="54">
        <v>102822.59</v>
      </c>
      <c r="E1674" s="54" t="str">
        <f t="shared" si="1"/>
        <v>₹1,233,871.08</v>
      </c>
      <c r="F1674" s="55" t="str">
        <f t="shared" si="2"/>
        <v>30.0%</v>
      </c>
      <c r="G1674" s="54" t="str">
        <f t="shared" si="3"/>
        <v>₹370,161.32</v>
      </c>
      <c r="H1674" s="54" t="str">
        <f t="shared" si="4"/>
        <v>₹30,846.78</v>
      </c>
      <c r="I1674" s="54" t="str">
        <f>89973.89-H1674</f>
        <v>₹59,127.11</v>
      </c>
    </row>
    <row r="1675" ht="15.75" customHeight="1">
      <c r="A1675" s="50" t="s">
        <v>1745</v>
      </c>
      <c r="B1675" s="50" t="s">
        <v>36</v>
      </c>
      <c r="C1675" s="50" t="s">
        <v>14</v>
      </c>
      <c r="D1675" s="51">
        <v>102845.77</v>
      </c>
      <c r="E1675" s="51" t="str">
        <f t="shared" si="1"/>
        <v>₹1,234,149.24</v>
      </c>
      <c r="F1675" s="52" t="str">
        <f t="shared" si="2"/>
        <v>30.0%</v>
      </c>
      <c r="G1675" s="51" t="str">
        <f t="shared" si="3"/>
        <v>₹370,244.77</v>
      </c>
      <c r="H1675" s="51" t="str">
        <f t="shared" si="4"/>
        <v>₹30,853.73</v>
      </c>
      <c r="I1675" s="51" t="str">
        <f>89993.67-H1675</f>
        <v>₹59,139.94</v>
      </c>
    </row>
    <row r="1676" ht="15.75" customHeight="1">
      <c r="A1676" s="53" t="s">
        <v>1746</v>
      </c>
      <c r="B1676" s="53" t="s">
        <v>25</v>
      </c>
      <c r="C1676" s="53" t="s">
        <v>30</v>
      </c>
      <c r="D1676" s="54">
        <v>102868.95</v>
      </c>
      <c r="E1676" s="54" t="str">
        <f t="shared" si="1"/>
        <v>₹1,234,427.40</v>
      </c>
      <c r="F1676" s="55" t="str">
        <f t="shared" si="2"/>
        <v>30.0%</v>
      </c>
      <c r="G1676" s="54" t="str">
        <f t="shared" si="3"/>
        <v>₹370,328.22</v>
      </c>
      <c r="H1676" s="54" t="str">
        <f t="shared" si="4"/>
        <v>₹30,860.69</v>
      </c>
      <c r="I1676" s="54" t="str">
        <f>90013.46-H1676</f>
        <v>₹59,152.78</v>
      </c>
    </row>
    <row r="1677" ht="15.75" customHeight="1">
      <c r="A1677" s="50" t="s">
        <v>1747</v>
      </c>
      <c r="B1677" s="50" t="s">
        <v>53</v>
      </c>
      <c r="C1677" s="50" t="s">
        <v>18</v>
      </c>
      <c r="D1677" s="51">
        <v>102892.13</v>
      </c>
      <c r="E1677" s="51" t="str">
        <f t="shared" si="1"/>
        <v>₹1,234,705.56</v>
      </c>
      <c r="F1677" s="52" t="str">
        <f t="shared" si="2"/>
        <v>30.0%</v>
      </c>
      <c r="G1677" s="51" t="str">
        <f t="shared" si="3"/>
        <v>₹370,411.67</v>
      </c>
      <c r="H1677" s="51" t="str">
        <f t="shared" si="4"/>
        <v>₹30,867.64</v>
      </c>
      <c r="I1677" s="51" t="str">
        <f>90033.24-H1677</f>
        <v>₹59,165.60</v>
      </c>
    </row>
    <row r="1678" ht="15.75" customHeight="1">
      <c r="A1678" s="53" t="s">
        <v>1748</v>
      </c>
      <c r="B1678" s="53" t="s">
        <v>29</v>
      </c>
      <c r="C1678" s="53" t="s">
        <v>30</v>
      </c>
      <c r="D1678" s="54">
        <v>102915.31</v>
      </c>
      <c r="E1678" s="54" t="str">
        <f t="shared" si="1"/>
        <v>₹1,234,983.72</v>
      </c>
      <c r="F1678" s="55" t="str">
        <f t="shared" si="2"/>
        <v>30.0%</v>
      </c>
      <c r="G1678" s="54" t="str">
        <f t="shared" si="3"/>
        <v>₹370,495.12</v>
      </c>
      <c r="H1678" s="54" t="str">
        <f t="shared" si="4"/>
        <v>₹30,874.59</v>
      </c>
      <c r="I1678" s="54" t="str">
        <f>90053.02-H1678</f>
        <v>₹59,178.43</v>
      </c>
    </row>
    <row r="1679" ht="15.75" customHeight="1">
      <c r="A1679" s="50" t="s">
        <v>1749</v>
      </c>
      <c r="B1679" s="50" t="s">
        <v>13</v>
      </c>
      <c r="C1679" s="50" t="s">
        <v>14</v>
      </c>
      <c r="D1679" s="51">
        <v>102938.48</v>
      </c>
      <c r="E1679" s="51" t="str">
        <f t="shared" si="1"/>
        <v>₹1,235,261.76</v>
      </c>
      <c r="F1679" s="52" t="str">
        <f t="shared" si="2"/>
        <v>30.0%</v>
      </c>
      <c r="G1679" s="51" t="str">
        <f t="shared" si="3"/>
        <v>₹370,578.53</v>
      </c>
      <c r="H1679" s="51" t="str">
        <f t="shared" si="4"/>
        <v>₹30,881.54</v>
      </c>
      <c r="I1679" s="51" t="str">
        <f>90072.79-H1679</f>
        <v>₹59,191.25</v>
      </c>
    </row>
    <row r="1680" ht="15.75" customHeight="1">
      <c r="A1680" s="53" t="s">
        <v>1750</v>
      </c>
      <c r="B1680" s="53" t="s">
        <v>17</v>
      </c>
      <c r="C1680" s="53" t="s">
        <v>30</v>
      </c>
      <c r="D1680" s="54">
        <v>102961.66</v>
      </c>
      <c r="E1680" s="54" t="str">
        <f t="shared" si="1"/>
        <v>₹1,235,539.92</v>
      </c>
      <c r="F1680" s="55" t="str">
        <f t="shared" si="2"/>
        <v>30.0%</v>
      </c>
      <c r="G1680" s="54" t="str">
        <f t="shared" si="3"/>
        <v>₹370,661.98</v>
      </c>
      <c r="H1680" s="54" t="str">
        <f t="shared" si="4"/>
        <v>₹30,888.50</v>
      </c>
      <c r="I1680" s="54" t="str">
        <f>90092.58-H1680</f>
        <v>₹59,204.08</v>
      </c>
    </row>
    <row r="1681" ht="15.75" customHeight="1">
      <c r="A1681" s="50" t="s">
        <v>1751</v>
      </c>
      <c r="B1681" s="50" t="s">
        <v>29</v>
      </c>
      <c r="C1681" s="50" t="s">
        <v>33</v>
      </c>
      <c r="D1681" s="51">
        <v>102984.84</v>
      </c>
      <c r="E1681" s="51" t="str">
        <f t="shared" si="1"/>
        <v>₹1,235,818.08</v>
      </c>
      <c r="F1681" s="52" t="str">
        <f t="shared" si="2"/>
        <v>30.0%</v>
      </c>
      <c r="G1681" s="51" t="str">
        <f t="shared" si="3"/>
        <v>₹370,745.42</v>
      </c>
      <c r="H1681" s="51" t="str">
        <f t="shared" si="4"/>
        <v>₹30,895.45</v>
      </c>
      <c r="I1681" s="51" t="str">
        <f>90112.36-H1681</f>
        <v>₹59,216.91</v>
      </c>
    </row>
    <row r="1682" ht="15.75" customHeight="1">
      <c r="A1682" s="53" t="s">
        <v>1752</v>
      </c>
      <c r="B1682" s="53" t="s">
        <v>53</v>
      </c>
      <c r="C1682" s="53" t="s">
        <v>18</v>
      </c>
      <c r="D1682" s="54">
        <v>103008.02</v>
      </c>
      <c r="E1682" s="54" t="str">
        <f t="shared" si="1"/>
        <v>₹1,236,096.24</v>
      </c>
      <c r="F1682" s="55" t="str">
        <f t="shared" si="2"/>
        <v>30.0%</v>
      </c>
      <c r="G1682" s="54" t="str">
        <f t="shared" si="3"/>
        <v>₹370,828.87</v>
      </c>
      <c r="H1682" s="54" t="str">
        <f t="shared" si="4"/>
        <v>₹30,902.41</v>
      </c>
      <c r="I1682" s="54" t="str">
        <f>90132.14-H1682</f>
        <v>₹59,229.73</v>
      </c>
    </row>
    <row r="1683" ht="15.75" customHeight="1">
      <c r="A1683" s="50" t="s">
        <v>1753</v>
      </c>
      <c r="B1683" s="50" t="s">
        <v>17</v>
      </c>
      <c r="C1683" s="50" t="s">
        <v>37</v>
      </c>
      <c r="D1683" s="51">
        <v>103031.19</v>
      </c>
      <c r="E1683" s="51" t="str">
        <f t="shared" si="1"/>
        <v>₹1,236,374.28</v>
      </c>
      <c r="F1683" s="52" t="str">
        <f t="shared" si="2"/>
        <v>30.0%</v>
      </c>
      <c r="G1683" s="51" t="str">
        <f t="shared" si="3"/>
        <v>₹370,912.28</v>
      </c>
      <c r="H1683" s="51" t="str">
        <f t="shared" si="4"/>
        <v>₹30,909.36</v>
      </c>
      <c r="I1683" s="51" t="str">
        <f>90151.91-H1683</f>
        <v>₹59,242.55</v>
      </c>
    </row>
    <row r="1684" ht="15.75" customHeight="1">
      <c r="A1684" s="53" t="s">
        <v>1754</v>
      </c>
      <c r="B1684" s="53" t="s">
        <v>25</v>
      </c>
      <c r="C1684" s="53" t="s">
        <v>54</v>
      </c>
      <c r="D1684" s="54">
        <v>103054.37</v>
      </c>
      <c r="E1684" s="54" t="str">
        <f t="shared" si="1"/>
        <v>₹1,236,652.44</v>
      </c>
      <c r="F1684" s="55" t="str">
        <f t="shared" si="2"/>
        <v>30.0%</v>
      </c>
      <c r="G1684" s="54" t="str">
        <f t="shared" si="3"/>
        <v>₹370,995.73</v>
      </c>
      <c r="H1684" s="54" t="str">
        <f t="shared" si="4"/>
        <v>₹30,916.31</v>
      </c>
      <c r="I1684" s="54" t="str">
        <f>90171.7-H1684</f>
        <v>₹59,255.39</v>
      </c>
    </row>
    <row r="1685" ht="15.75" customHeight="1">
      <c r="A1685" s="50" t="s">
        <v>1755</v>
      </c>
      <c r="B1685" s="50" t="s">
        <v>36</v>
      </c>
      <c r="C1685" s="50" t="s">
        <v>18</v>
      </c>
      <c r="D1685" s="51">
        <v>103077.55</v>
      </c>
      <c r="E1685" s="51" t="str">
        <f t="shared" si="1"/>
        <v>₹1,236,930.60</v>
      </c>
      <c r="F1685" s="52" t="str">
        <f t="shared" si="2"/>
        <v>30.0%</v>
      </c>
      <c r="G1685" s="51" t="str">
        <f t="shared" si="3"/>
        <v>₹371,079.18</v>
      </c>
      <c r="H1685" s="51" t="str">
        <f t="shared" si="4"/>
        <v>₹30,923.27</v>
      </c>
      <c r="I1685" s="51" t="str">
        <f>90191.48-H1685</f>
        <v>₹59,268.22</v>
      </c>
    </row>
    <row r="1686" ht="15.75" customHeight="1">
      <c r="A1686" s="53" t="s">
        <v>1756</v>
      </c>
      <c r="B1686" s="53" t="s">
        <v>29</v>
      </c>
      <c r="C1686" s="53" t="s">
        <v>14</v>
      </c>
      <c r="D1686" s="54">
        <v>103100.73</v>
      </c>
      <c r="E1686" s="54" t="str">
        <f t="shared" si="1"/>
        <v>₹1,237,208.76</v>
      </c>
      <c r="F1686" s="55" t="str">
        <f t="shared" si="2"/>
        <v>30.0%</v>
      </c>
      <c r="G1686" s="54" t="str">
        <f t="shared" si="3"/>
        <v>₹371,162.63</v>
      </c>
      <c r="H1686" s="54" t="str">
        <f t="shared" si="4"/>
        <v>₹30,930.22</v>
      </c>
      <c r="I1686" s="54" t="str">
        <f>90211.26-H1686</f>
        <v>₹59,281.04</v>
      </c>
    </row>
    <row r="1687" ht="15.75" customHeight="1">
      <c r="A1687" s="50" t="s">
        <v>1757</v>
      </c>
      <c r="B1687" s="50" t="s">
        <v>53</v>
      </c>
      <c r="C1687" s="50" t="s">
        <v>33</v>
      </c>
      <c r="D1687" s="51">
        <v>103123.9</v>
      </c>
      <c r="E1687" s="51" t="str">
        <f t="shared" si="1"/>
        <v>₹1,237,486.80</v>
      </c>
      <c r="F1687" s="52" t="str">
        <f t="shared" si="2"/>
        <v>30.0%</v>
      </c>
      <c r="G1687" s="51" t="str">
        <f t="shared" si="3"/>
        <v>₹371,246.04</v>
      </c>
      <c r="H1687" s="51" t="str">
        <f t="shared" si="4"/>
        <v>₹30,937.17</v>
      </c>
      <c r="I1687" s="51" t="str">
        <f>90231.03-H1687</f>
        <v>₹59,293.86</v>
      </c>
    </row>
    <row r="1688" ht="15.75" customHeight="1">
      <c r="A1688" s="53" t="s">
        <v>1758</v>
      </c>
      <c r="B1688" s="53" t="s">
        <v>13</v>
      </c>
      <c r="C1688" s="53" t="s">
        <v>14</v>
      </c>
      <c r="D1688" s="54">
        <v>103147.08</v>
      </c>
      <c r="E1688" s="54" t="str">
        <f t="shared" si="1"/>
        <v>₹1,237,764.96</v>
      </c>
      <c r="F1688" s="55" t="str">
        <f t="shared" si="2"/>
        <v>30.0%</v>
      </c>
      <c r="G1688" s="54" t="str">
        <f t="shared" si="3"/>
        <v>₹371,329.49</v>
      </c>
      <c r="H1688" s="54" t="str">
        <f t="shared" si="4"/>
        <v>₹30,944.12</v>
      </c>
      <c r="I1688" s="54" t="str">
        <f>90250.82-H1688</f>
        <v>₹59,306.70</v>
      </c>
    </row>
    <row r="1689" ht="15.75" customHeight="1">
      <c r="A1689" s="50" t="s">
        <v>1759</v>
      </c>
      <c r="B1689" s="50" t="s">
        <v>17</v>
      </c>
      <c r="C1689" s="50" t="s">
        <v>33</v>
      </c>
      <c r="D1689" s="51">
        <v>103193.44</v>
      </c>
      <c r="E1689" s="51" t="str">
        <f t="shared" si="1"/>
        <v>₹1,238,321.28</v>
      </c>
      <c r="F1689" s="52" t="str">
        <f t="shared" si="2"/>
        <v>30.0%</v>
      </c>
      <c r="G1689" s="51" t="str">
        <f t="shared" si="3"/>
        <v>₹371,496.38</v>
      </c>
      <c r="H1689" s="51" t="str">
        <f t="shared" si="4"/>
        <v>₹30,958.03</v>
      </c>
      <c r="I1689" s="51" t="str">
        <f>90290.38-H1689</f>
        <v>₹59,332.35</v>
      </c>
    </row>
    <row r="1690" ht="15.75" customHeight="1">
      <c r="A1690" s="53" t="s">
        <v>1760</v>
      </c>
      <c r="B1690" s="53" t="s">
        <v>13</v>
      </c>
      <c r="C1690" s="53" t="s">
        <v>30</v>
      </c>
      <c r="D1690" s="54">
        <v>103216.62</v>
      </c>
      <c r="E1690" s="54" t="str">
        <f t="shared" si="1"/>
        <v>₹1,238,599.44</v>
      </c>
      <c r="F1690" s="55" t="str">
        <f t="shared" si="2"/>
        <v>30.0%</v>
      </c>
      <c r="G1690" s="54" t="str">
        <f t="shared" si="3"/>
        <v>₹371,579.83</v>
      </c>
      <c r="H1690" s="54" t="str">
        <f t="shared" si="4"/>
        <v>₹30,964.99</v>
      </c>
      <c r="I1690" s="54" t="str">
        <f>90310.16-H1690</f>
        <v>₹59,345.17</v>
      </c>
    </row>
    <row r="1691" ht="15.75" customHeight="1">
      <c r="A1691" s="50" t="s">
        <v>1761</v>
      </c>
      <c r="B1691" s="50" t="s">
        <v>53</v>
      </c>
      <c r="C1691" s="50" t="s">
        <v>26</v>
      </c>
      <c r="D1691" s="51">
        <v>103239.79</v>
      </c>
      <c r="E1691" s="51" t="str">
        <f t="shared" si="1"/>
        <v>₹1,238,877.48</v>
      </c>
      <c r="F1691" s="52" t="str">
        <f t="shared" si="2"/>
        <v>30.0%</v>
      </c>
      <c r="G1691" s="51" t="str">
        <f t="shared" si="3"/>
        <v>₹371,663.24</v>
      </c>
      <c r="H1691" s="51" t="str">
        <f t="shared" si="4"/>
        <v>₹30,971.94</v>
      </c>
      <c r="I1691" s="51" t="str">
        <f>90329.94-H1691</f>
        <v>₹59,358.00</v>
      </c>
    </row>
    <row r="1692" ht="15.75" customHeight="1">
      <c r="A1692" s="53" t="s">
        <v>1762</v>
      </c>
      <c r="B1692" s="53" t="s">
        <v>25</v>
      </c>
      <c r="C1692" s="53" t="s">
        <v>26</v>
      </c>
      <c r="D1692" s="54">
        <v>103262.97</v>
      </c>
      <c r="E1692" s="54" t="str">
        <f t="shared" si="1"/>
        <v>₹1,239,155.64</v>
      </c>
      <c r="F1692" s="55" t="str">
        <f t="shared" si="2"/>
        <v>30.0%</v>
      </c>
      <c r="G1692" s="54" t="str">
        <f t="shared" si="3"/>
        <v>₹371,746.69</v>
      </c>
      <c r="H1692" s="54" t="str">
        <f t="shared" si="4"/>
        <v>₹30,978.89</v>
      </c>
      <c r="I1692" s="54" t="str">
        <f>90349.72-H1692</f>
        <v>₹59,370.83</v>
      </c>
    </row>
    <row r="1693" ht="15.75" customHeight="1">
      <c r="A1693" s="50" t="s">
        <v>1763</v>
      </c>
      <c r="B1693" s="50" t="s">
        <v>13</v>
      </c>
      <c r="C1693" s="50" t="s">
        <v>14</v>
      </c>
      <c r="D1693" s="51">
        <v>103309.33</v>
      </c>
      <c r="E1693" s="51" t="str">
        <f t="shared" si="1"/>
        <v>₹1,239,711.96</v>
      </c>
      <c r="F1693" s="52" t="str">
        <f t="shared" si="2"/>
        <v>30.0%</v>
      </c>
      <c r="G1693" s="51" t="str">
        <f t="shared" si="3"/>
        <v>₹371,913.59</v>
      </c>
      <c r="H1693" s="51" t="str">
        <f t="shared" si="4"/>
        <v>₹30,992.80</v>
      </c>
      <c r="I1693" s="51" t="str">
        <f>90389.28-H1693</f>
        <v>₹59,396.48</v>
      </c>
    </row>
    <row r="1694" ht="15.75" customHeight="1">
      <c r="A1694" s="53" t="s">
        <v>1764</v>
      </c>
      <c r="B1694" s="53" t="s">
        <v>51</v>
      </c>
      <c r="C1694" s="53" t="s">
        <v>33</v>
      </c>
      <c r="D1694" s="54">
        <v>103332.5</v>
      </c>
      <c r="E1694" s="54" t="str">
        <f t="shared" si="1"/>
        <v>₹1,239,990.00</v>
      </c>
      <c r="F1694" s="55" t="str">
        <f t="shared" si="2"/>
        <v>30.0%</v>
      </c>
      <c r="G1694" s="54" t="str">
        <f t="shared" si="3"/>
        <v>₹371,997.00</v>
      </c>
      <c r="H1694" s="54" t="str">
        <f t="shared" si="4"/>
        <v>₹30,999.75</v>
      </c>
      <c r="I1694" s="54" t="str">
        <f>90409.06-H1694</f>
        <v>₹59,409.31</v>
      </c>
    </row>
    <row r="1695" ht="15.75" customHeight="1">
      <c r="A1695" s="50" t="s">
        <v>1765</v>
      </c>
      <c r="B1695" s="50" t="s">
        <v>13</v>
      </c>
      <c r="C1695" s="50" t="s">
        <v>14</v>
      </c>
      <c r="D1695" s="51">
        <v>103355.68</v>
      </c>
      <c r="E1695" s="51" t="str">
        <f t="shared" si="1"/>
        <v>₹1,240,268.16</v>
      </c>
      <c r="F1695" s="52" t="str">
        <f t="shared" si="2"/>
        <v>30.0%</v>
      </c>
      <c r="G1695" s="51" t="str">
        <f t="shared" si="3"/>
        <v>₹372,080.45</v>
      </c>
      <c r="H1695" s="51" t="str">
        <f t="shared" si="4"/>
        <v>₹31,006.70</v>
      </c>
      <c r="I1695" s="51" t="str">
        <f>90428.84-H1695</f>
        <v>₹59,422.14</v>
      </c>
    </row>
    <row r="1696" ht="15.75" customHeight="1">
      <c r="A1696" s="53" t="s">
        <v>1766</v>
      </c>
      <c r="B1696" s="53" t="s">
        <v>51</v>
      </c>
      <c r="C1696" s="53" t="s">
        <v>14</v>
      </c>
      <c r="D1696" s="54">
        <v>103378.86</v>
      </c>
      <c r="E1696" s="54" t="str">
        <f t="shared" si="1"/>
        <v>₹1,240,546.32</v>
      </c>
      <c r="F1696" s="55" t="str">
        <f t="shared" si="2"/>
        <v>30.0%</v>
      </c>
      <c r="G1696" s="54" t="str">
        <f t="shared" si="3"/>
        <v>₹372,163.90</v>
      </c>
      <c r="H1696" s="54" t="str">
        <f t="shared" si="4"/>
        <v>₹31,013.66</v>
      </c>
      <c r="I1696" s="54" t="str">
        <f>90448.62-H1696</f>
        <v>₹59,434.96</v>
      </c>
    </row>
    <row r="1697" ht="15.75" customHeight="1">
      <c r="A1697" s="50" t="s">
        <v>1767</v>
      </c>
      <c r="B1697" s="50" t="s">
        <v>53</v>
      </c>
      <c r="C1697" s="50" t="s">
        <v>26</v>
      </c>
      <c r="D1697" s="51">
        <v>103402.04</v>
      </c>
      <c r="E1697" s="51" t="str">
        <f t="shared" si="1"/>
        <v>₹1,240,824.48</v>
      </c>
      <c r="F1697" s="52" t="str">
        <f t="shared" si="2"/>
        <v>30.0%</v>
      </c>
      <c r="G1697" s="51" t="str">
        <f t="shared" si="3"/>
        <v>₹372,247.34</v>
      </c>
      <c r="H1697" s="51" t="str">
        <f t="shared" si="4"/>
        <v>₹31,020.61</v>
      </c>
      <c r="I1697" s="51" t="str">
        <f>90468.4-H1697</f>
        <v>₹59,447.79</v>
      </c>
    </row>
    <row r="1698" ht="15.75" customHeight="1">
      <c r="A1698" s="53" t="s">
        <v>1768</v>
      </c>
      <c r="B1698" s="53" t="s">
        <v>51</v>
      </c>
      <c r="C1698" s="53" t="s">
        <v>54</v>
      </c>
      <c r="D1698" s="54">
        <v>103425.21</v>
      </c>
      <c r="E1698" s="54" t="str">
        <f t="shared" si="1"/>
        <v>₹1,241,102.52</v>
      </c>
      <c r="F1698" s="55" t="str">
        <f t="shared" si="2"/>
        <v>30.0%</v>
      </c>
      <c r="G1698" s="54" t="str">
        <f t="shared" si="3"/>
        <v>₹372,330.76</v>
      </c>
      <c r="H1698" s="54" t="str">
        <f t="shared" si="4"/>
        <v>₹31,027.56</v>
      </c>
      <c r="I1698" s="54" t="str">
        <f>90488.18-H1698</f>
        <v>₹59,460.62</v>
      </c>
    </row>
    <row r="1699" ht="15.75" customHeight="1">
      <c r="A1699" s="50" t="s">
        <v>1769</v>
      </c>
      <c r="B1699" s="50" t="s">
        <v>29</v>
      </c>
      <c r="C1699" s="50" t="s">
        <v>14</v>
      </c>
      <c r="D1699" s="51">
        <v>103448.39</v>
      </c>
      <c r="E1699" s="51" t="str">
        <f t="shared" si="1"/>
        <v>₹1,241,380.68</v>
      </c>
      <c r="F1699" s="52" t="str">
        <f t="shared" si="2"/>
        <v>30.0%</v>
      </c>
      <c r="G1699" s="51" t="str">
        <f t="shared" si="3"/>
        <v>₹372,414.20</v>
      </c>
      <c r="H1699" s="51" t="str">
        <f t="shared" si="4"/>
        <v>₹31,034.52</v>
      </c>
      <c r="I1699" s="51" t="str">
        <f>90507.96-H1699</f>
        <v>₹59,473.44</v>
      </c>
    </row>
    <row r="1700" ht="15.75" customHeight="1">
      <c r="A1700" s="53" t="s">
        <v>1770</v>
      </c>
      <c r="B1700" s="53" t="s">
        <v>17</v>
      </c>
      <c r="C1700" s="53" t="s">
        <v>54</v>
      </c>
      <c r="D1700" s="54">
        <v>103471.57</v>
      </c>
      <c r="E1700" s="54" t="str">
        <f t="shared" si="1"/>
        <v>₹1,241,658.84</v>
      </c>
      <c r="F1700" s="55" t="str">
        <f t="shared" si="2"/>
        <v>30.0%</v>
      </c>
      <c r="G1700" s="54" t="str">
        <f t="shared" si="3"/>
        <v>₹372,497.65</v>
      </c>
      <c r="H1700" s="54" t="str">
        <f t="shared" si="4"/>
        <v>₹31,041.47</v>
      </c>
      <c r="I1700" s="54" t="str">
        <f>90527.74-H1700</f>
        <v>₹59,486.27</v>
      </c>
    </row>
    <row r="1701" ht="15.75" customHeight="1">
      <c r="A1701" s="50" t="s">
        <v>1771</v>
      </c>
      <c r="B1701" s="50" t="s">
        <v>36</v>
      </c>
      <c r="C1701" s="50" t="s">
        <v>14</v>
      </c>
      <c r="D1701" s="51">
        <v>103494.75</v>
      </c>
      <c r="E1701" s="51" t="str">
        <f t="shared" si="1"/>
        <v>₹1,241,937.00</v>
      </c>
      <c r="F1701" s="52" t="str">
        <f t="shared" si="2"/>
        <v>30.0%</v>
      </c>
      <c r="G1701" s="51" t="str">
        <f t="shared" si="3"/>
        <v>₹372,581.10</v>
      </c>
      <c r="H1701" s="51" t="str">
        <f t="shared" si="4"/>
        <v>₹31,048.43</v>
      </c>
      <c r="I1701" s="51" t="str">
        <f>90547.52-H1701</f>
        <v>₹59,499.10</v>
      </c>
    </row>
    <row r="1702" ht="15.75" customHeight="1">
      <c r="A1702" s="53" t="s">
        <v>1772</v>
      </c>
      <c r="B1702" s="53" t="s">
        <v>25</v>
      </c>
      <c r="C1702" s="53" t="s">
        <v>33</v>
      </c>
      <c r="D1702" s="54">
        <v>103517.93</v>
      </c>
      <c r="E1702" s="54" t="str">
        <f t="shared" si="1"/>
        <v>₹1,242,215.16</v>
      </c>
      <c r="F1702" s="55" t="str">
        <f t="shared" si="2"/>
        <v>30.0%</v>
      </c>
      <c r="G1702" s="54" t="str">
        <f t="shared" si="3"/>
        <v>₹372,664.55</v>
      </c>
      <c r="H1702" s="54" t="str">
        <f t="shared" si="4"/>
        <v>₹31,055.38</v>
      </c>
      <c r="I1702" s="54" t="str">
        <f>90567.31-H1702</f>
        <v>₹59,511.93</v>
      </c>
    </row>
    <row r="1703" ht="15.75" customHeight="1">
      <c r="A1703" s="50" t="s">
        <v>1773</v>
      </c>
      <c r="B1703" s="50" t="s">
        <v>25</v>
      </c>
      <c r="C1703" s="50" t="s">
        <v>26</v>
      </c>
      <c r="D1703" s="51">
        <v>103541.1</v>
      </c>
      <c r="E1703" s="51" t="str">
        <f t="shared" si="1"/>
        <v>₹1,242,493.20</v>
      </c>
      <c r="F1703" s="52" t="str">
        <f t="shared" si="2"/>
        <v>30.0%</v>
      </c>
      <c r="G1703" s="51" t="str">
        <f t="shared" si="3"/>
        <v>₹372,747.96</v>
      </c>
      <c r="H1703" s="51" t="str">
        <f t="shared" si="4"/>
        <v>₹31,062.33</v>
      </c>
      <c r="I1703" s="51" t="str">
        <f>90587.08-H1703</f>
        <v>₹59,524.75</v>
      </c>
    </row>
    <row r="1704" ht="15.75" customHeight="1">
      <c r="A1704" s="53" t="s">
        <v>1774</v>
      </c>
      <c r="B1704" s="53" t="s">
        <v>51</v>
      </c>
      <c r="C1704" s="53" t="s">
        <v>14</v>
      </c>
      <c r="D1704" s="54">
        <v>103564.28</v>
      </c>
      <c r="E1704" s="54" t="str">
        <f t="shared" si="1"/>
        <v>₹1,242,771.36</v>
      </c>
      <c r="F1704" s="55" t="str">
        <f t="shared" si="2"/>
        <v>30.0%</v>
      </c>
      <c r="G1704" s="54" t="str">
        <f t="shared" si="3"/>
        <v>₹372,831.41</v>
      </c>
      <c r="H1704" s="54" t="str">
        <f t="shared" si="4"/>
        <v>₹31,069.28</v>
      </c>
      <c r="I1704" s="54" t="str">
        <f>90606.86-H1704</f>
        <v>₹59,537.58</v>
      </c>
    </row>
    <row r="1705" ht="15.75" customHeight="1">
      <c r="A1705" s="50" t="s">
        <v>1775</v>
      </c>
      <c r="B1705" s="50" t="s">
        <v>25</v>
      </c>
      <c r="C1705" s="50" t="s">
        <v>18</v>
      </c>
      <c r="D1705" s="51">
        <v>103587.46</v>
      </c>
      <c r="E1705" s="51" t="str">
        <f t="shared" si="1"/>
        <v>₹1,243,049.52</v>
      </c>
      <c r="F1705" s="52" t="str">
        <f t="shared" si="2"/>
        <v>30.0%</v>
      </c>
      <c r="G1705" s="51" t="str">
        <f t="shared" si="3"/>
        <v>₹372,914.86</v>
      </c>
      <c r="H1705" s="51" t="str">
        <f t="shared" si="4"/>
        <v>₹31,076.24</v>
      </c>
      <c r="I1705" s="51" t="str">
        <f>90626.64-H1705</f>
        <v>₹59,550.40</v>
      </c>
    </row>
    <row r="1706" ht="15.75" customHeight="1">
      <c r="A1706" s="53" t="s">
        <v>1776</v>
      </c>
      <c r="B1706" s="53" t="s">
        <v>36</v>
      </c>
      <c r="C1706" s="53" t="s">
        <v>26</v>
      </c>
      <c r="D1706" s="54">
        <v>103610.64</v>
      </c>
      <c r="E1706" s="54" t="str">
        <f t="shared" si="1"/>
        <v>₹1,243,327.68</v>
      </c>
      <c r="F1706" s="55" t="str">
        <f t="shared" si="2"/>
        <v>30.0%</v>
      </c>
      <c r="G1706" s="54" t="str">
        <f t="shared" si="3"/>
        <v>₹372,998.30</v>
      </c>
      <c r="H1706" s="54" t="str">
        <f t="shared" si="4"/>
        <v>₹31,083.19</v>
      </c>
      <c r="I1706" s="54" t="str">
        <f>90646.43-H1706</f>
        <v>₹59,563.24</v>
      </c>
    </row>
    <row r="1707" ht="15.75" customHeight="1">
      <c r="A1707" s="50" t="s">
        <v>1777</v>
      </c>
      <c r="B1707" s="50" t="s">
        <v>17</v>
      </c>
      <c r="C1707" s="50" t="s">
        <v>14</v>
      </c>
      <c r="D1707" s="51">
        <v>103656.99</v>
      </c>
      <c r="E1707" s="51" t="str">
        <f t="shared" si="1"/>
        <v>₹1,243,883.88</v>
      </c>
      <c r="F1707" s="52" t="str">
        <f t="shared" si="2"/>
        <v>30.0%</v>
      </c>
      <c r="G1707" s="51" t="str">
        <f t="shared" si="3"/>
        <v>₹373,165.16</v>
      </c>
      <c r="H1707" s="51" t="str">
        <f t="shared" si="4"/>
        <v>₹31,097.10</v>
      </c>
      <c r="I1707" s="51" t="str">
        <f>90685.98-H1707</f>
        <v>₹59,588.88</v>
      </c>
    </row>
    <row r="1708" ht="15.75" customHeight="1">
      <c r="A1708" s="53" t="s">
        <v>1778</v>
      </c>
      <c r="B1708" s="53" t="s">
        <v>29</v>
      </c>
      <c r="C1708" s="53" t="s">
        <v>54</v>
      </c>
      <c r="D1708" s="54">
        <v>103680.17</v>
      </c>
      <c r="E1708" s="54" t="str">
        <f t="shared" si="1"/>
        <v>₹1,244,162.04</v>
      </c>
      <c r="F1708" s="55" t="str">
        <f t="shared" si="2"/>
        <v>30.0%</v>
      </c>
      <c r="G1708" s="54" t="str">
        <f t="shared" si="3"/>
        <v>₹373,248.61</v>
      </c>
      <c r="H1708" s="54" t="str">
        <f t="shared" si="4"/>
        <v>₹31,104.05</v>
      </c>
      <c r="I1708" s="54" t="str">
        <f>90705.76-H1708</f>
        <v>₹59,601.71</v>
      </c>
    </row>
    <row r="1709" ht="15.75" customHeight="1">
      <c r="A1709" s="50" t="s">
        <v>1779</v>
      </c>
      <c r="B1709" s="50" t="s">
        <v>13</v>
      </c>
      <c r="C1709" s="50" t="s">
        <v>26</v>
      </c>
      <c r="D1709" s="51">
        <v>103703.35</v>
      </c>
      <c r="E1709" s="51" t="str">
        <f t="shared" si="1"/>
        <v>₹1,244,440.20</v>
      </c>
      <c r="F1709" s="52" t="str">
        <f t="shared" si="2"/>
        <v>30.0%</v>
      </c>
      <c r="G1709" s="51" t="str">
        <f t="shared" si="3"/>
        <v>₹373,332.06</v>
      </c>
      <c r="H1709" s="51" t="str">
        <f t="shared" si="4"/>
        <v>₹31,111.01</v>
      </c>
      <c r="I1709" s="51" t="str">
        <f>90725.55-H1709</f>
        <v>₹59,614.55</v>
      </c>
    </row>
    <row r="1710" ht="15.75" customHeight="1">
      <c r="A1710" s="53" t="s">
        <v>1780</v>
      </c>
      <c r="B1710" s="53" t="s">
        <v>13</v>
      </c>
      <c r="C1710" s="53" t="s">
        <v>26</v>
      </c>
      <c r="D1710" s="54">
        <v>103749.7</v>
      </c>
      <c r="E1710" s="54" t="str">
        <f t="shared" si="1"/>
        <v>₹1,244,996.40</v>
      </c>
      <c r="F1710" s="55" t="str">
        <f t="shared" si="2"/>
        <v>30.0%</v>
      </c>
      <c r="G1710" s="54" t="str">
        <f t="shared" si="3"/>
        <v>₹373,498.92</v>
      </c>
      <c r="H1710" s="54" t="str">
        <f t="shared" si="4"/>
        <v>₹31,124.91</v>
      </c>
      <c r="I1710" s="54" t="str">
        <f>90765.1-H1710</f>
        <v>₹59,640.19</v>
      </c>
    </row>
    <row r="1711" ht="15.75" customHeight="1">
      <c r="A1711" s="50" t="s">
        <v>1781</v>
      </c>
      <c r="B1711" s="50" t="s">
        <v>51</v>
      </c>
      <c r="C1711" s="50" t="s">
        <v>30</v>
      </c>
      <c r="D1711" s="51">
        <v>103772.88</v>
      </c>
      <c r="E1711" s="51" t="str">
        <f t="shared" si="1"/>
        <v>₹1,245,274.56</v>
      </c>
      <c r="F1711" s="52" t="str">
        <f t="shared" si="2"/>
        <v>30.0%</v>
      </c>
      <c r="G1711" s="51" t="str">
        <f t="shared" si="3"/>
        <v>₹373,582.37</v>
      </c>
      <c r="H1711" s="51" t="str">
        <f t="shared" si="4"/>
        <v>₹31,131.86</v>
      </c>
      <c r="I1711" s="51" t="str">
        <f>90784.88-H1711</f>
        <v>₹59,653.02</v>
      </c>
    </row>
    <row r="1712" ht="15.75" customHeight="1">
      <c r="A1712" s="53" t="s">
        <v>1782</v>
      </c>
      <c r="B1712" s="53" t="s">
        <v>36</v>
      </c>
      <c r="C1712" s="53" t="s">
        <v>54</v>
      </c>
      <c r="D1712" s="54">
        <v>103796.06</v>
      </c>
      <c r="E1712" s="54" t="str">
        <f t="shared" si="1"/>
        <v>₹1,245,552.72</v>
      </c>
      <c r="F1712" s="55" t="str">
        <f t="shared" si="2"/>
        <v>30.0%</v>
      </c>
      <c r="G1712" s="54" t="str">
        <f t="shared" si="3"/>
        <v>₹373,665.82</v>
      </c>
      <c r="H1712" s="54" t="str">
        <f t="shared" si="4"/>
        <v>₹31,138.82</v>
      </c>
      <c r="I1712" s="54" t="str">
        <f>90804.67-H1712</f>
        <v>₹59,665.85</v>
      </c>
    </row>
    <row r="1713" ht="15.75" customHeight="1">
      <c r="A1713" s="50" t="s">
        <v>1783</v>
      </c>
      <c r="B1713" s="50" t="s">
        <v>36</v>
      </c>
      <c r="C1713" s="50" t="s">
        <v>33</v>
      </c>
      <c r="D1713" s="51">
        <v>103819.24</v>
      </c>
      <c r="E1713" s="51" t="str">
        <f t="shared" si="1"/>
        <v>₹1,245,830.88</v>
      </c>
      <c r="F1713" s="52" t="str">
        <f t="shared" si="2"/>
        <v>30.0%</v>
      </c>
      <c r="G1713" s="51" t="str">
        <f t="shared" si="3"/>
        <v>₹373,749.26</v>
      </c>
      <c r="H1713" s="51" t="str">
        <f t="shared" si="4"/>
        <v>₹31,145.77</v>
      </c>
      <c r="I1713" s="51" t="str">
        <f>90824.45-H1713</f>
        <v>₹59,678.68</v>
      </c>
    </row>
    <row r="1714" ht="15.75" customHeight="1">
      <c r="A1714" s="53" t="s">
        <v>1784</v>
      </c>
      <c r="B1714" s="53" t="s">
        <v>29</v>
      </c>
      <c r="C1714" s="53" t="s">
        <v>26</v>
      </c>
      <c r="D1714" s="54">
        <v>103842.41</v>
      </c>
      <c r="E1714" s="54" t="str">
        <f t="shared" si="1"/>
        <v>₹1,246,108.92</v>
      </c>
      <c r="F1714" s="55" t="str">
        <f t="shared" si="2"/>
        <v>30.0%</v>
      </c>
      <c r="G1714" s="54" t="str">
        <f t="shared" si="3"/>
        <v>₹373,832.68</v>
      </c>
      <c r="H1714" s="54" t="str">
        <f t="shared" si="4"/>
        <v>₹31,152.72</v>
      </c>
      <c r="I1714" s="54" t="str">
        <f>90844.22-H1714</f>
        <v>₹59,691.50</v>
      </c>
    </row>
    <row r="1715" ht="15.75" customHeight="1">
      <c r="A1715" s="50" t="s">
        <v>1785</v>
      </c>
      <c r="B1715" s="50" t="s">
        <v>51</v>
      </c>
      <c r="C1715" s="50" t="s">
        <v>14</v>
      </c>
      <c r="D1715" s="51">
        <v>103865.59</v>
      </c>
      <c r="E1715" s="51" t="str">
        <f t="shared" si="1"/>
        <v>₹1,246,387.08</v>
      </c>
      <c r="F1715" s="52" t="str">
        <f t="shared" si="2"/>
        <v>30.0%</v>
      </c>
      <c r="G1715" s="51" t="str">
        <f t="shared" si="3"/>
        <v>₹373,916.12</v>
      </c>
      <c r="H1715" s="51" t="str">
        <f t="shared" si="4"/>
        <v>₹31,159.68</v>
      </c>
      <c r="I1715" s="51" t="str">
        <f>90864-H1715</f>
        <v>₹59,704.32</v>
      </c>
    </row>
    <row r="1716" ht="15.75" customHeight="1">
      <c r="A1716" s="53" t="s">
        <v>1786</v>
      </c>
      <c r="B1716" s="53" t="s">
        <v>13</v>
      </c>
      <c r="C1716" s="53" t="s">
        <v>33</v>
      </c>
      <c r="D1716" s="54">
        <v>103888.77</v>
      </c>
      <c r="E1716" s="54" t="str">
        <f t="shared" si="1"/>
        <v>₹1,246,665.24</v>
      </c>
      <c r="F1716" s="55" t="str">
        <f t="shared" si="2"/>
        <v>30.0%</v>
      </c>
      <c r="G1716" s="54" t="str">
        <f t="shared" si="3"/>
        <v>₹373,999.57</v>
      </c>
      <c r="H1716" s="54" t="str">
        <f t="shared" si="4"/>
        <v>₹31,166.63</v>
      </c>
      <c r="I1716" s="54" t="str">
        <f>90883.79-H1716</f>
        <v>₹59,717.16</v>
      </c>
    </row>
    <row r="1717" ht="15.75" customHeight="1">
      <c r="A1717" s="50" t="s">
        <v>1787</v>
      </c>
      <c r="B1717" s="50" t="s">
        <v>25</v>
      </c>
      <c r="C1717" s="50" t="s">
        <v>54</v>
      </c>
      <c r="D1717" s="51">
        <v>103911.95</v>
      </c>
      <c r="E1717" s="51" t="str">
        <f t="shared" si="1"/>
        <v>₹1,246,943.40</v>
      </c>
      <c r="F1717" s="52" t="str">
        <f t="shared" si="2"/>
        <v>30.0%</v>
      </c>
      <c r="G1717" s="51" t="str">
        <f t="shared" si="3"/>
        <v>₹374,083.02</v>
      </c>
      <c r="H1717" s="51" t="str">
        <f t="shared" si="4"/>
        <v>₹31,173.59</v>
      </c>
      <c r="I1717" s="51" t="str">
        <f>90903.57-H1717</f>
        <v>₹59,729.99</v>
      </c>
    </row>
    <row r="1718" ht="15.75" customHeight="1">
      <c r="A1718" s="53" t="s">
        <v>1788</v>
      </c>
      <c r="B1718" s="53" t="s">
        <v>25</v>
      </c>
      <c r="C1718" s="53" t="s">
        <v>26</v>
      </c>
      <c r="D1718" s="54">
        <v>103935.12</v>
      </c>
      <c r="E1718" s="54" t="str">
        <f t="shared" si="1"/>
        <v>₹1,247,221.44</v>
      </c>
      <c r="F1718" s="55" t="str">
        <f t="shared" si="2"/>
        <v>30.0%</v>
      </c>
      <c r="G1718" s="54" t="str">
        <f t="shared" si="3"/>
        <v>₹374,166.43</v>
      </c>
      <c r="H1718" s="54" t="str">
        <f t="shared" si="4"/>
        <v>₹31,180.54</v>
      </c>
      <c r="I1718" s="54" t="str">
        <f>90923.34-H1718</f>
        <v>₹59,742.80</v>
      </c>
    </row>
    <row r="1719" ht="15.75" customHeight="1">
      <c r="A1719" s="50" t="s">
        <v>1789</v>
      </c>
      <c r="B1719" s="50" t="s">
        <v>51</v>
      </c>
      <c r="C1719" s="50" t="s">
        <v>30</v>
      </c>
      <c r="D1719" s="51">
        <v>103958.3</v>
      </c>
      <c r="E1719" s="51" t="str">
        <f t="shared" si="1"/>
        <v>₹1,247,499.60</v>
      </c>
      <c r="F1719" s="52" t="str">
        <f t="shared" si="2"/>
        <v>30.0%</v>
      </c>
      <c r="G1719" s="51" t="str">
        <f t="shared" si="3"/>
        <v>₹374,249.88</v>
      </c>
      <c r="H1719" s="51" t="str">
        <f t="shared" si="4"/>
        <v>₹31,187.49</v>
      </c>
      <c r="I1719" s="51" t="str">
        <f>90943.12-H1719</f>
        <v>₹59,755.63</v>
      </c>
    </row>
    <row r="1720" ht="15.75" customHeight="1">
      <c r="A1720" s="53" t="s">
        <v>1790</v>
      </c>
      <c r="B1720" s="53" t="s">
        <v>17</v>
      </c>
      <c r="C1720" s="53" t="s">
        <v>37</v>
      </c>
      <c r="D1720" s="54">
        <v>103981.48</v>
      </c>
      <c r="E1720" s="54" t="str">
        <f t="shared" si="1"/>
        <v>₹1,247,777.76</v>
      </c>
      <c r="F1720" s="55" t="str">
        <f t="shared" si="2"/>
        <v>30.0%</v>
      </c>
      <c r="G1720" s="54" t="str">
        <f t="shared" si="3"/>
        <v>₹374,333.33</v>
      </c>
      <c r="H1720" s="54" t="str">
        <f t="shared" si="4"/>
        <v>₹31,194.44</v>
      </c>
      <c r="I1720" s="54" t="str">
        <f>90962.9-H1720</f>
        <v>₹59,768.46</v>
      </c>
    </row>
    <row r="1721" ht="15.75" customHeight="1">
      <c r="A1721" s="50" t="s">
        <v>1791</v>
      </c>
      <c r="B1721" s="50" t="s">
        <v>51</v>
      </c>
      <c r="C1721" s="50" t="s">
        <v>18</v>
      </c>
      <c r="D1721" s="51">
        <v>104004.66</v>
      </c>
      <c r="E1721" s="51" t="str">
        <f t="shared" si="1"/>
        <v>₹1,248,055.92</v>
      </c>
      <c r="F1721" s="52" t="str">
        <f t="shared" si="2"/>
        <v>30.0%</v>
      </c>
      <c r="G1721" s="51" t="str">
        <f t="shared" si="3"/>
        <v>₹374,416.78</v>
      </c>
      <c r="H1721" s="51" t="str">
        <f t="shared" si="4"/>
        <v>₹31,201.40</v>
      </c>
      <c r="I1721" s="51" t="str">
        <f>90982.69-H1721</f>
        <v>₹59,781.29</v>
      </c>
    </row>
    <row r="1722" ht="15.75" customHeight="1">
      <c r="A1722" s="53" t="s">
        <v>1792</v>
      </c>
      <c r="B1722" s="53" t="s">
        <v>17</v>
      </c>
      <c r="C1722" s="53" t="s">
        <v>14</v>
      </c>
      <c r="D1722" s="54">
        <v>104027.83</v>
      </c>
      <c r="E1722" s="54" t="str">
        <f t="shared" si="1"/>
        <v>₹1,248,333.96</v>
      </c>
      <c r="F1722" s="55" t="str">
        <f t="shared" si="2"/>
        <v>30.0%</v>
      </c>
      <c r="G1722" s="54" t="str">
        <f t="shared" si="3"/>
        <v>₹374,500.19</v>
      </c>
      <c r="H1722" s="54" t="str">
        <f t="shared" si="4"/>
        <v>₹31,208.35</v>
      </c>
      <c r="I1722" s="54" t="str">
        <f>91002.46-H1722</f>
        <v>₹59,794.11</v>
      </c>
    </row>
    <row r="1723" ht="15.75" customHeight="1">
      <c r="A1723" s="50" t="s">
        <v>1793</v>
      </c>
      <c r="B1723" s="50" t="s">
        <v>25</v>
      </c>
      <c r="C1723" s="50" t="s">
        <v>18</v>
      </c>
      <c r="D1723" s="51">
        <v>104051.01</v>
      </c>
      <c r="E1723" s="51" t="str">
        <f t="shared" si="1"/>
        <v>₹1,248,612.12</v>
      </c>
      <c r="F1723" s="52" t="str">
        <f t="shared" si="2"/>
        <v>30.0%</v>
      </c>
      <c r="G1723" s="51" t="str">
        <f t="shared" si="3"/>
        <v>₹374,583.64</v>
      </c>
      <c r="H1723" s="51" t="str">
        <f t="shared" si="4"/>
        <v>₹31,215.30</v>
      </c>
      <c r="I1723" s="51" t="str">
        <f>89416.57-H1723</f>
        <v>₹58,201.27</v>
      </c>
    </row>
    <row r="1724" ht="15.75" customHeight="1">
      <c r="A1724" s="53" t="s">
        <v>1794</v>
      </c>
      <c r="B1724" s="53" t="s">
        <v>29</v>
      </c>
      <c r="C1724" s="53" t="s">
        <v>30</v>
      </c>
      <c r="D1724" s="54">
        <v>104074.19</v>
      </c>
      <c r="E1724" s="54" t="str">
        <f t="shared" si="1"/>
        <v>₹1,248,890.28</v>
      </c>
      <c r="F1724" s="55" t="str">
        <f t="shared" si="2"/>
        <v>30.0%</v>
      </c>
      <c r="G1724" s="54" t="str">
        <f t="shared" si="3"/>
        <v>₹374,667.08</v>
      </c>
      <c r="H1724" s="54" t="str">
        <f t="shared" si="4"/>
        <v>₹31,222.26</v>
      </c>
      <c r="I1724" s="54" t="str">
        <f>91042.02-H1724</f>
        <v>₹59,819.76</v>
      </c>
    </row>
    <row r="1725" ht="15.75" customHeight="1">
      <c r="A1725" s="50" t="s">
        <v>1795</v>
      </c>
      <c r="B1725" s="50" t="s">
        <v>17</v>
      </c>
      <c r="C1725" s="50" t="s">
        <v>37</v>
      </c>
      <c r="D1725" s="51">
        <v>104097.37</v>
      </c>
      <c r="E1725" s="51" t="str">
        <f t="shared" si="1"/>
        <v>₹1,249,168.44</v>
      </c>
      <c r="F1725" s="52" t="str">
        <f t="shared" si="2"/>
        <v>30.0%</v>
      </c>
      <c r="G1725" s="51" t="str">
        <f t="shared" si="3"/>
        <v>₹374,750.53</v>
      </c>
      <c r="H1725" s="51" t="str">
        <f t="shared" si="4"/>
        <v>₹31,229.21</v>
      </c>
      <c r="I1725" s="51" t="str">
        <f>91061.81-H1725</f>
        <v>₹59,832.60</v>
      </c>
    </row>
    <row r="1726" ht="15.75" customHeight="1">
      <c r="A1726" s="53" t="s">
        <v>1796</v>
      </c>
      <c r="B1726" s="53" t="s">
        <v>53</v>
      </c>
      <c r="C1726" s="53" t="s">
        <v>54</v>
      </c>
      <c r="D1726" s="54">
        <v>104120.55</v>
      </c>
      <c r="E1726" s="54" t="str">
        <f t="shared" si="1"/>
        <v>₹1,249,446.60</v>
      </c>
      <c r="F1726" s="55" t="str">
        <f t="shared" si="2"/>
        <v>30.0%</v>
      </c>
      <c r="G1726" s="54" t="str">
        <f t="shared" si="3"/>
        <v>₹374,833.98</v>
      </c>
      <c r="H1726" s="54" t="str">
        <f t="shared" si="4"/>
        <v>₹31,236.17</v>
      </c>
      <c r="I1726" s="54" t="str">
        <f>91081.59-H1726</f>
        <v>₹59,845.43</v>
      </c>
    </row>
    <row r="1727" ht="15.75" customHeight="1">
      <c r="A1727" s="50" t="s">
        <v>1797</v>
      </c>
      <c r="B1727" s="50" t="s">
        <v>13</v>
      </c>
      <c r="C1727" s="50" t="s">
        <v>26</v>
      </c>
      <c r="D1727" s="51">
        <v>104143.72</v>
      </c>
      <c r="E1727" s="51" t="str">
        <f t="shared" si="1"/>
        <v>₹1,249,724.64</v>
      </c>
      <c r="F1727" s="52" t="str">
        <f t="shared" si="2"/>
        <v>30.0%</v>
      </c>
      <c r="G1727" s="51" t="str">
        <f t="shared" si="3"/>
        <v>₹374,917.39</v>
      </c>
      <c r="H1727" s="51" t="str">
        <f t="shared" si="4"/>
        <v>₹31,243.12</v>
      </c>
      <c r="I1727" s="51" t="str">
        <f>91101.36-H1727</f>
        <v>₹59,858.24</v>
      </c>
    </row>
    <row r="1728" ht="15.75" customHeight="1">
      <c r="A1728" s="53" t="s">
        <v>1798</v>
      </c>
      <c r="B1728" s="53" t="s">
        <v>36</v>
      </c>
      <c r="C1728" s="53" t="s">
        <v>26</v>
      </c>
      <c r="D1728" s="54">
        <v>104166.9</v>
      </c>
      <c r="E1728" s="54" t="str">
        <f t="shared" si="1"/>
        <v>₹1,250,002.80</v>
      </c>
      <c r="F1728" s="55" t="str">
        <f t="shared" si="2"/>
        <v>30.0%</v>
      </c>
      <c r="G1728" s="54" t="str">
        <f t="shared" si="3"/>
        <v>₹375,000.84</v>
      </c>
      <c r="H1728" s="54" t="str">
        <f t="shared" si="4"/>
        <v>₹31,250.07</v>
      </c>
      <c r="I1728" s="54" t="str">
        <f>91121.14-H1728</f>
        <v>₹59,871.07</v>
      </c>
    </row>
    <row r="1729" ht="15.75" customHeight="1">
      <c r="A1729" s="50" t="s">
        <v>1799</v>
      </c>
      <c r="B1729" s="50" t="s">
        <v>53</v>
      </c>
      <c r="C1729" s="50" t="s">
        <v>37</v>
      </c>
      <c r="D1729" s="51">
        <v>104190.08</v>
      </c>
      <c r="E1729" s="51" t="str">
        <f t="shared" si="1"/>
        <v>₹1,250,280.96</v>
      </c>
      <c r="F1729" s="52" t="str">
        <f t="shared" si="2"/>
        <v>30.0%</v>
      </c>
      <c r="G1729" s="51" t="str">
        <f t="shared" si="3"/>
        <v>₹375,084.29</v>
      </c>
      <c r="H1729" s="51" t="str">
        <f t="shared" si="4"/>
        <v>₹31,257.02</v>
      </c>
      <c r="I1729" s="51" t="str">
        <f>91140.93-H1729</f>
        <v>₹59,883.91</v>
      </c>
    </row>
    <row r="1730" ht="15.75" customHeight="1">
      <c r="A1730" s="53" t="s">
        <v>1800</v>
      </c>
      <c r="B1730" s="53" t="s">
        <v>51</v>
      </c>
      <c r="C1730" s="53" t="s">
        <v>14</v>
      </c>
      <c r="D1730" s="54">
        <v>104213.26</v>
      </c>
      <c r="E1730" s="54" t="str">
        <f t="shared" si="1"/>
        <v>₹1,250,559.12</v>
      </c>
      <c r="F1730" s="55" t="str">
        <f t="shared" si="2"/>
        <v>30.0%</v>
      </c>
      <c r="G1730" s="54" t="str">
        <f t="shared" si="3"/>
        <v>₹375,167.74</v>
      </c>
      <c r="H1730" s="54" t="str">
        <f t="shared" si="4"/>
        <v>₹31,263.98</v>
      </c>
      <c r="I1730" s="54" t="str">
        <f>91160.71-H1730</f>
        <v>₹59,896.73</v>
      </c>
    </row>
    <row r="1731" ht="15.75" customHeight="1">
      <c r="A1731" s="50" t="s">
        <v>1801</v>
      </c>
      <c r="B1731" s="50" t="s">
        <v>53</v>
      </c>
      <c r="C1731" s="50" t="s">
        <v>33</v>
      </c>
      <c r="D1731" s="51">
        <v>104236.43</v>
      </c>
      <c r="E1731" s="51" t="str">
        <f t="shared" si="1"/>
        <v>₹1,250,837.16</v>
      </c>
      <c r="F1731" s="52" t="str">
        <f t="shared" si="2"/>
        <v>30.0%</v>
      </c>
      <c r="G1731" s="51" t="str">
        <f t="shared" si="3"/>
        <v>₹375,251.15</v>
      </c>
      <c r="H1731" s="51" t="str">
        <f t="shared" si="4"/>
        <v>₹31,270.93</v>
      </c>
      <c r="I1731" s="51" t="str">
        <f>91180.48-H1731</f>
        <v>₹59,909.55</v>
      </c>
    </row>
    <row r="1732" ht="15.75" customHeight="1">
      <c r="A1732" s="53" t="s">
        <v>1802</v>
      </c>
      <c r="B1732" s="53" t="s">
        <v>51</v>
      </c>
      <c r="C1732" s="53" t="s">
        <v>18</v>
      </c>
      <c r="D1732" s="54">
        <v>104259.61</v>
      </c>
      <c r="E1732" s="54" t="str">
        <f t="shared" si="1"/>
        <v>₹1,251,115.32</v>
      </c>
      <c r="F1732" s="55" t="str">
        <f t="shared" si="2"/>
        <v>30.0%</v>
      </c>
      <c r="G1732" s="54" t="str">
        <f t="shared" si="3"/>
        <v>₹375,334.60</v>
      </c>
      <c r="H1732" s="54" t="str">
        <f t="shared" si="4"/>
        <v>₹31,277.88</v>
      </c>
      <c r="I1732" s="54" t="str">
        <f>91200.26-H1732</f>
        <v>₹59,922.38</v>
      </c>
    </row>
    <row r="1733" ht="15.75" customHeight="1">
      <c r="A1733" s="50" t="s">
        <v>1803</v>
      </c>
      <c r="B1733" s="50" t="s">
        <v>17</v>
      </c>
      <c r="C1733" s="50" t="s">
        <v>26</v>
      </c>
      <c r="D1733" s="51">
        <v>104282.79</v>
      </c>
      <c r="E1733" s="51" t="str">
        <f t="shared" si="1"/>
        <v>₹1,251,393.48</v>
      </c>
      <c r="F1733" s="52" t="str">
        <f t="shared" si="2"/>
        <v>30.0%</v>
      </c>
      <c r="G1733" s="51" t="str">
        <f t="shared" si="3"/>
        <v>₹375,418.04</v>
      </c>
      <c r="H1733" s="51" t="str">
        <f t="shared" si="4"/>
        <v>₹31,284.84</v>
      </c>
      <c r="I1733" s="51" t="str">
        <f>91220.05-H1733</f>
        <v>₹59,935.21</v>
      </c>
    </row>
    <row r="1734" ht="15.75" customHeight="1">
      <c r="A1734" s="53" t="s">
        <v>1804</v>
      </c>
      <c r="B1734" s="53" t="s">
        <v>25</v>
      </c>
      <c r="C1734" s="53" t="s">
        <v>18</v>
      </c>
      <c r="D1734" s="54">
        <v>104329.14</v>
      </c>
      <c r="E1734" s="54" t="str">
        <f t="shared" si="1"/>
        <v>₹1,251,949.68</v>
      </c>
      <c r="F1734" s="55" t="str">
        <f t="shared" si="2"/>
        <v>30.0%</v>
      </c>
      <c r="G1734" s="54" t="str">
        <f t="shared" si="3"/>
        <v>₹375,584.90</v>
      </c>
      <c r="H1734" s="54" t="str">
        <f t="shared" si="4"/>
        <v>₹31,298.74</v>
      </c>
      <c r="I1734" s="54" t="str">
        <f>91259.6-H1734</f>
        <v>₹59,960.86</v>
      </c>
    </row>
    <row r="1735" ht="15.75" customHeight="1">
      <c r="A1735" s="50" t="s">
        <v>1805</v>
      </c>
      <c r="B1735" s="50" t="s">
        <v>29</v>
      </c>
      <c r="C1735" s="50" t="s">
        <v>37</v>
      </c>
      <c r="D1735" s="51">
        <v>104352.32</v>
      </c>
      <c r="E1735" s="51" t="str">
        <f t="shared" si="1"/>
        <v>₹1,252,227.84</v>
      </c>
      <c r="F1735" s="52" t="str">
        <f t="shared" si="2"/>
        <v>30.0%</v>
      </c>
      <c r="G1735" s="51" t="str">
        <f t="shared" si="3"/>
        <v>₹375,668.35</v>
      </c>
      <c r="H1735" s="51" t="str">
        <f t="shared" si="4"/>
        <v>₹31,305.70</v>
      </c>
      <c r="I1735" s="51" t="str">
        <f>91279.38-H1735</f>
        <v>₹59,973.68</v>
      </c>
    </row>
    <row r="1736" ht="15.75" customHeight="1">
      <c r="A1736" s="53" t="s">
        <v>1806</v>
      </c>
      <c r="B1736" s="53" t="s">
        <v>53</v>
      </c>
      <c r="C1736" s="53" t="s">
        <v>33</v>
      </c>
      <c r="D1736" s="54">
        <v>104375.5</v>
      </c>
      <c r="E1736" s="54" t="str">
        <f t="shared" si="1"/>
        <v>₹1,252,506.00</v>
      </c>
      <c r="F1736" s="55" t="str">
        <f t="shared" si="2"/>
        <v>30.0%</v>
      </c>
      <c r="G1736" s="54" t="str">
        <f t="shared" si="3"/>
        <v>₹375,751.80</v>
      </c>
      <c r="H1736" s="54" t="str">
        <f t="shared" si="4"/>
        <v>₹31,312.65</v>
      </c>
      <c r="I1736" s="54" t="str">
        <f>91299.17-H1736</f>
        <v>₹59,986.52</v>
      </c>
    </row>
    <row r="1737" ht="15.75" customHeight="1">
      <c r="A1737" s="50" t="s">
        <v>1807</v>
      </c>
      <c r="B1737" s="50" t="s">
        <v>51</v>
      </c>
      <c r="C1737" s="50" t="s">
        <v>14</v>
      </c>
      <c r="D1737" s="51">
        <v>104398.68</v>
      </c>
      <c r="E1737" s="51" t="str">
        <f t="shared" si="1"/>
        <v>₹1,252,784.16</v>
      </c>
      <c r="F1737" s="52" t="str">
        <f t="shared" si="2"/>
        <v>30.0%</v>
      </c>
      <c r="G1737" s="51" t="str">
        <f t="shared" si="3"/>
        <v>₹375,835.25</v>
      </c>
      <c r="H1737" s="51" t="str">
        <f t="shared" si="4"/>
        <v>₹31,319.60</v>
      </c>
      <c r="I1737" s="51" t="str">
        <f>91318.95-H1737</f>
        <v>₹59,999.35</v>
      </c>
    </row>
    <row r="1738" ht="15.75" customHeight="1">
      <c r="A1738" s="53" t="s">
        <v>1808</v>
      </c>
      <c r="B1738" s="53" t="s">
        <v>25</v>
      </c>
      <c r="C1738" s="53" t="s">
        <v>30</v>
      </c>
      <c r="D1738" s="54">
        <v>104421.86</v>
      </c>
      <c r="E1738" s="54" t="str">
        <f t="shared" si="1"/>
        <v>₹1,253,062.32</v>
      </c>
      <c r="F1738" s="55" t="str">
        <f t="shared" si="2"/>
        <v>30.0%</v>
      </c>
      <c r="G1738" s="54" t="str">
        <f t="shared" si="3"/>
        <v>₹375,918.70</v>
      </c>
      <c r="H1738" s="54" t="str">
        <f t="shared" si="4"/>
        <v>₹31,326.56</v>
      </c>
      <c r="I1738" s="54" t="str">
        <f>91338.73-H1738</f>
        <v>₹60,012.17</v>
      </c>
    </row>
    <row r="1739" ht="15.75" customHeight="1">
      <c r="A1739" s="50" t="s">
        <v>1809</v>
      </c>
      <c r="B1739" s="50" t="s">
        <v>17</v>
      </c>
      <c r="C1739" s="50" t="s">
        <v>14</v>
      </c>
      <c r="D1739" s="51">
        <v>104445.03</v>
      </c>
      <c r="E1739" s="51" t="str">
        <f t="shared" si="1"/>
        <v>₹1,253,340.36</v>
      </c>
      <c r="F1739" s="52" t="str">
        <f t="shared" si="2"/>
        <v>30.0%</v>
      </c>
      <c r="G1739" s="51" t="str">
        <f t="shared" si="3"/>
        <v>₹376,002.11</v>
      </c>
      <c r="H1739" s="51" t="str">
        <f t="shared" si="4"/>
        <v>₹31,333.51</v>
      </c>
      <c r="I1739" s="51" t="str">
        <f>91358.5-H1739</f>
        <v>₹60,024.99</v>
      </c>
    </row>
    <row r="1740" ht="15.75" customHeight="1">
      <c r="A1740" s="53" t="s">
        <v>1810</v>
      </c>
      <c r="B1740" s="53" t="s">
        <v>25</v>
      </c>
      <c r="C1740" s="53" t="s">
        <v>37</v>
      </c>
      <c r="D1740" s="54">
        <v>104468.21</v>
      </c>
      <c r="E1740" s="54" t="str">
        <f t="shared" si="1"/>
        <v>₹1,253,618.52</v>
      </c>
      <c r="F1740" s="55" t="str">
        <f t="shared" si="2"/>
        <v>30.0%</v>
      </c>
      <c r="G1740" s="54" t="str">
        <f t="shared" si="3"/>
        <v>₹376,085.56</v>
      </c>
      <c r="H1740" s="54" t="str">
        <f t="shared" si="4"/>
        <v>₹31,340.46</v>
      </c>
      <c r="I1740" s="54" t="str">
        <f>91378.29-H1740</f>
        <v>₹60,037.83</v>
      </c>
    </row>
    <row r="1741" ht="15.75" customHeight="1">
      <c r="A1741" s="50" t="s">
        <v>1811</v>
      </c>
      <c r="B1741" s="50" t="s">
        <v>36</v>
      </c>
      <c r="C1741" s="50" t="s">
        <v>37</v>
      </c>
      <c r="D1741" s="51">
        <v>104491.39</v>
      </c>
      <c r="E1741" s="51" t="str">
        <f t="shared" si="1"/>
        <v>₹1,253,896.68</v>
      </c>
      <c r="F1741" s="52" t="str">
        <f t="shared" si="2"/>
        <v>30.0%</v>
      </c>
      <c r="G1741" s="51" t="str">
        <f t="shared" si="3"/>
        <v>₹376,169.00</v>
      </c>
      <c r="H1741" s="51" t="str">
        <f t="shared" si="4"/>
        <v>₹31,347.42</v>
      </c>
      <c r="I1741" s="51" t="str">
        <f>91398.07-H1741</f>
        <v>₹60,050.65</v>
      </c>
    </row>
    <row r="1742" ht="15.75" customHeight="1">
      <c r="A1742" s="53" t="s">
        <v>1812</v>
      </c>
      <c r="B1742" s="53" t="s">
        <v>13</v>
      </c>
      <c r="C1742" s="53" t="s">
        <v>54</v>
      </c>
      <c r="D1742" s="54">
        <v>104514.57</v>
      </c>
      <c r="E1742" s="54" t="str">
        <f t="shared" si="1"/>
        <v>₹1,254,174.84</v>
      </c>
      <c r="F1742" s="55" t="str">
        <f t="shared" si="2"/>
        <v>30.0%</v>
      </c>
      <c r="G1742" s="54" t="str">
        <f t="shared" si="3"/>
        <v>₹376,252.45</v>
      </c>
      <c r="H1742" s="54" t="str">
        <f t="shared" si="4"/>
        <v>₹31,354.37</v>
      </c>
      <c r="I1742" s="54" t="str">
        <f>91417.85-H1742</f>
        <v>₹60,063.48</v>
      </c>
    </row>
    <row r="1743" ht="15.75" customHeight="1">
      <c r="A1743" s="50" t="s">
        <v>1813</v>
      </c>
      <c r="B1743" s="50" t="s">
        <v>13</v>
      </c>
      <c r="C1743" s="50" t="s">
        <v>37</v>
      </c>
      <c r="D1743" s="51">
        <v>104537.74</v>
      </c>
      <c r="E1743" s="51" t="str">
        <f t="shared" si="1"/>
        <v>₹1,254,452.88</v>
      </c>
      <c r="F1743" s="52" t="str">
        <f t="shared" si="2"/>
        <v>30.0%</v>
      </c>
      <c r="G1743" s="51" t="str">
        <f t="shared" si="3"/>
        <v>₹376,335.86</v>
      </c>
      <c r="H1743" s="51" t="str">
        <f t="shared" si="4"/>
        <v>₹31,361.32</v>
      </c>
      <c r="I1743" s="51" t="str">
        <f>91437.62-H1743</f>
        <v>₹60,076.30</v>
      </c>
    </row>
    <row r="1744" ht="15.75" customHeight="1">
      <c r="A1744" s="53" t="s">
        <v>1814</v>
      </c>
      <c r="B1744" s="53" t="s">
        <v>13</v>
      </c>
      <c r="C1744" s="53" t="s">
        <v>37</v>
      </c>
      <c r="D1744" s="54">
        <v>104560.92</v>
      </c>
      <c r="E1744" s="54" t="str">
        <f t="shared" si="1"/>
        <v>₹1,254,731.04</v>
      </c>
      <c r="F1744" s="55" t="str">
        <f t="shared" si="2"/>
        <v>30.0%</v>
      </c>
      <c r="G1744" s="54" t="str">
        <f t="shared" si="3"/>
        <v>₹376,419.31</v>
      </c>
      <c r="H1744" s="54" t="str">
        <f t="shared" si="4"/>
        <v>₹31,368.28</v>
      </c>
      <c r="I1744" s="54" t="str">
        <f>91457.41-H1744</f>
        <v>₹60,089.13</v>
      </c>
    </row>
    <row r="1745" ht="15.75" customHeight="1">
      <c r="A1745" s="50" t="s">
        <v>1815</v>
      </c>
      <c r="B1745" s="50" t="s">
        <v>51</v>
      </c>
      <c r="C1745" s="50" t="s">
        <v>30</v>
      </c>
      <c r="D1745" s="51">
        <v>104584.1</v>
      </c>
      <c r="E1745" s="51" t="str">
        <f t="shared" si="1"/>
        <v>₹1,255,009.20</v>
      </c>
      <c r="F1745" s="52" t="str">
        <f t="shared" si="2"/>
        <v>30.0%</v>
      </c>
      <c r="G1745" s="51" t="str">
        <f t="shared" si="3"/>
        <v>₹376,502.76</v>
      </c>
      <c r="H1745" s="51" t="str">
        <f t="shared" si="4"/>
        <v>₹31,375.23</v>
      </c>
      <c r="I1745" s="51" t="str">
        <f>91477.19-H1745</f>
        <v>₹60,101.96</v>
      </c>
    </row>
    <row r="1746" ht="15.75" customHeight="1">
      <c r="A1746" s="53" t="s">
        <v>1816</v>
      </c>
      <c r="B1746" s="53" t="s">
        <v>25</v>
      </c>
      <c r="C1746" s="53" t="s">
        <v>26</v>
      </c>
      <c r="D1746" s="54">
        <v>104607.28</v>
      </c>
      <c r="E1746" s="54" t="str">
        <f t="shared" si="1"/>
        <v>₹1,255,287.36</v>
      </c>
      <c r="F1746" s="55" t="str">
        <f t="shared" si="2"/>
        <v>30.0%</v>
      </c>
      <c r="G1746" s="54" t="str">
        <f t="shared" si="3"/>
        <v>₹376,586.21</v>
      </c>
      <c r="H1746" s="54" t="str">
        <f t="shared" si="4"/>
        <v>₹31,382.18</v>
      </c>
      <c r="I1746" s="54" t="str">
        <f>91496.97-H1746</f>
        <v>₹60,114.79</v>
      </c>
    </row>
    <row r="1747" ht="15.75" customHeight="1">
      <c r="A1747" s="50" t="s">
        <v>1817</v>
      </c>
      <c r="B1747" s="50" t="s">
        <v>51</v>
      </c>
      <c r="C1747" s="50" t="s">
        <v>18</v>
      </c>
      <c r="D1747" s="51">
        <v>104630.45</v>
      </c>
      <c r="E1747" s="51" t="str">
        <f t="shared" si="1"/>
        <v>₹1,255,565.40</v>
      </c>
      <c r="F1747" s="52" t="str">
        <f t="shared" si="2"/>
        <v>30.0%</v>
      </c>
      <c r="G1747" s="51" t="str">
        <f t="shared" si="3"/>
        <v>₹376,669.62</v>
      </c>
      <c r="H1747" s="51" t="str">
        <f t="shared" si="4"/>
        <v>₹31,389.14</v>
      </c>
      <c r="I1747" s="51" t="str">
        <f>91516.74-H1747</f>
        <v>₹60,127.61</v>
      </c>
    </row>
    <row r="1748" ht="15.75" customHeight="1">
      <c r="A1748" s="53" t="s">
        <v>1818</v>
      </c>
      <c r="B1748" s="53" t="s">
        <v>17</v>
      </c>
      <c r="C1748" s="53" t="s">
        <v>30</v>
      </c>
      <c r="D1748" s="54">
        <v>104653.63</v>
      </c>
      <c r="E1748" s="54" t="str">
        <f t="shared" si="1"/>
        <v>₹1,255,843.56</v>
      </c>
      <c r="F1748" s="55" t="str">
        <f t="shared" si="2"/>
        <v>30.0%</v>
      </c>
      <c r="G1748" s="54" t="str">
        <f t="shared" si="3"/>
        <v>₹376,753.07</v>
      </c>
      <c r="H1748" s="54" t="str">
        <f t="shared" si="4"/>
        <v>₹31,396.09</v>
      </c>
      <c r="I1748" s="54" t="str">
        <f>91536.53-H1748</f>
        <v>₹60,140.44</v>
      </c>
    </row>
    <row r="1749" ht="15.75" customHeight="1">
      <c r="A1749" s="50" t="s">
        <v>1819</v>
      </c>
      <c r="B1749" s="50" t="s">
        <v>25</v>
      </c>
      <c r="C1749" s="50" t="s">
        <v>18</v>
      </c>
      <c r="D1749" s="51">
        <v>104676.81</v>
      </c>
      <c r="E1749" s="51" t="str">
        <f t="shared" si="1"/>
        <v>₹1,256,121.72</v>
      </c>
      <c r="F1749" s="52" t="str">
        <f t="shared" si="2"/>
        <v>30.0%</v>
      </c>
      <c r="G1749" s="51" t="str">
        <f t="shared" si="3"/>
        <v>₹376,836.52</v>
      </c>
      <c r="H1749" s="51" t="str">
        <f t="shared" si="4"/>
        <v>₹31,403.04</v>
      </c>
      <c r="I1749" s="51" t="str">
        <f>91556.31-H1749</f>
        <v>₹60,153.27</v>
      </c>
    </row>
    <row r="1750" ht="15.75" customHeight="1">
      <c r="A1750" s="53" t="s">
        <v>1820</v>
      </c>
      <c r="B1750" s="53" t="s">
        <v>29</v>
      </c>
      <c r="C1750" s="53" t="s">
        <v>30</v>
      </c>
      <c r="D1750" s="54">
        <v>104699.99</v>
      </c>
      <c r="E1750" s="54" t="str">
        <f t="shared" si="1"/>
        <v>₹1,256,399.88</v>
      </c>
      <c r="F1750" s="55" t="str">
        <f t="shared" si="2"/>
        <v>30.0%</v>
      </c>
      <c r="G1750" s="54" t="str">
        <f t="shared" si="3"/>
        <v>₹376,919.96</v>
      </c>
      <c r="H1750" s="54" t="str">
        <f t="shared" si="4"/>
        <v>₹31,410.00</v>
      </c>
      <c r="I1750" s="54" t="str">
        <f>91576.09-H1750</f>
        <v>₹60,166.09</v>
      </c>
    </row>
    <row r="1751" ht="15.75" customHeight="1">
      <c r="A1751" s="50" t="s">
        <v>1821</v>
      </c>
      <c r="B1751" s="50" t="s">
        <v>13</v>
      </c>
      <c r="C1751" s="50" t="s">
        <v>14</v>
      </c>
      <c r="D1751" s="51">
        <v>104723.17</v>
      </c>
      <c r="E1751" s="51" t="str">
        <f t="shared" si="1"/>
        <v>₹1,256,678.04</v>
      </c>
      <c r="F1751" s="52" t="str">
        <f t="shared" si="2"/>
        <v>30.0%</v>
      </c>
      <c r="G1751" s="51" t="str">
        <f t="shared" si="3"/>
        <v>₹377,003.41</v>
      </c>
      <c r="H1751" s="51" t="str">
        <f t="shared" si="4"/>
        <v>₹31,416.95</v>
      </c>
      <c r="I1751" s="51" t="str">
        <f>91595.87-H1751</f>
        <v>₹60,178.92</v>
      </c>
    </row>
    <row r="1752" ht="15.75" customHeight="1">
      <c r="A1752" s="53" t="s">
        <v>1822</v>
      </c>
      <c r="B1752" s="53" t="s">
        <v>36</v>
      </c>
      <c r="C1752" s="53" t="s">
        <v>54</v>
      </c>
      <c r="D1752" s="54">
        <v>104746.34</v>
      </c>
      <c r="E1752" s="54" t="str">
        <f t="shared" si="1"/>
        <v>₹1,256,956.08</v>
      </c>
      <c r="F1752" s="55" t="str">
        <f t="shared" si="2"/>
        <v>30.0%</v>
      </c>
      <c r="G1752" s="54" t="str">
        <f t="shared" si="3"/>
        <v>₹377,086.82</v>
      </c>
      <c r="H1752" s="54" t="str">
        <f t="shared" si="4"/>
        <v>₹31,423.90</v>
      </c>
      <c r="I1752" s="54" t="str">
        <f>91615.65-H1752</f>
        <v>₹60,191.75</v>
      </c>
    </row>
    <row r="1753" ht="15.75" customHeight="1">
      <c r="A1753" s="50" t="s">
        <v>1823</v>
      </c>
      <c r="B1753" s="50" t="s">
        <v>25</v>
      </c>
      <c r="C1753" s="50" t="s">
        <v>26</v>
      </c>
      <c r="D1753" s="51">
        <v>104769.52</v>
      </c>
      <c r="E1753" s="51" t="str">
        <f t="shared" si="1"/>
        <v>₹1,257,234.24</v>
      </c>
      <c r="F1753" s="52" t="str">
        <f t="shared" si="2"/>
        <v>30.0%</v>
      </c>
      <c r="G1753" s="51" t="str">
        <f t="shared" si="3"/>
        <v>₹377,170.27</v>
      </c>
      <c r="H1753" s="51" t="str">
        <f t="shared" si="4"/>
        <v>₹31,430.86</v>
      </c>
      <c r="I1753" s="51" t="str">
        <f>91635.43-H1753</f>
        <v>₹60,204.57</v>
      </c>
    </row>
    <row r="1754" ht="15.75" customHeight="1">
      <c r="A1754" s="53" t="s">
        <v>1824</v>
      </c>
      <c r="B1754" s="53" t="s">
        <v>17</v>
      </c>
      <c r="C1754" s="53" t="s">
        <v>26</v>
      </c>
      <c r="D1754" s="54">
        <v>104792.7</v>
      </c>
      <c r="E1754" s="54" t="str">
        <f t="shared" si="1"/>
        <v>₹1,257,512.40</v>
      </c>
      <c r="F1754" s="55" t="str">
        <f t="shared" si="2"/>
        <v>30.0%</v>
      </c>
      <c r="G1754" s="54" t="str">
        <f t="shared" si="3"/>
        <v>₹377,253.72</v>
      </c>
      <c r="H1754" s="54" t="str">
        <f t="shared" si="4"/>
        <v>₹31,437.81</v>
      </c>
      <c r="I1754" s="54" t="str">
        <f>91655.21-H1754</f>
        <v>₹60,217.40</v>
      </c>
    </row>
    <row r="1755" ht="15.75" customHeight="1">
      <c r="A1755" s="50" t="s">
        <v>1825</v>
      </c>
      <c r="B1755" s="50" t="s">
        <v>17</v>
      </c>
      <c r="C1755" s="50" t="s">
        <v>33</v>
      </c>
      <c r="D1755" s="51">
        <v>104815.88</v>
      </c>
      <c r="E1755" s="51" t="str">
        <f t="shared" si="1"/>
        <v>₹1,257,790.56</v>
      </c>
      <c r="F1755" s="52" t="str">
        <f t="shared" si="2"/>
        <v>30.0%</v>
      </c>
      <c r="G1755" s="51" t="str">
        <f t="shared" si="3"/>
        <v>₹377,337.17</v>
      </c>
      <c r="H1755" s="51" t="str">
        <f t="shared" si="4"/>
        <v>₹31,444.76</v>
      </c>
      <c r="I1755" s="51" t="str">
        <f>91674.99-H1755</f>
        <v>₹60,230.23</v>
      </c>
    </row>
    <row r="1756" ht="15.75" customHeight="1">
      <c r="A1756" s="53" t="s">
        <v>1826</v>
      </c>
      <c r="B1756" s="53" t="s">
        <v>17</v>
      </c>
      <c r="C1756" s="53" t="s">
        <v>33</v>
      </c>
      <c r="D1756" s="54">
        <v>104839.05</v>
      </c>
      <c r="E1756" s="54" t="str">
        <f t="shared" si="1"/>
        <v>₹1,258,068.60</v>
      </c>
      <c r="F1756" s="55" t="str">
        <f t="shared" si="2"/>
        <v>30.0%</v>
      </c>
      <c r="G1756" s="54" t="str">
        <f t="shared" si="3"/>
        <v>₹377,420.58</v>
      </c>
      <c r="H1756" s="54" t="str">
        <f t="shared" si="4"/>
        <v>₹31,451.72</v>
      </c>
      <c r="I1756" s="54" t="str">
        <f>91694.77-H1756</f>
        <v>₹60,243.06</v>
      </c>
    </row>
    <row r="1757" ht="15.75" customHeight="1">
      <c r="A1757" s="50" t="s">
        <v>1827</v>
      </c>
      <c r="B1757" s="50" t="s">
        <v>36</v>
      </c>
      <c r="C1757" s="50" t="s">
        <v>18</v>
      </c>
      <c r="D1757" s="51">
        <v>104862.23</v>
      </c>
      <c r="E1757" s="51" t="str">
        <f t="shared" si="1"/>
        <v>₹1,258,346.76</v>
      </c>
      <c r="F1757" s="52" t="str">
        <f t="shared" si="2"/>
        <v>30.0%</v>
      </c>
      <c r="G1757" s="51" t="str">
        <f t="shared" si="3"/>
        <v>₹377,504.03</v>
      </c>
      <c r="H1757" s="51" t="str">
        <f t="shared" si="4"/>
        <v>₹31,458.67</v>
      </c>
      <c r="I1757" s="51" t="str">
        <f>91714.55-H1757</f>
        <v>₹60,255.88</v>
      </c>
    </row>
    <row r="1758" ht="15.75" customHeight="1">
      <c r="A1758" s="53" t="s">
        <v>1828</v>
      </c>
      <c r="B1758" s="53" t="s">
        <v>29</v>
      </c>
      <c r="C1758" s="53" t="s">
        <v>30</v>
      </c>
      <c r="D1758" s="54">
        <v>104885.41</v>
      </c>
      <c r="E1758" s="54" t="str">
        <f t="shared" si="1"/>
        <v>₹1,258,624.92</v>
      </c>
      <c r="F1758" s="55" t="str">
        <f t="shared" si="2"/>
        <v>30.0%</v>
      </c>
      <c r="G1758" s="54" t="str">
        <f t="shared" si="3"/>
        <v>₹377,587.48</v>
      </c>
      <c r="H1758" s="54" t="str">
        <f t="shared" si="4"/>
        <v>₹31,465.62</v>
      </c>
      <c r="I1758" s="54" t="str">
        <f>91734.33-H1758</f>
        <v>₹60,268.71</v>
      </c>
    </row>
    <row r="1759" ht="15.75" customHeight="1">
      <c r="A1759" s="50" t="s">
        <v>1829</v>
      </c>
      <c r="B1759" s="50" t="s">
        <v>53</v>
      </c>
      <c r="C1759" s="50" t="s">
        <v>33</v>
      </c>
      <c r="D1759" s="51">
        <v>104908.59</v>
      </c>
      <c r="E1759" s="51" t="str">
        <f t="shared" si="1"/>
        <v>₹1,258,903.08</v>
      </c>
      <c r="F1759" s="52" t="str">
        <f t="shared" si="2"/>
        <v>30.0%</v>
      </c>
      <c r="G1759" s="51" t="str">
        <f t="shared" si="3"/>
        <v>₹377,670.92</v>
      </c>
      <c r="H1759" s="51" t="str">
        <f t="shared" si="4"/>
        <v>₹31,472.58</v>
      </c>
      <c r="I1759" s="51" t="str">
        <f>91754.11-H1759</f>
        <v>₹60,281.53</v>
      </c>
    </row>
    <row r="1760" ht="15.75" customHeight="1">
      <c r="A1760" s="53" t="s">
        <v>1830</v>
      </c>
      <c r="B1760" s="53" t="s">
        <v>53</v>
      </c>
      <c r="C1760" s="53" t="s">
        <v>37</v>
      </c>
      <c r="D1760" s="54">
        <v>104931.76</v>
      </c>
      <c r="E1760" s="54" t="str">
        <f t="shared" si="1"/>
        <v>₹1,259,181.12</v>
      </c>
      <c r="F1760" s="55" t="str">
        <f t="shared" si="2"/>
        <v>30.0%</v>
      </c>
      <c r="G1760" s="54" t="str">
        <f t="shared" si="3"/>
        <v>₹377,754.34</v>
      </c>
      <c r="H1760" s="54" t="str">
        <f t="shared" si="4"/>
        <v>₹31,479.53</v>
      </c>
      <c r="I1760" s="54" t="str">
        <f>91773.89-H1760</f>
        <v>₹60,294.36</v>
      </c>
    </row>
    <row r="1761" ht="15.75" customHeight="1">
      <c r="A1761" s="50" t="s">
        <v>1831</v>
      </c>
      <c r="B1761" s="50" t="s">
        <v>17</v>
      </c>
      <c r="C1761" s="50" t="s">
        <v>33</v>
      </c>
      <c r="D1761" s="51">
        <v>104954.94</v>
      </c>
      <c r="E1761" s="51" t="str">
        <f t="shared" si="1"/>
        <v>₹1,259,459.28</v>
      </c>
      <c r="F1761" s="52" t="str">
        <f t="shared" si="2"/>
        <v>30.0%</v>
      </c>
      <c r="G1761" s="51" t="str">
        <f t="shared" si="3"/>
        <v>₹377,837.78</v>
      </c>
      <c r="H1761" s="51" t="str">
        <f t="shared" si="4"/>
        <v>₹31,486.48</v>
      </c>
      <c r="I1761" s="51" t="str">
        <f>91793.67-H1761</f>
        <v>₹60,307.19</v>
      </c>
    </row>
    <row r="1762" ht="15.75" customHeight="1">
      <c r="A1762" s="53" t="s">
        <v>1832</v>
      </c>
      <c r="B1762" s="53" t="s">
        <v>17</v>
      </c>
      <c r="C1762" s="53" t="s">
        <v>30</v>
      </c>
      <c r="D1762" s="54">
        <v>104978.12</v>
      </c>
      <c r="E1762" s="54" t="str">
        <f t="shared" si="1"/>
        <v>₹1,259,737.44</v>
      </c>
      <c r="F1762" s="55" t="str">
        <f t="shared" si="2"/>
        <v>30.0%</v>
      </c>
      <c r="G1762" s="54" t="str">
        <f t="shared" si="3"/>
        <v>₹377,921.23</v>
      </c>
      <c r="H1762" s="54" t="str">
        <f t="shared" si="4"/>
        <v>₹31,493.44</v>
      </c>
      <c r="I1762" s="54" t="str">
        <f>91813.45-H1762</f>
        <v>₹60,320.01</v>
      </c>
    </row>
    <row r="1763" ht="15.75" customHeight="1">
      <c r="A1763" s="50" t="s">
        <v>1833</v>
      </c>
      <c r="B1763" s="50" t="s">
        <v>29</v>
      </c>
      <c r="C1763" s="50" t="s">
        <v>26</v>
      </c>
      <c r="D1763" s="51">
        <v>105001.3</v>
      </c>
      <c r="E1763" s="51" t="str">
        <f t="shared" si="1"/>
        <v>₹1,260,015.60</v>
      </c>
      <c r="F1763" s="52" t="str">
        <f t="shared" si="2"/>
        <v>30.0%</v>
      </c>
      <c r="G1763" s="51" t="str">
        <f t="shared" si="3"/>
        <v>₹378,004.68</v>
      </c>
      <c r="H1763" s="51" t="str">
        <f t="shared" si="4"/>
        <v>₹31,500.39</v>
      </c>
      <c r="I1763" s="51" t="str">
        <f>91833.23-H1763</f>
        <v>₹60,332.84</v>
      </c>
    </row>
    <row r="1764" ht="15.75" customHeight="1">
      <c r="A1764" s="53" t="s">
        <v>1834</v>
      </c>
      <c r="B1764" s="53" t="s">
        <v>13</v>
      </c>
      <c r="C1764" s="53" t="s">
        <v>37</v>
      </c>
      <c r="D1764" s="54">
        <v>105024.48</v>
      </c>
      <c r="E1764" s="54" t="str">
        <f t="shared" si="1"/>
        <v>₹1,260,293.76</v>
      </c>
      <c r="F1764" s="55" t="str">
        <f t="shared" si="2"/>
        <v>30.0%</v>
      </c>
      <c r="G1764" s="54" t="str">
        <f t="shared" si="3"/>
        <v>₹378,088.13</v>
      </c>
      <c r="H1764" s="54" t="str">
        <f t="shared" si="4"/>
        <v>₹31,507.34</v>
      </c>
      <c r="I1764" s="54" t="str">
        <f>91853.02-H1764</f>
        <v>₹60,345.68</v>
      </c>
    </row>
    <row r="1765" ht="15.75" customHeight="1">
      <c r="A1765" s="50" t="s">
        <v>1835</v>
      </c>
      <c r="B1765" s="50" t="s">
        <v>36</v>
      </c>
      <c r="C1765" s="50" t="s">
        <v>14</v>
      </c>
      <c r="D1765" s="51">
        <v>105047.65</v>
      </c>
      <c r="E1765" s="51" t="str">
        <f t="shared" si="1"/>
        <v>₹1,260,571.80</v>
      </c>
      <c r="F1765" s="52" t="str">
        <f t="shared" si="2"/>
        <v>30.0%</v>
      </c>
      <c r="G1765" s="51" t="str">
        <f t="shared" si="3"/>
        <v>₹378,171.54</v>
      </c>
      <c r="H1765" s="51" t="str">
        <f t="shared" si="4"/>
        <v>₹31,514.30</v>
      </c>
      <c r="I1765" s="51" t="str">
        <f>91872.79-H1765</f>
        <v>₹60,358.50</v>
      </c>
    </row>
    <row r="1766" ht="15.75" customHeight="1">
      <c r="A1766" s="53" t="s">
        <v>1836</v>
      </c>
      <c r="B1766" s="53" t="s">
        <v>53</v>
      </c>
      <c r="C1766" s="53" t="s">
        <v>14</v>
      </c>
      <c r="D1766" s="54">
        <v>105070.83</v>
      </c>
      <c r="E1766" s="54" t="str">
        <f t="shared" si="1"/>
        <v>₹1,260,849.96</v>
      </c>
      <c r="F1766" s="55" t="str">
        <f t="shared" si="2"/>
        <v>30.0%</v>
      </c>
      <c r="G1766" s="54" t="str">
        <f t="shared" si="3"/>
        <v>₹378,254.99</v>
      </c>
      <c r="H1766" s="54" t="str">
        <f t="shared" si="4"/>
        <v>₹31,521.25</v>
      </c>
      <c r="I1766" s="54" t="str">
        <f>91892.57-H1766</f>
        <v>₹60,371.32</v>
      </c>
    </row>
    <row r="1767" ht="15.75" customHeight="1">
      <c r="A1767" s="50" t="s">
        <v>1837</v>
      </c>
      <c r="B1767" s="50" t="s">
        <v>29</v>
      </c>
      <c r="C1767" s="50" t="s">
        <v>26</v>
      </c>
      <c r="D1767" s="51">
        <v>105094.01</v>
      </c>
      <c r="E1767" s="51" t="str">
        <f t="shared" si="1"/>
        <v>₹1,261,128.12</v>
      </c>
      <c r="F1767" s="52" t="str">
        <f t="shared" si="2"/>
        <v>30.0%</v>
      </c>
      <c r="G1767" s="51" t="str">
        <f t="shared" si="3"/>
        <v>₹378,338.44</v>
      </c>
      <c r="H1767" s="51" t="str">
        <f t="shared" si="4"/>
        <v>₹31,528.20</v>
      </c>
      <c r="I1767" s="51" t="str">
        <f>91912.35-H1767</f>
        <v>₹60,384.15</v>
      </c>
    </row>
    <row r="1768" ht="15.75" customHeight="1">
      <c r="A1768" s="53" t="s">
        <v>1838</v>
      </c>
      <c r="B1768" s="53" t="s">
        <v>17</v>
      </c>
      <c r="C1768" s="53" t="s">
        <v>26</v>
      </c>
      <c r="D1768" s="54">
        <v>105117.19</v>
      </c>
      <c r="E1768" s="54" t="str">
        <f t="shared" si="1"/>
        <v>₹1,261,406.28</v>
      </c>
      <c r="F1768" s="55" t="str">
        <f t="shared" si="2"/>
        <v>30.0%</v>
      </c>
      <c r="G1768" s="54" t="str">
        <f t="shared" si="3"/>
        <v>₹378,421.88</v>
      </c>
      <c r="H1768" s="54" t="str">
        <f t="shared" si="4"/>
        <v>₹31,535.16</v>
      </c>
      <c r="I1768" s="54" t="str">
        <f>91932.13-H1768</f>
        <v>₹60,396.97</v>
      </c>
    </row>
    <row r="1769" ht="15.75" customHeight="1">
      <c r="A1769" s="50" t="s">
        <v>1839</v>
      </c>
      <c r="B1769" s="50" t="s">
        <v>25</v>
      </c>
      <c r="C1769" s="50" t="s">
        <v>54</v>
      </c>
      <c r="D1769" s="51">
        <v>105140.36</v>
      </c>
      <c r="E1769" s="51" t="str">
        <f t="shared" si="1"/>
        <v>₹1,261,684.32</v>
      </c>
      <c r="F1769" s="52" t="str">
        <f t="shared" si="2"/>
        <v>30.0%</v>
      </c>
      <c r="G1769" s="51" t="str">
        <f t="shared" si="3"/>
        <v>₹378,505.30</v>
      </c>
      <c r="H1769" s="51" t="str">
        <f t="shared" si="4"/>
        <v>₹31,542.11</v>
      </c>
      <c r="I1769" s="51" t="str">
        <f>91951.91-H1769</f>
        <v>₹60,409.80</v>
      </c>
    </row>
    <row r="1770" ht="15.75" customHeight="1">
      <c r="A1770" s="53" t="s">
        <v>1840</v>
      </c>
      <c r="B1770" s="53" t="s">
        <v>25</v>
      </c>
      <c r="C1770" s="53" t="s">
        <v>18</v>
      </c>
      <c r="D1770" s="54">
        <v>105163.54</v>
      </c>
      <c r="E1770" s="54" t="str">
        <f t="shared" si="1"/>
        <v>₹1,261,962.48</v>
      </c>
      <c r="F1770" s="55" t="str">
        <f t="shared" si="2"/>
        <v>30.0%</v>
      </c>
      <c r="G1770" s="54" t="str">
        <f t="shared" si="3"/>
        <v>₹378,588.74</v>
      </c>
      <c r="H1770" s="54" t="str">
        <f t="shared" si="4"/>
        <v>₹31,549.06</v>
      </c>
      <c r="I1770" s="54" t="str">
        <f>91971.69-H1770</f>
        <v>₹60,422.63</v>
      </c>
    </row>
    <row r="1771" ht="15.75" customHeight="1">
      <c r="A1771" s="50" t="s">
        <v>1841</v>
      </c>
      <c r="B1771" s="50" t="s">
        <v>13</v>
      </c>
      <c r="C1771" s="50" t="s">
        <v>37</v>
      </c>
      <c r="D1771" s="51">
        <v>105186.72</v>
      </c>
      <c r="E1771" s="51" t="str">
        <f t="shared" si="1"/>
        <v>₹1,262,240.64</v>
      </c>
      <c r="F1771" s="52" t="str">
        <f t="shared" si="2"/>
        <v>30.0%</v>
      </c>
      <c r="G1771" s="51" t="str">
        <f t="shared" si="3"/>
        <v>₹378,672.19</v>
      </c>
      <c r="H1771" s="51" t="str">
        <f t="shared" si="4"/>
        <v>₹31,556.02</v>
      </c>
      <c r="I1771" s="51" t="str">
        <f>91991.47-H1771</f>
        <v>₹60,435.45</v>
      </c>
    </row>
    <row r="1772" ht="15.75" customHeight="1">
      <c r="A1772" s="53" t="s">
        <v>1842</v>
      </c>
      <c r="B1772" s="53" t="s">
        <v>51</v>
      </c>
      <c r="C1772" s="53" t="s">
        <v>26</v>
      </c>
      <c r="D1772" s="54">
        <v>105209.9</v>
      </c>
      <c r="E1772" s="54" t="str">
        <f t="shared" si="1"/>
        <v>₹1,262,518.80</v>
      </c>
      <c r="F1772" s="55" t="str">
        <f t="shared" si="2"/>
        <v>30.0%</v>
      </c>
      <c r="G1772" s="54" t="str">
        <f t="shared" si="3"/>
        <v>₹378,755.64</v>
      </c>
      <c r="H1772" s="54" t="str">
        <f t="shared" si="4"/>
        <v>₹31,562.97</v>
      </c>
      <c r="I1772" s="54" t="str">
        <f>92011.25-H1772</f>
        <v>₹60,448.28</v>
      </c>
    </row>
    <row r="1773" ht="15.75" customHeight="1">
      <c r="A1773" s="50" t="s">
        <v>1843</v>
      </c>
      <c r="B1773" s="50" t="s">
        <v>36</v>
      </c>
      <c r="C1773" s="50" t="s">
        <v>30</v>
      </c>
      <c r="D1773" s="51">
        <v>105233.07</v>
      </c>
      <c r="E1773" s="51" t="str">
        <f t="shared" si="1"/>
        <v>₹1,262,796.84</v>
      </c>
      <c r="F1773" s="52" t="str">
        <f t="shared" si="2"/>
        <v>30.0%</v>
      </c>
      <c r="G1773" s="51" t="str">
        <f t="shared" si="3"/>
        <v>₹378,839.05</v>
      </c>
      <c r="H1773" s="51" t="str">
        <f t="shared" si="4"/>
        <v>₹31,569.92</v>
      </c>
      <c r="I1773" s="51" t="str">
        <f>92031.03-H1773</f>
        <v>₹60,461.11</v>
      </c>
    </row>
    <row r="1774" ht="15.75" customHeight="1">
      <c r="A1774" s="53" t="s">
        <v>1844</v>
      </c>
      <c r="B1774" s="53" t="s">
        <v>29</v>
      </c>
      <c r="C1774" s="53" t="s">
        <v>18</v>
      </c>
      <c r="D1774" s="54">
        <v>105256.25</v>
      </c>
      <c r="E1774" s="54" t="str">
        <f t="shared" si="1"/>
        <v>₹1,263,075.00</v>
      </c>
      <c r="F1774" s="55" t="str">
        <f t="shared" si="2"/>
        <v>30.0%</v>
      </c>
      <c r="G1774" s="54" t="str">
        <f t="shared" si="3"/>
        <v>₹378,922.50</v>
      </c>
      <c r="H1774" s="54" t="str">
        <f t="shared" si="4"/>
        <v>₹31,576.88</v>
      </c>
      <c r="I1774" s="54" t="str">
        <f>92050.81-H1774</f>
        <v>₹60,473.94</v>
      </c>
    </row>
    <row r="1775" ht="15.75" customHeight="1">
      <c r="A1775" s="50" t="s">
        <v>1845</v>
      </c>
      <c r="B1775" s="50" t="s">
        <v>53</v>
      </c>
      <c r="C1775" s="50" t="s">
        <v>33</v>
      </c>
      <c r="D1775" s="51">
        <v>105279.43</v>
      </c>
      <c r="E1775" s="51" t="str">
        <f t="shared" si="1"/>
        <v>₹1,263,353.16</v>
      </c>
      <c r="F1775" s="52" t="str">
        <f t="shared" si="2"/>
        <v>30.0%</v>
      </c>
      <c r="G1775" s="51" t="str">
        <f t="shared" si="3"/>
        <v>₹379,005.95</v>
      </c>
      <c r="H1775" s="51" t="str">
        <f t="shared" si="4"/>
        <v>₹31,583.83</v>
      </c>
      <c r="I1775" s="51" t="str">
        <f>92070.59-H1775</f>
        <v>₹60,486.76</v>
      </c>
    </row>
    <row r="1776" ht="15.75" customHeight="1">
      <c r="A1776" s="53" t="s">
        <v>1846</v>
      </c>
      <c r="B1776" s="53" t="s">
        <v>25</v>
      </c>
      <c r="C1776" s="53" t="s">
        <v>18</v>
      </c>
      <c r="D1776" s="54">
        <v>105302.61</v>
      </c>
      <c r="E1776" s="54" t="str">
        <f t="shared" si="1"/>
        <v>₹1,263,631.32</v>
      </c>
      <c r="F1776" s="55" t="str">
        <f t="shared" si="2"/>
        <v>30.0%</v>
      </c>
      <c r="G1776" s="54" t="str">
        <f t="shared" si="3"/>
        <v>₹379,089.40</v>
      </c>
      <c r="H1776" s="54" t="str">
        <f t="shared" si="4"/>
        <v>₹31,590.78</v>
      </c>
      <c r="I1776" s="54" t="str">
        <f>92090.37-H1776</f>
        <v>₹60,499.59</v>
      </c>
    </row>
    <row r="1777" ht="15.75" customHeight="1">
      <c r="A1777" s="50" t="s">
        <v>1847</v>
      </c>
      <c r="B1777" s="50" t="s">
        <v>51</v>
      </c>
      <c r="C1777" s="50" t="s">
        <v>30</v>
      </c>
      <c r="D1777" s="51">
        <v>105325.79</v>
      </c>
      <c r="E1777" s="51" t="str">
        <f t="shared" si="1"/>
        <v>₹1,263,909.48</v>
      </c>
      <c r="F1777" s="52" t="str">
        <f t="shared" si="2"/>
        <v>30.0%</v>
      </c>
      <c r="G1777" s="51" t="str">
        <f t="shared" si="3"/>
        <v>₹379,172.84</v>
      </c>
      <c r="H1777" s="51" t="str">
        <f t="shared" si="4"/>
        <v>₹31,597.74</v>
      </c>
      <c r="I1777" s="51" t="str">
        <f>92110.16-H1777</f>
        <v>₹60,512.42</v>
      </c>
    </row>
    <row r="1778" ht="15.75" customHeight="1">
      <c r="A1778" s="53" t="s">
        <v>1848</v>
      </c>
      <c r="B1778" s="53" t="s">
        <v>17</v>
      </c>
      <c r="C1778" s="53" t="s">
        <v>37</v>
      </c>
      <c r="D1778" s="54">
        <v>105348.96</v>
      </c>
      <c r="E1778" s="54" t="str">
        <f t="shared" si="1"/>
        <v>₹1,264,187.52</v>
      </c>
      <c r="F1778" s="55" t="str">
        <f t="shared" si="2"/>
        <v>30.0%</v>
      </c>
      <c r="G1778" s="54" t="str">
        <f t="shared" si="3"/>
        <v>₹379,256.26</v>
      </c>
      <c r="H1778" s="54" t="str">
        <f t="shared" si="4"/>
        <v>₹31,604.69</v>
      </c>
      <c r="I1778" s="54" t="str">
        <f>92129.93-H1778</f>
        <v>₹60,525.24</v>
      </c>
    </row>
    <row r="1779" ht="15.75" customHeight="1">
      <c r="A1779" s="50" t="s">
        <v>1849</v>
      </c>
      <c r="B1779" s="50" t="s">
        <v>36</v>
      </c>
      <c r="C1779" s="50" t="s">
        <v>33</v>
      </c>
      <c r="D1779" s="51">
        <v>105372.14</v>
      </c>
      <c r="E1779" s="51" t="str">
        <f t="shared" si="1"/>
        <v>₹1,264,465.68</v>
      </c>
      <c r="F1779" s="52" t="str">
        <f t="shared" si="2"/>
        <v>30.0%</v>
      </c>
      <c r="G1779" s="51" t="str">
        <f t="shared" si="3"/>
        <v>₹379,339.70</v>
      </c>
      <c r="H1779" s="51" t="str">
        <f t="shared" si="4"/>
        <v>₹31,611.64</v>
      </c>
      <c r="I1779" s="51" t="str">
        <f>92149.71-H1779</f>
        <v>₹60,538.07</v>
      </c>
    </row>
    <row r="1780" ht="15.75" customHeight="1">
      <c r="A1780" s="53" t="s">
        <v>1850</v>
      </c>
      <c r="B1780" s="53" t="s">
        <v>51</v>
      </c>
      <c r="C1780" s="53" t="s">
        <v>33</v>
      </c>
      <c r="D1780" s="54">
        <v>105395.32</v>
      </c>
      <c r="E1780" s="54" t="str">
        <f t="shared" si="1"/>
        <v>₹1,264,743.84</v>
      </c>
      <c r="F1780" s="55" t="str">
        <f t="shared" si="2"/>
        <v>30.0%</v>
      </c>
      <c r="G1780" s="54" t="str">
        <f t="shared" si="3"/>
        <v>₹379,423.15</v>
      </c>
      <c r="H1780" s="54" t="str">
        <f t="shared" si="4"/>
        <v>₹31,618.60</v>
      </c>
      <c r="I1780" s="54" t="str">
        <f>92169.49-H1780</f>
        <v>₹60,550.89</v>
      </c>
    </row>
    <row r="1781" ht="15.75" customHeight="1">
      <c r="A1781" s="50" t="s">
        <v>1851</v>
      </c>
      <c r="B1781" s="50" t="s">
        <v>17</v>
      </c>
      <c r="C1781" s="50" t="s">
        <v>54</v>
      </c>
      <c r="D1781" s="51">
        <v>105418.5</v>
      </c>
      <c r="E1781" s="51" t="str">
        <f t="shared" si="1"/>
        <v>₹1,265,022.00</v>
      </c>
      <c r="F1781" s="52" t="str">
        <f t="shared" si="2"/>
        <v>30.0%</v>
      </c>
      <c r="G1781" s="51" t="str">
        <f t="shared" si="3"/>
        <v>₹379,506.60</v>
      </c>
      <c r="H1781" s="51" t="str">
        <f t="shared" si="4"/>
        <v>₹31,625.55</v>
      </c>
      <c r="I1781" s="51" t="str">
        <f>92189.28-H1781</f>
        <v>₹60,563.73</v>
      </c>
    </row>
    <row r="1782" ht="15.75" customHeight="1">
      <c r="A1782" s="53" t="s">
        <v>1852</v>
      </c>
      <c r="B1782" s="53" t="s">
        <v>36</v>
      </c>
      <c r="C1782" s="53" t="s">
        <v>33</v>
      </c>
      <c r="D1782" s="54">
        <v>105441.67</v>
      </c>
      <c r="E1782" s="54" t="str">
        <f t="shared" si="1"/>
        <v>₹1,265,300.04</v>
      </c>
      <c r="F1782" s="55" t="str">
        <f t="shared" si="2"/>
        <v>30.0%</v>
      </c>
      <c r="G1782" s="54" t="str">
        <f t="shared" si="3"/>
        <v>₹379,590.01</v>
      </c>
      <c r="H1782" s="54" t="str">
        <f t="shared" si="4"/>
        <v>₹31,632.50</v>
      </c>
      <c r="I1782" s="54" t="str">
        <f>92209.05-H1782</f>
        <v>₹60,576.55</v>
      </c>
    </row>
    <row r="1783" ht="15.75" customHeight="1">
      <c r="A1783" s="50" t="s">
        <v>1853</v>
      </c>
      <c r="B1783" s="50" t="s">
        <v>29</v>
      </c>
      <c r="C1783" s="50" t="s">
        <v>33</v>
      </c>
      <c r="D1783" s="51">
        <v>105464.85</v>
      </c>
      <c r="E1783" s="51" t="str">
        <f t="shared" si="1"/>
        <v>₹1,265,578.20</v>
      </c>
      <c r="F1783" s="52" t="str">
        <f t="shared" si="2"/>
        <v>30.0%</v>
      </c>
      <c r="G1783" s="51" t="str">
        <f t="shared" si="3"/>
        <v>₹379,673.46</v>
      </c>
      <c r="H1783" s="51" t="str">
        <f t="shared" si="4"/>
        <v>₹31,639.46</v>
      </c>
      <c r="I1783" s="51" t="str">
        <f>92228.83-H1783</f>
        <v>₹60,589.38</v>
      </c>
    </row>
    <row r="1784" ht="15.75" customHeight="1">
      <c r="A1784" s="53" t="s">
        <v>1854</v>
      </c>
      <c r="B1784" s="53" t="s">
        <v>51</v>
      </c>
      <c r="C1784" s="53" t="s">
        <v>33</v>
      </c>
      <c r="D1784" s="54">
        <v>105488.03</v>
      </c>
      <c r="E1784" s="54" t="str">
        <f t="shared" si="1"/>
        <v>₹1,265,856.36</v>
      </c>
      <c r="F1784" s="55" t="str">
        <f t="shared" si="2"/>
        <v>30.0%</v>
      </c>
      <c r="G1784" s="54" t="str">
        <f t="shared" si="3"/>
        <v>₹379,756.91</v>
      </c>
      <c r="H1784" s="54" t="str">
        <f t="shared" si="4"/>
        <v>₹31,646.41</v>
      </c>
      <c r="I1784" s="54" t="str">
        <f>92248.61-H1784</f>
        <v>₹60,602.20</v>
      </c>
    </row>
    <row r="1785" ht="15.75" customHeight="1">
      <c r="A1785" s="50" t="s">
        <v>1855</v>
      </c>
      <c r="B1785" s="50" t="s">
        <v>13</v>
      </c>
      <c r="C1785" s="50" t="s">
        <v>54</v>
      </c>
      <c r="D1785" s="51">
        <v>105511.21</v>
      </c>
      <c r="E1785" s="51" t="str">
        <f t="shared" si="1"/>
        <v>₹1,266,134.52</v>
      </c>
      <c r="F1785" s="52" t="str">
        <f t="shared" si="2"/>
        <v>30.0%</v>
      </c>
      <c r="G1785" s="51" t="str">
        <f t="shared" si="3"/>
        <v>₹379,840.36</v>
      </c>
      <c r="H1785" s="51" t="str">
        <f t="shared" si="4"/>
        <v>₹31,653.36</v>
      </c>
      <c r="I1785" s="51" t="str">
        <f>92268.4-H1785</f>
        <v>₹60,615.04</v>
      </c>
    </row>
    <row r="1786" ht="15.75" customHeight="1">
      <c r="A1786" s="53" t="s">
        <v>1856</v>
      </c>
      <c r="B1786" s="53" t="s">
        <v>13</v>
      </c>
      <c r="C1786" s="53" t="s">
        <v>54</v>
      </c>
      <c r="D1786" s="54">
        <v>105534.38</v>
      </c>
      <c r="E1786" s="54" t="str">
        <f t="shared" si="1"/>
        <v>₹1,266,412.56</v>
      </c>
      <c r="F1786" s="55" t="str">
        <f t="shared" si="2"/>
        <v>30.0%</v>
      </c>
      <c r="G1786" s="54" t="str">
        <f t="shared" si="3"/>
        <v>₹379,923.77</v>
      </c>
      <c r="H1786" s="54" t="str">
        <f t="shared" si="4"/>
        <v>₹31,660.31</v>
      </c>
      <c r="I1786" s="54" t="str">
        <f>92288.17-H1786</f>
        <v>₹60,627.86</v>
      </c>
    </row>
    <row r="1787" ht="15.75" customHeight="1">
      <c r="A1787" s="50" t="s">
        <v>1857</v>
      </c>
      <c r="B1787" s="50" t="s">
        <v>25</v>
      </c>
      <c r="C1787" s="50" t="s">
        <v>30</v>
      </c>
      <c r="D1787" s="51">
        <v>105557.56</v>
      </c>
      <c r="E1787" s="51" t="str">
        <f t="shared" si="1"/>
        <v>₹1,266,690.72</v>
      </c>
      <c r="F1787" s="52" t="str">
        <f t="shared" si="2"/>
        <v>30.0%</v>
      </c>
      <c r="G1787" s="51" t="str">
        <f t="shared" si="3"/>
        <v>₹380,007.22</v>
      </c>
      <c r="H1787" s="51" t="str">
        <f t="shared" si="4"/>
        <v>₹31,667.27</v>
      </c>
      <c r="I1787" s="51" t="str">
        <f>92307.95-H1787</f>
        <v>₹60,640.68</v>
      </c>
    </row>
    <row r="1788" ht="15.75" customHeight="1">
      <c r="A1788" s="53" t="s">
        <v>1858</v>
      </c>
      <c r="B1788" s="53" t="s">
        <v>53</v>
      </c>
      <c r="C1788" s="53" t="s">
        <v>14</v>
      </c>
      <c r="D1788" s="54">
        <v>105580.74</v>
      </c>
      <c r="E1788" s="54" t="str">
        <f t="shared" si="1"/>
        <v>₹1,266,968.88</v>
      </c>
      <c r="F1788" s="55" t="str">
        <f t="shared" si="2"/>
        <v>30.0%</v>
      </c>
      <c r="G1788" s="54" t="str">
        <f t="shared" si="3"/>
        <v>₹380,090.66</v>
      </c>
      <c r="H1788" s="54" t="str">
        <f t="shared" si="4"/>
        <v>₹31,674.22</v>
      </c>
      <c r="I1788" s="54" t="str">
        <f>92327.73-H1788</f>
        <v>₹60,653.51</v>
      </c>
    </row>
    <row r="1789" ht="15.75" customHeight="1">
      <c r="A1789" s="50" t="s">
        <v>1859</v>
      </c>
      <c r="B1789" s="50" t="s">
        <v>51</v>
      </c>
      <c r="C1789" s="50" t="s">
        <v>14</v>
      </c>
      <c r="D1789" s="51">
        <v>105603.92</v>
      </c>
      <c r="E1789" s="51" t="str">
        <f t="shared" si="1"/>
        <v>₹1,267,247.04</v>
      </c>
      <c r="F1789" s="52" t="str">
        <f t="shared" si="2"/>
        <v>30.0%</v>
      </c>
      <c r="G1789" s="51" t="str">
        <f t="shared" si="3"/>
        <v>₹380,174.11</v>
      </c>
      <c r="H1789" s="51" t="str">
        <f t="shared" si="4"/>
        <v>₹31,681.18</v>
      </c>
      <c r="I1789" s="51" t="str">
        <f>92347.52-H1789</f>
        <v>₹60,666.34</v>
      </c>
    </row>
    <row r="1790" ht="15.75" customHeight="1">
      <c r="A1790" s="53" t="s">
        <v>1860</v>
      </c>
      <c r="B1790" s="53" t="s">
        <v>29</v>
      </c>
      <c r="C1790" s="53" t="s">
        <v>26</v>
      </c>
      <c r="D1790" s="54">
        <v>105627.1</v>
      </c>
      <c r="E1790" s="54" t="str">
        <f t="shared" si="1"/>
        <v>₹1,267,525.20</v>
      </c>
      <c r="F1790" s="55" t="str">
        <f t="shared" si="2"/>
        <v>30.0%</v>
      </c>
      <c r="G1790" s="54" t="str">
        <f t="shared" si="3"/>
        <v>₹380,257.56</v>
      </c>
      <c r="H1790" s="54" t="str">
        <f t="shared" si="4"/>
        <v>₹31,688.13</v>
      </c>
      <c r="I1790" s="54" t="str">
        <f>92367.3-H1790</f>
        <v>₹60,679.17</v>
      </c>
    </row>
    <row r="1791" ht="15.75" customHeight="1">
      <c r="A1791" s="50" t="s">
        <v>1861</v>
      </c>
      <c r="B1791" s="50" t="s">
        <v>17</v>
      </c>
      <c r="C1791" s="50" t="s">
        <v>30</v>
      </c>
      <c r="D1791" s="51">
        <v>105650.27</v>
      </c>
      <c r="E1791" s="51" t="str">
        <f t="shared" si="1"/>
        <v>₹1,267,803.24</v>
      </c>
      <c r="F1791" s="52" t="str">
        <f t="shared" si="2"/>
        <v>30.0%</v>
      </c>
      <c r="G1791" s="51" t="str">
        <f t="shared" si="3"/>
        <v>₹380,340.97</v>
      </c>
      <c r="H1791" s="51" t="str">
        <f t="shared" si="4"/>
        <v>₹31,695.08</v>
      </c>
      <c r="I1791" s="51" t="str">
        <f>92387.07-H1791</f>
        <v>₹60,691.99</v>
      </c>
    </row>
    <row r="1792" ht="15.75" customHeight="1">
      <c r="A1792" s="53" t="s">
        <v>1862</v>
      </c>
      <c r="B1792" s="53" t="s">
        <v>53</v>
      </c>
      <c r="C1792" s="53" t="s">
        <v>37</v>
      </c>
      <c r="D1792" s="54">
        <v>105673.45</v>
      </c>
      <c r="E1792" s="54" t="str">
        <f t="shared" si="1"/>
        <v>₹1,268,081.40</v>
      </c>
      <c r="F1792" s="55" t="str">
        <f t="shared" si="2"/>
        <v>30.0%</v>
      </c>
      <c r="G1792" s="54" t="str">
        <f t="shared" si="3"/>
        <v>₹380,424.42</v>
      </c>
      <c r="H1792" s="54" t="str">
        <f t="shared" si="4"/>
        <v>₹31,702.04</v>
      </c>
      <c r="I1792" s="54" t="str">
        <f>92406.85-H1792</f>
        <v>₹60,704.82</v>
      </c>
    </row>
    <row r="1793" ht="15.75" customHeight="1">
      <c r="A1793" s="50" t="s">
        <v>1863</v>
      </c>
      <c r="B1793" s="50" t="s">
        <v>25</v>
      </c>
      <c r="C1793" s="50" t="s">
        <v>18</v>
      </c>
      <c r="D1793" s="51">
        <v>105696.63</v>
      </c>
      <c r="E1793" s="51" t="str">
        <f t="shared" si="1"/>
        <v>₹1,268,359.56</v>
      </c>
      <c r="F1793" s="52" t="str">
        <f t="shared" si="2"/>
        <v>30.0%</v>
      </c>
      <c r="G1793" s="51" t="str">
        <f t="shared" si="3"/>
        <v>₹380,507.87</v>
      </c>
      <c r="H1793" s="51" t="str">
        <f t="shared" si="4"/>
        <v>₹31,708.99</v>
      </c>
      <c r="I1793" s="51" t="str">
        <f>92426.64-H1793</f>
        <v>₹60,717.65</v>
      </c>
    </row>
    <row r="1794" ht="15.75" customHeight="1">
      <c r="A1794" s="53" t="s">
        <v>1864</v>
      </c>
      <c r="B1794" s="53" t="s">
        <v>25</v>
      </c>
      <c r="C1794" s="53" t="s">
        <v>30</v>
      </c>
      <c r="D1794" s="54">
        <v>105719.81</v>
      </c>
      <c r="E1794" s="54" t="str">
        <f t="shared" si="1"/>
        <v>₹1,268,637.72</v>
      </c>
      <c r="F1794" s="55" t="str">
        <f t="shared" si="2"/>
        <v>30.0%</v>
      </c>
      <c r="G1794" s="54" t="str">
        <f t="shared" si="3"/>
        <v>₹380,591.32</v>
      </c>
      <c r="H1794" s="54" t="str">
        <f t="shared" si="4"/>
        <v>₹31,715.94</v>
      </c>
      <c r="I1794" s="54" t="str">
        <f>92446.42-H1794</f>
        <v>₹60,730.48</v>
      </c>
    </row>
    <row r="1795" ht="15.75" customHeight="1">
      <c r="A1795" s="50" t="s">
        <v>1865</v>
      </c>
      <c r="B1795" s="50" t="s">
        <v>13</v>
      </c>
      <c r="C1795" s="50" t="s">
        <v>54</v>
      </c>
      <c r="D1795" s="51">
        <v>105742.98</v>
      </c>
      <c r="E1795" s="51" t="str">
        <f t="shared" si="1"/>
        <v>₹1,268,915.76</v>
      </c>
      <c r="F1795" s="52" t="str">
        <f t="shared" si="2"/>
        <v>30.0%</v>
      </c>
      <c r="G1795" s="51" t="str">
        <f t="shared" si="3"/>
        <v>₹380,674.73</v>
      </c>
      <c r="H1795" s="51" t="str">
        <f t="shared" si="4"/>
        <v>₹31,722.89</v>
      </c>
      <c r="I1795" s="51" t="str">
        <f>92466.19-H1795</f>
        <v>₹60,743.30</v>
      </c>
    </row>
    <row r="1796" ht="15.75" customHeight="1">
      <c r="A1796" s="53" t="s">
        <v>1866</v>
      </c>
      <c r="B1796" s="53" t="s">
        <v>51</v>
      </c>
      <c r="C1796" s="53" t="s">
        <v>33</v>
      </c>
      <c r="D1796" s="54">
        <v>105789.34</v>
      </c>
      <c r="E1796" s="54" t="str">
        <f t="shared" si="1"/>
        <v>₹1,269,472.08</v>
      </c>
      <c r="F1796" s="55" t="str">
        <f t="shared" si="2"/>
        <v>30.0%</v>
      </c>
      <c r="G1796" s="54" t="str">
        <f t="shared" si="3"/>
        <v>₹380,841.62</v>
      </c>
      <c r="H1796" s="54" t="str">
        <f t="shared" si="4"/>
        <v>₹31,736.80</v>
      </c>
      <c r="I1796" s="54" t="str">
        <f>92505.76-H1796</f>
        <v>₹60,768.96</v>
      </c>
    </row>
    <row r="1797" ht="15.75" customHeight="1">
      <c r="A1797" s="50" t="s">
        <v>1867</v>
      </c>
      <c r="B1797" s="50" t="s">
        <v>13</v>
      </c>
      <c r="C1797" s="50" t="s">
        <v>33</v>
      </c>
      <c r="D1797" s="51">
        <v>105812.52</v>
      </c>
      <c r="E1797" s="51" t="str">
        <f t="shared" si="1"/>
        <v>₹1,269,750.24</v>
      </c>
      <c r="F1797" s="52" t="str">
        <f t="shared" si="2"/>
        <v>30.0%</v>
      </c>
      <c r="G1797" s="51" t="str">
        <f t="shared" si="3"/>
        <v>₹380,925.07</v>
      </c>
      <c r="H1797" s="51" t="str">
        <f t="shared" si="4"/>
        <v>₹31,743.76</v>
      </c>
      <c r="I1797" s="51" t="str">
        <f>92525.54-H1797</f>
        <v>₹60,781.78</v>
      </c>
    </row>
    <row r="1798" ht="15.75" customHeight="1">
      <c r="A1798" s="53" t="s">
        <v>1868</v>
      </c>
      <c r="B1798" s="53" t="s">
        <v>51</v>
      </c>
      <c r="C1798" s="53" t="s">
        <v>54</v>
      </c>
      <c r="D1798" s="54">
        <v>105835.69</v>
      </c>
      <c r="E1798" s="54" t="str">
        <f t="shared" si="1"/>
        <v>₹1,270,028.28</v>
      </c>
      <c r="F1798" s="55" t="str">
        <f t="shared" si="2"/>
        <v>30.0%</v>
      </c>
      <c r="G1798" s="54" t="str">
        <f t="shared" si="3"/>
        <v>₹381,008.48</v>
      </c>
      <c r="H1798" s="54" t="str">
        <f t="shared" si="4"/>
        <v>₹31,750.71</v>
      </c>
      <c r="I1798" s="54" t="str">
        <f>92545.31-H1798</f>
        <v>₹60,794.60</v>
      </c>
    </row>
    <row r="1799" ht="15.75" customHeight="1">
      <c r="A1799" s="50" t="s">
        <v>1869</v>
      </c>
      <c r="B1799" s="50" t="s">
        <v>17</v>
      </c>
      <c r="C1799" s="50" t="s">
        <v>14</v>
      </c>
      <c r="D1799" s="51">
        <v>105858.87</v>
      </c>
      <c r="E1799" s="51" t="str">
        <f t="shared" si="1"/>
        <v>₹1,270,306.44</v>
      </c>
      <c r="F1799" s="52" t="str">
        <f t="shared" si="2"/>
        <v>30.0%</v>
      </c>
      <c r="G1799" s="51" t="str">
        <f t="shared" si="3"/>
        <v>₹381,091.93</v>
      </c>
      <c r="H1799" s="51" t="str">
        <f t="shared" si="4"/>
        <v>₹31,757.66</v>
      </c>
      <c r="I1799" s="51" t="str">
        <f>92565.09-H1799</f>
        <v>₹60,807.43</v>
      </c>
    </row>
    <row r="1800" ht="15.75" customHeight="1">
      <c r="A1800" s="53" t="s">
        <v>1870</v>
      </c>
      <c r="B1800" s="53" t="s">
        <v>17</v>
      </c>
      <c r="C1800" s="53" t="s">
        <v>33</v>
      </c>
      <c r="D1800" s="54">
        <v>105905.23</v>
      </c>
      <c r="E1800" s="54" t="str">
        <f t="shared" si="1"/>
        <v>₹1,270,862.76</v>
      </c>
      <c r="F1800" s="55" t="str">
        <f t="shared" si="2"/>
        <v>30.0%</v>
      </c>
      <c r="G1800" s="54" t="str">
        <f t="shared" si="3"/>
        <v>₹381,258.83</v>
      </c>
      <c r="H1800" s="54" t="str">
        <f t="shared" si="4"/>
        <v>₹31,771.57</v>
      </c>
      <c r="I1800" s="54" t="str">
        <f>92604.66-H1800</f>
        <v>₹60,833.09</v>
      </c>
    </row>
    <row r="1801" ht="15.75" customHeight="1">
      <c r="A1801" s="50" t="s">
        <v>1871</v>
      </c>
      <c r="B1801" s="50" t="s">
        <v>13</v>
      </c>
      <c r="C1801" s="50" t="s">
        <v>18</v>
      </c>
      <c r="D1801" s="51">
        <v>105928.41</v>
      </c>
      <c r="E1801" s="51" t="str">
        <f t="shared" si="1"/>
        <v>₹1,271,140.92</v>
      </c>
      <c r="F1801" s="52" t="str">
        <f t="shared" si="2"/>
        <v>30.0%</v>
      </c>
      <c r="G1801" s="51" t="str">
        <f t="shared" si="3"/>
        <v>₹381,342.28</v>
      </c>
      <c r="H1801" s="51" t="str">
        <f t="shared" si="4"/>
        <v>₹31,778.52</v>
      </c>
      <c r="I1801" s="51" t="str">
        <f>92624.44-H1801</f>
        <v>₹60,845.92</v>
      </c>
    </row>
    <row r="1802" ht="15.75" customHeight="1">
      <c r="A1802" s="53" t="s">
        <v>1872</v>
      </c>
      <c r="B1802" s="53" t="s">
        <v>25</v>
      </c>
      <c r="C1802" s="53" t="s">
        <v>30</v>
      </c>
      <c r="D1802" s="54">
        <v>105951.58</v>
      </c>
      <c r="E1802" s="54" t="str">
        <f t="shared" si="1"/>
        <v>₹1,271,418.96</v>
      </c>
      <c r="F1802" s="55" t="str">
        <f t="shared" si="2"/>
        <v>30.0%</v>
      </c>
      <c r="G1802" s="54" t="str">
        <f t="shared" si="3"/>
        <v>₹381,425.69</v>
      </c>
      <c r="H1802" s="54" t="str">
        <f t="shared" si="4"/>
        <v>₹31,785.47</v>
      </c>
      <c r="I1802" s="54" t="str">
        <f>92644.21-H1802</f>
        <v>₹60,858.74</v>
      </c>
    </row>
    <row r="1803" ht="15.75" customHeight="1">
      <c r="A1803" s="50" t="s">
        <v>1873</v>
      </c>
      <c r="B1803" s="50" t="s">
        <v>36</v>
      </c>
      <c r="C1803" s="50" t="s">
        <v>18</v>
      </c>
      <c r="D1803" s="51">
        <v>105974.76</v>
      </c>
      <c r="E1803" s="51" t="str">
        <f t="shared" si="1"/>
        <v>₹1,271,697.12</v>
      </c>
      <c r="F1803" s="52" t="str">
        <f t="shared" si="2"/>
        <v>30.0%</v>
      </c>
      <c r="G1803" s="51" t="str">
        <f t="shared" si="3"/>
        <v>₹381,509.14</v>
      </c>
      <c r="H1803" s="51" t="str">
        <f t="shared" si="4"/>
        <v>₹31,792.43</v>
      </c>
      <c r="I1803" s="51" t="str">
        <f>92664-H1803</f>
        <v>₹60,871.57</v>
      </c>
    </row>
    <row r="1804" ht="15.75" customHeight="1">
      <c r="A1804" s="53" t="s">
        <v>1874</v>
      </c>
      <c r="B1804" s="53" t="s">
        <v>29</v>
      </c>
      <c r="C1804" s="53" t="s">
        <v>33</v>
      </c>
      <c r="D1804" s="54">
        <v>105997.94</v>
      </c>
      <c r="E1804" s="54" t="str">
        <f t="shared" si="1"/>
        <v>₹1,271,975.28</v>
      </c>
      <c r="F1804" s="55" t="str">
        <f t="shared" si="2"/>
        <v>30.0%</v>
      </c>
      <c r="G1804" s="54" t="str">
        <f t="shared" si="3"/>
        <v>₹381,592.58</v>
      </c>
      <c r="H1804" s="54" t="str">
        <f t="shared" si="4"/>
        <v>₹31,799.38</v>
      </c>
      <c r="I1804" s="54" t="str">
        <f>92683.78-H1804</f>
        <v>₹60,884.40</v>
      </c>
    </row>
    <row r="1805" ht="15.75" customHeight="1">
      <c r="A1805" s="50" t="s">
        <v>1875</v>
      </c>
      <c r="B1805" s="50" t="s">
        <v>13</v>
      </c>
      <c r="C1805" s="50" t="s">
        <v>37</v>
      </c>
      <c r="D1805" s="51">
        <v>106021.12</v>
      </c>
      <c r="E1805" s="51" t="str">
        <f t="shared" si="1"/>
        <v>₹1,272,253.44</v>
      </c>
      <c r="F1805" s="52" t="str">
        <f t="shared" si="2"/>
        <v>30.0%</v>
      </c>
      <c r="G1805" s="51" t="str">
        <f t="shared" si="3"/>
        <v>₹381,676.03</v>
      </c>
      <c r="H1805" s="51" t="str">
        <f t="shared" si="4"/>
        <v>₹31,806.34</v>
      </c>
      <c r="I1805" s="51" t="str">
        <f>92703.56-H1805</f>
        <v>₹60,897.22</v>
      </c>
    </row>
    <row r="1806" ht="15.75" customHeight="1">
      <c r="A1806" s="53" t="s">
        <v>1876</v>
      </c>
      <c r="B1806" s="53" t="s">
        <v>53</v>
      </c>
      <c r="C1806" s="53" t="s">
        <v>18</v>
      </c>
      <c r="D1806" s="54">
        <v>106044.29</v>
      </c>
      <c r="E1806" s="54" t="str">
        <f t="shared" si="1"/>
        <v>₹1,272,531.48</v>
      </c>
      <c r="F1806" s="55" t="str">
        <f t="shared" si="2"/>
        <v>30.0%</v>
      </c>
      <c r="G1806" s="54" t="str">
        <f t="shared" si="3"/>
        <v>₹381,759.44</v>
      </c>
      <c r="H1806" s="54" t="str">
        <f t="shared" si="4"/>
        <v>₹31,813.29</v>
      </c>
      <c r="I1806" s="54" t="str">
        <f>92723.33-H1806</f>
        <v>₹60,910.04</v>
      </c>
    </row>
    <row r="1807" ht="15.75" customHeight="1">
      <c r="A1807" s="50" t="s">
        <v>1877</v>
      </c>
      <c r="B1807" s="50" t="s">
        <v>29</v>
      </c>
      <c r="C1807" s="50" t="s">
        <v>26</v>
      </c>
      <c r="D1807" s="51">
        <v>106067.47</v>
      </c>
      <c r="E1807" s="51" t="str">
        <f t="shared" si="1"/>
        <v>₹1,272,809.64</v>
      </c>
      <c r="F1807" s="52" t="str">
        <f t="shared" si="2"/>
        <v>30.0%</v>
      </c>
      <c r="G1807" s="51" t="str">
        <f t="shared" si="3"/>
        <v>₹381,842.89</v>
      </c>
      <c r="H1807" s="51" t="str">
        <f t="shared" si="4"/>
        <v>₹31,820.24</v>
      </c>
      <c r="I1807" s="51" t="str">
        <f>92743.12-H1807</f>
        <v>₹60,922.88</v>
      </c>
    </row>
    <row r="1808" ht="15.75" customHeight="1">
      <c r="A1808" s="53" t="s">
        <v>1878</v>
      </c>
      <c r="B1808" s="53" t="s">
        <v>17</v>
      </c>
      <c r="C1808" s="53" t="s">
        <v>54</v>
      </c>
      <c r="D1808" s="54">
        <v>106090.65</v>
      </c>
      <c r="E1808" s="54" t="str">
        <f t="shared" si="1"/>
        <v>₹1,273,087.80</v>
      </c>
      <c r="F1808" s="55" t="str">
        <f t="shared" si="2"/>
        <v>30.0%</v>
      </c>
      <c r="G1808" s="54" t="str">
        <f t="shared" si="3"/>
        <v>₹381,926.34</v>
      </c>
      <c r="H1808" s="54" t="str">
        <f t="shared" si="4"/>
        <v>₹31,827.20</v>
      </c>
      <c r="I1808" s="54" t="str">
        <f>92762.9-H1808</f>
        <v>₹60,935.71</v>
      </c>
    </row>
    <row r="1809" ht="15.75" customHeight="1">
      <c r="A1809" s="50" t="s">
        <v>1879</v>
      </c>
      <c r="B1809" s="50" t="s">
        <v>13</v>
      </c>
      <c r="C1809" s="50" t="s">
        <v>33</v>
      </c>
      <c r="D1809" s="51">
        <v>106113.83</v>
      </c>
      <c r="E1809" s="51" t="str">
        <f t="shared" si="1"/>
        <v>₹1,273,365.96</v>
      </c>
      <c r="F1809" s="52" t="str">
        <f t="shared" si="2"/>
        <v>30.0%</v>
      </c>
      <c r="G1809" s="51" t="str">
        <f t="shared" si="3"/>
        <v>₹382,009.79</v>
      </c>
      <c r="H1809" s="51" t="str">
        <f t="shared" si="4"/>
        <v>₹31,834.15</v>
      </c>
      <c r="I1809" s="51" t="str">
        <f>92782.68-H1809</f>
        <v>₹60,948.53</v>
      </c>
    </row>
    <row r="1810" ht="15.75" customHeight="1">
      <c r="A1810" s="53" t="s">
        <v>1880</v>
      </c>
      <c r="B1810" s="53" t="s">
        <v>36</v>
      </c>
      <c r="C1810" s="53" t="s">
        <v>26</v>
      </c>
      <c r="D1810" s="54">
        <v>106137.0</v>
      </c>
      <c r="E1810" s="54" t="str">
        <f t="shared" si="1"/>
        <v>₹1,273,644.00</v>
      </c>
      <c r="F1810" s="55" t="str">
        <f t="shared" si="2"/>
        <v>30.0%</v>
      </c>
      <c r="G1810" s="54" t="str">
        <f t="shared" si="3"/>
        <v>₹382,093.20</v>
      </c>
      <c r="H1810" s="54" t="str">
        <f t="shared" si="4"/>
        <v>₹31,841.10</v>
      </c>
      <c r="I1810" s="54" t="str">
        <f>92802.45-H1810</f>
        <v>₹60,961.35</v>
      </c>
    </row>
    <row r="1811" ht="15.75" customHeight="1">
      <c r="A1811" s="50" t="s">
        <v>1881</v>
      </c>
      <c r="B1811" s="50" t="s">
        <v>25</v>
      </c>
      <c r="C1811" s="50" t="s">
        <v>14</v>
      </c>
      <c r="D1811" s="51">
        <v>106160.18</v>
      </c>
      <c r="E1811" s="51" t="str">
        <f t="shared" si="1"/>
        <v>₹1,273,922.16</v>
      </c>
      <c r="F1811" s="52" t="str">
        <f t="shared" si="2"/>
        <v>30.0%</v>
      </c>
      <c r="G1811" s="51" t="str">
        <f t="shared" si="3"/>
        <v>₹382,176.65</v>
      </c>
      <c r="H1811" s="51" t="str">
        <f t="shared" si="4"/>
        <v>₹31,848.05</v>
      </c>
      <c r="I1811" s="51" t="str">
        <f>92822.24-H1811</f>
        <v>₹60,974.19</v>
      </c>
    </row>
    <row r="1812" ht="15.75" customHeight="1">
      <c r="A1812" s="53" t="s">
        <v>1882</v>
      </c>
      <c r="B1812" s="53" t="s">
        <v>17</v>
      </c>
      <c r="C1812" s="53" t="s">
        <v>54</v>
      </c>
      <c r="D1812" s="54">
        <v>106183.36</v>
      </c>
      <c r="E1812" s="54" t="str">
        <f t="shared" si="1"/>
        <v>₹1,274,200.32</v>
      </c>
      <c r="F1812" s="55" t="str">
        <f t="shared" si="2"/>
        <v>30.0%</v>
      </c>
      <c r="G1812" s="54" t="str">
        <f t="shared" si="3"/>
        <v>₹382,260.10</v>
      </c>
      <c r="H1812" s="54" t="str">
        <f t="shared" si="4"/>
        <v>₹31,855.01</v>
      </c>
      <c r="I1812" s="54" t="str">
        <f>92842.02-H1812</f>
        <v>₹60,987.01</v>
      </c>
    </row>
    <row r="1813" ht="15.75" customHeight="1">
      <c r="A1813" s="50" t="s">
        <v>1883</v>
      </c>
      <c r="B1813" s="50" t="s">
        <v>53</v>
      </c>
      <c r="C1813" s="50" t="s">
        <v>33</v>
      </c>
      <c r="D1813" s="51">
        <v>109608.03</v>
      </c>
      <c r="E1813" s="51" t="str">
        <f t="shared" si="1"/>
        <v>₹1,315,296.36</v>
      </c>
      <c r="F1813" s="52" t="str">
        <f t="shared" si="2"/>
        <v>30.0%</v>
      </c>
      <c r="G1813" s="51" t="str">
        <f t="shared" si="3"/>
        <v>₹394,588.91</v>
      </c>
      <c r="H1813" s="51" t="str">
        <f t="shared" si="4"/>
        <v>₹32,882.41</v>
      </c>
      <c r="I1813" s="51" t="str">
        <f>96263.29-H1813</f>
        <v>₹63,380.88</v>
      </c>
    </row>
    <row r="1814" ht="15.75" customHeight="1">
      <c r="A1814" s="53" t="s">
        <v>1884</v>
      </c>
      <c r="B1814" s="53" t="s">
        <v>29</v>
      </c>
      <c r="C1814" s="53" t="s">
        <v>54</v>
      </c>
      <c r="D1814" s="54">
        <v>106229.72</v>
      </c>
      <c r="E1814" s="54" t="str">
        <f t="shared" si="1"/>
        <v>₹1,274,756.64</v>
      </c>
      <c r="F1814" s="55" t="str">
        <f t="shared" si="2"/>
        <v>30.0%</v>
      </c>
      <c r="G1814" s="54" t="str">
        <f t="shared" si="3"/>
        <v>₹382,426.99</v>
      </c>
      <c r="H1814" s="54" t="str">
        <f t="shared" si="4"/>
        <v>₹31,868.92</v>
      </c>
      <c r="I1814" s="54" t="str">
        <f>92881.58-H1814</f>
        <v>₹61,012.66</v>
      </c>
    </row>
    <row r="1815" ht="15.75" customHeight="1">
      <c r="A1815" s="50" t="s">
        <v>1885</v>
      </c>
      <c r="B1815" s="50" t="s">
        <v>29</v>
      </c>
      <c r="C1815" s="50" t="s">
        <v>26</v>
      </c>
      <c r="D1815" s="51">
        <v>106252.89</v>
      </c>
      <c r="E1815" s="51" t="str">
        <f t="shared" si="1"/>
        <v>₹1,275,034.68</v>
      </c>
      <c r="F1815" s="52" t="str">
        <f t="shared" si="2"/>
        <v>30.0%</v>
      </c>
      <c r="G1815" s="51" t="str">
        <f t="shared" si="3"/>
        <v>₹382,510.40</v>
      </c>
      <c r="H1815" s="51" t="str">
        <f t="shared" si="4"/>
        <v>₹31,875.87</v>
      </c>
      <c r="I1815" s="51" t="str">
        <f>92901.36-H1815</f>
        <v>₹61,025.49</v>
      </c>
    </row>
    <row r="1816" ht="15.75" customHeight="1">
      <c r="A1816" s="53" t="s">
        <v>1886</v>
      </c>
      <c r="B1816" s="53" t="s">
        <v>51</v>
      </c>
      <c r="C1816" s="53" t="s">
        <v>33</v>
      </c>
      <c r="D1816" s="54">
        <v>106276.07</v>
      </c>
      <c r="E1816" s="54" t="str">
        <f t="shared" si="1"/>
        <v>₹1,275,312.84</v>
      </c>
      <c r="F1816" s="55" t="str">
        <f t="shared" si="2"/>
        <v>30.0%</v>
      </c>
      <c r="G1816" s="54" t="str">
        <f t="shared" si="3"/>
        <v>₹382,593.85</v>
      </c>
      <c r="H1816" s="54" t="str">
        <f t="shared" si="4"/>
        <v>₹31,882.82</v>
      </c>
      <c r="I1816" s="54" t="str">
        <f>92921.14-H1816</f>
        <v>₹61,038.32</v>
      </c>
    </row>
    <row r="1817" ht="15.75" customHeight="1">
      <c r="A1817" s="50" t="s">
        <v>1887</v>
      </c>
      <c r="B1817" s="50" t="s">
        <v>53</v>
      </c>
      <c r="C1817" s="50" t="s">
        <v>26</v>
      </c>
      <c r="D1817" s="51">
        <v>106299.25</v>
      </c>
      <c r="E1817" s="51" t="str">
        <f t="shared" si="1"/>
        <v>₹1,275,591.00</v>
      </c>
      <c r="F1817" s="52" t="str">
        <f t="shared" si="2"/>
        <v>30.0%</v>
      </c>
      <c r="G1817" s="51" t="str">
        <f t="shared" si="3"/>
        <v>₹382,677.30</v>
      </c>
      <c r="H1817" s="51" t="str">
        <f t="shared" si="4"/>
        <v>₹31,889.78</v>
      </c>
      <c r="I1817" s="51" t="str">
        <f>92940.92-H1817</f>
        <v>₹61,051.15</v>
      </c>
    </row>
    <row r="1818" ht="15.75" customHeight="1">
      <c r="A1818" s="53" t="s">
        <v>1888</v>
      </c>
      <c r="B1818" s="53" t="s">
        <v>53</v>
      </c>
      <c r="C1818" s="53" t="s">
        <v>54</v>
      </c>
      <c r="D1818" s="54">
        <v>106322.43</v>
      </c>
      <c r="E1818" s="54" t="str">
        <f t="shared" si="1"/>
        <v>₹1,275,869.16</v>
      </c>
      <c r="F1818" s="55" t="str">
        <f t="shared" si="2"/>
        <v>30.0%</v>
      </c>
      <c r="G1818" s="54" t="str">
        <f t="shared" si="3"/>
        <v>₹382,760.75</v>
      </c>
      <c r="H1818" s="54" t="str">
        <f t="shared" si="4"/>
        <v>₹31,896.73</v>
      </c>
      <c r="I1818" s="54" t="str">
        <f>92960.7-H1818</f>
        <v>₹61,063.97</v>
      </c>
    </row>
    <row r="1819" ht="15.75" customHeight="1">
      <c r="A1819" s="50" t="s">
        <v>1889</v>
      </c>
      <c r="B1819" s="50" t="s">
        <v>17</v>
      </c>
      <c r="C1819" s="50" t="s">
        <v>14</v>
      </c>
      <c r="D1819" s="51">
        <v>106345.6</v>
      </c>
      <c r="E1819" s="51" t="str">
        <f t="shared" si="1"/>
        <v>₹1,276,147.20</v>
      </c>
      <c r="F1819" s="52" t="str">
        <f t="shared" si="2"/>
        <v>30.0%</v>
      </c>
      <c r="G1819" s="51" t="str">
        <f t="shared" si="3"/>
        <v>₹382,844.16</v>
      </c>
      <c r="H1819" s="51" t="str">
        <f t="shared" si="4"/>
        <v>₹31,903.68</v>
      </c>
      <c r="I1819" s="51" t="str">
        <f>92980.47-H1819</f>
        <v>₹61,076.79</v>
      </c>
    </row>
    <row r="1820" ht="15.75" customHeight="1">
      <c r="A1820" s="53" t="s">
        <v>1890</v>
      </c>
      <c r="B1820" s="53" t="s">
        <v>25</v>
      </c>
      <c r="C1820" s="53" t="s">
        <v>26</v>
      </c>
      <c r="D1820" s="54">
        <v>106368.78</v>
      </c>
      <c r="E1820" s="54" t="str">
        <f t="shared" si="1"/>
        <v>₹1,276,425.36</v>
      </c>
      <c r="F1820" s="55" t="str">
        <f t="shared" si="2"/>
        <v>30.0%</v>
      </c>
      <c r="G1820" s="54" t="str">
        <f t="shared" si="3"/>
        <v>₹382,927.61</v>
      </c>
      <c r="H1820" s="54" t="str">
        <f t="shared" si="4"/>
        <v>₹31,910.63</v>
      </c>
      <c r="I1820" s="54" t="str">
        <f>93000.26-H1820</f>
        <v>₹61,089.63</v>
      </c>
    </row>
    <row r="1821" ht="15.75" customHeight="1">
      <c r="A1821" s="50" t="s">
        <v>1891</v>
      </c>
      <c r="B1821" s="50" t="s">
        <v>51</v>
      </c>
      <c r="C1821" s="50" t="s">
        <v>30</v>
      </c>
      <c r="D1821" s="51">
        <v>106391.96</v>
      </c>
      <c r="E1821" s="51" t="str">
        <f t="shared" si="1"/>
        <v>₹1,276,703.52</v>
      </c>
      <c r="F1821" s="52" t="str">
        <f t="shared" si="2"/>
        <v>30.0%</v>
      </c>
      <c r="G1821" s="51" t="str">
        <f t="shared" si="3"/>
        <v>₹383,011.06</v>
      </c>
      <c r="H1821" s="51" t="str">
        <f t="shared" si="4"/>
        <v>₹31,917.59</v>
      </c>
      <c r="I1821" s="51" t="str">
        <f>93020.04-H1821</f>
        <v>₹61,102.45</v>
      </c>
    </row>
    <row r="1822" ht="15.75" customHeight="1">
      <c r="A1822" s="53" t="s">
        <v>1892</v>
      </c>
      <c r="B1822" s="53" t="s">
        <v>53</v>
      </c>
      <c r="C1822" s="53" t="s">
        <v>37</v>
      </c>
      <c r="D1822" s="54">
        <v>106415.14</v>
      </c>
      <c r="E1822" s="54" t="str">
        <f t="shared" si="1"/>
        <v>₹1,276,981.68</v>
      </c>
      <c r="F1822" s="55" t="str">
        <f t="shared" si="2"/>
        <v>30.0%</v>
      </c>
      <c r="G1822" s="54" t="str">
        <f t="shared" si="3"/>
        <v>₹383,094.50</v>
      </c>
      <c r="H1822" s="54" t="str">
        <f t="shared" si="4"/>
        <v>₹31,924.54</v>
      </c>
      <c r="I1822" s="54" t="str">
        <f>93039.82-H1822</f>
        <v>₹61,115.28</v>
      </c>
    </row>
    <row r="1823" ht="15.75" customHeight="1">
      <c r="A1823" s="50" t="s">
        <v>1893</v>
      </c>
      <c r="B1823" s="50" t="s">
        <v>36</v>
      </c>
      <c r="C1823" s="50" t="s">
        <v>18</v>
      </c>
      <c r="D1823" s="51">
        <v>106438.31</v>
      </c>
      <c r="E1823" s="51" t="str">
        <f t="shared" si="1"/>
        <v>₹1,277,259.72</v>
      </c>
      <c r="F1823" s="52" t="str">
        <f t="shared" si="2"/>
        <v>30.0%</v>
      </c>
      <c r="G1823" s="51" t="str">
        <f t="shared" si="3"/>
        <v>₹383,177.92</v>
      </c>
      <c r="H1823" s="51" t="str">
        <f t="shared" si="4"/>
        <v>₹31,931.49</v>
      </c>
      <c r="I1823" s="51" t="str">
        <f>93059.59-H1823</f>
        <v>₹61,128.10</v>
      </c>
    </row>
    <row r="1824" ht="15.75" customHeight="1">
      <c r="A1824" s="53" t="s">
        <v>1894</v>
      </c>
      <c r="B1824" s="53" t="s">
        <v>36</v>
      </c>
      <c r="C1824" s="53" t="s">
        <v>33</v>
      </c>
      <c r="D1824" s="54">
        <v>106461.49</v>
      </c>
      <c r="E1824" s="54" t="str">
        <f t="shared" si="1"/>
        <v>₹1,277,537.88</v>
      </c>
      <c r="F1824" s="55" t="str">
        <f t="shared" si="2"/>
        <v>30.0%</v>
      </c>
      <c r="G1824" s="54" t="str">
        <f t="shared" si="3"/>
        <v>₹383,261.36</v>
      </c>
      <c r="H1824" s="54" t="str">
        <f t="shared" si="4"/>
        <v>₹31,938.45</v>
      </c>
      <c r="I1824" s="54" t="str">
        <f>93079.38-H1824</f>
        <v>₹61,140.93</v>
      </c>
    </row>
    <row r="1825" ht="15.75" customHeight="1">
      <c r="A1825" s="50" t="s">
        <v>1895</v>
      </c>
      <c r="B1825" s="50" t="s">
        <v>25</v>
      </c>
      <c r="C1825" s="50" t="s">
        <v>54</v>
      </c>
      <c r="D1825" s="51">
        <v>106484.67</v>
      </c>
      <c r="E1825" s="51" t="str">
        <f t="shared" si="1"/>
        <v>₹1,277,816.04</v>
      </c>
      <c r="F1825" s="52" t="str">
        <f t="shared" si="2"/>
        <v>30.0%</v>
      </c>
      <c r="G1825" s="51" t="str">
        <f t="shared" si="3"/>
        <v>₹383,344.81</v>
      </c>
      <c r="H1825" s="51" t="str">
        <f t="shared" si="4"/>
        <v>₹31,945.40</v>
      </c>
      <c r="I1825" s="51" t="str">
        <f>93099.16-H1825</f>
        <v>₹61,153.76</v>
      </c>
    </row>
    <row r="1826" ht="15.75" customHeight="1">
      <c r="A1826" s="53" t="s">
        <v>1896</v>
      </c>
      <c r="B1826" s="53" t="s">
        <v>13</v>
      </c>
      <c r="C1826" s="53" t="s">
        <v>14</v>
      </c>
      <c r="D1826" s="54">
        <v>106507.85</v>
      </c>
      <c r="E1826" s="54" t="str">
        <f t="shared" si="1"/>
        <v>₹1,278,094.20</v>
      </c>
      <c r="F1826" s="55" t="str">
        <f t="shared" si="2"/>
        <v>30.0%</v>
      </c>
      <c r="G1826" s="54" t="str">
        <f t="shared" si="3"/>
        <v>₹383,428.26</v>
      </c>
      <c r="H1826" s="54" t="str">
        <f t="shared" si="4"/>
        <v>₹31,952.36</v>
      </c>
      <c r="I1826" s="54" t="str">
        <f>93118.94-H1826</f>
        <v>₹61,166.59</v>
      </c>
    </row>
    <row r="1827" ht="15.75" customHeight="1">
      <c r="A1827" s="50" t="s">
        <v>1897</v>
      </c>
      <c r="B1827" s="50" t="s">
        <v>25</v>
      </c>
      <c r="C1827" s="50" t="s">
        <v>14</v>
      </c>
      <c r="D1827" s="51">
        <v>106531.03</v>
      </c>
      <c r="E1827" s="51" t="str">
        <f t="shared" si="1"/>
        <v>₹1,278,372.36</v>
      </c>
      <c r="F1827" s="52" t="str">
        <f t="shared" si="2"/>
        <v>30.0%</v>
      </c>
      <c r="G1827" s="51" t="str">
        <f t="shared" si="3"/>
        <v>₹383,511.71</v>
      </c>
      <c r="H1827" s="51" t="str">
        <f t="shared" si="4"/>
        <v>₹31,959.31</v>
      </c>
      <c r="I1827" s="51" t="str">
        <f>93138.72-H1827</f>
        <v>₹61,179.41</v>
      </c>
    </row>
    <row r="1828" ht="15.75" customHeight="1">
      <c r="A1828" s="53" t="s">
        <v>1898</v>
      </c>
      <c r="B1828" s="53" t="s">
        <v>17</v>
      </c>
      <c r="C1828" s="53" t="s">
        <v>37</v>
      </c>
      <c r="D1828" s="54">
        <v>106554.2</v>
      </c>
      <c r="E1828" s="54" t="str">
        <f t="shared" si="1"/>
        <v>₹1,278,650.40</v>
      </c>
      <c r="F1828" s="55" t="str">
        <f t="shared" si="2"/>
        <v>30.0%</v>
      </c>
      <c r="G1828" s="54" t="str">
        <f t="shared" si="3"/>
        <v>₹383,595.12</v>
      </c>
      <c r="H1828" s="54" t="str">
        <f t="shared" si="4"/>
        <v>₹31,966.26</v>
      </c>
      <c r="I1828" s="54" t="str">
        <f>93158.5-H1828</f>
        <v>₹61,192.24</v>
      </c>
    </row>
    <row r="1829" ht="15.75" customHeight="1">
      <c r="A1829" s="50" t="s">
        <v>1899</v>
      </c>
      <c r="B1829" s="50" t="s">
        <v>17</v>
      </c>
      <c r="C1829" s="50" t="s">
        <v>18</v>
      </c>
      <c r="D1829" s="51">
        <v>106577.38</v>
      </c>
      <c r="E1829" s="51" t="str">
        <f t="shared" si="1"/>
        <v>₹1,278,928.56</v>
      </c>
      <c r="F1829" s="52" t="str">
        <f t="shared" si="2"/>
        <v>30.0%</v>
      </c>
      <c r="G1829" s="51" t="str">
        <f t="shared" si="3"/>
        <v>₹383,678.57</v>
      </c>
      <c r="H1829" s="51" t="str">
        <f t="shared" si="4"/>
        <v>₹31,973.21</v>
      </c>
      <c r="I1829" s="51" t="str">
        <f>93178.28-H1829</f>
        <v>₹61,205.07</v>
      </c>
    </row>
    <row r="1830" ht="15.75" customHeight="1">
      <c r="A1830" s="53" t="s">
        <v>1900</v>
      </c>
      <c r="B1830" s="53" t="s">
        <v>36</v>
      </c>
      <c r="C1830" s="53" t="s">
        <v>18</v>
      </c>
      <c r="D1830" s="54">
        <v>106600.56</v>
      </c>
      <c r="E1830" s="54" t="str">
        <f t="shared" si="1"/>
        <v>₹1,279,206.72</v>
      </c>
      <c r="F1830" s="55" t="str">
        <f t="shared" si="2"/>
        <v>30.0%</v>
      </c>
      <c r="G1830" s="54" t="str">
        <f t="shared" si="3"/>
        <v>₹383,762.02</v>
      </c>
      <c r="H1830" s="54" t="str">
        <f t="shared" si="4"/>
        <v>₹31,980.17</v>
      </c>
      <c r="I1830" s="54" t="str">
        <f>93198.06-H1830</f>
        <v>₹61,217.89</v>
      </c>
    </row>
    <row r="1831" ht="15.75" customHeight="1">
      <c r="A1831" s="50" t="s">
        <v>1901</v>
      </c>
      <c r="B1831" s="50" t="s">
        <v>36</v>
      </c>
      <c r="C1831" s="50" t="s">
        <v>18</v>
      </c>
      <c r="D1831" s="51">
        <v>106623.74</v>
      </c>
      <c r="E1831" s="51" t="str">
        <f t="shared" si="1"/>
        <v>₹1,279,484.88</v>
      </c>
      <c r="F1831" s="52" t="str">
        <f t="shared" si="2"/>
        <v>30.0%</v>
      </c>
      <c r="G1831" s="51" t="str">
        <f t="shared" si="3"/>
        <v>₹383,845.46</v>
      </c>
      <c r="H1831" s="51" t="str">
        <f t="shared" si="4"/>
        <v>₹31,987.12</v>
      </c>
      <c r="I1831" s="51" t="str">
        <f>93217.84-H1831</f>
        <v>₹61,230.72</v>
      </c>
    </row>
    <row r="1832" ht="15.75" customHeight="1">
      <c r="A1832" s="53" t="s">
        <v>1902</v>
      </c>
      <c r="B1832" s="53" t="s">
        <v>51</v>
      </c>
      <c r="C1832" s="53" t="s">
        <v>54</v>
      </c>
      <c r="D1832" s="54">
        <v>106646.91</v>
      </c>
      <c r="E1832" s="54" t="str">
        <f t="shared" si="1"/>
        <v>₹1,279,762.92</v>
      </c>
      <c r="F1832" s="55" t="str">
        <f t="shared" si="2"/>
        <v>30.0%</v>
      </c>
      <c r="G1832" s="54" t="str">
        <f t="shared" si="3"/>
        <v>₹383,928.88</v>
      </c>
      <c r="H1832" s="54" t="str">
        <f t="shared" si="4"/>
        <v>₹31,994.07</v>
      </c>
      <c r="I1832" s="54" t="str">
        <f>93237.62-H1832</f>
        <v>₹61,243.55</v>
      </c>
    </row>
    <row r="1833" ht="15.75" customHeight="1">
      <c r="A1833" s="50" t="s">
        <v>1903</v>
      </c>
      <c r="B1833" s="50" t="s">
        <v>29</v>
      </c>
      <c r="C1833" s="50" t="s">
        <v>14</v>
      </c>
      <c r="D1833" s="51">
        <v>106670.09</v>
      </c>
      <c r="E1833" s="51" t="str">
        <f t="shared" si="1"/>
        <v>₹1,280,041.08</v>
      </c>
      <c r="F1833" s="52" t="str">
        <f t="shared" si="2"/>
        <v>30.0%</v>
      </c>
      <c r="G1833" s="51" t="str">
        <f t="shared" si="3"/>
        <v>₹384,012.32</v>
      </c>
      <c r="H1833" s="51" t="str">
        <f t="shared" si="4"/>
        <v>₹32,001.03</v>
      </c>
      <c r="I1833" s="51" t="str">
        <f>93257.4-H1833</f>
        <v>₹61,256.37</v>
      </c>
    </row>
    <row r="1834" ht="15.75" customHeight="1">
      <c r="A1834" s="53" t="s">
        <v>1904</v>
      </c>
      <c r="B1834" s="53" t="s">
        <v>25</v>
      </c>
      <c r="C1834" s="53" t="s">
        <v>37</v>
      </c>
      <c r="D1834" s="54">
        <v>106693.27</v>
      </c>
      <c r="E1834" s="54" t="str">
        <f t="shared" si="1"/>
        <v>₹1,280,319.24</v>
      </c>
      <c r="F1834" s="55" t="str">
        <f t="shared" si="2"/>
        <v>30.0%</v>
      </c>
      <c r="G1834" s="54" t="str">
        <f t="shared" si="3"/>
        <v>₹384,095.77</v>
      </c>
      <c r="H1834" s="54" t="str">
        <f t="shared" si="4"/>
        <v>₹32,007.98</v>
      </c>
      <c r="I1834" s="54" t="str">
        <f>93277.18-H1834</f>
        <v>₹61,269.20</v>
      </c>
    </row>
    <row r="1835" ht="15.75" customHeight="1">
      <c r="A1835" s="50" t="s">
        <v>1905</v>
      </c>
      <c r="B1835" s="50" t="s">
        <v>17</v>
      </c>
      <c r="C1835" s="50" t="s">
        <v>37</v>
      </c>
      <c r="D1835" s="51">
        <v>106716.45</v>
      </c>
      <c r="E1835" s="51" t="str">
        <f t="shared" si="1"/>
        <v>₹1,280,597.40</v>
      </c>
      <c r="F1835" s="52" t="str">
        <f t="shared" si="2"/>
        <v>30.0%</v>
      </c>
      <c r="G1835" s="51" t="str">
        <f t="shared" si="3"/>
        <v>₹384,179.22</v>
      </c>
      <c r="H1835" s="51" t="str">
        <f t="shared" si="4"/>
        <v>₹32,014.94</v>
      </c>
      <c r="I1835" s="51" t="str">
        <f>93296.96-H1835</f>
        <v>₹61,282.03</v>
      </c>
    </row>
    <row r="1836" ht="15.75" customHeight="1">
      <c r="A1836" s="53" t="s">
        <v>1906</v>
      </c>
      <c r="B1836" s="53" t="s">
        <v>51</v>
      </c>
      <c r="C1836" s="53" t="s">
        <v>14</v>
      </c>
      <c r="D1836" s="54">
        <v>106739.62</v>
      </c>
      <c r="E1836" s="54" t="str">
        <f t="shared" si="1"/>
        <v>₹1,280,875.44</v>
      </c>
      <c r="F1836" s="55" t="str">
        <f t="shared" si="2"/>
        <v>30.0%</v>
      </c>
      <c r="G1836" s="54" t="str">
        <f t="shared" si="3"/>
        <v>₹384,262.63</v>
      </c>
      <c r="H1836" s="54" t="str">
        <f t="shared" si="4"/>
        <v>₹32,021.89</v>
      </c>
      <c r="I1836" s="54" t="str">
        <f>93316.74-H1836</f>
        <v>₹61,294.85</v>
      </c>
    </row>
    <row r="1837" ht="15.75" customHeight="1">
      <c r="A1837" s="50" t="s">
        <v>1907</v>
      </c>
      <c r="B1837" s="50" t="s">
        <v>13</v>
      </c>
      <c r="C1837" s="50" t="s">
        <v>54</v>
      </c>
      <c r="D1837" s="51">
        <v>106762.8</v>
      </c>
      <c r="E1837" s="51" t="str">
        <f t="shared" si="1"/>
        <v>₹1,281,153.60</v>
      </c>
      <c r="F1837" s="52" t="str">
        <f t="shared" si="2"/>
        <v>30.0%</v>
      </c>
      <c r="G1837" s="51" t="str">
        <f t="shared" si="3"/>
        <v>₹384,346.08</v>
      </c>
      <c r="H1837" s="51" t="str">
        <f t="shared" si="4"/>
        <v>₹32,028.84</v>
      </c>
      <c r="I1837" s="51" t="str">
        <f>93336.52-H1837</f>
        <v>₹61,307.68</v>
      </c>
    </row>
    <row r="1838" ht="15.75" customHeight="1">
      <c r="A1838" s="53" t="s">
        <v>1908</v>
      </c>
      <c r="B1838" s="53" t="s">
        <v>13</v>
      </c>
      <c r="C1838" s="53" t="s">
        <v>14</v>
      </c>
      <c r="D1838" s="54">
        <v>106785.98</v>
      </c>
      <c r="E1838" s="54" t="str">
        <f t="shared" si="1"/>
        <v>₹1,281,431.76</v>
      </c>
      <c r="F1838" s="55" t="str">
        <f t="shared" si="2"/>
        <v>30.0%</v>
      </c>
      <c r="G1838" s="54" t="str">
        <f t="shared" si="3"/>
        <v>₹384,429.53</v>
      </c>
      <c r="H1838" s="54" t="str">
        <f t="shared" si="4"/>
        <v>₹32,035.79</v>
      </c>
      <c r="I1838" s="54" t="str">
        <f>93356.3-H1838</f>
        <v>₹61,320.51</v>
      </c>
    </row>
    <row r="1839" ht="15.75" customHeight="1">
      <c r="A1839" s="50" t="s">
        <v>1909</v>
      </c>
      <c r="B1839" s="50" t="s">
        <v>29</v>
      </c>
      <c r="C1839" s="50" t="s">
        <v>26</v>
      </c>
      <c r="D1839" s="51">
        <v>106832.34</v>
      </c>
      <c r="E1839" s="51" t="str">
        <f t="shared" si="1"/>
        <v>₹1,281,988.08</v>
      </c>
      <c r="F1839" s="52" t="str">
        <f t="shared" si="2"/>
        <v>30.0%</v>
      </c>
      <c r="G1839" s="51" t="str">
        <f t="shared" si="3"/>
        <v>₹384,596.42</v>
      </c>
      <c r="H1839" s="51" t="str">
        <f t="shared" si="4"/>
        <v>₹32,049.70</v>
      </c>
      <c r="I1839" s="51" t="str">
        <f>93395.87-H1839</f>
        <v>₹61,346.17</v>
      </c>
    </row>
    <row r="1840" ht="15.75" customHeight="1">
      <c r="A1840" s="53" t="s">
        <v>1910</v>
      </c>
      <c r="B1840" s="53" t="s">
        <v>17</v>
      </c>
      <c r="C1840" s="53" t="s">
        <v>26</v>
      </c>
      <c r="D1840" s="54">
        <v>106855.51</v>
      </c>
      <c r="E1840" s="54" t="str">
        <f t="shared" si="1"/>
        <v>₹1,282,266.12</v>
      </c>
      <c r="F1840" s="55" t="str">
        <f t="shared" si="2"/>
        <v>30.0%</v>
      </c>
      <c r="G1840" s="54" t="str">
        <f t="shared" si="3"/>
        <v>₹384,679.84</v>
      </c>
      <c r="H1840" s="54" t="str">
        <f t="shared" si="4"/>
        <v>₹32,056.65</v>
      </c>
      <c r="I1840" s="54" t="str">
        <f>93415.64-H1840</f>
        <v>₹61,358.99</v>
      </c>
    </row>
    <row r="1841" ht="15.75" customHeight="1">
      <c r="A1841" s="50" t="s">
        <v>1911</v>
      </c>
      <c r="B1841" s="50" t="s">
        <v>53</v>
      </c>
      <c r="C1841" s="50" t="s">
        <v>33</v>
      </c>
      <c r="D1841" s="51">
        <v>106878.69</v>
      </c>
      <c r="E1841" s="51" t="str">
        <f t="shared" si="1"/>
        <v>₹1,282,544.28</v>
      </c>
      <c r="F1841" s="52" t="str">
        <f t="shared" si="2"/>
        <v>30.0%</v>
      </c>
      <c r="G1841" s="51" t="str">
        <f t="shared" si="3"/>
        <v>₹384,763.28</v>
      </c>
      <c r="H1841" s="51" t="str">
        <f t="shared" si="4"/>
        <v>₹32,063.61</v>
      </c>
      <c r="I1841" s="51" t="str">
        <f>93435.42-H1841</f>
        <v>₹61,371.81</v>
      </c>
    </row>
    <row r="1842" ht="15.75" customHeight="1">
      <c r="A1842" s="53" t="s">
        <v>1912</v>
      </c>
      <c r="B1842" s="53" t="s">
        <v>17</v>
      </c>
      <c r="C1842" s="53" t="s">
        <v>54</v>
      </c>
      <c r="D1842" s="54">
        <v>106901.87</v>
      </c>
      <c r="E1842" s="54" t="str">
        <f t="shared" si="1"/>
        <v>₹1,282,822.44</v>
      </c>
      <c r="F1842" s="55" t="str">
        <f t="shared" si="2"/>
        <v>30.0%</v>
      </c>
      <c r="G1842" s="54" t="str">
        <f t="shared" si="3"/>
        <v>₹384,846.73</v>
      </c>
      <c r="H1842" s="54" t="str">
        <f t="shared" si="4"/>
        <v>₹32,070.56</v>
      </c>
      <c r="I1842" s="54" t="str">
        <f>93455.2-H1842</f>
        <v>₹61,384.64</v>
      </c>
    </row>
    <row r="1843" ht="15.75" customHeight="1">
      <c r="A1843" s="50" t="s">
        <v>1913</v>
      </c>
      <c r="B1843" s="50" t="s">
        <v>25</v>
      </c>
      <c r="C1843" s="50" t="s">
        <v>54</v>
      </c>
      <c r="D1843" s="51">
        <v>106925.05</v>
      </c>
      <c r="E1843" s="51" t="str">
        <f t="shared" si="1"/>
        <v>₹1,283,100.60</v>
      </c>
      <c r="F1843" s="52" t="str">
        <f t="shared" si="2"/>
        <v>30.0%</v>
      </c>
      <c r="G1843" s="51" t="str">
        <f t="shared" si="3"/>
        <v>₹384,930.18</v>
      </c>
      <c r="H1843" s="51" t="str">
        <f t="shared" si="4"/>
        <v>₹32,077.52</v>
      </c>
      <c r="I1843" s="51" t="str">
        <f>93474.99-H1843</f>
        <v>₹61,397.48</v>
      </c>
    </row>
    <row r="1844" ht="15.75" customHeight="1">
      <c r="A1844" s="53" t="s">
        <v>1914</v>
      </c>
      <c r="B1844" s="53" t="s">
        <v>51</v>
      </c>
      <c r="C1844" s="53" t="s">
        <v>18</v>
      </c>
      <c r="D1844" s="54">
        <v>106948.22</v>
      </c>
      <c r="E1844" s="54" t="str">
        <f t="shared" si="1"/>
        <v>₹1,283,378.64</v>
      </c>
      <c r="F1844" s="55" t="str">
        <f t="shared" si="2"/>
        <v>30.0%</v>
      </c>
      <c r="G1844" s="54" t="str">
        <f t="shared" si="3"/>
        <v>₹385,013.59</v>
      </c>
      <c r="H1844" s="54" t="str">
        <f t="shared" si="4"/>
        <v>₹32,084.47</v>
      </c>
      <c r="I1844" s="54" t="str">
        <f>93494.76-H1844</f>
        <v>₹61,410.29</v>
      </c>
    </row>
    <row r="1845" ht="15.75" customHeight="1">
      <c r="A1845" s="50" t="s">
        <v>1915</v>
      </c>
      <c r="B1845" s="50" t="s">
        <v>36</v>
      </c>
      <c r="C1845" s="50" t="s">
        <v>37</v>
      </c>
      <c r="D1845" s="51">
        <v>106971.4</v>
      </c>
      <c r="E1845" s="51" t="str">
        <f t="shared" si="1"/>
        <v>₹1,283,656.80</v>
      </c>
      <c r="F1845" s="52" t="str">
        <f t="shared" si="2"/>
        <v>30.0%</v>
      </c>
      <c r="G1845" s="51" t="str">
        <f t="shared" si="3"/>
        <v>₹385,097.04</v>
      </c>
      <c r="H1845" s="51" t="str">
        <f t="shared" si="4"/>
        <v>₹32,091.42</v>
      </c>
      <c r="I1845" s="51" t="str">
        <f>93514.54-H1845</f>
        <v>₹61,423.12</v>
      </c>
    </row>
    <row r="1846" ht="15.75" customHeight="1">
      <c r="A1846" s="53" t="s">
        <v>1916</v>
      </c>
      <c r="B1846" s="53" t="s">
        <v>36</v>
      </c>
      <c r="C1846" s="53" t="s">
        <v>26</v>
      </c>
      <c r="D1846" s="54">
        <v>108645.03</v>
      </c>
      <c r="E1846" s="54" t="str">
        <f t="shared" si="1"/>
        <v>₹1,303,740.36</v>
      </c>
      <c r="F1846" s="55" t="str">
        <f t="shared" si="2"/>
        <v>30.0%</v>
      </c>
      <c r="G1846" s="54" t="str">
        <f t="shared" si="3"/>
        <v>₹391,122.11</v>
      </c>
      <c r="H1846" s="54" t="str">
        <f t="shared" si="4"/>
        <v>₹32,593.51</v>
      </c>
      <c r="I1846" s="54" t="str">
        <f>95184.77-H1846</f>
        <v>₹62,591.26</v>
      </c>
    </row>
    <row r="1847" ht="15.75" customHeight="1">
      <c r="A1847" s="50" t="s">
        <v>1917</v>
      </c>
      <c r="B1847" s="50" t="s">
        <v>51</v>
      </c>
      <c r="C1847" s="50" t="s">
        <v>54</v>
      </c>
      <c r="D1847" s="51">
        <v>107017.76</v>
      </c>
      <c r="E1847" s="51" t="str">
        <f t="shared" si="1"/>
        <v>₹1,284,213.12</v>
      </c>
      <c r="F1847" s="52" t="str">
        <f t="shared" si="2"/>
        <v>30.0%</v>
      </c>
      <c r="G1847" s="51" t="str">
        <f t="shared" si="3"/>
        <v>₹385,263.94</v>
      </c>
      <c r="H1847" s="51" t="str">
        <f t="shared" si="4"/>
        <v>₹32,105.33</v>
      </c>
      <c r="I1847" s="51" t="str">
        <f>92499.85-H1847</f>
        <v>₹60,394.52</v>
      </c>
    </row>
    <row r="1848" ht="15.75" customHeight="1">
      <c r="A1848" s="53" t="s">
        <v>1918</v>
      </c>
      <c r="B1848" s="53" t="s">
        <v>17</v>
      </c>
      <c r="C1848" s="53" t="s">
        <v>33</v>
      </c>
      <c r="D1848" s="54">
        <v>107040.93</v>
      </c>
      <c r="E1848" s="54" t="str">
        <f t="shared" si="1"/>
        <v>₹1,284,491.16</v>
      </c>
      <c r="F1848" s="55" t="str">
        <f t="shared" si="2"/>
        <v>30.0%</v>
      </c>
      <c r="G1848" s="54" t="str">
        <f t="shared" si="3"/>
        <v>₹385,347.35</v>
      </c>
      <c r="H1848" s="54" t="str">
        <f t="shared" si="4"/>
        <v>₹32,112.28</v>
      </c>
      <c r="I1848" s="54" t="str">
        <f>93573.88-H1848</f>
        <v>₹61,461.60</v>
      </c>
    </row>
    <row r="1849" ht="15.75" customHeight="1">
      <c r="A1849" s="50" t="s">
        <v>1919</v>
      </c>
      <c r="B1849" s="50" t="s">
        <v>25</v>
      </c>
      <c r="C1849" s="50" t="s">
        <v>18</v>
      </c>
      <c r="D1849" s="51">
        <v>107064.11</v>
      </c>
      <c r="E1849" s="51" t="str">
        <f t="shared" si="1"/>
        <v>₹1,284,769.32</v>
      </c>
      <c r="F1849" s="52" t="str">
        <f t="shared" si="2"/>
        <v>30.0%</v>
      </c>
      <c r="G1849" s="51" t="str">
        <f t="shared" si="3"/>
        <v>₹385,430.80</v>
      </c>
      <c r="H1849" s="51" t="str">
        <f t="shared" si="4"/>
        <v>₹32,119.23</v>
      </c>
      <c r="I1849" s="51" t="str">
        <f>93593.66-H1849</f>
        <v>₹61,474.43</v>
      </c>
    </row>
    <row r="1850" ht="15.75" customHeight="1">
      <c r="A1850" s="53" t="s">
        <v>1920</v>
      </c>
      <c r="B1850" s="53" t="s">
        <v>25</v>
      </c>
      <c r="C1850" s="53" t="s">
        <v>33</v>
      </c>
      <c r="D1850" s="54">
        <v>107087.29</v>
      </c>
      <c r="E1850" s="54" t="str">
        <f t="shared" si="1"/>
        <v>₹1,285,047.48</v>
      </c>
      <c r="F1850" s="55" t="str">
        <f t="shared" si="2"/>
        <v>30.0%</v>
      </c>
      <c r="G1850" s="54" t="str">
        <f t="shared" si="3"/>
        <v>₹385,514.24</v>
      </c>
      <c r="H1850" s="54" t="str">
        <f t="shared" si="4"/>
        <v>₹32,126.19</v>
      </c>
      <c r="I1850" s="54" t="str">
        <f>93613.44-H1850</f>
        <v>₹61,487.25</v>
      </c>
    </row>
    <row r="1851" ht="15.75" customHeight="1">
      <c r="A1851" s="50" t="s">
        <v>1921</v>
      </c>
      <c r="B1851" s="50" t="s">
        <v>13</v>
      </c>
      <c r="C1851" s="50" t="s">
        <v>18</v>
      </c>
      <c r="D1851" s="51">
        <v>107110.47</v>
      </c>
      <c r="E1851" s="51" t="str">
        <f t="shared" si="1"/>
        <v>₹1,285,325.64</v>
      </c>
      <c r="F1851" s="52" t="str">
        <f t="shared" si="2"/>
        <v>30.0%</v>
      </c>
      <c r="G1851" s="51" t="str">
        <f t="shared" si="3"/>
        <v>₹385,597.69</v>
      </c>
      <c r="H1851" s="51" t="str">
        <f t="shared" si="4"/>
        <v>₹32,133.14</v>
      </c>
      <c r="I1851" s="51" t="str">
        <f>93633.23-H1851</f>
        <v>₹61,500.09</v>
      </c>
    </row>
    <row r="1852" ht="15.75" customHeight="1">
      <c r="A1852" s="53" t="s">
        <v>1922</v>
      </c>
      <c r="B1852" s="53" t="s">
        <v>51</v>
      </c>
      <c r="C1852" s="53" t="s">
        <v>26</v>
      </c>
      <c r="D1852" s="54">
        <v>107133.65</v>
      </c>
      <c r="E1852" s="54" t="str">
        <f t="shared" si="1"/>
        <v>₹1,285,603.80</v>
      </c>
      <c r="F1852" s="55" t="str">
        <f t="shared" si="2"/>
        <v>30.0%</v>
      </c>
      <c r="G1852" s="54" t="str">
        <f t="shared" si="3"/>
        <v>₹385,681.14</v>
      </c>
      <c r="H1852" s="54" t="str">
        <f t="shared" si="4"/>
        <v>₹32,140.10</v>
      </c>
      <c r="I1852" s="54" t="str">
        <f>93653.01-H1852</f>
        <v>₹61,512.92</v>
      </c>
    </row>
    <row r="1853" ht="15.75" customHeight="1">
      <c r="A1853" s="50" t="s">
        <v>1923</v>
      </c>
      <c r="B1853" s="50" t="s">
        <v>13</v>
      </c>
      <c r="C1853" s="50" t="s">
        <v>30</v>
      </c>
      <c r="D1853" s="51">
        <v>107156.82</v>
      </c>
      <c r="E1853" s="51" t="str">
        <f t="shared" si="1"/>
        <v>₹1,285,881.84</v>
      </c>
      <c r="F1853" s="52" t="str">
        <f t="shared" si="2"/>
        <v>30.0%</v>
      </c>
      <c r="G1853" s="51" t="str">
        <f t="shared" si="3"/>
        <v>₹385,764.55</v>
      </c>
      <c r="H1853" s="51" t="str">
        <f t="shared" si="4"/>
        <v>₹32,147.05</v>
      </c>
      <c r="I1853" s="51" t="str">
        <f>93672.78-H1853</f>
        <v>₹61,525.73</v>
      </c>
    </row>
    <row r="1854" ht="15.75" customHeight="1">
      <c r="A1854" s="53" t="s">
        <v>1924</v>
      </c>
      <c r="B1854" s="53" t="s">
        <v>17</v>
      </c>
      <c r="C1854" s="53" t="s">
        <v>26</v>
      </c>
      <c r="D1854" s="54">
        <v>107180.0</v>
      </c>
      <c r="E1854" s="54" t="str">
        <f t="shared" si="1"/>
        <v>₹1,286,160.00</v>
      </c>
      <c r="F1854" s="55" t="str">
        <f t="shared" si="2"/>
        <v>30.0%</v>
      </c>
      <c r="G1854" s="54" t="str">
        <f t="shared" si="3"/>
        <v>₹385,848.00</v>
      </c>
      <c r="H1854" s="54" t="str">
        <f t="shared" si="4"/>
        <v>₹32,154.00</v>
      </c>
      <c r="I1854" s="54" t="str">
        <f>93692.56-H1854</f>
        <v>₹61,538.56</v>
      </c>
    </row>
    <row r="1855" ht="15.75" customHeight="1">
      <c r="A1855" s="50" t="s">
        <v>1925</v>
      </c>
      <c r="B1855" s="50" t="s">
        <v>53</v>
      </c>
      <c r="C1855" s="50" t="s">
        <v>30</v>
      </c>
      <c r="D1855" s="51">
        <v>107203.18</v>
      </c>
      <c r="E1855" s="51" t="str">
        <f t="shared" si="1"/>
        <v>₹1,286,438.16</v>
      </c>
      <c r="F1855" s="52" t="str">
        <f t="shared" si="2"/>
        <v>30.0%</v>
      </c>
      <c r="G1855" s="51" t="str">
        <f t="shared" si="3"/>
        <v>₹385,931.45</v>
      </c>
      <c r="H1855" s="51" t="str">
        <f t="shared" si="4"/>
        <v>₹32,160.95</v>
      </c>
      <c r="I1855" s="51" t="str">
        <f>93712.35-H1855</f>
        <v>₹61,551.40</v>
      </c>
    </row>
    <row r="1856" ht="15.75" customHeight="1">
      <c r="A1856" s="53" t="s">
        <v>1926</v>
      </c>
      <c r="B1856" s="53" t="s">
        <v>36</v>
      </c>
      <c r="C1856" s="53" t="s">
        <v>54</v>
      </c>
      <c r="D1856" s="54">
        <v>107226.36</v>
      </c>
      <c r="E1856" s="54" t="str">
        <f t="shared" si="1"/>
        <v>₹1,286,716.32</v>
      </c>
      <c r="F1856" s="55" t="str">
        <f t="shared" si="2"/>
        <v>30.0%</v>
      </c>
      <c r="G1856" s="54" t="str">
        <f t="shared" si="3"/>
        <v>₹386,014.90</v>
      </c>
      <c r="H1856" s="54" t="str">
        <f t="shared" si="4"/>
        <v>₹32,167.91</v>
      </c>
      <c r="I1856" s="54" t="str">
        <f>93732.13-H1856</f>
        <v>₹61,564.22</v>
      </c>
    </row>
    <row r="1857" ht="15.75" customHeight="1">
      <c r="A1857" s="50" t="s">
        <v>1927</v>
      </c>
      <c r="B1857" s="50" t="s">
        <v>29</v>
      </c>
      <c r="C1857" s="50" t="s">
        <v>14</v>
      </c>
      <c r="D1857" s="51">
        <v>107249.53</v>
      </c>
      <c r="E1857" s="51" t="str">
        <f t="shared" si="1"/>
        <v>₹1,286,994.36</v>
      </c>
      <c r="F1857" s="52" t="str">
        <f t="shared" si="2"/>
        <v>30.0%</v>
      </c>
      <c r="G1857" s="51" t="str">
        <f t="shared" si="3"/>
        <v>₹386,098.31</v>
      </c>
      <c r="H1857" s="51" t="str">
        <f t="shared" si="4"/>
        <v>₹32,174.86</v>
      </c>
      <c r="I1857" s="51" t="str">
        <f>93751.9-H1857</f>
        <v>₹61,577.04</v>
      </c>
    </row>
    <row r="1858" ht="15.75" customHeight="1">
      <c r="A1858" s="53" t="s">
        <v>1928</v>
      </c>
      <c r="B1858" s="53" t="s">
        <v>36</v>
      </c>
      <c r="C1858" s="53" t="s">
        <v>14</v>
      </c>
      <c r="D1858" s="54">
        <v>107272.71</v>
      </c>
      <c r="E1858" s="54" t="str">
        <f t="shared" si="1"/>
        <v>₹1,287,272.52</v>
      </c>
      <c r="F1858" s="55" t="str">
        <f t="shared" si="2"/>
        <v>30.0%</v>
      </c>
      <c r="G1858" s="54" t="str">
        <f t="shared" si="3"/>
        <v>₹386,181.76</v>
      </c>
      <c r="H1858" s="54" t="str">
        <f t="shared" si="4"/>
        <v>₹32,181.81</v>
      </c>
      <c r="I1858" s="54" t="str">
        <f>93771.68-H1858</f>
        <v>₹61,589.87</v>
      </c>
    </row>
    <row r="1859" ht="15.75" customHeight="1">
      <c r="A1859" s="50" t="s">
        <v>1929</v>
      </c>
      <c r="B1859" s="50" t="s">
        <v>53</v>
      </c>
      <c r="C1859" s="50" t="s">
        <v>18</v>
      </c>
      <c r="D1859" s="51">
        <v>107295.89</v>
      </c>
      <c r="E1859" s="51" t="str">
        <f t="shared" si="1"/>
        <v>₹1,287,550.68</v>
      </c>
      <c r="F1859" s="52" t="str">
        <f t="shared" si="2"/>
        <v>30.0%</v>
      </c>
      <c r="G1859" s="51" t="str">
        <f t="shared" si="3"/>
        <v>₹386,265.20</v>
      </c>
      <c r="H1859" s="51" t="str">
        <f t="shared" si="4"/>
        <v>₹32,188.77</v>
      </c>
      <c r="I1859" s="51" t="str">
        <f>93791.47-H1859</f>
        <v>₹61,602.70</v>
      </c>
    </row>
    <row r="1860" ht="15.75" customHeight="1">
      <c r="A1860" s="53" t="s">
        <v>1930</v>
      </c>
      <c r="B1860" s="53" t="s">
        <v>36</v>
      </c>
      <c r="C1860" s="53" t="s">
        <v>33</v>
      </c>
      <c r="D1860" s="54">
        <v>107319.07</v>
      </c>
      <c r="E1860" s="54" t="str">
        <f t="shared" si="1"/>
        <v>₹1,287,828.84</v>
      </c>
      <c r="F1860" s="55" t="str">
        <f t="shared" si="2"/>
        <v>30.0%</v>
      </c>
      <c r="G1860" s="54" t="str">
        <f t="shared" si="3"/>
        <v>₹386,348.65</v>
      </c>
      <c r="H1860" s="54" t="str">
        <f t="shared" si="4"/>
        <v>₹32,195.72</v>
      </c>
      <c r="I1860" s="54" t="str">
        <f>93811.25-H1860</f>
        <v>₹61,615.53</v>
      </c>
    </row>
    <row r="1861" ht="15.75" customHeight="1">
      <c r="A1861" s="50" t="s">
        <v>1931</v>
      </c>
      <c r="B1861" s="50" t="s">
        <v>29</v>
      </c>
      <c r="C1861" s="50" t="s">
        <v>37</v>
      </c>
      <c r="D1861" s="51">
        <v>107342.24</v>
      </c>
      <c r="E1861" s="51" t="str">
        <f t="shared" si="1"/>
        <v>₹1,288,106.88</v>
      </c>
      <c r="F1861" s="52" t="str">
        <f t="shared" si="2"/>
        <v>30.0%</v>
      </c>
      <c r="G1861" s="51" t="str">
        <f t="shared" si="3"/>
        <v>₹386,432.06</v>
      </c>
      <c r="H1861" s="51" t="str">
        <f t="shared" si="4"/>
        <v>₹32,202.67</v>
      </c>
      <c r="I1861" s="51" t="str">
        <f>93831.02-H1861</f>
        <v>₹61,628.35</v>
      </c>
    </row>
    <row r="1862" ht="15.75" customHeight="1">
      <c r="A1862" s="53" t="s">
        <v>1932</v>
      </c>
      <c r="B1862" s="53" t="s">
        <v>13</v>
      </c>
      <c r="C1862" s="53" t="s">
        <v>54</v>
      </c>
      <c r="D1862" s="54">
        <v>107365.42</v>
      </c>
      <c r="E1862" s="54" t="str">
        <f t="shared" si="1"/>
        <v>₹1,288,385.04</v>
      </c>
      <c r="F1862" s="55" t="str">
        <f t="shared" si="2"/>
        <v>30.0%</v>
      </c>
      <c r="G1862" s="54" t="str">
        <f t="shared" si="3"/>
        <v>₹386,515.51</v>
      </c>
      <c r="H1862" s="54" t="str">
        <f t="shared" si="4"/>
        <v>₹32,209.63</v>
      </c>
      <c r="I1862" s="54" t="str">
        <f>93850.8-H1862</f>
        <v>₹61,641.17</v>
      </c>
    </row>
    <row r="1863" ht="15.75" customHeight="1">
      <c r="A1863" s="50" t="s">
        <v>1933</v>
      </c>
      <c r="B1863" s="50" t="s">
        <v>29</v>
      </c>
      <c r="C1863" s="50" t="s">
        <v>26</v>
      </c>
      <c r="D1863" s="51">
        <v>107388.6</v>
      </c>
      <c r="E1863" s="51" t="str">
        <f t="shared" si="1"/>
        <v>₹1,288,663.20</v>
      </c>
      <c r="F1863" s="52" t="str">
        <f t="shared" si="2"/>
        <v>30.0%</v>
      </c>
      <c r="G1863" s="51" t="str">
        <f t="shared" si="3"/>
        <v>₹386,598.96</v>
      </c>
      <c r="H1863" s="51" t="str">
        <f t="shared" si="4"/>
        <v>₹32,216.58</v>
      </c>
      <c r="I1863" s="51" t="str">
        <f>93870.59-H1863</f>
        <v>₹61,654.01</v>
      </c>
    </row>
    <row r="1864" ht="15.75" customHeight="1">
      <c r="A1864" s="53" t="s">
        <v>1934</v>
      </c>
      <c r="B1864" s="53" t="s">
        <v>13</v>
      </c>
      <c r="C1864" s="53" t="s">
        <v>14</v>
      </c>
      <c r="D1864" s="54">
        <v>107411.78</v>
      </c>
      <c r="E1864" s="54" t="str">
        <f t="shared" si="1"/>
        <v>₹1,288,941.36</v>
      </c>
      <c r="F1864" s="55" t="str">
        <f t="shared" si="2"/>
        <v>30.0%</v>
      </c>
      <c r="G1864" s="54" t="str">
        <f t="shared" si="3"/>
        <v>₹386,682.41</v>
      </c>
      <c r="H1864" s="54" t="str">
        <f t="shared" si="4"/>
        <v>₹32,223.53</v>
      </c>
      <c r="I1864" s="54" t="str">
        <f>93084.4-H1864</f>
        <v>₹60,860.87</v>
      </c>
    </row>
    <row r="1865" ht="15.75" customHeight="1">
      <c r="A1865" s="50" t="s">
        <v>1935</v>
      </c>
      <c r="B1865" s="50" t="s">
        <v>13</v>
      </c>
      <c r="C1865" s="50" t="s">
        <v>18</v>
      </c>
      <c r="D1865" s="51">
        <v>107434.96</v>
      </c>
      <c r="E1865" s="51" t="str">
        <f t="shared" si="1"/>
        <v>₹1,289,219.52</v>
      </c>
      <c r="F1865" s="52" t="str">
        <f t="shared" si="2"/>
        <v>30.0%</v>
      </c>
      <c r="G1865" s="51" t="str">
        <f t="shared" si="3"/>
        <v>₹386,765.86</v>
      </c>
      <c r="H1865" s="51" t="str">
        <f t="shared" si="4"/>
        <v>₹32,230.49</v>
      </c>
      <c r="I1865" s="51" t="str">
        <f>93910.15-H1865</f>
        <v>₹61,679.66</v>
      </c>
    </row>
    <row r="1866" ht="15.75" customHeight="1">
      <c r="A1866" s="53" t="s">
        <v>1936</v>
      </c>
      <c r="B1866" s="53" t="s">
        <v>25</v>
      </c>
      <c r="C1866" s="53" t="s">
        <v>54</v>
      </c>
      <c r="D1866" s="54">
        <v>107458.13</v>
      </c>
      <c r="E1866" s="54" t="str">
        <f t="shared" si="1"/>
        <v>₹1,289,497.56</v>
      </c>
      <c r="F1866" s="55" t="str">
        <f t="shared" si="2"/>
        <v>30.0%</v>
      </c>
      <c r="G1866" s="54" t="str">
        <f t="shared" si="3"/>
        <v>₹386,849.27</v>
      </c>
      <c r="H1866" s="54" t="str">
        <f t="shared" si="4"/>
        <v>₹32,237.44</v>
      </c>
      <c r="I1866" s="54" t="str">
        <f>93929.92-H1866</f>
        <v>₹61,692.48</v>
      </c>
    </row>
    <row r="1867" ht="15.75" customHeight="1">
      <c r="A1867" s="50" t="s">
        <v>1937</v>
      </c>
      <c r="B1867" s="50" t="s">
        <v>17</v>
      </c>
      <c r="C1867" s="50" t="s">
        <v>26</v>
      </c>
      <c r="D1867" s="51">
        <v>107481.31</v>
      </c>
      <c r="E1867" s="51" t="str">
        <f t="shared" si="1"/>
        <v>₹1,289,775.72</v>
      </c>
      <c r="F1867" s="52" t="str">
        <f t="shared" si="2"/>
        <v>30.0%</v>
      </c>
      <c r="G1867" s="51" t="str">
        <f t="shared" si="3"/>
        <v>₹386,932.72</v>
      </c>
      <c r="H1867" s="51" t="str">
        <f t="shared" si="4"/>
        <v>₹32,244.39</v>
      </c>
      <c r="I1867" s="51" t="str">
        <f>93949.7-H1867</f>
        <v>₹61,705.31</v>
      </c>
    </row>
    <row r="1868" ht="15.75" customHeight="1">
      <c r="A1868" s="53" t="s">
        <v>1938</v>
      </c>
      <c r="B1868" s="53" t="s">
        <v>17</v>
      </c>
      <c r="C1868" s="53" t="s">
        <v>26</v>
      </c>
      <c r="D1868" s="54">
        <v>107504.49</v>
      </c>
      <c r="E1868" s="54" t="str">
        <f t="shared" si="1"/>
        <v>₹1,290,053.88</v>
      </c>
      <c r="F1868" s="55" t="str">
        <f t="shared" si="2"/>
        <v>30.0%</v>
      </c>
      <c r="G1868" s="54" t="str">
        <f t="shared" si="3"/>
        <v>₹387,016.16</v>
      </c>
      <c r="H1868" s="54" t="str">
        <f t="shared" si="4"/>
        <v>₹32,251.35</v>
      </c>
      <c r="I1868" s="54" t="str">
        <f>93969.49-H1868</f>
        <v>₹61,718.14</v>
      </c>
    </row>
    <row r="1869" ht="15.75" customHeight="1">
      <c r="A1869" s="50" t="s">
        <v>1939</v>
      </c>
      <c r="B1869" s="50" t="s">
        <v>51</v>
      </c>
      <c r="C1869" s="50" t="s">
        <v>54</v>
      </c>
      <c r="D1869" s="51">
        <v>107527.67</v>
      </c>
      <c r="E1869" s="51" t="str">
        <f t="shared" si="1"/>
        <v>₹1,290,332.04</v>
      </c>
      <c r="F1869" s="52" t="str">
        <f t="shared" si="2"/>
        <v>30.0%</v>
      </c>
      <c r="G1869" s="51" t="str">
        <f t="shared" si="3"/>
        <v>₹387,099.61</v>
      </c>
      <c r="H1869" s="51" t="str">
        <f t="shared" si="4"/>
        <v>₹32,258.30</v>
      </c>
      <c r="I1869" s="51" t="str">
        <f>93989.27-H1869</f>
        <v>₹61,730.97</v>
      </c>
    </row>
    <row r="1870" ht="15.75" customHeight="1">
      <c r="A1870" s="53" t="s">
        <v>1940</v>
      </c>
      <c r="B1870" s="53" t="s">
        <v>25</v>
      </c>
      <c r="C1870" s="53" t="s">
        <v>37</v>
      </c>
      <c r="D1870" s="54">
        <v>107550.84</v>
      </c>
      <c r="E1870" s="54" t="str">
        <f t="shared" si="1"/>
        <v>₹1,290,610.08</v>
      </c>
      <c r="F1870" s="55" t="str">
        <f t="shared" si="2"/>
        <v>30.0%</v>
      </c>
      <c r="G1870" s="54" t="str">
        <f t="shared" si="3"/>
        <v>₹387,183.02</v>
      </c>
      <c r="H1870" s="54" t="str">
        <f t="shared" si="4"/>
        <v>₹32,265.25</v>
      </c>
      <c r="I1870" s="54" t="str">
        <f>94009.04-H1870</f>
        <v>₹61,743.79</v>
      </c>
    </row>
    <row r="1871" ht="15.75" customHeight="1">
      <c r="A1871" s="50" t="s">
        <v>1941</v>
      </c>
      <c r="B1871" s="50" t="s">
        <v>13</v>
      </c>
      <c r="C1871" s="50" t="s">
        <v>37</v>
      </c>
      <c r="D1871" s="51">
        <v>107574.02</v>
      </c>
      <c r="E1871" s="51" t="str">
        <f t="shared" si="1"/>
        <v>₹1,290,888.24</v>
      </c>
      <c r="F1871" s="52" t="str">
        <f t="shared" si="2"/>
        <v>30.0%</v>
      </c>
      <c r="G1871" s="51" t="str">
        <f t="shared" si="3"/>
        <v>₹387,266.47</v>
      </c>
      <c r="H1871" s="51" t="str">
        <f t="shared" si="4"/>
        <v>₹32,272.21</v>
      </c>
      <c r="I1871" s="51" t="str">
        <f>94028.82-H1871</f>
        <v>₹61,756.61</v>
      </c>
    </row>
    <row r="1872" ht="15.75" customHeight="1">
      <c r="A1872" s="53" t="s">
        <v>1942</v>
      </c>
      <c r="B1872" s="53" t="s">
        <v>53</v>
      </c>
      <c r="C1872" s="53" t="s">
        <v>37</v>
      </c>
      <c r="D1872" s="54">
        <v>107597.2</v>
      </c>
      <c r="E1872" s="54" t="str">
        <f t="shared" si="1"/>
        <v>₹1,291,166.40</v>
      </c>
      <c r="F1872" s="55" t="str">
        <f t="shared" si="2"/>
        <v>30.0%</v>
      </c>
      <c r="G1872" s="54" t="str">
        <f t="shared" si="3"/>
        <v>₹387,349.92</v>
      </c>
      <c r="H1872" s="54" t="str">
        <f t="shared" si="4"/>
        <v>₹32,279.16</v>
      </c>
      <c r="I1872" s="54" t="str">
        <f>94048.61-H1872</f>
        <v>₹61,769.45</v>
      </c>
    </row>
    <row r="1873" ht="15.75" customHeight="1">
      <c r="A1873" s="50" t="s">
        <v>1943</v>
      </c>
      <c r="B1873" s="50" t="s">
        <v>13</v>
      </c>
      <c r="C1873" s="50" t="s">
        <v>26</v>
      </c>
      <c r="D1873" s="51">
        <v>107620.38</v>
      </c>
      <c r="E1873" s="51" t="str">
        <f t="shared" si="1"/>
        <v>₹1,291,444.56</v>
      </c>
      <c r="F1873" s="52" t="str">
        <f t="shared" si="2"/>
        <v>30.0%</v>
      </c>
      <c r="G1873" s="51" t="str">
        <f t="shared" si="3"/>
        <v>₹387,433.37</v>
      </c>
      <c r="H1873" s="51" t="str">
        <f t="shared" si="4"/>
        <v>₹32,286.11</v>
      </c>
      <c r="I1873" s="51" t="str">
        <f>94068.39-H1873</f>
        <v>₹61,782.28</v>
      </c>
    </row>
    <row r="1874" ht="15.75" customHeight="1">
      <c r="A1874" s="53" t="s">
        <v>1944</v>
      </c>
      <c r="B1874" s="53" t="s">
        <v>36</v>
      </c>
      <c r="C1874" s="53" t="s">
        <v>26</v>
      </c>
      <c r="D1874" s="54">
        <v>107643.55</v>
      </c>
      <c r="E1874" s="54" t="str">
        <f t="shared" si="1"/>
        <v>₹1,291,722.60</v>
      </c>
      <c r="F1874" s="55" t="str">
        <f t="shared" si="2"/>
        <v>30.0%</v>
      </c>
      <c r="G1874" s="54" t="str">
        <f t="shared" si="3"/>
        <v>₹387,516.78</v>
      </c>
      <c r="H1874" s="54" t="str">
        <f t="shared" si="4"/>
        <v>₹32,293.07</v>
      </c>
      <c r="I1874" s="54" t="str">
        <f>94088.16-H1874</f>
        <v>₹61,795.10</v>
      </c>
    </row>
    <row r="1875" ht="15.75" customHeight="1">
      <c r="A1875" s="50" t="s">
        <v>1945</v>
      </c>
      <c r="B1875" s="50" t="s">
        <v>53</v>
      </c>
      <c r="C1875" s="50" t="s">
        <v>33</v>
      </c>
      <c r="D1875" s="51">
        <v>107666.73</v>
      </c>
      <c r="E1875" s="51" t="str">
        <f t="shared" si="1"/>
        <v>₹1,292,000.76</v>
      </c>
      <c r="F1875" s="52" t="str">
        <f t="shared" si="2"/>
        <v>30.0%</v>
      </c>
      <c r="G1875" s="51" t="str">
        <f t="shared" si="3"/>
        <v>₹387,600.23</v>
      </c>
      <c r="H1875" s="51" t="str">
        <f t="shared" si="4"/>
        <v>₹32,300.02</v>
      </c>
      <c r="I1875" s="51" t="str">
        <f>94107.94-H1875</f>
        <v>₹61,807.92</v>
      </c>
    </row>
    <row r="1876" ht="15.75" customHeight="1">
      <c r="A1876" s="53" t="s">
        <v>1946</v>
      </c>
      <c r="B1876" s="53" t="s">
        <v>53</v>
      </c>
      <c r="C1876" s="53" t="s">
        <v>18</v>
      </c>
      <c r="D1876" s="54">
        <v>107689.91</v>
      </c>
      <c r="E1876" s="54" t="str">
        <f t="shared" si="1"/>
        <v>₹1,292,278.92</v>
      </c>
      <c r="F1876" s="55" t="str">
        <f t="shared" si="2"/>
        <v>30.0%</v>
      </c>
      <c r="G1876" s="54" t="str">
        <f t="shared" si="3"/>
        <v>₹387,683.68</v>
      </c>
      <c r="H1876" s="54" t="str">
        <f t="shared" si="4"/>
        <v>₹32,306.97</v>
      </c>
      <c r="I1876" s="54" t="str">
        <f>94127.73-H1876</f>
        <v>₹61,820.76</v>
      </c>
    </row>
    <row r="1877" ht="15.75" customHeight="1">
      <c r="A1877" s="50" t="s">
        <v>1947</v>
      </c>
      <c r="B1877" s="50" t="s">
        <v>29</v>
      </c>
      <c r="C1877" s="50" t="s">
        <v>18</v>
      </c>
      <c r="D1877" s="51">
        <v>107713.09</v>
      </c>
      <c r="E1877" s="51" t="str">
        <f t="shared" si="1"/>
        <v>₹1,292,557.08</v>
      </c>
      <c r="F1877" s="52" t="str">
        <f t="shared" si="2"/>
        <v>30.0%</v>
      </c>
      <c r="G1877" s="51" t="str">
        <f t="shared" si="3"/>
        <v>₹387,767.12</v>
      </c>
      <c r="H1877" s="51" t="str">
        <f t="shared" si="4"/>
        <v>₹32,313.93</v>
      </c>
      <c r="I1877" s="51" t="str">
        <f>94147.51-H1877</f>
        <v>₹61,833.58</v>
      </c>
    </row>
    <row r="1878" ht="15.75" customHeight="1">
      <c r="A1878" s="53" t="s">
        <v>1948</v>
      </c>
      <c r="B1878" s="53" t="s">
        <v>53</v>
      </c>
      <c r="C1878" s="53" t="s">
        <v>37</v>
      </c>
      <c r="D1878" s="54">
        <v>107736.27</v>
      </c>
      <c r="E1878" s="54" t="str">
        <f t="shared" si="1"/>
        <v>₹1,292,835.24</v>
      </c>
      <c r="F1878" s="55" t="str">
        <f t="shared" si="2"/>
        <v>30.0%</v>
      </c>
      <c r="G1878" s="54" t="str">
        <f t="shared" si="3"/>
        <v>₹387,850.57</v>
      </c>
      <c r="H1878" s="54" t="str">
        <f t="shared" si="4"/>
        <v>₹32,320.88</v>
      </c>
      <c r="I1878" s="54" t="str">
        <f>94167.29-H1878</f>
        <v>₹61,846.41</v>
      </c>
    </row>
    <row r="1879" ht="15.75" customHeight="1">
      <c r="A1879" s="50" t="s">
        <v>1949</v>
      </c>
      <c r="B1879" s="50" t="s">
        <v>53</v>
      </c>
      <c r="C1879" s="50" t="s">
        <v>54</v>
      </c>
      <c r="D1879" s="51">
        <v>107759.44</v>
      </c>
      <c r="E1879" s="51" t="str">
        <f t="shared" si="1"/>
        <v>₹1,293,113.28</v>
      </c>
      <c r="F1879" s="52" t="str">
        <f t="shared" si="2"/>
        <v>30.0%</v>
      </c>
      <c r="G1879" s="51" t="str">
        <f t="shared" si="3"/>
        <v>₹387,933.98</v>
      </c>
      <c r="H1879" s="51" t="str">
        <f t="shared" si="4"/>
        <v>₹32,327.83</v>
      </c>
      <c r="I1879" s="51" t="str">
        <f>94187.06-H1879</f>
        <v>₹61,859.23</v>
      </c>
    </row>
    <row r="1880" ht="15.75" customHeight="1">
      <c r="A1880" s="53" t="s">
        <v>1950</v>
      </c>
      <c r="B1880" s="53" t="s">
        <v>13</v>
      </c>
      <c r="C1880" s="53" t="s">
        <v>26</v>
      </c>
      <c r="D1880" s="54">
        <v>107782.62</v>
      </c>
      <c r="E1880" s="54" t="str">
        <f t="shared" si="1"/>
        <v>₹1,293,391.44</v>
      </c>
      <c r="F1880" s="55" t="str">
        <f t="shared" si="2"/>
        <v>30.0%</v>
      </c>
      <c r="G1880" s="54" t="str">
        <f t="shared" si="3"/>
        <v>₹388,017.43</v>
      </c>
      <c r="H1880" s="54" t="str">
        <f t="shared" si="4"/>
        <v>₹32,334.79</v>
      </c>
      <c r="I1880" s="54" t="str">
        <f>94206.85-H1880</f>
        <v>₹61,872.06</v>
      </c>
    </row>
    <row r="1881" ht="15.75" customHeight="1">
      <c r="A1881" s="50" t="s">
        <v>1951</v>
      </c>
      <c r="B1881" s="50" t="s">
        <v>53</v>
      </c>
      <c r="C1881" s="50" t="s">
        <v>14</v>
      </c>
      <c r="D1881" s="51">
        <v>107805.8</v>
      </c>
      <c r="E1881" s="51" t="str">
        <f t="shared" si="1"/>
        <v>₹1,293,669.60</v>
      </c>
      <c r="F1881" s="52" t="str">
        <f t="shared" si="2"/>
        <v>30.0%</v>
      </c>
      <c r="G1881" s="51" t="str">
        <f t="shared" si="3"/>
        <v>₹388,100.88</v>
      </c>
      <c r="H1881" s="51" t="str">
        <f t="shared" si="4"/>
        <v>₹32,341.74</v>
      </c>
      <c r="I1881" s="51" t="str">
        <f>94226.63-H1881</f>
        <v>₹61,884.89</v>
      </c>
    </row>
    <row r="1882" ht="15.75" customHeight="1">
      <c r="A1882" s="53" t="s">
        <v>1952</v>
      </c>
      <c r="B1882" s="53" t="s">
        <v>29</v>
      </c>
      <c r="C1882" s="53" t="s">
        <v>26</v>
      </c>
      <c r="D1882" s="54">
        <v>107828.98</v>
      </c>
      <c r="E1882" s="54" t="str">
        <f t="shared" si="1"/>
        <v>₹1,293,947.76</v>
      </c>
      <c r="F1882" s="55" t="str">
        <f t="shared" si="2"/>
        <v>30.0%</v>
      </c>
      <c r="G1882" s="54" t="str">
        <f t="shared" si="3"/>
        <v>₹388,184.33</v>
      </c>
      <c r="H1882" s="54" t="str">
        <f t="shared" si="4"/>
        <v>₹32,348.69</v>
      </c>
      <c r="I1882" s="54" t="str">
        <f>94246.41-H1882</f>
        <v>₹61,897.72</v>
      </c>
    </row>
    <row r="1883" ht="15.75" customHeight="1">
      <c r="A1883" s="50" t="s">
        <v>1953</v>
      </c>
      <c r="B1883" s="50" t="s">
        <v>25</v>
      </c>
      <c r="C1883" s="50" t="s">
        <v>14</v>
      </c>
      <c r="D1883" s="51">
        <v>107852.15</v>
      </c>
      <c r="E1883" s="51" t="str">
        <f t="shared" si="1"/>
        <v>₹1,294,225.80</v>
      </c>
      <c r="F1883" s="52" t="str">
        <f t="shared" si="2"/>
        <v>30.0%</v>
      </c>
      <c r="G1883" s="51" t="str">
        <f t="shared" si="3"/>
        <v>₹388,267.74</v>
      </c>
      <c r="H1883" s="51" t="str">
        <f t="shared" si="4"/>
        <v>₹32,355.65</v>
      </c>
      <c r="I1883" s="51" t="str">
        <f>94266.18-H1883</f>
        <v>₹61,910.54</v>
      </c>
    </row>
    <row r="1884" ht="15.75" customHeight="1">
      <c r="A1884" s="53" t="s">
        <v>1954</v>
      </c>
      <c r="B1884" s="53" t="s">
        <v>29</v>
      </c>
      <c r="C1884" s="53" t="s">
        <v>26</v>
      </c>
      <c r="D1884" s="54">
        <v>107875.33</v>
      </c>
      <c r="E1884" s="54" t="str">
        <f t="shared" si="1"/>
        <v>₹1,294,503.96</v>
      </c>
      <c r="F1884" s="55" t="str">
        <f t="shared" si="2"/>
        <v>30.0%</v>
      </c>
      <c r="G1884" s="54" t="str">
        <f t="shared" si="3"/>
        <v>₹388,351.19</v>
      </c>
      <c r="H1884" s="54" t="str">
        <f t="shared" si="4"/>
        <v>₹32,362.60</v>
      </c>
      <c r="I1884" s="54" t="str">
        <f>94285.97-H1884</f>
        <v>₹61,923.37</v>
      </c>
    </row>
    <row r="1885" ht="15.75" customHeight="1">
      <c r="A1885" s="50" t="s">
        <v>1955</v>
      </c>
      <c r="B1885" s="50" t="s">
        <v>25</v>
      </c>
      <c r="C1885" s="50" t="s">
        <v>30</v>
      </c>
      <c r="D1885" s="51">
        <v>107898.51</v>
      </c>
      <c r="E1885" s="51" t="str">
        <f t="shared" si="1"/>
        <v>₹1,294,782.12</v>
      </c>
      <c r="F1885" s="52" t="str">
        <f t="shared" si="2"/>
        <v>30.0%</v>
      </c>
      <c r="G1885" s="51" t="str">
        <f t="shared" si="3"/>
        <v>₹388,434.64</v>
      </c>
      <c r="H1885" s="51" t="str">
        <f t="shared" si="4"/>
        <v>₹32,369.55</v>
      </c>
      <c r="I1885" s="51" t="str">
        <f>94305.75-H1885</f>
        <v>₹61,936.20</v>
      </c>
    </row>
    <row r="1886" ht="15.75" customHeight="1">
      <c r="A1886" s="53" t="s">
        <v>1956</v>
      </c>
      <c r="B1886" s="53" t="s">
        <v>29</v>
      </c>
      <c r="C1886" s="53" t="s">
        <v>18</v>
      </c>
      <c r="D1886" s="54">
        <v>107921.69</v>
      </c>
      <c r="E1886" s="54" t="str">
        <f t="shared" si="1"/>
        <v>₹1,295,060.28</v>
      </c>
      <c r="F1886" s="55" t="str">
        <f t="shared" si="2"/>
        <v>30.0%</v>
      </c>
      <c r="G1886" s="54" t="str">
        <f t="shared" si="3"/>
        <v>₹388,518.08</v>
      </c>
      <c r="H1886" s="54" t="str">
        <f t="shared" si="4"/>
        <v>₹32,376.51</v>
      </c>
      <c r="I1886" s="54" t="str">
        <f>94325.53-H1886</f>
        <v>₹61,949.02</v>
      </c>
    </row>
    <row r="1887" ht="15.75" customHeight="1">
      <c r="A1887" s="50" t="s">
        <v>1957</v>
      </c>
      <c r="B1887" s="50" t="s">
        <v>29</v>
      </c>
      <c r="C1887" s="50" t="s">
        <v>37</v>
      </c>
      <c r="D1887" s="51">
        <v>107944.86</v>
      </c>
      <c r="E1887" s="51" t="str">
        <f t="shared" si="1"/>
        <v>₹1,295,338.32</v>
      </c>
      <c r="F1887" s="52" t="str">
        <f t="shared" si="2"/>
        <v>30.0%</v>
      </c>
      <c r="G1887" s="51" t="str">
        <f t="shared" si="3"/>
        <v>₹388,601.50</v>
      </c>
      <c r="H1887" s="51" t="str">
        <f t="shared" si="4"/>
        <v>₹32,383.46</v>
      </c>
      <c r="I1887" s="51" t="str">
        <f>94345.3-H1887</f>
        <v>₹61,961.84</v>
      </c>
    </row>
    <row r="1888" ht="15.75" customHeight="1">
      <c r="A1888" s="53" t="s">
        <v>1958</v>
      </c>
      <c r="B1888" s="53" t="s">
        <v>25</v>
      </c>
      <c r="C1888" s="53" t="s">
        <v>30</v>
      </c>
      <c r="D1888" s="54">
        <v>107968.04</v>
      </c>
      <c r="E1888" s="54" t="str">
        <f t="shared" si="1"/>
        <v>₹1,295,616.48</v>
      </c>
      <c r="F1888" s="55" t="str">
        <f t="shared" si="2"/>
        <v>30.0%</v>
      </c>
      <c r="G1888" s="54" t="str">
        <f t="shared" si="3"/>
        <v>₹388,684.94</v>
      </c>
      <c r="H1888" s="54" t="str">
        <f t="shared" si="4"/>
        <v>₹32,390.41</v>
      </c>
      <c r="I1888" s="54" t="str">
        <f>94365.09-H1888</f>
        <v>₹61,974.68</v>
      </c>
    </row>
    <row r="1889" ht="15.75" customHeight="1">
      <c r="A1889" s="50" t="s">
        <v>1959</v>
      </c>
      <c r="B1889" s="50" t="s">
        <v>53</v>
      </c>
      <c r="C1889" s="50" t="s">
        <v>18</v>
      </c>
      <c r="D1889" s="51">
        <v>107991.22</v>
      </c>
      <c r="E1889" s="51" t="str">
        <f t="shared" si="1"/>
        <v>₹1,295,894.64</v>
      </c>
      <c r="F1889" s="52" t="str">
        <f t="shared" si="2"/>
        <v>30.0%</v>
      </c>
      <c r="G1889" s="51" t="str">
        <f t="shared" si="3"/>
        <v>₹388,768.39</v>
      </c>
      <c r="H1889" s="51" t="str">
        <f t="shared" si="4"/>
        <v>₹32,397.37</v>
      </c>
      <c r="I1889" s="51" t="str">
        <f>94384.87-H1889</f>
        <v>₹61,987.50</v>
      </c>
    </row>
    <row r="1890" ht="15.75" customHeight="1">
      <c r="A1890" s="53" t="s">
        <v>1960</v>
      </c>
      <c r="B1890" s="53" t="s">
        <v>36</v>
      </c>
      <c r="C1890" s="53" t="s">
        <v>30</v>
      </c>
      <c r="D1890" s="54">
        <v>108014.4</v>
      </c>
      <c r="E1890" s="54" t="str">
        <f t="shared" si="1"/>
        <v>₹1,296,172.80</v>
      </c>
      <c r="F1890" s="55" t="str">
        <f t="shared" si="2"/>
        <v>30.0%</v>
      </c>
      <c r="G1890" s="54" t="str">
        <f t="shared" si="3"/>
        <v>₹388,851.84</v>
      </c>
      <c r="H1890" s="54" t="str">
        <f t="shared" si="4"/>
        <v>₹32,404.32</v>
      </c>
      <c r="I1890" s="54" t="str">
        <f>94404.65-H1890</f>
        <v>₹62,000.33</v>
      </c>
    </row>
    <row r="1891" ht="15.75" customHeight="1">
      <c r="A1891" s="50" t="s">
        <v>1961</v>
      </c>
      <c r="B1891" s="50" t="s">
        <v>53</v>
      </c>
      <c r="C1891" s="50" t="s">
        <v>14</v>
      </c>
      <c r="D1891" s="51">
        <v>108037.58</v>
      </c>
      <c r="E1891" s="51" t="str">
        <f t="shared" si="1"/>
        <v>₹1,296,450.96</v>
      </c>
      <c r="F1891" s="52" t="str">
        <f t="shared" si="2"/>
        <v>30.0%</v>
      </c>
      <c r="G1891" s="51" t="str">
        <f t="shared" si="3"/>
        <v>₹388,935.29</v>
      </c>
      <c r="H1891" s="51" t="str">
        <f t="shared" si="4"/>
        <v>₹32,411.27</v>
      </c>
      <c r="I1891" s="51" t="str">
        <f>94424.43-H1891</f>
        <v>₹62,013.16</v>
      </c>
    </row>
    <row r="1892" ht="15.75" customHeight="1">
      <c r="A1892" s="53" t="s">
        <v>1962</v>
      </c>
      <c r="B1892" s="53" t="s">
        <v>51</v>
      </c>
      <c r="C1892" s="53" t="s">
        <v>37</v>
      </c>
      <c r="D1892" s="54">
        <v>108060.75</v>
      </c>
      <c r="E1892" s="54" t="str">
        <f t="shared" si="1"/>
        <v>₹1,296,729.00</v>
      </c>
      <c r="F1892" s="55" t="str">
        <f t="shared" si="2"/>
        <v>30.0%</v>
      </c>
      <c r="G1892" s="54" t="str">
        <f t="shared" si="3"/>
        <v>₹389,018.70</v>
      </c>
      <c r="H1892" s="54" t="str">
        <f t="shared" si="4"/>
        <v>₹32,418.23</v>
      </c>
      <c r="I1892" s="54" t="str">
        <f>94444.21-H1892</f>
        <v>₹62,025.99</v>
      </c>
    </row>
    <row r="1893" ht="15.75" customHeight="1">
      <c r="A1893" s="50" t="s">
        <v>1963</v>
      </c>
      <c r="B1893" s="50" t="s">
        <v>17</v>
      </c>
      <c r="C1893" s="50" t="s">
        <v>30</v>
      </c>
      <c r="D1893" s="51">
        <v>108083.93</v>
      </c>
      <c r="E1893" s="51" t="str">
        <f t="shared" si="1"/>
        <v>₹1,297,007.16</v>
      </c>
      <c r="F1893" s="52" t="str">
        <f t="shared" si="2"/>
        <v>30.0%</v>
      </c>
      <c r="G1893" s="51" t="str">
        <f t="shared" si="3"/>
        <v>₹389,102.15</v>
      </c>
      <c r="H1893" s="51" t="str">
        <f t="shared" si="4"/>
        <v>₹32,425.18</v>
      </c>
      <c r="I1893" s="51" t="str">
        <f>94463.99-H1893</f>
        <v>₹62,038.81</v>
      </c>
    </row>
    <row r="1894" ht="15.75" customHeight="1">
      <c r="A1894" s="53" t="s">
        <v>1964</v>
      </c>
      <c r="B1894" s="53" t="s">
        <v>36</v>
      </c>
      <c r="C1894" s="53" t="s">
        <v>26</v>
      </c>
      <c r="D1894" s="54">
        <v>108130.29</v>
      </c>
      <c r="E1894" s="54" t="str">
        <f t="shared" si="1"/>
        <v>₹1,297,563.48</v>
      </c>
      <c r="F1894" s="55" t="str">
        <f t="shared" si="2"/>
        <v>30.0%</v>
      </c>
      <c r="G1894" s="54" t="str">
        <f t="shared" si="3"/>
        <v>₹389,269.04</v>
      </c>
      <c r="H1894" s="54" t="str">
        <f t="shared" si="4"/>
        <v>₹32,439.09</v>
      </c>
      <c r="I1894" s="54" t="str">
        <f>94503.55-H1894</f>
        <v>₹62,064.46</v>
      </c>
    </row>
    <row r="1895" ht="15.75" customHeight="1">
      <c r="A1895" s="50" t="s">
        <v>1965</v>
      </c>
      <c r="B1895" s="50" t="s">
        <v>17</v>
      </c>
      <c r="C1895" s="50" t="s">
        <v>26</v>
      </c>
      <c r="D1895" s="51">
        <v>108153.46</v>
      </c>
      <c r="E1895" s="51" t="str">
        <f t="shared" si="1"/>
        <v>₹1,297,841.52</v>
      </c>
      <c r="F1895" s="52" t="str">
        <f t="shared" si="2"/>
        <v>30.0%</v>
      </c>
      <c r="G1895" s="51" t="str">
        <f t="shared" si="3"/>
        <v>₹389,352.46</v>
      </c>
      <c r="H1895" s="51" t="str">
        <f t="shared" si="4"/>
        <v>₹32,446.04</v>
      </c>
      <c r="I1895" s="51" t="str">
        <f>94523.33-H1895</f>
        <v>₹62,077.29</v>
      </c>
    </row>
    <row r="1896" ht="15.75" customHeight="1">
      <c r="A1896" s="53" t="s">
        <v>1966</v>
      </c>
      <c r="B1896" s="53" t="s">
        <v>29</v>
      </c>
      <c r="C1896" s="53" t="s">
        <v>30</v>
      </c>
      <c r="D1896" s="54">
        <v>108176.64</v>
      </c>
      <c r="E1896" s="54" t="str">
        <f t="shared" si="1"/>
        <v>₹1,298,119.68</v>
      </c>
      <c r="F1896" s="55" t="str">
        <f t="shared" si="2"/>
        <v>30.0%</v>
      </c>
      <c r="G1896" s="54" t="str">
        <f t="shared" si="3"/>
        <v>₹389,435.90</v>
      </c>
      <c r="H1896" s="54" t="str">
        <f t="shared" si="4"/>
        <v>₹32,452.99</v>
      </c>
      <c r="I1896" s="54" t="str">
        <f>94543.11-H1896</f>
        <v>₹62,090.12</v>
      </c>
    </row>
    <row r="1897" ht="15.75" customHeight="1">
      <c r="A1897" s="50" t="s">
        <v>1967</v>
      </c>
      <c r="B1897" s="50" t="s">
        <v>51</v>
      </c>
      <c r="C1897" s="50" t="s">
        <v>26</v>
      </c>
      <c r="D1897" s="51">
        <v>108199.82</v>
      </c>
      <c r="E1897" s="51" t="str">
        <f t="shared" si="1"/>
        <v>₹1,298,397.84</v>
      </c>
      <c r="F1897" s="52" t="str">
        <f t="shared" si="2"/>
        <v>30.0%</v>
      </c>
      <c r="G1897" s="51" t="str">
        <f t="shared" si="3"/>
        <v>₹389,519.35</v>
      </c>
      <c r="H1897" s="51" t="str">
        <f t="shared" si="4"/>
        <v>₹32,459.95</v>
      </c>
      <c r="I1897" s="51" t="str">
        <f>94562.89-H1897</f>
        <v>₹62,102.94</v>
      </c>
    </row>
    <row r="1898" ht="15.75" customHeight="1">
      <c r="A1898" s="53" t="s">
        <v>1968</v>
      </c>
      <c r="B1898" s="53" t="s">
        <v>17</v>
      </c>
      <c r="C1898" s="53" t="s">
        <v>14</v>
      </c>
      <c r="D1898" s="54">
        <v>108223.0</v>
      </c>
      <c r="E1898" s="54" t="str">
        <f t="shared" si="1"/>
        <v>₹1,298,676.00</v>
      </c>
      <c r="F1898" s="55" t="str">
        <f t="shared" si="2"/>
        <v>30.0%</v>
      </c>
      <c r="G1898" s="54" t="str">
        <f t="shared" si="3"/>
        <v>₹389,602.80</v>
      </c>
      <c r="H1898" s="54" t="str">
        <f t="shared" si="4"/>
        <v>₹32,466.90</v>
      </c>
      <c r="I1898" s="54" t="str">
        <f>94582.67-H1898</f>
        <v>₹62,115.77</v>
      </c>
    </row>
    <row r="1899" ht="15.75" customHeight="1">
      <c r="A1899" s="50" t="s">
        <v>1969</v>
      </c>
      <c r="B1899" s="50" t="s">
        <v>53</v>
      </c>
      <c r="C1899" s="50" t="s">
        <v>30</v>
      </c>
      <c r="D1899" s="51">
        <v>108246.17</v>
      </c>
      <c r="E1899" s="51" t="str">
        <f t="shared" si="1"/>
        <v>₹1,298,954.04</v>
      </c>
      <c r="F1899" s="52" t="str">
        <f t="shared" si="2"/>
        <v>30.0%</v>
      </c>
      <c r="G1899" s="51" t="str">
        <f t="shared" si="3"/>
        <v>₹389,686.21</v>
      </c>
      <c r="H1899" s="51" t="str">
        <f t="shared" si="4"/>
        <v>₹32,473.85</v>
      </c>
      <c r="I1899" s="51" t="str">
        <f>94602.45-H1899</f>
        <v>₹62,128.60</v>
      </c>
    </row>
    <row r="1900" ht="15.75" customHeight="1">
      <c r="A1900" s="53" t="s">
        <v>1970</v>
      </c>
      <c r="B1900" s="53" t="s">
        <v>36</v>
      </c>
      <c r="C1900" s="53" t="s">
        <v>33</v>
      </c>
      <c r="D1900" s="54">
        <v>108269.35</v>
      </c>
      <c r="E1900" s="54" t="str">
        <f t="shared" si="1"/>
        <v>₹1,299,232.20</v>
      </c>
      <c r="F1900" s="55" t="str">
        <f t="shared" si="2"/>
        <v>30.0%</v>
      </c>
      <c r="G1900" s="54" t="str">
        <f t="shared" si="3"/>
        <v>₹389,769.66</v>
      </c>
      <c r="H1900" s="54" t="str">
        <f t="shared" si="4"/>
        <v>₹32,480.81</v>
      </c>
      <c r="I1900" s="54" t="str">
        <f>94622.23-H1900</f>
        <v>₹62,141.43</v>
      </c>
    </row>
    <row r="1901" ht="15.75" customHeight="1">
      <c r="A1901" s="50" t="s">
        <v>1971</v>
      </c>
      <c r="B1901" s="50" t="s">
        <v>53</v>
      </c>
      <c r="C1901" s="50" t="s">
        <v>26</v>
      </c>
      <c r="D1901" s="51">
        <v>108292.53</v>
      </c>
      <c r="E1901" s="51" t="str">
        <f t="shared" si="1"/>
        <v>₹1,299,510.36</v>
      </c>
      <c r="F1901" s="52" t="str">
        <f t="shared" si="2"/>
        <v>30.0%</v>
      </c>
      <c r="G1901" s="51" t="str">
        <f t="shared" si="3"/>
        <v>₹389,853.11</v>
      </c>
      <c r="H1901" s="51" t="str">
        <f t="shared" si="4"/>
        <v>₹32,487.76</v>
      </c>
      <c r="I1901" s="51" t="str">
        <f>94642.01-H1901</f>
        <v>₹62,154.25</v>
      </c>
    </row>
    <row r="1902" ht="15.75" customHeight="1">
      <c r="A1902" s="53" t="s">
        <v>1972</v>
      </c>
      <c r="B1902" s="53" t="s">
        <v>51</v>
      </c>
      <c r="C1902" s="53" t="s">
        <v>33</v>
      </c>
      <c r="D1902" s="54">
        <v>108315.71</v>
      </c>
      <c r="E1902" s="54" t="str">
        <f t="shared" si="1"/>
        <v>₹1,299,788.52</v>
      </c>
      <c r="F1902" s="55" t="str">
        <f t="shared" si="2"/>
        <v>30.0%</v>
      </c>
      <c r="G1902" s="54" t="str">
        <f t="shared" si="3"/>
        <v>₹389,936.56</v>
      </c>
      <c r="H1902" s="54" t="str">
        <f t="shared" si="4"/>
        <v>₹32,494.71</v>
      </c>
      <c r="I1902" s="54" t="str">
        <f>94661.79-H1902</f>
        <v>₹62,167.08</v>
      </c>
    </row>
    <row r="1903" ht="15.75" customHeight="1">
      <c r="A1903" s="50" t="s">
        <v>1973</v>
      </c>
      <c r="B1903" s="50" t="s">
        <v>53</v>
      </c>
      <c r="C1903" s="50" t="s">
        <v>14</v>
      </c>
      <c r="D1903" s="51">
        <v>108338.89</v>
      </c>
      <c r="E1903" s="51" t="str">
        <f t="shared" si="1"/>
        <v>₹1,300,066.68</v>
      </c>
      <c r="F1903" s="52" t="str">
        <f t="shared" si="2"/>
        <v>30.0%</v>
      </c>
      <c r="G1903" s="51" t="str">
        <f t="shared" si="3"/>
        <v>₹390,020.00</v>
      </c>
      <c r="H1903" s="51" t="str">
        <f t="shared" si="4"/>
        <v>₹32,501.67</v>
      </c>
      <c r="I1903" s="51" t="str">
        <f>94681.58-H1903</f>
        <v>₹62,179.91</v>
      </c>
    </row>
    <row r="1904" ht="15.75" customHeight="1">
      <c r="A1904" s="53" t="s">
        <v>1974</v>
      </c>
      <c r="B1904" s="53" t="s">
        <v>25</v>
      </c>
      <c r="C1904" s="53" t="s">
        <v>18</v>
      </c>
      <c r="D1904" s="54">
        <v>108362.06</v>
      </c>
      <c r="E1904" s="54" t="str">
        <f t="shared" si="1"/>
        <v>₹1,300,344.72</v>
      </c>
      <c r="F1904" s="55" t="str">
        <f t="shared" si="2"/>
        <v>30.0%</v>
      </c>
      <c r="G1904" s="54" t="str">
        <f t="shared" si="3"/>
        <v>₹390,103.42</v>
      </c>
      <c r="H1904" s="54" t="str">
        <f t="shared" si="4"/>
        <v>₹32,508.62</v>
      </c>
      <c r="I1904" s="54" t="str">
        <f>94701.35-H1904</f>
        <v>₹62,192.73</v>
      </c>
    </row>
    <row r="1905" ht="15.75" customHeight="1">
      <c r="A1905" s="50" t="s">
        <v>1975</v>
      </c>
      <c r="B1905" s="50" t="s">
        <v>13</v>
      </c>
      <c r="C1905" s="50" t="s">
        <v>26</v>
      </c>
      <c r="D1905" s="51">
        <v>108385.24</v>
      </c>
      <c r="E1905" s="51" t="str">
        <f t="shared" si="1"/>
        <v>₹1,300,622.88</v>
      </c>
      <c r="F1905" s="52" t="str">
        <f t="shared" si="2"/>
        <v>30.0%</v>
      </c>
      <c r="G1905" s="51" t="str">
        <f t="shared" si="3"/>
        <v>₹390,186.86</v>
      </c>
      <c r="H1905" s="51" t="str">
        <f t="shared" si="4"/>
        <v>₹32,515.57</v>
      </c>
      <c r="I1905" s="51" t="str">
        <f>94721.13-H1905</f>
        <v>₹62,205.56</v>
      </c>
    </row>
    <row r="1906" ht="15.75" customHeight="1">
      <c r="A1906" s="53" t="s">
        <v>1976</v>
      </c>
      <c r="B1906" s="53" t="s">
        <v>51</v>
      </c>
      <c r="C1906" s="53" t="s">
        <v>14</v>
      </c>
      <c r="D1906" s="54">
        <v>108408.42</v>
      </c>
      <c r="E1906" s="54" t="str">
        <f t="shared" si="1"/>
        <v>₹1,300,901.04</v>
      </c>
      <c r="F1906" s="55" t="str">
        <f t="shared" si="2"/>
        <v>30.0%</v>
      </c>
      <c r="G1906" s="54" t="str">
        <f t="shared" si="3"/>
        <v>₹390,270.31</v>
      </c>
      <c r="H1906" s="54" t="str">
        <f t="shared" si="4"/>
        <v>₹32,522.53</v>
      </c>
      <c r="I1906" s="54" t="str">
        <f>94740.91-H1906</f>
        <v>₹62,218.38</v>
      </c>
    </row>
    <row r="1907" ht="15.75" customHeight="1">
      <c r="A1907" s="50" t="s">
        <v>1977</v>
      </c>
      <c r="B1907" s="50" t="s">
        <v>51</v>
      </c>
      <c r="C1907" s="50" t="s">
        <v>26</v>
      </c>
      <c r="D1907" s="51">
        <v>108431.6</v>
      </c>
      <c r="E1907" s="51" t="str">
        <f t="shared" si="1"/>
        <v>₹1,301,179.20</v>
      </c>
      <c r="F1907" s="52" t="str">
        <f t="shared" si="2"/>
        <v>30.0%</v>
      </c>
      <c r="G1907" s="51" t="str">
        <f t="shared" si="3"/>
        <v>₹390,353.76</v>
      </c>
      <c r="H1907" s="51" t="str">
        <f t="shared" si="4"/>
        <v>₹32,529.48</v>
      </c>
      <c r="I1907" s="51" t="str">
        <f>94760.7-H1907</f>
        <v>₹62,231.22</v>
      </c>
    </row>
    <row r="1908" ht="15.75" customHeight="1">
      <c r="A1908" s="53" t="s">
        <v>1978</v>
      </c>
      <c r="B1908" s="53" t="s">
        <v>36</v>
      </c>
      <c r="C1908" s="53" t="s">
        <v>54</v>
      </c>
      <c r="D1908" s="54">
        <v>108454.77</v>
      </c>
      <c r="E1908" s="54" t="str">
        <f t="shared" si="1"/>
        <v>₹1,301,457.24</v>
      </c>
      <c r="F1908" s="55" t="str">
        <f t="shared" si="2"/>
        <v>30.0%</v>
      </c>
      <c r="G1908" s="54" t="str">
        <f t="shared" si="3"/>
        <v>₹390,437.17</v>
      </c>
      <c r="H1908" s="54" t="str">
        <f t="shared" si="4"/>
        <v>₹32,536.43</v>
      </c>
      <c r="I1908" s="54" t="str">
        <f>94780.47-H1908</f>
        <v>₹62,244.04</v>
      </c>
    </row>
    <row r="1909" ht="15.75" customHeight="1">
      <c r="A1909" s="50" t="s">
        <v>1979</v>
      </c>
      <c r="B1909" s="50" t="s">
        <v>13</v>
      </c>
      <c r="C1909" s="50" t="s">
        <v>14</v>
      </c>
      <c r="D1909" s="51">
        <v>108477.95</v>
      </c>
      <c r="E1909" s="51" t="str">
        <f t="shared" si="1"/>
        <v>₹1,301,735.40</v>
      </c>
      <c r="F1909" s="52" t="str">
        <f t="shared" si="2"/>
        <v>30.0%</v>
      </c>
      <c r="G1909" s="51" t="str">
        <f t="shared" si="3"/>
        <v>₹390,520.62</v>
      </c>
      <c r="H1909" s="51" t="str">
        <f t="shared" si="4"/>
        <v>₹32,543.39</v>
      </c>
      <c r="I1909" s="51" t="str">
        <f>94800.25-H1909</f>
        <v>₹62,256.87</v>
      </c>
    </row>
    <row r="1910" ht="15.75" customHeight="1">
      <c r="A1910" s="53" t="s">
        <v>1980</v>
      </c>
      <c r="B1910" s="53" t="s">
        <v>53</v>
      </c>
      <c r="C1910" s="53" t="s">
        <v>14</v>
      </c>
      <c r="D1910" s="54">
        <v>108501.13</v>
      </c>
      <c r="E1910" s="54" t="str">
        <f t="shared" si="1"/>
        <v>₹1,302,013.56</v>
      </c>
      <c r="F1910" s="55" t="str">
        <f t="shared" si="2"/>
        <v>30.0%</v>
      </c>
      <c r="G1910" s="54" t="str">
        <f t="shared" si="3"/>
        <v>₹390,604.07</v>
      </c>
      <c r="H1910" s="54" t="str">
        <f t="shared" si="4"/>
        <v>₹32,550.34</v>
      </c>
      <c r="I1910" s="54" t="str">
        <f>94820.03-H1910</f>
        <v>₹62,269.69</v>
      </c>
    </row>
    <row r="1911" ht="15.75" customHeight="1">
      <c r="A1911" s="50" t="s">
        <v>1981</v>
      </c>
      <c r="B1911" s="50" t="s">
        <v>29</v>
      </c>
      <c r="C1911" s="50" t="s">
        <v>26</v>
      </c>
      <c r="D1911" s="51">
        <v>108524.31</v>
      </c>
      <c r="E1911" s="51" t="str">
        <f t="shared" si="1"/>
        <v>₹1,302,291.72</v>
      </c>
      <c r="F1911" s="52" t="str">
        <f t="shared" si="2"/>
        <v>30.0%</v>
      </c>
      <c r="G1911" s="51" t="str">
        <f t="shared" si="3"/>
        <v>₹390,687.52</v>
      </c>
      <c r="H1911" s="51" t="str">
        <f t="shared" si="4"/>
        <v>₹32,557.29</v>
      </c>
      <c r="I1911" s="51" t="str">
        <f>94839.82-H1911</f>
        <v>₹62,282.53</v>
      </c>
    </row>
    <row r="1912" ht="15.75" customHeight="1">
      <c r="A1912" s="53" t="s">
        <v>1982</v>
      </c>
      <c r="B1912" s="53" t="s">
        <v>51</v>
      </c>
      <c r="C1912" s="53" t="s">
        <v>18</v>
      </c>
      <c r="D1912" s="54">
        <v>108570.66</v>
      </c>
      <c r="E1912" s="54" t="str">
        <f t="shared" si="1"/>
        <v>₹1,302,847.92</v>
      </c>
      <c r="F1912" s="55" t="str">
        <f t="shared" si="2"/>
        <v>30.0%</v>
      </c>
      <c r="G1912" s="54" t="str">
        <f t="shared" si="3"/>
        <v>₹390,854.38</v>
      </c>
      <c r="H1912" s="54" t="str">
        <f t="shared" si="4"/>
        <v>₹32,571.20</v>
      </c>
      <c r="I1912" s="54" t="str">
        <f>94879.37-H1912</f>
        <v>₹62,308.17</v>
      </c>
    </row>
    <row r="1913" ht="15.75" customHeight="1">
      <c r="A1913" s="50" t="s">
        <v>1983</v>
      </c>
      <c r="B1913" s="50" t="s">
        <v>13</v>
      </c>
      <c r="C1913" s="50" t="s">
        <v>33</v>
      </c>
      <c r="D1913" s="51">
        <v>108617.02</v>
      </c>
      <c r="E1913" s="51" t="str">
        <f t="shared" si="1"/>
        <v>₹1,303,404.24</v>
      </c>
      <c r="F1913" s="52" t="str">
        <f t="shared" si="2"/>
        <v>30.0%</v>
      </c>
      <c r="G1913" s="51" t="str">
        <f t="shared" si="3"/>
        <v>₹391,021.27</v>
      </c>
      <c r="H1913" s="51" t="str">
        <f t="shared" si="4"/>
        <v>₹32,585.11</v>
      </c>
      <c r="I1913" s="51" t="str">
        <f>94918.93-H1913</f>
        <v>₹62,333.82</v>
      </c>
    </row>
    <row r="1914" ht="15.75" customHeight="1">
      <c r="A1914" s="53" t="s">
        <v>1984</v>
      </c>
      <c r="B1914" s="53" t="s">
        <v>17</v>
      </c>
      <c r="C1914" s="53" t="s">
        <v>14</v>
      </c>
      <c r="D1914" s="54">
        <v>108640.2</v>
      </c>
      <c r="E1914" s="54" t="str">
        <f t="shared" si="1"/>
        <v>₹1,303,682.40</v>
      </c>
      <c r="F1914" s="55" t="str">
        <f t="shared" si="2"/>
        <v>30.0%</v>
      </c>
      <c r="G1914" s="54" t="str">
        <f t="shared" si="3"/>
        <v>₹391,104.72</v>
      </c>
      <c r="H1914" s="54" t="str">
        <f t="shared" si="4"/>
        <v>₹32,592.06</v>
      </c>
      <c r="I1914" s="54" t="str">
        <f>94938.72-H1914</f>
        <v>₹62,346.66</v>
      </c>
    </row>
    <row r="1915" ht="15.75" customHeight="1">
      <c r="A1915" s="50" t="s">
        <v>1985</v>
      </c>
      <c r="B1915" s="50" t="s">
        <v>29</v>
      </c>
      <c r="C1915" s="50" t="s">
        <v>30</v>
      </c>
      <c r="D1915" s="51">
        <v>108663.37</v>
      </c>
      <c r="E1915" s="51" t="str">
        <f t="shared" si="1"/>
        <v>₹1,303,960.44</v>
      </c>
      <c r="F1915" s="52" t="str">
        <f t="shared" si="2"/>
        <v>30.0%</v>
      </c>
      <c r="G1915" s="51" t="str">
        <f t="shared" si="3"/>
        <v>₹391,188.13</v>
      </c>
      <c r="H1915" s="51" t="str">
        <f t="shared" si="4"/>
        <v>₹32,599.01</v>
      </c>
      <c r="I1915" s="51" t="str">
        <f>93833.19-H1915</f>
        <v>₹61,234.18</v>
      </c>
    </row>
    <row r="1916" ht="15.75" customHeight="1">
      <c r="A1916" s="53" t="s">
        <v>1986</v>
      </c>
      <c r="B1916" s="53" t="s">
        <v>13</v>
      </c>
      <c r="C1916" s="53" t="s">
        <v>26</v>
      </c>
      <c r="D1916" s="54">
        <v>108686.55</v>
      </c>
      <c r="E1916" s="54" t="str">
        <f t="shared" si="1"/>
        <v>₹1,304,238.60</v>
      </c>
      <c r="F1916" s="55" t="str">
        <f t="shared" si="2"/>
        <v>30.0%</v>
      </c>
      <c r="G1916" s="54" t="str">
        <f t="shared" si="3"/>
        <v>₹391,271.58</v>
      </c>
      <c r="H1916" s="54" t="str">
        <f t="shared" si="4"/>
        <v>₹32,605.97</v>
      </c>
      <c r="I1916" s="54" t="str">
        <f>94978.27-H1916</f>
        <v>₹62,372.31</v>
      </c>
    </row>
    <row r="1917" ht="15.75" customHeight="1">
      <c r="A1917" s="50" t="s">
        <v>1987</v>
      </c>
      <c r="B1917" s="50" t="s">
        <v>51</v>
      </c>
      <c r="C1917" s="50" t="s">
        <v>14</v>
      </c>
      <c r="D1917" s="51">
        <v>108709.73</v>
      </c>
      <c r="E1917" s="51" t="str">
        <f t="shared" si="1"/>
        <v>₹1,304,516.76</v>
      </c>
      <c r="F1917" s="52" t="str">
        <f t="shared" si="2"/>
        <v>30.0%</v>
      </c>
      <c r="G1917" s="51" t="str">
        <f t="shared" si="3"/>
        <v>₹391,355.03</v>
      </c>
      <c r="H1917" s="51" t="str">
        <f t="shared" si="4"/>
        <v>₹32,612.92</v>
      </c>
      <c r="I1917" s="51" t="str">
        <f>94998.05-H1917</f>
        <v>₹62,385.13</v>
      </c>
    </row>
    <row r="1918" ht="15.75" customHeight="1">
      <c r="A1918" s="53" t="s">
        <v>1988</v>
      </c>
      <c r="B1918" s="53" t="s">
        <v>36</v>
      </c>
      <c r="C1918" s="53" t="s">
        <v>18</v>
      </c>
      <c r="D1918" s="54">
        <v>108732.91</v>
      </c>
      <c r="E1918" s="54" t="str">
        <f t="shared" si="1"/>
        <v>₹1,304,794.92</v>
      </c>
      <c r="F1918" s="55" t="str">
        <f t="shared" si="2"/>
        <v>30.0%</v>
      </c>
      <c r="G1918" s="54" t="str">
        <f t="shared" si="3"/>
        <v>₹391,438.48</v>
      </c>
      <c r="H1918" s="54" t="str">
        <f t="shared" si="4"/>
        <v>₹32,619.87</v>
      </c>
      <c r="I1918" s="54" t="str">
        <f>95017.84-H1918</f>
        <v>₹62,397.97</v>
      </c>
    </row>
    <row r="1919" ht="15.75" customHeight="1">
      <c r="A1919" s="50" t="s">
        <v>1989</v>
      </c>
      <c r="B1919" s="50" t="s">
        <v>51</v>
      </c>
      <c r="C1919" s="50" t="s">
        <v>18</v>
      </c>
      <c r="D1919" s="51">
        <v>108756.08</v>
      </c>
      <c r="E1919" s="51" t="str">
        <f t="shared" si="1"/>
        <v>₹1,305,072.96</v>
      </c>
      <c r="F1919" s="52" t="str">
        <f t="shared" si="2"/>
        <v>30.0%</v>
      </c>
      <c r="G1919" s="51" t="str">
        <f t="shared" si="3"/>
        <v>₹391,521.89</v>
      </c>
      <c r="H1919" s="51" t="str">
        <f t="shared" si="4"/>
        <v>₹32,626.82</v>
      </c>
      <c r="I1919" s="51" t="str">
        <f>95037.61-H1919</f>
        <v>₹62,410.79</v>
      </c>
    </row>
    <row r="1920" ht="15.75" customHeight="1">
      <c r="A1920" s="53" t="s">
        <v>1990</v>
      </c>
      <c r="B1920" s="53" t="s">
        <v>13</v>
      </c>
      <c r="C1920" s="53" t="s">
        <v>30</v>
      </c>
      <c r="D1920" s="54">
        <v>108779.26</v>
      </c>
      <c r="E1920" s="54" t="str">
        <f t="shared" si="1"/>
        <v>₹1,305,351.12</v>
      </c>
      <c r="F1920" s="55" t="str">
        <f t="shared" si="2"/>
        <v>30.0%</v>
      </c>
      <c r="G1920" s="54" t="str">
        <f t="shared" si="3"/>
        <v>₹391,605.34</v>
      </c>
      <c r="H1920" s="54" t="str">
        <f t="shared" si="4"/>
        <v>₹32,633.78</v>
      </c>
      <c r="I1920" s="54" t="str">
        <f>95057.39-H1920</f>
        <v>₹62,423.61</v>
      </c>
    </row>
    <row r="1921" ht="15.75" customHeight="1">
      <c r="A1921" s="50" t="s">
        <v>1991</v>
      </c>
      <c r="B1921" s="50" t="s">
        <v>36</v>
      </c>
      <c r="C1921" s="50" t="s">
        <v>54</v>
      </c>
      <c r="D1921" s="51">
        <v>108802.44</v>
      </c>
      <c r="E1921" s="51" t="str">
        <f t="shared" si="1"/>
        <v>₹1,305,629.28</v>
      </c>
      <c r="F1921" s="52" t="str">
        <f t="shared" si="2"/>
        <v>30.0%</v>
      </c>
      <c r="G1921" s="51" t="str">
        <f t="shared" si="3"/>
        <v>₹391,688.78</v>
      </c>
      <c r="H1921" s="51" t="str">
        <f t="shared" si="4"/>
        <v>₹32,640.73</v>
      </c>
      <c r="I1921" s="51" t="str">
        <f>95077.17-H1921</f>
        <v>₹62,436.44</v>
      </c>
    </row>
    <row r="1922" ht="15.75" customHeight="1">
      <c r="A1922" s="53" t="s">
        <v>1992</v>
      </c>
      <c r="B1922" s="53" t="s">
        <v>53</v>
      </c>
      <c r="C1922" s="53" t="s">
        <v>37</v>
      </c>
      <c r="D1922" s="54">
        <v>108825.62</v>
      </c>
      <c r="E1922" s="54" t="str">
        <f t="shared" si="1"/>
        <v>₹1,305,907.44</v>
      </c>
      <c r="F1922" s="55" t="str">
        <f t="shared" si="2"/>
        <v>30.0%</v>
      </c>
      <c r="G1922" s="54" t="str">
        <f t="shared" si="3"/>
        <v>₹391,772.23</v>
      </c>
      <c r="H1922" s="54" t="str">
        <f t="shared" si="4"/>
        <v>₹32,647.69</v>
      </c>
      <c r="I1922" s="54" t="str">
        <f>95096.96-H1922</f>
        <v>₹62,449.27</v>
      </c>
    </row>
    <row r="1923" ht="15.75" customHeight="1">
      <c r="A1923" s="50" t="s">
        <v>1993</v>
      </c>
      <c r="B1923" s="50" t="s">
        <v>25</v>
      </c>
      <c r="C1923" s="50" t="s">
        <v>33</v>
      </c>
      <c r="D1923" s="51">
        <v>108871.97</v>
      </c>
      <c r="E1923" s="51" t="str">
        <f t="shared" si="1"/>
        <v>₹1,306,463.64</v>
      </c>
      <c r="F1923" s="52" t="str">
        <f t="shared" si="2"/>
        <v>30.0%</v>
      </c>
      <c r="G1923" s="51" t="str">
        <f t="shared" si="3"/>
        <v>₹391,939.09</v>
      </c>
      <c r="H1923" s="51" t="str">
        <f t="shared" si="4"/>
        <v>₹32,661.59</v>
      </c>
      <c r="I1923" s="51" t="str">
        <f>95136.51-H1923</f>
        <v>₹62,474.92</v>
      </c>
    </row>
    <row r="1924" ht="15.75" customHeight="1">
      <c r="A1924" s="53" t="s">
        <v>1994</v>
      </c>
      <c r="B1924" s="53" t="s">
        <v>36</v>
      </c>
      <c r="C1924" s="53" t="s">
        <v>33</v>
      </c>
      <c r="D1924" s="54">
        <v>108895.15</v>
      </c>
      <c r="E1924" s="54" t="str">
        <f t="shared" si="1"/>
        <v>₹1,306,741.80</v>
      </c>
      <c r="F1924" s="55" t="str">
        <f t="shared" si="2"/>
        <v>30.0%</v>
      </c>
      <c r="G1924" s="54" t="str">
        <f t="shared" si="3"/>
        <v>₹392,022.54</v>
      </c>
      <c r="H1924" s="54" t="str">
        <f t="shared" si="4"/>
        <v>₹32,668.55</v>
      </c>
      <c r="I1924" s="54" t="str">
        <f>95156.29-H1924</f>
        <v>₹62,487.75</v>
      </c>
    </row>
    <row r="1925" ht="15.75" customHeight="1">
      <c r="A1925" s="50" t="s">
        <v>1995</v>
      </c>
      <c r="B1925" s="50" t="s">
        <v>53</v>
      </c>
      <c r="C1925" s="50" t="s">
        <v>14</v>
      </c>
      <c r="D1925" s="51">
        <v>108918.33</v>
      </c>
      <c r="E1925" s="51" t="str">
        <f t="shared" si="1"/>
        <v>₹1,307,019.96</v>
      </c>
      <c r="F1925" s="52" t="str">
        <f t="shared" si="2"/>
        <v>30.0%</v>
      </c>
      <c r="G1925" s="51" t="str">
        <f t="shared" si="3"/>
        <v>₹392,105.99</v>
      </c>
      <c r="H1925" s="51" t="str">
        <f t="shared" si="4"/>
        <v>₹32,675.50</v>
      </c>
      <c r="I1925" s="51" t="str">
        <f>95176.08-H1925</f>
        <v>₹62,500.58</v>
      </c>
    </row>
    <row r="1926" ht="15.75" customHeight="1">
      <c r="A1926" s="53" t="s">
        <v>1996</v>
      </c>
      <c r="B1926" s="53" t="s">
        <v>51</v>
      </c>
      <c r="C1926" s="53" t="s">
        <v>33</v>
      </c>
      <c r="D1926" s="54">
        <v>108941.51</v>
      </c>
      <c r="E1926" s="54" t="str">
        <f t="shared" si="1"/>
        <v>₹1,307,298.12</v>
      </c>
      <c r="F1926" s="55" t="str">
        <f t="shared" si="2"/>
        <v>30.0%</v>
      </c>
      <c r="G1926" s="54" t="str">
        <f t="shared" si="3"/>
        <v>₹392,189.44</v>
      </c>
      <c r="H1926" s="54" t="str">
        <f t="shared" si="4"/>
        <v>₹32,682.45</v>
      </c>
      <c r="I1926" s="54" t="str">
        <f>95195.86-H1926</f>
        <v>₹62,513.41</v>
      </c>
    </row>
    <row r="1927" ht="15.75" customHeight="1">
      <c r="A1927" s="50" t="s">
        <v>1997</v>
      </c>
      <c r="B1927" s="50" t="s">
        <v>36</v>
      </c>
      <c r="C1927" s="50" t="s">
        <v>37</v>
      </c>
      <c r="D1927" s="51">
        <v>108964.68</v>
      </c>
      <c r="E1927" s="51" t="str">
        <f t="shared" si="1"/>
        <v>₹1,307,576.16</v>
      </c>
      <c r="F1927" s="52" t="str">
        <f t="shared" si="2"/>
        <v>30.0%</v>
      </c>
      <c r="G1927" s="51" t="str">
        <f t="shared" si="3"/>
        <v>₹392,272.85</v>
      </c>
      <c r="H1927" s="51" t="str">
        <f t="shared" si="4"/>
        <v>₹32,689.40</v>
      </c>
      <c r="I1927" s="51" t="str">
        <f>95215.63-H1927</f>
        <v>₹62,526.23</v>
      </c>
    </row>
    <row r="1928" ht="15.75" customHeight="1">
      <c r="A1928" s="53" t="s">
        <v>1998</v>
      </c>
      <c r="B1928" s="53" t="s">
        <v>51</v>
      </c>
      <c r="C1928" s="53" t="s">
        <v>14</v>
      </c>
      <c r="D1928" s="54">
        <v>108987.86</v>
      </c>
      <c r="E1928" s="54" t="str">
        <f t="shared" si="1"/>
        <v>₹1,307,854.32</v>
      </c>
      <c r="F1928" s="55" t="str">
        <f t="shared" si="2"/>
        <v>30.0%</v>
      </c>
      <c r="G1928" s="54" t="str">
        <f t="shared" si="3"/>
        <v>₹392,356.30</v>
      </c>
      <c r="H1928" s="54" t="str">
        <f t="shared" si="4"/>
        <v>₹32,696.36</v>
      </c>
      <c r="I1928" s="54" t="str">
        <f>95235.41-H1928</f>
        <v>₹62,539.05</v>
      </c>
    </row>
    <row r="1929" ht="15.75" customHeight="1">
      <c r="A1929" s="50" t="s">
        <v>1999</v>
      </c>
      <c r="B1929" s="50" t="s">
        <v>13</v>
      </c>
      <c r="C1929" s="50" t="s">
        <v>26</v>
      </c>
      <c r="D1929" s="51">
        <v>109011.04</v>
      </c>
      <c r="E1929" s="51" t="str">
        <f t="shared" si="1"/>
        <v>₹1,308,132.48</v>
      </c>
      <c r="F1929" s="52" t="str">
        <f t="shared" si="2"/>
        <v>30.0%</v>
      </c>
      <c r="G1929" s="51" t="str">
        <f t="shared" si="3"/>
        <v>₹392,439.74</v>
      </c>
      <c r="H1929" s="51" t="str">
        <f t="shared" si="4"/>
        <v>₹32,703.31</v>
      </c>
      <c r="I1929" s="51" t="str">
        <f>95255.2-H1929</f>
        <v>₹62,551.89</v>
      </c>
    </row>
    <row r="1930" ht="15.75" customHeight="1">
      <c r="A1930" s="53" t="s">
        <v>2000</v>
      </c>
      <c r="B1930" s="53" t="s">
        <v>13</v>
      </c>
      <c r="C1930" s="53" t="s">
        <v>26</v>
      </c>
      <c r="D1930" s="54">
        <v>109034.22</v>
      </c>
      <c r="E1930" s="54" t="str">
        <f t="shared" si="1"/>
        <v>₹1,308,410.64</v>
      </c>
      <c r="F1930" s="55" t="str">
        <f t="shared" si="2"/>
        <v>30.0%</v>
      </c>
      <c r="G1930" s="54" t="str">
        <f t="shared" si="3"/>
        <v>₹392,523.19</v>
      </c>
      <c r="H1930" s="54" t="str">
        <f t="shared" si="4"/>
        <v>₹32,710.27</v>
      </c>
      <c r="I1930" s="54" t="str">
        <f>95274.98-H1930</f>
        <v>₹62,564.71</v>
      </c>
    </row>
    <row r="1931" ht="15.75" customHeight="1">
      <c r="A1931" s="50" t="s">
        <v>2001</v>
      </c>
      <c r="B1931" s="50" t="s">
        <v>29</v>
      </c>
      <c r="C1931" s="50" t="s">
        <v>37</v>
      </c>
      <c r="D1931" s="51">
        <v>109057.39</v>
      </c>
      <c r="E1931" s="51" t="str">
        <f t="shared" si="1"/>
        <v>₹1,308,688.68</v>
      </c>
      <c r="F1931" s="52" t="str">
        <f t="shared" si="2"/>
        <v>30.0%</v>
      </c>
      <c r="G1931" s="51" t="str">
        <f t="shared" si="3"/>
        <v>₹392,606.60</v>
      </c>
      <c r="H1931" s="51" t="str">
        <f t="shared" si="4"/>
        <v>₹32,717.22</v>
      </c>
      <c r="I1931" s="51" t="str">
        <f>95294.75-H1931</f>
        <v>₹62,577.53</v>
      </c>
    </row>
    <row r="1932" ht="15.75" customHeight="1">
      <c r="A1932" s="53" t="s">
        <v>2002</v>
      </c>
      <c r="B1932" s="53" t="s">
        <v>13</v>
      </c>
      <c r="C1932" s="53" t="s">
        <v>30</v>
      </c>
      <c r="D1932" s="54">
        <v>110629.33</v>
      </c>
      <c r="E1932" s="54" t="str">
        <f t="shared" si="1"/>
        <v>₹1,327,551.96</v>
      </c>
      <c r="F1932" s="55" t="str">
        <f t="shared" si="2"/>
        <v>30.0%</v>
      </c>
      <c r="G1932" s="54" t="str">
        <f t="shared" si="3"/>
        <v>₹398,265.59</v>
      </c>
      <c r="H1932" s="54" t="str">
        <f t="shared" si="4"/>
        <v>₹33,188.80</v>
      </c>
      <c r="I1932" s="54" t="str">
        <f>96863.29-H1932</f>
        <v>₹63,674.49</v>
      </c>
    </row>
    <row r="1933" ht="15.75" customHeight="1">
      <c r="A1933" s="50" t="s">
        <v>2003</v>
      </c>
      <c r="B1933" s="50" t="s">
        <v>53</v>
      </c>
      <c r="C1933" s="50" t="s">
        <v>18</v>
      </c>
      <c r="D1933" s="51">
        <v>109103.75</v>
      </c>
      <c r="E1933" s="51" t="str">
        <f t="shared" si="1"/>
        <v>₹1,309,245.00</v>
      </c>
      <c r="F1933" s="52" t="str">
        <f t="shared" si="2"/>
        <v>30.0%</v>
      </c>
      <c r="G1933" s="51" t="str">
        <f t="shared" si="3"/>
        <v>₹392,773.50</v>
      </c>
      <c r="H1933" s="51" t="str">
        <f t="shared" si="4"/>
        <v>₹32,731.13</v>
      </c>
      <c r="I1933" s="51" t="str">
        <f>95334.32-H1933</f>
        <v>₹62,603.20</v>
      </c>
    </row>
    <row r="1934" ht="15.75" customHeight="1">
      <c r="A1934" s="53" t="s">
        <v>2004</v>
      </c>
      <c r="B1934" s="53" t="s">
        <v>17</v>
      </c>
      <c r="C1934" s="53" t="s">
        <v>30</v>
      </c>
      <c r="D1934" s="54">
        <v>109126.93</v>
      </c>
      <c r="E1934" s="54" t="str">
        <f t="shared" si="1"/>
        <v>₹1,309,523.16</v>
      </c>
      <c r="F1934" s="55" t="str">
        <f t="shared" si="2"/>
        <v>30.0%</v>
      </c>
      <c r="G1934" s="54" t="str">
        <f t="shared" si="3"/>
        <v>₹392,856.95</v>
      </c>
      <c r="H1934" s="54" t="str">
        <f t="shared" si="4"/>
        <v>₹32,738.08</v>
      </c>
      <c r="I1934" s="54" t="str">
        <f>95354.1-H1934</f>
        <v>₹62,616.02</v>
      </c>
    </row>
    <row r="1935" ht="15.75" customHeight="1">
      <c r="A1935" s="50" t="s">
        <v>2005</v>
      </c>
      <c r="B1935" s="50" t="s">
        <v>17</v>
      </c>
      <c r="C1935" s="50" t="s">
        <v>18</v>
      </c>
      <c r="D1935" s="51">
        <v>109150.1</v>
      </c>
      <c r="E1935" s="51" t="str">
        <f t="shared" si="1"/>
        <v>₹1,309,801.20</v>
      </c>
      <c r="F1935" s="52" t="str">
        <f t="shared" si="2"/>
        <v>30.0%</v>
      </c>
      <c r="G1935" s="51" t="str">
        <f t="shared" si="3"/>
        <v>₹392,940.36</v>
      </c>
      <c r="H1935" s="51" t="str">
        <f t="shared" si="4"/>
        <v>₹32,745.03</v>
      </c>
      <c r="I1935" s="51" t="str">
        <f>95373.87-H1935</f>
        <v>₹62,628.84</v>
      </c>
    </row>
    <row r="1936" ht="15.75" customHeight="1">
      <c r="A1936" s="53" t="s">
        <v>2006</v>
      </c>
      <c r="B1936" s="53" t="s">
        <v>36</v>
      </c>
      <c r="C1936" s="53" t="s">
        <v>14</v>
      </c>
      <c r="D1936" s="54">
        <v>109173.28</v>
      </c>
      <c r="E1936" s="54" t="str">
        <f t="shared" si="1"/>
        <v>₹1,310,079.36</v>
      </c>
      <c r="F1936" s="55" t="str">
        <f t="shared" si="2"/>
        <v>30.0%</v>
      </c>
      <c r="G1936" s="54" t="str">
        <f t="shared" si="3"/>
        <v>₹393,023.81</v>
      </c>
      <c r="H1936" s="54" t="str">
        <f t="shared" si="4"/>
        <v>₹32,751.98</v>
      </c>
      <c r="I1936" s="54" t="str">
        <f>95393.65-H1936</f>
        <v>₹62,641.67</v>
      </c>
    </row>
    <row r="1937" ht="15.75" customHeight="1">
      <c r="A1937" s="50" t="s">
        <v>2007</v>
      </c>
      <c r="B1937" s="50" t="s">
        <v>13</v>
      </c>
      <c r="C1937" s="50" t="s">
        <v>26</v>
      </c>
      <c r="D1937" s="51">
        <v>109196.46</v>
      </c>
      <c r="E1937" s="51" t="str">
        <f t="shared" si="1"/>
        <v>₹1,310,357.52</v>
      </c>
      <c r="F1937" s="52" t="str">
        <f t="shared" si="2"/>
        <v>30.0%</v>
      </c>
      <c r="G1937" s="51" t="str">
        <f t="shared" si="3"/>
        <v>₹393,107.26</v>
      </c>
      <c r="H1937" s="51" t="str">
        <f t="shared" si="4"/>
        <v>₹32,758.94</v>
      </c>
      <c r="I1937" s="51" t="str">
        <f>95413.44-H1937</f>
        <v>₹62,654.50</v>
      </c>
    </row>
    <row r="1938" ht="15.75" customHeight="1">
      <c r="A1938" s="53" t="s">
        <v>2008</v>
      </c>
      <c r="B1938" s="53" t="s">
        <v>51</v>
      </c>
      <c r="C1938" s="53" t="s">
        <v>54</v>
      </c>
      <c r="D1938" s="54">
        <v>109219.64</v>
      </c>
      <c r="E1938" s="54" t="str">
        <f t="shared" si="1"/>
        <v>₹1,310,635.68</v>
      </c>
      <c r="F1938" s="55" t="str">
        <f t="shared" si="2"/>
        <v>30.0%</v>
      </c>
      <c r="G1938" s="54" t="str">
        <f t="shared" si="3"/>
        <v>₹393,190.70</v>
      </c>
      <c r="H1938" s="54" t="str">
        <f t="shared" si="4"/>
        <v>₹32,765.89</v>
      </c>
      <c r="I1938" s="54" t="str">
        <f>95433.22-H1938</f>
        <v>₹62,667.33</v>
      </c>
    </row>
    <row r="1939" ht="15.75" customHeight="1">
      <c r="A1939" s="50" t="s">
        <v>2009</v>
      </c>
      <c r="B1939" s="50" t="s">
        <v>53</v>
      </c>
      <c r="C1939" s="50" t="s">
        <v>33</v>
      </c>
      <c r="D1939" s="51">
        <v>109242.82</v>
      </c>
      <c r="E1939" s="51" t="str">
        <f t="shared" si="1"/>
        <v>₹1,310,913.84</v>
      </c>
      <c r="F1939" s="52" t="str">
        <f t="shared" si="2"/>
        <v>30.0%</v>
      </c>
      <c r="G1939" s="51" t="str">
        <f t="shared" si="3"/>
        <v>₹393,274.15</v>
      </c>
      <c r="H1939" s="51" t="str">
        <f t="shared" si="4"/>
        <v>₹32,772.85</v>
      </c>
      <c r="I1939" s="51" t="str">
        <f>95453-H1939</f>
        <v>₹62,680.15</v>
      </c>
    </row>
    <row r="1940" ht="15.75" customHeight="1">
      <c r="A1940" s="53" t="s">
        <v>2010</v>
      </c>
      <c r="B1940" s="53" t="s">
        <v>25</v>
      </c>
      <c r="C1940" s="53" t="s">
        <v>26</v>
      </c>
      <c r="D1940" s="54">
        <v>109265.99</v>
      </c>
      <c r="E1940" s="54" t="str">
        <f t="shared" si="1"/>
        <v>₹1,311,191.88</v>
      </c>
      <c r="F1940" s="55" t="str">
        <f t="shared" si="2"/>
        <v>30.0%</v>
      </c>
      <c r="G1940" s="54" t="str">
        <f t="shared" si="3"/>
        <v>₹393,357.56</v>
      </c>
      <c r="H1940" s="54" t="str">
        <f t="shared" si="4"/>
        <v>₹32,779.80</v>
      </c>
      <c r="I1940" s="54" t="str">
        <f>95472.77-H1940</f>
        <v>₹62,692.97</v>
      </c>
    </row>
    <row r="1941" ht="15.75" customHeight="1">
      <c r="A1941" s="50" t="s">
        <v>2011</v>
      </c>
      <c r="B1941" s="50" t="s">
        <v>53</v>
      </c>
      <c r="C1941" s="50" t="s">
        <v>30</v>
      </c>
      <c r="D1941" s="51">
        <v>109289.17</v>
      </c>
      <c r="E1941" s="51" t="str">
        <f t="shared" si="1"/>
        <v>₹1,311,470.04</v>
      </c>
      <c r="F1941" s="52" t="str">
        <f t="shared" si="2"/>
        <v>30.0%</v>
      </c>
      <c r="G1941" s="51" t="str">
        <f t="shared" si="3"/>
        <v>₹393,441.01</v>
      </c>
      <c r="H1941" s="51" t="str">
        <f t="shared" si="4"/>
        <v>₹32,786.75</v>
      </c>
      <c r="I1941" s="51" t="str">
        <f>95492.56-H1941</f>
        <v>₹62,705.81</v>
      </c>
    </row>
    <row r="1942" ht="15.75" customHeight="1">
      <c r="A1942" s="53" t="s">
        <v>2012</v>
      </c>
      <c r="B1942" s="53" t="s">
        <v>51</v>
      </c>
      <c r="C1942" s="53" t="s">
        <v>30</v>
      </c>
      <c r="D1942" s="54">
        <v>109312.35</v>
      </c>
      <c r="E1942" s="54" t="str">
        <f t="shared" si="1"/>
        <v>₹1,311,748.20</v>
      </c>
      <c r="F1942" s="55" t="str">
        <f t="shared" si="2"/>
        <v>30.0%</v>
      </c>
      <c r="G1942" s="54" t="str">
        <f t="shared" si="3"/>
        <v>₹393,524.46</v>
      </c>
      <c r="H1942" s="54" t="str">
        <f t="shared" si="4"/>
        <v>₹32,793.71</v>
      </c>
      <c r="I1942" s="54" t="str">
        <f>95512.34-H1942</f>
        <v>₹62,718.64</v>
      </c>
    </row>
    <row r="1943" ht="15.75" customHeight="1">
      <c r="A1943" s="50" t="s">
        <v>2013</v>
      </c>
      <c r="B1943" s="50" t="s">
        <v>13</v>
      </c>
      <c r="C1943" s="50" t="s">
        <v>30</v>
      </c>
      <c r="D1943" s="51">
        <v>109335.53</v>
      </c>
      <c r="E1943" s="51" t="str">
        <f t="shared" si="1"/>
        <v>₹1,312,026.36</v>
      </c>
      <c r="F1943" s="52" t="str">
        <f t="shared" si="2"/>
        <v>30.0%</v>
      </c>
      <c r="G1943" s="51" t="str">
        <f t="shared" si="3"/>
        <v>₹393,607.91</v>
      </c>
      <c r="H1943" s="51" t="str">
        <f t="shared" si="4"/>
        <v>₹32,800.66</v>
      </c>
      <c r="I1943" s="51" t="str">
        <f>95532.12-H1943</f>
        <v>₹62,731.46</v>
      </c>
    </row>
    <row r="1944" ht="15.75" customHeight="1">
      <c r="A1944" s="53" t="s">
        <v>2014</v>
      </c>
      <c r="B1944" s="53" t="s">
        <v>36</v>
      </c>
      <c r="C1944" s="53" t="s">
        <v>54</v>
      </c>
      <c r="D1944" s="54">
        <v>109358.7</v>
      </c>
      <c r="E1944" s="54" t="str">
        <f t="shared" si="1"/>
        <v>₹1,312,304.40</v>
      </c>
      <c r="F1944" s="55" t="str">
        <f t="shared" si="2"/>
        <v>30.0%</v>
      </c>
      <c r="G1944" s="54" t="str">
        <f t="shared" si="3"/>
        <v>₹393,691.32</v>
      </c>
      <c r="H1944" s="54" t="str">
        <f t="shared" si="4"/>
        <v>₹32,807.61</v>
      </c>
      <c r="I1944" s="54" t="str">
        <f>95551.89-H1944</f>
        <v>₹62,744.28</v>
      </c>
    </row>
    <row r="1945" ht="15.75" customHeight="1">
      <c r="A1945" s="50" t="s">
        <v>2015</v>
      </c>
      <c r="B1945" s="50" t="s">
        <v>51</v>
      </c>
      <c r="C1945" s="50" t="s">
        <v>14</v>
      </c>
      <c r="D1945" s="51">
        <v>109381.88</v>
      </c>
      <c r="E1945" s="51" t="str">
        <f t="shared" si="1"/>
        <v>₹1,312,582.56</v>
      </c>
      <c r="F1945" s="52" t="str">
        <f t="shared" si="2"/>
        <v>30.0%</v>
      </c>
      <c r="G1945" s="51" t="str">
        <f t="shared" si="3"/>
        <v>₹393,774.77</v>
      </c>
      <c r="H1945" s="51" t="str">
        <f t="shared" si="4"/>
        <v>₹32,814.56</v>
      </c>
      <c r="I1945" s="51" t="str">
        <f>95571.68-H1945</f>
        <v>₹62,757.12</v>
      </c>
    </row>
    <row r="1946" ht="15.75" customHeight="1">
      <c r="A1946" s="53" t="s">
        <v>2016</v>
      </c>
      <c r="B1946" s="53" t="s">
        <v>17</v>
      </c>
      <c r="C1946" s="53" t="s">
        <v>37</v>
      </c>
      <c r="D1946" s="54">
        <v>109405.06</v>
      </c>
      <c r="E1946" s="54" t="str">
        <f t="shared" si="1"/>
        <v>₹1,312,860.72</v>
      </c>
      <c r="F1946" s="55" t="str">
        <f t="shared" si="2"/>
        <v>30.0%</v>
      </c>
      <c r="G1946" s="54" t="str">
        <f t="shared" si="3"/>
        <v>₹393,858.22</v>
      </c>
      <c r="H1946" s="54" t="str">
        <f t="shared" si="4"/>
        <v>₹32,821.52</v>
      </c>
      <c r="I1946" s="54" t="str">
        <f>95591.46-H1946</f>
        <v>₹62,769.94</v>
      </c>
    </row>
    <row r="1947" ht="15.75" customHeight="1">
      <c r="A1947" s="50" t="s">
        <v>2017</v>
      </c>
      <c r="B1947" s="50" t="s">
        <v>36</v>
      </c>
      <c r="C1947" s="50" t="s">
        <v>37</v>
      </c>
      <c r="D1947" s="51">
        <v>109428.24</v>
      </c>
      <c r="E1947" s="51" t="str">
        <f t="shared" si="1"/>
        <v>₹1,313,138.88</v>
      </c>
      <c r="F1947" s="52" t="str">
        <f t="shared" si="2"/>
        <v>30.0%</v>
      </c>
      <c r="G1947" s="51" t="str">
        <f t="shared" si="3"/>
        <v>₹393,941.66</v>
      </c>
      <c r="H1947" s="51" t="str">
        <f t="shared" si="4"/>
        <v>₹32,828.47</v>
      </c>
      <c r="I1947" s="51" t="str">
        <f>95611.24-H1947</f>
        <v>₹62,782.77</v>
      </c>
    </row>
    <row r="1948" ht="15.75" customHeight="1">
      <c r="A1948" s="53" t="s">
        <v>2018</v>
      </c>
      <c r="B1948" s="53" t="s">
        <v>13</v>
      </c>
      <c r="C1948" s="53" t="s">
        <v>26</v>
      </c>
      <c r="D1948" s="54">
        <v>109451.41</v>
      </c>
      <c r="E1948" s="54" t="str">
        <f t="shared" si="1"/>
        <v>₹1,313,416.92</v>
      </c>
      <c r="F1948" s="55" t="str">
        <f t="shared" si="2"/>
        <v>30.0%</v>
      </c>
      <c r="G1948" s="54" t="str">
        <f t="shared" si="3"/>
        <v>₹394,025.08</v>
      </c>
      <c r="H1948" s="54" t="str">
        <f t="shared" si="4"/>
        <v>₹32,835.42</v>
      </c>
      <c r="I1948" s="54" t="str">
        <f>95631.01-H1948</f>
        <v>₹62,795.59</v>
      </c>
    </row>
    <row r="1949" ht="15.75" customHeight="1">
      <c r="A1949" s="50" t="s">
        <v>2019</v>
      </c>
      <c r="B1949" s="50" t="s">
        <v>25</v>
      </c>
      <c r="C1949" s="50" t="s">
        <v>54</v>
      </c>
      <c r="D1949" s="51">
        <v>109474.59</v>
      </c>
      <c r="E1949" s="51" t="str">
        <f t="shared" si="1"/>
        <v>₹1,313,695.08</v>
      </c>
      <c r="F1949" s="52" t="str">
        <f t="shared" si="2"/>
        <v>30.0%</v>
      </c>
      <c r="G1949" s="51" t="str">
        <f t="shared" si="3"/>
        <v>₹394,108.52</v>
      </c>
      <c r="H1949" s="51" t="str">
        <f t="shared" si="4"/>
        <v>₹32,842.38</v>
      </c>
      <c r="I1949" s="51" t="str">
        <f>95650.8-H1949</f>
        <v>₹62,808.42</v>
      </c>
    </row>
    <row r="1950" ht="15.75" customHeight="1">
      <c r="A1950" s="53" t="s">
        <v>2020</v>
      </c>
      <c r="B1950" s="53" t="s">
        <v>25</v>
      </c>
      <c r="C1950" s="53" t="s">
        <v>26</v>
      </c>
      <c r="D1950" s="54">
        <v>109497.77</v>
      </c>
      <c r="E1950" s="54" t="str">
        <f t="shared" si="1"/>
        <v>₹1,313,973.24</v>
      </c>
      <c r="F1950" s="55" t="str">
        <f t="shared" si="2"/>
        <v>30.0%</v>
      </c>
      <c r="G1950" s="54" t="str">
        <f t="shared" si="3"/>
        <v>₹394,191.97</v>
      </c>
      <c r="H1950" s="54" t="str">
        <f t="shared" si="4"/>
        <v>₹32,849.33</v>
      </c>
      <c r="I1950" s="54" t="str">
        <f>95670.58-H1950</f>
        <v>₹62,821.25</v>
      </c>
    </row>
    <row r="1951" ht="15.75" customHeight="1">
      <c r="A1951" s="50" t="s">
        <v>2021</v>
      </c>
      <c r="B1951" s="50" t="s">
        <v>13</v>
      </c>
      <c r="C1951" s="50" t="s">
        <v>33</v>
      </c>
      <c r="D1951" s="51">
        <v>109520.95</v>
      </c>
      <c r="E1951" s="51" t="str">
        <f t="shared" si="1"/>
        <v>₹1,314,251.40</v>
      </c>
      <c r="F1951" s="52" t="str">
        <f t="shared" si="2"/>
        <v>30.0%</v>
      </c>
      <c r="G1951" s="51" t="str">
        <f t="shared" si="3"/>
        <v>₹394,275.42</v>
      </c>
      <c r="H1951" s="51" t="str">
        <f t="shared" si="4"/>
        <v>₹32,856.29</v>
      </c>
      <c r="I1951" s="51" t="str">
        <f>95690.36-H1951</f>
        <v>₹62,834.08</v>
      </c>
    </row>
    <row r="1952" ht="15.75" customHeight="1">
      <c r="A1952" s="53" t="s">
        <v>2022</v>
      </c>
      <c r="B1952" s="53" t="s">
        <v>36</v>
      </c>
      <c r="C1952" s="53" t="s">
        <v>30</v>
      </c>
      <c r="D1952" s="54">
        <v>109544.13</v>
      </c>
      <c r="E1952" s="54" t="str">
        <f t="shared" si="1"/>
        <v>₹1,314,529.56</v>
      </c>
      <c r="F1952" s="55" t="str">
        <f t="shared" si="2"/>
        <v>30.0%</v>
      </c>
      <c r="G1952" s="54" t="str">
        <f t="shared" si="3"/>
        <v>₹394,358.87</v>
      </c>
      <c r="H1952" s="54" t="str">
        <f t="shared" si="4"/>
        <v>₹32,863.24</v>
      </c>
      <c r="I1952" s="54" t="str">
        <f>95710.14-H1952</f>
        <v>₹62,846.90</v>
      </c>
    </row>
    <row r="1953" ht="15.75" customHeight="1">
      <c r="A1953" s="50" t="s">
        <v>2023</v>
      </c>
      <c r="B1953" s="50" t="s">
        <v>13</v>
      </c>
      <c r="C1953" s="50" t="s">
        <v>54</v>
      </c>
      <c r="D1953" s="51">
        <v>109567.3</v>
      </c>
      <c r="E1953" s="51" t="str">
        <f t="shared" si="1"/>
        <v>₹1,314,807.60</v>
      </c>
      <c r="F1953" s="52" t="str">
        <f t="shared" si="2"/>
        <v>30.0%</v>
      </c>
      <c r="G1953" s="51" t="str">
        <f t="shared" si="3"/>
        <v>₹394,442.28</v>
      </c>
      <c r="H1953" s="51" t="str">
        <f t="shared" si="4"/>
        <v>₹32,870.19</v>
      </c>
      <c r="I1953" s="51" t="str">
        <f>95729.92-H1953</f>
        <v>₹62,859.73</v>
      </c>
    </row>
    <row r="1954" ht="15.75" customHeight="1">
      <c r="A1954" s="53" t="s">
        <v>2024</v>
      </c>
      <c r="B1954" s="53" t="s">
        <v>53</v>
      </c>
      <c r="C1954" s="53" t="s">
        <v>14</v>
      </c>
      <c r="D1954" s="54">
        <v>109590.48</v>
      </c>
      <c r="E1954" s="54" t="str">
        <f t="shared" si="1"/>
        <v>₹1,315,085.76</v>
      </c>
      <c r="F1954" s="55" t="str">
        <f t="shared" si="2"/>
        <v>30.0%</v>
      </c>
      <c r="G1954" s="54" t="str">
        <f t="shared" si="3"/>
        <v>₹394,525.73</v>
      </c>
      <c r="H1954" s="54" t="str">
        <f t="shared" si="4"/>
        <v>₹32,877.14</v>
      </c>
      <c r="I1954" s="54" t="str">
        <f>95749.7-H1954</f>
        <v>₹62,872.56</v>
      </c>
    </row>
    <row r="1955" ht="15.75" customHeight="1">
      <c r="A1955" s="50" t="s">
        <v>2025</v>
      </c>
      <c r="B1955" s="50" t="s">
        <v>36</v>
      </c>
      <c r="C1955" s="50" t="s">
        <v>18</v>
      </c>
      <c r="D1955" s="51">
        <v>109613.66</v>
      </c>
      <c r="E1955" s="51" t="str">
        <f t="shared" si="1"/>
        <v>₹1,315,363.92</v>
      </c>
      <c r="F1955" s="52" t="str">
        <f t="shared" si="2"/>
        <v>30.0%</v>
      </c>
      <c r="G1955" s="51" t="str">
        <f t="shared" si="3"/>
        <v>₹394,609.18</v>
      </c>
      <c r="H1955" s="51" t="str">
        <f t="shared" si="4"/>
        <v>₹32,884.10</v>
      </c>
      <c r="I1955" s="51" t="str">
        <f>95769.48-H1955</f>
        <v>₹62,885.38</v>
      </c>
    </row>
    <row r="1956" ht="15.75" customHeight="1">
      <c r="A1956" s="53" t="s">
        <v>2026</v>
      </c>
      <c r="B1956" s="53" t="s">
        <v>13</v>
      </c>
      <c r="C1956" s="53" t="s">
        <v>54</v>
      </c>
      <c r="D1956" s="54">
        <v>109636.84</v>
      </c>
      <c r="E1956" s="54" t="str">
        <f t="shared" si="1"/>
        <v>₹1,315,642.08</v>
      </c>
      <c r="F1956" s="55" t="str">
        <f t="shared" si="2"/>
        <v>30.0%</v>
      </c>
      <c r="G1956" s="54" t="str">
        <f t="shared" si="3"/>
        <v>₹394,692.62</v>
      </c>
      <c r="H1956" s="54" t="str">
        <f t="shared" si="4"/>
        <v>₹32,891.05</v>
      </c>
      <c r="I1956" s="54" t="str">
        <f>95789.26-H1956</f>
        <v>₹62,898.21</v>
      </c>
    </row>
    <row r="1957" ht="15.75" customHeight="1">
      <c r="A1957" s="50" t="s">
        <v>2027</v>
      </c>
      <c r="B1957" s="50" t="s">
        <v>36</v>
      </c>
      <c r="C1957" s="50" t="s">
        <v>30</v>
      </c>
      <c r="D1957" s="51">
        <v>109660.01</v>
      </c>
      <c r="E1957" s="51" t="str">
        <f t="shared" si="1"/>
        <v>₹1,315,920.12</v>
      </c>
      <c r="F1957" s="52" t="str">
        <f t="shared" si="2"/>
        <v>30.0%</v>
      </c>
      <c r="G1957" s="51" t="str">
        <f t="shared" si="3"/>
        <v>₹394,776.04</v>
      </c>
      <c r="H1957" s="51" t="str">
        <f t="shared" si="4"/>
        <v>₹32,898.00</v>
      </c>
      <c r="I1957" s="51" t="str">
        <f>95809.04-H1957</f>
        <v>₹62,911.04</v>
      </c>
    </row>
    <row r="1958" ht="15.75" customHeight="1">
      <c r="A1958" s="53" t="s">
        <v>2028</v>
      </c>
      <c r="B1958" s="53" t="s">
        <v>53</v>
      </c>
      <c r="C1958" s="53" t="s">
        <v>26</v>
      </c>
      <c r="D1958" s="54">
        <v>109683.19</v>
      </c>
      <c r="E1958" s="54" t="str">
        <f t="shared" si="1"/>
        <v>₹1,316,198.28</v>
      </c>
      <c r="F1958" s="55" t="str">
        <f t="shared" si="2"/>
        <v>30.0%</v>
      </c>
      <c r="G1958" s="54" t="str">
        <f t="shared" si="3"/>
        <v>₹394,859.48</v>
      </c>
      <c r="H1958" s="54" t="str">
        <f t="shared" si="4"/>
        <v>₹32,904.96</v>
      </c>
      <c r="I1958" s="54" t="str">
        <f>95828.82-H1958</f>
        <v>₹62,923.86</v>
      </c>
    </row>
    <row r="1959" ht="15.75" customHeight="1">
      <c r="A1959" s="50" t="s">
        <v>2029</v>
      </c>
      <c r="B1959" s="50" t="s">
        <v>36</v>
      </c>
      <c r="C1959" s="50" t="s">
        <v>30</v>
      </c>
      <c r="D1959" s="51">
        <v>109706.37</v>
      </c>
      <c r="E1959" s="51" t="str">
        <f t="shared" si="1"/>
        <v>₹1,316,476.44</v>
      </c>
      <c r="F1959" s="52" t="str">
        <f t="shared" si="2"/>
        <v>30.0%</v>
      </c>
      <c r="G1959" s="51" t="str">
        <f t="shared" si="3"/>
        <v>₹394,942.93</v>
      </c>
      <c r="H1959" s="51" t="str">
        <f t="shared" si="4"/>
        <v>₹32,911.91</v>
      </c>
      <c r="I1959" s="51" t="str">
        <f>95848.6-H1959</f>
        <v>₹62,936.69</v>
      </c>
    </row>
    <row r="1960" ht="15.75" customHeight="1">
      <c r="A1960" s="53" t="s">
        <v>2030</v>
      </c>
      <c r="B1960" s="53" t="s">
        <v>29</v>
      </c>
      <c r="C1960" s="53" t="s">
        <v>37</v>
      </c>
      <c r="D1960" s="54">
        <v>109729.55</v>
      </c>
      <c r="E1960" s="54" t="str">
        <f t="shared" si="1"/>
        <v>₹1,316,754.60</v>
      </c>
      <c r="F1960" s="55" t="str">
        <f t="shared" si="2"/>
        <v>30.0%</v>
      </c>
      <c r="G1960" s="54" t="str">
        <f t="shared" si="3"/>
        <v>₹395,026.38</v>
      </c>
      <c r="H1960" s="54" t="str">
        <f t="shared" si="4"/>
        <v>₹32,918.87</v>
      </c>
      <c r="I1960" s="54" t="str">
        <f>95868.38-H1960</f>
        <v>₹62,949.52</v>
      </c>
    </row>
    <row r="1961" ht="15.75" customHeight="1">
      <c r="A1961" s="50" t="s">
        <v>2031</v>
      </c>
      <c r="B1961" s="50" t="s">
        <v>13</v>
      </c>
      <c r="C1961" s="50" t="s">
        <v>26</v>
      </c>
      <c r="D1961" s="51">
        <v>109752.72</v>
      </c>
      <c r="E1961" s="51" t="str">
        <f t="shared" si="1"/>
        <v>₹1,317,032.64</v>
      </c>
      <c r="F1961" s="52" t="str">
        <f t="shared" si="2"/>
        <v>30.0%</v>
      </c>
      <c r="G1961" s="51" t="str">
        <f t="shared" si="3"/>
        <v>₹395,109.79</v>
      </c>
      <c r="H1961" s="51" t="str">
        <f t="shared" si="4"/>
        <v>₹32,925.82</v>
      </c>
      <c r="I1961" s="51" t="str">
        <f>95888.15-H1961</f>
        <v>₹62,962.33</v>
      </c>
    </row>
    <row r="1962" ht="15.75" customHeight="1">
      <c r="A1962" s="53" t="s">
        <v>2032</v>
      </c>
      <c r="B1962" s="53" t="s">
        <v>13</v>
      </c>
      <c r="C1962" s="53" t="s">
        <v>30</v>
      </c>
      <c r="D1962" s="54">
        <v>109775.9</v>
      </c>
      <c r="E1962" s="54" t="str">
        <f t="shared" si="1"/>
        <v>₹1,317,310.80</v>
      </c>
      <c r="F1962" s="55" t="str">
        <f t="shared" si="2"/>
        <v>30.0%</v>
      </c>
      <c r="G1962" s="54" t="str">
        <f t="shared" si="3"/>
        <v>₹395,193.24</v>
      </c>
      <c r="H1962" s="54" t="str">
        <f t="shared" si="4"/>
        <v>₹32,932.77</v>
      </c>
      <c r="I1962" s="54" t="str">
        <f>95907.94-H1962</f>
        <v>₹62,975.17</v>
      </c>
    </row>
    <row r="1963" ht="15.75" customHeight="1">
      <c r="A1963" s="50" t="s">
        <v>2033</v>
      </c>
      <c r="B1963" s="50" t="s">
        <v>36</v>
      </c>
      <c r="C1963" s="50" t="s">
        <v>18</v>
      </c>
      <c r="D1963" s="51">
        <v>109799.08</v>
      </c>
      <c r="E1963" s="51" t="str">
        <f t="shared" si="1"/>
        <v>₹1,317,588.96</v>
      </c>
      <c r="F1963" s="52" t="str">
        <f t="shared" si="2"/>
        <v>30.0%</v>
      </c>
      <c r="G1963" s="51" t="str">
        <f t="shared" si="3"/>
        <v>₹395,276.69</v>
      </c>
      <c r="H1963" s="51" t="str">
        <f t="shared" si="4"/>
        <v>₹32,939.72</v>
      </c>
      <c r="I1963" s="51" t="str">
        <f>95927.72-H1963</f>
        <v>₹62,988.00</v>
      </c>
    </row>
    <row r="1964" ht="15.75" customHeight="1">
      <c r="A1964" s="53" t="s">
        <v>2034</v>
      </c>
      <c r="B1964" s="53" t="s">
        <v>29</v>
      </c>
      <c r="C1964" s="53" t="s">
        <v>37</v>
      </c>
      <c r="D1964" s="54">
        <v>109822.26</v>
      </c>
      <c r="E1964" s="54" t="str">
        <f t="shared" si="1"/>
        <v>₹1,317,867.12</v>
      </c>
      <c r="F1964" s="55" t="str">
        <f t="shared" si="2"/>
        <v>30.0%</v>
      </c>
      <c r="G1964" s="54" t="str">
        <f t="shared" si="3"/>
        <v>₹395,360.14</v>
      </c>
      <c r="H1964" s="54" t="str">
        <f t="shared" si="4"/>
        <v>₹32,946.68</v>
      </c>
      <c r="I1964" s="54" t="str">
        <f>95947.5-H1964</f>
        <v>₹63,000.82</v>
      </c>
    </row>
    <row r="1965" ht="15.75" customHeight="1">
      <c r="A1965" s="50" t="s">
        <v>2035</v>
      </c>
      <c r="B1965" s="50" t="s">
        <v>53</v>
      </c>
      <c r="C1965" s="50" t="s">
        <v>26</v>
      </c>
      <c r="D1965" s="51">
        <v>109845.44</v>
      </c>
      <c r="E1965" s="51" t="str">
        <f t="shared" si="1"/>
        <v>₹1,318,145.28</v>
      </c>
      <c r="F1965" s="52" t="str">
        <f t="shared" si="2"/>
        <v>30.0%</v>
      </c>
      <c r="G1965" s="51" t="str">
        <f t="shared" si="3"/>
        <v>₹395,443.58</v>
      </c>
      <c r="H1965" s="51" t="str">
        <f t="shared" si="4"/>
        <v>₹32,953.63</v>
      </c>
      <c r="I1965" s="51" t="str">
        <f>95967.28-H1965</f>
        <v>₹63,013.65</v>
      </c>
    </row>
    <row r="1966" ht="15.75" customHeight="1">
      <c r="A1966" s="53" t="s">
        <v>2036</v>
      </c>
      <c r="B1966" s="53" t="s">
        <v>25</v>
      </c>
      <c r="C1966" s="53" t="s">
        <v>26</v>
      </c>
      <c r="D1966" s="54">
        <v>111183.13</v>
      </c>
      <c r="E1966" s="54" t="str">
        <f t="shared" si="1"/>
        <v>₹1,334,197.56</v>
      </c>
      <c r="F1966" s="55" t="str">
        <f t="shared" si="2"/>
        <v>30.0%</v>
      </c>
      <c r="G1966" s="54" t="str">
        <f t="shared" si="3"/>
        <v>₹400,259.27</v>
      </c>
      <c r="H1966" s="54" t="str">
        <f t="shared" si="4"/>
        <v>₹33,354.94</v>
      </c>
      <c r="I1966" s="54" t="str">
        <f>97298.18-H1966</f>
        <v>₹63,943.24</v>
      </c>
    </row>
    <row r="1967" ht="15.75" customHeight="1">
      <c r="A1967" s="50" t="s">
        <v>2037</v>
      </c>
      <c r="B1967" s="50" t="s">
        <v>51</v>
      </c>
      <c r="C1967" s="50" t="s">
        <v>14</v>
      </c>
      <c r="D1967" s="51">
        <v>109914.97</v>
      </c>
      <c r="E1967" s="51" t="str">
        <f t="shared" si="1"/>
        <v>₹1,318,979.64</v>
      </c>
      <c r="F1967" s="52" t="str">
        <f t="shared" si="2"/>
        <v>30.0%</v>
      </c>
      <c r="G1967" s="51" t="str">
        <f t="shared" si="3"/>
        <v>₹395,693.89</v>
      </c>
      <c r="H1967" s="51" t="str">
        <f t="shared" si="4"/>
        <v>₹32,974.49</v>
      </c>
      <c r="I1967" s="51" t="str">
        <f>96026.62-H1967</f>
        <v>₹63,052.13</v>
      </c>
    </row>
    <row r="1968" ht="15.75" customHeight="1">
      <c r="A1968" s="53" t="s">
        <v>2038</v>
      </c>
      <c r="B1968" s="53" t="s">
        <v>53</v>
      </c>
      <c r="C1968" s="53" t="s">
        <v>18</v>
      </c>
      <c r="D1968" s="54">
        <v>109938.15</v>
      </c>
      <c r="E1968" s="54" t="str">
        <f t="shared" si="1"/>
        <v>₹1,319,257.80</v>
      </c>
      <c r="F1968" s="55" t="str">
        <f t="shared" si="2"/>
        <v>30.0%</v>
      </c>
      <c r="G1968" s="54" t="str">
        <f t="shared" si="3"/>
        <v>₹395,777.34</v>
      </c>
      <c r="H1968" s="54" t="str">
        <f t="shared" si="4"/>
        <v>₹32,981.45</v>
      </c>
      <c r="I1968" s="54" t="str">
        <f>96046.4-H1968</f>
        <v>₹63,064.96</v>
      </c>
    </row>
    <row r="1969" ht="15.75" customHeight="1">
      <c r="A1969" s="50" t="s">
        <v>2039</v>
      </c>
      <c r="B1969" s="50" t="s">
        <v>17</v>
      </c>
      <c r="C1969" s="50" t="s">
        <v>26</v>
      </c>
      <c r="D1969" s="51">
        <v>109961.32</v>
      </c>
      <c r="E1969" s="51" t="str">
        <f t="shared" si="1"/>
        <v>₹1,319,535.84</v>
      </c>
      <c r="F1969" s="52" t="str">
        <f t="shared" si="2"/>
        <v>30.0%</v>
      </c>
      <c r="G1969" s="51" t="str">
        <f t="shared" si="3"/>
        <v>₹395,860.75</v>
      </c>
      <c r="H1969" s="51" t="str">
        <f t="shared" si="4"/>
        <v>₹32,988.40</v>
      </c>
      <c r="I1969" s="51" t="str">
        <f>96066.18-H1969</f>
        <v>₹63,077.78</v>
      </c>
    </row>
    <row r="1970" ht="15.75" customHeight="1">
      <c r="A1970" s="53" t="s">
        <v>2040</v>
      </c>
      <c r="B1970" s="53" t="s">
        <v>36</v>
      </c>
      <c r="C1970" s="53" t="s">
        <v>54</v>
      </c>
      <c r="D1970" s="54">
        <v>110007.68</v>
      </c>
      <c r="E1970" s="54" t="str">
        <f t="shared" si="1"/>
        <v>₹1,320,092.16</v>
      </c>
      <c r="F1970" s="55" t="str">
        <f t="shared" si="2"/>
        <v>30.0%</v>
      </c>
      <c r="G1970" s="54" t="str">
        <f t="shared" si="3"/>
        <v>₹396,027.65</v>
      </c>
      <c r="H1970" s="54" t="str">
        <f t="shared" si="4"/>
        <v>₹33,002.30</v>
      </c>
      <c r="I1970" s="54" t="str">
        <f>96105.74-H1970</f>
        <v>₹63,103.44</v>
      </c>
    </row>
    <row r="1971" ht="15.75" customHeight="1">
      <c r="A1971" s="50" t="s">
        <v>2041</v>
      </c>
      <c r="B1971" s="50" t="s">
        <v>17</v>
      </c>
      <c r="C1971" s="50" t="s">
        <v>26</v>
      </c>
      <c r="D1971" s="51">
        <v>110030.86</v>
      </c>
      <c r="E1971" s="51" t="str">
        <f t="shared" si="1"/>
        <v>₹1,320,370.32</v>
      </c>
      <c r="F1971" s="52" t="str">
        <f t="shared" si="2"/>
        <v>30.0%</v>
      </c>
      <c r="G1971" s="51" t="str">
        <f t="shared" si="3"/>
        <v>₹396,111.10</v>
      </c>
      <c r="H1971" s="51" t="str">
        <f t="shared" si="4"/>
        <v>₹33,009.26</v>
      </c>
      <c r="I1971" s="51" t="str">
        <f>96125.52-H1971</f>
        <v>₹63,116.26</v>
      </c>
    </row>
    <row r="1972" ht="15.75" customHeight="1">
      <c r="A1972" s="53" t="s">
        <v>2042</v>
      </c>
      <c r="B1972" s="53" t="s">
        <v>25</v>
      </c>
      <c r="C1972" s="53" t="s">
        <v>18</v>
      </c>
      <c r="D1972" s="54">
        <v>110054.03</v>
      </c>
      <c r="E1972" s="54" t="str">
        <f t="shared" si="1"/>
        <v>₹1,320,648.36</v>
      </c>
      <c r="F1972" s="55" t="str">
        <f t="shared" si="2"/>
        <v>30.0%</v>
      </c>
      <c r="G1972" s="54" t="str">
        <f t="shared" si="3"/>
        <v>₹396,194.51</v>
      </c>
      <c r="H1972" s="54" t="str">
        <f t="shared" si="4"/>
        <v>₹33,016.21</v>
      </c>
      <c r="I1972" s="54" t="str">
        <f>96145.3-H1972</f>
        <v>₹63,129.09</v>
      </c>
    </row>
    <row r="1973" ht="15.75" customHeight="1">
      <c r="A1973" s="50" t="s">
        <v>2043</v>
      </c>
      <c r="B1973" s="50" t="s">
        <v>53</v>
      </c>
      <c r="C1973" s="50" t="s">
        <v>37</v>
      </c>
      <c r="D1973" s="51">
        <v>110077.21</v>
      </c>
      <c r="E1973" s="51" t="str">
        <f t="shared" si="1"/>
        <v>₹1,320,926.52</v>
      </c>
      <c r="F1973" s="52" t="str">
        <f t="shared" si="2"/>
        <v>30.0%</v>
      </c>
      <c r="G1973" s="51" t="str">
        <f t="shared" si="3"/>
        <v>₹396,277.96</v>
      </c>
      <c r="H1973" s="51" t="str">
        <f t="shared" si="4"/>
        <v>₹33,023.16</v>
      </c>
      <c r="I1973" s="51" t="str">
        <f>95311.9-H1973</f>
        <v>₹62,288.74</v>
      </c>
    </row>
    <row r="1974" ht="15.75" customHeight="1">
      <c r="A1974" s="53" t="s">
        <v>2044</v>
      </c>
      <c r="B1974" s="53" t="s">
        <v>51</v>
      </c>
      <c r="C1974" s="53" t="s">
        <v>18</v>
      </c>
      <c r="D1974" s="54">
        <v>110100.39</v>
      </c>
      <c r="E1974" s="54" t="str">
        <f t="shared" si="1"/>
        <v>₹1,321,204.68</v>
      </c>
      <c r="F1974" s="55" t="str">
        <f t="shared" si="2"/>
        <v>30.0%</v>
      </c>
      <c r="G1974" s="54" t="str">
        <f t="shared" si="3"/>
        <v>₹396,361.40</v>
      </c>
      <c r="H1974" s="54" t="str">
        <f t="shared" si="4"/>
        <v>₹33,030.12</v>
      </c>
      <c r="I1974" s="54" t="str">
        <f>96184.86-H1974</f>
        <v>₹63,154.74</v>
      </c>
    </row>
    <row r="1975" ht="15.75" customHeight="1">
      <c r="A1975" s="50" t="s">
        <v>2045</v>
      </c>
      <c r="B1975" s="50" t="s">
        <v>29</v>
      </c>
      <c r="C1975" s="50" t="s">
        <v>18</v>
      </c>
      <c r="D1975" s="51">
        <v>110123.57</v>
      </c>
      <c r="E1975" s="51" t="str">
        <f t="shared" si="1"/>
        <v>₹1,321,482.84</v>
      </c>
      <c r="F1975" s="52" t="str">
        <f t="shared" si="2"/>
        <v>30.0%</v>
      </c>
      <c r="G1975" s="51" t="str">
        <f t="shared" si="3"/>
        <v>₹396,444.85</v>
      </c>
      <c r="H1975" s="51" t="str">
        <f t="shared" si="4"/>
        <v>₹33,037.07</v>
      </c>
      <c r="I1975" s="51" t="str">
        <f>96204.64-H1975</f>
        <v>₹63,167.57</v>
      </c>
    </row>
    <row r="1976" ht="15.75" customHeight="1">
      <c r="A1976" s="53" t="s">
        <v>2046</v>
      </c>
      <c r="B1976" s="53" t="s">
        <v>13</v>
      </c>
      <c r="C1976" s="53" t="s">
        <v>14</v>
      </c>
      <c r="D1976" s="54">
        <v>110146.75</v>
      </c>
      <c r="E1976" s="54" t="str">
        <f t="shared" si="1"/>
        <v>₹1,321,761.00</v>
      </c>
      <c r="F1976" s="55" t="str">
        <f t="shared" si="2"/>
        <v>30.0%</v>
      </c>
      <c r="G1976" s="54" t="str">
        <f t="shared" si="3"/>
        <v>₹396,528.30</v>
      </c>
      <c r="H1976" s="54" t="str">
        <f t="shared" si="4"/>
        <v>₹33,044.03</v>
      </c>
      <c r="I1976" s="54" t="str">
        <f>96224.43-H1976</f>
        <v>₹63,180.41</v>
      </c>
    </row>
    <row r="1977" ht="15.75" customHeight="1">
      <c r="A1977" s="50" t="s">
        <v>2047</v>
      </c>
      <c r="B1977" s="50" t="s">
        <v>53</v>
      </c>
      <c r="C1977" s="50" t="s">
        <v>33</v>
      </c>
      <c r="D1977" s="51">
        <v>110169.92</v>
      </c>
      <c r="E1977" s="51" t="str">
        <f t="shared" si="1"/>
        <v>₹1,322,039.04</v>
      </c>
      <c r="F1977" s="52" t="str">
        <f t="shared" si="2"/>
        <v>30.0%</v>
      </c>
      <c r="G1977" s="51" t="str">
        <f t="shared" si="3"/>
        <v>₹396,611.71</v>
      </c>
      <c r="H1977" s="51" t="str">
        <f t="shared" si="4"/>
        <v>₹33,050.98</v>
      </c>
      <c r="I1977" s="51" t="str">
        <f>96244.2-H1977</f>
        <v>₹63,193.22</v>
      </c>
    </row>
    <row r="1978" ht="15.75" customHeight="1">
      <c r="A1978" s="53" t="s">
        <v>2048</v>
      </c>
      <c r="B1978" s="53" t="s">
        <v>36</v>
      </c>
      <c r="C1978" s="53" t="s">
        <v>54</v>
      </c>
      <c r="D1978" s="54">
        <v>110193.1</v>
      </c>
      <c r="E1978" s="54" t="str">
        <f t="shared" si="1"/>
        <v>₹1,322,317.20</v>
      </c>
      <c r="F1978" s="55" t="str">
        <f t="shared" si="2"/>
        <v>30.0%</v>
      </c>
      <c r="G1978" s="54" t="str">
        <f t="shared" si="3"/>
        <v>₹396,695.16</v>
      </c>
      <c r="H1978" s="54" t="str">
        <f t="shared" si="4"/>
        <v>₹33,057.93</v>
      </c>
      <c r="I1978" s="54" t="str">
        <f>96263.98-H1978</f>
        <v>₹63,206.05</v>
      </c>
    </row>
    <row r="1979" ht="15.75" customHeight="1">
      <c r="A1979" s="50" t="s">
        <v>2049</v>
      </c>
      <c r="B1979" s="50" t="s">
        <v>36</v>
      </c>
      <c r="C1979" s="50" t="s">
        <v>14</v>
      </c>
      <c r="D1979" s="51">
        <v>110216.28</v>
      </c>
      <c r="E1979" s="51" t="str">
        <f t="shared" si="1"/>
        <v>₹1,322,595.36</v>
      </c>
      <c r="F1979" s="52" t="str">
        <f t="shared" si="2"/>
        <v>30.0%</v>
      </c>
      <c r="G1979" s="51" t="str">
        <f t="shared" si="3"/>
        <v>₹396,778.61</v>
      </c>
      <c r="H1979" s="51" t="str">
        <f t="shared" si="4"/>
        <v>₹33,064.88</v>
      </c>
      <c r="I1979" s="51" t="str">
        <f>96283.76-H1979</f>
        <v>₹63,218.88</v>
      </c>
    </row>
    <row r="1980" ht="15.75" customHeight="1">
      <c r="A1980" s="53" t="s">
        <v>2050</v>
      </c>
      <c r="B1980" s="53" t="s">
        <v>29</v>
      </c>
      <c r="C1980" s="53" t="s">
        <v>37</v>
      </c>
      <c r="D1980" s="54">
        <v>110239.46</v>
      </c>
      <c r="E1980" s="54" t="str">
        <f t="shared" si="1"/>
        <v>₹1,322,873.52</v>
      </c>
      <c r="F1980" s="55" t="str">
        <f t="shared" si="2"/>
        <v>30.0%</v>
      </c>
      <c r="G1980" s="54" t="str">
        <f t="shared" si="3"/>
        <v>₹396,862.06</v>
      </c>
      <c r="H1980" s="54" t="str">
        <f t="shared" si="4"/>
        <v>₹33,071.84</v>
      </c>
      <c r="I1980" s="54" t="str">
        <f>96303.55-H1980</f>
        <v>₹63,231.71</v>
      </c>
    </row>
    <row r="1981" ht="15.75" customHeight="1">
      <c r="A1981" s="50" t="s">
        <v>2051</v>
      </c>
      <c r="B1981" s="50" t="s">
        <v>53</v>
      </c>
      <c r="C1981" s="50" t="s">
        <v>54</v>
      </c>
      <c r="D1981" s="51">
        <v>110262.63</v>
      </c>
      <c r="E1981" s="51" t="str">
        <f t="shared" si="1"/>
        <v>₹1,323,151.56</v>
      </c>
      <c r="F1981" s="52" t="str">
        <f t="shared" si="2"/>
        <v>30.0%</v>
      </c>
      <c r="G1981" s="51" t="str">
        <f t="shared" si="3"/>
        <v>₹396,945.47</v>
      </c>
      <c r="H1981" s="51" t="str">
        <f t="shared" si="4"/>
        <v>₹33,078.79</v>
      </c>
      <c r="I1981" s="51" t="str">
        <f>96323.32-H1981</f>
        <v>₹63,244.53</v>
      </c>
    </row>
    <row r="1982" ht="15.75" customHeight="1">
      <c r="A1982" s="53" t="s">
        <v>2052</v>
      </c>
      <c r="B1982" s="53" t="s">
        <v>13</v>
      </c>
      <c r="C1982" s="53" t="s">
        <v>54</v>
      </c>
      <c r="D1982" s="54">
        <v>110285.81</v>
      </c>
      <c r="E1982" s="54" t="str">
        <f t="shared" si="1"/>
        <v>₹1,323,429.72</v>
      </c>
      <c r="F1982" s="55" t="str">
        <f t="shared" si="2"/>
        <v>30.0%</v>
      </c>
      <c r="G1982" s="54" t="str">
        <f t="shared" si="3"/>
        <v>₹397,028.92</v>
      </c>
      <c r="H1982" s="54" t="str">
        <f t="shared" si="4"/>
        <v>₹33,085.74</v>
      </c>
      <c r="I1982" s="54" t="str">
        <f>96343.1-H1982</f>
        <v>₹63,257.36</v>
      </c>
    </row>
    <row r="1983" ht="15.75" customHeight="1">
      <c r="A1983" s="50" t="s">
        <v>2053</v>
      </c>
      <c r="B1983" s="50" t="s">
        <v>17</v>
      </c>
      <c r="C1983" s="50" t="s">
        <v>54</v>
      </c>
      <c r="D1983" s="51">
        <v>110308.99</v>
      </c>
      <c r="E1983" s="51" t="str">
        <f t="shared" si="1"/>
        <v>₹1,323,707.88</v>
      </c>
      <c r="F1983" s="52" t="str">
        <f t="shared" si="2"/>
        <v>30.0%</v>
      </c>
      <c r="G1983" s="51" t="str">
        <f t="shared" si="3"/>
        <v>₹397,112.36</v>
      </c>
      <c r="H1983" s="51" t="str">
        <f t="shared" si="4"/>
        <v>₹33,092.70</v>
      </c>
      <c r="I1983" s="51" t="str">
        <f>96362.88-H1983</f>
        <v>₹63,270.18</v>
      </c>
    </row>
    <row r="1984" ht="15.75" customHeight="1">
      <c r="A1984" s="53" t="s">
        <v>2054</v>
      </c>
      <c r="B1984" s="53" t="s">
        <v>25</v>
      </c>
      <c r="C1984" s="53" t="s">
        <v>33</v>
      </c>
      <c r="D1984" s="54">
        <v>110332.17</v>
      </c>
      <c r="E1984" s="54" t="str">
        <f t="shared" si="1"/>
        <v>₹1,323,986.04</v>
      </c>
      <c r="F1984" s="55" t="str">
        <f t="shared" si="2"/>
        <v>30.0%</v>
      </c>
      <c r="G1984" s="54" t="str">
        <f t="shared" si="3"/>
        <v>₹397,195.81</v>
      </c>
      <c r="H1984" s="54" t="str">
        <f t="shared" si="4"/>
        <v>₹33,099.65</v>
      </c>
      <c r="I1984" s="54" t="str">
        <f>96382.67-H1984</f>
        <v>₹63,283.02</v>
      </c>
    </row>
    <row r="1985" ht="15.75" customHeight="1">
      <c r="A1985" s="50" t="s">
        <v>2055</v>
      </c>
      <c r="B1985" s="50" t="s">
        <v>25</v>
      </c>
      <c r="C1985" s="50" t="s">
        <v>33</v>
      </c>
      <c r="D1985" s="51">
        <v>110355.34</v>
      </c>
      <c r="E1985" s="51" t="str">
        <f t="shared" si="1"/>
        <v>₹1,324,264.08</v>
      </c>
      <c r="F1985" s="52" t="str">
        <f t="shared" si="2"/>
        <v>30.0%</v>
      </c>
      <c r="G1985" s="51" t="str">
        <f t="shared" si="3"/>
        <v>₹397,279.22</v>
      </c>
      <c r="H1985" s="51" t="str">
        <f t="shared" si="4"/>
        <v>₹33,106.60</v>
      </c>
      <c r="I1985" s="51" t="str">
        <f>96402.44-H1985</f>
        <v>₹63,295.84</v>
      </c>
    </row>
    <row r="1986" ht="15.75" customHeight="1">
      <c r="A1986" s="53" t="s">
        <v>2056</v>
      </c>
      <c r="B1986" s="53" t="s">
        <v>17</v>
      </c>
      <c r="C1986" s="53" t="s">
        <v>37</v>
      </c>
      <c r="D1986" s="54">
        <v>110378.52</v>
      </c>
      <c r="E1986" s="54" t="str">
        <f t="shared" si="1"/>
        <v>₹1,324,542.24</v>
      </c>
      <c r="F1986" s="55" t="str">
        <f t="shared" si="2"/>
        <v>30.0%</v>
      </c>
      <c r="G1986" s="54" t="str">
        <f t="shared" si="3"/>
        <v>₹397,362.67</v>
      </c>
      <c r="H1986" s="54" t="str">
        <f t="shared" si="4"/>
        <v>₹33,113.56</v>
      </c>
      <c r="I1986" s="54" t="str">
        <f>96422.22-H1986</f>
        <v>₹63,308.66</v>
      </c>
    </row>
    <row r="1987" ht="15.75" customHeight="1">
      <c r="A1987" s="50" t="s">
        <v>2057</v>
      </c>
      <c r="B1987" s="50" t="s">
        <v>29</v>
      </c>
      <c r="C1987" s="50" t="s">
        <v>30</v>
      </c>
      <c r="D1987" s="51">
        <v>110401.7</v>
      </c>
      <c r="E1987" s="51" t="str">
        <f t="shared" si="1"/>
        <v>₹1,324,820.40</v>
      </c>
      <c r="F1987" s="52" t="str">
        <f t="shared" si="2"/>
        <v>30.0%</v>
      </c>
      <c r="G1987" s="51" t="str">
        <f t="shared" si="3"/>
        <v>₹397,446.12</v>
      </c>
      <c r="H1987" s="51" t="str">
        <f t="shared" si="4"/>
        <v>₹33,120.51</v>
      </c>
      <c r="I1987" s="51" t="str">
        <f>96442-H1987</f>
        <v>₹63,321.49</v>
      </c>
    </row>
    <row r="1988" ht="15.75" customHeight="1">
      <c r="A1988" s="53" t="s">
        <v>2058</v>
      </c>
      <c r="B1988" s="53" t="s">
        <v>51</v>
      </c>
      <c r="C1988" s="53" t="s">
        <v>26</v>
      </c>
      <c r="D1988" s="54">
        <v>110448.06</v>
      </c>
      <c r="E1988" s="54" t="str">
        <f t="shared" si="1"/>
        <v>₹1,325,376.72</v>
      </c>
      <c r="F1988" s="55" t="str">
        <f t="shared" si="2"/>
        <v>30.0%</v>
      </c>
      <c r="G1988" s="54" t="str">
        <f t="shared" si="3"/>
        <v>₹397,613.02</v>
      </c>
      <c r="H1988" s="54" t="str">
        <f t="shared" si="4"/>
        <v>₹33,134.42</v>
      </c>
      <c r="I1988" s="54" t="str">
        <f>96481.57-H1988</f>
        <v>₹63,347.15</v>
      </c>
    </row>
    <row r="1989" ht="15.75" customHeight="1">
      <c r="A1989" s="50" t="s">
        <v>2059</v>
      </c>
      <c r="B1989" s="50" t="s">
        <v>17</v>
      </c>
      <c r="C1989" s="50" t="s">
        <v>14</v>
      </c>
      <c r="D1989" s="51">
        <v>110471.23</v>
      </c>
      <c r="E1989" s="51" t="str">
        <f t="shared" si="1"/>
        <v>₹1,325,654.76</v>
      </c>
      <c r="F1989" s="52" t="str">
        <f t="shared" si="2"/>
        <v>30.0%</v>
      </c>
      <c r="G1989" s="51" t="str">
        <f t="shared" si="3"/>
        <v>₹397,696.43</v>
      </c>
      <c r="H1989" s="51" t="str">
        <f t="shared" si="4"/>
        <v>₹33,141.37</v>
      </c>
      <c r="I1989" s="51" t="str">
        <f>96501.34-H1989</f>
        <v>₹63,359.97</v>
      </c>
    </row>
    <row r="1990" ht="15.75" customHeight="1">
      <c r="A1990" s="53" t="s">
        <v>2060</v>
      </c>
      <c r="B1990" s="53" t="s">
        <v>17</v>
      </c>
      <c r="C1990" s="53" t="s">
        <v>26</v>
      </c>
      <c r="D1990" s="54">
        <v>110494.41</v>
      </c>
      <c r="E1990" s="54" t="str">
        <f t="shared" si="1"/>
        <v>₹1,325,932.92</v>
      </c>
      <c r="F1990" s="55" t="str">
        <f t="shared" si="2"/>
        <v>30.0%</v>
      </c>
      <c r="G1990" s="54" t="str">
        <f t="shared" si="3"/>
        <v>₹397,779.88</v>
      </c>
      <c r="H1990" s="54" t="str">
        <f t="shared" si="4"/>
        <v>₹33,148.32</v>
      </c>
      <c r="I1990" s="54" t="str">
        <f>96521.12-H1990</f>
        <v>₹63,372.80</v>
      </c>
    </row>
    <row r="1991" ht="15.75" customHeight="1">
      <c r="A1991" s="50" t="s">
        <v>2061</v>
      </c>
      <c r="B1991" s="50" t="s">
        <v>25</v>
      </c>
      <c r="C1991" s="50" t="s">
        <v>33</v>
      </c>
      <c r="D1991" s="51">
        <v>110517.59</v>
      </c>
      <c r="E1991" s="51" t="str">
        <f t="shared" si="1"/>
        <v>₹1,326,211.08</v>
      </c>
      <c r="F1991" s="52" t="str">
        <f t="shared" si="2"/>
        <v>30.0%</v>
      </c>
      <c r="G1991" s="51" t="str">
        <f t="shared" si="3"/>
        <v>₹397,863.32</v>
      </c>
      <c r="H1991" s="51" t="str">
        <f t="shared" si="4"/>
        <v>₹33,155.28</v>
      </c>
      <c r="I1991" s="51" t="str">
        <f>96540.91-H1991</f>
        <v>₹63,385.63</v>
      </c>
    </row>
    <row r="1992" ht="15.75" customHeight="1">
      <c r="A1992" s="53" t="s">
        <v>2062</v>
      </c>
      <c r="B1992" s="53" t="s">
        <v>36</v>
      </c>
      <c r="C1992" s="53" t="s">
        <v>30</v>
      </c>
      <c r="D1992" s="54">
        <v>110540.77</v>
      </c>
      <c r="E1992" s="54" t="str">
        <f t="shared" si="1"/>
        <v>₹1,326,489.24</v>
      </c>
      <c r="F1992" s="55" t="str">
        <f t="shared" si="2"/>
        <v>30.0%</v>
      </c>
      <c r="G1992" s="54" t="str">
        <f t="shared" si="3"/>
        <v>₹397,946.77</v>
      </c>
      <c r="H1992" s="54" t="str">
        <f t="shared" si="4"/>
        <v>₹33,162.23</v>
      </c>
      <c r="I1992" s="54" t="str">
        <f>96560.69-H1992</f>
        <v>₹63,398.46</v>
      </c>
    </row>
    <row r="1993" ht="15.75" customHeight="1">
      <c r="A1993" s="50" t="s">
        <v>2063</v>
      </c>
      <c r="B1993" s="50" t="s">
        <v>36</v>
      </c>
      <c r="C1993" s="50" t="s">
        <v>37</v>
      </c>
      <c r="D1993" s="51">
        <v>110563.94</v>
      </c>
      <c r="E1993" s="51" t="str">
        <f t="shared" si="1"/>
        <v>₹1,326,767.28</v>
      </c>
      <c r="F1993" s="52" t="str">
        <f t="shared" si="2"/>
        <v>30.0%</v>
      </c>
      <c r="G1993" s="51" t="str">
        <f t="shared" si="3"/>
        <v>₹398,030.18</v>
      </c>
      <c r="H1993" s="51" t="str">
        <f t="shared" si="4"/>
        <v>₹33,169.18</v>
      </c>
      <c r="I1993" s="51" t="str">
        <f>96580.46-H1993</f>
        <v>₹63,411.28</v>
      </c>
    </row>
    <row r="1994" ht="15.75" customHeight="1">
      <c r="A1994" s="53" t="s">
        <v>2064</v>
      </c>
      <c r="B1994" s="53" t="s">
        <v>36</v>
      </c>
      <c r="C1994" s="53" t="s">
        <v>14</v>
      </c>
      <c r="D1994" s="54">
        <v>110587.12</v>
      </c>
      <c r="E1994" s="54" t="str">
        <f t="shared" si="1"/>
        <v>₹1,327,045.44</v>
      </c>
      <c r="F1994" s="55" t="str">
        <f t="shared" si="2"/>
        <v>30.0%</v>
      </c>
      <c r="G1994" s="54" t="str">
        <f t="shared" si="3"/>
        <v>₹398,113.63</v>
      </c>
      <c r="H1994" s="54" t="str">
        <f t="shared" si="4"/>
        <v>₹33,176.14</v>
      </c>
      <c r="I1994" s="54" t="str">
        <f>96600.24-H1994</f>
        <v>₹63,424.10</v>
      </c>
    </row>
    <row r="1995" ht="15.75" customHeight="1">
      <c r="A1995" s="50" t="s">
        <v>2065</v>
      </c>
      <c r="B1995" s="50" t="s">
        <v>51</v>
      </c>
      <c r="C1995" s="50" t="s">
        <v>37</v>
      </c>
      <c r="D1995" s="51">
        <v>110633.48</v>
      </c>
      <c r="E1995" s="51" t="str">
        <f t="shared" si="1"/>
        <v>₹1,327,601.76</v>
      </c>
      <c r="F1995" s="52" t="str">
        <f t="shared" si="2"/>
        <v>30.0%</v>
      </c>
      <c r="G1995" s="51" t="str">
        <f t="shared" si="3"/>
        <v>₹398,280.53</v>
      </c>
      <c r="H1995" s="51" t="str">
        <f t="shared" si="4"/>
        <v>₹33,190.04</v>
      </c>
      <c r="I1995" s="51" t="str">
        <f>96639.81-H1995</f>
        <v>₹63,449.77</v>
      </c>
    </row>
    <row r="1996" ht="15.75" customHeight="1">
      <c r="A1996" s="53" t="s">
        <v>2066</v>
      </c>
      <c r="B1996" s="53" t="s">
        <v>29</v>
      </c>
      <c r="C1996" s="53" t="s">
        <v>30</v>
      </c>
      <c r="D1996" s="54">
        <v>110656.65</v>
      </c>
      <c r="E1996" s="54" t="str">
        <f t="shared" si="1"/>
        <v>₹1,327,879.80</v>
      </c>
      <c r="F1996" s="55" t="str">
        <f t="shared" si="2"/>
        <v>30.0%</v>
      </c>
      <c r="G1996" s="54" t="str">
        <f t="shared" si="3"/>
        <v>₹398,363.94</v>
      </c>
      <c r="H1996" s="54" t="str">
        <f t="shared" si="4"/>
        <v>₹33,197.00</v>
      </c>
      <c r="I1996" s="54" t="str">
        <f>96659.58-H1996</f>
        <v>₹63,462.59</v>
      </c>
    </row>
    <row r="1997" ht="15.75" customHeight="1">
      <c r="A1997" s="50" t="s">
        <v>2067</v>
      </c>
      <c r="B1997" s="50" t="s">
        <v>29</v>
      </c>
      <c r="C1997" s="50" t="s">
        <v>26</v>
      </c>
      <c r="D1997" s="51">
        <v>110679.83</v>
      </c>
      <c r="E1997" s="51" t="str">
        <f t="shared" si="1"/>
        <v>₹1,328,157.96</v>
      </c>
      <c r="F1997" s="52" t="str">
        <f t="shared" si="2"/>
        <v>30.0%</v>
      </c>
      <c r="G1997" s="51" t="str">
        <f t="shared" si="3"/>
        <v>₹398,447.39</v>
      </c>
      <c r="H1997" s="51" t="str">
        <f t="shared" si="4"/>
        <v>₹33,203.95</v>
      </c>
      <c r="I1997" s="51" t="str">
        <f>96679.36-H1997</f>
        <v>₹63,475.41</v>
      </c>
    </row>
    <row r="1998" ht="15.75" customHeight="1">
      <c r="A1998" s="53" t="s">
        <v>2068</v>
      </c>
      <c r="B1998" s="53" t="s">
        <v>13</v>
      </c>
      <c r="C1998" s="53" t="s">
        <v>30</v>
      </c>
      <c r="D1998" s="54">
        <v>110703.01</v>
      </c>
      <c r="E1998" s="54" t="str">
        <f t="shared" si="1"/>
        <v>₹1,328,436.12</v>
      </c>
      <c r="F1998" s="55" t="str">
        <f t="shared" si="2"/>
        <v>30.0%</v>
      </c>
      <c r="G1998" s="54" t="str">
        <f t="shared" si="3"/>
        <v>₹398,530.84</v>
      </c>
      <c r="H1998" s="54" t="str">
        <f t="shared" si="4"/>
        <v>₹33,210.90</v>
      </c>
      <c r="I1998" s="54" t="str">
        <f>96699.15-H1998</f>
        <v>₹63,488.25</v>
      </c>
    </row>
    <row r="1999" ht="15.75" customHeight="1">
      <c r="A1999" s="50" t="s">
        <v>2069</v>
      </c>
      <c r="B1999" s="50" t="s">
        <v>36</v>
      </c>
      <c r="C1999" s="50" t="s">
        <v>26</v>
      </c>
      <c r="D1999" s="51">
        <v>110726.19</v>
      </c>
      <c r="E1999" s="51" t="str">
        <f t="shared" si="1"/>
        <v>₹1,328,714.28</v>
      </c>
      <c r="F1999" s="52" t="str">
        <f t="shared" si="2"/>
        <v>30.0%</v>
      </c>
      <c r="G1999" s="51" t="str">
        <f t="shared" si="3"/>
        <v>₹398,614.28</v>
      </c>
      <c r="H1999" s="51" t="str">
        <f t="shared" si="4"/>
        <v>₹33,217.86</v>
      </c>
      <c r="I1999" s="51" t="str">
        <f>96718.93-H1999</f>
        <v>₹63,501.07</v>
      </c>
    </row>
    <row r="2000" ht="15.75" customHeight="1">
      <c r="A2000" s="53" t="s">
        <v>2070</v>
      </c>
      <c r="B2000" s="53" t="s">
        <v>36</v>
      </c>
      <c r="C2000" s="53" t="s">
        <v>26</v>
      </c>
      <c r="D2000" s="54">
        <v>110749.37</v>
      </c>
      <c r="E2000" s="54" t="str">
        <f t="shared" si="1"/>
        <v>₹1,328,992.44</v>
      </c>
      <c r="F2000" s="55" t="str">
        <f t="shared" si="2"/>
        <v>30.0%</v>
      </c>
      <c r="G2000" s="54" t="str">
        <f t="shared" si="3"/>
        <v>₹398,697.73</v>
      </c>
      <c r="H2000" s="54" t="str">
        <f t="shared" si="4"/>
        <v>₹33,224.81</v>
      </c>
      <c r="I2000" s="54" t="str">
        <f>96738.71-H2000</f>
        <v>₹63,513.90</v>
      </c>
    </row>
    <row r="2001" ht="15.75" customHeight="1">
      <c r="A2001" s="50" t="s">
        <v>2071</v>
      </c>
      <c r="B2001" s="50" t="s">
        <v>53</v>
      </c>
      <c r="C2001" s="50" t="s">
        <v>37</v>
      </c>
      <c r="D2001" s="51">
        <v>110772.54</v>
      </c>
      <c r="E2001" s="51" t="str">
        <f t="shared" si="1"/>
        <v>₹1,329,270.48</v>
      </c>
      <c r="F2001" s="52" t="str">
        <f t="shared" si="2"/>
        <v>30.0%</v>
      </c>
      <c r="G2001" s="51" t="str">
        <f t="shared" si="3"/>
        <v>₹398,781.14</v>
      </c>
      <c r="H2001" s="51" t="str">
        <f t="shared" si="4"/>
        <v>₹33,231.76</v>
      </c>
      <c r="I2001" s="51" t="str">
        <f>96758.48-H2001</f>
        <v>₹63,526.72</v>
      </c>
    </row>
    <row r="2002" ht="15.75" customHeight="1">
      <c r="A2002" s="53" t="s">
        <v>2072</v>
      </c>
      <c r="B2002" s="53" t="s">
        <v>25</v>
      </c>
      <c r="C2002" s="53" t="s">
        <v>37</v>
      </c>
      <c r="D2002" s="54">
        <v>110795.72</v>
      </c>
      <c r="E2002" s="54" t="str">
        <f t="shared" si="1"/>
        <v>₹1,329,548.64</v>
      </c>
      <c r="F2002" s="55" t="str">
        <f t="shared" si="2"/>
        <v>30.0%</v>
      </c>
      <c r="G2002" s="54" t="str">
        <f t="shared" si="3"/>
        <v>₹398,864.59</v>
      </c>
      <c r="H2002" s="54" t="str">
        <f t="shared" si="4"/>
        <v>₹33,238.72</v>
      </c>
      <c r="I2002" s="54" t="str">
        <f>96778.27-H2002</f>
        <v>₹63,539.55</v>
      </c>
    </row>
    <row r="2003" ht="15.75" customHeight="1">
      <c r="A2003" s="50" t="s">
        <v>2073</v>
      </c>
      <c r="B2003" s="50" t="s">
        <v>25</v>
      </c>
      <c r="C2003" s="50" t="s">
        <v>33</v>
      </c>
      <c r="D2003" s="51">
        <v>110818.9</v>
      </c>
      <c r="E2003" s="51" t="str">
        <f t="shared" si="1"/>
        <v>₹1,329,826.80</v>
      </c>
      <c r="F2003" s="52" t="str">
        <f t="shared" si="2"/>
        <v>30.0%</v>
      </c>
      <c r="G2003" s="51" t="str">
        <f t="shared" si="3"/>
        <v>₹398,948.04</v>
      </c>
      <c r="H2003" s="51" t="str">
        <f t="shared" si="4"/>
        <v>₹33,245.67</v>
      </c>
      <c r="I2003" s="51" t="str">
        <f>96798.05-H2003</f>
        <v>₹63,552.38</v>
      </c>
    </row>
    <row r="2004" ht="15.75" customHeight="1">
      <c r="A2004" s="53" t="s">
        <v>2074</v>
      </c>
      <c r="B2004" s="53" t="s">
        <v>29</v>
      </c>
      <c r="C2004" s="53" t="s">
        <v>14</v>
      </c>
      <c r="D2004" s="54">
        <v>110842.08</v>
      </c>
      <c r="E2004" s="54" t="str">
        <f t="shared" si="1"/>
        <v>₹1,330,104.96</v>
      </c>
      <c r="F2004" s="55" t="str">
        <f t="shared" si="2"/>
        <v>30.0%</v>
      </c>
      <c r="G2004" s="54" t="str">
        <f t="shared" si="3"/>
        <v>₹399,031.49</v>
      </c>
      <c r="H2004" s="54" t="str">
        <f t="shared" si="4"/>
        <v>₹33,252.62</v>
      </c>
      <c r="I2004" s="54" t="str">
        <f>96817.83-H2004</f>
        <v>₹63,565.21</v>
      </c>
    </row>
    <row r="2005" ht="15.75" customHeight="1">
      <c r="A2005" s="50" t="s">
        <v>2075</v>
      </c>
      <c r="B2005" s="50" t="s">
        <v>17</v>
      </c>
      <c r="C2005" s="50" t="s">
        <v>18</v>
      </c>
      <c r="D2005" s="51">
        <v>110865.25</v>
      </c>
      <c r="E2005" s="51" t="str">
        <f t="shared" si="1"/>
        <v>₹1,330,383.00</v>
      </c>
      <c r="F2005" s="52" t="str">
        <f t="shared" si="2"/>
        <v>30.0%</v>
      </c>
      <c r="G2005" s="51" t="str">
        <f t="shared" si="3"/>
        <v>₹399,114.90</v>
      </c>
      <c r="H2005" s="51" t="str">
        <f t="shared" si="4"/>
        <v>₹33,259.58</v>
      </c>
      <c r="I2005" s="51" t="str">
        <f>96837.6-H2005</f>
        <v>₹63,578.03</v>
      </c>
    </row>
    <row r="2006" ht="15.75" customHeight="1">
      <c r="A2006" s="53" t="s">
        <v>2076</v>
      </c>
      <c r="B2006" s="53" t="s">
        <v>53</v>
      </c>
      <c r="C2006" s="53" t="s">
        <v>14</v>
      </c>
      <c r="D2006" s="54">
        <v>110888.43</v>
      </c>
      <c r="E2006" s="54" t="str">
        <f t="shared" si="1"/>
        <v>₹1,330,661.16</v>
      </c>
      <c r="F2006" s="55" t="str">
        <f t="shared" si="2"/>
        <v>30.0%</v>
      </c>
      <c r="G2006" s="54" t="str">
        <f t="shared" si="3"/>
        <v>₹399,198.35</v>
      </c>
      <c r="H2006" s="54" t="str">
        <f t="shared" si="4"/>
        <v>₹33,266.53</v>
      </c>
      <c r="I2006" s="54" t="str">
        <f>96857.38-H2006</f>
        <v>₹63,590.85</v>
      </c>
    </row>
    <row r="2007" ht="15.75" customHeight="1">
      <c r="A2007" s="50" t="s">
        <v>2077</v>
      </c>
      <c r="B2007" s="50" t="s">
        <v>29</v>
      </c>
      <c r="C2007" s="50" t="s">
        <v>18</v>
      </c>
      <c r="D2007" s="51">
        <v>110911.61</v>
      </c>
      <c r="E2007" s="51" t="str">
        <f t="shared" si="1"/>
        <v>₹1,330,939.32</v>
      </c>
      <c r="F2007" s="52" t="str">
        <f t="shared" si="2"/>
        <v>30.0%</v>
      </c>
      <c r="G2007" s="51" t="str">
        <f t="shared" si="3"/>
        <v>₹399,281.80</v>
      </c>
      <c r="H2007" s="51" t="str">
        <f t="shared" si="4"/>
        <v>₹33,273.48</v>
      </c>
      <c r="I2007" s="51" t="str">
        <f>96877.17-H2007</f>
        <v>₹63,603.69</v>
      </c>
    </row>
    <row r="2008" ht="15.75" customHeight="1">
      <c r="A2008" s="53" t="s">
        <v>2078</v>
      </c>
      <c r="B2008" s="53" t="s">
        <v>36</v>
      </c>
      <c r="C2008" s="53" t="s">
        <v>26</v>
      </c>
      <c r="D2008" s="54">
        <v>110934.79</v>
      </c>
      <c r="E2008" s="54" t="str">
        <f t="shared" si="1"/>
        <v>₹1,331,217.48</v>
      </c>
      <c r="F2008" s="55" t="str">
        <f t="shared" si="2"/>
        <v>30.0%</v>
      </c>
      <c r="G2008" s="54" t="str">
        <f t="shared" si="3"/>
        <v>₹399,365.24</v>
      </c>
      <c r="H2008" s="54" t="str">
        <f t="shared" si="4"/>
        <v>₹33,280.44</v>
      </c>
      <c r="I2008" s="54" t="str">
        <f>96896.95-H2008</f>
        <v>₹63,616.51</v>
      </c>
    </row>
    <row r="2009" ht="15.75" customHeight="1">
      <c r="A2009" s="50" t="s">
        <v>2079</v>
      </c>
      <c r="B2009" s="50" t="s">
        <v>13</v>
      </c>
      <c r="C2009" s="50" t="s">
        <v>30</v>
      </c>
      <c r="D2009" s="51">
        <v>110957.96</v>
      </c>
      <c r="E2009" s="51" t="str">
        <f t="shared" si="1"/>
        <v>₹1,331,495.52</v>
      </c>
      <c r="F2009" s="52" t="str">
        <f t="shared" si="2"/>
        <v>30.0%</v>
      </c>
      <c r="G2009" s="51" t="str">
        <f t="shared" si="3"/>
        <v>₹399,448.66</v>
      </c>
      <c r="H2009" s="51" t="str">
        <f t="shared" si="4"/>
        <v>₹33,287.39</v>
      </c>
      <c r="I2009" s="51" t="str">
        <f>96916.72-H2009</f>
        <v>₹63,629.33</v>
      </c>
    </row>
    <row r="2010" ht="15.75" customHeight="1">
      <c r="A2010" s="53" t="s">
        <v>2080</v>
      </c>
      <c r="B2010" s="53" t="s">
        <v>25</v>
      </c>
      <c r="C2010" s="53" t="s">
        <v>33</v>
      </c>
      <c r="D2010" s="54">
        <v>110981.14</v>
      </c>
      <c r="E2010" s="54" t="str">
        <f t="shared" si="1"/>
        <v>₹1,331,773.68</v>
      </c>
      <c r="F2010" s="55" t="str">
        <f t="shared" si="2"/>
        <v>30.0%</v>
      </c>
      <c r="G2010" s="54" t="str">
        <f t="shared" si="3"/>
        <v>₹399,532.10</v>
      </c>
      <c r="H2010" s="54" t="str">
        <f t="shared" si="4"/>
        <v>₹33,294.34</v>
      </c>
      <c r="I2010" s="54" t="str">
        <f>96936.5-H2010</f>
        <v>₹63,642.16</v>
      </c>
    </row>
    <row r="2011" ht="15.75" customHeight="1">
      <c r="A2011" s="50" t="s">
        <v>2081</v>
      </c>
      <c r="B2011" s="50" t="s">
        <v>29</v>
      </c>
      <c r="C2011" s="50" t="s">
        <v>37</v>
      </c>
      <c r="D2011" s="51">
        <v>111004.32</v>
      </c>
      <c r="E2011" s="51" t="str">
        <f t="shared" si="1"/>
        <v>₹1,332,051.84</v>
      </c>
      <c r="F2011" s="52" t="str">
        <f t="shared" si="2"/>
        <v>30.0%</v>
      </c>
      <c r="G2011" s="51" t="str">
        <f t="shared" si="3"/>
        <v>₹399,615.55</v>
      </c>
      <c r="H2011" s="51" t="str">
        <f t="shared" si="4"/>
        <v>₹33,301.30</v>
      </c>
      <c r="I2011" s="51" t="str">
        <f>96956.29-H2011</f>
        <v>₹63,654.99</v>
      </c>
    </row>
    <row r="2012" ht="15.75" customHeight="1">
      <c r="A2012" s="53" t="s">
        <v>2082</v>
      </c>
      <c r="B2012" s="53" t="s">
        <v>25</v>
      </c>
      <c r="C2012" s="53" t="s">
        <v>18</v>
      </c>
      <c r="D2012" s="54">
        <v>111027.5</v>
      </c>
      <c r="E2012" s="54" t="str">
        <f t="shared" si="1"/>
        <v>₹1,332,330.00</v>
      </c>
      <c r="F2012" s="55" t="str">
        <f t="shared" si="2"/>
        <v>30.0%</v>
      </c>
      <c r="G2012" s="54" t="str">
        <f t="shared" si="3"/>
        <v>₹399,699.00</v>
      </c>
      <c r="H2012" s="54" t="str">
        <f t="shared" si="4"/>
        <v>₹33,308.25</v>
      </c>
      <c r="I2012" s="54" t="str">
        <f>96976.07-H2012</f>
        <v>₹63,667.82</v>
      </c>
    </row>
    <row r="2013" ht="15.75" customHeight="1">
      <c r="A2013" s="50" t="s">
        <v>2083</v>
      </c>
      <c r="B2013" s="50" t="s">
        <v>36</v>
      </c>
      <c r="C2013" s="50" t="s">
        <v>14</v>
      </c>
      <c r="D2013" s="51">
        <v>111050.68</v>
      </c>
      <c r="E2013" s="51" t="str">
        <f t="shared" si="1"/>
        <v>₹1,332,608.16</v>
      </c>
      <c r="F2013" s="52" t="str">
        <f t="shared" si="2"/>
        <v>30.0%</v>
      </c>
      <c r="G2013" s="51" t="str">
        <f t="shared" si="3"/>
        <v>₹399,782.45</v>
      </c>
      <c r="H2013" s="51" t="str">
        <f t="shared" si="4"/>
        <v>₹33,315.20</v>
      </c>
      <c r="I2013" s="51" t="str">
        <f>96995.85-H2013</f>
        <v>₹63,680.65</v>
      </c>
    </row>
    <row r="2014" ht="15.75" customHeight="1">
      <c r="A2014" s="53" t="s">
        <v>2084</v>
      </c>
      <c r="B2014" s="53" t="s">
        <v>29</v>
      </c>
      <c r="C2014" s="53" t="s">
        <v>14</v>
      </c>
      <c r="D2014" s="54">
        <v>111073.85</v>
      </c>
      <c r="E2014" s="54" t="str">
        <f t="shared" si="1"/>
        <v>₹1,332,886.20</v>
      </c>
      <c r="F2014" s="55" t="str">
        <f t="shared" si="2"/>
        <v>30.0%</v>
      </c>
      <c r="G2014" s="54" t="str">
        <f t="shared" si="3"/>
        <v>₹399,865.86</v>
      </c>
      <c r="H2014" s="54" t="str">
        <f t="shared" si="4"/>
        <v>₹33,322.16</v>
      </c>
      <c r="I2014" s="54" t="str">
        <f>97015.62-H2014</f>
        <v>₹63,693.47</v>
      </c>
    </row>
    <row r="2015" ht="15.75" customHeight="1">
      <c r="A2015" s="50" t="s">
        <v>2085</v>
      </c>
      <c r="B2015" s="50" t="s">
        <v>53</v>
      </c>
      <c r="C2015" s="50" t="s">
        <v>37</v>
      </c>
      <c r="D2015" s="51">
        <v>111120.21</v>
      </c>
      <c r="E2015" s="51" t="str">
        <f t="shared" si="1"/>
        <v>₹1,333,442.52</v>
      </c>
      <c r="F2015" s="52" t="str">
        <f t="shared" si="2"/>
        <v>30.0%</v>
      </c>
      <c r="G2015" s="51" t="str">
        <f t="shared" si="3"/>
        <v>₹400,032.76</v>
      </c>
      <c r="H2015" s="51" t="str">
        <f t="shared" si="4"/>
        <v>₹33,336.06</v>
      </c>
      <c r="I2015" s="51" t="str">
        <f>97055.19-H2015</f>
        <v>₹63,719.13</v>
      </c>
    </row>
    <row r="2016" ht="15.75" customHeight="1">
      <c r="A2016" s="53" t="s">
        <v>2086</v>
      </c>
      <c r="B2016" s="53" t="s">
        <v>13</v>
      </c>
      <c r="C2016" s="53" t="s">
        <v>33</v>
      </c>
      <c r="D2016" s="54">
        <v>111143.39</v>
      </c>
      <c r="E2016" s="54" t="str">
        <f t="shared" si="1"/>
        <v>₹1,333,720.68</v>
      </c>
      <c r="F2016" s="55" t="str">
        <f t="shared" si="2"/>
        <v>30.0%</v>
      </c>
      <c r="G2016" s="54" t="str">
        <f t="shared" si="3"/>
        <v>₹400,116.20</v>
      </c>
      <c r="H2016" s="54" t="str">
        <f t="shared" si="4"/>
        <v>₹33,343.02</v>
      </c>
      <c r="I2016" s="54" t="str">
        <f>97074.97-H2016</f>
        <v>₹63,731.95</v>
      </c>
    </row>
    <row r="2017" ht="15.75" customHeight="1">
      <c r="A2017" s="50" t="s">
        <v>2087</v>
      </c>
      <c r="B2017" s="50" t="s">
        <v>51</v>
      </c>
      <c r="C2017" s="50" t="s">
        <v>26</v>
      </c>
      <c r="D2017" s="51">
        <v>111166.56</v>
      </c>
      <c r="E2017" s="51" t="str">
        <f t="shared" si="1"/>
        <v>₹1,333,998.72</v>
      </c>
      <c r="F2017" s="52" t="str">
        <f t="shared" si="2"/>
        <v>30.0%</v>
      </c>
      <c r="G2017" s="51" t="str">
        <f t="shared" si="3"/>
        <v>₹400,199.62</v>
      </c>
      <c r="H2017" s="51" t="str">
        <f t="shared" si="4"/>
        <v>₹33,349.97</v>
      </c>
      <c r="I2017" s="51" t="str">
        <f>97094.74-H2017</f>
        <v>₹63,744.77</v>
      </c>
    </row>
    <row r="2018" ht="15.75" customHeight="1">
      <c r="A2018" s="53" t="s">
        <v>2088</v>
      </c>
      <c r="B2018" s="53" t="s">
        <v>25</v>
      </c>
      <c r="C2018" s="53" t="s">
        <v>33</v>
      </c>
      <c r="D2018" s="54">
        <v>111189.74</v>
      </c>
      <c r="E2018" s="54" t="str">
        <f t="shared" si="1"/>
        <v>₹1,334,276.88</v>
      </c>
      <c r="F2018" s="55" t="str">
        <f t="shared" si="2"/>
        <v>30.0%</v>
      </c>
      <c r="G2018" s="54" t="str">
        <f t="shared" si="3"/>
        <v>₹400,283.06</v>
      </c>
      <c r="H2018" s="54" t="str">
        <f t="shared" si="4"/>
        <v>₹33,356.92</v>
      </c>
      <c r="I2018" s="54" t="str">
        <f>97114.53-H2018</f>
        <v>₹63,757.61</v>
      </c>
    </row>
    <row r="2019" ht="15.75" customHeight="1">
      <c r="A2019" s="50" t="s">
        <v>2089</v>
      </c>
      <c r="B2019" s="50" t="s">
        <v>53</v>
      </c>
      <c r="C2019" s="50" t="s">
        <v>33</v>
      </c>
      <c r="D2019" s="51">
        <v>111236.1</v>
      </c>
      <c r="E2019" s="51" t="str">
        <f t="shared" si="1"/>
        <v>₹1,334,833.20</v>
      </c>
      <c r="F2019" s="52" t="str">
        <f t="shared" si="2"/>
        <v>30.0%</v>
      </c>
      <c r="G2019" s="51" t="str">
        <f t="shared" si="3"/>
        <v>₹400,449.96</v>
      </c>
      <c r="H2019" s="51" t="str">
        <f t="shared" si="4"/>
        <v>₹33,370.83</v>
      </c>
      <c r="I2019" s="51" t="str">
        <f>97154.09-H2019</f>
        <v>₹63,783.26</v>
      </c>
    </row>
    <row r="2020" ht="15.75" customHeight="1">
      <c r="A2020" s="53" t="s">
        <v>2090</v>
      </c>
      <c r="B2020" s="53" t="s">
        <v>13</v>
      </c>
      <c r="C2020" s="53" t="s">
        <v>54</v>
      </c>
      <c r="D2020" s="54">
        <v>111259.27</v>
      </c>
      <c r="E2020" s="54" t="str">
        <f t="shared" si="1"/>
        <v>₹1,335,111.24</v>
      </c>
      <c r="F2020" s="55" t="str">
        <f t="shared" si="2"/>
        <v>30.0%</v>
      </c>
      <c r="G2020" s="54" t="str">
        <f t="shared" si="3"/>
        <v>₹400,533.37</v>
      </c>
      <c r="H2020" s="54" t="str">
        <f t="shared" si="4"/>
        <v>₹33,377.78</v>
      </c>
      <c r="I2020" s="54" t="str">
        <f>97173.86-H2020</f>
        <v>₹63,796.08</v>
      </c>
    </row>
    <row r="2021" ht="15.75" customHeight="1">
      <c r="A2021" s="50" t="s">
        <v>2091</v>
      </c>
      <c r="B2021" s="50" t="s">
        <v>25</v>
      </c>
      <c r="C2021" s="50" t="s">
        <v>54</v>
      </c>
      <c r="D2021" s="51">
        <v>111282.45</v>
      </c>
      <c r="E2021" s="51" t="str">
        <f t="shared" si="1"/>
        <v>₹1,335,389.40</v>
      </c>
      <c r="F2021" s="52" t="str">
        <f t="shared" si="2"/>
        <v>30.0%</v>
      </c>
      <c r="G2021" s="51" t="str">
        <f t="shared" si="3"/>
        <v>₹400,616.82</v>
      </c>
      <c r="H2021" s="51" t="str">
        <f t="shared" si="4"/>
        <v>₹33,384.74</v>
      </c>
      <c r="I2021" s="51" t="str">
        <f>97193.65-H2021</f>
        <v>₹63,808.92</v>
      </c>
    </row>
    <row r="2022" ht="15.75" customHeight="1">
      <c r="A2022" s="53" t="s">
        <v>2092</v>
      </c>
      <c r="B2022" s="53" t="s">
        <v>17</v>
      </c>
      <c r="C2022" s="53" t="s">
        <v>26</v>
      </c>
      <c r="D2022" s="54">
        <v>111305.63</v>
      </c>
      <c r="E2022" s="54" t="str">
        <f t="shared" si="1"/>
        <v>₹1,335,667.56</v>
      </c>
      <c r="F2022" s="55" t="str">
        <f t="shared" si="2"/>
        <v>30.0%</v>
      </c>
      <c r="G2022" s="54" t="str">
        <f t="shared" si="3"/>
        <v>₹400,700.27</v>
      </c>
      <c r="H2022" s="54" t="str">
        <f t="shared" si="4"/>
        <v>₹33,391.69</v>
      </c>
      <c r="I2022" s="54" t="str">
        <f>97213.43-H2022</f>
        <v>₹63,821.74</v>
      </c>
    </row>
    <row r="2023" ht="15.75" customHeight="1">
      <c r="A2023" s="50" t="s">
        <v>2093</v>
      </c>
      <c r="B2023" s="50" t="s">
        <v>36</v>
      </c>
      <c r="C2023" s="50" t="s">
        <v>37</v>
      </c>
      <c r="D2023" s="51">
        <v>111328.81</v>
      </c>
      <c r="E2023" s="51" t="str">
        <f t="shared" si="1"/>
        <v>₹1,335,945.72</v>
      </c>
      <c r="F2023" s="52" t="str">
        <f t="shared" si="2"/>
        <v>30.0%</v>
      </c>
      <c r="G2023" s="51" t="str">
        <f t="shared" si="3"/>
        <v>₹400,783.72</v>
      </c>
      <c r="H2023" s="51" t="str">
        <f t="shared" si="4"/>
        <v>₹33,398.64</v>
      </c>
      <c r="I2023" s="51" t="str">
        <f>97233.21-H2023</f>
        <v>₹63,834.57</v>
      </c>
    </row>
    <row r="2024" ht="15.75" customHeight="1">
      <c r="A2024" s="53" t="s">
        <v>2094</v>
      </c>
      <c r="B2024" s="53" t="s">
        <v>29</v>
      </c>
      <c r="C2024" s="53" t="s">
        <v>14</v>
      </c>
      <c r="D2024" s="54">
        <v>111351.99</v>
      </c>
      <c r="E2024" s="54" t="str">
        <f t="shared" si="1"/>
        <v>₹1,336,223.88</v>
      </c>
      <c r="F2024" s="55" t="str">
        <f t="shared" si="2"/>
        <v>30.0%</v>
      </c>
      <c r="G2024" s="54" t="str">
        <f t="shared" si="3"/>
        <v>₹400,867.16</v>
      </c>
      <c r="H2024" s="54" t="str">
        <f t="shared" si="4"/>
        <v>₹33,405.60</v>
      </c>
      <c r="I2024" s="54" t="str">
        <f>97252.99-H2024</f>
        <v>₹63,847.39</v>
      </c>
    </row>
    <row r="2025" ht="15.75" customHeight="1">
      <c r="A2025" s="50" t="s">
        <v>2095</v>
      </c>
      <c r="B2025" s="50" t="s">
        <v>51</v>
      </c>
      <c r="C2025" s="50" t="s">
        <v>33</v>
      </c>
      <c r="D2025" s="51">
        <v>111398.34</v>
      </c>
      <c r="E2025" s="51" t="str">
        <f t="shared" si="1"/>
        <v>₹1,336,780.08</v>
      </c>
      <c r="F2025" s="52" t="str">
        <f t="shared" si="2"/>
        <v>30.0%</v>
      </c>
      <c r="G2025" s="51" t="str">
        <f t="shared" si="3"/>
        <v>₹401,034.02</v>
      </c>
      <c r="H2025" s="51" t="str">
        <f t="shared" si="4"/>
        <v>₹33,419.50</v>
      </c>
      <c r="I2025" s="51" t="str">
        <f>97292.55-H2025</f>
        <v>₹63,873.05</v>
      </c>
    </row>
    <row r="2026" ht="15.75" customHeight="1">
      <c r="A2026" s="53" t="s">
        <v>2096</v>
      </c>
      <c r="B2026" s="53" t="s">
        <v>17</v>
      </c>
      <c r="C2026" s="53" t="s">
        <v>18</v>
      </c>
      <c r="D2026" s="54">
        <v>111421.52</v>
      </c>
      <c r="E2026" s="54" t="str">
        <f t="shared" si="1"/>
        <v>₹1,337,058.24</v>
      </c>
      <c r="F2026" s="55" t="str">
        <f t="shared" si="2"/>
        <v>30.0%</v>
      </c>
      <c r="G2026" s="54" t="str">
        <f t="shared" si="3"/>
        <v>₹401,117.47</v>
      </c>
      <c r="H2026" s="54" t="str">
        <f t="shared" si="4"/>
        <v>₹33,426.46</v>
      </c>
      <c r="I2026" s="54" t="str">
        <f>97312.33-H2026</f>
        <v>₹63,885.87</v>
      </c>
    </row>
    <row r="2027" ht="15.75" customHeight="1">
      <c r="A2027" s="50" t="s">
        <v>2097</v>
      </c>
      <c r="B2027" s="50" t="s">
        <v>25</v>
      </c>
      <c r="C2027" s="50" t="s">
        <v>26</v>
      </c>
      <c r="D2027" s="51">
        <v>111444.7</v>
      </c>
      <c r="E2027" s="51" t="str">
        <f t="shared" si="1"/>
        <v>₹1,337,336.40</v>
      </c>
      <c r="F2027" s="52" t="str">
        <f t="shared" si="2"/>
        <v>30.0%</v>
      </c>
      <c r="G2027" s="51" t="str">
        <f t="shared" si="3"/>
        <v>₹401,200.92</v>
      </c>
      <c r="H2027" s="51" t="str">
        <f t="shared" si="4"/>
        <v>₹33,433.41</v>
      </c>
      <c r="I2027" s="51" t="str">
        <f>97332.11-H2027</f>
        <v>₹63,898.70</v>
      </c>
    </row>
    <row r="2028" ht="15.75" customHeight="1">
      <c r="A2028" s="53" t="s">
        <v>2098</v>
      </c>
      <c r="B2028" s="53" t="s">
        <v>36</v>
      </c>
      <c r="C2028" s="53" t="s">
        <v>33</v>
      </c>
      <c r="D2028" s="54">
        <v>111467.87</v>
      </c>
      <c r="E2028" s="54" t="str">
        <f t="shared" si="1"/>
        <v>₹1,337,614.44</v>
      </c>
      <c r="F2028" s="55" t="str">
        <f t="shared" si="2"/>
        <v>30.0%</v>
      </c>
      <c r="G2028" s="54" t="str">
        <f t="shared" si="3"/>
        <v>₹401,284.33</v>
      </c>
      <c r="H2028" s="54" t="str">
        <f t="shared" si="4"/>
        <v>₹33,440.36</v>
      </c>
      <c r="I2028" s="54" t="str">
        <f>97351.89-H2028</f>
        <v>₹63,911.53</v>
      </c>
    </row>
    <row r="2029" ht="15.75" customHeight="1">
      <c r="A2029" s="50" t="s">
        <v>2099</v>
      </c>
      <c r="B2029" s="50" t="s">
        <v>36</v>
      </c>
      <c r="C2029" s="50" t="s">
        <v>14</v>
      </c>
      <c r="D2029" s="51">
        <v>111491.05</v>
      </c>
      <c r="E2029" s="51" t="str">
        <f t="shared" si="1"/>
        <v>₹1,337,892.60</v>
      </c>
      <c r="F2029" s="52" t="str">
        <f t="shared" si="2"/>
        <v>30.0%</v>
      </c>
      <c r="G2029" s="51" t="str">
        <f t="shared" si="3"/>
        <v>₹401,367.78</v>
      </c>
      <c r="H2029" s="51" t="str">
        <f t="shared" si="4"/>
        <v>₹33,447.32</v>
      </c>
      <c r="I2029" s="51" t="str">
        <f>97371.67-H2029</f>
        <v>₹63,924.36</v>
      </c>
    </row>
    <row r="2030" ht="15.75" customHeight="1">
      <c r="A2030" s="53" t="s">
        <v>2100</v>
      </c>
      <c r="B2030" s="53" t="s">
        <v>17</v>
      </c>
      <c r="C2030" s="53" t="s">
        <v>26</v>
      </c>
      <c r="D2030" s="54">
        <v>111514.23</v>
      </c>
      <c r="E2030" s="54" t="str">
        <f t="shared" si="1"/>
        <v>₹1,338,170.76</v>
      </c>
      <c r="F2030" s="55" t="str">
        <f t="shared" si="2"/>
        <v>30.0%</v>
      </c>
      <c r="G2030" s="54" t="str">
        <f t="shared" si="3"/>
        <v>₹401,451.23</v>
      </c>
      <c r="H2030" s="54" t="str">
        <f t="shared" si="4"/>
        <v>₹33,454.27</v>
      </c>
      <c r="I2030" s="54" t="str">
        <f>97391.45-H2030</f>
        <v>₹63,937.18</v>
      </c>
    </row>
    <row r="2031" ht="15.75" customHeight="1">
      <c r="A2031" s="50" t="s">
        <v>2101</v>
      </c>
      <c r="B2031" s="50" t="s">
        <v>29</v>
      </c>
      <c r="C2031" s="50" t="s">
        <v>54</v>
      </c>
      <c r="D2031" s="51">
        <v>111537.41</v>
      </c>
      <c r="E2031" s="51" t="str">
        <f t="shared" si="1"/>
        <v>₹1,338,448.92</v>
      </c>
      <c r="F2031" s="52" t="str">
        <f t="shared" si="2"/>
        <v>30.0%</v>
      </c>
      <c r="G2031" s="51" t="str">
        <f t="shared" si="3"/>
        <v>₹401,534.68</v>
      </c>
      <c r="H2031" s="51" t="str">
        <f t="shared" si="4"/>
        <v>₹33,461.22</v>
      </c>
      <c r="I2031" s="51" t="str">
        <f>97411.23-H2031</f>
        <v>₹63,950.01</v>
      </c>
    </row>
    <row r="2032" ht="15.75" customHeight="1">
      <c r="A2032" s="53" t="s">
        <v>2102</v>
      </c>
      <c r="B2032" s="53" t="s">
        <v>51</v>
      </c>
      <c r="C2032" s="53" t="s">
        <v>30</v>
      </c>
      <c r="D2032" s="54">
        <v>111560.58</v>
      </c>
      <c r="E2032" s="54" t="str">
        <f t="shared" si="1"/>
        <v>₹1,338,726.96</v>
      </c>
      <c r="F2032" s="55" t="str">
        <f t="shared" si="2"/>
        <v>30.0%</v>
      </c>
      <c r="G2032" s="54" t="str">
        <f t="shared" si="3"/>
        <v>₹401,618.09</v>
      </c>
      <c r="H2032" s="54" t="str">
        <f t="shared" si="4"/>
        <v>₹33,468.17</v>
      </c>
      <c r="I2032" s="54" t="str">
        <f>97431.01-H2032</f>
        <v>₹63,962.84</v>
      </c>
    </row>
    <row r="2033" ht="15.75" customHeight="1">
      <c r="A2033" s="50" t="s">
        <v>2103</v>
      </c>
      <c r="B2033" s="50" t="s">
        <v>29</v>
      </c>
      <c r="C2033" s="50" t="s">
        <v>54</v>
      </c>
      <c r="D2033" s="51">
        <v>111583.76</v>
      </c>
      <c r="E2033" s="51" t="str">
        <f t="shared" si="1"/>
        <v>₹1,339,005.12</v>
      </c>
      <c r="F2033" s="52" t="str">
        <f t="shared" si="2"/>
        <v>30.0%</v>
      </c>
      <c r="G2033" s="51" t="str">
        <f t="shared" si="3"/>
        <v>₹401,701.54</v>
      </c>
      <c r="H2033" s="51" t="str">
        <f t="shared" si="4"/>
        <v>₹33,475.13</v>
      </c>
      <c r="I2033" s="51" t="str">
        <f>97450.79-H2033</f>
        <v>₹63,975.66</v>
      </c>
    </row>
    <row r="2034" ht="15.75" customHeight="1">
      <c r="A2034" s="53" t="s">
        <v>2104</v>
      </c>
      <c r="B2034" s="53" t="s">
        <v>17</v>
      </c>
      <c r="C2034" s="53" t="s">
        <v>14</v>
      </c>
      <c r="D2034" s="54">
        <v>111606.94</v>
      </c>
      <c r="E2034" s="54" t="str">
        <f t="shared" si="1"/>
        <v>₹1,339,283.28</v>
      </c>
      <c r="F2034" s="55" t="str">
        <f t="shared" si="2"/>
        <v>30.0%</v>
      </c>
      <c r="G2034" s="54" t="str">
        <f t="shared" si="3"/>
        <v>₹401,784.98</v>
      </c>
      <c r="H2034" s="54" t="str">
        <f t="shared" si="4"/>
        <v>₹33,482.08</v>
      </c>
      <c r="I2034" s="54" t="str">
        <f>97470.57-H2034</f>
        <v>₹63,988.49</v>
      </c>
    </row>
    <row r="2035" ht="15.75" customHeight="1">
      <c r="A2035" s="50" t="s">
        <v>2105</v>
      </c>
      <c r="B2035" s="50" t="s">
        <v>51</v>
      </c>
      <c r="C2035" s="50" t="s">
        <v>14</v>
      </c>
      <c r="D2035" s="51">
        <v>111653.3</v>
      </c>
      <c r="E2035" s="51" t="str">
        <f t="shared" si="1"/>
        <v>₹1,339,839.60</v>
      </c>
      <c r="F2035" s="52" t="str">
        <f t="shared" si="2"/>
        <v>30.0%</v>
      </c>
      <c r="G2035" s="51" t="str">
        <f t="shared" si="3"/>
        <v>₹401,951.88</v>
      </c>
      <c r="H2035" s="51" t="str">
        <f t="shared" si="4"/>
        <v>₹33,495.99</v>
      </c>
      <c r="I2035" s="51" t="str">
        <f>97510.14-H2035</f>
        <v>₹64,014.15</v>
      </c>
    </row>
    <row r="2036" ht="15.75" customHeight="1">
      <c r="A2036" s="53" t="s">
        <v>2106</v>
      </c>
      <c r="B2036" s="53" t="s">
        <v>51</v>
      </c>
      <c r="C2036" s="53" t="s">
        <v>30</v>
      </c>
      <c r="D2036" s="54">
        <v>111676.47</v>
      </c>
      <c r="E2036" s="54" t="str">
        <f t="shared" si="1"/>
        <v>₹1,340,117.64</v>
      </c>
      <c r="F2036" s="55" t="str">
        <f t="shared" si="2"/>
        <v>30.0%</v>
      </c>
      <c r="G2036" s="54" t="str">
        <f t="shared" si="3"/>
        <v>₹402,035.29</v>
      </c>
      <c r="H2036" s="54" t="str">
        <f t="shared" si="4"/>
        <v>₹33,502.94</v>
      </c>
      <c r="I2036" s="54" t="str">
        <f>97529.91-H2036</f>
        <v>₹64,026.97</v>
      </c>
    </row>
    <row r="2037" ht="15.75" customHeight="1">
      <c r="A2037" s="50" t="s">
        <v>2107</v>
      </c>
      <c r="B2037" s="50" t="s">
        <v>36</v>
      </c>
      <c r="C2037" s="50" t="s">
        <v>30</v>
      </c>
      <c r="D2037" s="51">
        <v>111699.65</v>
      </c>
      <c r="E2037" s="51" t="str">
        <f t="shared" si="1"/>
        <v>₹1,340,395.80</v>
      </c>
      <c r="F2037" s="52" t="str">
        <f t="shared" si="2"/>
        <v>30.0%</v>
      </c>
      <c r="G2037" s="51" t="str">
        <f t="shared" si="3"/>
        <v>₹402,118.74</v>
      </c>
      <c r="H2037" s="51" t="str">
        <f t="shared" si="4"/>
        <v>₹33,509.90</v>
      </c>
      <c r="I2037" s="51" t="str">
        <f>97549.69-H2037</f>
        <v>₹64,039.80</v>
      </c>
    </row>
    <row r="2038" ht="15.75" customHeight="1">
      <c r="A2038" s="53" t="s">
        <v>2108</v>
      </c>
      <c r="B2038" s="53" t="s">
        <v>13</v>
      </c>
      <c r="C2038" s="53" t="s">
        <v>54</v>
      </c>
      <c r="D2038" s="54">
        <v>111722.83</v>
      </c>
      <c r="E2038" s="54" t="str">
        <f t="shared" si="1"/>
        <v>₹1,340,673.96</v>
      </c>
      <c r="F2038" s="55" t="str">
        <f t="shared" si="2"/>
        <v>30.0%</v>
      </c>
      <c r="G2038" s="54" t="str">
        <f t="shared" si="3"/>
        <v>₹402,202.19</v>
      </c>
      <c r="H2038" s="54" t="str">
        <f t="shared" si="4"/>
        <v>₹33,516.85</v>
      </c>
      <c r="I2038" s="54" t="str">
        <f>97569.47-H2038</f>
        <v>₹64,052.62</v>
      </c>
    </row>
    <row r="2039" ht="15.75" customHeight="1">
      <c r="A2039" s="50" t="s">
        <v>2109</v>
      </c>
      <c r="B2039" s="50" t="s">
        <v>17</v>
      </c>
      <c r="C2039" s="50" t="s">
        <v>26</v>
      </c>
      <c r="D2039" s="51">
        <v>111769.18</v>
      </c>
      <c r="E2039" s="51" t="str">
        <f t="shared" si="1"/>
        <v>₹1,341,230.16</v>
      </c>
      <c r="F2039" s="52" t="str">
        <f t="shared" si="2"/>
        <v>30.0%</v>
      </c>
      <c r="G2039" s="51" t="str">
        <f t="shared" si="3"/>
        <v>₹402,369.05</v>
      </c>
      <c r="H2039" s="51" t="str">
        <f t="shared" si="4"/>
        <v>₹33,530.75</v>
      </c>
      <c r="I2039" s="51" t="str">
        <f>97609.03-H2039</f>
        <v>₹64,078.28</v>
      </c>
    </row>
    <row r="2040" ht="15.75" customHeight="1">
      <c r="A2040" s="53" t="s">
        <v>2110</v>
      </c>
      <c r="B2040" s="53" t="s">
        <v>53</v>
      </c>
      <c r="C2040" s="53" t="s">
        <v>30</v>
      </c>
      <c r="D2040" s="54">
        <v>111792.36</v>
      </c>
      <c r="E2040" s="54" t="str">
        <f t="shared" si="1"/>
        <v>₹1,341,508.32</v>
      </c>
      <c r="F2040" s="55" t="str">
        <f t="shared" si="2"/>
        <v>30.0%</v>
      </c>
      <c r="G2040" s="54" t="str">
        <f t="shared" si="3"/>
        <v>₹402,452.50</v>
      </c>
      <c r="H2040" s="54" t="str">
        <f t="shared" si="4"/>
        <v>₹33,537.71</v>
      </c>
      <c r="I2040" s="54" t="str">
        <f>97628.81-H2040</f>
        <v>₹64,091.10</v>
      </c>
    </row>
    <row r="2041" ht="15.75" customHeight="1">
      <c r="A2041" s="50" t="s">
        <v>2111</v>
      </c>
      <c r="B2041" s="50" t="s">
        <v>51</v>
      </c>
      <c r="C2041" s="50" t="s">
        <v>14</v>
      </c>
      <c r="D2041" s="51">
        <v>111838.72</v>
      </c>
      <c r="E2041" s="51" t="str">
        <f t="shared" si="1"/>
        <v>₹1,342,064.64</v>
      </c>
      <c r="F2041" s="52" t="str">
        <f t="shared" si="2"/>
        <v>30.0%</v>
      </c>
      <c r="G2041" s="51" t="str">
        <f t="shared" si="3"/>
        <v>₹402,619.39</v>
      </c>
      <c r="H2041" s="51" t="str">
        <f t="shared" si="4"/>
        <v>₹33,551.62</v>
      </c>
      <c r="I2041" s="51" t="str">
        <f>97668.38-H2041</f>
        <v>₹64,116.76</v>
      </c>
    </row>
    <row r="2042" ht="15.75" customHeight="1">
      <c r="A2042" s="53" t="s">
        <v>2112</v>
      </c>
      <c r="B2042" s="53" t="s">
        <v>17</v>
      </c>
      <c r="C2042" s="53" t="s">
        <v>54</v>
      </c>
      <c r="D2042" s="54">
        <v>111861.89</v>
      </c>
      <c r="E2042" s="54" t="str">
        <f t="shared" si="1"/>
        <v>₹1,342,342.68</v>
      </c>
      <c r="F2042" s="55" t="str">
        <f t="shared" si="2"/>
        <v>30.0%</v>
      </c>
      <c r="G2042" s="54" t="str">
        <f t="shared" si="3"/>
        <v>₹402,702.80</v>
      </c>
      <c r="H2042" s="54" t="str">
        <f t="shared" si="4"/>
        <v>₹33,558.57</v>
      </c>
      <c r="I2042" s="54" t="str">
        <f>97688.15-H2042</f>
        <v>₹64,129.58</v>
      </c>
    </row>
    <row r="2043" ht="15.75" customHeight="1">
      <c r="A2043" s="50" t="s">
        <v>2113</v>
      </c>
      <c r="B2043" s="50" t="s">
        <v>25</v>
      </c>
      <c r="C2043" s="50" t="s">
        <v>54</v>
      </c>
      <c r="D2043" s="51">
        <v>111908.25</v>
      </c>
      <c r="E2043" s="51" t="str">
        <f t="shared" si="1"/>
        <v>₹1,342,899.00</v>
      </c>
      <c r="F2043" s="52" t="str">
        <f t="shared" si="2"/>
        <v>30.0%</v>
      </c>
      <c r="G2043" s="51" t="str">
        <f t="shared" si="3"/>
        <v>₹402,869.70</v>
      </c>
      <c r="H2043" s="51" t="str">
        <f t="shared" si="4"/>
        <v>₹33,572.48</v>
      </c>
      <c r="I2043" s="51" t="str">
        <f>97727.71-H2043</f>
        <v>₹64,155.24</v>
      </c>
    </row>
    <row r="2044" ht="15.75" customHeight="1">
      <c r="A2044" s="53" t="s">
        <v>2114</v>
      </c>
      <c r="B2044" s="53" t="s">
        <v>51</v>
      </c>
      <c r="C2044" s="53" t="s">
        <v>54</v>
      </c>
      <c r="D2044" s="54">
        <v>111931.43</v>
      </c>
      <c r="E2044" s="54" t="str">
        <f t="shared" si="1"/>
        <v>₹1,343,177.16</v>
      </c>
      <c r="F2044" s="55" t="str">
        <f t="shared" si="2"/>
        <v>30.0%</v>
      </c>
      <c r="G2044" s="54" t="str">
        <f t="shared" si="3"/>
        <v>₹402,953.15</v>
      </c>
      <c r="H2044" s="54" t="str">
        <f t="shared" si="4"/>
        <v>₹33,579.43</v>
      </c>
      <c r="I2044" s="54" t="str">
        <f>97747.5-H2044</f>
        <v>₹64,168.07</v>
      </c>
    </row>
    <row r="2045" ht="15.75" customHeight="1">
      <c r="A2045" s="50" t="s">
        <v>2115</v>
      </c>
      <c r="B2045" s="50" t="s">
        <v>53</v>
      </c>
      <c r="C2045" s="50" t="s">
        <v>37</v>
      </c>
      <c r="D2045" s="51">
        <v>111954.61</v>
      </c>
      <c r="E2045" s="51" t="str">
        <f t="shared" si="1"/>
        <v>₹1,343,455.32</v>
      </c>
      <c r="F2045" s="52" t="str">
        <f t="shared" si="2"/>
        <v>30.0%</v>
      </c>
      <c r="G2045" s="51" t="str">
        <f t="shared" si="3"/>
        <v>₹403,036.60</v>
      </c>
      <c r="H2045" s="51" t="str">
        <f t="shared" si="4"/>
        <v>₹33,586.38</v>
      </c>
      <c r="I2045" s="51" t="str">
        <f>97767.28-H2045</f>
        <v>₹64,180.90</v>
      </c>
    </row>
    <row r="2046" ht="15.75" customHeight="1">
      <c r="A2046" s="53" t="s">
        <v>2116</v>
      </c>
      <c r="B2046" s="53" t="s">
        <v>13</v>
      </c>
      <c r="C2046" s="53" t="s">
        <v>26</v>
      </c>
      <c r="D2046" s="54">
        <v>111977.78</v>
      </c>
      <c r="E2046" s="54" t="str">
        <f t="shared" si="1"/>
        <v>₹1,343,733.36</v>
      </c>
      <c r="F2046" s="55" t="str">
        <f t="shared" si="2"/>
        <v>30.0%</v>
      </c>
      <c r="G2046" s="54" t="str">
        <f t="shared" si="3"/>
        <v>₹403,120.01</v>
      </c>
      <c r="H2046" s="54" t="str">
        <f t="shared" si="4"/>
        <v>₹33,593.33</v>
      </c>
      <c r="I2046" s="54" t="str">
        <f>97787.05-H2046</f>
        <v>₹64,193.72</v>
      </c>
    </row>
    <row r="2047" ht="15.75" customHeight="1">
      <c r="A2047" s="50" t="s">
        <v>2117</v>
      </c>
      <c r="B2047" s="50" t="s">
        <v>36</v>
      </c>
      <c r="C2047" s="50" t="s">
        <v>37</v>
      </c>
      <c r="D2047" s="51">
        <v>112000.96</v>
      </c>
      <c r="E2047" s="51" t="str">
        <f t="shared" si="1"/>
        <v>₹1,344,011.52</v>
      </c>
      <c r="F2047" s="52" t="str">
        <f t="shared" si="2"/>
        <v>30.0%</v>
      </c>
      <c r="G2047" s="51" t="str">
        <f t="shared" si="3"/>
        <v>₹403,203.46</v>
      </c>
      <c r="H2047" s="51" t="str">
        <f t="shared" si="4"/>
        <v>₹33,600.29</v>
      </c>
      <c r="I2047" s="51" t="str">
        <f>97806.83-H2047</f>
        <v>₹64,206.54</v>
      </c>
    </row>
    <row r="2048" ht="15.75" customHeight="1">
      <c r="A2048" s="53" t="s">
        <v>2118</v>
      </c>
      <c r="B2048" s="53" t="s">
        <v>29</v>
      </c>
      <c r="C2048" s="53" t="s">
        <v>37</v>
      </c>
      <c r="D2048" s="54">
        <v>112024.14</v>
      </c>
      <c r="E2048" s="54" t="str">
        <f t="shared" si="1"/>
        <v>₹1,344,289.68</v>
      </c>
      <c r="F2048" s="55" t="str">
        <f t="shared" si="2"/>
        <v>30.0%</v>
      </c>
      <c r="G2048" s="54" t="str">
        <f t="shared" si="3"/>
        <v>₹403,286.90</v>
      </c>
      <c r="H2048" s="54" t="str">
        <f t="shared" si="4"/>
        <v>₹33,607.24</v>
      </c>
      <c r="I2048" s="54" t="str">
        <f>97826.61-H2048</f>
        <v>₹64,219.37</v>
      </c>
    </row>
    <row r="2049" ht="15.75" customHeight="1">
      <c r="A2049" s="50" t="s">
        <v>2119</v>
      </c>
      <c r="B2049" s="50" t="s">
        <v>17</v>
      </c>
      <c r="C2049" s="50" t="s">
        <v>33</v>
      </c>
      <c r="D2049" s="51">
        <v>112070.49</v>
      </c>
      <c r="E2049" s="51" t="str">
        <f t="shared" si="1"/>
        <v>₹1,344,845.88</v>
      </c>
      <c r="F2049" s="52" t="str">
        <f t="shared" si="2"/>
        <v>30.0%</v>
      </c>
      <c r="G2049" s="51" t="str">
        <f t="shared" si="3"/>
        <v>₹403,453.76</v>
      </c>
      <c r="H2049" s="51" t="str">
        <f t="shared" si="4"/>
        <v>₹33,621.15</v>
      </c>
      <c r="I2049" s="51" t="str">
        <f>97334.97-H2049</f>
        <v>₹63,713.82</v>
      </c>
    </row>
    <row r="2050" ht="15.75" customHeight="1">
      <c r="A2050" s="53" t="s">
        <v>2120</v>
      </c>
      <c r="B2050" s="53" t="s">
        <v>36</v>
      </c>
      <c r="C2050" s="53" t="s">
        <v>14</v>
      </c>
      <c r="D2050" s="54">
        <v>112093.67</v>
      </c>
      <c r="E2050" s="54" t="str">
        <f t="shared" si="1"/>
        <v>₹1,345,124.04</v>
      </c>
      <c r="F2050" s="55" t="str">
        <f t="shared" si="2"/>
        <v>30.0%</v>
      </c>
      <c r="G2050" s="54" t="str">
        <f t="shared" si="3"/>
        <v>₹403,537.21</v>
      </c>
      <c r="H2050" s="54" t="str">
        <f t="shared" si="4"/>
        <v>₹33,628.10</v>
      </c>
      <c r="I2050" s="54" t="str">
        <f>97885.95-H2050</f>
        <v>₹64,257.85</v>
      </c>
    </row>
    <row r="2051" ht="15.75" customHeight="1">
      <c r="A2051" s="50" t="s">
        <v>2121</v>
      </c>
      <c r="B2051" s="50" t="s">
        <v>29</v>
      </c>
      <c r="C2051" s="50" t="s">
        <v>37</v>
      </c>
      <c r="D2051" s="51">
        <v>112116.85</v>
      </c>
      <c r="E2051" s="51" t="str">
        <f t="shared" si="1"/>
        <v>₹1,345,402.20</v>
      </c>
      <c r="F2051" s="52" t="str">
        <f t="shared" si="2"/>
        <v>30.0%</v>
      </c>
      <c r="G2051" s="51" t="str">
        <f t="shared" si="3"/>
        <v>₹403,620.66</v>
      </c>
      <c r="H2051" s="51" t="str">
        <f t="shared" si="4"/>
        <v>₹33,635.06</v>
      </c>
      <c r="I2051" s="51" t="str">
        <f>97905.73-H2051</f>
        <v>₹64,270.68</v>
      </c>
    </row>
    <row r="2052" ht="15.75" customHeight="1">
      <c r="A2052" s="53" t="s">
        <v>2122</v>
      </c>
      <c r="B2052" s="53" t="s">
        <v>51</v>
      </c>
      <c r="C2052" s="53" t="s">
        <v>33</v>
      </c>
      <c r="D2052" s="54">
        <v>112140.03</v>
      </c>
      <c r="E2052" s="54" t="str">
        <f t="shared" si="1"/>
        <v>₹1,345,680.36</v>
      </c>
      <c r="F2052" s="55" t="str">
        <f t="shared" si="2"/>
        <v>30.0%</v>
      </c>
      <c r="G2052" s="54" t="str">
        <f t="shared" si="3"/>
        <v>₹403,704.11</v>
      </c>
      <c r="H2052" s="54" t="str">
        <f t="shared" si="4"/>
        <v>₹33,642.01</v>
      </c>
      <c r="I2052" s="54" t="str">
        <f>97925.52-H2052</f>
        <v>₹64,283.51</v>
      </c>
    </row>
    <row r="2053" ht="15.75" customHeight="1">
      <c r="A2053" s="50" t="s">
        <v>2123</v>
      </c>
      <c r="B2053" s="50" t="s">
        <v>53</v>
      </c>
      <c r="C2053" s="50" t="s">
        <v>14</v>
      </c>
      <c r="D2053" s="51">
        <v>112186.38</v>
      </c>
      <c r="E2053" s="51" t="str">
        <f t="shared" si="1"/>
        <v>₹1,346,236.56</v>
      </c>
      <c r="F2053" s="52" t="str">
        <f t="shared" si="2"/>
        <v>30.0%</v>
      </c>
      <c r="G2053" s="51" t="str">
        <f t="shared" si="3"/>
        <v>₹403,870.97</v>
      </c>
      <c r="H2053" s="51" t="str">
        <f t="shared" si="4"/>
        <v>₹33,655.91</v>
      </c>
      <c r="I2053" s="51" t="str">
        <f>97965.07-H2053</f>
        <v>₹64,309.16</v>
      </c>
    </row>
    <row r="2054" ht="15.75" customHeight="1">
      <c r="A2054" s="53" t="s">
        <v>2124</v>
      </c>
      <c r="B2054" s="53" t="s">
        <v>17</v>
      </c>
      <c r="C2054" s="53" t="s">
        <v>18</v>
      </c>
      <c r="D2054" s="54">
        <v>112232.74</v>
      </c>
      <c r="E2054" s="54" t="str">
        <f t="shared" si="1"/>
        <v>₹1,346,792.88</v>
      </c>
      <c r="F2054" s="55" t="str">
        <f t="shared" si="2"/>
        <v>30.0%</v>
      </c>
      <c r="G2054" s="54" t="str">
        <f t="shared" si="3"/>
        <v>₹404,037.86</v>
      </c>
      <c r="H2054" s="54" t="str">
        <f t="shared" si="4"/>
        <v>₹33,669.82</v>
      </c>
      <c r="I2054" s="54" t="str">
        <f>98004.64-H2054</f>
        <v>₹64,334.82</v>
      </c>
    </row>
    <row r="2055" ht="15.75" customHeight="1">
      <c r="A2055" s="50" t="s">
        <v>2125</v>
      </c>
      <c r="B2055" s="50" t="s">
        <v>25</v>
      </c>
      <c r="C2055" s="50" t="s">
        <v>18</v>
      </c>
      <c r="D2055" s="51">
        <v>112255.92</v>
      </c>
      <c r="E2055" s="51" t="str">
        <f t="shared" si="1"/>
        <v>₹1,347,071.04</v>
      </c>
      <c r="F2055" s="52" t="str">
        <f t="shared" si="2"/>
        <v>30.0%</v>
      </c>
      <c r="G2055" s="51" t="str">
        <f t="shared" si="3"/>
        <v>₹404,121.31</v>
      </c>
      <c r="H2055" s="51" t="str">
        <f t="shared" si="4"/>
        <v>₹33,676.78</v>
      </c>
      <c r="I2055" s="51" t="str">
        <f>98024.42-H2055</f>
        <v>₹64,347.64</v>
      </c>
    </row>
    <row r="2056" ht="15.75" customHeight="1">
      <c r="A2056" s="53" t="s">
        <v>2126</v>
      </c>
      <c r="B2056" s="53" t="s">
        <v>17</v>
      </c>
      <c r="C2056" s="53" t="s">
        <v>33</v>
      </c>
      <c r="D2056" s="54">
        <v>112279.09</v>
      </c>
      <c r="E2056" s="54" t="str">
        <f t="shared" si="1"/>
        <v>₹1,347,349.08</v>
      </c>
      <c r="F2056" s="55" t="str">
        <f t="shared" si="2"/>
        <v>30.0%</v>
      </c>
      <c r="G2056" s="54" t="str">
        <f t="shared" si="3"/>
        <v>₹404,204.72</v>
      </c>
      <c r="H2056" s="54" t="str">
        <f t="shared" si="4"/>
        <v>₹33,683.73</v>
      </c>
      <c r="I2056" s="54" t="str">
        <f>98044.19-H2056</f>
        <v>₹64,360.46</v>
      </c>
    </row>
    <row r="2057" ht="15.75" customHeight="1">
      <c r="A2057" s="50" t="s">
        <v>2127</v>
      </c>
      <c r="B2057" s="50" t="s">
        <v>17</v>
      </c>
      <c r="C2057" s="50" t="s">
        <v>14</v>
      </c>
      <c r="D2057" s="51">
        <v>112302.27</v>
      </c>
      <c r="E2057" s="51" t="str">
        <f t="shared" si="1"/>
        <v>₹1,347,627.24</v>
      </c>
      <c r="F2057" s="52" t="str">
        <f t="shared" si="2"/>
        <v>30.0%</v>
      </c>
      <c r="G2057" s="51" t="str">
        <f t="shared" si="3"/>
        <v>₹404,288.17</v>
      </c>
      <c r="H2057" s="51" t="str">
        <f t="shared" si="4"/>
        <v>₹33,690.68</v>
      </c>
      <c r="I2057" s="51" t="str">
        <f>98063.97-H2057</f>
        <v>₹64,373.29</v>
      </c>
    </row>
    <row r="2058" ht="15.75" customHeight="1">
      <c r="A2058" s="53" t="s">
        <v>2128</v>
      </c>
      <c r="B2058" s="53" t="s">
        <v>51</v>
      </c>
      <c r="C2058" s="53" t="s">
        <v>26</v>
      </c>
      <c r="D2058" s="54">
        <v>112596.55</v>
      </c>
      <c r="E2058" s="54" t="str">
        <f t="shared" si="1"/>
        <v>₹1,351,158.60</v>
      </c>
      <c r="F2058" s="55" t="str">
        <f t="shared" si="2"/>
        <v>30.0%</v>
      </c>
      <c r="G2058" s="54" t="str">
        <f t="shared" si="3"/>
        <v>₹405,347.58</v>
      </c>
      <c r="H2058" s="54" t="str">
        <f t="shared" si="4"/>
        <v>₹33,778.97</v>
      </c>
      <c r="I2058" s="54" t="str">
        <f>98354.86-H2058</f>
        <v>₹64,575.90</v>
      </c>
    </row>
    <row r="2059" ht="15.75" customHeight="1">
      <c r="A2059" s="50" t="s">
        <v>2129</v>
      </c>
      <c r="B2059" s="50" t="s">
        <v>13</v>
      </c>
      <c r="C2059" s="50" t="s">
        <v>33</v>
      </c>
      <c r="D2059" s="51">
        <v>112348.63</v>
      </c>
      <c r="E2059" s="51" t="str">
        <f t="shared" si="1"/>
        <v>₹1,348,183.56</v>
      </c>
      <c r="F2059" s="52" t="str">
        <f t="shared" si="2"/>
        <v>30.0%</v>
      </c>
      <c r="G2059" s="51" t="str">
        <f t="shared" si="3"/>
        <v>₹404,455.07</v>
      </c>
      <c r="H2059" s="51" t="str">
        <f t="shared" si="4"/>
        <v>₹33,704.59</v>
      </c>
      <c r="I2059" s="51" t="str">
        <f>98103.54-H2059</f>
        <v>₹64,398.95</v>
      </c>
    </row>
    <row r="2060" ht="15.75" customHeight="1">
      <c r="A2060" s="53" t="s">
        <v>2130</v>
      </c>
      <c r="B2060" s="53" t="s">
        <v>13</v>
      </c>
      <c r="C2060" s="53" t="s">
        <v>18</v>
      </c>
      <c r="D2060" s="54">
        <v>112371.8</v>
      </c>
      <c r="E2060" s="54" t="str">
        <f t="shared" si="1"/>
        <v>₹1,348,461.60</v>
      </c>
      <c r="F2060" s="55" t="str">
        <f t="shared" si="2"/>
        <v>30.0%</v>
      </c>
      <c r="G2060" s="54" t="str">
        <f t="shared" si="3"/>
        <v>₹404,538.48</v>
      </c>
      <c r="H2060" s="54" t="str">
        <f t="shared" si="4"/>
        <v>₹33,711.54</v>
      </c>
      <c r="I2060" s="54" t="str">
        <f>98123.31-H2060</f>
        <v>₹64,411.77</v>
      </c>
    </row>
    <row r="2061" ht="15.75" customHeight="1">
      <c r="A2061" s="50" t="s">
        <v>2131</v>
      </c>
      <c r="B2061" s="50" t="s">
        <v>53</v>
      </c>
      <c r="C2061" s="50" t="s">
        <v>18</v>
      </c>
      <c r="D2061" s="51">
        <v>112394.98</v>
      </c>
      <c r="E2061" s="51" t="str">
        <f t="shared" si="1"/>
        <v>₹1,348,739.76</v>
      </c>
      <c r="F2061" s="52" t="str">
        <f t="shared" si="2"/>
        <v>30.0%</v>
      </c>
      <c r="G2061" s="51" t="str">
        <f t="shared" si="3"/>
        <v>₹404,621.93</v>
      </c>
      <c r="H2061" s="51" t="str">
        <f t="shared" si="4"/>
        <v>₹33,718.49</v>
      </c>
      <c r="I2061" s="51" t="str">
        <f>98143.09-H2061</f>
        <v>₹64,424.60</v>
      </c>
    </row>
    <row r="2062" ht="15.75" customHeight="1">
      <c r="A2062" s="53" t="s">
        <v>2132</v>
      </c>
      <c r="B2062" s="53" t="s">
        <v>29</v>
      </c>
      <c r="C2062" s="53" t="s">
        <v>14</v>
      </c>
      <c r="D2062" s="54">
        <v>112418.16</v>
      </c>
      <c r="E2062" s="54" t="str">
        <f t="shared" si="1"/>
        <v>₹1,349,017.92</v>
      </c>
      <c r="F2062" s="55" t="str">
        <f t="shared" si="2"/>
        <v>30.0%</v>
      </c>
      <c r="G2062" s="54" t="str">
        <f t="shared" si="3"/>
        <v>₹404,705.38</v>
      </c>
      <c r="H2062" s="54" t="str">
        <f t="shared" si="4"/>
        <v>₹33,725.45</v>
      </c>
      <c r="I2062" s="54" t="str">
        <f>98162.88-H2062</f>
        <v>₹64,437.43</v>
      </c>
    </row>
    <row r="2063" ht="15.75" customHeight="1">
      <c r="A2063" s="50" t="s">
        <v>2133</v>
      </c>
      <c r="B2063" s="50" t="s">
        <v>36</v>
      </c>
      <c r="C2063" s="50" t="s">
        <v>18</v>
      </c>
      <c r="D2063" s="51">
        <v>112441.34</v>
      </c>
      <c r="E2063" s="51" t="str">
        <f t="shared" si="1"/>
        <v>₹1,349,296.08</v>
      </c>
      <c r="F2063" s="52" t="str">
        <f t="shared" si="2"/>
        <v>30.0%</v>
      </c>
      <c r="G2063" s="51" t="str">
        <f t="shared" si="3"/>
        <v>₹404,788.82</v>
      </c>
      <c r="H2063" s="51" t="str">
        <f t="shared" si="4"/>
        <v>₹33,732.40</v>
      </c>
      <c r="I2063" s="51" t="str">
        <f>98182.66-H2063</f>
        <v>₹64,450.26</v>
      </c>
    </row>
    <row r="2064" ht="15.75" customHeight="1">
      <c r="A2064" s="53" t="s">
        <v>2134</v>
      </c>
      <c r="B2064" s="53" t="s">
        <v>36</v>
      </c>
      <c r="C2064" s="53" t="s">
        <v>54</v>
      </c>
      <c r="D2064" s="54">
        <v>112464.51</v>
      </c>
      <c r="E2064" s="54" t="str">
        <f t="shared" si="1"/>
        <v>₹1,349,574.12</v>
      </c>
      <c r="F2064" s="55" t="str">
        <f t="shared" si="2"/>
        <v>30.0%</v>
      </c>
      <c r="G2064" s="54" t="str">
        <f t="shared" si="3"/>
        <v>₹404,872.24</v>
      </c>
      <c r="H2064" s="54" t="str">
        <f t="shared" si="4"/>
        <v>₹33,739.35</v>
      </c>
      <c r="I2064" s="54" t="str">
        <f>98202.43-H2064</f>
        <v>₹64,463.08</v>
      </c>
    </row>
    <row r="2065" ht="15.75" customHeight="1">
      <c r="A2065" s="50" t="s">
        <v>2135</v>
      </c>
      <c r="B2065" s="50" t="s">
        <v>36</v>
      </c>
      <c r="C2065" s="50" t="s">
        <v>33</v>
      </c>
      <c r="D2065" s="51">
        <v>112487.69</v>
      </c>
      <c r="E2065" s="51" t="str">
        <f t="shared" si="1"/>
        <v>₹1,349,852.28</v>
      </c>
      <c r="F2065" s="52" t="str">
        <f t="shared" si="2"/>
        <v>30.0%</v>
      </c>
      <c r="G2065" s="51" t="str">
        <f t="shared" si="3"/>
        <v>₹404,955.68</v>
      </c>
      <c r="H2065" s="51" t="str">
        <f t="shared" si="4"/>
        <v>₹33,746.31</v>
      </c>
      <c r="I2065" s="51" t="str">
        <f>98293.33-H2065</f>
        <v>₹64,547.02</v>
      </c>
    </row>
    <row r="2066" ht="15.75" customHeight="1">
      <c r="A2066" s="53" t="s">
        <v>2136</v>
      </c>
      <c r="B2066" s="53" t="s">
        <v>53</v>
      </c>
      <c r="C2066" s="53" t="s">
        <v>54</v>
      </c>
      <c r="D2066" s="54">
        <v>112510.87</v>
      </c>
      <c r="E2066" s="54" t="str">
        <f t="shared" si="1"/>
        <v>₹1,350,130.44</v>
      </c>
      <c r="F2066" s="55" t="str">
        <f t="shared" si="2"/>
        <v>30.0%</v>
      </c>
      <c r="G2066" s="54" t="str">
        <f t="shared" si="3"/>
        <v>₹405,039.13</v>
      </c>
      <c r="H2066" s="54" t="str">
        <f t="shared" si="4"/>
        <v>₹33,753.26</v>
      </c>
      <c r="I2066" s="54" t="str">
        <f>98242-H2066</f>
        <v>₹64,488.74</v>
      </c>
    </row>
    <row r="2067" ht="15.75" customHeight="1">
      <c r="A2067" s="50" t="s">
        <v>2137</v>
      </c>
      <c r="B2067" s="50" t="s">
        <v>51</v>
      </c>
      <c r="C2067" s="50" t="s">
        <v>18</v>
      </c>
      <c r="D2067" s="51">
        <v>112534.05</v>
      </c>
      <c r="E2067" s="51" t="str">
        <f t="shared" si="1"/>
        <v>₹1,350,408.60</v>
      </c>
      <c r="F2067" s="52" t="str">
        <f t="shared" si="2"/>
        <v>30.0%</v>
      </c>
      <c r="G2067" s="51" t="str">
        <f t="shared" si="3"/>
        <v>₹405,122.58</v>
      </c>
      <c r="H2067" s="51" t="str">
        <f t="shared" si="4"/>
        <v>₹33,760.22</v>
      </c>
      <c r="I2067" s="51" t="str">
        <f>98261.78-H2067</f>
        <v>₹64,501.57</v>
      </c>
    </row>
    <row r="2068" ht="15.75" customHeight="1">
      <c r="A2068" s="53" t="s">
        <v>2138</v>
      </c>
      <c r="B2068" s="53" t="s">
        <v>53</v>
      </c>
      <c r="C2068" s="53" t="s">
        <v>14</v>
      </c>
      <c r="D2068" s="54">
        <v>112557.23</v>
      </c>
      <c r="E2068" s="54" t="str">
        <f t="shared" si="1"/>
        <v>₹1,350,686.76</v>
      </c>
      <c r="F2068" s="55" t="str">
        <f t="shared" si="2"/>
        <v>30.0%</v>
      </c>
      <c r="G2068" s="54" t="str">
        <f t="shared" si="3"/>
        <v>₹405,206.03</v>
      </c>
      <c r="H2068" s="54" t="str">
        <f t="shared" si="4"/>
        <v>₹33,767.17</v>
      </c>
      <c r="I2068" s="54" t="str">
        <f>98281.56-H2068</f>
        <v>₹64,514.39</v>
      </c>
    </row>
    <row r="2069" ht="15.75" customHeight="1">
      <c r="A2069" s="50" t="s">
        <v>2139</v>
      </c>
      <c r="B2069" s="50" t="s">
        <v>36</v>
      </c>
      <c r="C2069" s="50" t="s">
        <v>14</v>
      </c>
      <c r="D2069" s="51">
        <v>112580.4</v>
      </c>
      <c r="E2069" s="51" t="str">
        <f t="shared" si="1"/>
        <v>₹1,350,964.80</v>
      </c>
      <c r="F2069" s="52" t="str">
        <f t="shared" si="2"/>
        <v>30.0%</v>
      </c>
      <c r="G2069" s="51" t="str">
        <f t="shared" si="3"/>
        <v>₹405,289.44</v>
      </c>
      <c r="H2069" s="51" t="str">
        <f t="shared" si="4"/>
        <v>₹33,774.12</v>
      </c>
      <c r="I2069" s="51" t="str">
        <f>98301.33-H2069</f>
        <v>₹64,527.21</v>
      </c>
    </row>
    <row r="2070" ht="15.75" customHeight="1">
      <c r="A2070" s="53" t="s">
        <v>2140</v>
      </c>
      <c r="B2070" s="53" t="s">
        <v>51</v>
      </c>
      <c r="C2070" s="53" t="s">
        <v>37</v>
      </c>
      <c r="D2070" s="54">
        <v>112603.58</v>
      </c>
      <c r="E2070" s="54" t="str">
        <f t="shared" si="1"/>
        <v>₹1,351,242.96</v>
      </c>
      <c r="F2070" s="55" t="str">
        <f t="shared" si="2"/>
        <v>30.0%</v>
      </c>
      <c r="G2070" s="54" t="str">
        <f t="shared" si="3"/>
        <v>₹405,372.89</v>
      </c>
      <c r="H2070" s="54" t="str">
        <f t="shared" si="4"/>
        <v>₹33,781.07</v>
      </c>
      <c r="I2070" s="54" t="str">
        <f>98321.12-H2070</f>
        <v>₹64,540.05</v>
      </c>
    </row>
    <row r="2071" ht="15.75" customHeight="1">
      <c r="A2071" s="50" t="s">
        <v>2141</v>
      </c>
      <c r="B2071" s="50" t="s">
        <v>13</v>
      </c>
      <c r="C2071" s="50" t="s">
        <v>54</v>
      </c>
      <c r="D2071" s="51">
        <v>112626.76</v>
      </c>
      <c r="E2071" s="51" t="str">
        <f t="shared" si="1"/>
        <v>₹1,351,521.12</v>
      </c>
      <c r="F2071" s="52" t="str">
        <f t="shared" si="2"/>
        <v>30.0%</v>
      </c>
      <c r="G2071" s="51" t="str">
        <f t="shared" si="3"/>
        <v>₹405,456.34</v>
      </c>
      <c r="H2071" s="51" t="str">
        <f t="shared" si="4"/>
        <v>₹33,788.03</v>
      </c>
      <c r="I2071" s="51" t="str">
        <f>98340.9-H2071</f>
        <v>₹64,552.87</v>
      </c>
    </row>
    <row r="2072" ht="15.75" customHeight="1">
      <c r="A2072" s="53" t="s">
        <v>2142</v>
      </c>
      <c r="B2072" s="53" t="s">
        <v>13</v>
      </c>
      <c r="C2072" s="53" t="s">
        <v>18</v>
      </c>
      <c r="D2072" s="54">
        <v>112649.94</v>
      </c>
      <c r="E2072" s="54" t="str">
        <f t="shared" si="1"/>
        <v>₹1,351,799.28</v>
      </c>
      <c r="F2072" s="55" t="str">
        <f t="shared" si="2"/>
        <v>30.0%</v>
      </c>
      <c r="G2072" s="54" t="str">
        <f t="shared" si="3"/>
        <v>₹405,539.78</v>
      </c>
      <c r="H2072" s="54" t="str">
        <f t="shared" si="4"/>
        <v>₹33,794.98</v>
      </c>
      <c r="I2072" s="54" t="str">
        <f>98360.68-H2072</f>
        <v>₹64,565.70</v>
      </c>
    </row>
    <row r="2073" ht="15.75" customHeight="1">
      <c r="A2073" s="50" t="s">
        <v>2143</v>
      </c>
      <c r="B2073" s="50" t="s">
        <v>13</v>
      </c>
      <c r="C2073" s="50" t="s">
        <v>37</v>
      </c>
      <c r="D2073" s="51">
        <v>112673.11</v>
      </c>
      <c r="E2073" s="51" t="str">
        <f t="shared" si="1"/>
        <v>₹1,352,077.32</v>
      </c>
      <c r="F2073" s="52" t="str">
        <f t="shared" si="2"/>
        <v>30.0%</v>
      </c>
      <c r="G2073" s="51" t="str">
        <f t="shared" si="3"/>
        <v>₹405,623.20</v>
      </c>
      <c r="H2073" s="51" t="str">
        <f t="shared" si="4"/>
        <v>₹33,801.93</v>
      </c>
      <c r="I2073" s="51" t="str">
        <f>98380.45-H2073</f>
        <v>₹64,578.52</v>
      </c>
    </row>
    <row r="2074" ht="15.75" customHeight="1">
      <c r="A2074" s="53" t="s">
        <v>2144</v>
      </c>
      <c r="B2074" s="53" t="s">
        <v>29</v>
      </c>
      <c r="C2074" s="53" t="s">
        <v>33</v>
      </c>
      <c r="D2074" s="54">
        <v>112696.29</v>
      </c>
      <c r="E2074" s="54" t="str">
        <f t="shared" si="1"/>
        <v>₹1,352,355.48</v>
      </c>
      <c r="F2074" s="55" t="str">
        <f t="shared" si="2"/>
        <v>30.0%</v>
      </c>
      <c r="G2074" s="54" t="str">
        <f t="shared" si="3"/>
        <v>₹405,706.64</v>
      </c>
      <c r="H2074" s="54" t="str">
        <f t="shared" si="4"/>
        <v>₹33,808.89</v>
      </c>
      <c r="I2074" s="54" t="str">
        <f>98400.24-H2074</f>
        <v>₹64,591.35</v>
      </c>
    </row>
    <row r="2075" ht="15.75" customHeight="1">
      <c r="A2075" s="50" t="s">
        <v>2145</v>
      </c>
      <c r="B2075" s="50" t="s">
        <v>13</v>
      </c>
      <c r="C2075" s="50" t="s">
        <v>30</v>
      </c>
      <c r="D2075" s="51">
        <v>112719.47</v>
      </c>
      <c r="E2075" s="51" t="str">
        <f t="shared" si="1"/>
        <v>₹1,352,633.64</v>
      </c>
      <c r="F2075" s="52" t="str">
        <f t="shared" si="2"/>
        <v>30.0%</v>
      </c>
      <c r="G2075" s="51" t="str">
        <f t="shared" si="3"/>
        <v>₹405,790.09</v>
      </c>
      <c r="H2075" s="51" t="str">
        <f t="shared" si="4"/>
        <v>₹33,815.84</v>
      </c>
      <c r="I2075" s="51" t="str">
        <f>98420.02-H2075</f>
        <v>₹64,604.18</v>
      </c>
    </row>
    <row r="2076" ht="15.75" customHeight="1">
      <c r="A2076" s="53" t="s">
        <v>2146</v>
      </c>
      <c r="B2076" s="53" t="s">
        <v>36</v>
      </c>
      <c r="C2076" s="53" t="s">
        <v>37</v>
      </c>
      <c r="D2076" s="54">
        <v>112742.65</v>
      </c>
      <c r="E2076" s="54" t="str">
        <f t="shared" si="1"/>
        <v>₹1,352,911.80</v>
      </c>
      <c r="F2076" s="55" t="str">
        <f t="shared" si="2"/>
        <v>30.0%</v>
      </c>
      <c r="G2076" s="54" t="str">
        <f t="shared" si="3"/>
        <v>₹405,873.54</v>
      </c>
      <c r="H2076" s="54" t="str">
        <f t="shared" si="4"/>
        <v>₹33,822.80</v>
      </c>
      <c r="I2076" s="54" t="str">
        <f>98439.8-H2076</f>
        <v>₹64,617.01</v>
      </c>
    </row>
    <row r="2077" ht="15.75" customHeight="1">
      <c r="A2077" s="50" t="s">
        <v>2147</v>
      </c>
      <c r="B2077" s="50" t="s">
        <v>29</v>
      </c>
      <c r="C2077" s="50" t="s">
        <v>54</v>
      </c>
      <c r="D2077" s="51">
        <v>112765.82</v>
      </c>
      <c r="E2077" s="51" t="str">
        <f t="shared" si="1"/>
        <v>₹1,353,189.84</v>
      </c>
      <c r="F2077" s="52" t="str">
        <f t="shared" si="2"/>
        <v>30.0%</v>
      </c>
      <c r="G2077" s="51" t="str">
        <f t="shared" si="3"/>
        <v>₹405,956.95</v>
      </c>
      <c r="H2077" s="51" t="str">
        <f t="shared" si="4"/>
        <v>₹33,829.75</v>
      </c>
      <c r="I2077" s="51" t="str">
        <f>98459.57-H2077</f>
        <v>₹64,629.82</v>
      </c>
    </row>
    <row r="2078" ht="15.75" customHeight="1">
      <c r="A2078" s="53" t="s">
        <v>2148</v>
      </c>
      <c r="B2078" s="53" t="s">
        <v>36</v>
      </c>
      <c r="C2078" s="53" t="s">
        <v>18</v>
      </c>
      <c r="D2078" s="54">
        <v>112789.0</v>
      </c>
      <c r="E2078" s="54" t="str">
        <f t="shared" si="1"/>
        <v>₹1,353,468.00</v>
      </c>
      <c r="F2078" s="55" t="str">
        <f t="shared" si="2"/>
        <v>30.0%</v>
      </c>
      <c r="G2078" s="54" t="str">
        <f t="shared" si="3"/>
        <v>₹406,040.40</v>
      </c>
      <c r="H2078" s="54" t="str">
        <f t="shared" si="4"/>
        <v>₹33,836.70</v>
      </c>
      <c r="I2078" s="54" t="str">
        <f>98479.36-H2078</f>
        <v>₹64,642.66</v>
      </c>
    </row>
    <row r="2079" ht="15.75" customHeight="1">
      <c r="A2079" s="50" t="s">
        <v>2149</v>
      </c>
      <c r="B2079" s="50" t="s">
        <v>25</v>
      </c>
      <c r="C2079" s="50" t="s">
        <v>18</v>
      </c>
      <c r="D2079" s="51">
        <v>112812.18</v>
      </c>
      <c r="E2079" s="51" t="str">
        <f t="shared" si="1"/>
        <v>₹1,353,746.16</v>
      </c>
      <c r="F2079" s="52" t="str">
        <f t="shared" si="2"/>
        <v>30.0%</v>
      </c>
      <c r="G2079" s="51" t="str">
        <f t="shared" si="3"/>
        <v>₹406,123.85</v>
      </c>
      <c r="H2079" s="51" t="str">
        <f t="shared" si="4"/>
        <v>₹33,843.65</v>
      </c>
      <c r="I2079" s="51" t="str">
        <f>98499.14-H2079</f>
        <v>₹64,655.49</v>
      </c>
    </row>
    <row r="2080" ht="15.75" customHeight="1">
      <c r="A2080" s="53" t="s">
        <v>2150</v>
      </c>
      <c r="B2080" s="53" t="s">
        <v>17</v>
      </c>
      <c r="C2080" s="53" t="s">
        <v>26</v>
      </c>
      <c r="D2080" s="54">
        <v>112835.36</v>
      </c>
      <c r="E2080" s="54" t="str">
        <f t="shared" si="1"/>
        <v>₹1,354,024.32</v>
      </c>
      <c r="F2080" s="55" t="str">
        <f t="shared" si="2"/>
        <v>30.0%</v>
      </c>
      <c r="G2080" s="54" t="str">
        <f t="shared" si="3"/>
        <v>₹406,207.30</v>
      </c>
      <c r="H2080" s="54" t="str">
        <f t="shared" si="4"/>
        <v>₹33,850.61</v>
      </c>
      <c r="I2080" s="54" t="str">
        <f>98518.92-H2080</f>
        <v>₹64,668.31</v>
      </c>
    </row>
    <row r="2081" ht="15.75" customHeight="1">
      <c r="A2081" s="50" t="s">
        <v>2151</v>
      </c>
      <c r="B2081" s="50" t="s">
        <v>51</v>
      </c>
      <c r="C2081" s="50" t="s">
        <v>14</v>
      </c>
      <c r="D2081" s="51">
        <v>112858.54</v>
      </c>
      <c r="E2081" s="51" t="str">
        <f t="shared" si="1"/>
        <v>₹1,354,302.48</v>
      </c>
      <c r="F2081" s="52" t="str">
        <f t="shared" si="2"/>
        <v>30.0%</v>
      </c>
      <c r="G2081" s="51" t="str">
        <f t="shared" si="3"/>
        <v>₹406,290.74</v>
      </c>
      <c r="H2081" s="51" t="str">
        <f t="shared" si="4"/>
        <v>₹33,857.56</v>
      </c>
      <c r="I2081" s="51" t="str">
        <f>98538.7-H2081</f>
        <v>₹64,681.14</v>
      </c>
    </row>
    <row r="2082" ht="15.75" customHeight="1">
      <c r="A2082" s="53" t="s">
        <v>2152</v>
      </c>
      <c r="B2082" s="53" t="s">
        <v>53</v>
      </c>
      <c r="C2082" s="53" t="s">
        <v>54</v>
      </c>
      <c r="D2082" s="54">
        <v>112881.71</v>
      </c>
      <c r="E2082" s="54" t="str">
        <f t="shared" si="1"/>
        <v>₹1,354,580.52</v>
      </c>
      <c r="F2082" s="55" t="str">
        <f t="shared" si="2"/>
        <v>30.0%</v>
      </c>
      <c r="G2082" s="54" t="str">
        <f t="shared" si="3"/>
        <v>₹406,374.16</v>
      </c>
      <c r="H2082" s="54" t="str">
        <f t="shared" si="4"/>
        <v>₹33,864.51</v>
      </c>
      <c r="I2082" s="54" t="str">
        <f>98558.48-H2082</f>
        <v>₹64,693.97</v>
      </c>
    </row>
    <row r="2083" ht="15.75" customHeight="1">
      <c r="A2083" s="50" t="s">
        <v>2153</v>
      </c>
      <c r="B2083" s="50" t="s">
        <v>17</v>
      </c>
      <c r="C2083" s="50" t="s">
        <v>54</v>
      </c>
      <c r="D2083" s="51">
        <v>112904.89</v>
      </c>
      <c r="E2083" s="51" t="str">
        <f t="shared" si="1"/>
        <v>₹1,354,858.68</v>
      </c>
      <c r="F2083" s="52" t="str">
        <f t="shared" si="2"/>
        <v>30.0%</v>
      </c>
      <c r="G2083" s="51" t="str">
        <f t="shared" si="3"/>
        <v>₹406,457.60</v>
      </c>
      <c r="H2083" s="51" t="str">
        <f t="shared" si="4"/>
        <v>₹33,871.47</v>
      </c>
      <c r="I2083" s="51" t="str">
        <f>98578.26-H2083</f>
        <v>₹64,706.79</v>
      </c>
    </row>
    <row r="2084" ht="15.75" customHeight="1">
      <c r="A2084" s="53" t="s">
        <v>2154</v>
      </c>
      <c r="B2084" s="53" t="s">
        <v>17</v>
      </c>
      <c r="C2084" s="53" t="s">
        <v>54</v>
      </c>
      <c r="D2084" s="54">
        <v>112928.07</v>
      </c>
      <c r="E2084" s="54" t="str">
        <f t="shared" si="1"/>
        <v>₹1,355,136.84</v>
      </c>
      <c r="F2084" s="55" t="str">
        <f t="shared" si="2"/>
        <v>30.0%</v>
      </c>
      <c r="G2084" s="54" t="str">
        <f t="shared" si="3"/>
        <v>₹406,541.05</v>
      </c>
      <c r="H2084" s="54" t="str">
        <f t="shared" si="4"/>
        <v>₹33,878.42</v>
      </c>
      <c r="I2084" s="54" t="str">
        <f>98598.04-H2084</f>
        <v>₹64,719.62</v>
      </c>
    </row>
    <row r="2085" ht="15.75" customHeight="1">
      <c r="A2085" s="50" t="s">
        <v>2155</v>
      </c>
      <c r="B2085" s="50" t="s">
        <v>53</v>
      </c>
      <c r="C2085" s="50" t="s">
        <v>37</v>
      </c>
      <c r="D2085" s="51">
        <v>113185.79</v>
      </c>
      <c r="E2085" s="51" t="str">
        <f t="shared" si="1"/>
        <v>₹1,358,229.48</v>
      </c>
      <c r="F2085" s="52" t="str">
        <f t="shared" si="2"/>
        <v>30.0%</v>
      </c>
      <c r="G2085" s="51" t="str">
        <f t="shared" si="3"/>
        <v>₹407,468.84</v>
      </c>
      <c r="H2085" s="51" t="str">
        <f t="shared" si="4"/>
        <v>₹33,955.74</v>
      </c>
      <c r="I2085" s="51" t="str">
        <f>98852.36-H2085</f>
        <v>₹64,896.62</v>
      </c>
    </row>
    <row r="2086" ht="15.75" customHeight="1">
      <c r="A2086" s="53" t="s">
        <v>2156</v>
      </c>
      <c r="B2086" s="53" t="s">
        <v>25</v>
      </c>
      <c r="C2086" s="53" t="s">
        <v>37</v>
      </c>
      <c r="D2086" s="54">
        <v>112974.42</v>
      </c>
      <c r="E2086" s="54" t="str">
        <f t="shared" si="1"/>
        <v>₹1,355,693.04</v>
      </c>
      <c r="F2086" s="55" t="str">
        <f t="shared" si="2"/>
        <v>30.0%</v>
      </c>
      <c r="G2086" s="54" t="str">
        <f t="shared" si="3"/>
        <v>₹406,707.91</v>
      </c>
      <c r="H2086" s="54" t="str">
        <f t="shared" si="4"/>
        <v>₹33,892.33</v>
      </c>
      <c r="I2086" s="54" t="str">
        <f>98637.6-H2086</f>
        <v>₹64,745.27</v>
      </c>
    </row>
    <row r="2087" ht="15.75" customHeight="1">
      <c r="A2087" s="50" t="s">
        <v>2157</v>
      </c>
      <c r="B2087" s="50" t="s">
        <v>51</v>
      </c>
      <c r="C2087" s="50" t="s">
        <v>26</v>
      </c>
      <c r="D2087" s="51">
        <v>112997.6</v>
      </c>
      <c r="E2087" s="51" t="str">
        <f t="shared" si="1"/>
        <v>₹1,355,971.20</v>
      </c>
      <c r="F2087" s="52" t="str">
        <f t="shared" si="2"/>
        <v>30.0%</v>
      </c>
      <c r="G2087" s="51" t="str">
        <f t="shared" si="3"/>
        <v>₹406,791.36</v>
      </c>
      <c r="H2087" s="51" t="str">
        <f t="shared" si="4"/>
        <v>₹33,899.28</v>
      </c>
      <c r="I2087" s="51" t="str">
        <f>98657.38-H2087</f>
        <v>₹64,758.10</v>
      </c>
    </row>
    <row r="2088" ht="15.75" customHeight="1">
      <c r="A2088" s="53" t="s">
        <v>2158</v>
      </c>
      <c r="B2088" s="53" t="s">
        <v>13</v>
      </c>
      <c r="C2088" s="53" t="s">
        <v>30</v>
      </c>
      <c r="D2088" s="54">
        <v>113020.78</v>
      </c>
      <c r="E2088" s="54" t="str">
        <f t="shared" si="1"/>
        <v>₹1,356,249.36</v>
      </c>
      <c r="F2088" s="55" t="str">
        <f t="shared" si="2"/>
        <v>30.0%</v>
      </c>
      <c r="G2088" s="54" t="str">
        <f t="shared" si="3"/>
        <v>₹406,874.81</v>
      </c>
      <c r="H2088" s="54" t="str">
        <f t="shared" si="4"/>
        <v>₹33,906.23</v>
      </c>
      <c r="I2088" s="54" t="str">
        <f>98677.16-H2088</f>
        <v>₹64,770.93</v>
      </c>
    </row>
    <row r="2089" ht="15.75" customHeight="1">
      <c r="A2089" s="50" t="s">
        <v>2159</v>
      </c>
      <c r="B2089" s="50" t="s">
        <v>17</v>
      </c>
      <c r="C2089" s="50" t="s">
        <v>18</v>
      </c>
      <c r="D2089" s="51">
        <v>113043.96</v>
      </c>
      <c r="E2089" s="51" t="str">
        <f t="shared" si="1"/>
        <v>₹1,356,527.52</v>
      </c>
      <c r="F2089" s="52" t="str">
        <f t="shared" si="2"/>
        <v>30.0%</v>
      </c>
      <c r="G2089" s="51" t="str">
        <f t="shared" si="3"/>
        <v>₹406,958.26</v>
      </c>
      <c r="H2089" s="51" t="str">
        <f t="shared" si="4"/>
        <v>₹33,913.19</v>
      </c>
      <c r="I2089" s="51" t="str">
        <f>98696.94-H2089</f>
        <v>₹64,783.75</v>
      </c>
    </row>
    <row r="2090" ht="15.75" customHeight="1">
      <c r="A2090" s="53" t="s">
        <v>2160</v>
      </c>
      <c r="B2090" s="53" t="s">
        <v>29</v>
      </c>
      <c r="C2090" s="53" t="s">
        <v>54</v>
      </c>
      <c r="D2090" s="54">
        <v>113067.13</v>
      </c>
      <c r="E2090" s="54" t="str">
        <f t="shared" si="1"/>
        <v>₹1,356,805.56</v>
      </c>
      <c r="F2090" s="55" t="str">
        <f t="shared" si="2"/>
        <v>30.0%</v>
      </c>
      <c r="G2090" s="54" t="str">
        <f t="shared" si="3"/>
        <v>₹407,041.67</v>
      </c>
      <c r="H2090" s="54" t="str">
        <f t="shared" si="4"/>
        <v>₹33,920.14</v>
      </c>
      <c r="I2090" s="54" t="str">
        <f>98716.72-H2090</f>
        <v>₹64,796.58</v>
      </c>
    </row>
    <row r="2091" ht="15.75" customHeight="1">
      <c r="A2091" s="50" t="s">
        <v>2161</v>
      </c>
      <c r="B2091" s="50" t="s">
        <v>53</v>
      </c>
      <c r="C2091" s="50" t="s">
        <v>14</v>
      </c>
      <c r="D2091" s="51">
        <v>113090.31</v>
      </c>
      <c r="E2091" s="51" t="str">
        <f t="shared" si="1"/>
        <v>₹1,357,083.72</v>
      </c>
      <c r="F2091" s="52" t="str">
        <f t="shared" si="2"/>
        <v>30.0%</v>
      </c>
      <c r="G2091" s="51" t="str">
        <f t="shared" si="3"/>
        <v>₹407,125.12</v>
      </c>
      <c r="H2091" s="51" t="str">
        <f t="shared" si="4"/>
        <v>₹33,927.09</v>
      </c>
      <c r="I2091" s="51" t="str">
        <f>98736.5-H2091</f>
        <v>₹64,809.41</v>
      </c>
    </row>
    <row r="2092" ht="15.75" customHeight="1">
      <c r="A2092" s="53" t="s">
        <v>2162</v>
      </c>
      <c r="B2092" s="53" t="s">
        <v>17</v>
      </c>
      <c r="C2092" s="53" t="s">
        <v>14</v>
      </c>
      <c r="D2092" s="54">
        <v>113113.49</v>
      </c>
      <c r="E2092" s="54" t="str">
        <f t="shared" si="1"/>
        <v>₹1,357,361.88</v>
      </c>
      <c r="F2092" s="55" t="str">
        <f t="shared" si="2"/>
        <v>30.0%</v>
      </c>
      <c r="G2092" s="54" t="str">
        <f t="shared" si="3"/>
        <v>₹407,208.56</v>
      </c>
      <c r="H2092" s="54" t="str">
        <f t="shared" si="4"/>
        <v>₹33,934.05</v>
      </c>
      <c r="I2092" s="54" t="str">
        <f>98756.28-H2092</f>
        <v>₹64,822.23</v>
      </c>
    </row>
    <row r="2093" ht="15.75" customHeight="1">
      <c r="A2093" s="50" t="s">
        <v>2163</v>
      </c>
      <c r="B2093" s="50" t="s">
        <v>17</v>
      </c>
      <c r="C2093" s="50" t="s">
        <v>26</v>
      </c>
      <c r="D2093" s="51">
        <v>113136.67</v>
      </c>
      <c r="E2093" s="51" t="str">
        <f t="shared" si="1"/>
        <v>₹1,357,640.04</v>
      </c>
      <c r="F2093" s="52" t="str">
        <f t="shared" si="2"/>
        <v>30.0%</v>
      </c>
      <c r="G2093" s="51" t="str">
        <f t="shared" si="3"/>
        <v>₹407,292.01</v>
      </c>
      <c r="H2093" s="51" t="str">
        <f t="shared" si="4"/>
        <v>₹33,941.00</v>
      </c>
      <c r="I2093" s="51" t="str">
        <f>98776.06-H2093</f>
        <v>₹64,835.06</v>
      </c>
    </row>
    <row r="2094" ht="15.75" customHeight="1">
      <c r="A2094" s="53" t="s">
        <v>2164</v>
      </c>
      <c r="B2094" s="53" t="s">
        <v>13</v>
      </c>
      <c r="C2094" s="53" t="s">
        <v>26</v>
      </c>
      <c r="D2094" s="54">
        <v>113159.85</v>
      </c>
      <c r="E2094" s="54" t="str">
        <f t="shared" si="1"/>
        <v>₹1,357,918.20</v>
      </c>
      <c r="F2094" s="55" t="str">
        <f t="shared" si="2"/>
        <v>30.0%</v>
      </c>
      <c r="G2094" s="54" t="str">
        <f t="shared" si="3"/>
        <v>₹407,375.46</v>
      </c>
      <c r="H2094" s="54" t="str">
        <f t="shared" si="4"/>
        <v>₹33,947.96</v>
      </c>
      <c r="I2094" s="54" t="str">
        <f>98795.84-H2094</f>
        <v>₹64,847.89</v>
      </c>
    </row>
    <row r="2095" ht="15.75" customHeight="1">
      <c r="A2095" s="50" t="s">
        <v>2165</v>
      </c>
      <c r="B2095" s="50" t="s">
        <v>29</v>
      </c>
      <c r="C2095" s="50" t="s">
        <v>26</v>
      </c>
      <c r="D2095" s="51">
        <v>113183.02</v>
      </c>
      <c r="E2095" s="51" t="str">
        <f t="shared" si="1"/>
        <v>₹1,358,196.24</v>
      </c>
      <c r="F2095" s="52" t="str">
        <f t="shared" si="2"/>
        <v>30.0%</v>
      </c>
      <c r="G2095" s="51" t="str">
        <f t="shared" si="3"/>
        <v>₹407,458.87</v>
      </c>
      <c r="H2095" s="51" t="str">
        <f t="shared" si="4"/>
        <v>₹33,954.91</v>
      </c>
      <c r="I2095" s="51" t="str">
        <f>98815.62-H2095</f>
        <v>₹64,860.71</v>
      </c>
    </row>
    <row r="2096" ht="15.75" customHeight="1">
      <c r="A2096" s="53" t="s">
        <v>2166</v>
      </c>
      <c r="B2096" s="53" t="s">
        <v>51</v>
      </c>
      <c r="C2096" s="53" t="s">
        <v>18</v>
      </c>
      <c r="D2096" s="54">
        <v>113206.2</v>
      </c>
      <c r="E2096" s="54" t="str">
        <f t="shared" si="1"/>
        <v>₹1,358,474.40</v>
      </c>
      <c r="F2096" s="55" t="str">
        <f t="shared" si="2"/>
        <v>30.0%</v>
      </c>
      <c r="G2096" s="54" t="str">
        <f t="shared" si="3"/>
        <v>₹407,542.32</v>
      </c>
      <c r="H2096" s="54" t="str">
        <f t="shared" si="4"/>
        <v>₹33,961.86</v>
      </c>
      <c r="I2096" s="54" t="str">
        <f>98835.4-H2096</f>
        <v>₹64,873.54</v>
      </c>
    </row>
    <row r="2097" ht="15.75" customHeight="1">
      <c r="A2097" s="50" t="s">
        <v>2167</v>
      </c>
      <c r="B2097" s="50" t="s">
        <v>25</v>
      </c>
      <c r="C2097" s="50" t="s">
        <v>54</v>
      </c>
      <c r="D2097" s="51">
        <v>113229.38</v>
      </c>
      <c r="E2097" s="51" t="str">
        <f t="shared" si="1"/>
        <v>₹1,358,752.56</v>
      </c>
      <c r="F2097" s="52" t="str">
        <f t="shared" si="2"/>
        <v>30.0%</v>
      </c>
      <c r="G2097" s="51" t="str">
        <f t="shared" si="3"/>
        <v>₹407,625.77</v>
      </c>
      <c r="H2097" s="51" t="str">
        <f t="shared" si="4"/>
        <v>₹33,968.81</v>
      </c>
      <c r="I2097" s="51" t="str">
        <f>98855.18-H2097</f>
        <v>₹64,886.37</v>
      </c>
    </row>
    <row r="2098" ht="15.75" customHeight="1">
      <c r="A2098" s="53" t="s">
        <v>2168</v>
      </c>
      <c r="B2098" s="53" t="s">
        <v>53</v>
      </c>
      <c r="C2098" s="53" t="s">
        <v>30</v>
      </c>
      <c r="D2098" s="54">
        <v>113252.56</v>
      </c>
      <c r="E2098" s="54" t="str">
        <f t="shared" si="1"/>
        <v>₹1,359,030.72</v>
      </c>
      <c r="F2098" s="55" t="str">
        <f t="shared" si="2"/>
        <v>30.0%</v>
      </c>
      <c r="G2098" s="54" t="str">
        <f t="shared" si="3"/>
        <v>₹407,709.22</v>
      </c>
      <c r="H2098" s="54" t="str">
        <f t="shared" si="4"/>
        <v>₹33,975.77</v>
      </c>
      <c r="I2098" s="54" t="str">
        <f>98874.96-H2098</f>
        <v>₹64,899.19</v>
      </c>
    </row>
    <row r="2099" ht="15.75" customHeight="1">
      <c r="A2099" s="50" t="s">
        <v>2169</v>
      </c>
      <c r="B2099" s="50" t="s">
        <v>36</v>
      </c>
      <c r="C2099" s="50" t="s">
        <v>54</v>
      </c>
      <c r="D2099" s="51">
        <v>113275.73</v>
      </c>
      <c r="E2099" s="51" t="str">
        <f t="shared" si="1"/>
        <v>₹1,359,308.76</v>
      </c>
      <c r="F2099" s="52" t="str">
        <f t="shared" si="2"/>
        <v>30.0%</v>
      </c>
      <c r="G2099" s="51" t="str">
        <f t="shared" si="3"/>
        <v>₹407,792.63</v>
      </c>
      <c r="H2099" s="51" t="str">
        <f t="shared" si="4"/>
        <v>₹33,982.72</v>
      </c>
      <c r="I2099" s="51" t="str">
        <f>98894.74-H2099</f>
        <v>₹64,912.02</v>
      </c>
    </row>
    <row r="2100" ht="15.75" customHeight="1">
      <c r="A2100" s="53" t="s">
        <v>2170</v>
      </c>
      <c r="B2100" s="53" t="s">
        <v>13</v>
      </c>
      <c r="C2100" s="53" t="s">
        <v>33</v>
      </c>
      <c r="D2100" s="54">
        <v>113322.09</v>
      </c>
      <c r="E2100" s="54" t="str">
        <f t="shared" si="1"/>
        <v>₹1,359,865.08</v>
      </c>
      <c r="F2100" s="55" t="str">
        <f t="shared" si="2"/>
        <v>30.0%</v>
      </c>
      <c r="G2100" s="54" t="str">
        <f t="shared" si="3"/>
        <v>₹407,959.52</v>
      </c>
      <c r="H2100" s="54" t="str">
        <f t="shared" si="4"/>
        <v>₹33,996.63</v>
      </c>
      <c r="I2100" s="54" t="str">
        <f>98934.3-H2100</f>
        <v>₹64,937.67</v>
      </c>
    </row>
    <row r="2101" ht="15.75" customHeight="1">
      <c r="A2101" s="50" t="s">
        <v>2171</v>
      </c>
      <c r="B2101" s="50" t="s">
        <v>53</v>
      </c>
      <c r="C2101" s="50" t="s">
        <v>26</v>
      </c>
      <c r="D2101" s="51">
        <v>113345.27</v>
      </c>
      <c r="E2101" s="51" t="str">
        <f t="shared" si="1"/>
        <v>₹1,360,143.24</v>
      </c>
      <c r="F2101" s="52" t="str">
        <f t="shared" si="2"/>
        <v>30.0%</v>
      </c>
      <c r="G2101" s="51" t="str">
        <f t="shared" si="3"/>
        <v>₹408,042.97</v>
      </c>
      <c r="H2101" s="51" t="str">
        <f t="shared" si="4"/>
        <v>₹34,003.58</v>
      </c>
      <c r="I2101" s="51" t="str">
        <f>98954.08-H2101</f>
        <v>₹64,950.50</v>
      </c>
    </row>
    <row r="2102" ht="15.75" customHeight="1">
      <c r="A2102" s="53" t="s">
        <v>2172</v>
      </c>
      <c r="B2102" s="53" t="s">
        <v>17</v>
      </c>
      <c r="C2102" s="53" t="s">
        <v>18</v>
      </c>
      <c r="D2102" s="54">
        <v>113368.44</v>
      </c>
      <c r="E2102" s="54" t="str">
        <f t="shared" si="1"/>
        <v>₹1,360,421.28</v>
      </c>
      <c r="F2102" s="55" t="str">
        <f t="shared" si="2"/>
        <v>30.0%</v>
      </c>
      <c r="G2102" s="54" t="str">
        <f t="shared" si="3"/>
        <v>₹408,126.38</v>
      </c>
      <c r="H2102" s="54" t="str">
        <f t="shared" si="4"/>
        <v>₹34,010.53</v>
      </c>
      <c r="I2102" s="54" t="str">
        <f>98973.86-H2102</f>
        <v>₹64,963.33</v>
      </c>
    </row>
    <row r="2103" ht="15.75" customHeight="1">
      <c r="A2103" s="50" t="s">
        <v>2173</v>
      </c>
      <c r="B2103" s="50" t="s">
        <v>13</v>
      </c>
      <c r="C2103" s="50" t="s">
        <v>30</v>
      </c>
      <c r="D2103" s="51">
        <v>113391.62</v>
      </c>
      <c r="E2103" s="51" t="str">
        <f t="shared" si="1"/>
        <v>₹1,360,699.44</v>
      </c>
      <c r="F2103" s="52" t="str">
        <f t="shared" si="2"/>
        <v>30.0%</v>
      </c>
      <c r="G2103" s="51" t="str">
        <f t="shared" si="3"/>
        <v>₹408,209.83</v>
      </c>
      <c r="H2103" s="51" t="str">
        <f t="shared" si="4"/>
        <v>₹34,017.49</v>
      </c>
      <c r="I2103" s="51" t="str">
        <f>98993.64-H2103</f>
        <v>₹64,976.15</v>
      </c>
    </row>
    <row r="2104" ht="15.75" customHeight="1">
      <c r="A2104" s="53" t="s">
        <v>2174</v>
      </c>
      <c r="B2104" s="53" t="s">
        <v>53</v>
      </c>
      <c r="C2104" s="53" t="s">
        <v>14</v>
      </c>
      <c r="D2104" s="54">
        <v>113414.8</v>
      </c>
      <c r="E2104" s="54" t="str">
        <f t="shared" si="1"/>
        <v>₹1,360,977.60</v>
      </c>
      <c r="F2104" s="55" t="str">
        <f t="shared" si="2"/>
        <v>30.0%</v>
      </c>
      <c r="G2104" s="54" t="str">
        <f t="shared" si="3"/>
        <v>₹408,293.28</v>
      </c>
      <c r="H2104" s="54" t="str">
        <f t="shared" si="4"/>
        <v>₹34,024.44</v>
      </c>
      <c r="I2104" s="54" t="str">
        <f>99013.42-H2104</f>
        <v>₹64,988.98</v>
      </c>
    </row>
    <row r="2105" ht="15.75" customHeight="1">
      <c r="A2105" s="50" t="s">
        <v>2175</v>
      </c>
      <c r="B2105" s="50" t="s">
        <v>17</v>
      </c>
      <c r="C2105" s="50" t="s">
        <v>37</v>
      </c>
      <c r="D2105" s="51">
        <v>113437.98</v>
      </c>
      <c r="E2105" s="51" t="str">
        <f t="shared" si="1"/>
        <v>₹1,361,255.76</v>
      </c>
      <c r="F2105" s="52" t="str">
        <f t="shared" si="2"/>
        <v>30.0%</v>
      </c>
      <c r="G2105" s="51" t="str">
        <f t="shared" si="3"/>
        <v>₹408,376.73</v>
      </c>
      <c r="H2105" s="51" t="str">
        <f t="shared" si="4"/>
        <v>₹34,031.39</v>
      </c>
      <c r="I2105" s="51" t="str">
        <f>99033.2-H2105</f>
        <v>₹65,001.81</v>
      </c>
    </row>
    <row r="2106" ht="15.75" customHeight="1">
      <c r="A2106" s="53" t="s">
        <v>2176</v>
      </c>
      <c r="B2106" s="53" t="s">
        <v>51</v>
      </c>
      <c r="C2106" s="53" t="s">
        <v>14</v>
      </c>
      <c r="D2106" s="54">
        <v>113461.16</v>
      </c>
      <c r="E2106" s="54" t="str">
        <f t="shared" si="1"/>
        <v>₹1,361,533.92</v>
      </c>
      <c r="F2106" s="55" t="str">
        <f t="shared" si="2"/>
        <v>30.0%</v>
      </c>
      <c r="G2106" s="54" t="str">
        <f t="shared" si="3"/>
        <v>₹408,460.18</v>
      </c>
      <c r="H2106" s="54" t="str">
        <f t="shared" si="4"/>
        <v>₹34,038.35</v>
      </c>
      <c r="I2106" s="54" t="str">
        <f>99052.99-H2106</f>
        <v>₹65,014.64</v>
      </c>
    </row>
    <row r="2107" ht="15.75" customHeight="1">
      <c r="A2107" s="50" t="s">
        <v>2177</v>
      </c>
      <c r="B2107" s="50" t="s">
        <v>13</v>
      </c>
      <c r="C2107" s="50" t="s">
        <v>18</v>
      </c>
      <c r="D2107" s="51">
        <v>113484.33</v>
      </c>
      <c r="E2107" s="51" t="str">
        <f t="shared" si="1"/>
        <v>₹1,361,811.96</v>
      </c>
      <c r="F2107" s="52" t="str">
        <f t="shared" si="2"/>
        <v>30.0%</v>
      </c>
      <c r="G2107" s="51" t="str">
        <f t="shared" si="3"/>
        <v>₹408,543.59</v>
      </c>
      <c r="H2107" s="51" t="str">
        <f t="shared" si="4"/>
        <v>₹34,045.30</v>
      </c>
      <c r="I2107" s="51" t="str">
        <f>99072.76-H2107</f>
        <v>₹65,027.46</v>
      </c>
    </row>
    <row r="2108" ht="15.75" customHeight="1">
      <c r="A2108" s="53" t="s">
        <v>2178</v>
      </c>
      <c r="B2108" s="53" t="s">
        <v>25</v>
      </c>
      <c r="C2108" s="53" t="s">
        <v>18</v>
      </c>
      <c r="D2108" s="54">
        <v>113507.51</v>
      </c>
      <c r="E2108" s="54" t="str">
        <f t="shared" si="1"/>
        <v>₹1,362,090.12</v>
      </c>
      <c r="F2108" s="55" t="str">
        <f t="shared" si="2"/>
        <v>30.0%</v>
      </c>
      <c r="G2108" s="54" t="str">
        <f t="shared" si="3"/>
        <v>₹408,627.04</v>
      </c>
      <c r="H2108" s="54" t="str">
        <f t="shared" si="4"/>
        <v>₹34,052.25</v>
      </c>
      <c r="I2108" s="54" t="str">
        <f>99092.54-H2108</f>
        <v>₹65,040.29</v>
      </c>
    </row>
    <row r="2109" ht="15.75" customHeight="1">
      <c r="A2109" s="50" t="s">
        <v>2179</v>
      </c>
      <c r="B2109" s="50" t="s">
        <v>51</v>
      </c>
      <c r="C2109" s="50" t="s">
        <v>37</v>
      </c>
      <c r="D2109" s="51">
        <v>113530.69</v>
      </c>
      <c r="E2109" s="51" t="str">
        <f t="shared" si="1"/>
        <v>₹1,362,368.28</v>
      </c>
      <c r="F2109" s="52" t="str">
        <f t="shared" si="2"/>
        <v>30.0%</v>
      </c>
      <c r="G2109" s="51" t="str">
        <f t="shared" si="3"/>
        <v>₹408,710.48</v>
      </c>
      <c r="H2109" s="51" t="str">
        <f t="shared" si="4"/>
        <v>₹34,059.21</v>
      </c>
      <c r="I2109" s="51" t="str">
        <f>99112.32-H2109</f>
        <v>₹65,053.11</v>
      </c>
    </row>
    <row r="2110" ht="15.75" customHeight="1">
      <c r="A2110" s="53" t="s">
        <v>2180</v>
      </c>
      <c r="B2110" s="53" t="s">
        <v>17</v>
      </c>
      <c r="C2110" s="53" t="s">
        <v>37</v>
      </c>
      <c r="D2110" s="54">
        <v>113820.92</v>
      </c>
      <c r="E2110" s="54" t="str">
        <f t="shared" si="1"/>
        <v>₹1,365,851.04</v>
      </c>
      <c r="F2110" s="55" t="str">
        <f t="shared" si="2"/>
        <v>30.0%</v>
      </c>
      <c r="G2110" s="54" t="str">
        <f t="shared" si="3"/>
        <v>₹409,755.31</v>
      </c>
      <c r="H2110" s="54" t="str">
        <f t="shared" si="4"/>
        <v>₹34,146.28</v>
      </c>
      <c r="I2110" s="54" t="str">
        <f>99399.16-H2110</f>
        <v>₹65,252.88</v>
      </c>
    </row>
    <row r="2111" ht="15.75" customHeight="1">
      <c r="A2111" s="50" t="s">
        <v>2181</v>
      </c>
      <c r="B2111" s="50" t="s">
        <v>36</v>
      </c>
      <c r="C2111" s="50" t="s">
        <v>54</v>
      </c>
      <c r="D2111" s="51">
        <v>113577.04</v>
      </c>
      <c r="E2111" s="51" t="str">
        <f t="shared" si="1"/>
        <v>₹1,362,924.48</v>
      </c>
      <c r="F2111" s="52" t="str">
        <f t="shared" si="2"/>
        <v>30.0%</v>
      </c>
      <c r="G2111" s="51" t="str">
        <f t="shared" si="3"/>
        <v>₹408,877.34</v>
      </c>
      <c r="H2111" s="51" t="str">
        <f t="shared" si="4"/>
        <v>₹34,073.11</v>
      </c>
      <c r="I2111" s="51" t="str">
        <f>99151.88-H2111</f>
        <v>₹65,078.77</v>
      </c>
    </row>
    <row r="2112" ht="15.75" customHeight="1">
      <c r="A2112" s="53" t="s">
        <v>2182</v>
      </c>
      <c r="B2112" s="53" t="s">
        <v>51</v>
      </c>
      <c r="C2112" s="53" t="s">
        <v>54</v>
      </c>
      <c r="D2112" s="54">
        <v>113600.22</v>
      </c>
      <c r="E2112" s="54" t="str">
        <f t="shared" si="1"/>
        <v>₹1,363,202.64</v>
      </c>
      <c r="F2112" s="55" t="str">
        <f t="shared" si="2"/>
        <v>30.0%</v>
      </c>
      <c r="G2112" s="54" t="str">
        <f t="shared" si="3"/>
        <v>₹408,960.79</v>
      </c>
      <c r="H2112" s="54" t="str">
        <f t="shared" si="4"/>
        <v>₹34,080.07</v>
      </c>
      <c r="I2112" s="54" t="str">
        <f>99171.66-H2112</f>
        <v>₹65,091.59</v>
      </c>
    </row>
    <row r="2113" ht="15.75" customHeight="1">
      <c r="A2113" s="50" t="s">
        <v>2183</v>
      </c>
      <c r="B2113" s="50" t="s">
        <v>51</v>
      </c>
      <c r="C2113" s="50" t="s">
        <v>37</v>
      </c>
      <c r="D2113" s="51">
        <v>113623.4</v>
      </c>
      <c r="E2113" s="51" t="str">
        <f t="shared" si="1"/>
        <v>₹1,363,480.80</v>
      </c>
      <c r="F2113" s="52" t="str">
        <f t="shared" si="2"/>
        <v>30.0%</v>
      </c>
      <c r="G2113" s="51" t="str">
        <f t="shared" si="3"/>
        <v>₹409,044.24</v>
      </c>
      <c r="H2113" s="51" t="str">
        <f t="shared" si="4"/>
        <v>₹34,087.02</v>
      </c>
      <c r="I2113" s="51" t="str">
        <f>99191.44-H2113</f>
        <v>₹65,104.42</v>
      </c>
    </row>
    <row r="2114" ht="15.75" customHeight="1">
      <c r="A2114" s="53" t="s">
        <v>2184</v>
      </c>
      <c r="B2114" s="53" t="s">
        <v>36</v>
      </c>
      <c r="C2114" s="53" t="s">
        <v>33</v>
      </c>
      <c r="D2114" s="54">
        <v>113646.58</v>
      </c>
      <c r="E2114" s="54" t="str">
        <f t="shared" si="1"/>
        <v>₹1,363,758.96</v>
      </c>
      <c r="F2114" s="55" t="str">
        <f t="shared" si="2"/>
        <v>30.0%</v>
      </c>
      <c r="G2114" s="54" t="str">
        <f t="shared" si="3"/>
        <v>₹409,127.69</v>
      </c>
      <c r="H2114" s="54" t="str">
        <f t="shared" si="4"/>
        <v>₹34,093.97</v>
      </c>
      <c r="I2114" s="54" t="str">
        <f>99211.23-H2114</f>
        <v>₹65,117.26</v>
      </c>
    </row>
    <row r="2115" ht="15.75" customHeight="1">
      <c r="A2115" s="50" t="s">
        <v>2185</v>
      </c>
      <c r="B2115" s="50" t="s">
        <v>13</v>
      </c>
      <c r="C2115" s="50" t="s">
        <v>26</v>
      </c>
      <c r="D2115" s="51">
        <v>113669.75</v>
      </c>
      <c r="E2115" s="51" t="str">
        <f t="shared" si="1"/>
        <v>₹1,364,037.00</v>
      </c>
      <c r="F2115" s="52" t="str">
        <f t="shared" si="2"/>
        <v>30.0%</v>
      </c>
      <c r="G2115" s="51" t="str">
        <f t="shared" si="3"/>
        <v>₹409,211.10</v>
      </c>
      <c r="H2115" s="51" t="str">
        <f t="shared" si="4"/>
        <v>₹34,100.93</v>
      </c>
      <c r="I2115" s="51" t="str">
        <f>99231-H2115</f>
        <v>₹65,130.08</v>
      </c>
    </row>
    <row r="2116" ht="15.75" customHeight="1">
      <c r="A2116" s="53" t="s">
        <v>2186</v>
      </c>
      <c r="B2116" s="53" t="s">
        <v>29</v>
      </c>
      <c r="C2116" s="53" t="s">
        <v>26</v>
      </c>
      <c r="D2116" s="54">
        <v>113692.93</v>
      </c>
      <c r="E2116" s="54" t="str">
        <f t="shared" si="1"/>
        <v>₹1,364,315.16</v>
      </c>
      <c r="F2116" s="55" t="str">
        <f t="shared" si="2"/>
        <v>30.0%</v>
      </c>
      <c r="G2116" s="54" t="str">
        <f t="shared" si="3"/>
        <v>₹409,294.55</v>
      </c>
      <c r="H2116" s="54" t="str">
        <f t="shared" si="4"/>
        <v>₹34,107.88</v>
      </c>
      <c r="I2116" s="54" t="str">
        <f>99250.78-H2116</f>
        <v>₹65,142.90</v>
      </c>
    </row>
    <row r="2117" ht="15.75" customHeight="1">
      <c r="A2117" s="50" t="s">
        <v>2187</v>
      </c>
      <c r="B2117" s="50" t="s">
        <v>17</v>
      </c>
      <c r="C2117" s="50" t="s">
        <v>33</v>
      </c>
      <c r="D2117" s="51">
        <v>113716.11</v>
      </c>
      <c r="E2117" s="51" t="str">
        <f t="shared" si="1"/>
        <v>₹1,364,593.32</v>
      </c>
      <c r="F2117" s="52" t="str">
        <f t="shared" si="2"/>
        <v>30.0%</v>
      </c>
      <c r="G2117" s="51" t="str">
        <f t="shared" si="3"/>
        <v>₹409,378.00</v>
      </c>
      <c r="H2117" s="51" t="str">
        <f t="shared" si="4"/>
        <v>₹34,114.83</v>
      </c>
      <c r="I2117" s="51" t="str">
        <f>99270.56-H2117</f>
        <v>₹65,155.73</v>
      </c>
    </row>
    <row r="2118" ht="15.75" customHeight="1">
      <c r="A2118" s="53" t="s">
        <v>2188</v>
      </c>
      <c r="B2118" s="53" t="s">
        <v>53</v>
      </c>
      <c r="C2118" s="53" t="s">
        <v>54</v>
      </c>
      <c r="D2118" s="54">
        <v>113762.47</v>
      </c>
      <c r="E2118" s="54" t="str">
        <f t="shared" si="1"/>
        <v>₹1,365,149.64</v>
      </c>
      <c r="F2118" s="55" t="str">
        <f t="shared" si="2"/>
        <v>30.0%</v>
      </c>
      <c r="G2118" s="54" t="str">
        <f t="shared" si="3"/>
        <v>₹409,544.89</v>
      </c>
      <c r="H2118" s="54" t="str">
        <f t="shared" si="4"/>
        <v>₹34,128.74</v>
      </c>
      <c r="I2118" s="54" t="str">
        <f>99310.13-H2118</f>
        <v>₹65,181.39</v>
      </c>
    </row>
    <row r="2119" ht="15.75" customHeight="1">
      <c r="A2119" s="50" t="s">
        <v>2189</v>
      </c>
      <c r="B2119" s="50" t="s">
        <v>29</v>
      </c>
      <c r="C2119" s="50" t="s">
        <v>30</v>
      </c>
      <c r="D2119" s="51">
        <v>113785.64</v>
      </c>
      <c r="E2119" s="51" t="str">
        <f t="shared" si="1"/>
        <v>₹1,365,427.68</v>
      </c>
      <c r="F2119" s="52" t="str">
        <f t="shared" si="2"/>
        <v>30.0%</v>
      </c>
      <c r="G2119" s="51" t="str">
        <f t="shared" si="3"/>
        <v>₹409,628.30</v>
      </c>
      <c r="H2119" s="51" t="str">
        <f t="shared" si="4"/>
        <v>₹34,135.69</v>
      </c>
      <c r="I2119" s="51" t="str">
        <f>99329.9-H2119</f>
        <v>₹65,194.21</v>
      </c>
    </row>
    <row r="2120" ht="15.75" customHeight="1">
      <c r="A2120" s="53" t="s">
        <v>2190</v>
      </c>
      <c r="B2120" s="53" t="s">
        <v>29</v>
      </c>
      <c r="C2120" s="53" t="s">
        <v>37</v>
      </c>
      <c r="D2120" s="54">
        <v>113808.82</v>
      </c>
      <c r="E2120" s="54" t="str">
        <f t="shared" si="1"/>
        <v>₹1,365,705.84</v>
      </c>
      <c r="F2120" s="55" t="str">
        <f t="shared" si="2"/>
        <v>30.0%</v>
      </c>
      <c r="G2120" s="54" t="str">
        <f t="shared" si="3"/>
        <v>₹409,711.75</v>
      </c>
      <c r="H2120" s="54" t="str">
        <f t="shared" si="4"/>
        <v>₹34,142.65</v>
      </c>
      <c r="I2120" s="54" t="str">
        <f>99349.68-H2120</f>
        <v>₹65,207.03</v>
      </c>
    </row>
    <row r="2121" ht="15.75" customHeight="1">
      <c r="A2121" s="50" t="s">
        <v>2191</v>
      </c>
      <c r="B2121" s="50" t="s">
        <v>29</v>
      </c>
      <c r="C2121" s="50" t="s">
        <v>18</v>
      </c>
      <c r="D2121" s="51">
        <v>113832.0</v>
      </c>
      <c r="E2121" s="51" t="str">
        <f t="shared" si="1"/>
        <v>₹1,365,984.00</v>
      </c>
      <c r="F2121" s="52" t="str">
        <f t="shared" si="2"/>
        <v>30.0%</v>
      </c>
      <c r="G2121" s="51" t="str">
        <f t="shared" si="3"/>
        <v>₹409,795.20</v>
      </c>
      <c r="H2121" s="51" t="str">
        <f t="shared" si="4"/>
        <v>₹34,149.60</v>
      </c>
      <c r="I2121" s="51" t="str">
        <f>99369.47-H2121</f>
        <v>₹65,219.87</v>
      </c>
    </row>
    <row r="2122" ht="15.75" customHeight="1">
      <c r="A2122" s="53" t="s">
        <v>2192</v>
      </c>
      <c r="B2122" s="53" t="s">
        <v>29</v>
      </c>
      <c r="C2122" s="53" t="s">
        <v>33</v>
      </c>
      <c r="D2122" s="54">
        <v>113855.18</v>
      </c>
      <c r="E2122" s="54" t="str">
        <f t="shared" si="1"/>
        <v>₹1,366,262.16</v>
      </c>
      <c r="F2122" s="55" t="str">
        <f t="shared" si="2"/>
        <v>30.0%</v>
      </c>
      <c r="G2122" s="54" t="str">
        <f t="shared" si="3"/>
        <v>₹409,878.65</v>
      </c>
      <c r="H2122" s="54" t="str">
        <f t="shared" si="4"/>
        <v>₹34,156.55</v>
      </c>
      <c r="I2122" s="54" t="str">
        <f>99389.25-H2122</f>
        <v>₹65,232.70</v>
      </c>
    </row>
    <row r="2123" ht="15.75" customHeight="1">
      <c r="A2123" s="50" t="s">
        <v>2193</v>
      </c>
      <c r="B2123" s="50" t="s">
        <v>17</v>
      </c>
      <c r="C2123" s="50" t="s">
        <v>30</v>
      </c>
      <c r="D2123" s="51">
        <v>113878.35</v>
      </c>
      <c r="E2123" s="51" t="str">
        <f t="shared" si="1"/>
        <v>₹1,366,540.20</v>
      </c>
      <c r="F2123" s="52" t="str">
        <f t="shared" si="2"/>
        <v>30.0%</v>
      </c>
      <c r="G2123" s="51" t="str">
        <f t="shared" si="3"/>
        <v>₹409,962.06</v>
      </c>
      <c r="H2123" s="51" t="str">
        <f t="shared" si="4"/>
        <v>₹34,163.51</v>
      </c>
      <c r="I2123" s="51" t="str">
        <f>99409.02-H2123</f>
        <v>₹65,245.52</v>
      </c>
    </row>
    <row r="2124" ht="15.75" customHeight="1">
      <c r="A2124" s="53" t="s">
        <v>2194</v>
      </c>
      <c r="B2124" s="53" t="s">
        <v>25</v>
      </c>
      <c r="C2124" s="53" t="s">
        <v>33</v>
      </c>
      <c r="D2124" s="54">
        <v>113901.53</v>
      </c>
      <c r="E2124" s="54" t="str">
        <f t="shared" si="1"/>
        <v>₹1,366,818.36</v>
      </c>
      <c r="F2124" s="55" t="str">
        <f t="shared" si="2"/>
        <v>30.0%</v>
      </c>
      <c r="G2124" s="54" t="str">
        <f t="shared" si="3"/>
        <v>₹410,045.51</v>
      </c>
      <c r="H2124" s="54" t="str">
        <f t="shared" si="4"/>
        <v>₹34,170.46</v>
      </c>
      <c r="I2124" s="54" t="str">
        <f>99428.8-H2124</f>
        <v>₹65,258.34</v>
      </c>
    </row>
    <row r="2125" ht="15.75" customHeight="1">
      <c r="A2125" s="50" t="s">
        <v>2195</v>
      </c>
      <c r="B2125" s="50" t="s">
        <v>51</v>
      </c>
      <c r="C2125" s="50" t="s">
        <v>33</v>
      </c>
      <c r="D2125" s="51">
        <v>113924.71</v>
      </c>
      <c r="E2125" s="51" t="str">
        <f t="shared" si="1"/>
        <v>₹1,367,096.52</v>
      </c>
      <c r="F2125" s="52" t="str">
        <f t="shared" si="2"/>
        <v>30.0%</v>
      </c>
      <c r="G2125" s="51" t="str">
        <f t="shared" si="3"/>
        <v>₹410,128.96</v>
      </c>
      <c r="H2125" s="51" t="str">
        <f t="shared" si="4"/>
        <v>₹34,177.41</v>
      </c>
      <c r="I2125" s="51" t="str">
        <f>99448.59-H2125</f>
        <v>₹65,271.18</v>
      </c>
    </row>
    <row r="2126" ht="15.75" customHeight="1">
      <c r="A2126" s="53" t="s">
        <v>2196</v>
      </c>
      <c r="B2126" s="53" t="s">
        <v>36</v>
      </c>
      <c r="C2126" s="53" t="s">
        <v>26</v>
      </c>
      <c r="D2126" s="54">
        <v>113971.06</v>
      </c>
      <c r="E2126" s="54" t="str">
        <f t="shared" si="1"/>
        <v>₹1,367,652.72</v>
      </c>
      <c r="F2126" s="55" t="str">
        <f t="shared" si="2"/>
        <v>30.0%</v>
      </c>
      <c r="G2126" s="54" t="str">
        <f t="shared" si="3"/>
        <v>₹410,295.82</v>
      </c>
      <c r="H2126" s="54" t="str">
        <f t="shared" si="4"/>
        <v>₹34,191.32</v>
      </c>
      <c r="I2126" s="54" t="str">
        <f>99488.14-H2126</f>
        <v>₹65,296.82</v>
      </c>
    </row>
    <row r="2127" ht="15.75" customHeight="1">
      <c r="A2127" s="50" t="s">
        <v>2197</v>
      </c>
      <c r="B2127" s="50" t="s">
        <v>25</v>
      </c>
      <c r="C2127" s="50" t="s">
        <v>54</v>
      </c>
      <c r="D2127" s="51">
        <v>114017.42</v>
      </c>
      <c r="E2127" s="51" t="str">
        <f t="shared" si="1"/>
        <v>₹1,368,209.04</v>
      </c>
      <c r="F2127" s="52" t="str">
        <f t="shared" si="2"/>
        <v>30.0%</v>
      </c>
      <c r="G2127" s="51" t="str">
        <f t="shared" si="3"/>
        <v>₹410,462.71</v>
      </c>
      <c r="H2127" s="51" t="str">
        <f t="shared" si="4"/>
        <v>₹34,205.23</v>
      </c>
      <c r="I2127" s="51" t="str">
        <f>99527.71-H2127</f>
        <v>₹65,322.48</v>
      </c>
    </row>
    <row r="2128" ht="15.75" customHeight="1">
      <c r="A2128" s="53" t="s">
        <v>2198</v>
      </c>
      <c r="B2128" s="53" t="s">
        <v>25</v>
      </c>
      <c r="C2128" s="53" t="s">
        <v>37</v>
      </c>
      <c r="D2128" s="54">
        <v>114040.6</v>
      </c>
      <c r="E2128" s="54" t="str">
        <f t="shared" si="1"/>
        <v>₹1,368,487.20</v>
      </c>
      <c r="F2128" s="55" t="str">
        <f t="shared" si="2"/>
        <v>30.0%</v>
      </c>
      <c r="G2128" s="54" t="str">
        <f t="shared" si="3"/>
        <v>₹410,546.16</v>
      </c>
      <c r="H2128" s="54" t="str">
        <f t="shared" si="4"/>
        <v>₹34,212.18</v>
      </c>
      <c r="I2128" s="54" t="str">
        <f>99547.49-H2128</f>
        <v>₹65,335.31</v>
      </c>
    </row>
    <row r="2129" ht="15.75" customHeight="1">
      <c r="A2129" s="50" t="s">
        <v>2199</v>
      </c>
      <c r="B2129" s="50" t="s">
        <v>53</v>
      </c>
      <c r="C2129" s="50" t="s">
        <v>54</v>
      </c>
      <c r="D2129" s="51">
        <v>114063.78</v>
      </c>
      <c r="E2129" s="51" t="str">
        <f t="shared" si="1"/>
        <v>₹1,368,765.36</v>
      </c>
      <c r="F2129" s="52" t="str">
        <f t="shared" si="2"/>
        <v>30.0%</v>
      </c>
      <c r="G2129" s="51" t="str">
        <f t="shared" si="3"/>
        <v>₹410,629.61</v>
      </c>
      <c r="H2129" s="51" t="str">
        <f t="shared" si="4"/>
        <v>₹34,219.13</v>
      </c>
      <c r="I2129" s="51" t="str">
        <f>99567.27-H2129</f>
        <v>₹65,348.14</v>
      </c>
    </row>
    <row r="2130" ht="15.75" customHeight="1">
      <c r="A2130" s="53" t="s">
        <v>2200</v>
      </c>
      <c r="B2130" s="53" t="s">
        <v>13</v>
      </c>
      <c r="C2130" s="53" t="s">
        <v>54</v>
      </c>
      <c r="D2130" s="54">
        <v>114086.95</v>
      </c>
      <c r="E2130" s="54" t="str">
        <f t="shared" si="1"/>
        <v>₹1,369,043.40</v>
      </c>
      <c r="F2130" s="55" t="str">
        <f t="shared" si="2"/>
        <v>30.0%</v>
      </c>
      <c r="G2130" s="54" t="str">
        <f t="shared" si="3"/>
        <v>₹410,713.02</v>
      </c>
      <c r="H2130" s="54" t="str">
        <f t="shared" si="4"/>
        <v>₹34,226.09</v>
      </c>
      <c r="I2130" s="54" t="str">
        <f>99587.04-H2130</f>
        <v>₹65,360.96</v>
      </c>
    </row>
    <row r="2131" ht="15.75" customHeight="1">
      <c r="A2131" s="50" t="s">
        <v>2201</v>
      </c>
      <c r="B2131" s="50" t="s">
        <v>13</v>
      </c>
      <c r="C2131" s="50" t="s">
        <v>37</v>
      </c>
      <c r="D2131" s="51">
        <v>114110.13</v>
      </c>
      <c r="E2131" s="51" t="str">
        <f t="shared" si="1"/>
        <v>₹1,369,321.56</v>
      </c>
      <c r="F2131" s="52" t="str">
        <f t="shared" si="2"/>
        <v>30.0%</v>
      </c>
      <c r="G2131" s="51" t="str">
        <f t="shared" si="3"/>
        <v>₹410,796.47</v>
      </c>
      <c r="H2131" s="51" t="str">
        <f t="shared" si="4"/>
        <v>₹34,233.04</v>
      </c>
      <c r="I2131" s="51" t="str">
        <f>99606.83-H2131</f>
        <v>₹65,373.79</v>
      </c>
    </row>
    <row r="2132" ht="15.75" customHeight="1">
      <c r="A2132" s="53" t="s">
        <v>2202</v>
      </c>
      <c r="B2132" s="53" t="s">
        <v>53</v>
      </c>
      <c r="C2132" s="53" t="s">
        <v>30</v>
      </c>
      <c r="D2132" s="54">
        <v>114133.31</v>
      </c>
      <c r="E2132" s="54" t="str">
        <f t="shared" si="1"/>
        <v>₹1,369,599.72</v>
      </c>
      <c r="F2132" s="55" t="str">
        <f t="shared" si="2"/>
        <v>30.0%</v>
      </c>
      <c r="G2132" s="54" t="str">
        <f t="shared" si="3"/>
        <v>₹410,879.92</v>
      </c>
      <c r="H2132" s="54" t="str">
        <f t="shared" si="4"/>
        <v>₹34,239.99</v>
      </c>
      <c r="I2132" s="54" t="str">
        <f>99626.61-H2132</f>
        <v>₹65,386.62</v>
      </c>
    </row>
    <row r="2133" ht="15.75" customHeight="1">
      <c r="A2133" s="50" t="s">
        <v>2203</v>
      </c>
      <c r="B2133" s="50" t="s">
        <v>29</v>
      </c>
      <c r="C2133" s="50" t="s">
        <v>30</v>
      </c>
      <c r="D2133" s="51">
        <v>114156.49</v>
      </c>
      <c r="E2133" s="51" t="str">
        <f t="shared" si="1"/>
        <v>₹1,369,877.88</v>
      </c>
      <c r="F2133" s="52" t="str">
        <f t="shared" si="2"/>
        <v>30.0%</v>
      </c>
      <c r="G2133" s="51" t="str">
        <f t="shared" si="3"/>
        <v>₹410,963.36</v>
      </c>
      <c r="H2133" s="51" t="str">
        <f t="shared" si="4"/>
        <v>₹34,246.95</v>
      </c>
      <c r="I2133" s="51" t="str">
        <f>99646.39-H2133</f>
        <v>₹65,399.44</v>
      </c>
    </row>
    <row r="2134" ht="15.75" customHeight="1">
      <c r="A2134" s="53" t="s">
        <v>2204</v>
      </c>
      <c r="B2134" s="53" t="s">
        <v>36</v>
      </c>
      <c r="C2134" s="53" t="s">
        <v>30</v>
      </c>
      <c r="D2134" s="54">
        <v>114179.66</v>
      </c>
      <c r="E2134" s="54" t="str">
        <f t="shared" si="1"/>
        <v>₹1,370,155.92</v>
      </c>
      <c r="F2134" s="55" t="str">
        <f t="shared" si="2"/>
        <v>30.0%</v>
      </c>
      <c r="G2134" s="54" t="str">
        <f t="shared" si="3"/>
        <v>₹411,046.78</v>
      </c>
      <c r="H2134" s="54" t="str">
        <f t="shared" si="4"/>
        <v>₹34,253.90</v>
      </c>
      <c r="I2134" s="54" t="str">
        <f>99666.16-H2134</f>
        <v>₹65,412.26</v>
      </c>
    </row>
    <row r="2135" ht="15.75" customHeight="1">
      <c r="A2135" s="50" t="s">
        <v>2205</v>
      </c>
      <c r="B2135" s="50" t="s">
        <v>17</v>
      </c>
      <c r="C2135" s="50" t="s">
        <v>30</v>
      </c>
      <c r="D2135" s="51">
        <v>114202.84</v>
      </c>
      <c r="E2135" s="51" t="str">
        <f t="shared" si="1"/>
        <v>₹1,370,434.08</v>
      </c>
      <c r="F2135" s="52" t="str">
        <f t="shared" si="2"/>
        <v>30.0%</v>
      </c>
      <c r="G2135" s="51" t="str">
        <f t="shared" si="3"/>
        <v>₹411,130.22</v>
      </c>
      <c r="H2135" s="51" t="str">
        <f t="shared" si="4"/>
        <v>₹34,260.85</v>
      </c>
      <c r="I2135" s="51" t="str">
        <f>99685.95-H2135</f>
        <v>₹65,425.10</v>
      </c>
    </row>
    <row r="2136" ht="15.75" customHeight="1">
      <c r="A2136" s="53" t="s">
        <v>2206</v>
      </c>
      <c r="B2136" s="53" t="s">
        <v>51</v>
      </c>
      <c r="C2136" s="53" t="s">
        <v>30</v>
      </c>
      <c r="D2136" s="54">
        <v>114249.2</v>
      </c>
      <c r="E2136" s="54" t="str">
        <f t="shared" si="1"/>
        <v>₹1,370,990.40</v>
      </c>
      <c r="F2136" s="55" t="str">
        <f t="shared" si="2"/>
        <v>30.0%</v>
      </c>
      <c r="G2136" s="54" t="str">
        <f t="shared" si="3"/>
        <v>₹411,297.12</v>
      </c>
      <c r="H2136" s="54" t="str">
        <f t="shared" si="4"/>
        <v>₹34,274.76</v>
      </c>
      <c r="I2136" s="54" t="str">
        <f>99725.51-H2136</f>
        <v>₹65,450.75</v>
      </c>
    </row>
    <row r="2137" ht="15.75" customHeight="1">
      <c r="A2137" s="50" t="s">
        <v>2207</v>
      </c>
      <c r="B2137" s="50" t="s">
        <v>51</v>
      </c>
      <c r="C2137" s="50" t="s">
        <v>37</v>
      </c>
      <c r="D2137" s="51">
        <v>114272.37</v>
      </c>
      <c r="E2137" s="51" t="str">
        <f t="shared" si="1"/>
        <v>₹1,371,268.44</v>
      </c>
      <c r="F2137" s="52" t="str">
        <f t="shared" si="2"/>
        <v>30.0%</v>
      </c>
      <c r="G2137" s="51" t="str">
        <f t="shared" si="3"/>
        <v>₹411,380.53</v>
      </c>
      <c r="H2137" s="51" t="str">
        <f t="shared" si="4"/>
        <v>₹34,281.71</v>
      </c>
      <c r="I2137" s="51" t="str">
        <f>99745.28-H2137</f>
        <v>₹65,463.57</v>
      </c>
    </row>
    <row r="2138" ht="15.75" customHeight="1">
      <c r="A2138" s="53" t="s">
        <v>2208</v>
      </c>
      <c r="B2138" s="53" t="s">
        <v>17</v>
      </c>
      <c r="C2138" s="53" t="s">
        <v>54</v>
      </c>
      <c r="D2138" s="54">
        <v>114295.55</v>
      </c>
      <c r="E2138" s="54" t="str">
        <f t="shared" si="1"/>
        <v>₹1,371,546.60</v>
      </c>
      <c r="F2138" s="55" t="str">
        <f t="shared" si="2"/>
        <v>30.0%</v>
      </c>
      <c r="G2138" s="54" t="str">
        <f t="shared" si="3"/>
        <v>₹411,463.98</v>
      </c>
      <c r="H2138" s="54" t="str">
        <f t="shared" si="4"/>
        <v>₹34,288.67</v>
      </c>
      <c r="I2138" s="54" t="str">
        <f>99765.06-H2138</f>
        <v>₹65,476.40</v>
      </c>
    </row>
    <row r="2139" ht="15.75" customHeight="1">
      <c r="A2139" s="50" t="s">
        <v>2209</v>
      </c>
      <c r="B2139" s="50" t="s">
        <v>13</v>
      </c>
      <c r="C2139" s="50" t="s">
        <v>14</v>
      </c>
      <c r="D2139" s="51">
        <v>114318.73</v>
      </c>
      <c r="E2139" s="51" t="str">
        <f t="shared" si="1"/>
        <v>₹1,371,824.76</v>
      </c>
      <c r="F2139" s="52" t="str">
        <f t="shared" si="2"/>
        <v>30.0%</v>
      </c>
      <c r="G2139" s="51" t="str">
        <f t="shared" si="3"/>
        <v>₹411,547.43</v>
      </c>
      <c r="H2139" s="51" t="str">
        <f t="shared" si="4"/>
        <v>₹34,295.62</v>
      </c>
      <c r="I2139" s="51" t="str">
        <f>99784.85-H2139</f>
        <v>₹65,489.23</v>
      </c>
    </row>
    <row r="2140" ht="15.75" customHeight="1">
      <c r="A2140" s="53" t="s">
        <v>2210</v>
      </c>
      <c r="B2140" s="53" t="s">
        <v>53</v>
      </c>
      <c r="C2140" s="53" t="s">
        <v>30</v>
      </c>
      <c r="D2140" s="54">
        <v>114341.91</v>
      </c>
      <c r="E2140" s="54" t="str">
        <f t="shared" si="1"/>
        <v>₹1,372,102.92</v>
      </c>
      <c r="F2140" s="55" t="str">
        <f t="shared" si="2"/>
        <v>30.0%</v>
      </c>
      <c r="G2140" s="54" t="str">
        <f t="shared" si="3"/>
        <v>₹411,630.88</v>
      </c>
      <c r="H2140" s="54" t="str">
        <f t="shared" si="4"/>
        <v>₹34,302.57</v>
      </c>
      <c r="I2140" s="54" t="str">
        <f>99804.63-H2140</f>
        <v>₹65,502.06</v>
      </c>
    </row>
    <row r="2141" ht="15.75" customHeight="1">
      <c r="A2141" s="50" t="s">
        <v>2211</v>
      </c>
      <c r="B2141" s="50" t="s">
        <v>29</v>
      </c>
      <c r="C2141" s="50" t="s">
        <v>18</v>
      </c>
      <c r="D2141" s="51">
        <v>114365.09</v>
      </c>
      <c r="E2141" s="51" t="str">
        <f t="shared" si="1"/>
        <v>₹1,372,381.08</v>
      </c>
      <c r="F2141" s="52" t="str">
        <f t="shared" si="2"/>
        <v>30.0%</v>
      </c>
      <c r="G2141" s="51" t="str">
        <f t="shared" si="3"/>
        <v>₹411,714.32</v>
      </c>
      <c r="H2141" s="51" t="str">
        <f t="shared" si="4"/>
        <v>₹34,309.53</v>
      </c>
      <c r="I2141" s="51" t="str">
        <f>99824.41-H2141</f>
        <v>₹65,514.88</v>
      </c>
    </row>
    <row r="2142" ht="15.75" customHeight="1">
      <c r="A2142" s="53" t="s">
        <v>2212</v>
      </c>
      <c r="B2142" s="53" t="s">
        <v>36</v>
      </c>
      <c r="C2142" s="53" t="s">
        <v>37</v>
      </c>
      <c r="D2142" s="54">
        <v>114388.26</v>
      </c>
      <c r="E2142" s="54" t="str">
        <f t="shared" si="1"/>
        <v>₹1,372,659.12</v>
      </c>
      <c r="F2142" s="55" t="str">
        <f t="shared" si="2"/>
        <v>30.0%</v>
      </c>
      <c r="G2142" s="54" t="str">
        <f t="shared" si="3"/>
        <v>₹411,797.74</v>
      </c>
      <c r="H2142" s="54" t="str">
        <f t="shared" si="4"/>
        <v>₹34,316.48</v>
      </c>
      <c r="I2142" s="54" t="str">
        <f>99844.18-H2142</f>
        <v>₹65,527.70</v>
      </c>
    </row>
    <row r="2143" ht="15.75" customHeight="1">
      <c r="A2143" s="50" t="s">
        <v>2213</v>
      </c>
      <c r="B2143" s="50" t="s">
        <v>25</v>
      </c>
      <c r="C2143" s="50" t="s">
        <v>18</v>
      </c>
      <c r="D2143" s="51">
        <v>114411.44</v>
      </c>
      <c r="E2143" s="51" t="str">
        <f t="shared" si="1"/>
        <v>₹1,372,937.28</v>
      </c>
      <c r="F2143" s="52" t="str">
        <f t="shared" si="2"/>
        <v>30.0%</v>
      </c>
      <c r="G2143" s="51" t="str">
        <f t="shared" si="3"/>
        <v>₹411,881.18</v>
      </c>
      <c r="H2143" s="51" t="str">
        <f t="shared" si="4"/>
        <v>₹34,323.43</v>
      </c>
      <c r="I2143" s="51" t="str">
        <f>99863.97-H2143</f>
        <v>₹65,540.54</v>
      </c>
    </row>
    <row r="2144" ht="15.75" customHeight="1">
      <c r="A2144" s="53" t="s">
        <v>2214</v>
      </c>
      <c r="B2144" s="53" t="s">
        <v>13</v>
      </c>
      <c r="C2144" s="53" t="s">
        <v>33</v>
      </c>
      <c r="D2144" s="54">
        <v>114434.62</v>
      </c>
      <c r="E2144" s="54" t="str">
        <f t="shared" si="1"/>
        <v>₹1,373,215.44</v>
      </c>
      <c r="F2144" s="55" t="str">
        <f t="shared" si="2"/>
        <v>30.0%</v>
      </c>
      <c r="G2144" s="54" t="str">
        <f t="shared" si="3"/>
        <v>₹411,964.63</v>
      </c>
      <c r="H2144" s="54" t="str">
        <f t="shared" si="4"/>
        <v>₹34,330.39</v>
      </c>
      <c r="I2144" s="54" t="str">
        <f>99883.75-H2144</f>
        <v>₹65,553.36</v>
      </c>
    </row>
    <row r="2145" ht="15.75" customHeight="1">
      <c r="A2145" s="50" t="s">
        <v>2215</v>
      </c>
      <c r="B2145" s="50" t="s">
        <v>36</v>
      </c>
      <c r="C2145" s="50" t="s">
        <v>33</v>
      </c>
      <c r="D2145" s="51">
        <v>114457.8</v>
      </c>
      <c r="E2145" s="51" t="str">
        <f t="shared" si="1"/>
        <v>₹1,373,493.60</v>
      </c>
      <c r="F2145" s="52" t="str">
        <f t="shared" si="2"/>
        <v>30.0%</v>
      </c>
      <c r="G2145" s="51" t="str">
        <f t="shared" si="3"/>
        <v>₹412,048.08</v>
      </c>
      <c r="H2145" s="51" t="str">
        <f t="shared" si="4"/>
        <v>₹34,337.34</v>
      </c>
      <c r="I2145" s="51" t="str">
        <f>99903.53-H2145</f>
        <v>₹65,566.19</v>
      </c>
    </row>
    <row r="2146" ht="15.75" customHeight="1">
      <c r="A2146" s="53" t="s">
        <v>2216</v>
      </c>
      <c r="B2146" s="53" t="s">
        <v>29</v>
      </c>
      <c r="C2146" s="53" t="s">
        <v>14</v>
      </c>
      <c r="D2146" s="54">
        <v>114480.97</v>
      </c>
      <c r="E2146" s="54" t="str">
        <f t="shared" si="1"/>
        <v>₹1,373,771.64</v>
      </c>
      <c r="F2146" s="55" t="str">
        <f t="shared" si="2"/>
        <v>30.0%</v>
      </c>
      <c r="G2146" s="54" t="str">
        <f t="shared" si="3"/>
        <v>₹412,131.49</v>
      </c>
      <c r="H2146" s="54" t="str">
        <f t="shared" si="4"/>
        <v>₹34,344.29</v>
      </c>
      <c r="I2146" s="54" t="str">
        <f>99923.3-H2146</f>
        <v>₹65,579.01</v>
      </c>
    </row>
    <row r="2147" ht="15.75" customHeight="1">
      <c r="A2147" s="50" t="s">
        <v>2217</v>
      </c>
      <c r="B2147" s="50" t="s">
        <v>51</v>
      </c>
      <c r="C2147" s="50" t="s">
        <v>37</v>
      </c>
      <c r="D2147" s="51">
        <v>114504.15</v>
      </c>
      <c r="E2147" s="51" t="str">
        <f t="shared" si="1"/>
        <v>₹1,374,049.80</v>
      </c>
      <c r="F2147" s="52" t="str">
        <f t="shared" si="2"/>
        <v>30.0%</v>
      </c>
      <c r="G2147" s="51" t="str">
        <f t="shared" si="3"/>
        <v>₹412,214.94</v>
      </c>
      <c r="H2147" s="51" t="str">
        <f t="shared" si="4"/>
        <v>₹34,351.25</v>
      </c>
      <c r="I2147" s="51" t="str">
        <f>99943.09-H2147</f>
        <v>₹65,591.85</v>
      </c>
    </row>
    <row r="2148" ht="15.75" customHeight="1">
      <c r="A2148" s="53" t="s">
        <v>2218</v>
      </c>
      <c r="B2148" s="53" t="s">
        <v>53</v>
      </c>
      <c r="C2148" s="53" t="s">
        <v>14</v>
      </c>
      <c r="D2148" s="54">
        <v>114527.33</v>
      </c>
      <c r="E2148" s="54" t="str">
        <f t="shared" si="1"/>
        <v>₹1,374,327.96</v>
      </c>
      <c r="F2148" s="55" t="str">
        <f t="shared" si="2"/>
        <v>30.0%</v>
      </c>
      <c r="G2148" s="54" t="str">
        <f t="shared" si="3"/>
        <v>₹412,298.39</v>
      </c>
      <c r="H2148" s="54" t="str">
        <f t="shared" si="4"/>
        <v>₹34,358.20</v>
      </c>
      <c r="I2148" s="54" t="str">
        <f>99962.87-H2148</f>
        <v>₹65,604.67</v>
      </c>
    </row>
    <row r="2149" ht="15.75" customHeight="1">
      <c r="A2149" s="50" t="s">
        <v>2219</v>
      </c>
      <c r="B2149" s="50" t="s">
        <v>29</v>
      </c>
      <c r="C2149" s="50" t="s">
        <v>26</v>
      </c>
      <c r="D2149" s="51">
        <v>114550.51</v>
      </c>
      <c r="E2149" s="51" t="str">
        <f t="shared" si="1"/>
        <v>₹1,374,606.12</v>
      </c>
      <c r="F2149" s="52" t="str">
        <f t="shared" si="2"/>
        <v>30.0%</v>
      </c>
      <c r="G2149" s="51" t="str">
        <f t="shared" si="3"/>
        <v>₹412,381.84</v>
      </c>
      <c r="H2149" s="51" t="str">
        <f t="shared" si="4"/>
        <v>₹34,365.15</v>
      </c>
      <c r="I2149" s="51" t="str">
        <f>99982.65-H2149</f>
        <v>₹65,617.50</v>
      </c>
    </row>
    <row r="2150" ht="15.75" customHeight="1">
      <c r="A2150" s="53" t="s">
        <v>2220</v>
      </c>
      <c r="B2150" s="53" t="s">
        <v>13</v>
      </c>
      <c r="C2150" s="53" t="s">
        <v>18</v>
      </c>
      <c r="D2150" s="54">
        <v>114573.68</v>
      </c>
      <c r="E2150" s="54" t="str">
        <f t="shared" si="1"/>
        <v>₹1,374,884.16</v>
      </c>
      <c r="F2150" s="55" t="str">
        <f t="shared" si="2"/>
        <v>30.0%</v>
      </c>
      <c r="G2150" s="54" t="str">
        <f t="shared" si="3"/>
        <v>₹412,465.25</v>
      </c>
      <c r="H2150" s="54" t="str">
        <f t="shared" si="4"/>
        <v>₹34,372.10</v>
      </c>
      <c r="I2150" s="54" t="str">
        <f>100002.42-H2150</f>
        <v>₹65,630.32</v>
      </c>
    </row>
    <row r="2151" ht="15.75" customHeight="1">
      <c r="A2151" s="50" t="s">
        <v>2221</v>
      </c>
      <c r="B2151" s="50" t="s">
        <v>51</v>
      </c>
      <c r="C2151" s="50" t="s">
        <v>30</v>
      </c>
      <c r="D2151" s="51">
        <v>114596.86</v>
      </c>
      <c r="E2151" s="51" t="str">
        <f t="shared" si="1"/>
        <v>₹1,375,162.32</v>
      </c>
      <c r="F2151" s="52" t="str">
        <f t="shared" si="2"/>
        <v>30.0%</v>
      </c>
      <c r="G2151" s="51" t="str">
        <f t="shared" si="3"/>
        <v>₹412,548.70</v>
      </c>
      <c r="H2151" s="51" t="str">
        <f t="shared" si="4"/>
        <v>₹34,379.06</v>
      </c>
      <c r="I2151" s="51" t="str">
        <f>100022.21-H2151</f>
        <v>₹65,643.15</v>
      </c>
    </row>
    <row r="2152" ht="15.75" customHeight="1">
      <c r="A2152" s="53" t="s">
        <v>2222</v>
      </c>
      <c r="B2152" s="53" t="s">
        <v>25</v>
      </c>
      <c r="C2152" s="53" t="s">
        <v>14</v>
      </c>
      <c r="D2152" s="54">
        <v>114620.04</v>
      </c>
      <c r="E2152" s="54" t="str">
        <f t="shared" si="1"/>
        <v>₹1,375,440.48</v>
      </c>
      <c r="F2152" s="55" t="str">
        <f t="shared" si="2"/>
        <v>30.0%</v>
      </c>
      <c r="G2152" s="54" t="str">
        <f t="shared" si="3"/>
        <v>₹412,632.14</v>
      </c>
      <c r="H2152" s="54" t="str">
        <f t="shared" si="4"/>
        <v>₹34,386.01</v>
      </c>
      <c r="I2152" s="54" t="str">
        <f>100041.99-H2152</f>
        <v>₹65,655.98</v>
      </c>
    </row>
    <row r="2153" ht="15.75" customHeight="1">
      <c r="A2153" s="50" t="s">
        <v>2223</v>
      </c>
      <c r="B2153" s="50" t="s">
        <v>25</v>
      </c>
      <c r="C2153" s="50" t="s">
        <v>33</v>
      </c>
      <c r="D2153" s="51">
        <v>114643.22</v>
      </c>
      <c r="E2153" s="51" t="str">
        <f t="shared" si="1"/>
        <v>₹1,375,718.64</v>
      </c>
      <c r="F2153" s="52" t="str">
        <f t="shared" si="2"/>
        <v>30.0%</v>
      </c>
      <c r="G2153" s="51" t="str">
        <f t="shared" si="3"/>
        <v>₹412,715.59</v>
      </c>
      <c r="H2153" s="51" t="str">
        <f t="shared" si="4"/>
        <v>₹34,392.97</v>
      </c>
      <c r="I2153" s="51" t="str">
        <f>100061.77-H2153</f>
        <v>₹65,668.80</v>
      </c>
    </row>
    <row r="2154" ht="15.75" customHeight="1">
      <c r="A2154" s="53" t="s">
        <v>2224</v>
      </c>
      <c r="B2154" s="53" t="s">
        <v>29</v>
      </c>
      <c r="C2154" s="53" t="s">
        <v>54</v>
      </c>
      <c r="D2154" s="54">
        <v>114666.4</v>
      </c>
      <c r="E2154" s="54" t="str">
        <f t="shared" si="1"/>
        <v>₹1,375,996.80</v>
      </c>
      <c r="F2154" s="55" t="str">
        <f t="shared" si="2"/>
        <v>30.0%</v>
      </c>
      <c r="G2154" s="54" t="str">
        <f t="shared" si="3"/>
        <v>₹412,799.04</v>
      </c>
      <c r="H2154" s="54" t="str">
        <f t="shared" si="4"/>
        <v>₹34,399.92</v>
      </c>
      <c r="I2154" s="54" t="str">
        <f>100081.55-H2154</f>
        <v>₹65,681.63</v>
      </c>
    </row>
    <row r="2155" ht="15.75" customHeight="1">
      <c r="A2155" s="50" t="s">
        <v>2225</v>
      </c>
      <c r="B2155" s="50" t="s">
        <v>51</v>
      </c>
      <c r="C2155" s="50" t="s">
        <v>30</v>
      </c>
      <c r="D2155" s="51">
        <v>114689.57</v>
      </c>
      <c r="E2155" s="51" t="str">
        <f t="shared" si="1"/>
        <v>₹1,376,274.84</v>
      </c>
      <c r="F2155" s="52" t="str">
        <f t="shared" si="2"/>
        <v>30.0%</v>
      </c>
      <c r="G2155" s="51" t="str">
        <f t="shared" si="3"/>
        <v>₹412,882.45</v>
      </c>
      <c r="H2155" s="51" t="str">
        <f t="shared" si="4"/>
        <v>₹34,406.87</v>
      </c>
      <c r="I2155" s="51" t="str">
        <f>100101.33-H2155</f>
        <v>₹65,694.46</v>
      </c>
    </row>
    <row r="2156" ht="15.75" customHeight="1">
      <c r="A2156" s="53" t="s">
        <v>2226</v>
      </c>
      <c r="B2156" s="53" t="s">
        <v>51</v>
      </c>
      <c r="C2156" s="53" t="s">
        <v>37</v>
      </c>
      <c r="D2156" s="54">
        <v>114735.93</v>
      </c>
      <c r="E2156" s="54" t="str">
        <f t="shared" si="1"/>
        <v>₹1,376,831.16</v>
      </c>
      <c r="F2156" s="55" t="str">
        <f t="shared" si="2"/>
        <v>30.0%</v>
      </c>
      <c r="G2156" s="54" t="str">
        <f t="shared" si="3"/>
        <v>₹413,049.35</v>
      </c>
      <c r="H2156" s="54" t="str">
        <f t="shared" si="4"/>
        <v>₹34,420.78</v>
      </c>
      <c r="I2156" s="54" t="str">
        <f>100140.89-H2156</f>
        <v>₹65,720.11</v>
      </c>
    </row>
    <row r="2157" ht="15.75" customHeight="1">
      <c r="A2157" s="50" t="s">
        <v>2227</v>
      </c>
      <c r="B2157" s="50" t="s">
        <v>36</v>
      </c>
      <c r="C2157" s="50" t="s">
        <v>54</v>
      </c>
      <c r="D2157" s="51">
        <v>114759.11</v>
      </c>
      <c r="E2157" s="51" t="str">
        <f t="shared" si="1"/>
        <v>₹1,377,109.32</v>
      </c>
      <c r="F2157" s="52" t="str">
        <f t="shared" si="2"/>
        <v>30.0%</v>
      </c>
      <c r="G2157" s="51" t="str">
        <f t="shared" si="3"/>
        <v>₹413,132.80</v>
      </c>
      <c r="H2157" s="51" t="str">
        <f t="shared" si="4"/>
        <v>₹34,427.73</v>
      </c>
      <c r="I2157" s="51" t="str">
        <f>100160.67-H2157</f>
        <v>₹65,732.94</v>
      </c>
    </row>
    <row r="2158" ht="15.75" customHeight="1">
      <c r="A2158" s="53" t="s">
        <v>2228</v>
      </c>
      <c r="B2158" s="53" t="s">
        <v>13</v>
      </c>
      <c r="C2158" s="53" t="s">
        <v>26</v>
      </c>
      <c r="D2158" s="54">
        <v>114805.46</v>
      </c>
      <c r="E2158" s="54" t="str">
        <f t="shared" si="1"/>
        <v>₹1,377,665.52</v>
      </c>
      <c r="F2158" s="55" t="str">
        <f t="shared" si="2"/>
        <v>30.0%</v>
      </c>
      <c r="G2158" s="54" t="str">
        <f t="shared" si="3"/>
        <v>₹413,299.66</v>
      </c>
      <c r="H2158" s="54" t="str">
        <f t="shared" si="4"/>
        <v>₹34,441.64</v>
      </c>
      <c r="I2158" s="54" t="str">
        <f>100200.23-H2158</f>
        <v>₹65,758.59</v>
      </c>
    </row>
    <row r="2159" ht="15.75" customHeight="1">
      <c r="A2159" s="50" t="s">
        <v>2229</v>
      </c>
      <c r="B2159" s="50" t="s">
        <v>29</v>
      </c>
      <c r="C2159" s="50" t="s">
        <v>18</v>
      </c>
      <c r="D2159" s="51">
        <v>114828.64</v>
      </c>
      <c r="E2159" s="51" t="str">
        <f t="shared" si="1"/>
        <v>₹1,377,943.68</v>
      </c>
      <c r="F2159" s="52" t="str">
        <f t="shared" si="2"/>
        <v>30.0%</v>
      </c>
      <c r="G2159" s="51" t="str">
        <f t="shared" si="3"/>
        <v>₹413,383.10</v>
      </c>
      <c r="H2159" s="51" t="str">
        <f t="shared" si="4"/>
        <v>₹34,448.59</v>
      </c>
      <c r="I2159" s="51" t="str">
        <f>100220.01-H2159</f>
        <v>₹65,771.42</v>
      </c>
    </row>
    <row r="2160" ht="15.75" customHeight="1">
      <c r="A2160" s="53" t="s">
        <v>2230</v>
      </c>
      <c r="B2160" s="53" t="s">
        <v>53</v>
      </c>
      <c r="C2160" s="53" t="s">
        <v>37</v>
      </c>
      <c r="D2160" s="54">
        <v>114851.82</v>
      </c>
      <c r="E2160" s="54" t="str">
        <f t="shared" si="1"/>
        <v>₹1,378,221.84</v>
      </c>
      <c r="F2160" s="55" t="str">
        <f t="shared" si="2"/>
        <v>30.0%</v>
      </c>
      <c r="G2160" s="54" t="str">
        <f t="shared" si="3"/>
        <v>₹413,466.55</v>
      </c>
      <c r="H2160" s="54" t="str">
        <f t="shared" si="4"/>
        <v>₹34,455.55</v>
      </c>
      <c r="I2160" s="54" t="str">
        <f>100239.79-H2160</f>
        <v>₹65,784.24</v>
      </c>
    </row>
    <row r="2161" ht="15.75" customHeight="1">
      <c r="A2161" s="50" t="s">
        <v>2231</v>
      </c>
      <c r="B2161" s="50" t="s">
        <v>17</v>
      </c>
      <c r="C2161" s="50" t="s">
        <v>37</v>
      </c>
      <c r="D2161" s="51">
        <v>114874.99</v>
      </c>
      <c r="E2161" s="51" t="str">
        <f t="shared" si="1"/>
        <v>₹1,378,499.88</v>
      </c>
      <c r="F2161" s="52" t="str">
        <f t="shared" si="2"/>
        <v>30.0%</v>
      </c>
      <c r="G2161" s="51" t="str">
        <f t="shared" si="3"/>
        <v>₹413,549.96</v>
      </c>
      <c r="H2161" s="51" t="str">
        <f t="shared" si="4"/>
        <v>₹34,462.50</v>
      </c>
      <c r="I2161" s="51" t="str">
        <f>100259.57-H2161</f>
        <v>₹65,797.07</v>
      </c>
    </row>
    <row r="2162" ht="15.75" customHeight="1">
      <c r="A2162" s="53" t="s">
        <v>2232</v>
      </c>
      <c r="B2162" s="53" t="s">
        <v>29</v>
      </c>
      <c r="C2162" s="53" t="s">
        <v>14</v>
      </c>
      <c r="D2162" s="54">
        <v>114269.47</v>
      </c>
      <c r="E2162" s="54" t="str">
        <f t="shared" si="1"/>
        <v>₹1,371,233.64</v>
      </c>
      <c r="F2162" s="55" t="str">
        <f t="shared" si="2"/>
        <v>30.0%</v>
      </c>
      <c r="G2162" s="54" t="str">
        <f t="shared" si="3"/>
        <v>₹411,370.09</v>
      </c>
      <c r="H2162" s="54" t="str">
        <f t="shared" si="4"/>
        <v>₹34,280.84</v>
      </c>
      <c r="I2162" s="54" t="str">
        <f>99650.65-H2162</f>
        <v>₹65,369.81</v>
      </c>
    </row>
    <row r="2163" ht="15.75" customHeight="1">
      <c r="A2163" s="50" t="s">
        <v>2233</v>
      </c>
      <c r="B2163" s="50" t="s">
        <v>51</v>
      </c>
      <c r="C2163" s="50" t="s">
        <v>18</v>
      </c>
      <c r="D2163" s="51">
        <v>114921.35</v>
      </c>
      <c r="E2163" s="51" t="str">
        <f t="shared" si="1"/>
        <v>₹1,379,056.20</v>
      </c>
      <c r="F2163" s="52" t="str">
        <f t="shared" si="2"/>
        <v>30.0%</v>
      </c>
      <c r="G2163" s="51" t="str">
        <f t="shared" si="3"/>
        <v>₹413,716.86</v>
      </c>
      <c r="H2163" s="51" t="str">
        <f t="shared" si="4"/>
        <v>₹34,476.41</v>
      </c>
      <c r="I2163" s="51" t="str">
        <f>100299.13-H2163</f>
        <v>₹65,822.73</v>
      </c>
    </row>
    <row r="2164" ht="15.75" customHeight="1">
      <c r="A2164" s="53" t="s">
        <v>2234</v>
      </c>
      <c r="B2164" s="53" t="s">
        <v>13</v>
      </c>
      <c r="C2164" s="53" t="s">
        <v>33</v>
      </c>
      <c r="D2164" s="54">
        <v>114944.53</v>
      </c>
      <c r="E2164" s="54" t="str">
        <f t="shared" si="1"/>
        <v>₹1,379,334.36</v>
      </c>
      <c r="F2164" s="55" t="str">
        <f t="shared" si="2"/>
        <v>30.0%</v>
      </c>
      <c r="G2164" s="54" t="str">
        <f t="shared" si="3"/>
        <v>₹413,800.31</v>
      </c>
      <c r="H2164" s="54" t="str">
        <f t="shared" si="4"/>
        <v>₹34,483.36</v>
      </c>
      <c r="I2164" s="54" t="str">
        <f>100318.91-H2164</f>
        <v>₹65,835.55</v>
      </c>
    </row>
    <row r="2165" ht="15.75" customHeight="1">
      <c r="A2165" s="50" t="s">
        <v>2235</v>
      </c>
      <c r="B2165" s="50" t="s">
        <v>13</v>
      </c>
      <c r="C2165" s="50" t="s">
        <v>37</v>
      </c>
      <c r="D2165" s="51">
        <v>114967.71</v>
      </c>
      <c r="E2165" s="51" t="str">
        <f t="shared" si="1"/>
        <v>₹1,379,612.52</v>
      </c>
      <c r="F2165" s="52" t="str">
        <f t="shared" si="2"/>
        <v>30.0%</v>
      </c>
      <c r="G2165" s="51" t="str">
        <f t="shared" si="3"/>
        <v>₹413,883.76</v>
      </c>
      <c r="H2165" s="51" t="str">
        <f t="shared" si="4"/>
        <v>₹34,490.31</v>
      </c>
      <c r="I2165" s="51" t="str">
        <f>100338.7-H2165</f>
        <v>₹65,848.39</v>
      </c>
    </row>
    <row r="2166" ht="15.75" customHeight="1">
      <c r="A2166" s="53" t="s">
        <v>2236</v>
      </c>
      <c r="B2166" s="53" t="s">
        <v>25</v>
      </c>
      <c r="C2166" s="53" t="s">
        <v>30</v>
      </c>
      <c r="D2166" s="54">
        <v>115014.06</v>
      </c>
      <c r="E2166" s="54" t="str">
        <f t="shared" si="1"/>
        <v>₹1,380,168.72</v>
      </c>
      <c r="F2166" s="55" t="str">
        <f t="shared" si="2"/>
        <v>30.0%</v>
      </c>
      <c r="G2166" s="54" t="str">
        <f t="shared" si="3"/>
        <v>₹414,050.62</v>
      </c>
      <c r="H2166" s="54" t="str">
        <f t="shared" si="4"/>
        <v>₹34,504.22</v>
      </c>
      <c r="I2166" s="54" t="str">
        <f>100378.25-H2166</f>
        <v>₹65,874.03</v>
      </c>
    </row>
    <row r="2167" ht="15.75" customHeight="1">
      <c r="A2167" s="50" t="s">
        <v>2237</v>
      </c>
      <c r="B2167" s="50" t="s">
        <v>51</v>
      </c>
      <c r="C2167" s="50" t="s">
        <v>33</v>
      </c>
      <c r="D2167" s="51">
        <v>115037.24</v>
      </c>
      <c r="E2167" s="51" t="str">
        <f t="shared" si="1"/>
        <v>₹1,380,446.88</v>
      </c>
      <c r="F2167" s="52" t="str">
        <f t="shared" si="2"/>
        <v>30.0%</v>
      </c>
      <c r="G2167" s="51" t="str">
        <f t="shared" si="3"/>
        <v>₹414,134.06</v>
      </c>
      <c r="H2167" s="51" t="str">
        <f t="shared" si="4"/>
        <v>₹34,511.17</v>
      </c>
      <c r="I2167" s="51" t="str">
        <f>100398.03-H2167</f>
        <v>₹65,886.86</v>
      </c>
    </row>
    <row r="2168" ht="15.75" customHeight="1">
      <c r="A2168" s="53" t="s">
        <v>2238</v>
      </c>
      <c r="B2168" s="53" t="s">
        <v>51</v>
      </c>
      <c r="C2168" s="53" t="s">
        <v>26</v>
      </c>
      <c r="D2168" s="54">
        <v>115060.42</v>
      </c>
      <c r="E2168" s="54" t="str">
        <f t="shared" si="1"/>
        <v>₹1,380,725.04</v>
      </c>
      <c r="F2168" s="55" t="str">
        <f t="shared" si="2"/>
        <v>30.0%</v>
      </c>
      <c r="G2168" s="54" t="str">
        <f t="shared" si="3"/>
        <v>₹414,217.51</v>
      </c>
      <c r="H2168" s="54" t="str">
        <f t="shared" si="4"/>
        <v>₹34,518.13</v>
      </c>
      <c r="I2168" s="54" t="str">
        <f>100417.82-H2168</f>
        <v>₹65,899.69</v>
      </c>
    </row>
    <row r="2169" ht="15.75" customHeight="1">
      <c r="A2169" s="50" t="s">
        <v>2239</v>
      </c>
      <c r="B2169" s="50" t="s">
        <v>13</v>
      </c>
      <c r="C2169" s="50" t="s">
        <v>18</v>
      </c>
      <c r="D2169" s="51">
        <v>115083.59</v>
      </c>
      <c r="E2169" s="51" t="str">
        <f t="shared" si="1"/>
        <v>₹1,381,003.08</v>
      </c>
      <c r="F2169" s="52" t="str">
        <f t="shared" si="2"/>
        <v>30.0%</v>
      </c>
      <c r="G2169" s="51" t="str">
        <f t="shared" si="3"/>
        <v>₹414,300.92</v>
      </c>
      <c r="H2169" s="51" t="str">
        <f t="shared" si="4"/>
        <v>₹34,525.08</v>
      </c>
      <c r="I2169" s="51" t="str">
        <f>100437.59-H2169</f>
        <v>₹65,912.51</v>
      </c>
    </row>
    <row r="2170" ht="15.75" customHeight="1">
      <c r="A2170" s="53" t="s">
        <v>2240</v>
      </c>
      <c r="B2170" s="53" t="s">
        <v>53</v>
      </c>
      <c r="C2170" s="53" t="s">
        <v>33</v>
      </c>
      <c r="D2170" s="54">
        <v>115106.77</v>
      </c>
      <c r="E2170" s="54" t="str">
        <f t="shared" si="1"/>
        <v>₹1,381,281.24</v>
      </c>
      <c r="F2170" s="55" t="str">
        <f t="shared" si="2"/>
        <v>30.0%</v>
      </c>
      <c r="G2170" s="54" t="str">
        <f t="shared" si="3"/>
        <v>₹414,384.37</v>
      </c>
      <c r="H2170" s="54" t="str">
        <f t="shared" si="4"/>
        <v>₹34,532.03</v>
      </c>
      <c r="I2170" s="54" t="str">
        <f>100457.37-H2170</f>
        <v>₹65,925.34</v>
      </c>
    </row>
    <row r="2171" ht="15.75" customHeight="1">
      <c r="A2171" s="50" t="s">
        <v>2241</v>
      </c>
      <c r="B2171" s="50" t="s">
        <v>13</v>
      </c>
      <c r="C2171" s="50" t="s">
        <v>18</v>
      </c>
      <c r="D2171" s="51">
        <v>115129.95</v>
      </c>
      <c r="E2171" s="51" t="str">
        <f t="shared" si="1"/>
        <v>₹1,381,559.40</v>
      </c>
      <c r="F2171" s="52" t="str">
        <f t="shared" si="2"/>
        <v>30.0%</v>
      </c>
      <c r="G2171" s="51" t="str">
        <f t="shared" si="3"/>
        <v>₹414,467.82</v>
      </c>
      <c r="H2171" s="51" t="str">
        <f t="shared" si="4"/>
        <v>₹34,538.99</v>
      </c>
      <c r="I2171" s="51" t="str">
        <f>100477.15-H2171</f>
        <v>₹65,938.17</v>
      </c>
    </row>
    <row r="2172" ht="15.75" customHeight="1">
      <c r="A2172" s="53" t="s">
        <v>2242</v>
      </c>
      <c r="B2172" s="53" t="s">
        <v>17</v>
      </c>
      <c r="C2172" s="53" t="s">
        <v>18</v>
      </c>
      <c r="D2172" s="54">
        <v>115153.13</v>
      </c>
      <c r="E2172" s="54" t="str">
        <f t="shared" si="1"/>
        <v>₹1,381,837.56</v>
      </c>
      <c r="F2172" s="55" t="str">
        <f t="shared" si="2"/>
        <v>30.0%</v>
      </c>
      <c r="G2172" s="54" t="str">
        <f t="shared" si="3"/>
        <v>₹414,551.27</v>
      </c>
      <c r="H2172" s="54" t="str">
        <f t="shared" si="4"/>
        <v>₹34,545.94</v>
      </c>
      <c r="I2172" s="54" t="str">
        <f>100496.94-H2172</f>
        <v>₹65,951.00</v>
      </c>
    </row>
    <row r="2173" ht="15.75" customHeight="1">
      <c r="A2173" s="50" t="s">
        <v>2243</v>
      </c>
      <c r="B2173" s="50" t="s">
        <v>53</v>
      </c>
      <c r="C2173" s="50" t="s">
        <v>54</v>
      </c>
      <c r="D2173" s="51">
        <v>115176.3</v>
      </c>
      <c r="E2173" s="51" t="str">
        <f t="shared" si="1"/>
        <v>₹1,382,115.60</v>
      </c>
      <c r="F2173" s="52" t="str">
        <f t="shared" si="2"/>
        <v>30.0%</v>
      </c>
      <c r="G2173" s="51" t="str">
        <f t="shared" si="3"/>
        <v>₹414,634.68</v>
      </c>
      <c r="H2173" s="51" t="str">
        <f t="shared" si="4"/>
        <v>₹34,552.89</v>
      </c>
      <c r="I2173" s="51" t="str">
        <f>100516.71-H2173</f>
        <v>₹65,963.82</v>
      </c>
    </row>
    <row r="2174" ht="15.75" customHeight="1">
      <c r="A2174" s="53" t="s">
        <v>2244</v>
      </c>
      <c r="B2174" s="53" t="s">
        <v>53</v>
      </c>
      <c r="C2174" s="53" t="s">
        <v>33</v>
      </c>
      <c r="D2174" s="54">
        <v>114378.38</v>
      </c>
      <c r="E2174" s="54" t="str">
        <f t="shared" si="1"/>
        <v>₹1,372,540.56</v>
      </c>
      <c r="F2174" s="55" t="str">
        <f t="shared" si="2"/>
        <v>30.0%</v>
      </c>
      <c r="G2174" s="54" t="str">
        <f t="shared" si="3"/>
        <v>₹411,762.17</v>
      </c>
      <c r="H2174" s="54" t="str">
        <f t="shared" si="4"/>
        <v>₹34,313.51</v>
      </c>
      <c r="I2174" s="54" t="str">
        <f>99715.39-H2174</f>
        <v>₹65,401.88</v>
      </c>
    </row>
    <row r="2175" ht="15.75" customHeight="1">
      <c r="A2175" s="50" t="s">
        <v>2245</v>
      </c>
      <c r="B2175" s="50" t="s">
        <v>25</v>
      </c>
      <c r="C2175" s="50" t="s">
        <v>33</v>
      </c>
      <c r="D2175" s="51">
        <v>115222.66</v>
      </c>
      <c r="E2175" s="51" t="str">
        <f t="shared" si="1"/>
        <v>₹1,382,671.92</v>
      </c>
      <c r="F2175" s="52" t="str">
        <f t="shared" si="2"/>
        <v>30.0%</v>
      </c>
      <c r="G2175" s="51" t="str">
        <f t="shared" si="3"/>
        <v>₹414,801.58</v>
      </c>
      <c r="H2175" s="51" t="str">
        <f t="shared" si="4"/>
        <v>₹34,566.80</v>
      </c>
      <c r="I2175" s="51" t="str">
        <f>100556.27-H2175</f>
        <v>₹65,989.47</v>
      </c>
    </row>
    <row r="2176" ht="15.75" customHeight="1">
      <c r="A2176" s="53" t="s">
        <v>2246</v>
      </c>
      <c r="B2176" s="53" t="s">
        <v>17</v>
      </c>
      <c r="C2176" s="53" t="s">
        <v>18</v>
      </c>
      <c r="D2176" s="54">
        <v>115245.84</v>
      </c>
      <c r="E2176" s="54" t="str">
        <f t="shared" si="1"/>
        <v>₹1,382,950.08</v>
      </c>
      <c r="F2176" s="55" t="str">
        <f t="shared" si="2"/>
        <v>30.0%</v>
      </c>
      <c r="G2176" s="54" t="str">
        <f t="shared" si="3"/>
        <v>₹414,885.02</v>
      </c>
      <c r="H2176" s="54" t="str">
        <f t="shared" si="4"/>
        <v>₹34,573.75</v>
      </c>
      <c r="I2176" s="54" t="str">
        <f>100576.06-H2176</f>
        <v>₹66,002.31</v>
      </c>
    </row>
    <row r="2177" ht="15.75" customHeight="1">
      <c r="A2177" s="50" t="s">
        <v>2247</v>
      </c>
      <c r="B2177" s="50" t="s">
        <v>25</v>
      </c>
      <c r="C2177" s="50" t="s">
        <v>26</v>
      </c>
      <c r="D2177" s="51">
        <v>115269.02</v>
      </c>
      <c r="E2177" s="51" t="str">
        <f t="shared" si="1"/>
        <v>₹1,383,228.24</v>
      </c>
      <c r="F2177" s="52" t="str">
        <f t="shared" si="2"/>
        <v>30.0%</v>
      </c>
      <c r="G2177" s="51" t="str">
        <f t="shared" si="3"/>
        <v>₹414,968.47</v>
      </c>
      <c r="H2177" s="51" t="str">
        <f t="shared" si="4"/>
        <v>₹34,580.71</v>
      </c>
      <c r="I2177" s="51" t="str">
        <f>100595.84-H2177</f>
        <v>₹66,015.13</v>
      </c>
    </row>
    <row r="2178" ht="15.75" customHeight="1">
      <c r="A2178" s="53" t="s">
        <v>2248</v>
      </c>
      <c r="B2178" s="53" t="s">
        <v>53</v>
      </c>
      <c r="C2178" s="53" t="s">
        <v>18</v>
      </c>
      <c r="D2178" s="54">
        <v>115292.19</v>
      </c>
      <c r="E2178" s="54" t="str">
        <f t="shared" si="1"/>
        <v>₹1,383,506.28</v>
      </c>
      <c r="F2178" s="55" t="str">
        <f t="shared" si="2"/>
        <v>30.0%</v>
      </c>
      <c r="G2178" s="54" t="str">
        <f t="shared" si="3"/>
        <v>₹415,051.88</v>
      </c>
      <c r="H2178" s="54" t="str">
        <f t="shared" si="4"/>
        <v>₹34,587.66</v>
      </c>
      <c r="I2178" s="54" t="str">
        <f>100615.61-H2178</f>
        <v>₹66,027.95</v>
      </c>
    </row>
    <row r="2179" ht="15.75" customHeight="1">
      <c r="A2179" s="50" t="s">
        <v>2249</v>
      </c>
      <c r="B2179" s="50" t="s">
        <v>36</v>
      </c>
      <c r="C2179" s="50" t="s">
        <v>18</v>
      </c>
      <c r="D2179" s="51">
        <v>115315.37</v>
      </c>
      <c r="E2179" s="51" t="str">
        <f t="shared" si="1"/>
        <v>₹1,383,784.44</v>
      </c>
      <c r="F2179" s="52" t="str">
        <f t="shared" si="2"/>
        <v>30.0%</v>
      </c>
      <c r="G2179" s="51" t="str">
        <f t="shared" si="3"/>
        <v>₹415,135.33</v>
      </c>
      <c r="H2179" s="51" t="str">
        <f t="shared" si="4"/>
        <v>₹34,594.61</v>
      </c>
      <c r="I2179" s="51" t="str">
        <f>101121.01-H2179</f>
        <v>₹66,526.40</v>
      </c>
    </row>
    <row r="2180" ht="15.75" customHeight="1">
      <c r="A2180" s="53" t="s">
        <v>2250</v>
      </c>
      <c r="B2180" s="53" t="s">
        <v>25</v>
      </c>
      <c r="C2180" s="53" t="s">
        <v>30</v>
      </c>
      <c r="D2180" s="54">
        <v>115338.55</v>
      </c>
      <c r="E2180" s="54" t="str">
        <f t="shared" si="1"/>
        <v>₹1,384,062.60</v>
      </c>
      <c r="F2180" s="55" t="str">
        <f t="shared" si="2"/>
        <v>30.0%</v>
      </c>
      <c r="G2180" s="54" t="str">
        <f t="shared" si="3"/>
        <v>₹415,218.78</v>
      </c>
      <c r="H2180" s="54" t="str">
        <f t="shared" si="4"/>
        <v>₹34,601.57</v>
      </c>
      <c r="I2180" s="54" t="str">
        <f>100655.18-H2180</f>
        <v>₹66,053.62</v>
      </c>
    </row>
    <row r="2181" ht="15.75" customHeight="1">
      <c r="A2181" s="50" t="s">
        <v>2251</v>
      </c>
      <c r="B2181" s="50" t="s">
        <v>17</v>
      </c>
      <c r="C2181" s="50" t="s">
        <v>26</v>
      </c>
      <c r="D2181" s="51">
        <v>115384.9</v>
      </c>
      <c r="E2181" s="51" t="str">
        <f t="shared" si="1"/>
        <v>₹1,384,618.80</v>
      </c>
      <c r="F2181" s="52" t="str">
        <f t="shared" si="2"/>
        <v>30.0%</v>
      </c>
      <c r="G2181" s="51" t="str">
        <f t="shared" si="3"/>
        <v>₹415,385.64</v>
      </c>
      <c r="H2181" s="51" t="str">
        <f t="shared" si="4"/>
        <v>₹34,615.47</v>
      </c>
      <c r="I2181" s="51" t="str">
        <f>100694.73-H2181</f>
        <v>₹66,079.26</v>
      </c>
    </row>
    <row r="2182" ht="15.75" customHeight="1">
      <c r="A2182" s="53" t="s">
        <v>2252</v>
      </c>
      <c r="B2182" s="53" t="s">
        <v>51</v>
      </c>
      <c r="C2182" s="53" t="s">
        <v>26</v>
      </c>
      <c r="D2182" s="54">
        <v>115408.08</v>
      </c>
      <c r="E2182" s="54" t="str">
        <f t="shared" si="1"/>
        <v>₹1,384,896.96</v>
      </c>
      <c r="F2182" s="55" t="str">
        <f t="shared" si="2"/>
        <v>30.0%</v>
      </c>
      <c r="G2182" s="54" t="str">
        <f t="shared" si="3"/>
        <v>₹415,469.09</v>
      </c>
      <c r="H2182" s="54" t="str">
        <f t="shared" si="4"/>
        <v>₹34,622.42</v>
      </c>
      <c r="I2182" s="54" t="str">
        <f>100714.51-H2182</f>
        <v>₹66,092.09</v>
      </c>
    </row>
    <row r="2183" ht="15.75" customHeight="1">
      <c r="A2183" s="50" t="s">
        <v>2253</v>
      </c>
      <c r="B2183" s="50" t="s">
        <v>25</v>
      </c>
      <c r="C2183" s="50" t="s">
        <v>30</v>
      </c>
      <c r="D2183" s="51">
        <v>115431.26</v>
      </c>
      <c r="E2183" s="51" t="str">
        <f t="shared" si="1"/>
        <v>₹1,385,175.12</v>
      </c>
      <c r="F2183" s="52" t="str">
        <f t="shared" si="2"/>
        <v>30.0%</v>
      </c>
      <c r="G2183" s="51" t="str">
        <f t="shared" si="3"/>
        <v>₹415,552.54</v>
      </c>
      <c r="H2183" s="51" t="str">
        <f t="shared" si="4"/>
        <v>₹34,629.38</v>
      </c>
      <c r="I2183" s="51" t="str">
        <f>100734.29-H2183</f>
        <v>₹66,104.91</v>
      </c>
    </row>
    <row r="2184" ht="15.75" customHeight="1">
      <c r="A2184" s="53" t="s">
        <v>2254</v>
      </c>
      <c r="B2184" s="53" t="s">
        <v>25</v>
      </c>
      <c r="C2184" s="53" t="s">
        <v>14</v>
      </c>
      <c r="D2184" s="54">
        <v>115500.79</v>
      </c>
      <c r="E2184" s="54" t="str">
        <f t="shared" si="1"/>
        <v>₹1,386,009.48</v>
      </c>
      <c r="F2184" s="55" t="str">
        <f t="shared" si="2"/>
        <v>30.0%</v>
      </c>
      <c r="G2184" s="54" t="str">
        <f t="shared" si="3"/>
        <v>₹415,802.84</v>
      </c>
      <c r="H2184" s="54" t="str">
        <f t="shared" si="4"/>
        <v>₹34,650.24</v>
      </c>
      <c r="I2184" s="54" t="str">
        <f>100793.63-H2184</f>
        <v>₹66,143.39</v>
      </c>
    </row>
    <row r="2185" ht="15.75" customHeight="1">
      <c r="A2185" s="50" t="s">
        <v>2255</v>
      </c>
      <c r="B2185" s="50" t="s">
        <v>36</v>
      </c>
      <c r="C2185" s="50" t="s">
        <v>37</v>
      </c>
      <c r="D2185" s="51">
        <v>115523.97</v>
      </c>
      <c r="E2185" s="51" t="str">
        <f t="shared" si="1"/>
        <v>₹1,386,287.64</v>
      </c>
      <c r="F2185" s="52" t="str">
        <f t="shared" si="2"/>
        <v>30.0%</v>
      </c>
      <c r="G2185" s="51" t="str">
        <f t="shared" si="3"/>
        <v>₹415,886.29</v>
      </c>
      <c r="H2185" s="51" t="str">
        <f t="shared" si="4"/>
        <v>₹34,657.19</v>
      </c>
      <c r="I2185" s="51" t="str">
        <f>100813.41-H2185</f>
        <v>₹66,156.22</v>
      </c>
    </row>
    <row r="2186" ht="15.75" customHeight="1">
      <c r="A2186" s="53" t="s">
        <v>2256</v>
      </c>
      <c r="B2186" s="53" t="s">
        <v>53</v>
      </c>
      <c r="C2186" s="53" t="s">
        <v>18</v>
      </c>
      <c r="D2186" s="54">
        <v>115547.15</v>
      </c>
      <c r="E2186" s="54" t="str">
        <f t="shared" si="1"/>
        <v>₹1,386,565.80</v>
      </c>
      <c r="F2186" s="55" t="str">
        <f t="shared" si="2"/>
        <v>30.0%</v>
      </c>
      <c r="G2186" s="54" t="str">
        <f t="shared" si="3"/>
        <v>₹415,969.74</v>
      </c>
      <c r="H2186" s="54" t="str">
        <f t="shared" si="4"/>
        <v>₹34,664.15</v>
      </c>
      <c r="I2186" s="54" t="str">
        <f>100833.2-H2186</f>
        <v>₹66,169.06</v>
      </c>
    </row>
    <row r="2187" ht="15.75" customHeight="1">
      <c r="A2187" s="50" t="s">
        <v>2257</v>
      </c>
      <c r="B2187" s="50" t="s">
        <v>25</v>
      </c>
      <c r="C2187" s="50" t="s">
        <v>14</v>
      </c>
      <c r="D2187" s="51">
        <v>115570.33</v>
      </c>
      <c r="E2187" s="51" t="str">
        <f t="shared" si="1"/>
        <v>₹1,386,843.96</v>
      </c>
      <c r="F2187" s="52" t="str">
        <f t="shared" si="2"/>
        <v>30.0%</v>
      </c>
      <c r="G2187" s="51" t="str">
        <f t="shared" si="3"/>
        <v>₹416,053.19</v>
      </c>
      <c r="H2187" s="51" t="str">
        <f t="shared" si="4"/>
        <v>₹34,671.10</v>
      </c>
      <c r="I2187" s="51" t="str">
        <f>100852.98-H2187</f>
        <v>₹66,181.88</v>
      </c>
    </row>
    <row r="2188" ht="15.75" customHeight="1">
      <c r="A2188" s="53" t="s">
        <v>2258</v>
      </c>
      <c r="B2188" s="53" t="s">
        <v>13</v>
      </c>
      <c r="C2188" s="53" t="s">
        <v>18</v>
      </c>
      <c r="D2188" s="54">
        <v>115593.5</v>
      </c>
      <c r="E2188" s="54" t="str">
        <f t="shared" si="1"/>
        <v>₹1,387,122.00</v>
      </c>
      <c r="F2188" s="55" t="str">
        <f t="shared" si="2"/>
        <v>30.0%</v>
      </c>
      <c r="G2188" s="54" t="str">
        <f t="shared" si="3"/>
        <v>₹416,136.60</v>
      </c>
      <c r="H2188" s="54" t="str">
        <f t="shared" si="4"/>
        <v>₹34,678.05</v>
      </c>
      <c r="I2188" s="54" t="str">
        <f>100872.75-H2188</f>
        <v>₹66,194.70</v>
      </c>
    </row>
    <row r="2189" ht="15.75" customHeight="1">
      <c r="A2189" s="50" t="s">
        <v>2259</v>
      </c>
      <c r="B2189" s="50" t="s">
        <v>53</v>
      </c>
      <c r="C2189" s="50" t="s">
        <v>18</v>
      </c>
      <c r="D2189" s="51">
        <v>115616.68</v>
      </c>
      <c r="E2189" s="51" t="str">
        <f t="shared" si="1"/>
        <v>₹1,387,400.16</v>
      </c>
      <c r="F2189" s="52" t="str">
        <f t="shared" si="2"/>
        <v>30.0%</v>
      </c>
      <c r="G2189" s="51" t="str">
        <f t="shared" si="3"/>
        <v>₹416,220.05</v>
      </c>
      <c r="H2189" s="51" t="str">
        <f t="shared" si="4"/>
        <v>₹34,685.00</v>
      </c>
      <c r="I2189" s="51" t="str">
        <f>100892.53-H2189</f>
        <v>₹66,207.53</v>
      </c>
    </row>
    <row r="2190" ht="15.75" customHeight="1">
      <c r="A2190" s="53" t="s">
        <v>2260</v>
      </c>
      <c r="B2190" s="53" t="s">
        <v>53</v>
      </c>
      <c r="C2190" s="53" t="s">
        <v>54</v>
      </c>
      <c r="D2190" s="54">
        <v>115639.86</v>
      </c>
      <c r="E2190" s="54" t="str">
        <f t="shared" si="1"/>
        <v>₹1,387,678.32</v>
      </c>
      <c r="F2190" s="55" t="str">
        <f t="shared" si="2"/>
        <v>30.0%</v>
      </c>
      <c r="G2190" s="54" t="str">
        <f t="shared" si="3"/>
        <v>₹416,303.50</v>
      </c>
      <c r="H2190" s="54" t="str">
        <f t="shared" si="4"/>
        <v>₹34,691.96</v>
      </c>
      <c r="I2190" s="54" t="str">
        <f>100912.32-H2190</f>
        <v>₹66,220.36</v>
      </c>
    </row>
    <row r="2191" ht="15.75" customHeight="1">
      <c r="A2191" s="50" t="s">
        <v>2261</v>
      </c>
      <c r="B2191" s="50" t="s">
        <v>17</v>
      </c>
      <c r="C2191" s="50" t="s">
        <v>54</v>
      </c>
      <c r="D2191" s="51">
        <v>115663.04</v>
      </c>
      <c r="E2191" s="51" t="str">
        <f t="shared" si="1"/>
        <v>₹1,387,956.48</v>
      </c>
      <c r="F2191" s="52" t="str">
        <f t="shared" si="2"/>
        <v>30.0%</v>
      </c>
      <c r="G2191" s="51" t="str">
        <f t="shared" si="3"/>
        <v>₹416,386.94</v>
      </c>
      <c r="H2191" s="51" t="str">
        <f t="shared" si="4"/>
        <v>₹34,698.91</v>
      </c>
      <c r="I2191" s="51" t="str">
        <f>100932.1-H2191</f>
        <v>₹66,233.19</v>
      </c>
    </row>
    <row r="2192" ht="15.75" customHeight="1">
      <c r="A2192" s="53" t="s">
        <v>2262</v>
      </c>
      <c r="B2192" s="53" t="s">
        <v>13</v>
      </c>
      <c r="C2192" s="53" t="s">
        <v>37</v>
      </c>
      <c r="D2192" s="54">
        <v>115686.21</v>
      </c>
      <c r="E2192" s="54" t="str">
        <f t="shared" si="1"/>
        <v>₹1,388,234.52</v>
      </c>
      <c r="F2192" s="55" t="str">
        <f t="shared" si="2"/>
        <v>30.0%</v>
      </c>
      <c r="G2192" s="54" t="str">
        <f t="shared" si="3"/>
        <v>₹416,470.36</v>
      </c>
      <c r="H2192" s="54" t="str">
        <f t="shared" si="4"/>
        <v>₹34,705.86</v>
      </c>
      <c r="I2192" s="54" t="str">
        <f>100951.87-H2192</f>
        <v>₹66,246.01</v>
      </c>
    </row>
    <row r="2193" ht="15.75" customHeight="1">
      <c r="A2193" s="50" t="s">
        <v>2263</v>
      </c>
      <c r="B2193" s="50" t="s">
        <v>36</v>
      </c>
      <c r="C2193" s="50" t="s">
        <v>14</v>
      </c>
      <c r="D2193" s="51">
        <v>115709.39</v>
      </c>
      <c r="E2193" s="51" t="str">
        <f t="shared" si="1"/>
        <v>₹1,388,512.68</v>
      </c>
      <c r="F2193" s="52" t="str">
        <f t="shared" si="2"/>
        <v>30.0%</v>
      </c>
      <c r="G2193" s="51" t="str">
        <f t="shared" si="3"/>
        <v>₹416,553.80</v>
      </c>
      <c r="H2193" s="51" t="str">
        <f t="shared" si="4"/>
        <v>₹34,712.82</v>
      </c>
      <c r="I2193" s="51" t="str">
        <f>100971.65-H2193</f>
        <v>₹66,258.83</v>
      </c>
    </row>
    <row r="2194" ht="15.75" customHeight="1">
      <c r="A2194" s="53" t="s">
        <v>2264</v>
      </c>
      <c r="B2194" s="53" t="s">
        <v>29</v>
      </c>
      <c r="C2194" s="53" t="s">
        <v>26</v>
      </c>
      <c r="D2194" s="54">
        <v>115755.75</v>
      </c>
      <c r="E2194" s="54" t="str">
        <f t="shared" si="1"/>
        <v>₹1,389,069.00</v>
      </c>
      <c r="F2194" s="55" t="str">
        <f t="shared" si="2"/>
        <v>30.0%</v>
      </c>
      <c r="G2194" s="54" t="str">
        <f t="shared" si="3"/>
        <v>₹416,720.70</v>
      </c>
      <c r="H2194" s="54" t="str">
        <f t="shared" si="4"/>
        <v>₹34,726.73</v>
      </c>
      <c r="I2194" s="54" t="str">
        <f>101011.22-H2194</f>
        <v>₹66,284.50</v>
      </c>
    </row>
    <row r="2195" ht="15.75" customHeight="1">
      <c r="A2195" s="50" t="s">
        <v>2265</v>
      </c>
      <c r="B2195" s="50" t="s">
        <v>13</v>
      </c>
      <c r="C2195" s="50" t="s">
        <v>30</v>
      </c>
      <c r="D2195" s="51">
        <v>115778.92</v>
      </c>
      <c r="E2195" s="51" t="str">
        <f t="shared" si="1"/>
        <v>₹1,389,347.04</v>
      </c>
      <c r="F2195" s="52" t="str">
        <f t="shared" si="2"/>
        <v>30.0%</v>
      </c>
      <c r="G2195" s="51" t="str">
        <f t="shared" si="3"/>
        <v>₹416,804.11</v>
      </c>
      <c r="H2195" s="51" t="str">
        <f t="shared" si="4"/>
        <v>₹34,733.68</v>
      </c>
      <c r="I2195" s="51" t="str">
        <f>101030.99-H2195</f>
        <v>₹66,297.31</v>
      </c>
    </row>
    <row r="2196" ht="15.75" customHeight="1">
      <c r="A2196" s="53" t="s">
        <v>2266</v>
      </c>
      <c r="B2196" s="53" t="s">
        <v>13</v>
      </c>
      <c r="C2196" s="53" t="s">
        <v>33</v>
      </c>
      <c r="D2196" s="54">
        <v>115802.1</v>
      </c>
      <c r="E2196" s="54" t="str">
        <f t="shared" si="1"/>
        <v>₹1,389,625.20</v>
      </c>
      <c r="F2196" s="55" t="str">
        <f t="shared" si="2"/>
        <v>30.0%</v>
      </c>
      <c r="G2196" s="54" t="str">
        <f t="shared" si="3"/>
        <v>₹416,887.56</v>
      </c>
      <c r="H2196" s="54" t="str">
        <f t="shared" si="4"/>
        <v>₹34,740.63</v>
      </c>
      <c r="I2196" s="54" t="str">
        <f>101050.77-H2196</f>
        <v>₹66,310.14</v>
      </c>
    </row>
    <row r="2197" ht="15.75" customHeight="1">
      <c r="A2197" s="50" t="s">
        <v>2267</v>
      </c>
      <c r="B2197" s="50" t="s">
        <v>13</v>
      </c>
      <c r="C2197" s="50" t="s">
        <v>30</v>
      </c>
      <c r="D2197" s="51">
        <v>115825.28</v>
      </c>
      <c r="E2197" s="51" t="str">
        <f t="shared" si="1"/>
        <v>₹1,389,903.36</v>
      </c>
      <c r="F2197" s="52" t="str">
        <f t="shared" si="2"/>
        <v>30.0%</v>
      </c>
      <c r="G2197" s="51" t="str">
        <f t="shared" si="3"/>
        <v>₹416,971.01</v>
      </c>
      <c r="H2197" s="51" t="str">
        <f t="shared" si="4"/>
        <v>₹34,747.58</v>
      </c>
      <c r="I2197" s="51" t="str">
        <f>101070.56-H2197</f>
        <v>₹66,322.98</v>
      </c>
    </row>
    <row r="2198" ht="15.75" customHeight="1">
      <c r="A2198" s="53" t="s">
        <v>2268</v>
      </c>
      <c r="B2198" s="53" t="s">
        <v>13</v>
      </c>
      <c r="C2198" s="53" t="s">
        <v>26</v>
      </c>
      <c r="D2198" s="54">
        <v>115848.46</v>
      </c>
      <c r="E2198" s="54" t="str">
        <f t="shared" si="1"/>
        <v>₹1,390,181.52</v>
      </c>
      <c r="F2198" s="55" t="str">
        <f t="shared" si="2"/>
        <v>30.0%</v>
      </c>
      <c r="G2198" s="54" t="str">
        <f t="shared" si="3"/>
        <v>₹417,054.46</v>
      </c>
      <c r="H2198" s="54" t="str">
        <f t="shared" si="4"/>
        <v>₹34,754.54</v>
      </c>
      <c r="I2198" s="54" t="str">
        <f>101090.34-H2198</f>
        <v>₹66,335.80</v>
      </c>
    </row>
    <row r="2199" ht="15.75" customHeight="1">
      <c r="A2199" s="50" t="s">
        <v>2269</v>
      </c>
      <c r="B2199" s="50" t="s">
        <v>17</v>
      </c>
      <c r="C2199" s="50" t="s">
        <v>18</v>
      </c>
      <c r="D2199" s="51">
        <v>115871.64</v>
      </c>
      <c r="E2199" s="51" t="str">
        <f t="shared" si="1"/>
        <v>₹1,390,459.68</v>
      </c>
      <c r="F2199" s="52" t="str">
        <f t="shared" si="2"/>
        <v>30.0%</v>
      </c>
      <c r="G2199" s="51" t="str">
        <f t="shared" si="3"/>
        <v>₹417,137.90</v>
      </c>
      <c r="H2199" s="51" t="str">
        <f t="shared" si="4"/>
        <v>₹34,761.49</v>
      </c>
      <c r="I2199" s="51" t="str">
        <f>101110.12-H2199</f>
        <v>₹66,348.63</v>
      </c>
    </row>
    <row r="2200" ht="15.75" customHeight="1">
      <c r="A2200" s="53" t="s">
        <v>2270</v>
      </c>
      <c r="B2200" s="53" t="s">
        <v>25</v>
      </c>
      <c r="C2200" s="53" t="s">
        <v>33</v>
      </c>
      <c r="D2200" s="54">
        <v>115894.81</v>
      </c>
      <c r="E2200" s="54" t="str">
        <f t="shared" si="1"/>
        <v>₹1,390,737.72</v>
      </c>
      <c r="F2200" s="55" t="str">
        <f t="shared" si="2"/>
        <v>30.0%</v>
      </c>
      <c r="G2200" s="54" t="str">
        <f t="shared" si="3"/>
        <v>₹417,221.32</v>
      </c>
      <c r="H2200" s="54" t="str">
        <f t="shared" si="4"/>
        <v>₹34,768.44</v>
      </c>
      <c r="I2200" s="54" t="str">
        <f>101129.89-H2200</f>
        <v>₹66,361.45</v>
      </c>
    </row>
    <row r="2201" ht="15.75" customHeight="1">
      <c r="A2201" s="50" t="s">
        <v>2271</v>
      </c>
      <c r="B2201" s="50" t="s">
        <v>29</v>
      </c>
      <c r="C2201" s="50" t="s">
        <v>18</v>
      </c>
      <c r="D2201" s="51">
        <v>115917.99</v>
      </c>
      <c r="E2201" s="51" t="str">
        <f t="shared" si="1"/>
        <v>₹1,391,015.88</v>
      </c>
      <c r="F2201" s="52" t="str">
        <f t="shared" si="2"/>
        <v>30.0%</v>
      </c>
      <c r="G2201" s="51" t="str">
        <f t="shared" si="3"/>
        <v>₹417,304.76</v>
      </c>
      <c r="H2201" s="51" t="str">
        <f t="shared" si="4"/>
        <v>₹34,775.40</v>
      </c>
      <c r="I2201" s="51" t="str">
        <f>101149.68-H2201</f>
        <v>₹66,374.28</v>
      </c>
    </row>
    <row r="2202" ht="15.75" customHeight="1">
      <c r="A2202" s="53" t="s">
        <v>2272</v>
      </c>
      <c r="B2202" s="53" t="s">
        <v>51</v>
      </c>
      <c r="C2202" s="53" t="s">
        <v>14</v>
      </c>
      <c r="D2202" s="54">
        <v>115941.17</v>
      </c>
      <c r="E2202" s="54" t="str">
        <f t="shared" si="1"/>
        <v>₹1,391,294.04</v>
      </c>
      <c r="F2202" s="55" t="str">
        <f t="shared" si="2"/>
        <v>30.0%</v>
      </c>
      <c r="G2202" s="54" t="str">
        <f t="shared" si="3"/>
        <v>₹417,388.21</v>
      </c>
      <c r="H2202" s="54" t="str">
        <f t="shared" si="4"/>
        <v>₹34,782.35</v>
      </c>
      <c r="I2202" s="54" t="str">
        <f>101169.46-H2202</f>
        <v>₹66,387.11</v>
      </c>
    </row>
    <row r="2203" ht="15.75" customHeight="1">
      <c r="A2203" s="50" t="s">
        <v>2273</v>
      </c>
      <c r="B2203" s="50" t="s">
        <v>13</v>
      </c>
      <c r="C2203" s="50" t="s">
        <v>54</v>
      </c>
      <c r="D2203" s="51">
        <v>115964.35</v>
      </c>
      <c r="E2203" s="51" t="str">
        <f t="shared" si="1"/>
        <v>₹1,391,572.20</v>
      </c>
      <c r="F2203" s="52" t="str">
        <f t="shared" si="2"/>
        <v>30.0%</v>
      </c>
      <c r="G2203" s="51" t="str">
        <f t="shared" si="3"/>
        <v>₹417,471.66</v>
      </c>
      <c r="H2203" s="51" t="str">
        <f t="shared" si="4"/>
        <v>₹34,789.31</v>
      </c>
      <c r="I2203" s="51" t="str">
        <f>101189.24-H2203</f>
        <v>₹66,399.94</v>
      </c>
    </row>
    <row r="2204" ht="15.75" customHeight="1">
      <c r="A2204" s="53" t="s">
        <v>2274</v>
      </c>
      <c r="B2204" s="53" t="s">
        <v>51</v>
      </c>
      <c r="C2204" s="53" t="s">
        <v>30</v>
      </c>
      <c r="D2204" s="54">
        <v>115987.52</v>
      </c>
      <c r="E2204" s="54" t="str">
        <f t="shared" si="1"/>
        <v>₹1,391,850.24</v>
      </c>
      <c r="F2204" s="55" t="str">
        <f t="shared" si="2"/>
        <v>30.0%</v>
      </c>
      <c r="G2204" s="54" t="str">
        <f t="shared" si="3"/>
        <v>₹417,555.07</v>
      </c>
      <c r="H2204" s="54" t="str">
        <f t="shared" si="4"/>
        <v>₹34,796.26</v>
      </c>
      <c r="I2204" s="54" t="str">
        <f>101209.01-H2204</f>
        <v>₹66,412.75</v>
      </c>
    </row>
    <row r="2205" ht="15.75" customHeight="1">
      <c r="A2205" s="50" t="s">
        <v>2275</v>
      </c>
      <c r="B2205" s="50" t="s">
        <v>25</v>
      </c>
      <c r="C2205" s="50" t="s">
        <v>33</v>
      </c>
      <c r="D2205" s="51">
        <v>116010.7</v>
      </c>
      <c r="E2205" s="51" t="str">
        <f t="shared" si="1"/>
        <v>₹1,392,128.40</v>
      </c>
      <c r="F2205" s="52" t="str">
        <f t="shared" si="2"/>
        <v>30.0%</v>
      </c>
      <c r="G2205" s="51" t="str">
        <f t="shared" si="3"/>
        <v>₹417,638.52</v>
      </c>
      <c r="H2205" s="51" t="str">
        <f t="shared" si="4"/>
        <v>₹34,803.21</v>
      </c>
      <c r="I2205" s="51" t="str">
        <f>101228.8-H2205</f>
        <v>₹66,425.59</v>
      </c>
    </row>
    <row r="2206" ht="15.75" customHeight="1">
      <c r="A2206" s="53" t="s">
        <v>2276</v>
      </c>
      <c r="B2206" s="53" t="s">
        <v>17</v>
      </c>
      <c r="C2206" s="53" t="s">
        <v>54</v>
      </c>
      <c r="D2206" s="54">
        <v>116033.88</v>
      </c>
      <c r="E2206" s="54" t="str">
        <f t="shared" si="1"/>
        <v>₹1,392,406.56</v>
      </c>
      <c r="F2206" s="55" t="str">
        <f t="shared" si="2"/>
        <v>30.0%</v>
      </c>
      <c r="G2206" s="54" t="str">
        <f t="shared" si="3"/>
        <v>₹417,721.97</v>
      </c>
      <c r="H2206" s="54" t="str">
        <f t="shared" si="4"/>
        <v>₹34,810.16</v>
      </c>
      <c r="I2206" s="54" t="str">
        <f>101248.58-H2206</f>
        <v>₹66,438.42</v>
      </c>
    </row>
    <row r="2207" ht="15.75" customHeight="1">
      <c r="A2207" s="50" t="s">
        <v>2277</v>
      </c>
      <c r="B2207" s="50" t="s">
        <v>29</v>
      </c>
      <c r="C2207" s="50" t="s">
        <v>37</v>
      </c>
      <c r="D2207" s="51">
        <v>116057.06</v>
      </c>
      <c r="E2207" s="51" t="str">
        <f t="shared" si="1"/>
        <v>₹1,392,684.72</v>
      </c>
      <c r="F2207" s="52" t="str">
        <f t="shared" si="2"/>
        <v>30.0%</v>
      </c>
      <c r="G2207" s="51" t="str">
        <f t="shared" si="3"/>
        <v>₹417,805.42</v>
      </c>
      <c r="H2207" s="51" t="str">
        <f t="shared" si="4"/>
        <v>₹34,817.12</v>
      </c>
      <c r="I2207" s="51" t="str">
        <f>101268.36-H2207</f>
        <v>₹66,451.24</v>
      </c>
    </row>
    <row r="2208" ht="15.75" customHeight="1">
      <c r="A2208" s="53" t="s">
        <v>2278</v>
      </c>
      <c r="B2208" s="53" t="s">
        <v>36</v>
      </c>
      <c r="C2208" s="53" t="s">
        <v>33</v>
      </c>
      <c r="D2208" s="54">
        <v>116080.23</v>
      </c>
      <c r="E2208" s="54" t="str">
        <f t="shared" si="1"/>
        <v>₹1,392,962.76</v>
      </c>
      <c r="F2208" s="55" t="str">
        <f t="shared" si="2"/>
        <v>30.0%</v>
      </c>
      <c r="G2208" s="54" t="str">
        <f t="shared" si="3"/>
        <v>₹417,888.83</v>
      </c>
      <c r="H2208" s="54" t="str">
        <f t="shared" si="4"/>
        <v>₹34,824.07</v>
      </c>
      <c r="I2208" s="54" t="str">
        <f>101288.13-H2208</f>
        <v>₹66,464.06</v>
      </c>
    </row>
    <row r="2209" ht="15.75" customHeight="1">
      <c r="A2209" s="50" t="s">
        <v>2279</v>
      </c>
      <c r="B2209" s="50" t="s">
        <v>36</v>
      </c>
      <c r="C2209" s="50" t="s">
        <v>33</v>
      </c>
      <c r="D2209" s="51">
        <v>116103.41</v>
      </c>
      <c r="E2209" s="51" t="str">
        <f t="shared" si="1"/>
        <v>₹1,393,240.92</v>
      </c>
      <c r="F2209" s="52" t="str">
        <f t="shared" si="2"/>
        <v>30.0%</v>
      </c>
      <c r="G2209" s="51" t="str">
        <f t="shared" si="3"/>
        <v>₹417,972.28</v>
      </c>
      <c r="H2209" s="51" t="str">
        <f t="shared" si="4"/>
        <v>₹34,831.02</v>
      </c>
      <c r="I2209" s="51" t="str">
        <f>101307.92-H2209</f>
        <v>₹66,476.90</v>
      </c>
    </row>
    <row r="2210" ht="15.75" customHeight="1">
      <c r="A2210" s="53" t="s">
        <v>2280</v>
      </c>
      <c r="B2210" s="53" t="s">
        <v>36</v>
      </c>
      <c r="C2210" s="53" t="s">
        <v>14</v>
      </c>
      <c r="D2210" s="54">
        <v>116126.59</v>
      </c>
      <c r="E2210" s="54" t="str">
        <f t="shared" si="1"/>
        <v>₹1,393,519.08</v>
      </c>
      <c r="F2210" s="55" t="str">
        <f t="shared" si="2"/>
        <v>30.0%</v>
      </c>
      <c r="G2210" s="54" t="str">
        <f t="shared" si="3"/>
        <v>₹418,055.72</v>
      </c>
      <c r="H2210" s="54" t="str">
        <f t="shared" si="4"/>
        <v>₹34,837.98</v>
      </c>
      <c r="I2210" s="54" t="str">
        <f>101327.7-H2210</f>
        <v>₹66,489.72</v>
      </c>
    </row>
    <row r="2211" ht="15.75" customHeight="1">
      <c r="A2211" s="50" t="s">
        <v>2281</v>
      </c>
      <c r="B2211" s="50" t="s">
        <v>53</v>
      </c>
      <c r="C2211" s="50" t="s">
        <v>26</v>
      </c>
      <c r="D2211" s="51">
        <v>116149.77</v>
      </c>
      <c r="E2211" s="51" t="str">
        <f t="shared" si="1"/>
        <v>₹1,393,797.24</v>
      </c>
      <c r="F2211" s="52" t="str">
        <f t="shared" si="2"/>
        <v>30.0%</v>
      </c>
      <c r="G2211" s="51" t="str">
        <f t="shared" si="3"/>
        <v>₹418,139.17</v>
      </c>
      <c r="H2211" s="51" t="str">
        <f t="shared" si="4"/>
        <v>₹34,844.93</v>
      </c>
      <c r="I2211" s="51" t="str">
        <f>101347.48-H2211</f>
        <v>₹66,502.55</v>
      </c>
    </row>
    <row r="2212" ht="15.75" customHeight="1">
      <c r="A2212" s="53" t="s">
        <v>2282</v>
      </c>
      <c r="B2212" s="53" t="s">
        <v>36</v>
      </c>
      <c r="C2212" s="53" t="s">
        <v>18</v>
      </c>
      <c r="D2212" s="54">
        <v>116172.95</v>
      </c>
      <c r="E2212" s="54" t="str">
        <f t="shared" si="1"/>
        <v>₹1,394,075.40</v>
      </c>
      <c r="F2212" s="55" t="str">
        <f t="shared" si="2"/>
        <v>30.0%</v>
      </c>
      <c r="G2212" s="54" t="str">
        <f t="shared" si="3"/>
        <v>₹418,222.62</v>
      </c>
      <c r="H2212" s="54" t="str">
        <f t="shared" si="4"/>
        <v>₹34,851.89</v>
      </c>
      <c r="I2212" s="54" t="str">
        <f>101367.26-H2212</f>
        <v>₹66,515.38</v>
      </c>
    </row>
    <row r="2213" ht="15.75" customHeight="1">
      <c r="A2213" s="50" t="s">
        <v>2283</v>
      </c>
      <c r="B2213" s="50" t="s">
        <v>36</v>
      </c>
      <c r="C2213" s="50" t="s">
        <v>18</v>
      </c>
      <c r="D2213" s="51">
        <v>116196.12</v>
      </c>
      <c r="E2213" s="51" t="str">
        <f t="shared" si="1"/>
        <v>₹1,394,353.44</v>
      </c>
      <c r="F2213" s="52" t="str">
        <f t="shared" si="2"/>
        <v>30.0%</v>
      </c>
      <c r="G2213" s="51" t="str">
        <f t="shared" si="3"/>
        <v>₹418,306.03</v>
      </c>
      <c r="H2213" s="51" t="str">
        <f t="shared" si="4"/>
        <v>₹34,858.84</v>
      </c>
      <c r="I2213" s="51" t="str">
        <f>101387.04-H2213</f>
        <v>₹66,528.20</v>
      </c>
    </row>
    <row r="2214" ht="15.75" customHeight="1">
      <c r="A2214" s="53" t="s">
        <v>2284</v>
      </c>
      <c r="B2214" s="53" t="s">
        <v>29</v>
      </c>
      <c r="C2214" s="53" t="s">
        <v>37</v>
      </c>
      <c r="D2214" s="54">
        <v>116219.3</v>
      </c>
      <c r="E2214" s="54" t="str">
        <f t="shared" si="1"/>
        <v>₹1,394,631.60</v>
      </c>
      <c r="F2214" s="55" t="str">
        <f t="shared" si="2"/>
        <v>30.0%</v>
      </c>
      <c r="G2214" s="54" t="str">
        <f t="shared" si="3"/>
        <v>₹418,389.48</v>
      </c>
      <c r="H2214" s="54" t="str">
        <f t="shared" si="4"/>
        <v>₹34,865.79</v>
      </c>
      <c r="I2214" s="54" t="str">
        <f>101406.82-H2214</f>
        <v>₹66,541.03</v>
      </c>
    </row>
    <row r="2215" ht="15.75" customHeight="1">
      <c r="A2215" s="50" t="s">
        <v>2285</v>
      </c>
      <c r="B2215" s="50" t="s">
        <v>13</v>
      </c>
      <c r="C2215" s="50" t="s">
        <v>26</v>
      </c>
      <c r="D2215" s="51">
        <v>116242.48</v>
      </c>
      <c r="E2215" s="51" t="str">
        <f t="shared" si="1"/>
        <v>₹1,394,909.76</v>
      </c>
      <c r="F2215" s="52" t="str">
        <f t="shared" si="2"/>
        <v>30.0%</v>
      </c>
      <c r="G2215" s="51" t="str">
        <f t="shared" si="3"/>
        <v>₹418,472.93</v>
      </c>
      <c r="H2215" s="51" t="str">
        <f t="shared" si="4"/>
        <v>₹34,872.74</v>
      </c>
      <c r="I2215" s="51" t="str">
        <f>101426.6-H2215</f>
        <v>₹66,553.86</v>
      </c>
    </row>
    <row r="2216" ht="15.75" customHeight="1">
      <c r="A2216" s="53" t="s">
        <v>2286</v>
      </c>
      <c r="B2216" s="53" t="s">
        <v>36</v>
      </c>
      <c r="C2216" s="53" t="s">
        <v>54</v>
      </c>
      <c r="D2216" s="54">
        <v>116265.66</v>
      </c>
      <c r="E2216" s="54" t="str">
        <f t="shared" si="1"/>
        <v>₹1,395,187.92</v>
      </c>
      <c r="F2216" s="55" t="str">
        <f t="shared" si="2"/>
        <v>30.0%</v>
      </c>
      <c r="G2216" s="54" t="str">
        <f t="shared" si="3"/>
        <v>₹418,556.38</v>
      </c>
      <c r="H2216" s="54" t="str">
        <f t="shared" si="4"/>
        <v>₹34,879.70</v>
      </c>
      <c r="I2216" s="54" t="str">
        <f>101446.38-H2216</f>
        <v>₹66,566.68</v>
      </c>
    </row>
    <row r="2217" ht="15.75" customHeight="1">
      <c r="A2217" s="50" t="s">
        <v>2287</v>
      </c>
      <c r="B2217" s="50" t="s">
        <v>53</v>
      </c>
      <c r="C2217" s="50" t="s">
        <v>18</v>
      </c>
      <c r="D2217" s="51">
        <v>116288.83</v>
      </c>
      <c r="E2217" s="51" t="str">
        <f t="shared" si="1"/>
        <v>₹1,395,465.96</v>
      </c>
      <c r="F2217" s="52" t="str">
        <f t="shared" si="2"/>
        <v>30.0%</v>
      </c>
      <c r="G2217" s="51" t="str">
        <f t="shared" si="3"/>
        <v>₹418,639.79</v>
      </c>
      <c r="H2217" s="51" t="str">
        <f t="shared" si="4"/>
        <v>₹34,886.65</v>
      </c>
      <c r="I2217" s="51" t="str">
        <f>101466.16-H2217</f>
        <v>₹66,579.51</v>
      </c>
    </row>
    <row r="2218" ht="15.75" customHeight="1">
      <c r="A2218" s="53" t="s">
        <v>2288</v>
      </c>
      <c r="B2218" s="53" t="s">
        <v>13</v>
      </c>
      <c r="C2218" s="53" t="s">
        <v>14</v>
      </c>
      <c r="D2218" s="54">
        <v>116312.01</v>
      </c>
      <c r="E2218" s="54" t="str">
        <f t="shared" si="1"/>
        <v>₹1,395,744.12</v>
      </c>
      <c r="F2218" s="55" t="str">
        <f t="shared" si="2"/>
        <v>30.0%</v>
      </c>
      <c r="G2218" s="54" t="str">
        <f t="shared" si="3"/>
        <v>₹418,723.24</v>
      </c>
      <c r="H2218" s="54" t="str">
        <f t="shared" si="4"/>
        <v>₹34,893.60</v>
      </c>
      <c r="I2218" s="54" t="str">
        <f>101485.94-H2218</f>
        <v>₹66,592.34</v>
      </c>
    </row>
    <row r="2219" ht="15.75" customHeight="1">
      <c r="A2219" s="50" t="s">
        <v>2289</v>
      </c>
      <c r="B2219" s="50" t="s">
        <v>51</v>
      </c>
      <c r="C2219" s="50" t="s">
        <v>14</v>
      </c>
      <c r="D2219" s="51">
        <v>116335.19</v>
      </c>
      <c r="E2219" s="51" t="str">
        <f t="shared" si="1"/>
        <v>₹1,396,022.28</v>
      </c>
      <c r="F2219" s="52" t="str">
        <f t="shared" si="2"/>
        <v>30.0%</v>
      </c>
      <c r="G2219" s="51" t="str">
        <f t="shared" si="3"/>
        <v>₹418,806.68</v>
      </c>
      <c r="H2219" s="51" t="str">
        <f t="shared" si="4"/>
        <v>₹34,900.56</v>
      </c>
      <c r="I2219" s="51" t="str">
        <f>101817.28-H2219</f>
        <v>₹66,916.72</v>
      </c>
    </row>
    <row r="2220" ht="15.75" customHeight="1">
      <c r="A2220" s="53" t="s">
        <v>2290</v>
      </c>
      <c r="B2220" s="53" t="s">
        <v>13</v>
      </c>
      <c r="C2220" s="53" t="s">
        <v>18</v>
      </c>
      <c r="D2220" s="54">
        <v>116358.37</v>
      </c>
      <c r="E2220" s="54" t="str">
        <f t="shared" si="1"/>
        <v>₹1,396,300.44</v>
      </c>
      <c r="F2220" s="55" t="str">
        <f t="shared" si="2"/>
        <v>30.0%</v>
      </c>
      <c r="G2220" s="54" t="str">
        <f t="shared" si="3"/>
        <v>₹418,890.13</v>
      </c>
      <c r="H2220" s="54" t="str">
        <f t="shared" si="4"/>
        <v>₹34,907.51</v>
      </c>
      <c r="I2220" s="54" t="str">
        <f>101525.5-H2220</f>
        <v>₹66,617.99</v>
      </c>
    </row>
    <row r="2221" ht="15.75" customHeight="1">
      <c r="A2221" s="50" t="s">
        <v>2291</v>
      </c>
      <c r="B2221" s="50" t="s">
        <v>53</v>
      </c>
      <c r="C2221" s="50" t="s">
        <v>54</v>
      </c>
      <c r="D2221" s="51">
        <v>116381.54</v>
      </c>
      <c r="E2221" s="51" t="str">
        <f t="shared" si="1"/>
        <v>₹1,396,578.48</v>
      </c>
      <c r="F2221" s="52" t="str">
        <f t="shared" si="2"/>
        <v>30.0%</v>
      </c>
      <c r="G2221" s="51" t="str">
        <f t="shared" si="3"/>
        <v>₹418,973.54</v>
      </c>
      <c r="H2221" s="51" t="str">
        <f t="shared" si="4"/>
        <v>₹34,914.46</v>
      </c>
      <c r="I2221" s="51" t="str">
        <f>101545.28-H2221</f>
        <v>₹66,630.82</v>
      </c>
    </row>
    <row r="2222" ht="15.75" customHeight="1">
      <c r="A2222" s="53" t="s">
        <v>2292</v>
      </c>
      <c r="B2222" s="53" t="s">
        <v>53</v>
      </c>
      <c r="C2222" s="53" t="s">
        <v>37</v>
      </c>
      <c r="D2222" s="54">
        <v>116404.72</v>
      </c>
      <c r="E2222" s="54" t="str">
        <f t="shared" si="1"/>
        <v>₹1,396,856.64</v>
      </c>
      <c r="F2222" s="55" t="str">
        <f t="shared" si="2"/>
        <v>30.0%</v>
      </c>
      <c r="G2222" s="54" t="str">
        <f t="shared" si="3"/>
        <v>₹419,056.99</v>
      </c>
      <c r="H2222" s="54" t="str">
        <f t="shared" si="4"/>
        <v>₹34,921.42</v>
      </c>
      <c r="I2222" s="54" t="str">
        <f>101565.06-H2222</f>
        <v>₹66,643.64</v>
      </c>
    </row>
    <row r="2223" ht="15.75" customHeight="1">
      <c r="A2223" s="50" t="s">
        <v>2293</v>
      </c>
      <c r="B2223" s="50" t="s">
        <v>51</v>
      </c>
      <c r="C2223" s="50" t="s">
        <v>18</v>
      </c>
      <c r="D2223" s="51">
        <v>116427.9</v>
      </c>
      <c r="E2223" s="51" t="str">
        <f t="shared" si="1"/>
        <v>₹1,397,134.80</v>
      </c>
      <c r="F2223" s="52" t="str">
        <f t="shared" si="2"/>
        <v>30.0%</v>
      </c>
      <c r="G2223" s="51" t="str">
        <f t="shared" si="3"/>
        <v>₹419,140.44</v>
      </c>
      <c r="H2223" s="51" t="str">
        <f t="shared" si="4"/>
        <v>₹34,928.37</v>
      </c>
      <c r="I2223" s="51" t="str">
        <f>101584.84-H2223</f>
        <v>₹66,656.47</v>
      </c>
    </row>
    <row r="2224" ht="15.75" customHeight="1">
      <c r="A2224" s="53" t="s">
        <v>2294</v>
      </c>
      <c r="B2224" s="53" t="s">
        <v>13</v>
      </c>
      <c r="C2224" s="53" t="s">
        <v>54</v>
      </c>
      <c r="D2224" s="54">
        <v>116451.08</v>
      </c>
      <c r="E2224" s="54" t="str">
        <f t="shared" si="1"/>
        <v>₹1,397,412.96</v>
      </c>
      <c r="F2224" s="55" t="str">
        <f t="shared" si="2"/>
        <v>30.0%</v>
      </c>
      <c r="G2224" s="54" t="str">
        <f t="shared" si="3"/>
        <v>₹419,223.89</v>
      </c>
      <c r="H2224" s="54" t="str">
        <f t="shared" si="4"/>
        <v>₹34,935.32</v>
      </c>
      <c r="I2224" s="54" t="str">
        <f>101604.62-H2224</f>
        <v>₹66,669.30</v>
      </c>
    </row>
    <row r="2225" ht="15.75" customHeight="1">
      <c r="A2225" s="50" t="s">
        <v>2295</v>
      </c>
      <c r="B2225" s="50" t="s">
        <v>25</v>
      </c>
      <c r="C2225" s="50" t="s">
        <v>33</v>
      </c>
      <c r="D2225" s="51">
        <v>116474.26</v>
      </c>
      <c r="E2225" s="51" t="str">
        <f t="shared" si="1"/>
        <v>₹1,397,691.12</v>
      </c>
      <c r="F2225" s="52" t="str">
        <f t="shared" si="2"/>
        <v>30.0%</v>
      </c>
      <c r="G2225" s="51" t="str">
        <f t="shared" si="3"/>
        <v>₹419,307.34</v>
      </c>
      <c r="H2225" s="51" t="str">
        <f t="shared" si="4"/>
        <v>₹34,942.28</v>
      </c>
      <c r="I2225" s="51" t="str">
        <f>101624.41-H2225</f>
        <v>₹66,682.13</v>
      </c>
    </row>
    <row r="2226" ht="15.75" customHeight="1">
      <c r="A2226" s="53" t="s">
        <v>2296</v>
      </c>
      <c r="B2226" s="53" t="s">
        <v>53</v>
      </c>
      <c r="C2226" s="53" t="s">
        <v>30</v>
      </c>
      <c r="D2226" s="54">
        <v>116497.43</v>
      </c>
      <c r="E2226" s="54" t="str">
        <f t="shared" si="1"/>
        <v>₹1,397,969.16</v>
      </c>
      <c r="F2226" s="55" t="str">
        <f t="shared" si="2"/>
        <v>30.0%</v>
      </c>
      <c r="G2226" s="54" t="str">
        <f t="shared" si="3"/>
        <v>₹419,390.75</v>
      </c>
      <c r="H2226" s="54" t="str">
        <f t="shared" si="4"/>
        <v>₹34,949.23</v>
      </c>
      <c r="I2226" s="54" t="str">
        <f>101644.18-H2226</f>
        <v>₹66,694.95</v>
      </c>
    </row>
    <row r="2227" ht="15.75" customHeight="1">
      <c r="A2227" s="50" t="s">
        <v>2297</v>
      </c>
      <c r="B2227" s="50" t="s">
        <v>51</v>
      </c>
      <c r="C2227" s="50" t="s">
        <v>26</v>
      </c>
      <c r="D2227" s="51">
        <v>116520.61</v>
      </c>
      <c r="E2227" s="51" t="str">
        <f t="shared" si="1"/>
        <v>₹1,398,247.32</v>
      </c>
      <c r="F2227" s="52" t="str">
        <f t="shared" si="2"/>
        <v>30.0%</v>
      </c>
      <c r="G2227" s="51" t="str">
        <f t="shared" si="3"/>
        <v>₹419,474.20</v>
      </c>
      <c r="H2227" s="51" t="str">
        <f t="shared" si="4"/>
        <v>₹34,956.18</v>
      </c>
      <c r="I2227" s="51" t="str">
        <f>101663.96-H2227</f>
        <v>₹66,707.78</v>
      </c>
    </row>
    <row r="2228" ht="15.75" customHeight="1">
      <c r="A2228" s="53" t="s">
        <v>2298</v>
      </c>
      <c r="B2228" s="53" t="s">
        <v>13</v>
      </c>
      <c r="C2228" s="53" t="s">
        <v>18</v>
      </c>
      <c r="D2228" s="54">
        <v>116543.79</v>
      </c>
      <c r="E2228" s="54" t="str">
        <f t="shared" si="1"/>
        <v>₹1,398,525.48</v>
      </c>
      <c r="F2228" s="55" t="str">
        <f t="shared" si="2"/>
        <v>30.0%</v>
      </c>
      <c r="G2228" s="54" t="str">
        <f t="shared" si="3"/>
        <v>₹419,557.64</v>
      </c>
      <c r="H2228" s="54" t="str">
        <f t="shared" si="4"/>
        <v>₹34,963.14</v>
      </c>
      <c r="I2228" s="54" t="str">
        <f>101683.74-H2228</f>
        <v>₹66,720.60</v>
      </c>
    </row>
    <row r="2229" ht="15.75" customHeight="1">
      <c r="A2229" s="50" t="s">
        <v>2299</v>
      </c>
      <c r="B2229" s="50" t="s">
        <v>53</v>
      </c>
      <c r="C2229" s="50" t="s">
        <v>37</v>
      </c>
      <c r="D2229" s="51">
        <v>116566.97</v>
      </c>
      <c r="E2229" s="51" t="str">
        <f t="shared" si="1"/>
        <v>₹1,398,803.64</v>
      </c>
      <c r="F2229" s="52" t="str">
        <f t="shared" si="2"/>
        <v>30.0%</v>
      </c>
      <c r="G2229" s="51" t="str">
        <f t="shared" si="3"/>
        <v>₹419,641.09</v>
      </c>
      <c r="H2229" s="51" t="str">
        <f t="shared" si="4"/>
        <v>₹34,970.09</v>
      </c>
      <c r="I2229" s="51" t="str">
        <f>101703.52-H2229</f>
        <v>₹66,733.43</v>
      </c>
    </row>
    <row r="2230" ht="15.75" customHeight="1">
      <c r="A2230" s="53" t="s">
        <v>2300</v>
      </c>
      <c r="B2230" s="53" t="s">
        <v>25</v>
      </c>
      <c r="C2230" s="53" t="s">
        <v>54</v>
      </c>
      <c r="D2230" s="54">
        <v>116590.14</v>
      </c>
      <c r="E2230" s="54" t="str">
        <f t="shared" si="1"/>
        <v>₹1,399,081.68</v>
      </c>
      <c r="F2230" s="55" t="str">
        <f t="shared" si="2"/>
        <v>30.0%</v>
      </c>
      <c r="G2230" s="54" t="str">
        <f t="shared" si="3"/>
        <v>₹419,724.50</v>
      </c>
      <c r="H2230" s="54" t="str">
        <f t="shared" si="4"/>
        <v>₹34,977.04</v>
      </c>
      <c r="I2230" s="54" t="str">
        <f>101723.3-H2230</f>
        <v>₹66,746.26</v>
      </c>
    </row>
    <row r="2231" ht="15.75" customHeight="1">
      <c r="A2231" s="50" t="s">
        <v>2301</v>
      </c>
      <c r="B2231" s="50" t="s">
        <v>13</v>
      </c>
      <c r="C2231" s="50" t="s">
        <v>37</v>
      </c>
      <c r="D2231" s="51">
        <v>116613.32</v>
      </c>
      <c r="E2231" s="51" t="str">
        <f t="shared" si="1"/>
        <v>₹1,399,359.84</v>
      </c>
      <c r="F2231" s="52" t="str">
        <f t="shared" si="2"/>
        <v>30.0%</v>
      </c>
      <c r="G2231" s="51" t="str">
        <f t="shared" si="3"/>
        <v>₹419,807.95</v>
      </c>
      <c r="H2231" s="51" t="str">
        <f t="shared" si="4"/>
        <v>₹34,984.00</v>
      </c>
      <c r="I2231" s="51" t="str">
        <f>101743.08-H2231</f>
        <v>₹66,759.08</v>
      </c>
    </row>
    <row r="2232" ht="15.75" customHeight="1">
      <c r="A2232" s="53" t="s">
        <v>2302</v>
      </c>
      <c r="B2232" s="53" t="s">
        <v>29</v>
      </c>
      <c r="C2232" s="53" t="s">
        <v>33</v>
      </c>
      <c r="D2232" s="54">
        <v>116636.5</v>
      </c>
      <c r="E2232" s="54" t="str">
        <f t="shared" si="1"/>
        <v>₹1,399,638.00</v>
      </c>
      <c r="F2232" s="55" t="str">
        <f t="shared" si="2"/>
        <v>30.0%</v>
      </c>
      <c r="G2232" s="54" t="str">
        <f t="shared" si="3"/>
        <v>₹419,891.40</v>
      </c>
      <c r="H2232" s="54" t="str">
        <f t="shared" si="4"/>
        <v>₹34,990.95</v>
      </c>
      <c r="I2232" s="54" t="str">
        <f>101762.86-H2232</f>
        <v>₹66,771.91</v>
      </c>
    </row>
    <row r="2233" ht="15.75" customHeight="1">
      <c r="A2233" s="50" t="s">
        <v>2303</v>
      </c>
      <c r="B2233" s="50" t="s">
        <v>51</v>
      </c>
      <c r="C2233" s="50" t="s">
        <v>14</v>
      </c>
      <c r="D2233" s="51">
        <v>116659.68</v>
      </c>
      <c r="E2233" s="51" t="str">
        <f t="shared" si="1"/>
        <v>₹1,399,916.16</v>
      </c>
      <c r="F2233" s="52" t="str">
        <f t="shared" si="2"/>
        <v>30.0%</v>
      </c>
      <c r="G2233" s="51" t="str">
        <f t="shared" si="3"/>
        <v>₹419,974.85</v>
      </c>
      <c r="H2233" s="51" t="str">
        <f t="shared" si="4"/>
        <v>₹34,997.90</v>
      </c>
      <c r="I2233" s="51" t="str">
        <f>101782.64-H2233</f>
        <v>₹66,784.74</v>
      </c>
    </row>
    <row r="2234" ht="15.75" customHeight="1">
      <c r="A2234" s="53" t="s">
        <v>2304</v>
      </c>
      <c r="B2234" s="53" t="s">
        <v>13</v>
      </c>
      <c r="C2234" s="53" t="s">
        <v>14</v>
      </c>
      <c r="D2234" s="54">
        <v>114662.0</v>
      </c>
      <c r="E2234" s="54" t="str">
        <f t="shared" si="1"/>
        <v>₹1,375,944.00</v>
      </c>
      <c r="F2234" s="55" t="str">
        <f t="shared" si="2"/>
        <v>30.0%</v>
      </c>
      <c r="G2234" s="54" t="str">
        <f t="shared" si="3"/>
        <v>₹412,783.20</v>
      </c>
      <c r="H2234" s="54" t="str">
        <f t="shared" si="4"/>
        <v>₹34,398.60</v>
      </c>
      <c r="I2234" s="54" t="str">
        <f>99781.57-H2234</f>
        <v>₹65,382.97</v>
      </c>
    </row>
    <row r="2235" ht="15.75" customHeight="1">
      <c r="A2235" s="50" t="s">
        <v>2305</v>
      </c>
      <c r="B2235" s="50" t="s">
        <v>29</v>
      </c>
      <c r="C2235" s="50" t="s">
        <v>30</v>
      </c>
      <c r="D2235" s="51">
        <v>116706.03</v>
      </c>
      <c r="E2235" s="51" t="str">
        <f t="shared" si="1"/>
        <v>₹1,400,472.36</v>
      </c>
      <c r="F2235" s="52" t="str">
        <f t="shared" si="2"/>
        <v>30.0%</v>
      </c>
      <c r="G2235" s="51" t="str">
        <f t="shared" si="3"/>
        <v>₹420,141.71</v>
      </c>
      <c r="H2235" s="51" t="str">
        <f t="shared" si="4"/>
        <v>₹35,011.81</v>
      </c>
      <c r="I2235" s="51" t="str">
        <f>101822.2-H2235</f>
        <v>₹66,810.39</v>
      </c>
    </row>
    <row r="2236" ht="15.75" customHeight="1">
      <c r="A2236" s="53" t="s">
        <v>2306</v>
      </c>
      <c r="B2236" s="53" t="s">
        <v>25</v>
      </c>
      <c r="C2236" s="53" t="s">
        <v>33</v>
      </c>
      <c r="D2236" s="54">
        <v>116729.21</v>
      </c>
      <c r="E2236" s="54" t="str">
        <f t="shared" si="1"/>
        <v>₹1,400,750.52</v>
      </c>
      <c r="F2236" s="55" t="str">
        <f t="shared" si="2"/>
        <v>30.0%</v>
      </c>
      <c r="G2236" s="54" t="str">
        <f t="shared" si="3"/>
        <v>₹420,225.16</v>
      </c>
      <c r="H2236" s="54" t="str">
        <f t="shared" si="4"/>
        <v>₹35,018.76</v>
      </c>
      <c r="I2236" s="54" t="str">
        <f>101841.98-H2236</f>
        <v>₹66,823.22</v>
      </c>
    </row>
    <row r="2237" ht="15.75" customHeight="1">
      <c r="A2237" s="50" t="s">
        <v>2307</v>
      </c>
      <c r="B2237" s="50" t="s">
        <v>53</v>
      </c>
      <c r="C2237" s="50" t="s">
        <v>14</v>
      </c>
      <c r="D2237" s="51">
        <v>116752.39</v>
      </c>
      <c r="E2237" s="51" t="str">
        <f t="shared" si="1"/>
        <v>₹1,401,028.68</v>
      </c>
      <c r="F2237" s="52" t="str">
        <f t="shared" si="2"/>
        <v>30.0%</v>
      </c>
      <c r="G2237" s="51" t="str">
        <f t="shared" si="3"/>
        <v>₹420,308.60</v>
      </c>
      <c r="H2237" s="51" t="str">
        <f t="shared" si="4"/>
        <v>₹35,025.72</v>
      </c>
      <c r="I2237" s="51" t="str">
        <f>101861.76-H2237</f>
        <v>₹66,836.04</v>
      </c>
    </row>
    <row r="2238" ht="15.75" customHeight="1">
      <c r="A2238" s="53" t="s">
        <v>2308</v>
      </c>
      <c r="B2238" s="53" t="s">
        <v>29</v>
      </c>
      <c r="C2238" s="53" t="s">
        <v>30</v>
      </c>
      <c r="D2238" s="54">
        <v>116775.57</v>
      </c>
      <c r="E2238" s="54" t="str">
        <f t="shared" si="1"/>
        <v>₹1,401,306.84</v>
      </c>
      <c r="F2238" s="55" t="str">
        <f t="shared" si="2"/>
        <v>30.0%</v>
      </c>
      <c r="G2238" s="54" t="str">
        <f t="shared" si="3"/>
        <v>₹420,392.05</v>
      </c>
      <c r="H2238" s="54" t="str">
        <f t="shared" si="4"/>
        <v>₹35,032.67</v>
      </c>
      <c r="I2238" s="54" t="str">
        <f>101881.55-H2238</f>
        <v>₹66,848.88</v>
      </c>
    </row>
    <row r="2239" ht="15.75" customHeight="1">
      <c r="A2239" s="50" t="s">
        <v>2309</v>
      </c>
      <c r="B2239" s="50" t="s">
        <v>51</v>
      </c>
      <c r="C2239" s="50" t="s">
        <v>37</v>
      </c>
      <c r="D2239" s="51">
        <v>116798.74</v>
      </c>
      <c r="E2239" s="51" t="str">
        <f t="shared" si="1"/>
        <v>₹1,401,584.88</v>
      </c>
      <c r="F2239" s="52" t="str">
        <f t="shared" si="2"/>
        <v>30.0%</v>
      </c>
      <c r="G2239" s="51" t="str">
        <f t="shared" si="3"/>
        <v>₹420,475.46</v>
      </c>
      <c r="H2239" s="51" t="str">
        <f t="shared" si="4"/>
        <v>₹35,039.62</v>
      </c>
      <c r="I2239" s="51" t="str">
        <f>101901.32-H2239</f>
        <v>₹66,861.70</v>
      </c>
    </row>
    <row r="2240" ht="15.75" customHeight="1">
      <c r="A2240" s="53" t="s">
        <v>2310</v>
      </c>
      <c r="B2240" s="53" t="s">
        <v>13</v>
      </c>
      <c r="C2240" s="53" t="s">
        <v>33</v>
      </c>
      <c r="D2240" s="54">
        <v>116821.92</v>
      </c>
      <c r="E2240" s="54" t="str">
        <f t="shared" si="1"/>
        <v>₹1,401,863.04</v>
      </c>
      <c r="F2240" s="55" t="str">
        <f t="shared" si="2"/>
        <v>30.0%</v>
      </c>
      <c r="G2240" s="54" t="str">
        <f t="shared" si="3"/>
        <v>₹420,558.91</v>
      </c>
      <c r="H2240" s="54" t="str">
        <f t="shared" si="4"/>
        <v>₹35,046.58</v>
      </c>
      <c r="I2240" s="54" t="str">
        <f>101921.1-H2240</f>
        <v>₹66,874.52</v>
      </c>
    </row>
    <row r="2241" ht="15.75" customHeight="1">
      <c r="A2241" s="50" t="s">
        <v>2311</v>
      </c>
      <c r="B2241" s="50" t="s">
        <v>29</v>
      </c>
      <c r="C2241" s="50" t="s">
        <v>54</v>
      </c>
      <c r="D2241" s="51">
        <v>116845.1</v>
      </c>
      <c r="E2241" s="51" t="str">
        <f t="shared" si="1"/>
        <v>₹1,402,141.20</v>
      </c>
      <c r="F2241" s="52" t="str">
        <f t="shared" si="2"/>
        <v>30.0%</v>
      </c>
      <c r="G2241" s="51" t="str">
        <f t="shared" si="3"/>
        <v>₹420,642.36</v>
      </c>
      <c r="H2241" s="51" t="str">
        <f t="shared" si="4"/>
        <v>₹35,053.53</v>
      </c>
      <c r="I2241" s="51" t="str">
        <f>101940.88-H2241</f>
        <v>₹66,887.35</v>
      </c>
    </row>
    <row r="2242" ht="15.75" customHeight="1">
      <c r="A2242" s="53" t="s">
        <v>2312</v>
      </c>
      <c r="B2242" s="53" t="s">
        <v>25</v>
      </c>
      <c r="C2242" s="53" t="s">
        <v>14</v>
      </c>
      <c r="D2242" s="54">
        <v>116868.28</v>
      </c>
      <c r="E2242" s="54" t="str">
        <f t="shared" si="1"/>
        <v>₹1,402,419.36</v>
      </c>
      <c r="F2242" s="55" t="str">
        <f t="shared" si="2"/>
        <v>30.0%</v>
      </c>
      <c r="G2242" s="54" t="str">
        <f t="shared" si="3"/>
        <v>₹420,725.81</v>
      </c>
      <c r="H2242" s="54" t="str">
        <f t="shared" si="4"/>
        <v>₹35,060.48</v>
      </c>
      <c r="I2242" s="54" t="str">
        <f>101960.67-H2242</f>
        <v>₹66,900.19</v>
      </c>
    </row>
    <row r="2243" ht="15.75" customHeight="1">
      <c r="A2243" s="50" t="s">
        <v>2313</v>
      </c>
      <c r="B2243" s="50" t="s">
        <v>36</v>
      </c>
      <c r="C2243" s="50" t="s">
        <v>18</v>
      </c>
      <c r="D2243" s="51">
        <v>113894.87</v>
      </c>
      <c r="E2243" s="51" t="str">
        <f t="shared" si="1"/>
        <v>₹1,366,738.44</v>
      </c>
      <c r="F2243" s="52" t="str">
        <f t="shared" si="2"/>
        <v>30.0%</v>
      </c>
      <c r="G2243" s="51" t="str">
        <f t="shared" si="3"/>
        <v>₹410,021.53</v>
      </c>
      <c r="H2243" s="51" t="str">
        <f t="shared" si="4"/>
        <v>₹34,168.46</v>
      </c>
      <c r="I2243" s="51" t="str">
        <f>98983.86-H2243</f>
        <v>₹64,815.40</v>
      </c>
    </row>
    <row r="2244" ht="15.75" customHeight="1">
      <c r="A2244" s="53" t="s">
        <v>2314</v>
      </c>
      <c r="B2244" s="53" t="s">
        <v>36</v>
      </c>
      <c r="C2244" s="53" t="s">
        <v>54</v>
      </c>
      <c r="D2244" s="54">
        <v>116914.63</v>
      </c>
      <c r="E2244" s="54" t="str">
        <f t="shared" si="1"/>
        <v>₹1,402,975.56</v>
      </c>
      <c r="F2244" s="55" t="str">
        <f t="shared" si="2"/>
        <v>30.0%</v>
      </c>
      <c r="G2244" s="54" t="str">
        <f t="shared" si="3"/>
        <v>₹420,892.67</v>
      </c>
      <c r="H2244" s="54" t="str">
        <f t="shared" si="4"/>
        <v>₹35,074.39</v>
      </c>
      <c r="I2244" s="54" t="str">
        <f>102000.22-H2244</f>
        <v>₹66,925.83</v>
      </c>
    </row>
    <row r="2245" ht="15.75" customHeight="1">
      <c r="A2245" s="50" t="s">
        <v>2315</v>
      </c>
      <c r="B2245" s="50" t="s">
        <v>36</v>
      </c>
      <c r="C2245" s="50" t="s">
        <v>26</v>
      </c>
      <c r="D2245" s="51">
        <v>116937.81</v>
      </c>
      <c r="E2245" s="51" t="str">
        <f t="shared" si="1"/>
        <v>₹1,403,253.72</v>
      </c>
      <c r="F2245" s="52" t="str">
        <f t="shared" si="2"/>
        <v>30.0%</v>
      </c>
      <c r="G2245" s="51" t="str">
        <f t="shared" si="3"/>
        <v>₹420,976.12</v>
      </c>
      <c r="H2245" s="51" t="str">
        <f t="shared" si="4"/>
        <v>₹35,081.34</v>
      </c>
      <c r="I2245" s="51" t="str">
        <f>102020-H2245</f>
        <v>₹66,938.66</v>
      </c>
    </row>
    <row r="2246" ht="15.75" customHeight="1">
      <c r="A2246" s="53" t="s">
        <v>2316</v>
      </c>
      <c r="B2246" s="53" t="s">
        <v>25</v>
      </c>
      <c r="C2246" s="53" t="s">
        <v>14</v>
      </c>
      <c r="D2246" s="54">
        <v>116960.99</v>
      </c>
      <c r="E2246" s="54" t="str">
        <f t="shared" si="1"/>
        <v>₹1,403,531.88</v>
      </c>
      <c r="F2246" s="55" t="str">
        <f t="shared" si="2"/>
        <v>30.0%</v>
      </c>
      <c r="G2246" s="54" t="str">
        <f t="shared" si="3"/>
        <v>₹421,059.56</v>
      </c>
      <c r="H2246" s="54" t="str">
        <f t="shared" si="4"/>
        <v>₹35,088.30</v>
      </c>
      <c r="I2246" s="54" t="str">
        <f>102039.79-H2246</f>
        <v>₹66,951.49</v>
      </c>
    </row>
    <row r="2247" ht="15.75" customHeight="1">
      <c r="A2247" s="50" t="s">
        <v>2317</v>
      </c>
      <c r="B2247" s="50" t="s">
        <v>53</v>
      </c>
      <c r="C2247" s="50" t="s">
        <v>37</v>
      </c>
      <c r="D2247" s="51">
        <v>116984.16</v>
      </c>
      <c r="E2247" s="51" t="str">
        <f t="shared" si="1"/>
        <v>₹1,403,809.92</v>
      </c>
      <c r="F2247" s="52" t="str">
        <f t="shared" si="2"/>
        <v>30.0%</v>
      </c>
      <c r="G2247" s="51" t="str">
        <f t="shared" si="3"/>
        <v>₹421,142.98</v>
      </c>
      <c r="H2247" s="51" t="str">
        <f t="shared" si="4"/>
        <v>₹35,095.25</v>
      </c>
      <c r="I2247" s="51" t="str">
        <f>102059.56-H2247</f>
        <v>₹66,964.31</v>
      </c>
    </row>
    <row r="2248" ht="15.75" customHeight="1">
      <c r="A2248" s="53" t="s">
        <v>2318</v>
      </c>
      <c r="B2248" s="53" t="s">
        <v>13</v>
      </c>
      <c r="C2248" s="53" t="s">
        <v>37</v>
      </c>
      <c r="D2248" s="54">
        <v>117007.34</v>
      </c>
      <c r="E2248" s="54" t="str">
        <f t="shared" si="1"/>
        <v>₹1,404,088.08</v>
      </c>
      <c r="F2248" s="55" t="str">
        <f t="shared" si="2"/>
        <v>30.0%</v>
      </c>
      <c r="G2248" s="54" t="str">
        <f t="shared" si="3"/>
        <v>₹421,226.42</v>
      </c>
      <c r="H2248" s="54" t="str">
        <f t="shared" si="4"/>
        <v>₹35,102.20</v>
      </c>
      <c r="I2248" s="54" t="str">
        <f>102079.34-H2248</f>
        <v>₹66,977.14</v>
      </c>
    </row>
    <row r="2249" ht="15.75" customHeight="1">
      <c r="A2249" s="50" t="s">
        <v>2319</v>
      </c>
      <c r="B2249" s="50" t="s">
        <v>36</v>
      </c>
      <c r="C2249" s="50" t="s">
        <v>26</v>
      </c>
      <c r="D2249" s="51">
        <v>117030.52</v>
      </c>
      <c r="E2249" s="51" t="str">
        <f t="shared" si="1"/>
        <v>₹1,404,366.24</v>
      </c>
      <c r="F2249" s="52" t="str">
        <f t="shared" si="2"/>
        <v>30.0%</v>
      </c>
      <c r="G2249" s="51" t="str">
        <f t="shared" si="3"/>
        <v>₹421,309.87</v>
      </c>
      <c r="H2249" s="51" t="str">
        <f t="shared" si="4"/>
        <v>₹35,109.16</v>
      </c>
      <c r="I2249" s="51" t="str">
        <f>102099.12-H2249</f>
        <v>₹66,989.96</v>
      </c>
    </row>
    <row r="2250" ht="15.75" customHeight="1">
      <c r="A2250" s="53" t="s">
        <v>2320</v>
      </c>
      <c r="B2250" s="53" t="s">
        <v>17</v>
      </c>
      <c r="C2250" s="53" t="s">
        <v>14</v>
      </c>
      <c r="D2250" s="54">
        <v>117053.7</v>
      </c>
      <c r="E2250" s="54" t="str">
        <f t="shared" si="1"/>
        <v>₹1,404,644.40</v>
      </c>
      <c r="F2250" s="55" t="str">
        <f t="shared" si="2"/>
        <v>30.0%</v>
      </c>
      <c r="G2250" s="54" t="str">
        <f t="shared" si="3"/>
        <v>₹421,393.32</v>
      </c>
      <c r="H2250" s="54" t="str">
        <f t="shared" si="4"/>
        <v>₹35,116.11</v>
      </c>
      <c r="I2250" s="54" t="str">
        <f>102118.91-H2250</f>
        <v>₹67,002.80</v>
      </c>
    </row>
    <row r="2251" ht="15.75" customHeight="1">
      <c r="A2251" s="50" t="s">
        <v>2322</v>
      </c>
      <c r="B2251" s="50" t="s">
        <v>51</v>
      </c>
      <c r="C2251" s="50" t="s">
        <v>26</v>
      </c>
      <c r="D2251" s="51">
        <v>117076.88</v>
      </c>
      <c r="E2251" s="51" t="str">
        <f t="shared" si="1"/>
        <v>₹1,404,922.56</v>
      </c>
      <c r="F2251" s="52" t="str">
        <f t="shared" si="2"/>
        <v>30.0%</v>
      </c>
      <c r="G2251" s="51" t="str">
        <f t="shared" si="3"/>
        <v>₹421,476.77</v>
      </c>
      <c r="H2251" s="51" t="str">
        <f t="shared" si="4"/>
        <v>₹35,123.06</v>
      </c>
      <c r="I2251" s="51" t="str">
        <f>102138.69-H2251</f>
        <v>₹67,015.63</v>
      </c>
    </row>
    <row r="2252" ht="15.75" customHeight="1">
      <c r="A2252" s="53" t="s">
        <v>2323</v>
      </c>
      <c r="B2252" s="53" t="s">
        <v>17</v>
      </c>
      <c r="C2252" s="53" t="s">
        <v>37</v>
      </c>
      <c r="D2252" s="54">
        <v>117100.05</v>
      </c>
      <c r="E2252" s="54" t="str">
        <f t="shared" si="1"/>
        <v>₹1,405,200.60</v>
      </c>
      <c r="F2252" s="55" t="str">
        <f t="shared" si="2"/>
        <v>30.0%</v>
      </c>
      <c r="G2252" s="54" t="str">
        <f t="shared" si="3"/>
        <v>₹421,560.18</v>
      </c>
      <c r="H2252" s="54" t="str">
        <f t="shared" si="4"/>
        <v>₹35,130.02</v>
      </c>
      <c r="I2252" s="54" t="str">
        <f>102158.46-H2252</f>
        <v>₹67,028.45</v>
      </c>
    </row>
    <row r="2253" ht="15.75" customHeight="1">
      <c r="A2253" s="50" t="s">
        <v>2324</v>
      </c>
      <c r="B2253" s="50" t="s">
        <v>17</v>
      </c>
      <c r="C2253" s="50" t="s">
        <v>18</v>
      </c>
      <c r="D2253" s="51">
        <v>117123.23</v>
      </c>
      <c r="E2253" s="51" t="str">
        <f t="shared" si="1"/>
        <v>₹1,405,478.76</v>
      </c>
      <c r="F2253" s="52" t="str">
        <f t="shared" si="2"/>
        <v>30.0%</v>
      </c>
      <c r="G2253" s="51" t="str">
        <f t="shared" si="3"/>
        <v>₹421,643.63</v>
      </c>
      <c r="H2253" s="51" t="str">
        <f t="shared" si="4"/>
        <v>₹35,136.97</v>
      </c>
      <c r="I2253" s="51" t="str">
        <f>102178.24-H2253</f>
        <v>₹67,041.27</v>
      </c>
    </row>
    <row r="2254" ht="15.75" customHeight="1">
      <c r="A2254" s="53" t="s">
        <v>2325</v>
      </c>
      <c r="B2254" s="53" t="s">
        <v>53</v>
      </c>
      <c r="C2254" s="53" t="s">
        <v>54</v>
      </c>
      <c r="D2254" s="54">
        <v>117146.41</v>
      </c>
      <c r="E2254" s="54" t="str">
        <f t="shared" si="1"/>
        <v>₹1,405,756.92</v>
      </c>
      <c r="F2254" s="55" t="str">
        <f t="shared" si="2"/>
        <v>30.0%</v>
      </c>
      <c r="G2254" s="54" t="str">
        <f t="shared" si="3"/>
        <v>₹421,727.08</v>
      </c>
      <c r="H2254" s="54" t="str">
        <f t="shared" si="4"/>
        <v>₹35,143.92</v>
      </c>
      <c r="I2254" s="54" t="str">
        <f>102198.03-H2254</f>
        <v>₹67,054.11</v>
      </c>
    </row>
    <row r="2255" ht="15.75" customHeight="1">
      <c r="A2255" s="50" t="s">
        <v>2326</v>
      </c>
      <c r="B2255" s="50" t="s">
        <v>36</v>
      </c>
      <c r="C2255" s="50" t="s">
        <v>18</v>
      </c>
      <c r="D2255" s="51">
        <v>117169.59</v>
      </c>
      <c r="E2255" s="51" t="str">
        <f t="shared" si="1"/>
        <v>₹1,406,035.08</v>
      </c>
      <c r="F2255" s="52" t="str">
        <f t="shared" si="2"/>
        <v>30.0%</v>
      </c>
      <c r="G2255" s="51" t="str">
        <f t="shared" si="3"/>
        <v>₹421,810.52</v>
      </c>
      <c r="H2255" s="51" t="str">
        <f t="shared" si="4"/>
        <v>₹35,150.88</v>
      </c>
      <c r="I2255" s="51" t="str">
        <f>102217.81-H2255</f>
        <v>₹67,066.93</v>
      </c>
    </row>
    <row r="2256" ht="15.75" customHeight="1">
      <c r="A2256" s="53" t="s">
        <v>2327</v>
      </c>
      <c r="B2256" s="53" t="s">
        <v>25</v>
      </c>
      <c r="C2256" s="53" t="s">
        <v>37</v>
      </c>
      <c r="D2256" s="54">
        <v>117192.76</v>
      </c>
      <c r="E2256" s="54" t="str">
        <f t="shared" si="1"/>
        <v>₹1,406,313.12</v>
      </c>
      <c r="F2256" s="55" t="str">
        <f t="shared" si="2"/>
        <v>30.0%</v>
      </c>
      <c r="G2256" s="54" t="str">
        <f t="shared" si="3"/>
        <v>₹421,893.94</v>
      </c>
      <c r="H2256" s="54" t="str">
        <f t="shared" si="4"/>
        <v>₹35,157.83</v>
      </c>
      <c r="I2256" s="54" t="str">
        <f>102237.58-H2256</f>
        <v>₹67,079.75</v>
      </c>
    </row>
    <row r="2257" ht="15.75" customHeight="1">
      <c r="A2257" s="50" t="s">
        <v>2328</v>
      </c>
      <c r="B2257" s="50" t="s">
        <v>25</v>
      </c>
      <c r="C2257" s="50" t="s">
        <v>26</v>
      </c>
      <c r="D2257" s="51">
        <v>117215.94</v>
      </c>
      <c r="E2257" s="51" t="str">
        <f t="shared" si="1"/>
        <v>₹1,406,591.28</v>
      </c>
      <c r="F2257" s="52" t="str">
        <f t="shared" si="2"/>
        <v>30.0%</v>
      </c>
      <c r="G2257" s="51" t="str">
        <f t="shared" si="3"/>
        <v>₹421,977.38</v>
      </c>
      <c r="H2257" s="51" t="str">
        <f t="shared" si="4"/>
        <v>₹35,164.78</v>
      </c>
      <c r="I2257" s="51" t="str">
        <f>102257.36-H2257</f>
        <v>₹67,092.58</v>
      </c>
    </row>
    <row r="2258" ht="15.75" customHeight="1">
      <c r="A2258" s="53" t="s">
        <v>2329</v>
      </c>
      <c r="B2258" s="53" t="s">
        <v>25</v>
      </c>
      <c r="C2258" s="53" t="s">
        <v>26</v>
      </c>
      <c r="D2258" s="54">
        <v>117239.12</v>
      </c>
      <c r="E2258" s="54" t="str">
        <f t="shared" si="1"/>
        <v>₹1,406,869.44</v>
      </c>
      <c r="F2258" s="55" t="str">
        <f t="shared" si="2"/>
        <v>30.0%</v>
      </c>
      <c r="G2258" s="54" t="str">
        <f t="shared" si="3"/>
        <v>₹422,060.83</v>
      </c>
      <c r="H2258" s="54" t="str">
        <f t="shared" si="4"/>
        <v>₹35,171.74</v>
      </c>
      <c r="I2258" s="54" t="str">
        <f>102277.15-H2258</f>
        <v>₹67,105.41</v>
      </c>
    </row>
    <row r="2259" ht="15.75" customHeight="1">
      <c r="A2259" s="50" t="s">
        <v>2330</v>
      </c>
      <c r="B2259" s="50" t="s">
        <v>51</v>
      </c>
      <c r="C2259" s="50" t="s">
        <v>14</v>
      </c>
      <c r="D2259" s="51">
        <v>117262.3</v>
      </c>
      <c r="E2259" s="51" t="str">
        <f t="shared" si="1"/>
        <v>₹1,407,147.60</v>
      </c>
      <c r="F2259" s="52" t="str">
        <f t="shared" si="2"/>
        <v>30.0%</v>
      </c>
      <c r="G2259" s="51" t="str">
        <f t="shared" si="3"/>
        <v>₹422,144.28</v>
      </c>
      <c r="H2259" s="51" t="str">
        <f t="shared" si="4"/>
        <v>₹35,178.69</v>
      </c>
      <c r="I2259" s="51" t="str">
        <f>102296.93-H2259</f>
        <v>₹67,118.24</v>
      </c>
    </row>
    <row r="2260" ht="15.75" customHeight="1">
      <c r="A2260" s="53" t="s">
        <v>2331</v>
      </c>
      <c r="B2260" s="53" t="s">
        <v>29</v>
      </c>
      <c r="C2260" s="53" t="s">
        <v>30</v>
      </c>
      <c r="D2260" s="54">
        <v>117285.47</v>
      </c>
      <c r="E2260" s="54" t="str">
        <f t="shared" si="1"/>
        <v>₹1,407,425.64</v>
      </c>
      <c r="F2260" s="55" t="str">
        <f t="shared" si="2"/>
        <v>30.0%</v>
      </c>
      <c r="G2260" s="54" t="str">
        <f t="shared" si="3"/>
        <v>₹422,227.69</v>
      </c>
      <c r="H2260" s="54" t="str">
        <f t="shared" si="4"/>
        <v>₹35,185.64</v>
      </c>
      <c r="I2260" s="54" t="str">
        <f>102316.7-H2260</f>
        <v>₹67,131.06</v>
      </c>
    </row>
    <row r="2261" ht="15.75" customHeight="1">
      <c r="A2261" s="50" t="s">
        <v>2332</v>
      </c>
      <c r="B2261" s="50" t="s">
        <v>53</v>
      </c>
      <c r="C2261" s="50" t="s">
        <v>54</v>
      </c>
      <c r="D2261" s="51">
        <v>117308.65</v>
      </c>
      <c r="E2261" s="51" t="str">
        <f t="shared" si="1"/>
        <v>₹1,407,703.80</v>
      </c>
      <c r="F2261" s="52" t="str">
        <f t="shared" si="2"/>
        <v>30.0%</v>
      </c>
      <c r="G2261" s="51" t="str">
        <f t="shared" si="3"/>
        <v>₹422,311.14</v>
      </c>
      <c r="H2261" s="51" t="str">
        <f t="shared" si="4"/>
        <v>₹35,192.60</v>
      </c>
      <c r="I2261" s="51" t="str">
        <f>102336.48-H2261</f>
        <v>₹67,143.89</v>
      </c>
    </row>
    <row r="2262" ht="15.75" customHeight="1">
      <c r="A2262" s="53" t="s">
        <v>2333</v>
      </c>
      <c r="B2262" s="53" t="s">
        <v>17</v>
      </c>
      <c r="C2262" s="53" t="s">
        <v>33</v>
      </c>
      <c r="D2262" s="54">
        <v>117331.83</v>
      </c>
      <c r="E2262" s="54" t="str">
        <f t="shared" si="1"/>
        <v>₹1,407,981.96</v>
      </c>
      <c r="F2262" s="55" t="str">
        <f t="shared" si="2"/>
        <v>30.0%</v>
      </c>
      <c r="G2262" s="54" t="str">
        <f t="shared" si="3"/>
        <v>₹422,394.59</v>
      </c>
      <c r="H2262" s="54" t="str">
        <f t="shared" si="4"/>
        <v>₹35,199.55</v>
      </c>
      <c r="I2262" s="54" t="str">
        <f>102356.27-H2262</f>
        <v>₹67,156.72</v>
      </c>
    </row>
    <row r="2263" ht="15.75" customHeight="1">
      <c r="A2263" s="50" t="s">
        <v>2334</v>
      </c>
      <c r="B2263" s="50" t="s">
        <v>29</v>
      </c>
      <c r="C2263" s="50" t="s">
        <v>26</v>
      </c>
      <c r="D2263" s="51">
        <v>117355.01</v>
      </c>
      <c r="E2263" s="51" t="str">
        <f t="shared" si="1"/>
        <v>₹1,408,260.12</v>
      </c>
      <c r="F2263" s="52" t="str">
        <f t="shared" si="2"/>
        <v>30.0%</v>
      </c>
      <c r="G2263" s="51" t="str">
        <f t="shared" si="3"/>
        <v>₹422,478.04</v>
      </c>
      <c r="H2263" s="51" t="str">
        <f t="shared" si="4"/>
        <v>₹35,206.50</v>
      </c>
      <c r="I2263" s="51" t="str">
        <f>102376.05-H2263</f>
        <v>₹67,169.55</v>
      </c>
    </row>
    <row r="2264" ht="15.75" customHeight="1">
      <c r="A2264" s="53" t="s">
        <v>2335</v>
      </c>
      <c r="B2264" s="53" t="s">
        <v>53</v>
      </c>
      <c r="C2264" s="53" t="s">
        <v>54</v>
      </c>
      <c r="D2264" s="54">
        <v>117378.19</v>
      </c>
      <c r="E2264" s="54" t="str">
        <f t="shared" si="1"/>
        <v>₹1,408,538.28</v>
      </c>
      <c r="F2264" s="55" t="str">
        <f t="shared" si="2"/>
        <v>30.0%</v>
      </c>
      <c r="G2264" s="54" t="str">
        <f t="shared" si="3"/>
        <v>₹422,561.48</v>
      </c>
      <c r="H2264" s="54" t="str">
        <f t="shared" si="4"/>
        <v>₹35,213.46</v>
      </c>
      <c r="I2264" s="54" t="str">
        <f>102395.83-H2264</f>
        <v>₹67,182.37</v>
      </c>
    </row>
    <row r="2265" ht="15.75" customHeight="1">
      <c r="A2265" s="50" t="s">
        <v>2336</v>
      </c>
      <c r="B2265" s="50" t="s">
        <v>25</v>
      </c>
      <c r="C2265" s="50" t="s">
        <v>30</v>
      </c>
      <c r="D2265" s="51">
        <v>117401.36</v>
      </c>
      <c r="E2265" s="51" t="str">
        <f t="shared" si="1"/>
        <v>₹1,408,816.32</v>
      </c>
      <c r="F2265" s="52" t="str">
        <f t="shared" si="2"/>
        <v>30.0%</v>
      </c>
      <c r="G2265" s="51" t="str">
        <f t="shared" si="3"/>
        <v>₹422,644.90</v>
      </c>
      <c r="H2265" s="51" t="str">
        <f t="shared" si="4"/>
        <v>₹35,220.41</v>
      </c>
      <c r="I2265" s="51" t="str">
        <f>102415.6-H2265</f>
        <v>₹67,195.19</v>
      </c>
    </row>
    <row r="2266" ht="15.75" customHeight="1">
      <c r="A2266" s="53" t="s">
        <v>2337</v>
      </c>
      <c r="B2266" s="53" t="s">
        <v>25</v>
      </c>
      <c r="C2266" s="53" t="s">
        <v>18</v>
      </c>
      <c r="D2266" s="54">
        <v>117424.54</v>
      </c>
      <c r="E2266" s="54" t="str">
        <f t="shared" si="1"/>
        <v>₹1,409,094.48</v>
      </c>
      <c r="F2266" s="55" t="str">
        <f t="shared" si="2"/>
        <v>30.0%</v>
      </c>
      <c r="G2266" s="54" t="str">
        <f t="shared" si="3"/>
        <v>₹422,728.34</v>
      </c>
      <c r="H2266" s="54" t="str">
        <f t="shared" si="4"/>
        <v>₹35,227.36</v>
      </c>
      <c r="I2266" s="54" t="str">
        <f>102435.39-H2266</f>
        <v>₹67,208.03</v>
      </c>
    </row>
    <row r="2267" ht="15.75" customHeight="1">
      <c r="A2267" s="50" t="s">
        <v>2338</v>
      </c>
      <c r="B2267" s="50" t="s">
        <v>53</v>
      </c>
      <c r="C2267" s="50" t="s">
        <v>37</v>
      </c>
      <c r="D2267" s="51">
        <v>117447.72</v>
      </c>
      <c r="E2267" s="51" t="str">
        <f t="shared" si="1"/>
        <v>₹1,409,372.64</v>
      </c>
      <c r="F2267" s="52" t="str">
        <f t="shared" si="2"/>
        <v>30.0%</v>
      </c>
      <c r="G2267" s="51" t="str">
        <f t="shared" si="3"/>
        <v>₹422,811.79</v>
      </c>
      <c r="H2267" s="51" t="str">
        <f t="shared" si="4"/>
        <v>₹35,234.32</v>
      </c>
      <c r="I2267" s="51" t="str">
        <f>102455.17-H2267</f>
        <v>₹67,220.85</v>
      </c>
    </row>
    <row r="2268" ht="15.75" customHeight="1">
      <c r="A2268" s="53" t="s">
        <v>2339</v>
      </c>
      <c r="B2268" s="53" t="s">
        <v>53</v>
      </c>
      <c r="C2268" s="53" t="s">
        <v>37</v>
      </c>
      <c r="D2268" s="54">
        <v>117470.9</v>
      </c>
      <c r="E2268" s="54" t="str">
        <f t="shared" si="1"/>
        <v>₹1,409,650.80</v>
      </c>
      <c r="F2268" s="55" t="str">
        <f t="shared" si="2"/>
        <v>30.0%</v>
      </c>
      <c r="G2268" s="54" t="str">
        <f t="shared" si="3"/>
        <v>₹422,895.24</v>
      </c>
      <c r="H2268" s="54" t="str">
        <f t="shared" si="4"/>
        <v>₹35,241.27</v>
      </c>
      <c r="I2268" s="54" t="str">
        <f>102474.95-H2268</f>
        <v>₹67,233.68</v>
      </c>
    </row>
    <row r="2269" ht="15.75" customHeight="1">
      <c r="A2269" s="50" t="s">
        <v>2340</v>
      </c>
      <c r="B2269" s="50" t="s">
        <v>29</v>
      </c>
      <c r="C2269" s="50" t="s">
        <v>54</v>
      </c>
      <c r="D2269" s="51">
        <v>117494.07</v>
      </c>
      <c r="E2269" s="51" t="str">
        <f t="shared" si="1"/>
        <v>₹1,409,928.84</v>
      </c>
      <c r="F2269" s="52" t="str">
        <f t="shared" si="2"/>
        <v>30.0%</v>
      </c>
      <c r="G2269" s="51" t="str">
        <f t="shared" si="3"/>
        <v>₹422,978.65</v>
      </c>
      <c r="H2269" s="51" t="str">
        <f t="shared" si="4"/>
        <v>₹35,248.22</v>
      </c>
      <c r="I2269" s="51" t="str">
        <f>102494.72-H2269</f>
        <v>₹67,246.50</v>
      </c>
    </row>
    <row r="2270" ht="15.75" customHeight="1">
      <c r="A2270" s="53" t="s">
        <v>2341</v>
      </c>
      <c r="B2270" s="53" t="s">
        <v>13</v>
      </c>
      <c r="C2270" s="53" t="s">
        <v>33</v>
      </c>
      <c r="D2270" s="54">
        <v>117517.25</v>
      </c>
      <c r="E2270" s="54" t="str">
        <f t="shared" si="1"/>
        <v>₹1,410,207.00</v>
      </c>
      <c r="F2270" s="55" t="str">
        <f t="shared" si="2"/>
        <v>30.0%</v>
      </c>
      <c r="G2270" s="54" t="str">
        <f t="shared" si="3"/>
        <v>₹423,062.10</v>
      </c>
      <c r="H2270" s="54" t="str">
        <f t="shared" si="4"/>
        <v>₹35,255.18</v>
      </c>
      <c r="I2270" s="54" t="str">
        <f>102514.51-H2270</f>
        <v>₹67,259.34</v>
      </c>
    </row>
    <row r="2271" ht="15.75" customHeight="1">
      <c r="A2271" s="50" t="s">
        <v>2342</v>
      </c>
      <c r="B2271" s="50" t="s">
        <v>51</v>
      </c>
      <c r="C2271" s="50" t="s">
        <v>14</v>
      </c>
      <c r="D2271" s="51">
        <v>117540.43</v>
      </c>
      <c r="E2271" s="51" t="str">
        <f t="shared" si="1"/>
        <v>₹1,410,485.16</v>
      </c>
      <c r="F2271" s="52" t="str">
        <f t="shared" si="2"/>
        <v>30.0%</v>
      </c>
      <c r="G2271" s="51" t="str">
        <f t="shared" si="3"/>
        <v>₹423,145.55</v>
      </c>
      <c r="H2271" s="51" t="str">
        <f t="shared" si="4"/>
        <v>₹35,262.13</v>
      </c>
      <c r="I2271" s="51" t="str">
        <f>102534.29-H2271</f>
        <v>₹67,272.16</v>
      </c>
    </row>
    <row r="2272" ht="15.75" customHeight="1">
      <c r="A2272" s="53" t="s">
        <v>2343</v>
      </c>
      <c r="B2272" s="53" t="s">
        <v>25</v>
      </c>
      <c r="C2272" s="53" t="s">
        <v>33</v>
      </c>
      <c r="D2272" s="54">
        <v>117563.61</v>
      </c>
      <c r="E2272" s="54" t="str">
        <f t="shared" si="1"/>
        <v>₹1,410,763.32</v>
      </c>
      <c r="F2272" s="55" t="str">
        <f t="shared" si="2"/>
        <v>30.0%</v>
      </c>
      <c r="G2272" s="54" t="str">
        <f t="shared" si="3"/>
        <v>₹423,229.00</v>
      </c>
      <c r="H2272" s="54" t="str">
        <f t="shared" si="4"/>
        <v>₹35,269.08</v>
      </c>
      <c r="I2272" s="54" t="str">
        <f>102554.07-H2272</f>
        <v>₹67,284.99</v>
      </c>
    </row>
    <row r="2273" ht="15.75" customHeight="1">
      <c r="A2273" s="50" t="s">
        <v>2344</v>
      </c>
      <c r="B2273" s="50" t="s">
        <v>17</v>
      </c>
      <c r="C2273" s="50" t="s">
        <v>30</v>
      </c>
      <c r="D2273" s="51">
        <v>117609.96</v>
      </c>
      <c r="E2273" s="51" t="str">
        <f t="shared" si="1"/>
        <v>₹1,411,319.52</v>
      </c>
      <c r="F2273" s="52" t="str">
        <f t="shared" si="2"/>
        <v>30.0%</v>
      </c>
      <c r="G2273" s="51" t="str">
        <f t="shared" si="3"/>
        <v>₹423,395.86</v>
      </c>
      <c r="H2273" s="51" t="str">
        <f t="shared" si="4"/>
        <v>₹35,282.99</v>
      </c>
      <c r="I2273" s="51" t="str">
        <f>102593.63-H2273</f>
        <v>₹67,310.64</v>
      </c>
    </row>
    <row r="2274" ht="15.75" customHeight="1">
      <c r="A2274" s="53" t="s">
        <v>2345</v>
      </c>
      <c r="B2274" s="53" t="s">
        <v>13</v>
      </c>
      <c r="C2274" s="53" t="s">
        <v>33</v>
      </c>
      <c r="D2274" s="54">
        <v>117633.14</v>
      </c>
      <c r="E2274" s="54" t="str">
        <f t="shared" si="1"/>
        <v>₹1,411,597.68</v>
      </c>
      <c r="F2274" s="55" t="str">
        <f t="shared" si="2"/>
        <v>30.0%</v>
      </c>
      <c r="G2274" s="54" t="str">
        <f t="shared" si="3"/>
        <v>₹423,479.30</v>
      </c>
      <c r="H2274" s="54" t="str">
        <f t="shared" si="4"/>
        <v>₹35,289.94</v>
      </c>
      <c r="I2274" s="54" t="str">
        <f>102613.41-H2274</f>
        <v>₹67,323.47</v>
      </c>
    </row>
    <row r="2275" ht="15.75" customHeight="1">
      <c r="A2275" s="50" t="s">
        <v>2346</v>
      </c>
      <c r="B2275" s="50" t="s">
        <v>13</v>
      </c>
      <c r="C2275" s="50" t="s">
        <v>37</v>
      </c>
      <c r="D2275" s="51">
        <v>117656.32</v>
      </c>
      <c r="E2275" s="51" t="str">
        <f t="shared" si="1"/>
        <v>₹1,411,875.84</v>
      </c>
      <c r="F2275" s="52" t="str">
        <f t="shared" si="2"/>
        <v>30.0%</v>
      </c>
      <c r="G2275" s="51" t="str">
        <f t="shared" si="3"/>
        <v>₹423,562.75</v>
      </c>
      <c r="H2275" s="51" t="str">
        <f t="shared" si="4"/>
        <v>₹35,296.90</v>
      </c>
      <c r="I2275" s="51" t="str">
        <f>102633.19-H2275</f>
        <v>₹67,336.29</v>
      </c>
    </row>
    <row r="2276" ht="15.75" customHeight="1">
      <c r="A2276" s="53" t="s">
        <v>2347</v>
      </c>
      <c r="B2276" s="53" t="s">
        <v>51</v>
      </c>
      <c r="C2276" s="53" t="s">
        <v>14</v>
      </c>
      <c r="D2276" s="54">
        <v>117702.67</v>
      </c>
      <c r="E2276" s="54" t="str">
        <f t="shared" si="1"/>
        <v>₹1,412,432.04</v>
      </c>
      <c r="F2276" s="55" t="str">
        <f t="shared" si="2"/>
        <v>30.0%</v>
      </c>
      <c r="G2276" s="54" t="str">
        <f t="shared" si="3"/>
        <v>₹423,729.61</v>
      </c>
      <c r="H2276" s="54" t="str">
        <f t="shared" si="4"/>
        <v>₹35,310.80</v>
      </c>
      <c r="I2276" s="54" t="str">
        <f>102672.74-H2276</f>
        <v>₹67,361.94</v>
      </c>
    </row>
    <row r="2277" ht="15.75" customHeight="1">
      <c r="A2277" s="50" t="s">
        <v>2348</v>
      </c>
      <c r="B2277" s="50" t="s">
        <v>51</v>
      </c>
      <c r="C2277" s="50" t="s">
        <v>14</v>
      </c>
      <c r="D2277" s="51">
        <v>117725.85</v>
      </c>
      <c r="E2277" s="51" t="str">
        <f t="shared" si="1"/>
        <v>₹1,412,710.20</v>
      </c>
      <c r="F2277" s="52" t="str">
        <f t="shared" si="2"/>
        <v>30.0%</v>
      </c>
      <c r="G2277" s="51" t="str">
        <f t="shared" si="3"/>
        <v>₹423,813.06</v>
      </c>
      <c r="H2277" s="51" t="str">
        <f t="shared" si="4"/>
        <v>₹35,317.76</v>
      </c>
      <c r="I2277" s="51" t="str">
        <f>102692.53-H2277</f>
        <v>₹67,374.78</v>
      </c>
    </row>
    <row r="2278" ht="15.75" customHeight="1">
      <c r="A2278" s="53" t="s">
        <v>2349</v>
      </c>
      <c r="B2278" s="53" t="s">
        <v>36</v>
      </c>
      <c r="C2278" s="53" t="s">
        <v>26</v>
      </c>
      <c r="D2278" s="54">
        <v>117749.03</v>
      </c>
      <c r="E2278" s="54" t="str">
        <f t="shared" si="1"/>
        <v>₹1,412,988.36</v>
      </c>
      <c r="F2278" s="55" t="str">
        <f t="shared" si="2"/>
        <v>30.0%</v>
      </c>
      <c r="G2278" s="54" t="str">
        <f t="shared" si="3"/>
        <v>₹423,896.51</v>
      </c>
      <c r="H2278" s="54" t="str">
        <f t="shared" si="4"/>
        <v>₹35,324.71</v>
      </c>
      <c r="I2278" s="54" t="str">
        <f>103554.67-H2278</f>
        <v>₹68,229.96</v>
      </c>
    </row>
    <row r="2279" ht="15.75" customHeight="1">
      <c r="A2279" s="50" t="s">
        <v>2350</v>
      </c>
      <c r="B2279" s="50" t="s">
        <v>51</v>
      </c>
      <c r="C2279" s="50" t="s">
        <v>18</v>
      </c>
      <c r="D2279" s="51">
        <v>117772.21</v>
      </c>
      <c r="E2279" s="51" t="str">
        <f t="shared" si="1"/>
        <v>₹1,413,266.52</v>
      </c>
      <c r="F2279" s="52" t="str">
        <f t="shared" si="2"/>
        <v>30.0%</v>
      </c>
      <c r="G2279" s="51" t="str">
        <f t="shared" si="3"/>
        <v>₹423,979.96</v>
      </c>
      <c r="H2279" s="51" t="str">
        <f t="shared" si="4"/>
        <v>₹35,331.66</v>
      </c>
      <c r="I2279" s="51" t="str">
        <f>102732.09-H2279</f>
        <v>₹67,400.43</v>
      </c>
    </row>
    <row r="2280" ht="15.75" customHeight="1">
      <c r="A2280" s="53" t="s">
        <v>2351</v>
      </c>
      <c r="B2280" s="53" t="s">
        <v>51</v>
      </c>
      <c r="C2280" s="53" t="s">
        <v>14</v>
      </c>
      <c r="D2280" s="54">
        <v>117795.38</v>
      </c>
      <c r="E2280" s="54" t="str">
        <f t="shared" si="1"/>
        <v>₹1,413,544.56</v>
      </c>
      <c r="F2280" s="55" t="str">
        <f t="shared" si="2"/>
        <v>30.0%</v>
      </c>
      <c r="G2280" s="54" t="str">
        <f t="shared" si="3"/>
        <v>₹424,063.37</v>
      </c>
      <c r="H2280" s="54" t="str">
        <f t="shared" si="4"/>
        <v>₹35,338.61</v>
      </c>
      <c r="I2280" s="54" t="str">
        <f>102751.86-H2280</f>
        <v>₹67,413.25</v>
      </c>
    </row>
    <row r="2281" ht="15.75" customHeight="1">
      <c r="A2281" s="50" t="s">
        <v>2352</v>
      </c>
      <c r="B2281" s="50" t="s">
        <v>13</v>
      </c>
      <c r="C2281" s="50" t="s">
        <v>26</v>
      </c>
      <c r="D2281" s="51">
        <v>117818.56</v>
      </c>
      <c r="E2281" s="51" t="str">
        <f t="shared" si="1"/>
        <v>₹1,413,822.72</v>
      </c>
      <c r="F2281" s="52" t="str">
        <f t="shared" si="2"/>
        <v>30.0%</v>
      </c>
      <c r="G2281" s="51" t="str">
        <f t="shared" si="3"/>
        <v>₹424,146.82</v>
      </c>
      <c r="H2281" s="51" t="str">
        <f t="shared" si="4"/>
        <v>₹35,345.57</v>
      </c>
      <c r="I2281" s="51" t="str">
        <f>102771.65-H2281</f>
        <v>₹67,426.08</v>
      </c>
    </row>
    <row r="2282" ht="15.75" customHeight="1">
      <c r="A2282" s="53" t="s">
        <v>2353</v>
      </c>
      <c r="B2282" s="53" t="s">
        <v>29</v>
      </c>
      <c r="C2282" s="53" t="s">
        <v>26</v>
      </c>
      <c r="D2282" s="54">
        <v>117841.74</v>
      </c>
      <c r="E2282" s="54" t="str">
        <f t="shared" si="1"/>
        <v>₹1,414,100.88</v>
      </c>
      <c r="F2282" s="55" t="str">
        <f t="shared" si="2"/>
        <v>30.0%</v>
      </c>
      <c r="G2282" s="54" t="str">
        <f t="shared" si="3"/>
        <v>₹424,230.26</v>
      </c>
      <c r="H2282" s="54" t="str">
        <f t="shared" si="4"/>
        <v>₹35,352.52</v>
      </c>
      <c r="I2282" s="54" t="str">
        <f>102791.43-H2282</f>
        <v>₹67,438.91</v>
      </c>
    </row>
    <row r="2283" ht="15.75" customHeight="1">
      <c r="A2283" s="50" t="s">
        <v>2354</v>
      </c>
      <c r="B2283" s="50" t="s">
        <v>17</v>
      </c>
      <c r="C2283" s="50" t="s">
        <v>26</v>
      </c>
      <c r="D2283" s="51">
        <v>117864.92</v>
      </c>
      <c r="E2283" s="51" t="str">
        <f t="shared" si="1"/>
        <v>₹1,414,379.04</v>
      </c>
      <c r="F2283" s="52" t="str">
        <f t="shared" si="2"/>
        <v>30.0%</v>
      </c>
      <c r="G2283" s="51" t="str">
        <f t="shared" si="3"/>
        <v>₹424,313.71</v>
      </c>
      <c r="H2283" s="51" t="str">
        <f t="shared" si="4"/>
        <v>₹35,359.48</v>
      </c>
      <c r="I2283" s="51" t="str">
        <f>102811.21-H2283</f>
        <v>₹67,451.73</v>
      </c>
    </row>
    <row r="2284" ht="15.75" customHeight="1">
      <c r="A2284" s="53" t="s">
        <v>2355</v>
      </c>
      <c r="B2284" s="53" t="s">
        <v>53</v>
      </c>
      <c r="C2284" s="53" t="s">
        <v>30</v>
      </c>
      <c r="D2284" s="54">
        <v>117888.09</v>
      </c>
      <c r="E2284" s="54" t="str">
        <f t="shared" si="1"/>
        <v>₹1,414,657.08</v>
      </c>
      <c r="F2284" s="55" t="str">
        <f t="shared" si="2"/>
        <v>30.0%</v>
      </c>
      <c r="G2284" s="54" t="str">
        <f t="shared" si="3"/>
        <v>₹424,397.12</v>
      </c>
      <c r="H2284" s="54" t="str">
        <f t="shared" si="4"/>
        <v>₹35,366.43</v>
      </c>
      <c r="I2284" s="54" t="str">
        <f>102830.98-H2284</f>
        <v>₹67,464.55</v>
      </c>
    </row>
    <row r="2285" ht="15.75" customHeight="1">
      <c r="A2285" s="50" t="s">
        <v>2356</v>
      </c>
      <c r="B2285" s="50" t="s">
        <v>53</v>
      </c>
      <c r="C2285" s="50" t="s">
        <v>54</v>
      </c>
      <c r="D2285" s="51">
        <v>117911.27</v>
      </c>
      <c r="E2285" s="51" t="str">
        <f t="shared" si="1"/>
        <v>₹1,414,935.24</v>
      </c>
      <c r="F2285" s="52" t="str">
        <f t="shared" si="2"/>
        <v>30.0%</v>
      </c>
      <c r="G2285" s="51" t="str">
        <f t="shared" si="3"/>
        <v>₹424,480.57</v>
      </c>
      <c r="H2285" s="51" t="str">
        <f t="shared" si="4"/>
        <v>₹35,373.38</v>
      </c>
      <c r="I2285" s="51" t="str">
        <f>102850.77-H2285</f>
        <v>₹67,477.39</v>
      </c>
    </row>
    <row r="2286" ht="15.75" customHeight="1">
      <c r="A2286" s="53" t="s">
        <v>2357</v>
      </c>
      <c r="B2286" s="53" t="s">
        <v>53</v>
      </c>
      <c r="C2286" s="53" t="s">
        <v>33</v>
      </c>
      <c r="D2286" s="54">
        <v>117934.45</v>
      </c>
      <c r="E2286" s="54" t="str">
        <f t="shared" si="1"/>
        <v>₹1,415,213.40</v>
      </c>
      <c r="F2286" s="55" t="str">
        <f t="shared" si="2"/>
        <v>30.0%</v>
      </c>
      <c r="G2286" s="54" t="str">
        <f t="shared" si="3"/>
        <v>₹424,564.02</v>
      </c>
      <c r="H2286" s="54" t="str">
        <f t="shared" si="4"/>
        <v>₹35,380.34</v>
      </c>
      <c r="I2286" s="54" t="str">
        <f>102870.55-H2286</f>
        <v>₹67,490.22</v>
      </c>
    </row>
    <row r="2287" ht="15.75" customHeight="1">
      <c r="A2287" s="50" t="s">
        <v>2358</v>
      </c>
      <c r="B2287" s="50" t="s">
        <v>29</v>
      </c>
      <c r="C2287" s="50" t="s">
        <v>14</v>
      </c>
      <c r="D2287" s="51">
        <v>117957.63</v>
      </c>
      <c r="E2287" s="51" t="str">
        <f t="shared" si="1"/>
        <v>₹1,415,491.56</v>
      </c>
      <c r="F2287" s="52" t="str">
        <f t="shared" si="2"/>
        <v>30.0%</v>
      </c>
      <c r="G2287" s="51" t="str">
        <f t="shared" si="3"/>
        <v>₹424,647.47</v>
      </c>
      <c r="H2287" s="51" t="str">
        <f t="shared" si="4"/>
        <v>₹35,387.29</v>
      </c>
      <c r="I2287" s="51" t="str">
        <f>102890.33-H2287</f>
        <v>₹67,503.04</v>
      </c>
    </row>
    <row r="2288" ht="15.75" customHeight="1">
      <c r="A2288" s="53" t="s">
        <v>2359</v>
      </c>
      <c r="B2288" s="53" t="s">
        <v>17</v>
      </c>
      <c r="C2288" s="53" t="s">
        <v>33</v>
      </c>
      <c r="D2288" s="54">
        <v>117980.81</v>
      </c>
      <c r="E2288" s="54" t="str">
        <f t="shared" si="1"/>
        <v>₹1,415,769.72</v>
      </c>
      <c r="F2288" s="55" t="str">
        <f t="shared" si="2"/>
        <v>30.0%</v>
      </c>
      <c r="G2288" s="54" t="str">
        <f t="shared" si="3"/>
        <v>₹424,730.92</v>
      </c>
      <c r="H2288" s="54" t="str">
        <f t="shared" si="4"/>
        <v>₹35,394.24</v>
      </c>
      <c r="I2288" s="54" t="str">
        <f>102910.11-H2288</f>
        <v>₹67,515.87</v>
      </c>
    </row>
    <row r="2289" ht="15.75" customHeight="1">
      <c r="A2289" s="50" t="s">
        <v>2360</v>
      </c>
      <c r="B2289" s="50" t="s">
        <v>36</v>
      </c>
      <c r="C2289" s="50" t="s">
        <v>26</v>
      </c>
      <c r="D2289" s="51">
        <v>118003.98</v>
      </c>
      <c r="E2289" s="51" t="str">
        <f t="shared" si="1"/>
        <v>₹1,416,047.76</v>
      </c>
      <c r="F2289" s="52" t="str">
        <f t="shared" si="2"/>
        <v>30.0%</v>
      </c>
      <c r="G2289" s="51" t="str">
        <f t="shared" si="3"/>
        <v>₹424,814.33</v>
      </c>
      <c r="H2289" s="51" t="str">
        <f t="shared" si="4"/>
        <v>₹35,401.19</v>
      </c>
      <c r="I2289" s="51" t="str">
        <f>102929.89-H2289</f>
        <v>₹67,528.70</v>
      </c>
    </row>
    <row r="2290" ht="15.75" customHeight="1">
      <c r="A2290" s="53" t="s">
        <v>2361</v>
      </c>
      <c r="B2290" s="53" t="s">
        <v>53</v>
      </c>
      <c r="C2290" s="53" t="s">
        <v>33</v>
      </c>
      <c r="D2290" s="54">
        <v>118027.16</v>
      </c>
      <c r="E2290" s="54" t="str">
        <f t="shared" si="1"/>
        <v>₹1,416,325.92</v>
      </c>
      <c r="F2290" s="55" t="str">
        <f t="shared" si="2"/>
        <v>30.0%</v>
      </c>
      <c r="G2290" s="54" t="str">
        <f t="shared" si="3"/>
        <v>₹424,897.78</v>
      </c>
      <c r="H2290" s="54" t="str">
        <f t="shared" si="4"/>
        <v>₹35,408.15</v>
      </c>
      <c r="I2290" s="54" t="str">
        <f>102949.67-H2290</f>
        <v>₹67,541.52</v>
      </c>
    </row>
    <row r="2291" ht="15.75" customHeight="1">
      <c r="A2291" s="50" t="s">
        <v>2362</v>
      </c>
      <c r="B2291" s="50" t="s">
        <v>25</v>
      </c>
      <c r="C2291" s="50" t="s">
        <v>37</v>
      </c>
      <c r="D2291" s="51">
        <v>118050.34</v>
      </c>
      <c r="E2291" s="51" t="str">
        <f t="shared" si="1"/>
        <v>₹1,416,604.08</v>
      </c>
      <c r="F2291" s="52" t="str">
        <f t="shared" si="2"/>
        <v>30.0%</v>
      </c>
      <c r="G2291" s="51" t="str">
        <f t="shared" si="3"/>
        <v>₹424,981.22</v>
      </c>
      <c r="H2291" s="51" t="str">
        <f t="shared" si="4"/>
        <v>₹35,415.10</v>
      </c>
      <c r="I2291" s="51" t="str">
        <f>102969.45-H2291</f>
        <v>₹67,554.35</v>
      </c>
    </row>
    <row r="2292" ht="15.75" customHeight="1">
      <c r="A2292" s="53" t="s">
        <v>2363</v>
      </c>
      <c r="B2292" s="53" t="s">
        <v>51</v>
      </c>
      <c r="C2292" s="53" t="s">
        <v>18</v>
      </c>
      <c r="D2292" s="54">
        <v>118073.52</v>
      </c>
      <c r="E2292" s="54" t="str">
        <f t="shared" si="1"/>
        <v>₹1,416,882.24</v>
      </c>
      <c r="F2292" s="55" t="str">
        <f t="shared" si="2"/>
        <v>30.0%</v>
      </c>
      <c r="G2292" s="54" t="str">
        <f t="shared" si="3"/>
        <v>₹425,064.67</v>
      </c>
      <c r="H2292" s="54" t="str">
        <f t="shared" si="4"/>
        <v>₹35,422.06</v>
      </c>
      <c r="I2292" s="54" t="str">
        <f>102989.23-H2292</f>
        <v>₹67,567.17</v>
      </c>
    </row>
    <row r="2293" ht="15.75" customHeight="1">
      <c r="A2293" s="50" t="s">
        <v>2364</v>
      </c>
      <c r="B2293" s="50" t="s">
        <v>17</v>
      </c>
      <c r="C2293" s="50" t="s">
        <v>26</v>
      </c>
      <c r="D2293" s="51">
        <v>118096.69</v>
      </c>
      <c r="E2293" s="51" t="str">
        <f t="shared" si="1"/>
        <v>₹1,417,160.28</v>
      </c>
      <c r="F2293" s="52" t="str">
        <f t="shared" si="2"/>
        <v>30.0%</v>
      </c>
      <c r="G2293" s="51" t="str">
        <f t="shared" si="3"/>
        <v>₹425,148.08</v>
      </c>
      <c r="H2293" s="51" t="str">
        <f t="shared" si="4"/>
        <v>₹35,429.01</v>
      </c>
      <c r="I2293" s="51" t="str">
        <f>103009.01-H2293</f>
        <v>₹67,580.00</v>
      </c>
    </row>
    <row r="2294" ht="15.75" customHeight="1">
      <c r="A2294" s="53" t="s">
        <v>2365</v>
      </c>
      <c r="B2294" s="53" t="s">
        <v>17</v>
      </c>
      <c r="C2294" s="53" t="s">
        <v>26</v>
      </c>
      <c r="D2294" s="54">
        <v>118119.87</v>
      </c>
      <c r="E2294" s="54" t="str">
        <f t="shared" si="1"/>
        <v>₹1,417,438.44</v>
      </c>
      <c r="F2294" s="55" t="str">
        <f t="shared" si="2"/>
        <v>30.0%</v>
      </c>
      <c r="G2294" s="54" t="str">
        <f t="shared" si="3"/>
        <v>₹425,231.53</v>
      </c>
      <c r="H2294" s="54" t="str">
        <f t="shared" si="4"/>
        <v>₹35,435.96</v>
      </c>
      <c r="I2294" s="54" t="str">
        <f>103028.79-H2294</f>
        <v>₹67,592.83</v>
      </c>
    </row>
    <row r="2295" ht="15.75" customHeight="1">
      <c r="A2295" s="50" t="s">
        <v>2366</v>
      </c>
      <c r="B2295" s="50" t="s">
        <v>17</v>
      </c>
      <c r="C2295" s="50" t="s">
        <v>26</v>
      </c>
      <c r="D2295" s="51">
        <v>118143.05</v>
      </c>
      <c r="E2295" s="51" t="str">
        <f t="shared" si="1"/>
        <v>₹1,417,716.60</v>
      </c>
      <c r="F2295" s="52" t="str">
        <f t="shared" si="2"/>
        <v>30.0%</v>
      </c>
      <c r="G2295" s="51" t="str">
        <f t="shared" si="3"/>
        <v>₹425,314.98</v>
      </c>
      <c r="H2295" s="51" t="str">
        <f t="shared" si="4"/>
        <v>₹35,442.92</v>
      </c>
      <c r="I2295" s="51" t="str">
        <f>103048.57-H2295</f>
        <v>₹67,605.66</v>
      </c>
    </row>
    <row r="2296" ht="15.75" customHeight="1">
      <c r="A2296" s="53" t="s">
        <v>2367</v>
      </c>
      <c r="B2296" s="53" t="s">
        <v>17</v>
      </c>
      <c r="C2296" s="53" t="s">
        <v>33</v>
      </c>
      <c r="D2296" s="54">
        <v>118166.23</v>
      </c>
      <c r="E2296" s="54" t="str">
        <f t="shared" si="1"/>
        <v>₹1,417,994.76</v>
      </c>
      <c r="F2296" s="55" t="str">
        <f t="shared" si="2"/>
        <v>30.0%</v>
      </c>
      <c r="G2296" s="54" t="str">
        <f t="shared" si="3"/>
        <v>₹425,398.43</v>
      </c>
      <c r="H2296" s="54" t="str">
        <f t="shared" si="4"/>
        <v>₹35,449.87</v>
      </c>
      <c r="I2296" s="54" t="str">
        <f>103068.35-H2296</f>
        <v>₹67,618.48</v>
      </c>
    </row>
    <row r="2297" ht="15.75" customHeight="1">
      <c r="A2297" s="50" t="s">
        <v>2368</v>
      </c>
      <c r="B2297" s="50" t="s">
        <v>13</v>
      </c>
      <c r="C2297" s="50" t="s">
        <v>33</v>
      </c>
      <c r="D2297" s="51">
        <v>118189.4</v>
      </c>
      <c r="E2297" s="51" t="str">
        <f t="shared" si="1"/>
        <v>₹1,418,272.80</v>
      </c>
      <c r="F2297" s="52" t="str">
        <f t="shared" si="2"/>
        <v>30.0%</v>
      </c>
      <c r="G2297" s="51" t="str">
        <f t="shared" si="3"/>
        <v>₹425,481.84</v>
      </c>
      <c r="H2297" s="51" t="str">
        <f t="shared" si="4"/>
        <v>₹35,456.82</v>
      </c>
      <c r="I2297" s="51" t="str">
        <f>103088.13-H2297</f>
        <v>₹67,631.31</v>
      </c>
    </row>
    <row r="2298" ht="15.75" customHeight="1">
      <c r="A2298" s="53" t="s">
        <v>2369</v>
      </c>
      <c r="B2298" s="53" t="s">
        <v>17</v>
      </c>
      <c r="C2298" s="53" t="s">
        <v>54</v>
      </c>
      <c r="D2298" s="54">
        <v>118212.58</v>
      </c>
      <c r="E2298" s="54" t="str">
        <f t="shared" si="1"/>
        <v>₹1,418,550.96</v>
      </c>
      <c r="F2298" s="55" t="str">
        <f t="shared" si="2"/>
        <v>30.0%</v>
      </c>
      <c r="G2298" s="54" t="str">
        <f t="shared" si="3"/>
        <v>₹425,565.29</v>
      </c>
      <c r="H2298" s="54" t="str">
        <f t="shared" si="4"/>
        <v>₹35,463.77</v>
      </c>
      <c r="I2298" s="54" t="str">
        <f>103107.91-H2298</f>
        <v>₹67,644.14</v>
      </c>
    </row>
    <row r="2299" ht="15.75" customHeight="1">
      <c r="A2299" s="50" t="s">
        <v>2370</v>
      </c>
      <c r="B2299" s="50" t="s">
        <v>17</v>
      </c>
      <c r="C2299" s="50" t="s">
        <v>30</v>
      </c>
      <c r="D2299" s="51">
        <v>118235.76</v>
      </c>
      <c r="E2299" s="51" t="str">
        <f t="shared" si="1"/>
        <v>₹1,418,829.12</v>
      </c>
      <c r="F2299" s="52" t="str">
        <f t="shared" si="2"/>
        <v>30.0%</v>
      </c>
      <c r="G2299" s="51" t="str">
        <f t="shared" si="3"/>
        <v>₹425,648.74</v>
      </c>
      <c r="H2299" s="51" t="str">
        <f t="shared" si="4"/>
        <v>₹35,470.73</v>
      </c>
      <c r="I2299" s="51" t="str">
        <f>103127.69-H2299</f>
        <v>₹67,656.96</v>
      </c>
    </row>
    <row r="2300" ht="15.75" customHeight="1">
      <c r="A2300" s="53" t="s">
        <v>2371</v>
      </c>
      <c r="B2300" s="53" t="s">
        <v>13</v>
      </c>
      <c r="C2300" s="53" t="s">
        <v>33</v>
      </c>
      <c r="D2300" s="54">
        <v>118258.94</v>
      </c>
      <c r="E2300" s="54" t="str">
        <f t="shared" si="1"/>
        <v>₹1,419,107.28</v>
      </c>
      <c r="F2300" s="55" t="str">
        <f t="shared" si="2"/>
        <v>30.0%</v>
      </c>
      <c r="G2300" s="54" t="str">
        <f t="shared" si="3"/>
        <v>₹425,732.18</v>
      </c>
      <c r="H2300" s="54" t="str">
        <f t="shared" si="4"/>
        <v>₹35,477.68</v>
      </c>
      <c r="I2300" s="54" t="str">
        <f>103147.47-H2300</f>
        <v>₹67,669.79</v>
      </c>
    </row>
    <row r="2301" ht="15.75" customHeight="1">
      <c r="A2301" s="50" t="s">
        <v>2372</v>
      </c>
      <c r="B2301" s="50" t="s">
        <v>25</v>
      </c>
      <c r="C2301" s="50" t="s">
        <v>30</v>
      </c>
      <c r="D2301" s="51">
        <v>118282.12</v>
      </c>
      <c r="E2301" s="51" t="str">
        <f t="shared" si="1"/>
        <v>₹1,419,385.44</v>
      </c>
      <c r="F2301" s="52" t="str">
        <f t="shared" si="2"/>
        <v>30.0%</v>
      </c>
      <c r="G2301" s="51" t="str">
        <f t="shared" si="3"/>
        <v>₹425,815.63</v>
      </c>
      <c r="H2301" s="51" t="str">
        <f t="shared" si="4"/>
        <v>₹35,484.64</v>
      </c>
      <c r="I2301" s="51" t="str">
        <f>103167.26-H2301</f>
        <v>₹67,682.62</v>
      </c>
    </row>
    <row r="2302" ht="15.75" customHeight="1">
      <c r="A2302" s="53" t="s">
        <v>2373</v>
      </c>
      <c r="B2302" s="53" t="s">
        <v>29</v>
      </c>
      <c r="C2302" s="53" t="s">
        <v>14</v>
      </c>
      <c r="D2302" s="54">
        <v>64365.93</v>
      </c>
      <c r="E2302" s="54" t="str">
        <f t="shared" si="1"/>
        <v>₹772,391.16</v>
      </c>
      <c r="F2302" s="55" t="str">
        <f t="shared" si="2"/>
        <v>20.0%</v>
      </c>
      <c r="G2302" s="54" t="str">
        <f t="shared" si="3"/>
        <v>₹154,478.23</v>
      </c>
      <c r="H2302" s="54" t="str">
        <f t="shared" si="4"/>
        <v>₹12,873.19</v>
      </c>
      <c r="I2302" s="54" t="str">
        <f>49247.67-H2302</f>
        <v>₹36,374.48</v>
      </c>
    </row>
    <row r="2303" ht="15.75" customHeight="1">
      <c r="A2303" s="50" t="s">
        <v>2374</v>
      </c>
      <c r="B2303" s="50" t="s">
        <v>17</v>
      </c>
      <c r="C2303" s="50" t="s">
        <v>18</v>
      </c>
      <c r="D2303" s="51">
        <v>64878.22</v>
      </c>
      <c r="E2303" s="51" t="str">
        <f t="shared" si="1"/>
        <v>₹778,538.64</v>
      </c>
      <c r="F2303" s="52" t="str">
        <f t="shared" si="2"/>
        <v>20.0%</v>
      </c>
      <c r="G2303" s="51" t="str">
        <f t="shared" si="3"/>
        <v>₹155,707.73</v>
      </c>
      <c r="H2303" s="51" t="str">
        <f t="shared" si="4"/>
        <v>₹12,975.64</v>
      </c>
      <c r="I2303" s="51" t="str">
        <f>49756.56-H2303</f>
        <v>₹36,780.92</v>
      </c>
    </row>
    <row r="2304" ht="15.75" customHeight="1">
      <c r="A2304" s="53" t="s">
        <v>2375</v>
      </c>
      <c r="B2304" s="53" t="s">
        <v>36</v>
      </c>
      <c r="C2304" s="53" t="s">
        <v>18</v>
      </c>
      <c r="D2304" s="54">
        <v>65390.52</v>
      </c>
      <c r="E2304" s="54" t="str">
        <f t="shared" si="1"/>
        <v>₹784,686.24</v>
      </c>
      <c r="F2304" s="55" t="str">
        <f t="shared" si="2"/>
        <v>20.0%</v>
      </c>
      <c r="G2304" s="54" t="str">
        <f t="shared" si="3"/>
        <v>₹156,937.25</v>
      </c>
      <c r="H2304" s="54" t="str">
        <f t="shared" si="4"/>
        <v>₹13,078.10</v>
      </c>
      <c r="I2304" s="54" t="str">
        <f>50265.46-H2304</f>
        <v>₹37,187.36</v>
      </c>
    </row>
    <row r="2305" ht="15.75" customHeight="1">
      <c r="A2305" s="50" t="s">
        <v>2376</v>
      </c>
      <c r="B2305" s="50" t="s">
        <v>25</v>
      </c>
      <c r="C2305" s="50" t="s">
        <v>14</v>
      </c>
      <c r="D2305" s="51">
        <v>65402.81</v>
      </c>
      <c r="E2305" s="51" t="str">
        <f t="shared" si="1"/>
        <v>₹784,833.72</v>
      </c>
      <c r="F2305" s="52" t="str">
        <f t="shared" si="2"/>
        <v>20.0%</v>
      </c>
      <c r="G2305" s="51" t="str">
        <f t="shared" si="3"/>
        <v>₹156,966.74</v>
      </c>
      <c r="H2305" s="51" t="str">
        <f t="shared" si="4"/>
        <v>₹13,080.56</v>
      </c>
      <c r="I2305" s="51" t="str">
        <f>50274.36-H2305</f>
        <v>₹37,193.80</v>
      </c>
    </row>
    <row r="2306" ht="15.75" customHeight="1">
      <c r="A2306" s="53" t="s">
        <v>2377</v>
      </c>
      <c r="B2306" s="53" t="s">
        <v>17</v>
      </c>
      <c r="C2306" s="53" t="s">
        <v>33</v>
      </c>
      <c r="D2306" s="54">
        <v>284115.11</v>
      </c>
      <c r="E2306" s="54" t="str">
        <f t="shared" si="1"/>
        <v>₹3,409,381.32</v>
      </c>
      <c r="F2306" s="55" t="str">
        <f t="shared" si="2"/>
        <v>30.0%</v>
      </c>
      <c r="G2306" s="54" t="str">
        <f t="shared" si="3"/>
        <v>₹1,022,814.40</v>
      </c>
      <c r="H2306" s="54" t="str">
        <f t="shared" si="4"/>
        <v>₹85,234.53</v>
      </c>
      <c r="I2306" s="54" t="str">
        <f>268983.26-H2306</f>
        <v>₹183,748.73</v>
      </c>
    </row>
    <row r="2307" ht="15.75" customHeight="1">
      <c r="A2307" s="50" t="s">
        <v>2378</v>
      </c>
      <c r="B2307" s="50" t="s">
        <v>25</v>
      </c>
      <c r="C2307" s="50" t="s">
        <v>37</v>
      </c>
      <c r="D2307" s="51">
        <v>118366.77</v>
      </c>
      <c r="E2307" s="51" t="str">
        <f t="shared" si="1"/>
        <v>₹1,420,401.24</v>
      </c>
      <c r="F2307" s="52" t="str">
        <f t="shared" si="2"/>
        <v>30.0%</v>
      </c>
      <c r="G2307" s="51" t="str">
        <f t="shared" si="3"/>
        <v>₹426,120.37</v>
      </c>
      <c r="H2307" s="51" t="str">
        <f t="shared" si="4"/>
        <v>₹35,510.03</v>
      </c>
      <c r="I2307" s="51" t="str">
        <f>103231.52-H2307</f>
        <v>₹67,721.49</v>
      </c>
    </row>
    <row r="2308" ht="15.75" customHeight="1">
      <c r="A2308" s="53" t="s">
        <v>2379</v>
      </c>
      <c r="B2308" s="53" t="s">
        <v>29</v>
      </c>
      <c r="C2308" s="53" t="s">
        <v>54</v>
      </c>
      <c r="D2308" s="54">
        <v>118389.94</v>
      </c>
      <c r="E2308" s="54" t="str">
        <f t="shared" si="1"/>
        <v>₹1,420,679.28</v>
      </c>
      <c r="F2308" s="55" t="str">
        <f t="shared" si="2"/>
        <v>30.0%</v>
      </c>
      <c r="G2308" s="54" t="str">
        <f t="shared" si="3"/>
        <v>₹426,203.78</v>
      </c>
      <c r="H2308" s="54" t="str">
        <f t="shared" si="4"/>
        <v>₹35,516.98</v>
      </c>
      <c r="I2308" s="54" t="str">
        <f>103251.29-H2308</f>
        <v>₹67,734.31</v>
      </c>
    </row>
    <row r="2309" ht="15.75" customHeight="1">
      <c r="A2309" s="50" t="s">
        <v>2380</v>
      </c>
      <c r="B2309" s="50" t="s">
        <v>17</v>
      </c>
      <c r="C2309" s="50" t="s">
        <v>33</v>
      </c>
      <c r="D2309" s="51">
        <v>118413.12</v>
      </c>
      <c r="E2309" s="51" t="str">
        <f t="shared" si="1"/>
        <v>₹1,420,957.44</v>
      </c>
      <c r="F2309" s="52" t="str">
        <f t="shared" si="2"/>
        <v>30.0%</v>
      </c>
      <c r="G2309" s="51" t="str">
        <f t="shared" si="3"/>
        <v>₹426,287.23</v>
      </c>
      <c r="H2309" s="51" t="str">
        <f t="shared" si="4"/>
        <v>₹35,523.94</v>
      </c>
      <c r="I2309" s="51" t="str">
        <f>103271.08-H2309</f>
        <v>₹67,747.14</v>
      </c>
    </row>
    <row r="2310" ht="15.75" customHeight="1">
      <c r="A2310" s="53" t="s">
        <v>2381</v>
      </c>
      <c r="B2310" s="53" t="s">
        <v>36</v>
      </c>
      <c r="C2310" s="53" t="s">
        <v>26</v>
      </c>
      <c r="D2310" s="54">
        <v>118436.3</v>
      </c>
      <c r="E2310" s="54" t="str">
        <f t="shared" si="1"/>
        <v>₹1,421,235.60</v>
      </c>
      <c r="F2310" s="55" t="str">
        <f t="shared" si="2"/>
        <v>30.0%</v>
      </c>
      <c r="G2310" s="54" t="str">
        <f t="shared" si="3"/>
        <v>₹426,370.68</v>
      </c>
      <c r="H2310" s="54" t="str">
        <f t="shared" si="4"/>
        <v>₹35,530.89</v>
      </c>
      <c r="I2310" s="54" t="str">
        <f>103290.86-H2310</f>
        <v>₹67,759.97</v>
      </c>
    </row>
    <row r="2311" ht="15.75" customHeight="1">
      <c r="A2311" s="50" t="s">
        <v>2382</v>
      </c>
      <c r="B2311" s="50" t="s">
        <v>29</v>
      </c>
      <c r="C2311" s="50" t="s">
        <v>37</v>
      </c>
      <c r="D2311" s="51">
        <v>118459.48</v>
      </c>
      <c r="E2311" s="51" t="str">
        <f t="shared" si="1"/>
        <v>₹1,421,513.76</v>
      </c>
      <c r="F2311" s="52" t="str">
        <f t="shared" si="2"/>
        <v>30.0%</v>
      </c>
      <c r="G2311" s="51" t="str">
        <f t="shared" si="3"/>
        <v>₹426,454.13</v>
      </c>
      <c r="H2311" s="51" t="str">
        <f t="shared" si="4"/>
        <v>₹35,537.84</v>
      </c>
      <c r="I2311" s="51" t="str">
        <f>103310.64-H2311</f>
        <v>₹67,772.80</v>
      </c>
    </row>
    <row r="2312" ht="15.75" customHeight="1">
      <c r="A2312" s="53" t="s">
        <v>2383</v>
      </c>
      <c r="B2312" s="53" t="s">
        <v>36</v>
      </c>
      <c r="C2312" s="53" t="s">
        <v>30</v>
      </c>
      <c r="D2312" s="54">
        <v>118482.65</v>
      </c>
      <c r="E2312" s="54" t="str">
        <f t="shared" si="1"/>
        <v>₹1,421,791.80</v>
      </c>
      <c r="F2312" s="55" t="str">
        <f t="shared" si="2"/>
        <v>30.0%</v>
      </c>
      <c r="G2312" s="54" t="str">
        <f t="shared" si="3"/>
        <v>₹426,537.54</v>
      </c>
      <c r="H2312" s="54" t="str">
        <f t="shared" si="4"/>
        <v>₹35,544.80</v>
      </c>
      <c r="I2312" s="54" t="str">
        <f>103330.41-H2312</f>
        <v>₹67,785.62</v>
      </c>
    </row>
    <row r="2313" ht="15.75" customHeight="1">
      <c r="A2313" s="50" t="s">
        <v>2384</v>
      </c>
      <c r="B2313" s="50" t="s">
        <v>29</v>
      </c>
      <c r="C2313" s="50" t="s">
        <v>26</v>
      </c>
      <c r="D2313" s="51">
        <v>118505.83</v>
      </c>
      <c r="E2313" s="51" t="str">
        <f t="shared" si="1"/>
        <v>₹1,422,069.96</v>
      </c>
      <c r="F2313" s="52" t="str">
        <f t="shared" si="2"/>
        <v>30.0%</v>
      </c>
      <c r="G2313" s="51" t="str">
        <f t="shared" si="3"/>
        <v>₹426,620.99</v>
      </c>
      <c r="H2313" s="51" t="str">
        <f t="shared" si="4"/>
        <v>₹35,551.75</v>
      </c>
      <c r="I2313" s="51" t="str">
        <f>103350.2-H2313</f>
        <v>₹67,798.45</v>
      </c>
    </row>
    <row r="2314" ht="15.75" customHeight="1">
      <c r="A2314" s="53" t="s">
        <v>2385</v>
      </c>
      <c r="B2314" s="53" t="s">
        <v>51</v>
      </c>
      <c r="C2314" s="53" t="s">
        <v>18</v>
      </c>
      <c r="D2314" s="54">
        <v>118529.01</v>
      </c>
      <c r="E2314" s="54" t="str">
        <f t="shared" si="1"/>
        <v>₹1,422,348.12</v>
      </c>
      <c r="F2314" s="55" t="str">
        <f t="shared" si="2"/>
        <v>30.0%</v>
      </c>
      <c r="G2314" s="54" t="str">
        <f t="shared" si="3"/>
        <v>₹426,704.44</v>
      </c>
      <c r="H2314" s="54" t="str">
        <f t="shared" si="4"/>
        <v>₹35,558.70</v>
      </c>
      <c r="I2314" s="54" t="str">
        <f>103369.98-H2314</f>
        <v>₹67,811.28</v>
      </c>
    </row>
    <row r="2315" ht="15.75" customHeight="1">
      <c r="A2315" s="50" t="s">
        <v>2386</v>
      </c>
      <c r="B2315" s="50" t="s">
        <v>53</v>
      </c>
      <c r="C2315" s="50" t="s">
        <v>37</v>
      </c>
      <c r="D2315" s="51">
        <v>118552.19</v>
      </c>
      <c r="E2315" s="51" t="str">
        <f t="shared" si="1"/>
        <v>₹1,422,626.28</v>
      </c>
      <c r="F2315" s="52" t="str">
        <f t="shared" si="2"/>
        <v>30.0%</v>
      </c>
      <c r="G2315" s="51" t="str">
        <f t="shared" si="3"/>
        <v>₹426,787.88</v>
      </c>
      <c r="H2315" s="51" t="str">
        <f t="shared" si="4"/>
        <v>₹35,565.66</v>
      </c>
      <c r="I2315" s="51" t="str">
        <f>103786.88-H2315</f>
        <v>₹68,221.22</v>
      </c>
    </row>
    <row r="2316" ht="15.75" customHeight="1">
      <c r="A2316" s="53" t="s">
        <v>2387</v>
      </c>
      <c r="B2316" s="53" t="s">
        <v>53</v>
      </c>
      <c r="C2316" s="53" t="s">
        <v>26</v>
      </c>
      <c r="D2316" s="54">
        <v>118575.37</v>
      </c>
      <c r="E2316" s="54" t="str">
        <f t="shared" si="1"/>
        <v>₹1,422,904.44</v>
      </c>
      <c r="F2316" s="55" t="str">
        <f t="shared" si="2"/>
        <v>30.0%</v>
      </c>
      <c r="G2316" s="54" t="str">
        <f t="shared" si="3"/>
        <v>₹426,871.33</v>
      </c>
      <c r="H2316" s="54" t="str">
        <f t="shared" si="4"/>
        <v>₹35,572.61</v>
      </c>
      <c r="I2316" s="54" t="str">
        <f>103409.54-H2316</f>
        <v>₹67,836.93</v>
      </c>
    </row>
    <row r="2317" ht="15.75" customHeight="1">
      <c r="A2317" s="50" t="s">
        <v>2388</v>
      </c>
      <c r="B2317" s="50" t="s">
        <v>51</v>
      </c>
      <c r="C2317" s="50" t="s">
        <v>18</v>
      </c>
      <c r="D2317" s="51">
        <v>118598.54</v>
      </c>
      <c r="E2317" s="51" t="str">
        <f t="shared" si="1"/>
        <v>₹1,423,182.48</v>
      </c>
      <c r="F2317" s="52" t="str">
        <f t="shared" si="2"/>
        <v>30.0%</v>
      </c>
      <c r="G2317" s="51" t="str">
        <f t="shared" si="3"/>
        <v>₹426,954.74</v>
      </c>
      <c r="H2317" s="51" t="str">
        <f t="shared" si="4"/>
        <v>₹35,579.56</v>
      </c>
      <c r="I2317" s="51" t="str">
        <f>103429.32-H2317</f>
        <v>₹67,849.76</v>
      </c>
    </row>
    <row r="2318" ht="15.75" customHeight="1">
      <c r="A2318" s="53" t="s">
        <v>2389</v>
      </c>
      <c r="B2318" s="53" t="s">
        <v>36</v>
      </c>
      <c r="C2318" s="53" t="s">
        <v>37</v>
      </c>
      <c r="D2318" s="54">
        <v>118621.72</v>
      </c>
      <c r="E2318" s="54" t="str">
        <f t="shared" si="1"/>
        <v>₹1,423,460.64</v>
      </c>
      <c r="F2318" s="55" t="str">
        <f t="shared" si="2"/>
        <v>30.0%</v>
      </c>
      <c r="G2318" s="54" t="str">
        <f t="shared" si="3"/>
        <v>₹427,038.19</v>
      </c>
      <c r="H2318" s="54" t="str">
        <f t="shared" si="4"/>
        <v>₹35,586.52</v>
      </c>
      <c r="I2318" s="54" t="str">
        <f>103449.1-H2318</f>
        <v>₹67,862.58</v>
      </c>
    </row>
    <row r="2319" ht="15.75" customHeight="1">
      <c r="A2319" s="50" t="s">
        <v>2390</v>
      </c>
      <c r="B2319" s="50" t="s">
        <v>13</v>
      </c>
      <c r="C2319" s="50" t="s">
        <v>33</v>
      </c>
      <c r="D2319" s="51">
        <v>118644.9</v>
      </c>
      <c r="E2319" s="51" t="str">
        <f t="shared" si="1"/>
        <v>₹1,423,738.80</v>
      </c>
      <c r="F2319" s="52" t="str">
        <f t="shared" si="2"/>
        <v>30.0%</v>
      </c>
      <c r="G2319" s="51" t="str">
        <f t="shared" si="3"/>
        <v>₹427,121.64</v>
      </c>
      <c r="H2319" s="51" t="str">
        <f t="shared" si="4"/>
        <v>₹35,593.47</v>
      </c>
      <c r="I2319" s="51" t="str">
        <f>103468.88-H2319</f>
        <v>₹67,875.41</v>
      </c>
    </row>
    <row r="2320" ht="15.75" customHeight="1">
      <c r="A2320" s="53" t="s">
        <v>2391</v>
      </c>
      <c r="B2320" s="53" t="s">
        <v>29</v>
      </c>
      <c r="C2320" s="53" t="s">
        <v>14</v>
      </c>
      <c r="D2320" s="54">
        <v>118668.08</v>
      </c>
      <c r="E2320" s="54" t="str">
        <f t="shared" si="1"/>
        <v>₹1,424,016.96</v>
      </c>
      <c r="F2320" s="55" t="str">
        <f t="shared" si="2"/>
        <v>30.0%</v>
      </c>
      <c r="G2320" s="54" t="str">
        <f t="shared" si="3"/>
        <v>₹427,205.09</v>
      </c>
      <c r="H2320" s="54" t="str">
        <f t="shared" si="4"/>
        <v>₹35,600.42</v>
      </c>
      <c r="I2320" s="54" t="str">
        <f>103488.66-H2320</f>
        <v>₹67,888.24</v>
      </c>
    </row>
    <row r="2321" ht="15.75" customHeight="1">
      <c r="A2321" s="50" t="s">
        <v>2392</v>
      </c>
      <c r="B2321" s="50" t="s">
        <v>13</v>
      </c>
      <c r="C2321" s="50" t="s">
        <v>33</v>
      </c>
      <c r="D2321" s="51">
        <v>118691.25</v>
      </c>
      <c r="E2321" s="51" t="str">
        <f t="shared" si="1"/>
        <v>₹1,424,295.00</v>
      </c>
      <c r="F2321" s="52" t="str">
        <f t="shared" si="2"/>
        <v>30.0%</v>
      </c>
      <c r="G2321" s="51" t="str">
        <f t="shared" si="3"/>
        <v>₹427,288.50</v>
      </c>
      <c r="H2321" s="51" t="str">
        <f t="shared" si="4"/>
        <v>₹35,607.38</v>
      </c>
      <c r="I2321" s="51" t="str">
        <f>103508.44-H2321</f>
        <v>₹67,901.07</v>
      </c>
    </row>
    <row r="2322" ht="15.75" customHeight="1">
      <c r="A2322" s="53" t="s">
        <v>2393</v>
      </c>
      <c r="B2322" s="53" t="s">
        <v>25</v>
      </c>
      <c r="C2322" s="53" t="s">
        <v>33</v>
      </c>
      <c r="D2322" s="54">
        <v>118714.43</v>
      </c>
      <c r="E2322" s="54" t="str">
        <f t="shared" si="1"/>
        <v>₹1,424,573.16</v>
      </c>
      <c r="F2322" s="55" t="str">
        <f t="shared" si="2"/>
        <v>30.0%</v>
      </c>
      <c r="G2322" s="54" t="str">
        <f t="shared" si="3"/>
        <v>₹427,371.95</v>
      </c>
      <c r="H2322" s="54" t="str">
        <f t="shared" si="4"/>
        <v>₹35,614.33</v>
      </c>
      <c r="I2322" s="54" t="str">
        <f>103528.22-H2322</f>
        <v>₹67,913.89</v>
      </c>
    </row>
    <row r="2323" ht="15.75" customHeight="1">
      <c r="A2323" s="50" t="s">
        <v>2394</v>
      </c>
      <c r="B2323" s="50" t="s">
        <v>29</v>
      </c>
      <c r="C2323" s="50" t="s">
        <v>33</v>
      </c>
      <c r="D2323" s="51">
        <v>118737.61</v>
      </c>
      <c r="E2323" s="51" t="str">
        <f t="shared" si="1"/>
        <v>₹1,424,851.32</v>
      </c>
      <c r="F2323" s="52" t="str">
        <f t="shared" si="2"/>
        <v>30.0%</v>
      </c>
      <c r="G2323" s="51" t="str">
        <f t="shared" si="3"/>
        <v>₹427,455.40</v>
      </c>
      <c r="H2323" s="51" t="str">
        <f t="shared" si="4"/>
        <v>₹35,621.28</v>
      </c>
      <c r="I2323" s="51" t="str">
        <f>103548-H2323</f>
        <v>₹67,926.72</v>
      </c>
    </row>
    <row r="2324" ht="15.75" customHeight="1">
      <c r="A2324" s="53" t="s">
        <v>2395</v>
      </c>
      <c r="B2324" s="53" t="s">
        <v>53</v>
      </c>
      <c r="C2324" s="53" t="s">
        <v>14</v>
      </c>
      <c r="D2324" s="54">
        <v>118760.79</v>
      </c>
      <c r="E2324" s="54" t="str">
        <f t="shared" si="1"/>
        <v>₹1,425,129.48</v>
      </c>
      <c r="F2324" s="55" t="str">
        <f t="shared" si="2"/>
        <v>30.0%</v>
      </c>
      <c r="G2324" s="54" t="str">
        <f t="shared" si="3"/>
        <v>₹427,538.84</v>
      </c>
      <c r="H2324" s="54" t="str">
        <f t="shared" si="4"/>
        <v>₹35,628.24</v>
      </c>
      <c r="I2324" s="54" t="str">
        <f>103567.78-H2324</f>
        <v>₹67,939.54</v>
      </c>
    </row>
    <row r="2325" ht="15.75" customHeight="1">
      <c r="A2325" s="50" t="s">
        <v>2396</v>
      </c>
      <c r="B2325" s="50" t="s">
        <v>51</v>
      </c>
      <c r="C2325" s="50" t="s">
        <v>30</v>
      </c>
      <c r="D2325" s="51">
        <v>118783.96</v>
      </c>
      <c r="E2325" s="51" t="str">
        <f t="shared" si="1"/>
        <v>₹1,425,407.52</v>
      </c>
      <c r="F2325" s="52" t="str">
        <f t="shared" si="2"/>
        <v>30.0%</v>
      </c>
      <c r="G2325" s="51" t="str">
        <f t="shared" si="3"/>
        <v>₹427,622.26</v>
      </c>
      <c r="H2325" s="51" t="str">
        <f t="shared" si="4"/>
        <v>₹35,635.19</v>
      </c>
      <c r="I2325" s="51" t="str">
        <f>103587.55-H2325</f>
        <v>₹67,952.36</v>
      </c>
    </row>
    <row r="2326" ht="15.75" customHeight="1">
      <c r="A2326" s="53" t="s">
        <v>2397</v>
      </c>
      <c r="B2326" s="53" t="s">
        <v>36</v>
      </c>
      <c r="C2326" s="53" t="s">
        <v>30</v>
      </c>
      <c r="D2326" s="54">
        <v>118807.14</v>
      </c>
      <c r="E2326" s="54" t="str">
        <f t="shared" si="1"/>
        <v>₹1,425,685.68</v>
      </c>
      <c r="F2326" s="55" t="str">
        <f t="shared" si="2"/>
        <v>30.0%</v>
      </c>
      <c r="G2326" s="54" t="str">
        <f t="shared" si="3"/>
        <v>₹427,705.70</v>
      </c>
      <c r="H2326" s="54" t="str">
        <f t="shared" si="4"/>
        <v>₹35,642.14</v>
      </c>
      <c r="I2326" s="54" t="str">
        <f>103607.34-H2326</f>
        <v>₹67,965.20</v>
      </c>
    </row>
    <row r="2327" ht="15.75" customHeight="1">
      <c r="A2327" s="50" t="s">
        <v>2398</v>
      </c>
      <c r="B2327" s="50" t="s">
        <v>13</v>
      </c>
      <c r="C2327" s="50" t="s">
        <v>14</v>
      </c>
      <c r="D2327" s="51">
        <v>115830.0</v>
      </c>
      <c r="E2327" s="51" t="str">
        <f t="shared" si="1"/>
        <v>₹1,389,960.00</v>
      </c>
      <c r="F2327" s="52" t="str">
        <f t="shared" si="2"/>
        <v>30.0%</v>
      </c>
      <c r="G2327" s="51" t="str">
        <f t="shared" si="3"/>
        <v>₹416,988.00</v>
      </c>
      <c r="H2327" s="51" t="str">
        <f t="shared" si="4"/>
        <v>₹34,749.00</v>
      </c>
      <c r="I2327" s="51" t="str">
        <f>100626.8-H2327</f>
        <v>₹65,877.80</v>
      </c>
    </row>
    <row r="2328" ht="15.75" customHeight="1">
      <c r="A2328" s="53" t="s">
        <v>2399</v>
      </c>
      <c r="B2328" s="53" t="s">
        <v>36</v>
      </c>
      <c r="C2328" s="53" t="s">
        <v>37</v>
      </c>
      <c r="D2328" s="54">
        <v>118853.5</v>
      </c>
      <c r="E2328" s="54" t="str">
        <f t="shared" si="1"/>
        <v>₹1,426,242.00</v>
      </c>
      <c r="F2328" s="55" t="str">
        <f t="shared" si="2"/>
        <v>30.0%</v>
      </c>
      <c r="G2328" s="54" t="str">
        <f t="shared" si="3"/>
        <v>₹427,872.60</v>
      </c>
      <c r="H2328" s="54" t="str">
        <f t="shared" si="4"/>
        <v>₹35,656.05</v>
      </c>
      <c r="I2328" s="54" t="str">
        <f>103646.9-H2328</f>
        <v>₹67,990.85</v>
      </c>
    </row>
    <row r="2329" ht="15.75" customHeight="1">
      <c r="A2329" s="50" t="s">
        <v>2400</v>
      </c>
      <c r="B2329" s="50" t="s">
        <v>51</v>
      </c>
      <c r="C2329" s="50" t="s">
        <v>37</v>
      </c>
      <c r="D2329" s="51">
        <v>118923.03</v>
      </c>
      <c r="E2329" s="51" t="str">
        <f t="shared" si="1"/>
        <v>₹1,427,076.36</v>
      </c>
      <c r="F2329" s="52" t="str">
        <f t="shared" si="2"/>
        <v>30.0%</v>
      </c>
      <c r="G2329" s="51" t="str">
        <f t="shared" si="3"/>
        <v>₹428,122.91</v>
      </c>
      <c r="H2329" s="51" t="str">
        <f t="shared" si="4"/>
        <v>₹35,676.91</v>
      </c>
      <c r="I2329" s="51" t="str">
        <f>103706.24-H2329</f>
        <v>₹68,029.33</v>
      </c>
    </row>
    <row r="2330" ht="15.75" customHeight="1">
      <c r="A2330" s="53" t="s">
        <v>2401</v>
      </c>
      <c r="B2330" s="53" t="s">
        <v>17</v>
      </c>
      <c r="C2330" s="53" t="s">
        <v>26</v>
      </c>
      <c r="D2330" s="54">
        <v>118946.21</v>
      </c>
      <c r="E2330" s="54" t="str">
        <f t="shared" si="1"/>
        <v>₹1,427,354.52</v>
      </c>
      <c r="F2330" s="55" t="str">
        <f t="shared" si="2"/>
        <v>30.0%</v>
      </c>
      <c r="G2330" s="54" t="str">
        <f t="shared" si="3"/>
        <v>₹428,206.36</v>
      </c>
      <c r="H2330" s="54" t="str">
        <f t="shared" si="4"/>
        <v>₹35,683.86</v>
      </c>
      <c r="I2330" s="54" t="str">
        <f>103726.02-H2330</f>
        <v>₹68,042.16</v>
      </c>
    </row>
    <row r="2331" ht="15.75" customHeight="1">
      <c r="A2331" s="50" t="s">
        <v>2402</v>
      </c>
      <c r="B2331" s="50" t="s">
        <v>36</v>
      </c>
      <c r="C2331" s="50" t="s">
        <v>30</v>
      </c>
      <c r="D2331" s="51">
        <v>118969.39</v>
      </c>
      <c r="E2331" s="51" t="str">
        <f t="shared" si="1"/>
        <v>₹1,427,632.68</v>
      </c>
      <c r="F2331" s="52" t="str">
        <f t="shared" si="2"/>
        <v>30.0%</v>
      </c>
      <c r="G2331" s="51" t="str">
        <f t="shared" si="3"/>
        <v>₹428,289.80</v>
      </c>
      <c r="H2331" s="51" t="str">
        <f t="shared" si="4"/>
        <v>₹35,690.82</v>
      </c>
      <c r="I2331" s="51" t="str">
        <f>103745.8-H2331</f>
        <v>₹68,054.98</v>
      </c>
    </row>
    <row r="2332" ht="15.75" customHeight="1">
      <c r="A2332" s="53" t="s">
        <v>2403</v>
      </c>
      <c r="B2332" s="53" t="s">
        <v>36</v>
      </c>
      <c r="C2332" s="53" t="s">
        <v>33</v>
      </c>
      <c r="D2332" s="54">
        <v>118992.56</v>
      </c>
      <c r="E2332" s="54" t="str">
        <f t="shared" si="1"/>
        <v>₹1,427,910.72</v>
      </c>
      <c r="F2332" s="55" t="str">
        <f t="shared" si="2"/>
        <v>30.0%</v>
      </c>
      <c r="G2332" s="54" t="str">
        <f t="shared" si="3"/>
        <v>₹428,373.22</v>
      </c>
      <c r="H2332" s="54" t="str">
        <f t="shared" si="4"/>
        <v>₹35,697.77</v>
      </c>
      <c r="I2332" s="54" t="str">
        <f>103765.58-H2332</f>
        <v>₹68,067.81</v>
      </c>
    </row>
    <row r="2333" ht="15.75" customHeight="1">
      <c r="A2333" s="50" t="s">
        <v>2404</v>
      </c>
      <c r="B2333" s="50" t="s">
        <v>13</v>
      </c>
      <c r="C2333" s="50" t="s">
        <v>14</v>
      </c>
      <c r="D2333" s="51">
        <v>119015.74</v>
      </c>
      <c r="E2333" s="51" t="str">
        <f t="shared" si="1"/>
        <v>₹1,428,188.88</v>
      </c>
      <c r="F2333" s="52" t="str">
        <f t="shared" si="2"/>
        <v>30.0%</v>
      </c>
      <c r="G2333" s="51" t="str">
        <f t="shared" si="3"/>
        <v>₹428,456.66</v>
      </c>
      <c r="H2333" s="51" t="str">
        <f t="shared" si="4"/>
        <v>₹35,704.72</v>
      </c>
      <c r="I2333" s="51" t="str">
        <f>103785.36-H2333</f>
        <v>₹68,080.64</v>
      </c>
    </row>
    <row r="2334" ht="15.75" customHeight="1">
      <c r="A2334" s="53" t="s">
        <v>2405</v>
      </c>
      <c r="B2334" s="53" t="s">
        <v>36</v>
      </c>
      <c r="C2334" s="53" t="s">
        <v>37</v>
      </c>
      <c r="D2334" s="54">
        <v>119085.27</v>
      </c>
      <c r="E2334" s="54" t="str">
        <f t="shared" si="1"/>
        <v>₹1,429,023.24</v>
      </c>
      <c r="F2334" s="55" t="str">
        <f t="shared" si="2"/>
        <v>30.0%</v>
      </c>
      <c r="G2334" s="54" t="str">
        <f t="shared" si="3"/>
        <v>₹428,706.97</v>
      </c>
      <c r="H2334" s="54" t="str">
        <f t="shared" si="4"/>
        <v>₹35,725.58</v>
      </c>
      <c r="I2334" s="54" t="str">
        <f>103844.7-H2334</f>
        <v>₹68,119.12</v>
      </c>
    </row>
    <row r="2335" ht="15.75" customHeight="1">
      <c r="A2335" s="50" t="s">
        <v>2406</v>
      </c>
      <c r="B2335" s="50" t="s">
        <v>25</v>
      </c>
      <c r="C2335" s="50" t="s">
        <v>26</v>
      </c>
      <c r="D2335" s="51">
        <v>119108.45</v>
      </c>
      <c r="E2335" s="51" t="str">
        <f t="shared" si="1"/>
        <v>₹1,429,301.40</v>
      </c>
      <c r="F2335" s="52" t="str">
        <f t="shared" si="2"/>
        <v>30.0%</v>
      </c>
      <c r="G2335" s="51" t="str">
        <f t="shared" si="3"/>
        <v>₹428,790.42</v>
      </c>
      <c r="H2335" s="51" t="str">
        <f t="shared" si="4"/>
        <v>₹35,732.54</v>
      </c>
      <c r="I2335" s="51" t="str">
        <f>103864.48-H2335</f>
        <v>₹68,131.95</v>
      </c>
    </row>
    <row r="2336" ht="15.75" customHeight="1">
      <c r="A2336" s="53" t="s">
        <v>2407</v>
      </c>
      <c r="B2336" s="53" t="s">
        <v>36</v>
      </c>
      <c r="C2336" s="53" t="s">
        <v>54</v>
      </c>
      <c r="D2336" s="54">
        <v>119154.81</v>
      </c>
      <c r="E2336" s="54" t="str">
        <f t="shared" si="1"/>
        <v>₹1,429,857.72</v>
      </c>
      <c r="F2336" s="55" t="str">
        <f t="shared" si="2"/>
        <v>30.0%</v>
      </c>
      <c r="G2336" s="54" t="str">
        <f t="shared" si="3"/>
        <v>₹428,957.32</v>
      </c>
      <c r="H2336" s="54" t="str">
        <f t="shared" si="4"/>
        <v>₹35,746.44</v>
      </c>
      <c r="I2336" s="54" t="str">
        <f>103904.04-H2336</f>
        <v>₹68,157.60</v>
      </c>
    </row>
    <row r="2337" ht="15.75" customHeight="1">
      <c r="A2337" s="50" t="s">
        <v>2408</v>
      </c>
      <c r="B2337" s="50" t="s">
        <v>36</v>
      </c>
      <c r="C2337" s="50" t="s">
        <v>30</v>
      </c>
      <c r="D2337" s="51">
        <v>119177.99</v>
      </c>
      <c r="E2337" s="51" t="str">
        <f t="shared" si="1"/>
        <v>₹1,430,135.88</v>
      </c>
      <c r="F2337" s="52" t="str">
        <f t="shared" si="2"/>
        <v>30.0%</v>
      </c>
      <c r="G2337" s="51" t="str">
        <f t="shared" si="3"/>
        <v>₹429,040.76</v>
      </c>
      <c r="H2337" s="51" t="str">
        <f t="shared" si="4"/>
        <v>₹35,753.40</v>
      </c>
      <c r="I2337" s="51" t="str">
        <f>103923.83-H2337</f>
        <v>₹68,170.43</v>
      </c>
    </row>
    <row r="2338" ht="15.75" customHeight="1">
      <c r="A2338" s="53" t="s">
        <v>2409</v>
      </c>
      <c r="B2338" s="53" t="s">
        <v>13</v>
      </c>
      <c r="C2338" s="53" t="s">
        <v>37</v>
      </c>
      <c r="D2338" s="54">
        <v>119224.34</v>
      </c>
      <c r="E2338" s="54" t="str">
        <f t="shared" si="1"/>
        <v>₹1,430,692.08</v>
      </c>
      <c r="F2338" s="55" t="str">
        <f t="shared" si="2"/>
        <v>30.0%</v>
      </c>
      <c r="G2338" s="54" t="str">
        <f t="shared" si="3"/>
        <v>₹429,207.62</v>
      </c>
      <c r="H2338" s="54" t="str">
        <f t="shared" si="4"/>
        <v>₹35,767.30</v>
      </c>
      <c r="I2338" s="54" t="str">
        <f>103963.38-H2338</f>
        <v>₹68,196.08</v>
      </c>
    </row>
    <row r="2339" ht="15.75" customHeight="1">
      <c r="A2339" s="50" t="s">
        <v>2410</v>
      </c>
      <c r="B2339" s="50" t="s">
        <v>36</v>
      </c>
      <c r="C2339" s="50" t="s">
        <v>30</v>
      </c>
      <c r="D2339" s="51">
        <v>119247.52</v>
      </c>
      <c r="E2339" s="51" t="str">
        <f t="shared" si="1"/>
        <v>₹1,430,970.24</v>
      </c>
      <c r="F2339" s="52" t="str">
        <f t="shared" si="2"/>
        <v>30.0%</v>
      </c>
      <c r="G2339" s="51" t="str">
        <f t="shared" si="3"/>
        <v>₹429,291.07</v>
      </c>
      <c r="H2339" s="51" t="str">
        <f t="shared" si="4"/>
        <v>₹35,774.26</v>
      </c>
      <c r="I2339" s="51" t="str">
        <f>103983.16-H2339</f>
        <v>₹68,208.90</v>
      </c>
    </row>
    <row r="2340" ht="15.75" customHeight="1">
      <c r="A2340" s="53" t="s">
        <v>2411</v>
      </c>
      <c r="B2340" s="53" t="s">
        <v>53</v>
      </c>
      <c r="C2340" s="53" t="s">
        <v>26</v>
      </c>
      <c r="D2340" s="54">
        <v>119270.7</v>
      </c>
      <c r="E2340" s="54" t="str">
        <f t="shared" si="1"/>
        <v>₹1,431,248.40</v>
      </c>
      <c r="F2340" s="55" t="str">
        <f t="shared" si="2"/>
        <v>30.0%</v>
      </c>
      <c r="G2340" s="54" t="str">
        <f t="shared" si="3"/>
        <v>₹429,374.52</v>
      </c>
      <c r="H2340" s="54" t="str">
        <f t="shared" si="4"/>
        <v>₹35,781.21</v>
      </c>
      <c r="I2340" s="54" t="str">
        <f>104002.95-H2340</f>
        <v>₹68,221.74</v>
      </c>
    </row>
    <row r="2341" ht="15.75" customHeight="1">
      <c r="A2341" s="50" t="s">
        <v>2412</v>
      </c>
      <c r="B2341" s="50" t="s">
        <v>17</v>
      </c>
      <c r="C2341" s="50" t="s">
        <v>37</v>
      </c>
      <c r="D2341" s="51">
        <v>119293.87</v>
      </c>
      <c r="E2341" s="51" t="str">
        <f t="shared" si="1"/>
        <v>₹1,431,526.44</v>
      </c>
      <c r="F2341" s="52" t="str">
        <f t="shared" si="2"/>
        <v>30.0%</v>
      </c>
      <c r="G2341" s="51" t="str">
        <f t="shared" si="3"/>
        <v>₹429,457.93</v>
      </c>
      <c r="H2341" s="51" t="str">
        <f t="shared" si="4"/>
        <v>₹35,788.16</v>
      </c>
      <c r="I2341" s="51" t="str">
        <f>104022.72-H2341</f>
        <v>₹68,234.56</v>
      </c>
    </row>
    <row r="2342" ht="15.75" customHeight="1">
      <c r="A2342" s="53" t="s">
        <v>2413</v>
      </c>
      <c r="B2342" s="53" t="s">
        <v>51</v>
      </c>
      <c r="C2342" s="53" t="s">
        <v>54</v>
      </c>
      <c r="D2342" s="54">
        <v>119317.05</v>
      </c>
      <c r="E2342" s="54" t="str">
        <f t="shared" si="1"/>
        <v>₹1,431,804.60</v>
      </c>
      <c r="F2342" s="55" t="str">
        <f t="shared" si="2"/>
        <v>30.0%</v>
      </c>
      <c r="G2342" s="54" t="str">
        <f t="shared" si="3"/>
        <v>₹429,541.38</v>
      </c>
      <c r="H2342" s="54" t="str">
        <f t="shared" si="4"/>
        <v>₹35,795.12</v>
      </c>
      <c r="I2342" s="54" t="str">
        <f>104042.5-H2342</f>
        <v>₹68,247.39</v>
      </c>
    </row>
    <row r="2343" ht="15.75" customHeight="1">
      <c r="A2343" s="50" t="s">
        <v>2414</v>
      </c>
      <c r="B2343" s="50" t="s">
        <v>53</v>
      </c>
      <c r="C2343" s="50" t="s">
        <v>18</v>
      </c>
      <c r="D2343" s="51">
        <v>119340.23</v>
      </c>
      <c r="E2343" s="51" t="str">
        <f t="shared" si="1"/>
        <v>₹1,432,082.76</v>
      </c>
      <c r="F2343" s="52" t="str">
        <f t="shared" si="2"/>
        <v>30.0%</v>
      </c>
      <c r="G2343" s="51" t="str">
        <f t="shared" si="3"/>
        <v>₹429,624.83</v>
      </c>
      <c r="H2343" s="51" t="str">
        <f t="shared" si="4"/>
        <v>₹35,802.07</v>
      </c>
      <c r="I2343" s="51" t="str">
        <f>104062.28-H2343</f>
        <v>₹68,260.21</v>
      </c>
    </row>
    <row r="2344" ht="15.75" customHeight="1">
      <c r="A2344" s="53" t="s">
        <v>2415</v>
      </c>
      <c r="B2344" s="53" t="s">
        <v>51</v>
      </c>
      <c r="C2344" s="53" t="s">
        <v>37</v>
      </c>
      <c r="D2344" s="54">
        <v>119363.41</v>
      </c>
      <c r="E2344" s="54" t="str">
        <f t="shared" si="1"/>
        <v>₹1,432,360.92</v>
      </c>
      <c r="F2344" s="55" t="str">
        <f t="shared" si="2"/>
        <v>30.0%</v>
      </c>
      <c r="G2344" s="54" t="str">
        <f t="shared" si="3"/>
        <v>₹429,708.28</v>
      </c>
      <c r="H2344" s="54" t="str">
        <f t="shared" si="4"/>
        <v>₹35,809.02</v>
      </c>
      <c r="I2344" s="54" t="str">
        <f>104082.07-H2344</f>
        <v>₹68,273.05</v>
      </c>
    </row>
    <row r="2345" ht="15.75" customHeight="1">
      <c r="A2345" s="50" t="s">
        <v>2416</v>
      </c>
      <c r="B2345" s="50" t="s">
        <v>25</v>
      </c>
      <c r="C2345" s="50" t="s">
        <v>30</v>
      </c>
      <c r="D2345" s="51">
        <v>119386.58</v>
      </c>
      <c r="E2345" s="51" t="str">
        <f t="shared" si="1"/>
        <v>₹1,432,638.96</v>
      </c>
      <c r="F2345" s="52" t="str">
        <f t="shared" si="2"/>
        <v>30.0%</v>
      </c>
      <c r="G2345" s="51" t="str">
        <f t="shared" si="3"/>
        <v>₹429,791.69</v>
      </c>
      <c r="H2345" s="51" t="str">
        <f t="shared" si="4"/>
        <v>₹35,815.97</v>
      </c>
      <c r="I2345" s="51" t="str">
        <f>104101.84-H2345</f>
        <v>₹68,285.87</v>
      </c>
    </row>
    <row r="2346" ht="15.75" customHeight="1">
      <c r="A2346" s="53" t="s">
        <v>2417</v>
      </c>
      <c r="B2346" s="53" t="s">
        <v>17</v>
      </c>
      <c r="C2346" s="53" t="s">
        <v>18</v>
      </c>
      <c r="D2346" s="54">
        <v>119409.76</v>
      </c>
      <c r="E2346" s="54" t="str">
        <f t="shared" si="1"/>
        <v>₹1,432,917.12</v>
      </c>
      <c r="F2346" s="55" t="str">
        <f t="shared" si="2"/>
        <v>30.0%</v>
      </c>
      <c r="G2346" s="54" t="str">
        <f t="shared" si="3"/>
        <v>₹429,875.14</v>
      </c>
      <c r="H2346" s="54" t="str">
        <f t="shared" si="4"/>
        <v>₹35,822.93</v>
      </c>
      <c r="I2346" s="54" t="str">
        <f>104121.62-H2346</f>
        <v>₹68,298.69</v>
      </c>
    </row>
    <row r="2347" ht="15.75" customHeight="1">
      <c r="A2347" s="50" t="s">
        <v>2418</v>
      </c>
      <c r="B2347" s="50" t="s">
        <v>51</v>
      </c>
      <c r="C2347" s="50" t="s">
        <v>26</v>
      </c>
      <c r="D2347" s="51">
        <v>119432.94</v>
      </c>
      <c r="E2347" s="51" t="str">
        <f t="shared" si="1"/>
        <v>₹1,433,195.28</v>
      </c>
      <c r="F2347" s="52" t="str">
        <f t="shared" si="2"/>
        <v>30.0%</v>
      </c>
      <c r="G2347" s="51" t="str">
        <f t="shared" si="3"/>
        <v>₹429,958.58</v>
      </c>
      <c r="H2347" s="51" t="str">
        <f t="shared" si="4"/>
        <v>₹35,829.88</v>
      </c>
      <c r="I2347" s="51" t="str">
        <f>104141.4-H2347</f>
        <v>₹68,311.52</v>
      </c>
    </row>
    <row r="2348" ht="15.75" customHeight="1">
      <c r="A2348" s="53" t="s">
        <v>2419</v>
      </c>
      <c r="B2348" s="53" t="s">
        <v>13</v>
      </c>
      <c r="C2348" s="53" t="s">
        <v>30</v>
      </c>
      <c r="D2348" s="54">
        <v>119479.3</v>
      </c>
      <c r="E2348" s="54" t="str">
        <f t="shared" si="1"/>
        <v>₹1,433,751.60</v>
      </c>
      <c r="F2348" s="55" t="str">
        <f t="shared" si="2"/>
        <v>30.0%</v>
      </c>
      <c r="G2348" s="54" t="str">
        <f t="shared" si="3"/>
        <v>₹430,125.48</v>
      </c>
      <c r="H2348" s="54" t="str">
        <f t="shared" si="4"/>
        <v>₹35,843.79</v>
      </c>
      <c r="I2348" s="54" t="str">
        <f>104180.97-H2348</f>
        <v>₹68,337.18</v>
      </c>
    </row>
    <row r="2349" ht="15.75" customHeight="1">
      <c r="A2349" s="50" t="s">
        <v>2420</v>
      </c>
      <c r="B2349" s="50" t="s">
        <v>13</v>
      </c>
      <c r="C2349" s="50" t="s">
        <v>30</v>
      </c>
      <c r="D2349" s="51">
        <v>119502.47</v>
      </c>
      <c r="E2349" s="51" t="str">
        <f t="shared" si="1"/>
        <v>₹1,434,029.64</v>
      </c>
      <c r="F2349" s="52" t="str">
        <f t="shared" si="2"/>
        <v>30.0%</v>
      </c>
      <c r="G2349" s="51" t="str">
        <f t="shared" si="3"/>
        <v>₹430,208.89</v>
      </c>
      <c r="H2349" s="51" t="str">
        <f t="shared" si="4"/>
        <v>₹35,850.74</v>
      </c>
      <c r="I2349" s="51" t="str">
        <f>104200.74-H2349</f>
        <v>₹68,350.00</v>
      </c>
    </row>
    <row r="2350" ht="15.75" customHeight="1">
      <c r="A2350" s="53" t="s">
        <v>2421</v>
      </c>
      <c r="B2350" s="53" t="s">
        <v>51</v>
      </c>
      <c r="C2350" s="53" t="s">
        <v>37</v>
      </c>
      <c r="D2350" s="54">
        <v>119525.65</v>
      </c>
      <c r="E2350" s="54" t="str">
        <f t="shared" si="1"/>
        <v>₹1,434,307.80</v>
      </c>
      <c r="F2350" s="55" t="str">
        <f t="shared" si="2"/>
        <v>30.0%</v>
      </c>
      <c r="G2350" s="54" t="str">
        <f t="shared" si="3"/>
        <v>₹430,292.34</v>
      </c>
      <c r="H2350" s="54" t="str">
        <f t="shared" si="4"/>
        <v>₹35,857.70</v>
      </c>
      <c r="I2350" s="54" t="str">
        <f>104220.52-H2350</f>
        <v>₹68,362.83</v>
      </c>
    </row>
    <row r="2351" ht="15.75" customHeight="1">
      <c r="A2351" s="50" t="s">
        <v>2422</v>
      </c>
      <c r="B2351" s="50" t="s">
        <v>17</v>
      </c>
      <c r="C2351" s="50" t="s">
        <v>54</v>
      </c>
      <c r="D2351" s="51">
        <v>119548.83</v>
      </c>
      <c r="E2351" s="51" t="str">
        <f t="shared" si="1"/>
        <v>₹1,434,585.96</v>
      </c>
      <c r="F2351" s="52" t="str">
        <f t="shared" si="2"/>
        <v>30.0%</v>
      </c>
      <c r="G2351" s="51" t="str">
        <f t="shared" si="3"/>
        <v>₹430,375.79</v>
      </c>
      <c r="H2351" s="51" t="str">
        <f t="shared" si="4"/>
        <v>₹35,864.65</v>
      </c>
      <c r="I2351" s="51" t="str">
        <f>104240.31-H2351</f>
        <v>₹68,375.66</v>
      </c>
    </row>
    <row r="2352" ht="15.75" customHeight="1">
      <c r="A2352" s="53" t="s">
        <v>2423</v>
      </c>
      <c r="B2352" s="53" t="s">
        <v>13</v>
      </c>
      <c r="C2352" s="53" t="s">
        <v>54</v>
      </c>
      <c r="D2352" s="54">
        <v>116223.43</v>
      </c>
      <c r="E2352" s="54" t="str">
        <f t="shared" si="1"/>
        <v>₹1,394,681.16</v>
      </c>
      <c r="F2352" s="55" t="str">
        <f t="shared" si="2"/>
        <v>30.0%</v>
      </c>
      <c r="G2352" s="54" t="str">
        <f t="shared" si="3"/>
        <v>₹418,404.35</v>
      </c>
      <c r="H2352" s="54" t="str">
        <f t="shared" si="4"/>
        <v>₹34,867.03</v>
      </c>
      <c r="I2352" s="54" t="str">
        <f>100911.51-H2352</f>
        <v>₹66,044.48</v>
      </c>
    </row>
    <row r="2353" ht="15.75" customHeight="1">
      <c r="A2353" s="50" t="s">
        <v>2424</v>
      </c>
      <c r="B2353" s="50" t="s">
        <v>17</v>
      </c>
      <c r="C2353" s="50" t="s">
        <v>26</v>
      </c>
      <c r="D2353" s="51">
        <v>119595.18</v>
      </c>
      <c r="E2353" s="51" t="str">
        <f t="shared" si="1"/>
        <v>₹1,435,142.16</v>
      </c>
      <c r="F2353" s="52" t="str">
        <f t="shared" si="2"/>
        <v>30.0%</v>
      </c>
      <c r="G2353" s="51" t="str">
        <f t="shared" si="3"/>
        <v>₹430,542.65</v>
      </c>
      <c r="H2353" s="51" t="str">
        <f t="shared" si="4"/>
        <v>₹35,878.55</v>
      </c>
      <c r="I2353" s="51" t="str">
        <f>104279.86-H2353</f>
        <v>₹68,401.31</v>
      </c>
    </row>
    <row r="2354" ht="15.75" customHeight="1">
      <c r="A2354" s="53" t="s">
        <v>2425</v>
      </c>
      <c r="B2354" s="53" t="s">
        <v>17</v>
      </c>
      <c r="C2354" s="53" t="s">
        <v>37</v>
      </c>
      <c r="D2354" s="54">
        <v>119618.36</v>
      </c>
      <c r="E2354" s="54" t="str">
        <f t="shared" si="1"/>
        <v>₹1,435,420.32</v>
      </c>
      <c r="F2354" s="55" t="str">
        <f t="shared" si="2"/>
        <v>30.0%</v>
      </c>
      <c r="G2354" s="54" t="str">
        <f t="shared" si="3"/>
        <v>₹430,626.10</v>
      </c>
      <c r="H2354" s="54" t="str">
        <f t="shared" si="4"/>
        <v>₹35,885.51</v>
      </c>
      <c r="I2354" s="54" t="str">
        <f>104299.64-H2354</f>
        <v>₹68,414.13</v>
      </c>
    </row>
    <row r="2355" ht="15.75" customHeight="1">
      <c r="A2355" s="50" t="s">
        <v>2426</v>
      </c>
      <c r="B2355" s="50" t="s">
        <v>29</v>
      </c>
      <c r="C2355" s="50" t="s">
        <v>54</v>
      </c>
      <c r="D2355" s="51">
        <v>119641.54</v>
      </c>
      <c r="E2355" s="51" t="str">
        <f t="shared" si="1"/>
        <v>₹1,435,698.48</v>
      </c>
      <c r="F2355" s="52" t="str">
        <f t="shared" si="2"/>
        <v>30.0%</v>
      </c>
      <c r="G2355" s="51" t="str">
        <f t="shared" si="3"/>
        <v>₹430,709.54</v>
      </c>
      <c r="H2355" s="51" t="str">
        <f t="shared" si="4"/>
        <v>₹35,892.46</v>
      </c>
      <c r="I2355" s="51" t="str">
        <f>104319.43-H2355</f>
        <v>₹68,426.97</v>
      </c>
    </row>
    <row r="2356" ht="15.75" customHeight="1">
      <c r="A2356" s="53" t="s">
        <v>2427</v>
      </c>
      <c r="B2356" s="53" t="s">
        <v>53</v>
      </c>
      <c r="C2356" s="53" t="s">
        <v>14</v>
      </c>
      <c r="D2356" s="54">
        <v>119687.89</v>
      </c>
      <c r="E2356" s="54" t="str">
        <f t="shared" si="1"/>
        <v>₹1,436,254.68</v>
      </c>
      <c r="F2356" s="55" t="str">
        <f t="shared" si="2"/>
        <v>30.0%</v>
      </c>
      <c r="G2356" s="54" t="str">
        <f t="shared" si="3"/>
        <v>₹430,876.40</v>
      </c>
      <c r="H2356" s="54" t="str">
        <f t="shared" si="4"/>
        <v>₹35,906.37</v>
      </c>
      <c r="I2356" s="54" t="str">
        <f>104922.58-H2356</f>
        <v>₹69,016.21</v>
      </c>
    </row>
    <row r="2357" ht="15.75" customHeight="1">
      <c r="A2357" s="50" t="s">
        <v>2428</v>
      </c>
      <c r="B2357" s="50" t="s">
        <v>36</v>
      </c>
      <c r="C2357" s="50" t="s">
        <v>54</v>
      </c>
      <c r="D2357" s="51">
        <v>119711.07</v>
      </c>
      <c r="E2357" s="51" t="str">
        <f t="shared" si="1"/>
        <v>₹1,436,532.84</v>
      </c>
      <c r="F2357" s="52" t="str">
        <f t="shared" si="2"/>
        <v>30.0%</v>
      </c>
      <c r="G2357" s="51" t="str">
        <f t="shared" si="3"/>
        <v>₹430,959.85</v>
      </c>
      <c r="H2357" s="51" t="str">
        <f t="shared" si="4"/>
        <v>₹35,913.32</v>
      </c>
      <c r="I2357" s="51" t="str">
        <f>104378.76-H2357</f>
        <v>₹68,465.44</v>
      </c>
    </row>
    <row r="2358" ht="15.75" customHeight="1">
      <c r="A2358" s="53" t="s">
        <v>2429</v>
      </c>
      <c r="B2358" s="53" t="s">
        <v>25</v>
      </c>
      <c r="C2358" s="53" t="s">
        <v>37</v>
      </c>
      <c r="D2358" s="54">
        <v>119734.25</v>
      </c>
      <c r="E2358" s="54" t="str">
        <f t="shared" si="1"/>
        <v>₹1,436,811.00</v>
      </c>
      <c r="F2358" s="55" t="str">
        <f t="shared" si="2"/>
        <v>30.0%</v>
      </c>
      <c r="G2358" s="54" t="str">
        <f t="shared" si="3"/>
        <v>₹431,043.30</v>
      </c>
      <c r="H2358" s="54" t="str">
        <f t="shared" si="4"/>
        <v>₹35,920.28</v>
      </c>
      <c r="I2358" s="54" t="str">
        <f>104398.55-H2358</f>
        <v>₹68,478.28</v>
      </c>
    </row>
    <row r="2359" ht="15.75" customHeight="1">
      <c r="A2359" s="50" t="s">
        <v>2430</v>
      </c>
      <c r="B2359" s="50" t="s">
        <v>17</v>
      </c>
      <c r="C2359" s="50" t="s">
        <v>54</v>
      </c>
      <c r="D2359" s="51">
        <v>119757.43</v>
      </c>
      <c r="E2359" s="51" t="str">
        <f t="shared" si="1"/>
        <v>₹1,437,089.16</v>
      </c>
      <c r="F2359" s="52" t="str">
        <f t="shared" si="2"/>
        <v>30.0%</v>
      </c>
      <c r="G2359" s="51" t="str">
        <f t="shared" si="3"/>
        <v>₹431,126.75</v>
      </c>
      <c r="H2359" s="51" t="str">
        <f t="shared" si="4"/>
        <v>₹35,927.23</v>
      </c>
      <c r="I2359" s="51" t="str">
        <f>104418.33-H2359</f>
        <v>₹68,491.10</v>
      </c>
    </row>
    <row r="2360" ht="15.75" customHeight="1">
      <c r="A2360" s="53" t="s">
        <v>2431</v>
      </c>
      <c r="B2360" s="53" t="s">
        <v>29</v>
      </c>
      <c r="C2360" s="53" t="s">
        <v>33</v>
      </c>
      <c r="D2360" s="54">
        <v>119780.61</v>
      </c>
      <c r="E2360" s="54" t="str">
        <f t="shared" si="1"/>
        <v>₹1,437,367.32</v>
      </c>
      <c r="F2360" s="55" t="str">
        <f t="shared" si="2"/>
        <v>30.0%</v>
      </c>
      <c r="G2360" s="54" t="str">
        <f t="shared" si="3"/>
        <v>₹431,210.20</v>
      </c>
      <c r="H2360" s="54" t="str">
        <f t="shared" si="4"/>
        <v>₹35,934.18</v>
      </c>
      <c r="I2360" s="54" t="str">
        <f>104438.11-H2360</f>
        <v>₹68,503.93</v>
      </c>
    </row>
    <row r="2361" ht="15.75" customHeight="1">
      <c r="A2361" s="50" t="s">
        <v>2432</v>
      </c>
      <c r="B2361" s="50" t="s">
        <v>51</v>
      </c>
      <c r="C2361" s="50" t="s">
        <v>26</v>
      </c>
      <c r="D2361" s="51">
        <v>119803.78</v>
      </c>
      <c r="E2361" s="51" t="str">
        <f t="shared" si="1"/>
        <v>₹1,437,645.36</v>
      </c>
      <c r="F2361" s="52" t="str">
        <f t="shared" si="2"/>
        <v>30.0%</v>
      </c>
      <c r="G2361" s="51" t="str">
        <f t="shared" si="3"/>
        <v>₹431,293.61</v>
      </c>
      <c r="H2361" s="51" t="str">
        <f t="shared" si="4"/>
        <v>₹35,941.13</v>
      </c>
      <c r="I2361" s="51" t="str">
        <f>104457.88-H2361</f>
        <v>₹68,516.75</v>
      </c>
    </row>
    <row r="2362" ht="15.75" customHeight="1">
      <c r="A2362" s="53" t="s">
        <v>2433</v>
      </c>
      <c r="B2362" s="53" t="s">
        <v>29</v>
      </c>
      <c r="C2362" s="53" t="s">
        <v>30</v>
      </c>
      <c r="D2362" s="54">
        <v>119826.96</v>
      </c>
      <c r="E2362" s="54" t="str">
        <f t="shared" si="1"/>
        <v>₹1,437,923.52</v>
      </c>
      <c r="F2362" s="55" t="str">
        <f t="shared" si="2"/>
        <v>30.0%</v>
      </c>
      <c r="G2362" s="54" t="str">
        <f t="shared" si="3"/>
        <v>₹431,377.06</v>
      </c>
      <c r="H2362" s="54" t="str">
        <f t="shared" si="4"/>
        <v>₹35,948.09</v>
      </c>
      <c r="I2362" s="54" t="str">
        <f>104477.67-H2362</f>
        <v>₹68,529.58</v>
      </c>
    </row>
    <row r="2363" ht="15.75" customHeight="1">
      <c r="A2363" s="50" t="s">
        <v>2434</v>
      </c>
      <c r="B2363" s="50" t="s">
        <v>17</v>
      </c>
      <c r="C2363" s="50" t="s">
        <v>54</v>
      </c>
      <c r="D2363" s="51">
        <v>119850.14</v>
      </c>
      <c r="E2363" s="51" t="str">
        <f t="shared" si="1"/>
        <v>₹1,438,201.68</v>
      </c>
      <c r="F2363" s="52" t="str">
        <f t="shared" si="2"/>
        <v>30.0%</v>
      </c>
      <c r="G2363" s="51" t="str">
        <f t="shared" si="3"/>
        <v>₹431,460.50</v>
      </c>
      <c r="H2363" s="51" t="str">
        <f t="shared" si="4"/>
        <v>₹35,955.04</v>
      </c>
      <c r="I2363" s="51" t="str">
        <f>104497.45-H2363</f>
        <v>₹68,542.41</v>
      </c>
    </row>
    <row r="2364" ht="15.75" customHeight="1">
      <c r="A2364" s="53" t="s">
        <v>2435</v>
      </c>
      <c r="B2364" s="53" t="s">
        <v>17</v>
      </c>
      <c r="C2364" s="53" t="s">
        <v>14</v>
      </c>
      <c r="D2364" s="54">
        <v>119873.32</v>
      </c>
      <c r="E2364" s="54" t="str">
        <f t="shared" si="1"/>
        <v>₹1,438,479.84</v>
      </c>
      <c r="F2364" s="55" t="str">
        <f t="shared" si="2"/>
        <v>30.0%</v>
      </c>
      <c r="G2364" s="54" t="str">
        <f t="shared" si="3"/>
        <v>₹431,543.95</v>
      </c>
      <c r="H2364" s="54" t="str">
        <f t="shared" si="4"/>
        <v>₹35,962.00</v>
      </c>
      <c r="I2364" s="54" t="str">
        <f>104517.23-H2364</f>
        <v>₹68,555.23</v>
      </c>
    </row>
    <row r="2365" ht="15.75" customHeight="1">
      <c r="A2365" s="50" t="s">
        <v>2436</v>
      </c>
      <c r="B2365" s="50" t="s">
        <v>53</v>
      </c>
      <c r="C2365" s="50" t="s">
        <v>54</v>
      </c>
      <c r="D2365" s="51">
        <v>119896.49</v>
      </c>
      <c r="E2365" s="51" t="str">
        <f t="shared" si="1"/>
        <v>₹1,438,757.88</v>
      </c>
      <c r="F2365" s="52" t="str">
        <f t="shared" si="2"/>
        <v>30.0%</v>
      </c>
      <c r="G2365" s="51" t="str">
        <f t="shared" si="3"/>
        <v>₹431,627.36</v>
      </c>
      <c r="H2365" s="51" t="str">
        <f t="shared" si="4"/>
        <v>₹35,968.95</v>
      </c>
      <c r="I2365" s="51" t="str">
        <f>104537-H2365</f>
        <v>₹68,568.05</v>
      </c>
    </row>
    <row r="2366" ht="15.75" customHeight="1">
      <c r="A2366" s="53" t="s">
        <v>2437</v>
      </c>
      <c r="B2366" s="53" t="s">
        <v>13</v>
      </c>
      <c r="C2366" s="53" t="s">
        <v>33</v>
      </c>
      <c r="D2366" s="54">
        <v>119919.67</v>
      </c>
      <c r="E2366" s="54" t="str">
        <f t="shared" si="1"/>
        <v>₹1,439,036.04</v>
      </c>
      <c r="F2366" s="55" t="str">
        <f t="shared" si="2"/>
        <v>30.0%</v>
      </c>
      <c r="G2366" s="54" t="str">
        <f t="shared" si="3"/>
        <v>₹431,710.81</v>
      </c>
      <c r="H2366" s="54" t="str">
        <f t="shared" si="4"/>
        <v>₹35,975.90</v>
      </c>
      <c r="I2366" s="54" t="str">
        <f>104556.78-H2366</f>
        <v>₹68,580.88</v>
      </c>
    </row>
    <row r="2367" ht="15.75" customHeight="1">
      <c r="A2367" s="50" t="s">
        <v>2438</v>
      </c>
      <c r="B2367" s="50" t="s">
        <v>13</v>
      </c>
      <c r="C2367" s="50" t="s">
        <v>30</v>
      </c>
      <c r="D2367" s="51">
        <v>119942.85</v>
      </c>
      <c r="E2367" s="51" t="str">
        <f t="shared" si="1"/>
        <v>₹1,439,314.20</v>
      </c>
      <c r="F2367" s="52" t="str">
        <f t="shared" si="2"/>
        <v>30.0%</v>
      </c>
      <c r="G2367" s="51" t="str">
        <f t="shared" si="3"/>
        <v>₹431,794.26</v>
      </c>
      <c r="H2367" s="51" t="str">
        <f t="shared" si="4"/>
        <v>₹35,982.86</v>
      </c>
      <c r="I2367" s="51" t="str">
        <f>104576.57-H2367</f>
        <v>₹68,593.72</v>
      </c>
    </row>
    <row r="2368" ht="15.75" customHeight="1">
      <c r="A2368" s="53" t="s">
        <v>2439</v>
      </c>
      <c r="B2368" s="53" t="s">
        <v>29</v>
      </c>
      <c r="C2368" s="53" t="s">
        <v>33</v>
      </c>
      <c r="D2368" s="54">
        <v>119966.03</v>
      </c>
      <c r="E2368" s="54" t="str">
        <f t="shared" si="1"/>
        <v>₹1,439,592.36</v>
      </c>
      <c r="F2368" s="55" t="str">
        <f t="shared" si="2"/>
        <v>30.0%</v>
      </c>
      <c r="G2368" s="54" t="str">
        <f t="shared" si="3"/>
        <v>₹431,877.71</v>
      </c>
      <c r="H2368" s="54" t="str">
        <f t="shared" si="4"/>
        <v>₹35,989.81</v>
      </c>
      <c r="I2368" s="54" t="str">
        <f>104596.35-H2368</f>
        <v>₹68,606.54</v>
      </c>
    </row>
    <row r="2369" ht="15.75" customHeight="1">
      <c r="A2369" s="50" t="s">
        <v>2440</v>
      </c>
      <c r="B2369" s="50" t="s">
        <v>53</v>
      </c>
      <c r="C2369" s="50" t="s">
        <v>18</v>
      </c>
      <c r="D2369" s="51">
        <v>119989.2</v>
      </c>
      <c r="E2369" s="51" t="str">
        <f t="shared" si="1"/>
        <v>₹1,439,870.40</v>
      </c>
      <c r="F2369" s="52" t="str">
        <f t="shared" si="2"/>
        <v>30.0%</v>
      </c>
      <c r="G2369" s="51" t="str">
        <f t="shared" si="3"/>
        <v>₹431,961.12</v>
      </c>
      <c r="H2369" s="51" t="str">
        <f t="shared" si="4"/>
        <v>₹35,996.76</v>
      </c>
      <c r="I2369" s="51" t="str">
        <f>104616.12-H2369</f>
        <v>₹68,619.36</v>
      </c>
    </row>
    <row r="2370" ht="15.75" customHeight="1">
      <c r="A2370" s="53" t="s">
        <v>2441</v>
      </c>
      <c r="B2370" s="53" t="s">
        <v>51</v>
      </c>
      <c r="C2370" s="53" t="s">
        <v>26</v>
      </c>
      <c r="D2370" s="54">
        <v>120012.38</v>
      </c>
      <c r="E2370" s="54" t="str">
        <f t="shared" si="1"/>
        <v>₹1,440,148.56</v>
      </c>
      <c r="F2370" s="55" t="str">
        <f t="shared" si="2"/>
        <v>30.0%</v>
      </c>
      <c r="G2370" s="54" t="str">
        <f t="shared" si="3"/>
        <v>₹432,044.57</v>
      </c>
      <c r="H2370" s="54" t="str">
        <f t="shared" si="4"/>
        <v>₹36,003.71</v>
      </c>
      <c r="I2370" s="54" t="str">
        <f>104635.9-H2370</f>
        <v>₹68,632.19</v>
      </c>
    </row>
    <row r="2371" ht="15.75" customHeight="1">
      <c r="A2371" s="50" t="s">
        <v>2442</v>
      </c>
      <c r="B2371" s="50" t="s">
        <v>53</v>
      </c>
      <c r="C2371" s="50" t="s">
        <v>14</v>
      </c>
      <c r="D2371" s="51">
        <v>120035.56</v>
      </c>
      <c r="E2371" s="51" t="str">
        <f t="shared" si="1"/>
        <v>₹1,440,426.72</v>
      </c>
      <c r="F2371" s="52" t="str">
        <f t="shared" si="2"/>
        <v>30.0%</v>
      </c>
      <c r="G2371" s="51" t="str">
        <f t="shared" si="3"/>
        <v>₹432,128.02</v>
      </c>
      <c r="H2371" s="51" t="str">
        <f t="shared" si="4"/>
        <v>₹36,010.67</v>
      </c>
      <c r="I2371" s="51" t="str">
        <f>104655.69-H2371</f>
        <v>₹68,645.02</v>
      </c>
    </row>
    <row r="2372" ht="15.75" customHeight="1">
      <c r="A2372" s="53" t="s">
        <v>2443</v>
      </c>
      <c r="B2372" s="53" t="s">
        <v>51</v>
      </c>
      <c r="C2372" s="53" t="s">
        <v>30</v>
      </c>
      <c r="D2372" s="54">
        <v>120058.74</v>
      </c>
      <c r="E2372" s="54" t="str">
        <f t="shared" si="1"/>
        <v>₹1,440,704.88</v>
      </c>
      <c r="F2372" s="55" t="str">
        <f t="shared" si="2"/>
        <v>30.0%</v>
      </c>
      <c r="G2372" s="54" t="str">
        <f t="shared" si="3"/>
        <v>₹432,211.46</v>
      </c>
      <c r="H2372" s="54" t="str">
        <f t="shared" si="4"/>
        <v>₹36,017.62</v>
      </c>
      <c r="I2372" s="54" t="str">
        <f>104675.47-H2372</f>
        <v>₹68,657.85</v>
      </c>
    </row>
    <row r="2373" ht="15.75" customHeight="1">
      <c r="A2373" s="50" t="s">
        <v>2444</v>
      </c>
      <c r="B2373" s="50" t="s">
        <v>36</v>
      </c>
      <c r="C2373" s="50" t="s">
        <v>18</v>
      </c>
      <c r="D2373" s="51">
        <v>120081.92</v>
      </c>
      <c r="E2373" s="51" t="str">
        <f t="shared" si="1"/>
        <v>₹1,440,983.04</v>
      </c>
      <c r="F2373" s="52" t="str">
        <f t="shared" si="2"/>
        <v>30.0%</v>
      </c>
      <c r="G2373" s="51" t="str">
        <f t="shared" si="3"/>
        <v>₹432,294.91</v>
      </c>
      <c r="H2373" s="51" t="str">
        <f t="shared" si="4"/>
        <v>₹36,024.58</v>
      </c>
      <c r="I2373" s="51" t="str">
        <f>104695.25-H2373</f>
        <v>₹68,670.67</v>
      </c>
    </row>
    <row r="2374" ht="15.75" customHeight="1">
      <c r="A2374" s="53" t="s">
        <v>2445</v>
      </c>
      <c r="B2374" s="53" t="s">
        <v>51</v>
      </c>
      <c r="C2374" s="53" t="s">
        <v>30</v>
      </c>
      <c r="D2374" s="54">
        <v>120105.09</v>
      </c>
      <c r="E2374" s="54" t="str">
        <f t="shared" si="1"/>
        <v>₹1,441,261.08</v>
      </c>
      <c r="F2374" s="55" t="str">
        <f t="shared" si="2"/>
        <v>30.0%</v>
      </c>
      <c r="G2374" s="54" t="str">
        <f t="shared" si="3"/>
        <v>₹432,378.32</v>
      </c>
      <c r="H2374" s="54" t="str">
        <f t="shared" si="4"/>
        <v>₹36,031.53</v>
      </c>
      <c r="I2374" s="54" t="str">
        <f>104715.02-H2374</f>
        <v>₹68,683.49</v>
      </c>
    </row>
    <row r="2375" ht="15.75" customHeight="1">
      <c r="A2375" s="50" t="s">
        <v>2446</v>
      </c>
      <c r="B2375" s="50" t="s">
        <v>17</v>
      </c>
      <c r="C2375" s="50" t="s">
        <v>26</v>
      </c>
      <c r="D2375" s="51">
        <v>120128.27</v>
      </c>
      <c r="E2375" s="51" t="str">
        <f t="shared" si="1"/>
        <v>₹1,441,539.24</v>
      </c>
      <c r="F2375" s="52" t="str">
        <f t="shared" si="2"/>
        <v>30.0%</v>
      </c>
      <c r="G2375" s="51" t="str">
        <f t="shared" si="3"/>
        <v>₹432,461.77</v>
      </c>
      <c r="H2375" s="51" t="str">
        <f t="shared" si="4"/>
        <v>₹36,038.48</v>
      </c>
      <c r="I2375" s="51" t="str">
        <f>104734.81-H2375</f>
        <v>₹68,696.33</v>
      </c>
    </row>
    <row r="2376" ht="15.75" customHeight="1">
      <c r="A2376" s="53" t="s">
        <v>2447</v>
      </c>
      <c r="B2376" s="53" t="s">
        <v>51</v>
      </c>
      <c r="C2376" s="53" t="s">
        <v>30</v>
      </c>
      <c r="D2376" s="54">
        <v>120151.45</v>
      </c>
      <c r="E2376" s="54" t="str">
        <f t="shared" si="1"/>
        <v>₹1,441,817.40</v>
      </c>
      <c r="F2376" s="55" t="str">
        <f t="shared" si="2"/>
        <v>30.0%</v>
      </c>
      <c r="G2376" s="54" t="str">
        <f t="shared" si="3"/>
        <v>₹432,545.22</v>
      </c>
      <c r="H2376" s="54" t="str">
        <f t="shared" si="4"/>
        <v>₹36,045.44</v>
      </c>
      <c r="I2376" s="54" t="str">
        <f>104754.59-H2376</f>
        <v>₹68,709.16</v>
      </c>
    </row>
    <row r="2377" ht="15.75" customHeight="1">
      <c r="A2377" s="50" t="s">
        <v>2448</v>
      </c>
      <c r="B2377" s="50" t="s">
        <v>36</v>
      </c>
      <c r="C2377" s="50" t="s">
        <v>14</v>
      </c>
      <c r="D2377" s="51">
        <v>120174.63</v>
      </c>
      <c r="E2377" s="51" t="str">
        <f t="shared" si="1"/>
        <v>₹1,442,095.56</v>
      </c>
      <c r="F2377" s="52" t="str">
        <f t="shared" si="2"/>
        <v>30.0%</v>
      </c>
      <c r="G2377" s="51" t="str">
        <f t="shared" si="3"/>
        <v>₹432,628.67</v>
      </c>
      <c r="H2377" s="51" t="str">
        <f t="shared" si="4"/>
        <v>₹36,052.39</v>
      </c>
      <c r="I2377" s="51" t="str">
        <f>104774.37-H2377</f>
        <v>₹68,721.98</v>
      </c>
    </row>
    <row r="2378" ht="15.75" customHeight="1">
      <c r="A2378" s="53" t="s">
        <v>2449</v>
      </c>
      <c r="B2378" s="53" t="s">
        <v>36</v>
      </c>
      <c r="C2378" s="53" t="s">
        <v>54</v>
      </c>
      <c r="D2378" s="54">
        <v>120197.8</v>
      </c>
      <c r="E2378" s="54" t="str">
        <f t="shared" si="1"/>
        <v>₹1,442,373.60</v>
      </c>
      <c r="F2378" s="55" t="str">
        <f t="shared" si="2"/>
        <v>30.0%</v>
      </c>
      <c r="G2378" s="54" t="str">
        <f t="shared" si="3"/>
        <v>₹432,712.08</v>
      </c>
      <c r="H2378" s="54" t="str">
        <f t="shared" si="4"/>
        <v>₹36,059.34</v>
      </c>
      <c r="I2378" s="54" t="str">
        <f>104794.14-H2378</f>
        <v>₹68,734.80</v>
      </c>
    </row>
    <row r="2379" ht="15.75" customHeight="1">
      <c r="A2379" s="50" t="s">
        <v>2450</v>
      </c>
      <c r="B2379" s="50" t="s">
        <v>25</v>
      </c>
      <c r="C2379" s="50" t="s">
        <v>54</v>
      </c>
      <c r="D2379" s="51">
        <v>120220.98</v>
      </c>
      <c r="E2379" s="51" t="str">
        <f t="shared" si="1"/>
        <v>₹1,442,651.76</v>
      </c>
      <c r="F2379" s="52" t="str">
        <f t="shared" si="2"/>
        <v>30.0%</v>
      </c>
      <c r="G2379" s="51" t="str">
        <f t="shared" si="3"/>
        <v>₹432,795.53</v>
      </c>
      <c r="H2379" s="51" t="str">
        <f t="shared" si="4"/>
        <v>₹36,066.29</v>
      </c>
      <c r="I2379" s="51" t="str">
        <f>104813.93-H2379</f>
        <v>₹68,747.64</v>
      </c>
    </row>
    <row r="2380" ht="15.75" customHeight="1">
      <c r="A2380" s="53" t="s">
        <v>2451</v>
      </c>
      <c r="B2380" s="53" t="s">
        <v>17</v>
      </c>
      <c r="C2380" s="53" t="s">
        <v>14</v>
      </c>
      <c r="D2380" s="54">
        <v>120244.16</v>
      </c>
      <c r="E2380" s="54" t="str">
        <f t="shared" si="1"/>
        <v>₹1,442,929.92</v>
      </c>
      <c r="F2380" s="55" t="str">
        <f t="shared" si="2"/>
        <v>30.0%</v>
      </c>
      <c r="G2380" s="54" t="str">
        <f t="shared" si="3"/>
        <v>₹432,878.98</v>
      </c>
      <c r="H2380" s="54" t="str">
        <f t="shared" si="4"/>
        <v>₹36,073.25</v>
      </c>
      <c r="I2380" s="54" t="str">
        <f>104833.71-H2380</f>
        <v>₹68,760.46</v>
      </c>
    </row>
    <row r="2381" ht="15.75" customHeight="1">
      <c r="A2381" s="50" t="s">
        <v>2452</v>
      </c>
      <c r="B2381" s="50" t="s">
        <v>13</v>
      </c>
      <c r="C2381" s="50" t="s">
        <v>33</v>
      </c>
      <c r="D2381" s="51">
        <v>120267.34</v>
      </c>
      <c r="E2381" s="51" t="str">
        <f t="shared" si="1"/>
        <v>₹1,443,208.08</v>
      </c>
      <c r="F2381" s="52" t="str">
        <f t="shared" si="2"/>
        <v>30.0%</v>
      </c>
      <c r="G2381" s="51" t="str">
        <f t="shared" si="3"/>
        <v>₹432,962.42</v>
      </c>
      <c r="H2381" s="51" t="str">
        <f t="shared" si="4"/>
        <v>₹36,080.20</v>
      </c>
      <c r="I2381" s="51" t="str">
        <f>104853.49-H2381</f>
        <v>₹68,773.29</v>
      </c>
    </row>
    <row r="2382" ht="15.75" customHeight="1">
      <c r="A2382" s="53" t="s">
        <v>2453</v>
      </c>
      <c r="B2382" s="53" t="s">
        <v>36</v>
      </c>
      <c r="C2382" s="53" t="s">
        <v>18</v>
      </c>
      <c r="D2382" s="54">
        <v>120313.69</v>
      </c>
      <c r="E2382" s="54" t="str">
        <f t="shared" si="1"/>
        <v>₹1,443,764.28</v>
      </c>
      <c r="F2382" s="55" t="str">
        <f t="shared" si="2"/>
        <v>30.0%</v>
      </c>
      <c r="G2382" s="54" t="str">
        <f t="shared" si="3"/>
        <v>₹433,129.28</v>
      </c>
      <c r="H2382" s="54" t="str">
        <f t="shared" si="4"/>
        <v>₹36,094.11</v>
      </c>
      <c r="I2382" s="54" t="str">
        <f>104893.05-H2382</f>
        <v>₹68,798.94</v>
      </c>
    </row>
    <row r="2383" ht="15.75" customHeight="1">
      <c r="A2383" s="50" t="s">
        <v>2454</v>
      </c>
      <c r="B2383" s="50" t="s">
        <v>25</v>
      </c>
      <c r="C2383" s="50" t="s">
        <v>33</v>
      </c>
      <c r="D2383" s="51">
        <v>120336.87</v>
      </c>
      <c r="E2383" s="51" t="str">
        <f t="shared" si="1"/>
        <v>₹1,444,042.44</v>
      </c>
      <c r="F2383" s="52" t="str">
        <f t="shared" si="2"/>
        <v>30.0%</v>
      </c>
      <c r="G2383" s="51" t="str">
        <f t="shared" si="3"/>
        <v>₹433,212.73</v>
      </c>
      <c r="H2383" s="51" t="str">
        <f t="shared" si="4"/>
        <v>₹36,101.06</v>
      </c>
      <c r="I2383" s="51" t="str">
        <f>104912.83-H2383</f>
        <v>₹68,811.77</v>
      </c>
    </row>
    <row r="2384" ht="15.75" customHeight="1">
      <c r="A2384" s="53" t="s">
        <v>2455</v>
      </c>
      <c r="B2384" s="53" t="s">
        <v>29</v>
      </c>
      <c r="C2384" s="53" t="s">
        <v>26</v>
      </c>
      <c r="D2384" s="54">
        <v>120360.05</v>
      </c>
      <c r="E2384" s="54" t="str">
        <f t="shared" si="1"/>
        <v>₹1,444,320.60</v>
      </c>
      <c r="F2384" s="55" t="str">
        <f t="shared" si="2"/>
        <v>30.0%</v>
      </c>
      <c r="G2384" s="54" t="str">
        <f t="shared" si="3"/>
        <v>₹433,296.18</v>
      </c>
      <c r="H2384" s="54" t="str">
        <f t="shared" si="4"/>
        <v>₹36,108.02</v>
      </c>
      <c r="I2384" s="54" t="str">
        <f>104932.61-H2384</f>
        <v>₹68,824.60</v>
      </c>
    </row>
    <row r="2385" ht="15.75" customHeight="1">
      <c r="A2385" s="50" t="s">
        <v>2456</v>
      </c>
      <c r="B2385" s="50" t="s">
        <v>53</v>
      </c>
      <c r="C2385" s="50" t="s">
        <v>30</v>
      </c>
      <c r="D2385" s="51">
        <v>120383.23</v>
      </c>
      <c r="E2385" s="51" t="str">
        <f t="shared" si="1"/>
        <v>₹1,444,598.76</v>
      </c>
      <c r="F2385" s="52" t="str">
        <f t="shared" si="2"/>
        <v>30.0%</v>
      </c>
      <c r="G2385" s="51" t="str">
        <f t="shared" si="3"/>
        <v>₹433,379.63</v>
      </c>
      <c r="H2385" s="51" t="str">
        <f t="shared" si="4"/>
        <v>₹36,114.97</v>
      </c>
      <c r="I2385" s="51" t="str">
        <f>104952.39-H2385</f>
        <v>₹68,837.42</v>
      </c>
    </row>
    <row r="2386" ht="15.75" customHeight="1">
      <c r="A2386" s="53" t="s">
        <v>2457</v>
      </c>
      <c r="B2386" s="53" t="s">
        <v>51</v>
      </c>
      <c r="C2386" s="53" t="s">
        <v>26</v>
      </c>
      <c r="D2386" s="54">
        <v>120406.4</v>
      </c>
      <c r="E2386" s="54" t="str">
        <f t="shared" si="1"/>
        <v>₹1,444,876.80</v>
      </c>
      <c r="F2386" s="55" t="str">
        <f t="shared" si="2"/>
        <v>30.0%</v>
      </c>
      <c r="G2386" s="54" t="str">
        <f t="shared" si="3"/>
        <v>₹433,463.04</v>
      </c>
      <c r="H2386" s="54" t="str">
        <f t="shared" si="4"/>
        <v>₹36,121.92</v>
      </c>
      <c r="I2386" s="54" t="str">
        <f>104972.17-H2386</f>
        <v>₹68,850.25</v>
      </c>
    </row>
    <row r="2387" ht="15.75" customHeight="1">
      <c r="A2387" s="50" t="s">
        <v>2458</v>
      </c>
      <c r="B2387" s="50" t="s">
        <v>51</v>
      </c>
      <c r="C2387" s="50" t="s">
        <v>30</v>
      </c>
      <c r="D2387" s="51">
        <v>120429.58</v>
      </c>
      <c r="E2387" s="51" t="str">
        <f t="shared" si="1"/>
        <v>₹1,445,154.96</v>
      </c>
      <c r="F2387" s="52" t="str">
        <f t="shared" si="2"/>
        <v>30.0%</v>
      </c>
      <c r="G2387" s="51" t="str">
        <f t="shared" si="3"/>
        <v>₹433,546.49</v>
      </c>
      <c r="H2387" s="51" t="str">
        <f t="shared" si="4"/>
        <v>₹36,128.87</v>
      </c>
      <c r="I2387" s="51" t="str">
        <f>104991.95-H2387</f>
        <v>₹68,863.08</v>
      </c>
    </row>
    <row r="2388" ht="15.75" customHeight="1">
      <c r="A2388" s="53" t="s">
        <v>2459</v>
      </c>
      <c r="B2388" s="53" t="s">
        <v>17</v>
      </c>
      <c r="C2388" s="53" t="s">
        <v>26</v>
      </c>
      <c r="D2388" s="54">
        <v>120452.76</v>
      </c>
      <c r="E2388" s="54" t="str">
        <f t="shared" si="1"/>
        <v>₹1,445,433.12</v>
      </c>
      <c r="F2388" s="55" t="str">
        <f t="shared" si="2"/>
        <v>30.0%</v>
      </c>
      <c r="G2388" s="54" t="str">
        <f t="shared" si="3"/>
        <v>₹433,629.94</v>
      </c>
      <c r="H2388" s="54" t="str">
        <f t="shared" si="4"/>
        <v>₹36,135.83</v>
      </c>
      <c r="I2388" s="54" t="str">
        <f>105011.73-H2388</f>
        <v>₹68,875.90</v>
      </c>
    </row>
    <row r="2389" ht="15.75" customHeight="1">
      <c r="A2389" s="50" t="s">
        <v>2460</v>
      </c>
      <c r="B2389" s="50" t="s">
        <v>29</v>
      </c>
      <c r="C2389" s="50" t="s">
        <v>33</v>
      </c>
      <c r="D2389" s="51">
        <v>120475.94</v>
      </c>
      <c r="E2389" s="51" t="str">
        <f t="shared" si="1"/>
        <v>₹1,445,711.28</v>
      </c>
      <c r="F2389" s="52" t="str">
        <f t="shared" si="2"/>
        <v>30.0%</v>
      </c>
      <c r="G2389" s="51" t="str">
        <f t="shared" si="3"/>
        <v>₹433,713.38</v>
      </c>
      <c r="H2389" s="51" t="str">
        <f t="shared" si="4"/>
        <v>₹36,142.78</v>
      </c>
      <c r="I2389" s="51" t="str">
        <f>105031.51-H2389</f>
        <v>₹68,888.73</v>
      </c>
    </row>
    <row r="2390" ht="15.75" customHeight="1">
      <c r="A2390" s="53" t="s">
        <v>2461</v>
      </c>
      <c r="B2390" s="53" t="s">
        <v>13</v>
      </c>
      <c r="C2390" s="53" t="s">
        <v>54</v>
      </c>
      <c r="D2390" s="54">
        <v>120499.11</v>
      </c>
      <c r="E2390" s="54" t="str">
        <f t="shared" si="1"/>
        <v>₹1,445,989.32</v>
      </c>
      <c r="F2390" s="55" t="str">
        <f t="shared" si="2"/>
        <v>30.0%</v>
      </c>
      <c r="G2390" s="54" t="str">
        <f t="shared" si="3"/>
        <v>₹433,796.80</v>
      </c>
      <c r="H2390" s="54" t="str">
        <f t="shared" si="4"/>
        <v>₹36,149.73</v>
      </c>
      <c r="I2390" s="54" t="str">
        <f>105051.29-H2390</f>
        <v>₹68,901.56</v>
      </c>
    </row>
    <row r="2391" ht="15.75" customHeight="1">
      <c r="A2391" s="50" t="s">
        <v>2462</v>
      </c>
      <c r="B2391" s="50" t="s">
        <v>29</v>
      </c>
      <c r="C2391" s="50" t="s">
        <v>18</v>
      </c>
      <c r="D2391" s="51">
        <v>120522.29</v>
      </c>
      <c r="E2391" s="51" t="str">
        <f t="shared" si="1"/>
        <v>₹1,446,267.48</v>
      </c>
      <c r="F2391" s="52" t="str">
        <f t="shared" si="2"/>
        <v>30.0%</v>
      </c>
      <c r="G2391" s="51" t="str">
        <f t="shared" si="3"/>
        <v>₹433,880.24</v>
      </c>
      <c r="H2391" s="51" t="str">
        <f t="shared" si="4"/>
        <v>₹36,156.69</v>
      </c>
      <c r="I2391" s="51" t="str">
        <f>105071.07-H2391</f>
        <v>₹68,914.38</v>
      </c>
    </row>
    <row r="2392" ht="15.75" customHeight="1">
      <c r="A2392" s="53" t="s">
        <v>2463</v>
      </c>
      <c r="B2392" s="53" t="s">
        <v>13</v>
      </c>
      <c r="C2392" s="53" t="s">
        <v>18</v>
      </c>
      <c r="D2392" s="54">
        <v>120545.47</v>
      </c>
      <c r="E2392" s="54" t="str">
        <f t="shared" si="1"/>
        <v>₹1,446,545.64</v>
      </c>
      <c r="F2392" s="55" t="str">
        <f t="shared" si="2"/>
        <v>30.0%</v>
      </c>
      <c r="G2392" s="54" t="str">
        <f t="shared" si="3"/>
        <v>₹433,963.69</v>
      </c>
      <c r="H2392" s="54" t="str">
        <f t="shared" si="4"/>
        <v>₹36,163.64</v>
      </c>
      <c r="I2392" s="54" t="str">
        <f>105090.85-H2392</f>
        <v>₹68,927.21</v>
      </c>
    </row>
    <row r="2393" ht="15.75" customHeight="1">
      <c r="A2393" s="50" t="s">
        <v>2464</v>
      </c>
      <c r="B2393" s="50" t="s">
        <v>17</v>
      </c>
      <c r="C2393" s="50" t="s">
        <v>33</v>
      </c>
      <c r="D2393" s="51">
        <v>120568.65</v>
      </c>
      <c r="E2393" s="51" t="str">
        <f t="shared" si="1"/>
        <v>₹1,446,823.80</v>
      </c>
      <c r="F2393" s="52" t="str">
        <f t="shared" si="2"/>
        <v>30.0%</v>
      </c>
      <c r="G2393" s="51" t="str">
        <f t="shared" si="3"/>
        <v>₹434,047.14</v>
      </c>
      <c r="H2393" s="51" t="str">
        <f t="shared" si="4"/>
        <v>₹36,170.60</v>
      </c>
      <c r="I2393" s="51" t="str">
        <f>105110.63-H2393</f>
        <v>₹68,940.04</v>
      </c>
    </row>
    <row r="2394" ht="15.75" customHeight="1">
      <c r="A2394" s="53" t="s">
        <v>2465</v>
      </c>
      <c r="B2394" s="53" t="s">
        <v>51</v>
      </c>
      <c r="C2394" s="53" t="s">
        <v>26</v>
      </c>
      <c r="D2394" s="54">
        <v>120591.82</v>
      </c>
      <c r="E2394" s="54" t="str">
        <f t="shared" si="1"/>
        <v>₹1,447,101.84</v>
      </c>
      <c r="F2394" s="55" t="str">
        <f t="shared" si="2"/>
        <v>30.0%</v>
      </c>
      <c r="G2394" s="54" t="str">
        <f t="shared" si="3"/>
        <v>₹434,130.55</v>
      </c>
      <c r="H2394" s="54" t="str">
        <f t="shared" si="4"/>
        <v>₹36,177.55</v>
      </c>
      <c r="I2394" s="54" t="str">
        <f>105130.41-H2394</f>
        <v>₹68,952.86</v>
      </c>
    </row>
    <row r="2395" ht="15.75" customHeight="1">
      <c r="A2395" s="50" t="s">
        <v>2466</v>
      </c>
      <c r="B2395" s="50" t="s">
        <v>36</v>
      </c>
      <c r="C2395" s="50" t="s">
        <v>54</v>
      </c>
      <c r="D2395" s="51">
        <v>120615.0</v>
      </c>
      <c r="E2395" s="51" t="str">
        <f t="shared" si="1"/>
        <v>₹1,447,380.00</v>
      </c>
      <c r="F2395" s="52" t="str">
        <f t="shared" si="2"/>
        <v>30.0%</v>
      </c>
      <c r="G2395" s="51" t="str">
        <f t="shared" si="3"/>
        <v>₹434,214.00</v>
      </c>
      <c r="H2395" s="51" t="str">
        <f t="shared" si="4"/>
        <v>₹36,184.50</v>
      </c>
      <c r="I2395" s="51" t="str">
        <f>105150.19-H2395</f>
        <v>₹68,965.69</v>
      </c>
    </row>
    <row r="2396" ht="15.75" customHeight="1">
      <c r="A2396" s="53" t="s">
        <v>2467</v>
      </c>
      <c r="B2396" s="53" t="s">
        <v>29</v>
      </c>
      <c r="C2396" s="53" t="s">
        <v>18</v>
      </c>
      <c r="D2396" s="54">
        <v>120638.18</v>
      </c>
      <c r="E2396" s="54" t="str">
        <f t="shared" si="1"/>
        <v>₹1,447,658.16</v>
      </c>
      <c r="F2396" s="55" t="str">
        <f t="shared" si="2"/>
        <v>30.0%</v>
      </c>
      <c r="G2396" s="54" t="str">
        <f t="shared" si="3"/>
        <v>₹434,297.45</v>
      </c>
      <c r="H2396" s="54" t="str">
        <f t="shared" si="4"/>
        <v>₹36,191.45</v>
      </c>
      <c r="I2396" s="54" t="str">
        <f>105169.97-H2396</f>
        <v>₹68,978.52</v>
      </c>
    </row>
    <row r="2397" ht="15.75" customHeight="1">
      <c r="A2397" s="50" t="s">
        <v>2468</v>
      </c>
      <c r="B2397" s="50" t="s">
        <v>51</v>
      </c>
      <c r="C2397" s="50" t="s">
        <v>26</v>
      </c>
      <c r="D2397" s="51">
        <v>120661.36</v>
      </c>
      <c r="E2397" s="51" t="str">
        <f t="shared" si="1"/>
        <v>₹1,447,936.32</v>
      </c>
      <c r="F2397" s="52" t="str">
        <f t="shared" si="2"/>
        <v>30.0%</v>
      </c>
      <c r="G2397" s="51" t="str">
        <f t="shared" si="3"/>
        <v>₹434,380.90</v>
      </c>
      <c r="H2397" s="51" t="str">
        <f t="shared" si="4"/>
        <v>₹36,198.41</v>
      </c>
      <c r="I2397" s="51" t="str">
        <f>105189.75-H2397</f>
        <v>₹68,991.34</v>
      </c>
    </row>
    <row r="2398" ht="15.75" customHeight="1">
      <c r="A2398" s="53" t="s">
        <v>2469</v>
      </c>
      <c r="B2398" s="53" t="s">
        <v>51</v>
      </c>
      <c r="C2398" s="53" t="s">
        <v>26</v>
      </c>
      <c r="D2398" s="54">
        <v>120684.54</v>
      </c>
      <c r="E2398" s="54" t="str">
        <f t="shared" si="1"/>
        <v>₹1,448,214.48</v>
      </c>
      <c r="F2398" s="55" t="str">
        <f t="shared" si="2"/>
        <v>30.0%</v>
      </c>
      <c r="G2398" s="54" t="str">
        <f t="shared" si="3"/>
        <v>₹434,464.34</v>
      </c>
      <c r="H2398" s="54" t="str">
        <f t="shared" si="4"/>
        <v>₹36,205.36</v>
      </c>
      <c r="I2398" s="54" t="str">
        <f>105209.54-H2398</f>
        <v>₹69,004.18</v>
      </c>
    </row>
    <row r="2399" ht="15.75" customHeight="1">
      <c r="A2399" s="50" t="s">
        <v>2470</v>
      </c>
      <c r="B2399" s="50" t="s">
        <v>13</v>
      </c>
      <c r="C2399" s="50" t="s">
        <v>30</v>
      </c>
      <c r="D2399" s="51">
        <v>120707.71</v>
      </c>
      <c r="E2399" s="51" t="str">
        <f t="shared" si="1"/>
        <v>₹1,448,492.52</v>
      </c>
      <c r="F2399" s="52" t="str">
        <f t="shared" si="2"/>
        <v>30.0%</v>
      </c>
      <c r="G2399" s="51" t="str">
        <f t="shared" si="3"/>
        <v>₹434,547.76</v>
      </c>
      <c r="H2399" s="51" t="str">
        <f t="shared" si="4"/>
        <v>₹36,212.31</v>
      </c>
      <c r="I2399" s="51" t="str">
        <f>105229.31-H2399</f>
        <v>₹69,017.00</v>
      </c>
    </row>
    <row r="2400" ht="15.75" customHeight="1">
      <c r="A2400" s="53" t="s">
        <v>2471</v>
      </c>
      <c r="B2400" s="53" t="s">
        <v>51</v>
      </c>
      <c r="C2400" s="53" t="s">
        <v>30</v>
      </c>
      <c r="D2400" s="54">
        <v>120730.89</v>
      </c>
      <c r="E2400" s="54" t="str">
        <f t="shared" si="1"/>
        <v>₹1,448,770.68</v>
      </c>
      <c r="F2400" s="55" t="str">
        <f t="shared" si="2"/>
        <v>30.0%</v>
      </c>
      <c r="G2400" s="54" t="str">
        <f t="shared" si="3"/>
        <v>₹434,631.20</v>
      </c>
      <c r="H2400" s="54" t="str">
        <f t="shared" si="4"/>
        <v>₹36,219.27</v>
      </c>
      <c r="I2400" s="54" t="str">
        <f>105249.09-H2400</f>
        <v>₹69,029.82</v>
      </c>
    </row>
    <row r="2401" ht="15.75" customHeight="1">
      <c r="A2401" s="50" t="s">
        <v>2472</v>
      </c>
      <c r="B2401" s="50" t="s">
        <v>29</v>
      </c>
      <c r="C2401" s="50" t="s">
        <v>18</v>
      </c>
      <c r="D2401" s="51">
        <v>120754.07</v>
      </c>
      <c r="E2401" s="51" t="str">
        <f t="shared" si="1"/>
        <v>₹1,449,048.84</v>
      </c>
      <c r="F2401" s="52" t="str">
        <f t="shared" si="2"/>
        <v>30.0%</v>
      </c>
      <c r="G2401" s="51" t="str">
        <f t="shared" si="3"/>
        <v>₹434,714.65</v>
      </c>
      <c r="H2401" s="51" t="str">
        <f t="shared" si="4"/>
        <v>₹36,226.22</v>
      </c>
      <c r="I2401" s="51" t="str">
        <f>105268.87-H2401</f>
        <v>₹69,042.65</v>
      </c>
    </row>
    <row r="2402" ht="15.75" customHeight="1">
      <c r="A2402" s="53" t="s">
        <v>2473</v>
      </c>
      <c r="B2402" s="53" t="s">
        <v>36</v>
      </c>
      <c r="C2402" s="53" t="s">
        <v>26</v>
      </c>
      <c r="D2402" s="54">
        <v>120777.25</v>
      </c>
      <c r="E2402" s="54" t="str">
        <f t="shared" si="1"/>
        <v>₹1,449,327.00</v>
      </c>
      <c r="F2402" s="55" t="str">
        <f t="shared" si="2"/>
        <v>30.0%</v>
      </c>
      <c r="G2402" s="54" t="str">
        <f t="shared" si="3"/>
        <v>₹434,798.10</v>
      </c>
      <c r="H2402" s="54" t="str">
        <f t="shared" si="4"/>
        <v>₹36,233.18</v>
      </c>
      <c r="I2402" s="54" t="str">
        <f>105288.66-H2402</f>
        <v>₹69,055.49</v>
      </c>
    </row>
    <row r="2403" ht="15.75" customHeight="1">
      <c r="A2403" s="50" t="s">
        <v>2474</v>
      </c>
      <c r="B2403" s="50" t="s">
        <v>17</v>
      </c>
      <c r="C2403" s="50" t="s">
        <v>33</v>
      </c>
      <c r="D2403" s="51">
        <v>120800.42</v>
      </c>
      <c r="E2403" s="51" t="str">
        <f t="shared" si="1"/>
        <v>₹1,449,605.04</v>
      </c>
      <c r="F2403" s="52" t="str">
        <f t="shared" si="2"/>
        <v>30.0%</v>
      </c>
      <c r="G2403" s="51" t="str">
        <f t="shared" si="3"/>
        <v>₹434,881.51</v>
      </c>
      <c r="H2403" s="51" t="str">
        <f t="shared" si="4"/>
        <v>₹36,240.13</v>
      </c>
      <c r="I2403" s="51" t="str">
        <f>105308.43-H2403</f>
        <v>₹69,068.30</v>
      </c>
    </row>
    <row r="2404" ht="15.75" customHeight="1">
      <c r="A2404" s="53" t="s">
        <v>2475</v>
      </c>
      <c r="B2404" s="53" t="s">
        <v>25</v>
      </c>
      <c r="C2404" s="53" t="s">
        <v>26</v>
      </c>
      <c r="D2404" s="54">
        <v>117010.82</v>
      </c>
      <c r="E2404" s="54" t="str">
        <f t="shared" si="1"/>
        <v>₹1,404,129.84</v>
      </c>
      <c r="F2404" s="55" t="str">
        <f t="shared" si="2"/>
        <v>30.0%</v>
      </c>
      <c r="G2404" s="54" t="str">
        <f t="shared" si="3"/>
        <v>₹421,238.95</v>
      </c>
      <c r="H2404" s="54" t="str">
        <f t="shared" si="4"/>
        <v>₹35,103.25</v>
      </c>
      <c r="I2404" s="54" t="str">
        <f>101515.43-H2404</f>
        <v>₹66,412.18</v>
      </c>
    </row>
    <row r="2405" ht="15.75" customHeight="1">
      <c r="A2405" s="50" t="s">
        <v>2476</v>
      </c>
      <c r="B2405" s="50" t="s">
        <v>17</v>
      </c>
      <c r="C2405" s="50" t="s">
        <v>37</v>
      </c>
      <c r="D2405" s="51">
        <v>120846.78</v>
      </c>
      <c r="E2405" s="51" t="str">
        <f t="shared" si="1"/>
        <v>₹1,450,161.36</v>
      </c>
      <c r="F2405" s="52" t="str">
        <f t="shared" si="2"/>
        <v>30.0%</v>
      </c>
      <c r="G2405" s="51" t="str">
        <f t="shared" si="3"/>
        <v>₹435,048.41</v>
      </c>
      <c r="H2405" s="51" t="str">
        <f t="shared" si="4"/>
        <v>₹36,254.03</v>
      </c>
      <c r="I2405" s="51" t="str">
        <f>105347.99-H2405</f>
        <v>₹69,093.96</v>
      </c>
    </row>
    <row r="2406" ht="15.75" customHeight="1">
      <c r="A2406" s="53" t="s">
        <v>2477</v>
      </c>
      <c r="B2406" s="53" t="s">
        <v>17</v>
      </c>
      <c r="C2406" s="53" t="s">
        <v>37</v>
      </c>
      <c r="D2406" s="54">
        <v>120869.96</v>
      </c>
      <c r="E2406" s="54" t="str">
        <f t="shared" si="1"/>
        <v>₹1,450,439.52</v>
      </c>
      <c r="F2406" s="55" t="str">
        <f t="shared" si="2"/>
        <v>30.0%</v>
      </c>
      <c r="G2406" s="54" t="str">
        <f t="shared" si="3"/>
        <v>₹435,131.86</v>
      </c>
      <c r="H2406" s="54" t="str">
        <f t="shared" si="4"/>
        <v>₹36,260.99</v>
      </c>
      <c r="I2406" s="54" t="str">
        <f>105367.78-H2406</f>
        <v>₹69,106.79</v>
      </c>
    </row>
    <row r="2407" ht="15.75" customHeight="1">
      <c r="A2407" s="50" t="s">
        <v>2478</v>
      </c>
      <c r="B2407" s="50" t="s">
        <v>51</v>
      </c>
      <c r="C2407" s="50" t="s">
        <v>37</v>
      </c>
      <c r="D2407" s="51">
        <v>120893.13</v>
      </c>
      <c r="E2407" s="51" t="str">
        <f t="shared" si="1"/>
        <v>₹1,450,717.56</v>
      </c>
      <c r="F2407" s="52" t="str">
        <f t="shared" si="2"/>
        <v>30.0%</v>
      </c>
      <c r="G2407" s="51" t="str">
        <f t="shared" si="3"/>
        <v>₹435,215.27</v>
      </c>
      <c r="H2407" s="51" t="str">
        <f t="shared" si="4"/>
        <v>₹36,267.94</v>
      </c>
      <c r="I2407" s="51" t="str">
        <f>105387.55-H2407</f>
        <v>₹69,119.61</v>
      </c>
    </row>
    <row r="2408" ht="15.75" customHeight="1">
      <c r="A2408" s="53" t="s">
        <v>2479</v>
      </c>
      <c r="B2408" s="53" t="s">
        <v>25</v>
      </c>
      <c r="C2408" s="53" t="s">
        <v>33</v>
      </c>
      <c r="D2408" s="54">
        <v>120916.31</v>
      </c>
      <c r="E2408" s="54" t="str">
        <f t="shared" si="1"/>
        <v>₹1,450,995.72</v>
      </c>
      <c r="F2408" s="55" t="str">
        <f t="shared" si="2"/>
        <v>30.0%</v>
      </c>
      <c r="G2408" s="54" t="str">
        <f t="shared" si="3"/>
        <v>₹435,298.72</v>
      </c>
      <c r="H2408" s="54" t="str">
        <f t="shared" si="4"/>
        <v>₹36,274.89</v>
      </c>
      <c r="I2408" s="54" t="str">
        <f>105407.33-H2408</f>
        <v>₹69,132.44</v>
      </c>
    </row>
    <row r="2409" ht="15.75" customHeight="1">
      <c r="A2409" s="50" t="s">
        <v>2480</v>
      </c>
      <c r="B2409" s="50" t="s">
        <v>29</v>
      </c>
      <c r="C2409" s="50" t="s">
        <v>54</v>
      </c>
      <c r="D2409" s="51">
        <v>117502.98</v>
      </c>
      <c r="E2409" s="51" t="str">
        <f t="shared" si="1"/>
        <v>₹1,410,035.76</v>
      </c>
      <c r="F2409" s="52" t="str">
        <f t="shared" si="2"/>
        <v>30.0%</v>
      </c>
      <c r="G2409" s="51" t="str">
        <f t="shared" si="3"/>
        <v>₹423,010.73</v>
      </c>
      <c r="H2409" s="51" t="str">
        <f t="shared" si="4"/>
        <v>₹35,250.89</v>
      </c>
      <c r="I2409" s="51" t="str">
        <f>101990.6-H2409</f>
        <v>₹66,739.71</v>
      </c>
    </row>
    <row r="2410" ht="15.75" customHeight="1">
      <c r="A2410" s="53" t="s">
        <v>2481</v>
      </c>
      <c r="B2410" s="53" t="s">
        <v>51</v>
      </c>
      <c r="C2410" s="53" t="s">
        <v>54</v>
      </c>
      <c r="D2410" s="54">
        <v>120962.67</v>
      </c>
      <c r="E2410" s="54" t="str">
        <f t="shared" si="1"/>
        <v>₹1,451,552.04</v>
      </c>
      <c r="F2410" s="55" t="str">
        <f t="shared" si="2"/>
        <v>30.0%</v>
      </c>
      <c r="G2410" s="54" t="str">
        <f t="shared" si="3"/>
        <v>₹435,465.61</v>
      </c>
      <c r="H2410" s="54" t="str">
        <f t="shared" si="4"/>
        <v>₹36,288.80</v>
      </c>
      <c r="I2410" s="54" t="str">
        <f>105446.9-H2410</f>
        <v>₹69,158.10</v>
      </c>
    </row>
    <row r="2411" ht="15.75" customHeight="1">
      <c r="A2411" s="50" t="s">
        <v>2482</v>
      </c>
      <c r="B2411" s="50" t="s">
        <v>36</v>
      </c>
      <c r="C2411" s="50" t="s">
        <v>14</v>
      </c>
      <c r="D2411" s="51">
        <v>120985.85</v>
      </c>
      <c r="E2411" s="51" t="str">
        <f t="shared" si="1"/>
        <v>₹1,451,830.20</v>
      </c>
      <c r="F2411" s="52" t="str">
        <f t="shared" si="2"/>
        <v>30.0%</v>
      </c>
      <c r="G2411" s="51" t="str">
        <f t="shared" si="3"/>
        <v>₹435,549.06</v>
      </c>
      <c r="H2411" s="51" t="str">
        <f t="shared" si="4"/>
        <v>₹36,295.76</v>
      </c>
      <c r="I2411" s="51" t="str">
        <f>105466.68-H2411</f>
        <v>₹69,170.93</v>
      </c>
    </row>
    <row r="2412" ht="15.75" customHeight="1">
      <c r="A2412" s="53" t="s">
        <v>2483</v>
      </c>
      <c r="B2412" s="53" t="s">
        <v>29</v>
      </c>
      <c r="C2412" s="53" t="s">
        <v>14</v>
      </c>
      <c r="D2412" s="54">
        <v>121009.02</v>
      </c>
      <c r="E2412" s="54" t="str">
        <f t="shared" si="1"/>
        <v>₹1,452,108.24</v>
      </c>
      <c r="F2412" s="55" t="str">
        <f t="shared" si="2"/>
        <v>30.0%</v>
      </c>
      <c r="G2412" s="54" t="str">
        <f t="shared" si="3"/>
        <v>₹435,632.47</v>
      </c>
      <c r="H2412" s="54" t="str">
        <f t="shared" si="4"/>
        <v>₹36,302.71</v>
      </c>
      <c r="I2412" s="54" t="str">
        <f>105486.45-H2412</f>
        <v>₹69,183.74</v>
      </c>
    </row>
    <row r="2413" ht="15.75" customHeight="1">
      <c r="A2413" s="50" t="s">
        <v>2484</v>
      </c>
      <c r="B2413" s="50" t="s">
        <v>53</v>
      </c>
      <c r="C2413" s="50" t="s">
        <v>14</v>
      </c>
      <c r="D2413" s="51">
        <v>121032.2</v>
      </c>
      <c r="E2413" s="51" t="str">
        <f t="shared" si="1"/>
        <v>₹1,452,386.40</v>
      </c>
      <c r="F2413" s="52" t="str">
        <f t="shared" si="2"/>
        <v>30.0%</v>
      </c>
      <c r="G2413" s="51" t="str">
        <f t="shared" si="3"/>
        <v>₹435,715.92</v>
      </c>
      <c r="H2413" s="51" t="str">
        <f t="shared" si="4"/>
        <v>₹36,309.66</v>
      </c>
      <c r="I2413" s="51" t="str">
        <f>105506.23-H2413</f>
        <v>₹69,196.57</v>
      </c>
    </row>
    <row r="2414" ht="15.75" customHeight="1">
      <c r="A2414" s="53" t="s">
        <v>2485</v>
      </c>
      <c r="B2414" s="53" t="s">
        <v>13</v>
      </c>
      <c r="C2414" s="53" t="s">
        <v>37</v>
      </c>
      <c r="D2414" s="54">
        <v>121055.38</v>
      </c>
      <c r="E2414" s="54" t="str">
        <f t="shared" si="1"/>
        <v>₹1,452,664.56</v>
      </c>
      <c r="F2414" s="55" t="str">
        <f t="shared" si="2"/>
        <v>30.0%</v>
      </c>
      <c r="G2414" s="54" t="str">
        <f t="shared" si="3"/>
        <v>₹435,799.37</v>
      </c>
      <c r="H2414" s="54" t="str">
        <f t="shared" si="4"/>
        <v>₹36,316.61</v>
      </c>
      <c r="I2414" s="54" t="str">
        <f>105526.02-H2414</f>
        <v>₹69,209.41</v>
      </c>
    </row>
    <row r="2415" ht="15.75" customHeight="1">
      <c r="A2415" s="50" t="s">
        <v>2486</v>
      </c>
      <c r="B2415" s="50" t="s">
        <v>29</v>
      </c>
      <c r="C2415" s="50" t="s">
        <v>54</v>
      </c>
      <c r="D2415" s="51">
        <v>121078.56</v>
      </c>
      <c r="E2415" s="51" t="str">
        <f t="shared" si="1"/>
        <v>₹1,452,942.72</v>
      </c>
      <c r="F2415" s="52" t="str">
        <f t="shared" si="2"/>
        <v>30.0%</v>
      </c>
      <c r="G2415" s="51" t="str">
        <f t="shared" si="3"/>
        <v>₹435,882.82</v>
      </c>
      <c r="H2415" s="51" t="str">
        <f t="shared" si="4"/>
        <v>₹36,323.57</v>
      </c>
      <c r="I2415" s="51" t="str">
        <f>105545.8-H2415</f>
        <v>₹69,222.23</v>
      </c>
    </row>
    <row r="2416" ht="15.75" customHeight="1">
      <c r="A2416" s="53" t="s">
        <v>2487</v>
      </c>
      <c r="B2416" s="53" t="s">
        <v>36</v>
      </c>
      <c r="C2416" s="53" t="s">
        <v>37</v>
      </c>
      <c r="D2416" s="54">
        <v>121101.73</v>
      </c>
      <c r="E2416" s="54" t="str">
        <f t="shared" si="1"/>
        <v>₹1,453,220.76</v>
      </c>
      <c r="F2416" s="55" t="str">
        <f t="shared" si="2"/>
        <v>30.0%</v>
      </c>
      <c r="G2416" s="54" t="str">
        <f t="shared" si="3"/>
        <v>₹435,966.23</v>
      </c>
      <c r="H2416" s="54" t="str">
        <f t="shared" si="4"/>
        <v>₹36,330.52</v>
      </c>
      <c r="I2416" s="54" t="str">
        <f>105565.57-H2416</f>
        <v>₹69,235.05</v>
      </c>
    </row>
    <row r="2417" ht="15.75" customHeight="1">
      <c r="A2417" s="50" t="s">
        <v>2488</v>
      </c>
      <c r="B2417" s="50" t="s">
        <v>29</v>
      </c>
      <c r="C2417" s="50" t="s">
        <v>14</v>
      </c>
      <c r="D2417" s="51">
        <v>121124.91</v>
      </c>
      <c r="E2417" s="51" t="str">
        <f t="shared" si="1"/>
        <v>₹1,453,498.92</v>
      </c>
      <c r="F2417" s="52" t="str">
        <f t="shared" si="2"/>
        <v>30.0%</v>
      </c>
      <c r="G2417" s="51" t="str">
        <f t="shared" si="3"/>
        <v>₹436,049.68</v>
      </c>
      <c r="H2417" s="51" t="str">
        <f t="shared" si="4"/>
        <v>₹36,337.47</v>
      </c>
      <c r="I2417" s="51" t="str">
        <f>105585.35-H2417</f>
        <v>₹69,247.88</v>
      </c>
    </row>
    <row r="2418" ht="15.75" customHeight="1">
      <c r="A2418" s="53" t="s">
        <v>2489</v>
      </c>
      <c r="B2418" s="53" t="s">
        <v>51</v>
      </c>
      <c r="C2418" s="53" t="s">
        <v>33</v>
      </c>
      <c r="D2418" s="54">
        <v>121148.09</v>
      </c>
      <c r="E2418" s="54" t="str">
        <f t="shared" si="1"/>
        <v>₹1,453,777.08</v>
      </c>
      <c r="F2418" s="55" t="str">
        <f t="shared" si="2"/>
        <v>30.0%</v>
      </c>
      <c r="G2418" s="54" t="str">
        <f t="shared" si="3"/>
        <v>₹436,133.12</v>
      </c>
      <c r="H2418" s="54" t="str">
        <f t="shared" si="4"/>
        <v>₹36,344.43</v>
      </c>
      <c r="I2418" s="54" t="str">
        <f>105605.13-H2418</f>
        <v>₹69,260.70</v>
      </c>
    </row>
    <row r="2419" ht="15.75" customHeight="1">
      <c r="A2419" s="50" t="s">
        <v>2490</v>
      </c>
      <c r="B2419" s="50" t="s">
        <v>51</v>
      </c>
      <c r="C2419" s="50" t="s">
        <v>37</v>
      </c>
      <c r="D2419" s="51">
        <v>121171.27</v>
      </c>
      <c r="E2419" s="51" t="str">
        <f t="shared" si="1"/>
        <v>₹1,454,055.24</v>
      </c>
      <c r="F2419" s="52" t="str">
        <f t="shared" si="2"/>
        <v>30.0%</v>
      </c>
      <c r="G2419" s="51" t="str">
        <f t="shared" si="3"/>
        <v>₹436,216.57</v>
      </c>
      <c r="H2419" s="51" t="str">
        <f t="shared" si="4"/>
        <v>₹36,351.38</v>
      </c>
      <c r="I2419" s="51" t="str">
        <f>105624.92-H2419</f>
        <v>₹69,273.54</v>
      </c>
    </row>
    <row r="2420" ht="15.75" customHeight="1">
      <c r="A2420" s="53" t="s">
        <v>2491</v>
      </c>
      <c r="B2420" s="53" t="s">
        <v>53</v>
      </c>
      <c r="C2420" s="53" t="s">
        <v>26</v>
      </c>
      <c r="D2420" s="54">
        <v>121194.44</v>
      </c>
      <c r="E2420" s="54" t="str">
        <f t="shared" si="1"/>
        <v>₹1,454,333.28</v>
      </c>
      <c r="F2420" s="55" t="str">
        <f t="shared" si="2"/>
        <v>30.0%</v>
      </c>
      <c r="G2420" s="54" t="str">
        <f t="shared" si="3"/>
        <v>₹436,299.98</v>
      </c>
      <c r="H2420" s="54" t="str">
        <f t="shared" si="4"/>
        <v>₹36,358.33</v>
      </c>
      <c r="I2420" s="54" t="str">
        <f>105644.69-H2420</f>
        <v>₹69,286.36</v>
      </c>
    </row>
    <row r="2421" ht="15.75" customHeight="1">
      <c r="A2421" s="50" t="s">
        <v>2492</v>
      </c>
      <c r="B2421" s="50" t="s">
        <v>51</v>
      </c>
      <c r="C2421" s="50" t="s">
        <v>54</v>
      </c>
      <c r="D2421" s="51">
        <v>121217.62</v>
      </c>
      <c r="E2421" s="51" t="str">
        <f t="shared" si="1"/>
        <v>₹1,454,611.44</v>
      </c>
      <c r="F2421" s="52" t="str">
        <f t="shared" si="2"/>
        <v>30.0%</v>
      </c>
      <c r="G2421" s="51" t="str">
        <f t="shared" si="3"/>
        <v>₹436,383.43</v>
      </c>
      <c r="H2421" s="51" t="str">
        <f t="shared" si="4"/>
        <v>₹36,365.29</v>
      </c>
      <c r="I2421" s="51" t="str">
        <f>105664.47-H2421</f>
        <v>₹69,299.18</v>
      </c>
    </row>
    <row r="2422" ht="15.75" customHeight="1">
      <c r="A2422" s="53" t="s">
        <v>2493</v>
      </c>
      <c r="B2422" s="53" t="s">
        <v>53</v>
      </c>
      <c r="C2422" s="53" t="s">
        <v>54</v>
      </c>
      <c r="D2422" s="54">
        <v>121240.8</v>
      </c>
      <c r="E2422" s="54" t="str">
        <f t="shared" si="1"/>
        <v>₹1,454,889.60</v>
      </c>
      <c r="F2422" s="55" t="str">
        <f t="shared" si="2"/>
        <v>30.0%</v>
      </c>
      <c r="G2422" s="54" t="str">
        <f t="shared" si="3"/>
        <v>₹436,466.88</v>
      </c>
      <c r="H2422" s="54" t="str">
        <f t="shared" si="4"/>
        <v>₹36,372.24</v>
      </c>
      <c r="I2422" s="54" t="str">
        <f>105684.25-H2422</f>
        <v>₹69,312.01</v>
      </c>
    </row>
    <row r="2423" ht="15.75" customHeight="1">
      <c r="A2423" s="50" t="s">
        <v>2494</v>
      </c>
      <c r="B2423" s="50" t="s">
        <v>17</v>
      </c>
      <c r="C2423" s="50" t="s">
        <v>14</v>
      </c>
      <c r="D2423" s="51">
        <v>121263.98</v>
      </c>
      <c r="E2423" s="51" t="str">
        <f t="shared" si="1"/>
        <v>₹1,455,167.76</v>
      </c>
      <c r="F2423" s="52" t="str">
        <f t="shared" si="2"/>
        <v>30.0%</v>
      </c>
      <c r="G2423" s="51" t="str">
        <f t="shared" si="3"/>
        <v>₹436,550.33</v>
      </c>
      <c r="H2423" s="51" t="str">
        <f t="shared" si="4"/>
        <v>₹36,379.19</v>
      </c>
      <c r="I2423" s="51" t="str">
        <f>105704.04-H2423</f>
        <v>₹69,324.85</v>
      </c>
    </row>
    <row r="2424" ht="15.75" customHeight="1">
      <c r="A2424" s="53" t="s">
        <v>2495</v>
      </c>
      <c r="B2424" s="53" t="s">
        <v>51</v>
      </c>
      <c r="C2424" s="53" t="s">
        <v>33</v>
      </c>
      <c r="D2424" s="54">
        <v>121287.16</v>
      </c>
      <c r="E2424" s="54" t="str">
        <f t="shared" si="1"/>
        <v>₹1,455,445.92</v>
      </c>
      <c r="F2424" s="55" t="str">
        <f t="shared" si="2"/>
        <v>30.0%</v>
      </c>
      <c r="G2424" s="54" t="str">
        <f t="shared" si="3"/>
        <v>₹436,633.78</v>
      </c>
      <c r="H2424" s="54" t="str">
        <f t="shared" si="4"/>
        <v>₹36,386.15</v>
      </c>
      <c r="I2424" s="54" t="str">
        <f>105723.82-H2424</f>
        <v>₹69,337.67</v>
      </c>
    </row>
    <row r="2425" ht="15.75" customHeight="1">
      <c r="A2425" s="50" t="s">
        <v>2496</v>
      </c>
      <c r="B2425" s="50" t="s">
        <v>36</v>
      </c>
      <c r="C2425" s="50" t="s">
        <v>18</v>
      </c>
      <c r="D2425" s="51">
        <v>121310.33</v>
      </c>
      <c r="E2425" s="51" t="str">
        <f t="shared" si="1"/>
        <v>₹1,455,723.96</v>
      </c>
      <c r="F2425" s="52" t="str">
        <f t="shared" si="2"/>
        <v>30.0%</v>
      </c>
      <c r="G2425" s="51" t="str">
        <f t="shared" si="3"/>
        <v>₹436,717.19</v>
      </c>
      <c r="H2425" s="51" t="str">
        <f t="shared" si="4"/>
        <v>₹36,393.10</v>
      </c>
      <c r="I2425" s="51" t="str">
        <f>105743.59-H2425</f>
        <v>₹69,350.49</v>
      </c>
    </row>
    <row r="2426" ht="15.75" customHeight="1">
      <c r="A2426" s="53" t="s">
        <v>2497</v>
      </c>
      <c r="B2426" s="53" t="s">
        <v>25</v>
      </c>
      <c r="C2426" s="53" t="s">
        <v>30</v>
      </c>
      <c r="D2426" s="54">
        <v>121333.51</v>
      </c>
      <c r="E2426" s="54" t="str">
        <f t="shared" si="1"/>
        <v>₹1,456,002.12</v>
      </c>
      <c r="F2426" s="55" t="str">
        <f t="shared" si="2"/>
        <v>30.0%</v>
      </c>
      <c r="G2426" s="54" t="str">
        <f t="shared" si="3"/>
        <v>₹436,800.64</v>
      </c>
      <c r="H2426" s="54" t="str">
        <f t="shared" si="4"/>
        <v>₹36,400.05</v>
      </c>
      <c r="I2426" s="54" t="str">
        <f>105763.37-H2426</f>
        <v>₹69,363.32</v>
      </c>
    </row>
    <row r="2427" ht="15.75" customHeight="1">
      <c r="A2427" s="50" t="s">
        <v>2498</v>
      </c>
      <c r="B2427" s="50" t="s">
        <v>25</v>
      </c>
      <c r="C2427" s="50" t="s">
        <v>30</v>
      </c>
      <c r="D2427" s="51">
        <v>121356.69</v>
      </c>
      <c r="E2427" s="51" t="str">
        <f t="shared" si="1"/>
        <v>₹1,456,280.28</v>
      </c>
      <c r="F2427" s="52" t="str">
        <f t="shared" si="2"/>
        <v>30.0%</v>
      </c>
      <c r="G2427" s="51" t="str">
        <f t="shared" si="3"/>
        <v>₹436,884.08</v>
      </c>
      <c r="H2427" s="51" t="str">
        <f t="shared" si="4"/>
        <v>₹36,407.01</v>
      </c>
      <c r="I2427" s="51" t="str">
        <f>105783.16-H2427</f>
        <v>₹69,376.15</v>
      </c>
    </row>
    <row r="2428" ht="15.75" customHeight="1">
      <c r="A2428" s="53" t="s">
        <v>2499</v>
      </c>
      <c r="B2428" s="53" t="s">
        <v>36</v>
      </c>
      <c r="C2428" s="53" t="s">
        <v>33</v>
      </c>
      <c r="D2428" s="54">
        <v>121379.87</v>
      </c>
      <c r="E2428" s="54" t="str">
        <f t="shared" si="1"/>
        <v>₹1,456,558.44</v>
      </c>
      <c r="F2428" s="55" t="str">
        <f t="shared" si="2"/>
        <v>30.0%</v>
      </c>
      <c r="G2428" s="54" t="str">
        <f t="shared" si="3"/>
        <v>₹436,967.53</v>
      </c>
      <c r="H2428" s="54" t="str">
        <f t="shared" si="4"/>
        <v>₹36,413.96</v>
      </c>
      <c r="I2428" s="54" t="str">
        <f>105802.94-H2428</f>
        <v>₹69,388.98</v>
      </c>
    </row>
    <row r="2429" ht="15.75" customHeight="1">
      <c r="A2429" s="50" t="s">
        <v>2500</v>
      </c>
      <c r="B2429" s="50" t="s">
        <v>29</v>
      </c>
      <c r="C2429" s="50" t="s">
        <v>14</v>
      </c>
      <c r="D2429" s="51">
        <v>121403.04</v>
      </c>
      <c r="E2429" s="51" t="str">
        <f t="shared" si="1"/>
        <v>₹1,456,836.48</v>
      </c>
      <c r="F2429" s="52" t="str">
        <f t="shared" si="2"/>
        <v>30.0%</v>
      </c>
      <c r="G2429" s="51" t="str">
        <f t="shared" si="3"/>
        <v>₹437,050.94</v>
      </c>
      <c r="H2429" s="51" t="str">
        <f t="shared" si="4"/>
        <v>₹36,420.91</v>
      </c>
      <c r="I2429" s="51" t="str">
        <f>105822.71-H2429</f>
        <v>₹69,401.80</v>
      </c>
    </row>
    <row r="2430" ht="15.75" customHeight="1">
      <c r="A2430" s="53" t="s">
        <v>2501</v>
      </c>
      <c r="B2430" s="53" t="s">
        <v>13</v>
      </c>
      <c r="C2430" s="53" t="s">
        <v>26</v>
      </c>
      <c r="D2430" s="54">
        <v>121426.22</v>
      </c>
      <c r="E2430" s="54" t="str">
        <f t="shared" si="1"/>
        <v>₹1,457,114.64</v>
      </c>
      <c r="F2430" s="55" t="str">
        <f t="shared" si="2"/>
        <v>30.0%</v>
      </c>
      <c r="G2430" s="54" t="str">
        <f t="shared" si="3"/>
        <v>₹437,134.39</v>
      </c>
      <c r="H2430" s="54" t="str">
        <f t="shared" si="4"/>
        <v>₹36,427.87</v>
      </c>
      <c r="I2430" s="54" t="str">
        <f>105842.49-H2430</f>
        <v>₹69,414.62</v>
      </c>
    </row>
    <row r="2431" ht="15.75" customHeight="1">
      <c r="A2431" s="50" t="s">
        <v>2502</v>
      </c>
      <c r="B2431" s="50" t="s">
        <v>17</v>
      </c>
      <c r="C2431" s="50" t="s">
        <v>26</v>
      </c>
      <c r="D2431" s="51">
        <v>121449.4</v>
      </c>
      <c r="E2431" s="51" t="str">
        <f t="shared" si="1"/>
        <v>₹1,457,392.80</v>
      </c>
      <c r="F2431" s="52" t="str">
        <f t="shared" si="2"/>
        <v>30.0%</v>
      </c>
      <c r="G2431" s="51" t="str">
        <f t="shared" si="3"/>
        <v>₹437,217.84</v>
      </c>
      <c r="H2431" s="51" t="str">
        <f t="shared" si="4"/>
        <v>₹36,434.82</v>
      </c>
      <c r="I2431" s="51" t="str">
        <f>105862.28-H2431</f>
        <v>₹69,427.46</v>
      </c>
    </row>
    <row r="2432" ht="15.75" customHeight="1">
      <c r="A2432" s="53" t="s">
        <v>2503</v>
      </c>
      <c r="B2432" s="53" t="s">
        <v>17</v>
      </c>
      <c r="C2432" s="53" t="s">
        <v>30</v>
      </c>
      <c r="D2432" s="54">
        <v>121472.58</v>
      </c>
      <c r="E2432" s="54" t="str">
        <f t="shared" si="1"/>
        <v>₹1,457,670.96</v>
      </c>
      <c r="F2432" s="55" t="str">
        <f t="shared" si="2"/>
        <v>30.0%</v>
      </c>
      <c r="G2432" s="54" t="str">
        <f t="shared" si="3"/>
        <v>₹437,301.29</v>
      </c>
      <c r="H2432" s="54" t="str">
        <f t="shared" si="4"/>
        <v>₹36,441.77</v>
      </c>
      <c r="I2432" s="54" t="str">
        <f>105882.06-H2432</f>
        <v>₹69,440.29</v>
      </c>
    </row>
    <row r="2433" ht="15.75" customHeight="1">
      <c r="A2433" s="50" t="s">
        <v>2504</v>
      </c>
      <c r="B2433" s="50" t="s">
        <v>13</v>
      </c>
      <c r="C2433" s="50" t="s">
        <v>18</v>
      </c>
      <c r="D2433" s="51">
        <v>121495.75</v>
      </c>
      <c r="E2433" s="51" t="str">
        <f t="shared" si="1"/>
        <v>₹1,457,949.00</v>
      </c>
      <c r="F2433" s="52" t="str">
        <f t="shared" si="2"/>
        <v>30.0%</v>
      </c>
      <c r="G2433" s="51" t="str">
        <f t="shared" si="3"/>
        <v>₹437,384.70</v>
      </c>
      <c r="H2433" s="51" t="str">
        <f t="shared" si="4"/>
        <v>₹36,448.73</v>
      </c>
      <c r="I2433" s="51" t="str">
        <f>105901.83-H2433</f>
        <v>₹69,453.11</v>
      </c>
    </row>
    <row r="2434" ht="15.75" customHeight="1">
      <c r="A2434" s="53" t="s">
        <v>2505</v>
      </c>
      <c r="B2434" s="53" t="s">
        <v>25</v>
      </c>
      <c r="C2434" s="53" t="s">
        <v>14</v>
      </c>
      <c r="D2434" s="54">
        <v>121518.93</v>
      </c>
      <c r="E2434" s="54" t="str">
        <f t="shared" si="1"/>
        <v>₹1,458,227.16</v>
      </c>
      <c r="F2434" s="55" t="str">
        <f t="shared" si="2"/>
        <v>30.0%</v>
      </c>
      <c r="G2434" s="54" t="str">
        <f t="shared" si="3"/>
        <v>₹437,468.15</v>
      </c>
      <c r="H2434" s="54" t="str">
        <f t="shared" si="4"/>
        <v>₹36,455.68</v>
      </c>
      <c r="I2434" s="54" t="str">
        <f>105921.61-H2434</f>
        <v>₹69,465.93</v>
      </c>
    </row>
    <row r="2435" ht="15.75" customHeight="1">
      <c r="A2435" s="50" t="s">
        <v>2506</v>
      </c>
      <c r="B2435" s="50" t="s">
        <v>25</v>
      </c>
      <c r="C2435" s="50" t="s">
        <v>18</v>
      </c>
      <c r="D2435" s="51">
        <v>121542.11</v>
      </c>
      <c r="E2435" s="51" t="str">
        <f t="shared" si="1"/>
        <v>₹1,458,505.32</v>
      </c>
      <c r="F2435" s="52" t="str">
        <f t="shared" si="2"/>
        <v>30.0%</v>
      </c>
      <c r="G2435" s="51" t="str">
        <f t="shared" si="3"/>
        <v>₹437,551.60</v>
      </c>
      <c r="H2435" s="51" t="str">
        <f t="shared" si="4"/>
        <v>₹36,462.63</v>
      </c>
      <c r="I2435" s="51" t="str">
        <f>105941.4-H2435</f>
        <v>₹69,478.77</v>
      </c>
    </row>
    <row r="2436" ht="15.75" customHeight="1">
      <c r="A2436" s="53" t="s">
        <v>2508</v>
      </c>
      <c r="B2436" s="53" t="s">
        <v>25</v>
      </c>
      <c r="C2436" s="53" t="s">
        <v>33</v>
      </c>
      <c r="D2436" s="54">
        <v>121565.29</v>
      </c>
      <c r="E2436" s="54" t="str">
        <f t="shared" si="1"/>
        <v>₹1,458,783.48</v>
      </c>
      <c r="F2436" s="55" t="str">
        <f t="shared" si="2"/>
        <v>30.0%</v>
      </c>
      <c r="G2436" s="54" t="str">
        <f t="shared" si="3"/>
        <v>₹437,635.04</v>
      </c>
      <c r="H2436" s="54" t="str">
        <f t="shared" si="4"/>
        <v>₹36,469.59</v>
      </c>
      <c r="I2436" s="54" t="str">
        <f>105961.18-H2436</f>
        <v>₹69,491.59</v>
      </c>
    </row>
    <row r="2437" ht="15.75" customHeight="1">
      <c r="A2437" s="50" t="s">
        <v>2509</v>
      </c>
      <c r="B2437" s="50" t="s">
        <v>13</v>
      </c>
      <c r="C2437" s="50" t="s">
        <v>37</v>
      </c>
      <c r="D2437" s="51">
        <v>121588.47</v>
      </c>
      <c r="E2437" s="51" t="str">
        <f t="shared" si="1"/>
        <v>₹1,459,061.64</v>
      </c>
      <c r="F2437" s="52" t="str">
        <f t="shared" si="2"/>
        <v>30.0%</v>
      </c>
      <c r="G2437" s="51" t="str">
        <f t="shared" si="3"/>
        <v>₹437,718.49</v>
      </c>
      <c r="H2437" s="51" t="str">
        <f t="shared" si="4"/>
        <v>₹36,476.54</v>
      </c>
      <c r="I2437" s="51" t="str">
        <f>107261.09-H2437</f>
        <v>₹70,784.55</v>
      </c>
    </row>
    <row r="2438" ht="15.75" customHeight="1">
      <c r="A2438" s="53" t="s">
        <v>2510</v>
      </c>
      <c r="B2438" s="53" t="s">
        <v>53</v>
      </c>
      <c r="C2438" s="53" t="s">
        <v>14</v>
      </c>
      <c r="D2438" s="54">
        <v>121611.64</v>
      </c>
      <c r="E2438" s="54" t="str">
        <f t="shared" si="1"/>
        <v>₹1,459,339.68</v>
      </c>
      <c r="F2438" s="55" t="str">
        <f t="shared" si="2"/>
        <v>30.0%</v>
      </c>
      <c r="G2438" s="54" t="str">
        <f t="shared" si="3"/>
        <v>₹437,801.90</v>
      </c>
      <c r="H2438" s="54" t="str">
        <f t="shared" si="4"/>
        <v>₹36,483.49</v>
      </c>
      <c r="I2438" s="54" t="str">
        <f>106000.73-H2438</f>
        <v>₹69,517.24</v>
      </c>
    </row>
    <row r="2439" ht="15.75" customHeight="1">
      <c r="A2439" s="50" t="s">
        <v>2511</v>
      </c>
      <c r="B2439" s="50" t="s">
        <v>17</v>
      </c>
      <c r="C2439" s="50" t="s">
        <v>54</v>
      </c>
      <c r="D2439" s="51">
        <v>121634.82</v>
      </c>
      <c r="E2439" s="51" t="str">
        <f t="shared" si="1"/>
        <v>₹1,459,617.84</v>
      </c>
      <c r="F2439" s="52" t="str">
        <f t="shared" si="2"/>
        <v>30.0%</v>
      </c>
      <c r="G2439" s="51" t="str">
        <f t="shared" si="3"/>
        <v>₹437,885.35</v>
      </c>
      <c r="H2439" s="51" t="str">
        <f t="shared" si="4"/>
        <v>₹36,490.45</v>
      </c>
      <c r="I2439" s="51" t="str">
        <f>106020.52-H2439</f>
        <v>₹69,530.07</v>
      </c>
    </row>
    <row r="2440" ht="15.75" customHeight="1">
      <c r="A2440" s="53" t="s">
        <v>2512</v>
      </c>
      <c r="B2440" s="53" t="s">
        <v>25</v>
      </c>
      <c r="C2440" s="53" t="s">
        <v>37</v>
      </c>
      <c r="D2440" s="54">
        <v>121658.0</v>
      </c>
      <c r="E2440" s="54" t="str">
        <f t="shared" si="1"/>
        <v>₹1,459,896.00</v>
      </c>
      <c r="F2440" s="55" t="str">
        <f t="shared" si="2"/>
        <v>30.0%</v>
      </c>
      <c r="G2440" s="54" t="str">
        <f t="shared" si="3"/>
        <v>₹437,968.80</v>
      </c>
      <c r="H2440" s="54" t="str">
        <f t="shared" si="4"/>
        <v>₹36,497.40</v>
      </c>
      <c r="I2440" s="54" t="str">
        <f>106040.3-H2440</f>
        <v>₹69,542.90</v>
      </c>
    </row>
    <row r="2441" ht="15.75" customHeight="1">
      <c r="A2441" s="50" t="s">
        <v>2513</v>
      </c>
      <c r="B2441" s="50" t="s">
        <v>36</v>
      </c>
      <c r="C2441" s="50" t="s">
        <v>54</v>
      </c>
      <c r="D2441" s="51">
        <v>121681.18</v>
      </c>
      <c r="E2441" s="51" t="str">
        <f t="shared" si="1"/>
        <v>₹1,460,174.16</v>
      </c>
      <c r="F2441" s="52" t="str">
        <f t="shared" si="2"/>
        <v>30.0%</v>
      </c>
      <c r="G2441" s="51" t="str">
        <f t="shared" si="3"/>
        <v>₹438,052.25</v>
      </c>
      <c r="H2441" s="51" t="str">
        <f t="shared" si="4"/>
        <v>₹36,504.35</v>
      </c>
      <c r="I2441" s="51" t="str">
        <f>106060.08-H2441</f>
        <v>₹69,555.73</v>
      </c>
    </row>
    <row r="2442" ht="15.75" customHeight="1">
      <c r="A2442" s="53" t="s">
        <v>2514</v>
      </c>
      <c r="B2442" s="53" t="s">
        <v>36</v>
      </c>
      <c r="C2442" s="53" t="s">
        <v>26</v>
      </c>
      <c r="D2442" s="54">
        <v>121704.35</v>
      </c>
      <c r="E2442" s="54" t="str">
        <f t="shared" si="1"/>
        <v>₹1,460,452.20</v>
      </c>
      <c r="F2442" s="55" t="str">
        <f t="shared" si="2"/>
        <v>30.0%</v>
      </c>
      <c r="G2442" s="54" t="str">
        <f t="shared" si="3"/>
        <v>₹438,135.66</v>
      </c>
      <c r="H2442" s="54" t="str">
        <f t="shared" si="4"/>
        <v>₹36,511.31</v>
      </c>
      <c r="I2442" s="54" t="str">
        <f>106079.85-H2442</f>
        <v>₹69,568.55</v>
      </c>
    </row>
    <row r="2443" ht="15.75" customHeight="1">
      <c r="A2443" s="50" t="s">
        <v>2515</v>
      </c>
      <c r="B2443" s="50" t="s">
        <v>29</v>
      </c>
      <c r="C2443" s="50" t="s">
        <v>37</v>
      </c>
      <c r="D2443" s="51">
        <v>121727.53</v>
      </c>
      <c r="E2443" s="51" t="str">
        <f t="shared" si="1"/>
        <v>₹1,460,730.36</v>
      </c>
      <c r="F2443" s="52" t="str">
        <f t="shared" si="2"/>
        <v>30.0%</v>
      </c>
      <c r="G2443" s="51" t="str">
        <f t="shared" si="3"/>
        <v>₹438,219.11</v>
      </c>
      <c r="H2443" s="51" t="str">
        <f t="shared" si="4"/>
        <v>₹36,518.26</v>
      </c>
      <c r="I2443" s="51" t="str">
        <f>106099.64-H2443</f>
        <v>₹69,581.38</v>
      </c>
    </row>
    <row r="2444" ht="15.75" customHeight="1">
      <c r="A2444" s="53" t="s">
        <v>2516</v>
      </c>
      <c r="B2444" s="53" t="s">
        <v>36</v>
      </c>
      <c r="C2444" s="53" t="s">
        <v>33</v>
      </c>
      <c r="D2444" s="54">
        <v>121750.71</v>
      </c>
      <c r="E2444" s="54" t="str">
        <f t="shared" si="1"/>
        <v>₹1,461,008.52</v>
      </c>
      <c r="F2444" s="55" t="str">
        <f t="shared" si="2"/>
        <v>30.0%</v>
      </c>
      <c r="G2444" s="54" t="str">
        <f t="shared" si="3"/>
        <v>₹438,302.56</v>
      </c>
      <c r="H2444" s="54" t="str">
        <f t="shared" si="4"/>
        <v>₹36,525.21</v>
      </c>
      <c r="I2444" s="54" t="str">
        <f>106119.42-H2444</f>
        <v>₹69,594.21</v>
      </c>
    </row>
    <row r="2445" ht="15.75" customHeight="1">
      <c r="A2445" s="50" t="s">
        <v>2517</v>
      </c>
      <c r="B2445" s="50" t="s">
        <v>36</v>
      </c>
      <c r="C2445" s="50" t="s">
        <v>54</v>
      </c>
      <c r="D2445" s="51">
        <v>121773.89</v>
      </c>
      <c r="E2445" s="51" t="str">
        <f t="shared" si="1"/>
        <v>₹1,461,286.68</v>
      </c>
      <c r="F2445" s="52" t="str">
        <f t="shared" si="2"/>
        <v>30.0%</v>
      </c>
      <c r="G2445" s="51" t="str">
        <f t="shared" si="3"/>
        <v>₹438,386.00</v>
      </c>
      <c r="H2445" s="51" t="str">
        <f t="shared" si="4"/>
        <v>₹36,532.17</v>
      </c>
      <c r="I2445" s="51" t="str">
        <f>106139.2-H2445</f>
        <v>₹69,607.03</v>
      </c>
    </row>
    <row r="2446" ht="15.75" customHeight="1">
      <c r="A2446" s="53" t="s">
        <v>2518</v>
      </c>
      <c r="B2446" s="53" t="s">
        <v>25</v>
      </c>
      <c r="C2446" s="53" t="s">
        <v>33</v>
      </c>
      <c r="D2446" s="54">
        <v>121797.06</v>
      </c>
      <c r="E2446" s="54" t="str">
        <f t="shared" si="1"/>
        <v>₹1,461,564.72</v>
      </c>
      <c r="F2446" s="55" t="str">
        <f t="shared" si="2"/>
        <v>30.0%</v>
      </c>
      <c r="G2446" s="54" t="str">
        <f t="shared" si="3"/>
        <v>₹438,469.42</v>
      </c>
      <c r="H2446" s="54" t="str">
        <f t="shared" si="4"/>
        <v>₹36,539.12</v>
      </c>
      <c r="I2446" s="54" t="str">
        <f>106158.97-H2446</f>
        <v>₹69,619.85</v>
      </c>
    </row>
    <row r="2447" ht="15.75" customHeight="1">
      <c r="A2447" s="50" t="s">
        <v>2519</v>
      </c>
      <c r="B2447" s="50" t="s">
        <v>36</v>
      </c>
      <c r="C2447" s="50" t="s">
        <v>33</v>
      </c>
      <c r="D2447" s="51">
        <v>121820.24</v>
      </c>
      <c r="E2447" s="51" t="str">
        <f t="shared" si="1"/>
        <v>₹1,461,842.88</v>
      </c>
      <c r="F2447" s="52" t="str">
        <f t="shared" si="2"/>
        <v>30.0%</v>
      </c>
      <c r="G2447" s="51" t="str">
        <f t="shared" si="3"/>
        <v>₹438,552.86</v>
      </c>
      <c r="H2447" s="51" t="str">
        <f t="shared" si="4"/>
        <v>₹36,546.07</v>
      </c>
      <c r="I2447" s="51" t="str">
        <f>106178.76-H2447</f>
        <v>₹69,632.69</v>
      </c>
    </row>
    <row r="2448" ht="15.75" customHeight="1">
      <c r="A2448" s="53" t="s">
        <v>2520</v>
      </c>
      <c r="B2448" s="53" t="s">
        <v>36</v>
      </c>
      <c r="C2448" s="53" t="s">
        <v>30</v>
      </c>
      <c r="D2448" s="54">
        <v>121843.42</v>
      </c>
      <c r="E2448" s="54" t="str">
        <f t="shared" si="1"/>
        <v>₹1,462,121.04</v>
      </c>
      <c r="F2448" s="55" t="str">
        <f t="shared" si="2"/>
        <v>30.0%</v>
      </c>
      <c r="G2448" s="54" t="str">
        <f t="shared" si="3"/>
        <v>₹438,636.31</v>
      </c>
      <c r="H2448" s="54" t="str">
        <f t="shared" si="4"/>
        <v>₹36,553.03</v>
      </c>
      <c r="I2448" s="54" t="str">
        <f>106198.54-H2448</f>
        <v>₹69,645.51</v>
      </c>
    </row>
    <row r="2449" ht="15.75" customHeight="1">
      <c r="A2449" s="50" t="s">
        <v>2521</v>
      </c>
      <c r="B2449" s="50" t="s">
        <v>36</v>
      </c>
      <c r="C2449" s="50" t="s">
        <v>37</v>
      </c>
      <c r="D2449" s="51">
        <v>121866.6</v>
      </c>
      <c r="E2449" s="51" t="str">
        <f t="shared" si="1"/>
        <v>₹1,462,399.20</v>
      </c>
      <c r="F2449" s="52" t="str">
        <f t="shared" si="2"/>
        <v>30.0%</v>
      </c>
      <c r="G2449" s="51" t="str">
        <f t="shared" si="3"/>
        <v>₹438,719.76</v>
      </c>
      <c r="H2449" s="51" t="str">
        <f t="shared" si="4"/>
        <v>₹36,559.98</v>
      </c>
      <c r="I2449" s="51" t="str">
        <f>106218.32-H2449</f>
        <v>₹69,658.34</v>
      </c>
    </row>
    <row r="2450" ht="15.75" customHeight="1">
      <c r="A2450" s="53" t="s">
        <v>2522</v>
      </c>
      <c r="B2450" s="53" t="s">
        <v>13</v>
      </c>
      <c r="C2450" s="53" t="s">
        <v>18</v>
      </c>
      <c r="D2450" s="54">
        <v>121889.78</v>
      </c>
      <c r="E2450" s="54" t="str">
        <f t="shared" si="1"/>
        <v>₹1,462,677.36</v>
      </c>
      <c r="F2450" s="55" t="str">
        <f t="shared" si="2"/>
        <v>30.0%</v>
      </c>
      <c r="G2450" s="54" t="str">
        <f t="shared" si="3"/>
        <v>₹438,803.21</v>
      </c>
      <c r="H2450" s="54" t="str">
        <f t="shared" si="4"/>
        <v>₹36,566.93</v>
      </c>
      <c r="I2450" s="54" t="str">
        <f>106238.1-H2450</f>
        <v>₹69,671.17</v>
      </c>
    </row>
    <row r="2451" ht="15.75" customHeight="1">
      <c r="A2451" s="50" t="s">
        <v>2523</v>
      </c>
      <c r="B2451" s="50" t="s">
        <v>25</v>
      </c>
      <c r="C2451" s="50" t="s">
        <v>18</v>
      </c>
      <c r="D2451" s="51">
        <v>121912.95</v>
      </c>
      <c r="E2451" s="51" t="str">
        <f t="shared" si="1"/>
        <v>₹1,462,955.40</v>
      </c>
      <c r="F2451" s="52" t="str">
        <f t="shared" si="2"/>
        <v>30.0%</v>
      </c>
      <c r="G2451" s="51" t="str">
        <f t="shared" si="3"/>
        <v>₹438,886.62</v>
      </c>
      <c r="H2451" s="51" t="str">
        <f t="shared" si="4"/>
        <v>₹36,573.89</v>
      </c>
      <c r="I2451" s="51" t="str">
        <f>106257.88-H2451</f>
        <v>₹69,684.00</v>
      </c>
    </row>
    <row r="2452" ht="15.75" customHeight="1">
      <c r="A2452" s="53" t="s">
        <v>2524</v>
      </c>
      <c r="B2452" s="53" t="s">
        <v>13</v>
      </c>
      <c r="C2452" s="53" t="s">
        <v>30</v>
      </c>
      <c r="D2452" s="54">
        <v>121936.13</v>
      </c>
      <c r="E2452" s="54" t="str">
        <f t="shared" si="1"/>
        <v>₹1,463,233.56</v>
      </c>
      <c r="F2452" s="55" t="str">
        <f t="shared" si="2"/>
        <v>30.0%</v>
      </c>
      <c r="G2452" s="54" t="str">
        <f t="shared" si="3"/>
        <v>₹438,970.07</v>
      </c>
      <c r="H2452" s="54" t="str">
        <f t="shared" si="4"/>
        <v>₹36,580.84</v>
      </c>
      <c r="I2452" s="54" t="str">
        <f>106277.66-H2452</f>
        <v>₹69,696.82</v>
      </c>
    </row>
    <row r="2453" ht="15.75" customHeight="1">
      <c r="A2453" s="50" t="s">
        <v>2525</v>
      </c>
      <c r="B2453" s="50" t="s">
        <v>51</v>
      </c>
      <c r="C2453" s="50" t="s">
        <v>26</v>
      </c>
      <c r="D2453" s="51">
        <v>121959.31</v>
      </c>
      <c r="E2453" s="51" t="str">
        <f t="shared" si="1"/>
        <v>₹1,463,511.72</v>
      </c>
      <c r="F2453" s="52" t="str">
        <f t="shared" si="2"/>
        <v>30.0%</v>
      </c>
      <c r="G2453" s="51" t="str">
        <f t="shared" si="3"/>
        <v>₹439,053.52</v>
      </c>
      <c r="H2453" s="51" t="str">
        <f t="shared" si="4"/>
        <v>₹36,587.79</v>
      </c>
      <c r="I2453" s="51" t="str">
        <f>106297.44-H2453</f>
        <v>₹69,709.65</v>
      </c>
    </row>
    <row r="2454" ht="15.75" customHeight="1">
      <c r="A2454" s="53" t="s">
        <v>2526</v>
      </c>
      <c r="B2454" s="53" t="s">
        <v>13</v>
      </c>
      <c r="C2454" s="53" t="s">
        <v>37</v>
      </c>
      <c r="D2454" s="54">
        <v>121982.49</v>
      </c>
      <c r="E2454" s="54" t="str">
        <f t="shared" si="1"/>
        <v>₹1,463,789.88</v>
      </c>
      <c r="F2454" s="55" t="str">
        <f t="shared" si="2"/>
        <v>30.0%</v>
      </c>
      <c r="G2454" s="54" t="str">
        <f t="shared" si="3"/>
        <v>₹439,136.96</v>
      </c>
      <c r="H2454" s="54" t="str">
        <f t="shared" si="4"/>
        <v>₹36,594.75</v>
      </c>
      <c r="I2454" s="54" t="str">
        <f>106317.22-H2454</f>
        <v>₹69,722.47</v>
      </c>
    </row>
    <row r="2455" ht="15.75" customHeight="1">
      <c r="A2455" s="50" t="s">
        <v>2527</v>
      </c>
      <c r="B2455" s="50" t="s">
        <v>29</v>
      </c>
      <c r="C2455" s="50" t="s">
        <v>26</v>
      </c>
      <c r="D2455" s="51">
        <v>122005.66</v>
      </c>
      <c r="E2455" s="51" t="str">
        <f t="shared" si="1"/>
        <v>₹1,464,067.92</v>
      </c>
      <c r="F2455" s="52" t="str">
        <f t="shared" si="2"/>
        <v>30.0%</v>
      </c>
      <c r="G2455" s="51" t="str">
        <f t="shared" si="3"/>
        <v>₹439,220.38</v>
      </c>
      <c r="H2455" s="51" t="str">
        <f t="shared" si="4"/>
        <v>₹36,601.70</v>
      </c>
      <c r="I2455" s="51" t="str">
        <f>106337-H2455</f>
        <v>₹69,735.30</v>
      </c>
    </row>
    <row r="2456" ht="15.75" customHeight="1">
      <c r="A2456" s="53" t="s">
        <v>2528</v>
      </c>
      <c r="B2456" s="53" t="s">
        <v>25</v>
      </c>
      <c r="C2456" s="53" t="s">
        <v>14</v>
      </c>
      <c r="D2456" s="54">
        <v>122028.84</v>
      </c>
      <c r="E2456" s="54" t="str">
        <f t="shared" si="1"/>
        <v>₹1,464,346.08</v>
      </c>
      <c r="F2456" s="55" t="str">
        <f t="shared" si="2"/>
        <v>30.0%</v>
      </c>
      <c r="G2456" s="54" t="str">
        <f t="shared" si="3"/>
        <v>₹439,303.82</v>
      </c>
      <c r="H2456" s="54" t="str">
        <f t="shared" si="4"/>
        <v>₹36,608.65</v>
      </c>
      <c r="I2456" s="54" t="str">
        <f>106356.78-H2456</f>
        <v>₹69,748.13</v>
      </c>
    </row>
    <row r="2457" ht="15.75" customHeight="1">
      <c r="A2457" s="50" t="s">
        <v>2529</v>
      </c>
      <c r="B2457" s="50" t="s">
        <v>53</v>
      </c>
      <c r="C2457" s="50" t="s">
        <v>37</v>
      </c>
      <c r="D2457" s="51">
        <v>122052.02</v>
      </c>
      <c r="E2457" s="51" t="str">
        <f t="shared" si="1"/>
        <v>₹1,464,624.24</v>
      </c>
      <c r="F2457" s="52" t="str">
        <f t="shared" si="2"/>
        <v>30.0%</v>
      </c>
      <c r="G2457" s="51" t="str">
        <f t="shared" si="3"/>
        <v>₹439,387.27</v>
      </c>
      <c r="H2457" s="51" t="str">
        <f t="shared" si="4"/>
        <v>₹36,615.61</v>
      </c>
      <c r="I2457" s="51" t="str">
        <f>106376.56-H2457</f>
        <v>₹69,760.95</v>
      </c>
    </row>
    <row r="2458" ht="15.75" customHeight="1">
      <c r="A2458" s="53" t="s">
        <v>2530</v>
      </c>
      <c r="B2458" s="53" t="s">
        <v>29</v>
      </c>
      <c r="C2458" s="53" t="s">
        <v>33</v>
      </c>
      <c r="D2458" s="54">
        <v>122075.2</v>
      </c>
      <c r="E2458" s="54" t="str">
        <f t="shared" si="1"/>
        <v>₹1,464,902.40</v>
      </c>
      <c r="F2458" s="55" t="str">
        <f t="shared" si="2"/>
        <v>30.0%</v>
      </c>
      <c r="G2458" s="54" t="str">
        <f t="shared" si="3"/>
        <v>₹439,470.72</v>
      </c>
      <c r="H2458" s="54" t="str">
        <f t="shared" si="4"/>
        <v>₹36,622.56</v>
      </c>
      <c r="I2458" s="54" t="str">
        <f>106396.34-H2458</f>
        <v>₹69,773.78</v>
      </c>
    </row>
    <row r="2459" ht="15.75" customHeight="1">
      <c r="A2459" s="50" t="s">
        <v>2531</v>
      </c>
      <c r="B2459" s="50" t="s">
        <v>25</v>
      </c>
      <c r="C2459" s="50" t="s">
        <v>37</v>
      </c>
      <c r="D2459" s="51">
        <v>122098.37</v>
      </c>
      <c r="E2459" s="51" t="str">
        <f t="shared" si="1"/>
        <v>₹1,465,180.44</v>
      </c>
      <c r="F2459" s="52" t="str">
        <f t="shared" si="2"/>
        <v>30.0%</v>
      </c>
      <c r="G2459" s="51" t="str">
        <f t="shared" si="3"/>
        <v>₹439,554.13</v>
      </c>
      <c r="H2459" s="51" t="str">
        <f t="shared" si="4"/>
        <v>₹36,629.51</v>
      </c>
      <c r="I2459" s="51" t="str">
        <f>106416.12-H2459</f>
        <v>₹69,786.61</v>
      </c>
    </row>
    <row r="2460" ht="15.75" customHeight="1">
      <c r="A2460" s="53" t="s">
        <v>2532</v>
      </c>
      <c r="B2460" s="53" t="s">
        <v>36</v>
      </c>
      <c r="C2460" s="53" t="s">
        <v>33</v>
      </c>
      <c r="D2460" s="54">
        <v>122121.55</v>
      </c>
      <c r="E2460" s="54" t="str">
        <f t="shared" si="1"/>
        <v>₹1,465,458.60</v>
      </c>
      <c r="F2460" s="55" t="str">
        <f t="shared" si="2"/>
        <v>30.0%</v>
      </c>
      <c r="G2460" s="54" t="str">
        <f t="shared" si="3"/>
        <v>₹439,637.58</v>
      </c>
      <c r="H2460" s="54" t="str">
        <f t="shared" si="4"/>
        <v>₹36,636.47</v>
      </c>
      <c r="I2460" s="54" t="str">
        <f>106435.9-H2460</f>
        <v>₹69,799.44</v>
      </c>
    </row>
    <row r="2461" ht="15.75" customHeight="1">
      <c r="A2461" s="50" t="s">
        <v>2533</v>
      </c>
      <c r="B2461" s="50" t="s">
        <v>51</v>
      </c>
      <c r="C2461" s="50" t="s">
        <v>33</v>
      </c>
      <c r="D2461" s="51">
        <v>122144.73</v>
      </c>
      <c r="E2461" s="51" t="str">
        <f t="shared" si="1"/>
        <v>₹1,465,736.76</v>
      </c>
      <c r="F2461" s="52" t="str">
        <f t="shared" si="2"/>
        <v>30.0%</v>
      </c>
      <c r="G2461" s="51" t="str">
        <f t="shared" si="3"/>
        <v>₹439,721.03</v>
      </c>
      <c r="H2461" s="51" t="str">
        <f t="shared" si="4"/>
        <v>₹36,643.42</v>
      </c>
      <c r="I2461" s="51" t="str">
        <f>106455.68-H2461</f>
        <v>₹69,812.26</v>
      </c>
    </row>
    <row r="2462" ht="15.75" customHeight="1">
      <c r="A2462" s="53" t="s">
        <v>2534</v>
      </c>
      <c r="B2462" s="53" t="s">
        <v>17</v>
      </c>
      <c r="C2462" s="53" t="s">
        <v>26</v>
      </c>
      <c r="D2462" s="54">
        <v>122167.91</v>
      </c>
      <c r="E2462" s="54" t="str">
        <f t="shared" si="1"/>
        <v>₹1,466,014.92</v>
      </c>
      <c r="F2462" s="55" t="str">
        <f t="shared" si="2"/>
        <v>30.0%</v>
      </c>
      <c r="G2462" s="54" t="str">
        <f t="shared" si="3"/>
        <v>₹439,804.48</v>
      </c>
      <c r="H2462" s="54" t="str">
        <f t="shared" si="4"/>
        <v>₹36,650.37</v>
      </c>
      <c r="I2462" s="54" t="str">
        <f>106475.46-H2462</f>
        <v>₹69,825.09</v>
      </c>
    </row>
    <row r="2463" ht="15.75" customHeight="1">
      <c r="A2463" s="50" t="s">
        <v>2535</v>
      </c>
      <c r="B2463" s="50" t="s">
        <v>51</v>
      </c>
      <c r="C2463" s="50" t="s">
        <v>30</v>
      </c>
      <c r="D2463" s="51">
        <v>122191.09</v>
      </c>
      <c r="E2463" s="51" t="str">
        <f t="shared" si="1"/>
        <v>₹1,466,293.08</v>
      </c>
      <c r="F2463" s="52" t="str">
        <f t="shared" si="2"/>
        <v>30.0%</v>
      </c>
      <c r="G2463" s="51" t="str">
        <f t="shared" si="3"/>
        <v>₹439,887.92</v>
      </c>
      <c r="H2463" s="51" t="str">
        <f t="shared" si="4"/>
        <v>₹36,657.33</v>
      </c>
      <c r="I2463" s="51" t="str">
        <f>106495.25-H2463</f>
        <v>₹69,837.92</v>
      </c>
    </row>
    <row r="2464" ht="15.75" customHeight="1">
      <c r="A2464" s="53" t="s">
        <v>2536</v>
      </c>
      <c r="B2464" s="53" t="s">
        <v>36</v>
      </c>
      <c r="C2464" s="53" t="s">
        <v>54</v>
      </c>
      <c r="D2464" s="54">
        <v>122214.26</v>
      </c>
      <c r="E2464" s="54" t="str">
        <f t="shared" si="1"/>
        <v>₹1,466,571.12</v>
      </c>
      <c r="F2464" s="55" t="str">
        <f t="shared" si="2"/>
        <v>30.0%</v>
      </c>
      <c r="G2464" s="54" t="str">
        <f t="shared" si="3"/>
        <v>₹439,971.34</v>
      </c>
      <c r="H2464" s="54" t="str">
        <f t="shared" si="4"/>
        <v>₹36,664.28</v>
      </c>
      <c r="I2464" s="54" t="str">
        <f>106515.02-H2464</f>
        <v>₹69,850.74</v>
      </c>
    </row>
    <row r="2465" ht="15.75" customHeight="1">
      <c r="A2465" s="50" t="s">
        <v>2537</v>
      </c>
      <c r="B2465" s="50" t="s">
        <v>36</v>
      </c>
      <c r="C2465" s="50" t="s">
        <v>26</v>
      </c>
      <c r="D2465" s="51">
        <v>122237.44</v>
      </c>
      <c r="E2465" s="51" t="str">
        <f t="shared" si="1"/>
        <v>₹1,466,849.28</v>
      </c>
      <c r="F2465" s="52" t="str">
        <f t="shared" si="2"/>
        <v>30.0%</v>
      </c>
      <c r="G2465" s="51" t="str">
        <f t="shared" si="3"/>
        <v>₹440,054.78</v>
      </c>
      <c r="H2465" s="51" t="str">
        <f t="shared" si="4"/>
        <v>₹36,671.23</v>
      </c>
      <c r="I2465" s="51" t="str">
        <f>106534.8-H2465</f>
        <v>₹69,863.57</v>
      </c>
    </row>
    <row r="2466" ht="15.75" customHeight="1">
      <c r="A2466" s="53" t="s">
        <v>2538</v>
      </c>
      <c r="B2466" s="53" t="s">
        <v>17</v>
      </c>
      <c r="C2466" s="53" t="s">
        <v>37</v>
      </c>
      <c r="D2466" s="54">
        <v>122260.62</v>
      </c>
      <c r="E2466" s="54" t="str">
        <f t="shared" si="1"/>
        <v>₹1,467,127.44</v>
      </c>
      <c r="F2466" s="55" t="str">
        <f t="shared" si="2"/>
        <v>30.0%</v>
      </c>
      <c r="G2466" s="54" t="str">
        <f t="shared" si="3"/>
        <v>₹440,138.23</v>
      </c>
      <c r="H2466" s="54" t="str">
        <f t="shared" si="4"/>
        <v>₹36,678.19</v>
      </c>
      <c r="I2466" s="54" t="str">
        <f>106554.58-H2466</f>
        <v>₹69,876.39</v>
      </c>
    </row>
    <row r="2467" ht="15.75" customHeight="1">
      <c r="A2467" s="50" t="s">
        <v>2539</v>
      </c>
      <c r="B2467" s="50" t="s">
        <v>13</v>
      </c>
      <c r="C2467" s="50" t="s">
        <v>26</v>
      </c>
      <c r="D2467" s="51">
        <v>122283.8</v>
      </c>
      <c r="E2467" s="51" t="str">
        <f t="shared" si="1"/>
        <v>₹1,467,405.60</v>
      </c>
      <c r="F2467" s="52" t="str">
        <f t="shared" si="2"/>
        <v>30.0%</v>
      </c>
      <c r="G2467" s="51" t="str">
        <f t="shared" si="3"/>
        <v>₹440,221.68</v>
      </c>
      <c r="H2467" s="51" t="str">
        <f t="shared" si="4"/>
        <v>₹36,685.14</v>
      </c>
      <c r="I2467" s="51" t="str">
        <f>106574.36-H2467</f>
        <v>₹69,889.22</v>
      </c>
    </row>
    <row r="2468" ht="15.75" customHeight="1">
      <c r="A2468" s="53" t="s">
        <v>2540</v>
      </c>
      <c r="B2468" s="53" t="s">
        <v>36</v>
      </c>
      <c r="C2468" s="53" t="s">
        <v>14</v>
      </c>
      <c r="D2468" s="54">
        <v>122306.97</v>
      </c>
      <c r="E2468" s="54" t="str">
        <f t="shared" si="1"/>
        <v>₹1,467,683.64</v>
      </c>
      <c r="F2468" s="55" t="str">
        <f t="shared" si="2"/>
        <v>30.0%</v>
      </c>
      <c r="G2468" s="54" t="str">
        <f t="shared" si="3"/>
        <v>₹440,305.09</v>
      </c>
      <c r="H2468" s="54" t="str">
        <f t="shared" si="4"/>
        <v>₹36,692.09</v>
      </c>
      <c r="I2468" s="54" t="str">
        <f>106594.14-H2468</f>
        <v>₹69,902.05</v>
      </c>
    </row>
    <row r="2469" ht="15.75" customHeight="1">
      <c r="A2469" s="50" t="s">
        <v>2541</v>
      </c>
      <c r="B2469" s="50" t="s">
        <v>29</v>
      </c>
      <c r="C2469" s="50" t="s">
        <v>14</v>
      </c>
      <c r="D2469" s="51">
        <v>122330.15</v>
      </c>
      <c r="E2469" s="51" t="str">
        <f t="shared" si="1"/>
        <v>₹1,467,961.80</v>
      </c>
      <c r="F2469" s="52" t="str">
        <f t="shared" si="2"/>
        <v>30.0%</v>
      </c>
      <c r="G2469" s="51" t="str">
        <f t="shared" si="3"/>
        <v>₹440,388.54</v>
      </c>
      <c r="H2469" s="51" t="str">
        <f t="shared" si="4"/>
        <v>₹36,699.05</v>
      </c>
      <c r="I2469" s="51" t="str">
        <f>106613.92-H2469</f>
        <v>₹69,914.88</v>
      </c>
    </row>
    <row r="2470" ht="15.75" customHeight="1">
      <c r="A2470" s="53" t="s">
        <v>2542</v>
      </c>
      <c r="B2470" s="53" t="s">
        <v>13</v>
      </c>
      <c r="C2470" s="53" t="s">
        <v>14</v>
      </c>
      <c r="D2470" s="54">
        <v>122353.33</v>
      </c>
      <c r="E2470" s="54" t="str">
        <f t="shared" si="1"/>
        <v>₹1,468,239.96</v>
      </c>
      <c r="F2470" s="55" t="str">
        <f t="shared" si="2"/>
        <v>30.0%</v>
      </c>
      <c r="G2470" s="54" t="str">
        <f t="shared" si="3"/>
        <v>₹440,471.99</v>
      </c>
      <c r="H2470" s="54" t="str">
        <f t="shared" si="4"/>
        <v>₹36,706.00</v>
      </c>
      <c r="I2470" s="54" t="str">
        <f>106633.7-H2470</f>
        <v>₹69,927.70</v>
      </c>
    </row>
    <row r="2471" ht="15.75" customHeight="1">
      <c r="A2471" s="50" t="s">
        <v>2543</v>
      </c>
      <c r="B2471" s="50" t="s">
        <v>53</v>
      </c>
      <c r="C2471" s="50" t="s">
        <v>14</v>
      </c>
      <c r="D2471" s="51">
        <v>122376.51</v>
      </c>
      <c r="E2471" s="51" t="str">
        <f t="shared" si="1"/>
        <v>₹1,468,518.12</v>
      </c>
      <c r="F2471" s="52" t="str">
        <f t="shared" si="2"/>
        <v>30.0%</v>
      </c>
      <c r="G2471" s="51" t="str">
        <f t="shared" si="3"/>
        <v>₹440,555.44</v>
      </c>
      <c r="H2471" s="51" t="str">
        <f t="shared" si="4"/>
        <v>₹36,712.95</v>
      </c>
      <c r="I2471" s="51" t="str">
        <f>106653.48-H2471</f>
        <v>₹69,940.53</v>
      </c>
    </row>
    <row r="2472" ht="15.75" customHeight="1">
      <c r="A2472" s="53" t="s">
        <v>2544</v>
      </c>
      <c r="B2472" s="53" t="s">
        <v>13</v>
      </c>
      <c r="C2472" s="53" t="s">
        <v>37</v>
      </c>
      <c r="D2472" s="54">
        <v>122399.68</v>
      </c>
      <c r="E2472" s="54" t="str">
        <f t="shared" si="1"/>
        <v>₹1,468,796.16</v>
      </c>
      <c r="F2472" s="55" t="str">
        <f t="shared" si="2"/>
        <v>30.0%</v>
      </c>
      <c r="G2472" s="54" t="str">
        <f t="shared" si="3"/>
        <v>₹440,638.85</v>
      </c>
      <c r="H2472" s="54" t="str">
        <f t="shared" si="4"/>
        <v>₹36,719.90</v>
      </c>
      <c r="I2472" s="54" t="str">
        <f>106673.26-H2472</f>
        <v>₹69,953.36</v>
      </c>
    </row>
    <row r="2473" ht="15.75" customHeight="1">
      <c r="A2473" s="50" t="s">
        <v>2545</v>
      </c>
      <c r="B2473" s="50" t="s">
        <v>29</v>
      </c>
      <c r="C2473" s="50" t="s">
        <v>54</v>
      </c>
      <c r="D2473" s="51">
        <v>122422.86</v>
      </c>
      <c r="E2473" s="51" t="str">
        <f t="shared" si="1"/>
        <v>₹1,469,074.32</v>
      </c>
      <c r="F2473" s="52" t="str">
        <f t="shared" si="2"/>
        <v>30.0%</v>
      </c>
      <c r="G2473" s="51" t="str">
        <f t="shared" si="3"/>
        <v>₹440,722.30</v>
      </c>
      <c r="H2473" s="51" t="str">
        <f t="shared" si="4"/>
        <v>₹36,726.86</v>
      </c>
      <c r="I2473" s="51" t="str">
        <f>106693.04-H2473</f>
        <v>₹69,966.18</v>
      </c>
    </row>
    <row r="2474" ht="15.75" customHeight="1">
      <c r="A2474" s="53" t="s">
        <v>2546</v>
      </c>
      <c r="B2474" s="53" t="s">
        <v>29</v>
      </c>
      <c r="C2474" s="53" t="s">
        <v>37</v>
      </c>
      <c r="D2474" s="54">
        <v>122446.04</v>
      </c>
      <c r="E2474" s="54" t="str">
        <f t="shared" si="1"/>
        <v>₹1,469,352.48</v>
      </c>
      <c r="F2474" s="55" t="str">
        <f t="shared" si="2"/>
        <v>30.0%</v>
      </c>
      <c r="G2474" s="54" t="str">
        <f t="shared" si="3"/>
        <v>₹440,805.74</v>
      </c>
      <c r="H2474" s="54" t="str">
        <f t="shared" si="4"/>
        <v>₹36,733.81</v>
      </c>
      <c r="I2474" s="54" t="str">
        <f>106712.82-H2474</f>
        <v>₹69,979.01</v>
      </c>
    </row>
    <row r="2475" ht="15.75" customHeight="1">
      <c r="A2475" s="50" t="s">
        <v>2547</v>
      </c>
      <c r="B2475" s="50" t="s">
        <v>51</v>
      </c>
      <c r="C2475" s="50" t="s">
        <v>30</v>
      </c>
      <c r="D2475" s="51">
        <v>122469.22</v>
      </c>
      <c r="E2475" s="51" t="str">
        <f t="shared" si="1"/>
        <v>₹1,469,630.64</v>
      </c>
      <c r="F2475" s="52" t="str">
        <f t="shared" si="2"/>
        <v>30.0%</v>
      </c>
      <c r="G2475" s="51" t="str">
        <f t="shared" si="3"/>
        <v>₹440,889.19</v>
      </c>
      <c r="H2475" s="51" t="str">
        <f t="shared" si="4"/>
        <v>₹36,740.77</v>
      </c>
      <c r="I2475" s="51" t="str">
        <f>106732.6-H2475</f>
        <v>₹69,991.83</v>
      </c>
    </row>
    <row r="2476" ht="15.75" customHeight="1">
      <c r="A2476" s="53" t="s">
        <v>2548</v>
      </c>
      <c r="B2476" s="53" t="s">
        <v>53</v>
      </c>
      <c r="C2476" s="53" t="s">
        <v>37</v>
      </c>
      <c r="D2476" s="54">
        <v>122492.4</v>
      </c>
      <c r="E2476" s="54" t="str">
        <f t="shared" si="1"/>
        <v>₹1,469,908.80</v>
      </c>
      <c r="F2476" s="55" t="str">
        <f t="shared" si="2"/>
        <v>30.0%</v>
      </c>
      <c r="G2476" s="54" t="str">
        <f t="shared" si="3"/>
        <v>₹440,972.64</v>
      </c>
      <c r="H2476" s="54" t="str">
        <f t="shared" si="4"/>
        <v>₹36,747.72</v>
      </c>
      <c r="I2476" s="54" t="str">
        <f>106752.39-H2476</f>
        <v>₹70,004.67</v>
      </c>
    </row>
    <row r="2477" ht="15.75" customHeight="1">
      <c r="A2477" s="50" t="s">
        <v>2549</v>
      </c>
      <c r="B2477" s="50" t="s">
        <v>36</v>
      </c>
      <c r="C2477" s="50" t="s">
        <v>30</v>
      </c>
      <c r="D2477" s="51">
        <v>122515.57</v>
      </c>
      <c r="E2477" s="51" t="str">
        <f t="shared" si="1"/>
        <v>₹1,470,186.84</v>
      </c>
      <c r="F2477" s="52" t="str">
        <f t="shared" si="2"/>
        <v>30.0%</v>
      </c>
      <c r="G2477" s="51" t="str">
        <f t="shared" si="3"/>
        <v>₹441,056.05</v>
      </c>
      <c r="H2477" s="51" t="str">
        <f t="shared" si="4"/>
        <v>₹36,754.67</v>
      </c>
      <c r="I2477" s="51" t="str">
        <f>106772.16-H2477</f>
        <v>₹70,017.49</v>
      </c>
    </row>
    <row r="2478" ht="15.75" customHeight="1">
      <c r="A2478" s="53" t="s">
        <v>2550</v>
      </c>
      <c r="B2478" s="53" t="s">
        <v>53</v>
      </c>
      <c r="C2478" s="53" t="s">
        <v>54</v>
      </c>
      <c r="D2478" s="54">
        <v>122538.75</v>
      </c>
      <c r="E2478" s="54" t="str">
        <f t="shared" si="1"/>
        <v>₹1,470,465.00</v>
      </c>
      <c r="F2478" s="55" t="str">
        <f t="shared" si="2"/>
        <v>30.0%</v>
      </c>
      <c r="G2478" s="54" t="str">
        <f t="shared" si="3"/>
        <v>₹441,139.50</v>
      </c>
      <c r="H2478" s="54" t="str">
        <f t="shared" si="4"/>
        <v>₹36,761.63</v>
      </c>
      <c r="I2478" s="54" t="str">
        <f>106791.94-H2478</f>
        <v>₹70,030.32</v>
      </c>
    </row>
    <row r="2479" ht="15.75" customHeight="1">
      <c r="A2479" s="50" t="s">
        <v>2551</v>
      </c>
      <c r="B2479" s="50" t="s">
        <v>53</v>
      </c>
      <c r="C2479" s="50" t="s">
        <v>30</v>
      </c>
      <c r="D2479" s="51">
        <v>122561.93</v>
      </c>
      <c r="E2479" s="51" t="str">
        <f t="shared" si="1"/>
        <v>₹1,470,743.16</v>
      </c>
      <c r="F2479" s="52" t="str">
        <f t="shared" si="2"/>
        <v>30.0%</v>
      </c>
      <c r="G2479" s="51" t="str">
        <f t="shared" si="3"/>
        <v>₹441,222.95</v>
      </c>
      <c r="H2479" s="51" t="str">
        <f t="shared" si="4"/>
        <v>₹36,768.58</v>
      </c>
      <c r="I2479" s="51" t="str">
        <f>106811.72-H2479</f>
        <v>₹70,043.14</v>
      </c>
    </row>
    <row r="2480" ht="15.75" customHeight="1">
      <c r="A2480" s="53" t="s">
        <v>2552</v>
      </c>
      <c r="B2480" s="53" t="s">
        <v>25</v>
      </c>
      <c r="C2480" s="53" t="s">
        <v>18</v>
      </c>
      <c r="D2480" s="54">
        <v>122585.11</v>
      </c>
      <c r="E2480" s="54" t="str">
        <f t="shared" si="1"/>
        <v>₹1,471,021.32</v>
      </c>
      <c r="F2480" s="55" t="str">
        <f t="shared" si="2"/>
        <v>30.0%</v>
      </c>
      <c r="G2480" s="54" t="str">
        <f t="shared" si="3"/>
        <v>₹441,306.40</v>
      </c>
      <c r="H2480" s="54" t="str">
        <f t="shared" si="4"/>
        <v>₹36,775.53</v>
      </c>
      <c r="I2480" s="54" t="str">
        <f>106831.51-H2480</f>
        <v>₹70,055.98</v>
      </c>
    </row>
    <row r="2481" ht="15.75" customHeight="1">
      <c r="A2481" s="50" t="s">
        <v>2553</v>
      </c>
      <c r="B2481" s="50" t="s">
        <v>13</v>
      </c>
      <c r="C2481" s="50" t="s">
        <v>37</v>
      </c>
      <c r="D2481" s="51">
        <v>122631.46</v>
      </c>
      <c r="E2481" s="51" t="str">
        <f t="shared" si="1"/>
        <v>₹1,471,577.52</v>
      </c>
      <c r="F2481" s="52" t="str">
        <f t="shared" si="2"/>
        <v>30.0%</v>
      </c>
      <c r="G2481" s="51" t="str">
        <f t="shared" si="3"/>
        <v>₹441,473.26</v>
      </c>
      <c r="H2481" s="51" t="str">
        <f t="shared" si="4"/>
        <v>₹36,789.44</v>
      </c>
      <c r="I2481" s="51" t="str">
        <f>106871.06-H2481</f>
        <v>₹70,081.62</v>
      </c>
    </row>
    <row r="2482" ht="15.75" customHeight="1">
      <c r="A2482" s="53" t="s">
        <v>2554</v>
      </c>
      <c r="B2482" s="53" t="s">
        <v>51</v>
      </c>
      <c r="C2482" s="53" t="s">
        <v>37</v>
      </c>
      <c r="D2482" s="54">
        <v>122654.64</v>
      </c>
      <c r="E2482" s="54" t="str">
        <f t="shared" si="1"/>
        <v>₹1,471,855.68</v>
      </c>
      <c r="F2482" s="55" t="str">
        <f t="shared" si="2"/>
        <v>30.0%</v>
      </c>
      <c r="G2482" s="54" t="str">
        <f t="shared" si="3"/>
        <v>₹441,556.70</v>
      </c>
      <c r="H2482" s="54" t="str">
        <f t="shared" si="4"/>
        <v>₹36,796.39</v>
      </c>
      <c r="I2482" s="54" t="str">
        <f>106890.84-H2482</f>
        <v>₹70,094.45</v>
      </c>
    </row>
    <row r="2483" ht="15.75" customHeight="1">
      <c r="A2483" s="50" t="s">
        <v>2555</v>
      </c>
      <c r="B2483" s="50" t="s">
        <v>29</v>
      </c>
      <c r="C2483" s="50" t="s">
        <v>26</v>
      </c>
      <c r="D2483" s="51">
        <v>122677.82</v>
      </c>
      <c r="E2483" s="51" t="str">
        <f t="shared" si="1"/>
        <v>₹1,472,133.84</v>
      </c>
      <c r="F2483" s="52" t="str">
        <f t="shared" si="2"/>
        <v>30.0%</v>
      </c>
      <c r="G2483" s="51" t="str">
        <f t="shared" si="3"/>
        <v>₹441,640.15</v>
      </c>
      <c r="H2483" s="51" t="str">
        <f t="shared" si="4"/>
        <v>₹36,803.35</v>
      </c>
      <c r="I2483" s="51" t="str">
        <f>106910.63-H2483</f>
        <v>₹70,107.28</v>
      </c>
    </row>
    <row r="2484" ht="15.75" customHeight="1">
      <c r="A2484" s="53" t="s">
        <v>2556</v>
      </c>
      <c r="B2484" s="53" t="s">
        <v>13</v>
      </c>
      <c r="C2484" s="53" t="s">
        <v>14</v>
      </c>
      <c r="D2484" s="54">
        <v>122700.99</v>
      </c>
      <c r="E2484" s="54" t="str">
        <f t="shared" si="1"/>
        <v>₹1,472,411.88</v>
      </c>
      <c r="F2484" s="55" t="str">
        <f t="shared" si="2"/>
        <v>30.0%</v>
      </c>
      <c r="G2484" s="54" t="str">
        <f t="shared" si="3"/>
        <v>₹441,723.56</v>
      </c>
      <c r="H2484" s="54" t="str">
        <f t="shared" si="4"/>
        <v>₹36,810.30</v>
      </c>
      <c r="I2484" s="54" t="str">
        <f>106930.4-H2484</f>
        <v>₹70,120.10</v>
      </c>
    </row>
    <row r="2485" ht="15.75" customHeight="1">
      <c r="A2485" s="50" t="s">
        <v>2557</v>
      </c>
      <c r="B2485" s="50" t="s">
        <v>25</v>
      </c>
      <c r="C2485" s="50" t="s">
        <v>33</v>
      </c>
      <c r="D2485" s="51">
        <v>122724.17</v>
      </c>
      <c r="E2485" s="51" t="str">
        <f t="shared" si="1"/>
        <v>₹1,472,690.04</v>
      </c>
      <c r="F2485" s="52" t="str">
        <f t="shared" si="2"/>
        <v>30.0%</v>
      </c>
      <c r="G2485" s="51" t="str">
        <f t="shared" si="3"/>
        <v>₹441,807.01</v>
      </c>
      <c r="H2485" s="51" t="str">
        <f t="shared" si="4"/>
        <v>₹36,817.25</v>
      </c>
      <c r="I2485" s="51" t="str">
        <f>106950.18-H2485</f>
        <v>₹70,132.93</v>
      </c>
    </row>
    <row r="2486" ht="15.75" customHeight="1">
      <c r="A2486" s="53" t="s">
        <v>2558</v>
      </c>
      <c r="B2486" s="53" t="s">
        <v>29</v>
      </c>
      <c r="C2486" s="53" t="s">
        <v>26</v>
      </c>
      <c r="D2486" s="54">
        <v>122747.35</v>
      </c>
      <c r="E2486" s="54" t="str">
        <f t="shared" si="1"/>
        <v>₹1,472,968.20</v>
      </c>
      <c r="F2486" s="55" t="str">
        <f t="shared" si="2"/>
        <v>30.0%</v>
      </c>
      <c r="G2486" s="54" t="str">
        <f t="shared" si="3"/>
        <v>₹441,890.46</v>
      </c>
      <c r="H2486" s="54" t="str">
        <f t="shared" si="4"/>
        <v>₹36,824.21</v>
      </c>
      <c r="I2486" s="54" t="str">
        <f>106969.96-H2486</f>
        <v>₹70,145.76</v>
      </c>
    </row>
    <row r="2487" ht="15.75" customHeight="1">
      <c r="A2487" s="50" t="s">
        <v>2559</v>
      </c>
      <c r="B2487" s="50" t="s">
        <v>29</v>
      </c>
      <c r="C2487" s="50" t="s">
        <v>18</v>
      </c>
      <c r="D2487" s="51">
        <v>122770.53</v>
      </c>
      <c r="E2487" s="51" t="str">
        <f t="shared" si="1"/>
        <v>₹1,473,246.36</v>
      </c>
      <c r="F2487" s="52" t="str">
        <f t="shared" si="2"/>
        <v>30.0%</v>
      </c>
      <c r="G2487" s="51" t="str">
        <f t="shared" si="3"/>
        <v>₹441,973.91</v>
      </c>
      <c r="H2487" s="51" t="str">
        <f t="shared" si="4"/>
        <v>₹36,831.16</v>
      </c>
      <c r="I2487" s="51" t="str">
        <f>106989.75-H2487</f>
        <v>₹70,158.59</v>
      </c>
    </row>
    <row r="2488" ht="15.75" customHeight="1">
      <c r="A2488" s="53" t="s">
        <v>2560</v>
      </c>
      <c r="B2488" s="53" t="s">
        <v>29</v>
      </c>
      <c r="C2488" s="53" t="s">
        <v>30</v>
      </c>
      <c r="D2488" s="54">
        <v>122793.71</v>
      </c>
      <c r="E2488" s="54" t="str">
        <f t="shared" si="1"/>
        <v>₹1,473,524.52</v>
      </c>
      <c r="F2488" s="55" t="str">
        <f t="shared" si="2"/>
        <v>30.0%</v>
      </c>
      <c r="G2488" s="54" t="str">
        <f t="shared" si="3"/>
        <v>₹442,057.36</v>
      </c>
      <c r="H2488" s="54" t="str">
        <f t="shared" si="4"/>
        <v>₹36,838.11</v>
      </c>
      <c r="I2488" s="54" t="str">
        <f>107009.53-H2488</f>
        <v>₹70,171.42</v>
      </c>
    </row>
    <row r="2489" ht="15.75" customHeight="1">
      <c r="A2489" s="50" t="s">
        <v>2561</v>
      </c>
      <c r="B2489" s="50" t="s">
        <v>29</v>
      </c>
      <c r="C2489" s="50" t="s">
        <v>30</v>
      </c>
      <c r="D2489" s="51">
        <v>122816.88</v>
      </c>
      <c r="E2489" s="51" t="str">
        <f t="shared" si="1"/>
        <v>₹1,473,802.56</v>
      </c>
      <c r="F2489" s="52" t="str">
        <f t="shared" si="2"/>
        <v>30.0%</v>
      </c>
      <c r="G2489" s="51" t="str">
        <f t="shared" si="3"/>
        <v>₹442,140.77</v>
      </c>
      <c r="H2489" s="51" t="str">
        <f t="shared" si="4"/>
        <v>₹36,845.06</v>
      </c>
      <c r="I2489" s="51" t="str">
        <f>107029.3-H2489</f>
        <v>₹70,184.24</v>
      </c>
    </row>
    <row r="2490" ht="15.75" customHeight="1">
      <c r="A2490" s="53" t="s">
        <v>2562</v>
      </c>
      <c r="B2490" s="53" t="s">
        <v>29</v>
      </c>
      <c r="C2490" s="53" t="s">
        <v>37</v>
      </c>
      <c r="D2490" s="54">
        <v>118511.15</v>
      </c>
      <c r="E2490" s="54" t="str">
        <f t="shared" si="1"/>
        <v>₹1,422,133.80</v>
      </c>
      <c r="F2490" s="55" t="str">
        <f t="shared" si="2"/>
        <v>30.0%</v>
      </c>
      <c r="G2490" s="54" t="str">
        <f t="shared" si="3"/>
        <v>₹426,640.14</v>
      </c>
      <c r="H2490" s="54" t="str">
        <f t="shared" si="4"/>
        <v>₹35,553.35</v>
      </c>
      <c r="I2490" s="54" t="str">
        <f>102720.17-H2490</f>
        <v>₹67,166.83</v>
      </c>
    </row>
    <row r="2491" ht="15.75" customHeight="1">
      <c r="A2491" s="50" t="s">
        <v>2563</v>
      </c>
      <c r="B2491" s="50" t="s">
        <v>36</v>
      </c>
      <c r="C2491" s="50" t="s">
        <v>33</v>
      </c>
      <c r="D2491" s="51">
        <v>122863.24</v>
      </c>
      <c r="E2491" s="51" t="str">
        <f t="shared" si="1"/>
        <v>₹1,474,358.88</v>
      </c>
      <c r="F2491" s="52" t="str">
        <f t="shared" si="2"/>
        <v>30.0%</v>
      </c>
      <c r="G2491" s="51" t="str">
        <f t="shared" si="3"/>
        <v>₹442,307.66</v>
      </c>
      <c r="H2491" s="51" t="str">
        <f t="shared" si="4"/>
        <v>₹36,858.97</v>
      </c>
      <c r="I2491" s="51" t="str">
        <f>107068.87-H2491</f>
        <v>₹70,209.90</v>
      </c>
    </row>
    <row r="2492" ht="15.75" customHeight="1">
      <c r="A2492" s="53" t="s">
        <v>2564</v>
      </c>
      <c r="B2492" s="53" t="s">
        <v>29</v>
      </c>
      <c r="C2492" s="53" t="s">
        <v>18</v>
      </c>
      <c r="D2492" s="54">
        <v>122886.42</v>
      </c>
      <c r="E2492" s="54" t="str">
        <f t="shared" si="1"/>
        <v>₹1,474,637.04</v>
      </c>
      <c r="F2492" s="55" t="str">
        <f t="shared" si="2"/>
        <v>30.0%</v>
      </c>
      <c r="G2492" s="54" t="str">
        <f t="shared" si="3"/>
        <v>₹442,391.11</v>
      </c>
      <c r="H2492" s="54" t="str">
        <f t="shared" si="4"/>
        <v>₹36,865.93</v>
      </c>
      <c r="I2492" s="54" t="str">
        <f>107088.65-H2492</f>
        <v>₹70,222.72</v>
      </c>
    </row>
    <row r="2493" ht="15.75" customHeight="1">
      <c r="A2493" s="50" t="s">
        <v>2565</v>
      </c>
      <c r="B2493" s="50" t="s">
        <v>13</v>
      </c>
      <c r="C2493" s="50" t="s">
        <v>30</v>
      </c>
      <c r="D2493" s="51">
        <v>122909.59</v>
      </c>
      <c r="E2493" s="51" t="str">
        <f t="shared" si="1"/>
        <v>₹1,474,915.08</v>
      </c>
      <c r="F2493" s="52" t="str">
        <f t="shared" si="2"/>
        <v>30.0%</v>
      </c>
      <c r="G2493" s="51" t="str">
        <f t="shared" si="3"/>
        <v>₹442,474.52</v>
      </c>
      <c r="H2493" s="51" t="str">
        <f t="shared" si="4"/>
        <v>₹36,872.88</v>
      </c>
      <c r="I2493" s="51" t="str">
        <f>107108.42-H2493</f>
        <v>₹70,235.54</v>
      </c>
    </row>
    <row r="2494" ht="15.75" customHeight="1">
      <c r="A2494" s="53" t="s">
        <v>2566</v>
      </c>
      <c r="B2494" s="53" t="s">
        <v>53</v>
      </c>
      <c r="C2494" s="53" t="s">
        <v>18</v>
      </c>
      <c r="D2494" s="54">
        <v>122932.77</v>
      </c>
      <c r="E2494" s="54" t="str">
        <f t="shared" si="1"/>
        <v>₹1,475,193.24</v>
      </c>
      <c r="F2494" s="55" t="str">
        <f t="shared" si="2"/>
        <v>30.0%</v>
      </c>
      <c r="G2494" s="54" t="str">
        <f t="shared" si="3"/>
        <v>₹442,557.97</v>
      </c>
      <c r="H2494" s="54" t="str">
        <f t="shared" si="4"/>
        <v>₹36,879.83</v>
      </c>
      <c r="I2494" s="54" t="str">
        <f>107128.2-H2494</f>
        <v>₹70,248.37</v>
      </c>
    </row>
    <row r="2495" ht="15.75" customHeight="1">
      <c r="A2495" s="50" t="s">
        <v>2567</v>
      </c>
      <c r="B2495" s="50" t="s">
        <v>36</v>
      </c>
      <c r="C2495" s="50" t="s">
        <v>18</v>
      </c>
      <c r="D2495" s="51">
        <v>122955.95</v>
      </c>
      <c r="E2495" s="51" t="str">
        <f t="shared" si="1"/>
        <v>₹1,475,471.40</v>
      </c>
      <c r="F2495" s="52" t="str">
        <f t="shared" si="2"/>
        <v>30.0%</v>
      </c>
      <c r="G2495" s="51" t="str">
        <f t="shared" si="3"/>
        <v>₹442,641.42</v>
      </c>
      <c r="H2495" s="51" t="str">
        <f t="shared" si="4"/>
        <v>₹36,886.79</v>
      </c>
      <c r="I2495" s="51" t="str">
        <f>107147.99-H2495</f>
        <v>₹70,261.21</v>
      </c>
    </row>
    <row r="2496" ht="15.75" customHeight="1">
      <c r="A2496" s="53" t="s">
        <v>2568</v>
      </c>
      <c r="B2496" s="53" t="s">
        <v>29</v>
      </c>
      <c r="C2496" s="53" t="s">
        <v>14</v>
      </c>
      <c r="D2496" s="54">
        <v>122979.13</v>
      </c>
      <c r="E2496" s="54" t="str">
        <f t="shared" si="1"/>
        <v>₹1,475,749.56</v>
      </c>
      <c r="F2496" s="55" t="str">
        <f t="shared" si="2"/>
        <v>30.0%</v>
      </c>
      <c r="G2496" s="54" t="str">
        <f t="shared" si="3"/>
        <v>₹442,724.87</v>
      </c>
      <c r="H2496" s="54" t="str">
        <f t="shared" si="4"/>
        <v>₹36,893.74</v>
      </c>
      <c r="I2496" s="54" t="str">
        <f>107167.77-H2496</f>
        <v>₹70,274.03</v>
      </c>
    </row>
    <row r="2497" ht="15.75" customHeight="1">
      <c r="A2497" s="50" t="s">
        <v>2569</v>
      </c>
      <c r="B2497" s="50" t="s">
        <v>51</v>
      </c>
      <c r="C2497" s="50" t="s">
        <v>18</v>
      </c>
      <c r="D2497" s="51">
        <v>123002.3</v>
      </c>
      <c r="E2497" s="51" t="str">
        <f t="shared" si="1"/>
        <v>₹1,476,027.60</v>
      </c>
      <c r="F2497" s="52" t="str">
        <f t="shared" si="2"/>
        <v>30.0%</v>
      </c>
      <c r="G2497" s="51" t="str">
        <f t="shared" si="3"/>
        <v>₹442,808.28</v>
      </c>
      <c r="H2497" s="51" t="str">
        <f t="shared" si="4"/>
        <v>₹36,900.69</v>
      </c>
      <c r="I2497" s="51" t="str">
        <f>107187.54-H2497</f>
        <v>₹70,286.85</v>
      </c>
    </row>
    <row r="2498" ht="15.75" customHeight="1">
      <c r="A2498" s="53" t="s">
        <v>2570</v>
      </c>
      <c r="B2498" s="53" t="s">
        <v>13</v>
      </c>
      <c r="C2498" s="53" t="s">
        <v>54</v>
      </c>
      <c r="D2498" s="54">
        <v>123025.48</v>
      </c>
      <c r="E2498" s="54" t="str">
        <f t="shared" si="1"/>
        <v>₹1,476,305.76</v>
      </c>
      <c r="F2498" s="55" t="str">
        <f t="shared" si="2"/>
        <v>30.0%</v>
      </c>
      <c r="G2498" s="54" t="str">
        <f t="shared" si="3"/>
        <v>₹442,891.73</v>
      </c>
      <c r="H2498" s="54" t="str">
        <f t="shared" si="4"/>
        <v>₹36,907.64</v>
      </c>
      <c r="I2498" s="54" t="str">
        <f>107207.32-H2498</f>
        <v>₹70,299.68</v>
      </c>
    </row>
    <row r="2499" ht="15.75" customHeight="1">
      <c r="A2499" s="50" t="s">
        <v>2571</v>
      </c>
      <c r="B2499" s="50" t="s">
        <v>51</v>
      </c>
      <c r="C2499" s="50" t="s">
        <v>37</v>
      </c>
      <c r="D2499" s="51">
        <v>123048.66</v>
      </c>
      <c r="E2499" s="51" t="str">
        <f t="shared" si="1"/>
        <v>₹1,476,583.92</v>
      </c>
      <c r="F2499" s="52" t="str">
        <f t="shared" si="2"/>
        <v>30.0%</v>
      </c>
      <c r="G2499" s="51" t="str">
        <f t="shared" si="3"/>
        <v>₹442,975.18</v>
      </c>
      <c r="H2499" s="51" t="str">
        <f t="shared" si="4"/>
        <v>₹36,914.60</v>
      </c>
      <c r="I2499" s="51" t="str">
        <f>107227.11-H2499</f>
        <v>₹70,312.51</v>
      </c>
    </row>
    <row r="2500" ht="15.75" customHeight="1">
      <c r="A2500" s="53" t="s">
        <v>2572</v>
      </c>
      <c r="B2500" s="53" t="s">
        <v>53</v>
      </c>
      <c r="C2500" s="53" t="s">
        <v>26</v>
      </c>
      <c r="D2500" s="54">
        <v>123071.84</v>
      </c>
      <c r="E2500" s="54" t="str">
        <f t="shared" si="1"/>
        <v>₹1,476,862.08</v>
      </c>
      <c r="F2500" s="55" t="str">
        <f t="shared" si="2"/>
        <v>30.0%</v>
      </c>
      <c r="G2500" s="54" t="str">
        <f t="shared" si="3"/>
        <v>₹443,058.62</v>
      </c>
      <c r="H2500" s="54" t="str">
        <f t="shared" si="4"/>
        <v>₹36,921.55</v>
      </c>
      <c r="I2500" s="54" t="str">
        <f>107246.89-H2500</f>
        <v>₹70,325.34</v>
      </c>
    </row>
    <row r="2501" ht="15.75" customHeight="1">
      <c r="A2501" s="50" t="s">
        <v>2573</v>
      </c>
      <c r="B2501" s="50" t="s">
        <v>25</v>
      </c>
      <c r="C2501" s="50" t="s">
        <v>18</v>
      </c>
      <c r="D2501" s="51">
        <v>123118.19</v>
      </c>
      <c r="E2501" s="51" t="str">
        <f t="shared" si="1"/>
        <v>₹1,477,418.28</v>
      </c>
      <c r="F2501" s="52" t="str">
        <f t="shared" si="2"/>
        <v>30.0%</v>
      </c>
      <c r="G2501" s="51" t="str">
        <f t="shared" si="3"/>
        <v>₹443,225.48</v>
      </c>
      <c r="H2501" s="51" t="str">
        <f t="shared" si="4"/>
        <v>₹36,935.46</v>
      </c>
      <c r="I2501" s="51" t="str">
        <f>107286.44-H2501</f>
        <v>₹70,350.98</v>
      </c>
    </row>
    <row r="2502" ht="15.75" customHeight="1">
      <c r="A2502" s="53" t="s">
        <v>2574</v>
      </c>
      <c r="B2502" s="53" t="s">
        <v>25</v>
      </c>
      <c r="C2502" s="53" t="s">
        <v>18</v>
      </c>
      <c r="D2502" s="54">
        <v>123141.37</v>
      </c>
      <c r="E2502" s="54" t="str">
        <f t="shared" si="1"/>
        <v>₹1,477,696.44</v>
      </c>
      <c r="F2502" s="55" t="str">
        <f t="shared" si="2"/>
        <v>30.0%</v>
      </c>
      <c r="G2502" s="54" t="str">
        <f t="shared" si="3"/>
        <v>₹443,308.93</v>
      </c>
      <c r="H2502" s="54" t="str">
        <f t="shared" si="4"/>
        <v>₹36,942.41</v>
      </c>
      <c r="I2502" s="54" t="str">
        <f>107306.23-H2502</f>
        <v>₹70,363.82</v>
      </c>
    </row>
    <row r="2503" ht="15.75" customHeight="1">
      <c r="A2503" s="50" t="s">
        <v>2575</v>
      </c>
      <c r="B2503" s="50" t="s">
        <v>51</v>
      </c>
      <c r="C2503" s="50" t="s">
        <v>14</v>
      </c>
      <c r="D2503" s="51">
        <v>123164.55</v>
      </c>
      <c r="E2503" s="51" t="str">
        <f t="shared" si="1"/>
        <v>₹1,477,974.60</v>
      </c>
      <c r="F2503" s="52" t="str">
        <f t="shared" si="2"/>
        <v>30.0%</v>
      </c>
      <c r="G2503" s="51" t="str">
        <f t="shared" si="3"/>
        <v>₹443,392.38</v>
      </c>
      <c r="H2503" s="51" t="str">
        <f t="shared" si="4"/>
        <v>₹36,949.37</v>
      </c>
      <c r="I2503" s="51" t="str">
        <f>107326.01-H2503</f>
        <v>₹70,376.65</v>
      </c>
    </row>
    <row r="2504" ht="15.75" customHeight="1">
      <c r="A2504" s="53" t="s">
        <v>2576</v>
      </c>
      <c r="B2504" s="53" t="s">
        <v>25</v>
      </c>
      <c r="C2504" s="53" t="s">
        <v>18</v>
      </c>
      <c r="D2504" s="54">
        <v>123187.73</v>
      </c>
      <c r="E2504" s="54" t="str">
        <f t="shared" si="1"/>
        <v>₹1,478,252.76</v>
      </c>
      <c r="F2504" s="55" t="str">
        <f t="shared" si="2"/>
        <v>30.0%</v>
      </c>
      <c r="G2504" s="54" t="str">
        <f t="shared" si="3"/>
        <v>₹443,475.83</v>
      </c>
      <c r="H2504" s="54" t="str">
        <f t="shared" si="4"/>
        <v>₹36,956.32</v>
      </c>
      <c r="I2504" s="54" t="str">
        <f>107345.79-H2504</f>
        <v>₹70,389.47</v>
      </c>
    </row>
    <row r="2505" ht="15.75" customHeight="1">
      <c r="A2505" s="50" t="s">
        <v>2577</v>
      </c>
      <c r="B2505" s="50" t="s">
        <v>17</v>
      </c>
      <c r="C2505" s="50" t="s">
        <v>37</v>
      </c>
      <c r="D2505" s="51">
        <v>123210.9</v>
      </c>
      <c r="E2505" s="51" t="str">
        <f t="shared" si="1"/>
        <v>₹1,478,530.80</v>
      </c>
      <c r="F2505" s="52" t="str">
        <f t="shared" si="2"/>
        <v>30.0%</v>
      </c>
      <c r="G2505" s="51" t="str">
        <f t="shared" si="3"/>
        <v>₹443,559.24</v>
      </c>
      <c r="H2505" s="51" t="str">
        <f t="shared" si="4"/>
        <v>₹36,963.27</v>
      </c>
      <c r="I2505" s="51" t="str">
        <f>107365.56-H2505</f>
        <v>₹70,402.29</v>
      </c>
    </row>
    <row r="2506" ht="15.75" customHeight="1">
      <c r="A2506" s="53" t="s">
        <v>2578</v>
      </c>
      <c r="B2506" s="53" t="s">
        <v>13</v>
      </c>
      <c r="C2506" s="53" t="s">
        <v>26</v>
      </c>
      <c r="D2506" s="54">
        <v>123234.08</v>
      </c>
      <c r="E2506" s="54" t="str">
        <f t="shared" si="1"/>
        <v>₹1,478,808.96</v>
      </c>
      <c r="F2506" s="55" t="str">
        <f t="shared" si="2"/>
        <v>30.0%</v>
      </c>
      <c r="G2506" s="54" t="str">
        <f t="shared" si="3"/>
        <v>₹443,642.69</v>
      </c>
      <c r="H2506" s="54" t="str">
        <f t="shared" si="4"/>
        <v>₹36,970.22</v>
      </c>
      <c r="I2506" s="54" t="str">
        <f>107385.35-H2506</f>
        <v>₹70,415.13</v>
      </c>
    </row>
    <row r="2507" ht="15.75" customHeight="1">
      <c r="A2507" s="50" t="s">
        <v>2579</v>
      </c>
      <c r="B2507" s="50" t="s">
        <v>17</v>
      </c>
      <c r="C2507" s="50" t="s">
        <v>30</v>
      </c>
      <c r="D2507" s="51">
        <v>123257.26</v>
      </c>
      <c r="E2507" s="51" t="str">
        <f t="shared" si="1"/>
        <v>₹1,479,087.12</v>
      </c>
      <c r="F2507" s="52" t="str">
        <f t="shared" si="2"/>
        <v>30.0%</v>
      </c>
      <c r="G2507" s="51" t="str">
        <f t="shared" si="3"/>
        <v>₹443,726.14</v>
      </c>
      <c r="H2507" s="51" t="str">
        <f t="shared" si="4"/>
        <v>₹36,977.18</v>
      </c>
      <c r="I2507" s="51" t="str">
        <f>107405.13-H2507</f>
        <v>₹70,427.95</v>
      </c>
    </row>
    <row r="2508" ht="15.75" customHeight="1">
      <c r="A2508" s="53" t="s">
        <v>2580</v>
      </c>
      <c r="B2508" s="53" t="s">
        <v>53</v>
      </c>
      <c r="C2508" s="53" t="s">
        <v>33</v>
      </c>
      <c r="D2508" s="54">
        <v>123280.44</v>
      </c>
      <c r="E2508" s="54" t="str">
        <f t="shared" si="1"/>
        <v>₹1,479,365.28</v>
      </c>
      <c r="F2508" s="55" t="str">
        <f t="shared" si="2"/>
        <v>30.0%</v>
      </c>
      <c r="G2508" s="54" t="str">
        <f t="shared" si="3"/>
        <v>₹443,809.58</v>
      </c>
      <c r="H2508" s="54" t="str">
        <f t="shared" si="4"/>
        <v>₹36,984.13</v>
      </c>
      <c r="I2508" s="54" t="str">
        <f>107424.91-H2508</f>
        <v>₹70,440.78</v>
      </c>
    </row>
    <row r="2509" ht="15.75" customHeight="1">
      <c r="A2509" s="50" t="s">
        <v>2581</v>
      </c>
      <c r="B2509" s="50" t="s">
        <v>13</v>
      </c>
      <c r="C2509" s="50" t="s">
        <v>18</v>
      </c>
      <c r="D2509" s="51">
        <v>123303.61</v>
      </c>
      <c r="E2509" s="51" t="str">
        <f t="shared" si="1"/>
        <v>₹1,479,643.32</v>
      </c>
      <c r="F2509" s="52" t="str">
        <f t="shared" si="2"/>
        <v>30.0%</v>
      </c>
      <c r="G2509" s="51" t="str">
        <f t="shared" si="3"/>
        <v>₹443,893.00</v>
      </c>
      <c r="H2509" s="51" t="str">
        <f t="shared" si="4"/>
        <v>₹36,991.08</v>
      </c>
      <c r="I2509" s="51" t="str">
        <f>108976.23-H2509</f>
        <v>₹71,985.15</v>
      </c>
    </row>
    <row r="2510" ht="15.75" customHeight="1">
      <c r="A2510" s="53" t="s">
        <v>2582</v>
      </c>
      <c r="B2510" s="53" t="s">
        <v>53</v>
      </c>
      <c r="C2510" s="53" t="s">
        <v>54</v>
      </c>
      <c r="D2510" s="54">
        <v>123326.79</v>
      </c>
      <c r="E2510" s="54" t="str">
        <f t="shared" si="1"/>
        <v>₹1,479,921.48</v>
      </c>
      <c r="F2510" s="55" t="str">
        <f t="shared" si="2"/>
        <v>30.0%</v>
      </c>
      <c r="G2510" s="54" t="str">
        <f t="shared" si="3"/>
        <v>₹443,976.44</v>
      </c>
      <c r="H2510" s="54" t="str">
        <f t="shared" si="4"/>
        <v>₹36,998.04</v>
      </c>
      <c r="I2510" s="54" t="str">
        <f>107464.47-H2510</f>
        <v>₹70,466.43</v>
      </c>
    </row>
    <row r="2511" ht="15.75" customHeight="1">
      <c r="A2511" s="50" t="s">
        <v>2583</v>
      </c>
      <c r="B2511" s="50" t="s">
        <v>25</v>
      </c>
      <c r="C2511" s="50" t="s">
        <v>18</v>
      </c>
      <c r="D2511" s="51">
        <v>123349.97</v>
      </c>
      <c r="E2511" s="51" t="str">
        <f t="shared" si="1"/>
        <v>₹1,480,199.64</v>
      </c>
      <c r="F2511" s="52" t="str">
        <f t="shared" si="2"/>
        <v>30.0%</v>
      </c>
      <c r="G2511" s="51" t="str">
        <f t="shared" si="3"/>
        <v>₹444,059.89</v>
      </c>
      <c r="H2511" s="51" t="str">
        <f t="shared" si="4"/>
        <v>₹37,004.99</v>
      </c>
      <c r="I2511" s="51" t="str">
        <f>107484.25-H2511</f>
        <v>₹70,479.26</v>
      </c>
    </row>
    <row r="2512" ht="15.75" customHeight="1">
      <c r="A2512" s="53" t="s">
        <v>2584</v>
      </c>
      <c r="B2512" s="53" t="s">
        <v>36</v>
      </c>
      <c r="C2512" s="53" t="s">
        <v>14</v>
      </c>
      <c r="D2512" s="54">
        <v>123373.15</v>
      </c>
      <c r="E2512" s="54" t="str">
        <f t="shared" si="1"/>
        <v>₹1,480,477.80</v>
      </c>
      <c r="F2512" s="55" t="str">
        <f t="shared" si="2"/>
        <v>30.0%</v>
      </c>
      <c r="G2512" s="54" t="str">
        <f t="shared" si="3"/>
        <v>₹444,143.34</v>
      </c>
      <c r="H2512" s="54" t="str">
        <f t="shared" si="4"/>
        <v>₹37,011.95</v>
      </c>
      <c r="I2512" s="54" t="str">
        <f>107504.03-H2512</f>
        <v>₹70,492.09</v>
      </c>
    </row>
    <row r="2513" ht="15.75" customHeight="1">
      <c r="A2513" s="50" t="s">
        <v>2585</v>
      </c>
      <c r="B2513" s="50" t="s">
        <v>36</v>
      </c>
      <c r="C2513" s="50" t="s">
        <v>30</v>
      </c>
      <c r="D2513" s="51">
        <v>123396.33</v>
      </c>
      <c r="E2513" s="51" t="str">
        <f t="shared" si="1"/>
        <v>₹1,480,755.96</v>
      </c>
      <c r="F2513" s="52" t="str">
        <f t="shared" si="2"/>
        <v>30.0%</v>
      </c>
      <c r="G2513" s="51" t="str">
        <f t="shared" si="3"/>
        <v>₹444,226.79</v>
      </c>
      <c r="H2513" s="51" t="str">
        <f t="shared" si="4"/>
        <v>₹37,018.90</v>
      </c>
      <c r="I2513" s="51" t="str">
        <f>107523.81-H2513</f>
        <v>₹70,504.91</v>
      </c>
    </row>
    <row r="2514" ht="15.75" customHeight="1">
      <c r="A2514" s="53" t="s">
        <v>2586</v>
      </c>
      <c r="B2514" s="53" t="s">
        <v>17</v>
      </c>
      <c r="C2514" s="53" t="s">
        <v>18</v>
      </c>
      <c r="D2514" s="54">
        <v>119083.06</v>
      </c>
      <c r="E2514" s="54" t="str">
        <f t="shared" si="1"/>
        <v>₹1,428,996.72</v>
      </c>
      <c r="F2514" s="55" t="str">
        <f t="shared" si="2"/>
        <v>30.0%</v>
      </c>
      <c r="G2514" s="54" t="str">
        <f t="shared" si="3"/>
        <v>₹428,699.02</v>
      </c>
      <c r="H2514" s="54" t="str">
        <f t="shared" si="4"/>
        <v>₹35,724.92</v>
      </c>
      <c r="I2514" s="54" t="str">
        <f>103207.14-H2514</f>
        <v>₹67,482.22</v>
      </c>
    </row>
    <row r="2515" ht="15.75" customHeight="1">
      <c r="A2515" s="50" t="s">
        <v>2587</v>
      </c>
      <c r="B2515" s="50" t="s">
        <v>29</v>
      </c>
      <c r="C2515" s="50" t="s">
        <v>30</v>
      </c>
      <c r="D2515" s="51">
        <v>123442.68</v>
      </c>
      <c r="E2515" s="51" t="str">
        <f t="shared" si="1"/>
        <v>₹1,481,312.16</v>
      </c>
      <c r="F2515" s="52" t="str">
        <f t="shared" si="2"/>
        <v>30.0%</v>
      </c>
      <c r="G2515" s="51" t="str">
        <f t="shared" si="3"/>
        <v>₹444,393.65</v>
      </c>
      <c r="H2515" s="51" t="str">
        <f t="shared" si="4"/>
        <v>₹37,032.80</v>
      </c>
      <c r="I2515" s="51" t="str">
        <f>107563.37-H2515</f>
        <v>₹70,530.57</v>
      </c>
    </row>
    <row r="2516" ht="15.75" customHeight="1">
      <c r="A2516" s="53" t="s">
        <v>2588</v>
      </c>
      <c r="B2516" s="53" t="s">
        <v>29</v>
      </c>
      <c r="C2516" s="53" t="s">
        <v>14</v>
      </c>
      <c r="D2516" s="54">
        <v>123465.86</v>
      </c>
      <c r="E2516" s="54" t="str">
        <f t="shared" si="1"/>
        <v>₹1,481,590.32</v>
      </c>
      <c r="F2516" s="55" t="str">
        <f t="shared" si="2"/>
        <v>30.0%</v>
      </c>
      <c r="G2516" s="54" t="str">
        <f t="shared" si="3"/>
        <v>₹444,477.10</v>
      </c>
      <c r="H2516" s="54" t="str">
        <f t="shared" si="4"/>
        <v>₹37,039.76</v>
      </c>
      <c r="I2516" s="54" t="str">
        <f>107583.15-H2516</f>
        <v>₹70,543.39</v>
      </c>
    </row>
    <row r="2517" ht="15.75" customHeight="1">
      <c r="A2517" s="50" t="s">
        <v>2589</v>
      </c>
      <c r="B2517" s="50" t="s">
        <v>25</v>
      </c>
      <c r="C2517" s="50" t="s">
        <v>30</v>
      </c>
      <c r="D2517" s="51">
        <v>123489.04</v>
      </c>
      <c r="E2517" s="51" t="str">
        <f t="shared" si="1"/>
        <v>₹1,481,868.48</v>
      </c>
      <c r="F2517" s="52" t="str">
        <f t="shared" si="2"/>
        <v>30.0%</v>
      </c>
      <c r="G2517" s="51" t="str">
        <f t="shared" si="3"/>
        <v>₹444,560.54</v>
      </c>
      <c r="H2517" s="51" t="str">
        <f t="shared" si="4"/>
        <v>₹37,046.71</v>
      </c>
      <c r="I2517" s="51" t="str">
        <f>107602.93-H2517</f>
        <v>₹70,556.22</v>
      </c>
    </row>
    <row r="2518" ht="15.75" customHeight="1">
      <c r="A2518" s="53" t="s">
        <v>2590</v>
      </c>
      <c r="B2518" s="53" t="s">
        <v>53</v>
      </c>
      <c r="C2518" s="53" t="s">
        <v>33</v>
      </c>
      <c r="D2518" s="54">
        <v>123512.21</v>
      </c>
      <c r="E2518" s="54" t="str">
        <f t="shared" si="1"/>
        <v>₹1,482,146.52</v>
      </c>
      <c r="F2518" s="55" t="str">
        <f t="shared" si="2"/>
        <v>30.0%</v>
      </c>
      <c r="G2518" s="54" t="str">
        <f t="shared" si="3"/>
        <v>₹444,643.96</v>
      </c>
      <c r="H2518" s="54" t="str">
        <f t="shared" si="4"/>
        <v>₹37,053.66</v>
      </c>
      <c r="I2518" s="54" t="str">
        <f>107622.7-H2518</f>
        <v>₹70,569.04</v>
      </c>
    </row>
    <row r="2519" ht="15.75" customHeight="1">
      <c r="A2519" s="50" t="s">
        <v>2591</v>
      </c>
      <c r="B2519" s="50" t="s">
        <v>36</v>
      </c>
      <c r="C2519" s="50" t="s">
        <v>18</v>
      </c>
      <c r="D2519" s="51">
        <v>123535.39</v>
      </c>
      <c r="E2519" s="51" t="str">
        <f t="shared" si="1"/>
        <v>₹1,482,424.68</v>
      </c>
      <c r="F2519" s="52" t="str">
        <f t="shared" si="2"/>
        <v>30.0%</v>
      </c>
      <c r="G2519" s="51" t="str">
        <f t="shared" si="3"/>
        <v>₹444,727.40</v>
      </c>
      <c r="H2519" s="51" t="str">
        <f t="shared" si="4"/>
        <v>₹37,060.62</v>
      </c>
      <c r="I2519" s="51" t="str">
        <f>107642.49-H2519</f>
        <v>₹70,581.87</v>
      </c>
    </row>
    <row r="2520" ht="15.75" customHeight="1">
      <c r="A2520" s="53" t="s">
        <v>2592</v>
      </c>
      <c r="B2520" s="53" t="s">
        <v>25</v>
      </c>
      <c r="C2520" s="53" t="s">
        <v>37</v>
      </c>
      <c r="D2520" s="54">
        <v>123558.57</v>
      </c>
      <c r="E2520" s="54" t="str">
        <f t="shared" si="1"/>
        <v>₹1,482,702.84</v>
      </c>
      <c r="F2520" s="55" t="str">
        <f t="shared" si="2"/>
        <v>30.0%</v>
      </c>
      <c r="G2520" s="54" t="str">
        <f t="shared" si="3"/>
        <v>₹444,810.85</v>
      </c>
      <c r="H2520" s="54" t="str">
        <f t="shared" si="4"/>
        <v>₹37,067.57</v>
      </c>
      <c r="I2520" s="54" t="str">
        <f>107662.27-H2520</f>
        <v>₹70,594.70</v>
      </c>
    </row>
    <row r="2521" ht="15.75" customHeight="1">
      <c r="A2521" s="50" t="s">
        <v>2593</v>
      </c>
      <c r="B2521" s="50" t="s">
        <v>13</v>
      </c>
      <c r="C2521" s="50" t="s">
        <v>54</v>
      </c>
      <c r="D2521" s="51">
        <v>118350.41</v>
      </c>
      <c r="E2521" s="51" t="str">
        <f t="shared" si="1"/>
        <v>₹1,420,204.92</v>
      </c>
      <c r="F2521" s="52" t="str">
        <f t="shared" si="2"/>
        <v>30.0%</v>
      </c>
      <c r="G2521" s="51" t="str">
        <f t="shared" si="3"/>
        <v>₹426,061.48</v>
      </c>
      <c r="H2521" s="51" t="str">
        <f t="shared" si="4"/>
        <v>₹35,505.12</v>
      </c>
      <c r="I2521" s="51" t="str">
        <f>102450.71-H2521</f>
        <v>₹66,945.59</v>
      </c>
    </row>
    <row r="2522" ht="15.75" customHeight="1">
      <c r="A2522" s="53" t="s">
        <v>2594</v>
      </c>
      <c r="B2522" s="53" t="s">
        <v>29</v>
      </c>
      <c r="C2522" s="53" t="s">
        <v>18</v>
      </c>
      <c r="D2522" s="54">
        <v>123604.92</v>
      </c>
      <c r="E2522" s="54" t="str">
        <f t="shared" si="1"/>
        <v>₹1,483,259.04</v>
      </c>
      <c r="F2522" s="55" t="str">
        <f t="shared" si="2"/>
        <v>30.0%</v>
      </c>
      <c r="G2522" s="54" t="str">
        <f t="shared" si="3"/>
        <v>₹444,977.71</v>
      </c>
      <c r="H2522" s="54" t="str">
        <f t="shared" si="4"/>
        <v>₹37,081.48</v>
      </c>
      <c r="I2522" s="54" t="str">
        <f>107701.82-H2522</f>
        <v>₹70,620.34</v>
      </c>
    </row>
    <row r="2523" ht="15.75" customHeight="1">
      <c r="A2523" s="50" t="s">
        <v>2595</v>
      </c>
      <c r="B2523" s="50" t="s">
        <v>29</v>
      </c>
      <c r="C2523" s="50" t="s">
        <v>14</v>
      </c>
      <c r="D2523" s="51">
        <v>123628.1</v>
      </c>
      <c r="E2523" s="51" t="str">
        <f t="shared" si="1"/>
        <v>₹1,483,537.20</v>
      </c>
      <c r="F2523" s="52" t="str">
        <f t="shared" si="2"/>
        <v>30.0%</v>
      </c>
      <c r="G2523" s="51" t="str">
        <f t="shared" si="3"/>
        <v>₹445,061.16</v>
      </c>
      <c r="H2523" s="51" t="str">
        <f t="shared" si="4"/>
        <v>₹37,088.43</v>
      </c>
      <c r="I2523" s="51" t="str">
        <f>107721.61-H2523</f>
        <v>₹70,633.18</v>
      </c>
    </row>
    <row r="2524" ht="15.75" customHeight="1">
      <c r="A2524" s="53" t="s">
        <v>2596</v>
      </c>
      <c r="B2524" s="53" t="s">
        <v>51</v>
      </c>
      <c r="C2524" s="53" t="s">
        <v>33</v>
      </c>
      <c r="D2524" s="54">
        <v>123651.28</v>
      </c>
      <c r="E2524" s="54" t="str">
        <f t="shared" si="1"/>
        <v>₹1,483,815.36</v>
      </c>
      <c r="F2524" s="55" t="str">
        <f t="shared" si="2"/>
        <v>30.0%</v>
      </c>
      <c r="G2524" s="54" t="str">
        <f t="shared" si="3"/>
        <v>₹445,144.61</v>
      </c>
      <c r="H2524" s="54" t="str">
        <f t="shared" si="4"/>
        <v>₹37,095.38</v>
      </c>
      <c r="I2524" s="54" t="str">
        <f>107741.39-H2524</f>
        <v>₹70,646.01</v>
      </c>
    </row>
    <row r="2525" ht="15.75" customHeight="1">
      <c r="A2525" s="50" t="s">
        <v>2597</v>
      </c>
      <c r="B2525" s="50" t="s">
        <v>25</v>
      </c>
      <c r="C2525" s="50" t="s">
        <v>30</v>
      </c>
      <c r="D2525" s="51">
        <v>123697.64</v>
      </c>
      <c r="E2525" s="51" t="str">
        <f t="shared" si="1"/>
        <v>₹1,484,371.68</v>
      </c>
      <c r="F2525" s="52" t="str">
        <f t="shared" si="2"/>
        <v>30.0%</v>
      </c>
      <c r="G2525" s="51" t="str">
        <f t="shared" si="3"/>
        <v>₹445,311.50</v>
      </c>
      <c r="H2525" s="51" t="str">
        <f t="shared" si="4"/>
        <v>₹37,109.29</v>
      </c>
      <c r="I2525" s="51" t="str">
        <f>107780.95-H2525</f>
        <v>₹70,671.66</v>
      </c>
    </row>
    <row r="2526" ht="15.75" customHeight="1">
      <c r="A2526" s="53" t="s">
        <v>2598</v>
      </c>
      <c r="B2526" s="53" t="s">
        <v>17</v>
      </c>
      <c r="C2526" s="53" t="s">
        <v>33</v>
      </c>
      <c r="D2526" s="54">
        <v>123720.81</v>
      </c>
      <c r="E2526" s="54" t="str">
        <f t="shared" si="1"/>
        <v>₹1,484,649.72</v>
      </c>
      <c r="F2526" s="55" t="str">
        <f t="shared" si="2"/>
        <v>30.0%</v>
      </c>
      <c r="G2526" s="54" t="str">
        <f t="shared" si="3"/>
        <v>₹445,394.92</v>
      </c>
      <c r="H2526" s="54" t="str">
        <f t="shared" si="4"/>
        <v>₹37,116.24</v>
      </c>
      <c r="I2526" s="54" t="str">
        <f>107800.73-H2526</f>
        <v>₹70,684.49</v>
      </c>
    </row>
    <row r="2527" ht="15.75" customHeight="1">
      <c r="A2527" s="50" t="s">
        <v>2599</v>
      </c>
      <c r="B2527" s="50" t="s">
        <v>36</v>
      </c>
      <c r="C2527" s="50" t="s">
        <v>30</v>
      </c>
      <c r="D2527" s="51">
        <v>123743.99</v>
      </c>
      <c r="E2527" s="51" t="str">
        <f t="shared" si="1"/>
        <v>₹1,484,927.88</v>
      </c>
      <c r="F2527" s="52" t="str">
        <f t="shared" si="2"/>
        <v>30.0%</v>
      </c>
      <c r="G2527" s="51" t="str">
        <f t="shared" si="3"/>
        <v>₹445,478.36</v>
      </c>
      <c r="H2527" s="51" t="str">
        <f t="shared" si="4"/>
        <v>₹37,123.20</v>
      </c>
      <c r="I2527" s="51" t="str">
        <f>107820.51-H2527</f>
        <v>₹70,697.31</v>
      </c>
    </row>
    <row r="2528" ht="15.75" customHeight="1">
      <c r="A2528" s="53" t="s">
        <v>2600</v>
      </c>
      <c r="B2528" s="53" t="s">
        <v>17</v>
      </c>
      <c r="C2528" s="53" t="s">
        <v>26</v>
      </c>
      <c r="D2528" s="54">
        <v>123767.17</v>
      </c>
      <c r="E2528" s="54" t="str">
        <f t="shared" si="1"/>
        <v>₹1,485,206.04</v>
      </c>
      <c r="F2528" s="55" t="str">
        <f t="shared" si="2"/>
        <v>30.0%</v>
      </c>
      <c r="G2528" s="54" t="str">
        <f t="shared" si="3"/>
        <v>₹445,561.81</v>
      </c>
      <c r="H2528" s="54" t="str">
        <f t="shared" si="4"/>
        <v>₹37,130.15</v>
      </c>
      <c r="I2528" s="54" t="str">
        <f>109031.65-H2528</f>
        <v>₹71,901.50</v>
      </c>
    </row>
    <row r="2529" ht="15.75" customHeight="1">
      <c r="A2529" s="50" t="s">
        <v>2601</v>
      </c>
      <c r="B2529" s="50" t="s">
        <v>17</v>
      </c>
      <c r="C2529" s="50" t="s">
        <v>26</v>
      </c>
      <c r="D2529" s="51">
        <v>123790.35</v>
      </c>
      <c r="E2529" s="51" t="str">
        <f t="shared" si="1"/>
        <v>₹1,485,484.20</v>
      </c>
      <c r="F2529" s="52" t="str">
        <f t="shared" si="2"/>
        <v>30.0%</v>
      </c>
      <c r="G2529" s="51" t="str">
        <f t="shared" si="3"/>
        <v>₹445,645.26</v>
      </c>
      <c r="H2529" s="51" t="str">
        <f t="shared" si="4"/>
        <v>₹37,137.11</v>
      </c>
      <c r="I2529" s="51" t="str">
        <f>107860.07-H2529</f>
        <v>₹70,722.97</v>
      </c>
    </row>
    <row r="2530" ht="15.75" customHeight="1">
      <c r="A2530" s="53" t="s">
        <v>2602</v>
      </c>
      <c r="B2530" s="53" t="s">
        <v>51</v>
      </c>
      <c r="C2530" s="53" t="s">
        <v>26</v>
      </c>
      <c r="D2530" s="54">
        <v>123813.52</v>
      </c>
      <c r="E2530" s="54" t="str">
        <f t="shared" si="1"/>
        <v>₹1,485,762.24</v>
      </c>
      <c r="F2530" s="55" t="str">
        <f t="shared" si="2"/>
        <v>30.0%</v>
      </c>
      <c r="G2530" s="54" t="str">
        <f t="shared" si="3"/>
        <v>₹445,728.67</v>
      </c>
      <c r="H2530" s="54" t="str">
        <f t="shared" si="4"/>
        <v>₹37,144.06</v>
      </c>
      <c r="I2530" s="54" t="str">
        <f>107879.85-H2530</f>
        <v>₹70,735.79</v>
      </c>
    </row>
    <row r="2531" ht="15.75" customHeight="1">
      <c r="A2531" s="50" t="s">
        <v>2603</v>
      </c>
      <c r="B2531" s="50" t="s">
        <v>36</v>
      </c>
      <c r="C2531" s="50" t="s">
        <v>14</v>
      </c>
      <c r="D2531" s="51">
        <v>123836.7</v>
      </c>
      <c r="E2531" s="51" t="str">
        <f t="shared" si="1"/>
        <v>₹1,486,040.40</v>
      </c>
      <c r="F2531" s="52" t="str">
        <f t="shared" si="2"/>
        <v>30.0%</v>
      </c>
      <c r="G2531" s="51" t="str">
        <f t="shared" si="3"/>
        <v>₹445,812.12</v>
      </c>
      <c r="H2531" s="51" t="str">
        <f t="shared" si="4"/>
        <v>₹37,151.01</v>
      </c>
      <c r="I2531" s="51" t="str">
        <f>107899.63-H2531</f>
        <v>₹70,748.62</v>
      </c>
    </row>
    <row r="2532" ht="15.75" customHeight="1">
      <c r="A2532" s="53" t="s">
        <v>2604</v>
      </c>
      <c r="B2532" s="53" t="s">
        <v>53</v>
      </c>
      <c r="C2532" s="53" t="s">
        <v>33</v>
      </c>
      <c r="D2532" s="54">
        <v>123859.88</v>
      </c>
      <c r="E2532" s="54" t="str">
        <f t="shared" si="1"/>
        <v>₹1,486,318.56</v>
      </c>
      <c r="F2532" s="55" t="str">
        <f t="shared" si="2"/>
        <v>30.0%</v>
      </c>
      <c r="G2532" s="54" t="str">
        <f t="shared" si="3"/>
        <v>₹445,895.57</v>
      </c>
      <c r="H2532" s="54" t="str">
        <f t="shared" si="4"/>
        <v>₹37,157.96</v>
      </c>
      <c r="I2532" s="54" t="str">
        <f>107919.41-H2532</f>
        <v>₹70,761.45</v>
      </c>
    </row>
    <row r="2533" ht="15.75" customHeight="1">
      <c r="A2533" s="50" t="s">
        <v>2605</v>
      </c>
      <c r="B2533" s="50" t="s">
        <v>17</v>
      </c>
      <c r="C2533" s="50" t="s">
        <v>14</v>
      </c>
      <c r="D2533" s="51">
        <v>123883.06</v>
      </c>
      <c r="E2533" s="51" t="str">
        <f t="shared" si="1"/>
        <v>₹1,486,596.72</v>
      </c>
      <c r="F2533" s="52" t="str">
        <f t="shared" si="2"/>
        <v>30.0%</v>
      </c>
      <c r="G2533" s="51" t="str">
        <f t="shared" si="3"/>
        <v>₹445,979.02</v>
      </c>
      <c r="H2533" s="51" t="str">
        <f t="shared" si="4"/>
        <v>₹37,164.92</v>
      </c>
      <c r="I2533" s="51" t="str">
        <f>107939.19-H2533</f>
        <v>₹70,774.27</v>
      </c>
    </row>
    <row r="2534" ht="15.75" customHeight="1">
      <c r="A2534" s="53" t="s">
        <v>2606</v>
      </c>
      <c r="B2534" s="53" t="s">
        <v>36</v>
      </c>
      <c r="C2534" s="53" t="s">
        <v>14</v>
      </c>
      <c r="D2534" s="54">
        <v>123906.23</v>
      </c>
      <c r="E2534" s="54" t="str">
        <f t="shared" si="1"/>
        <v>₹1,486,874.76</v>
      </c>
      <c r="F2534" s="55" t="str">
        <f t="shared" si="2"/>
        <v>30.0%</v>
      </c>
      <c r="G2534" s="54" t="str">
        <f t="shared" si="3"/>
        <v>₹446,062.43</v>
      </c>
      <c r="H2534" s="54" t="str">
        <f t="shared" si="4"/>
        <v>₹37,171.87</v>
      </c>
      <c r="I2534" s="54" t="str">
        <f>107958.97-H2534</f>
        <v>₹70,787.10</v>
      </c>
    </row>
    <row r="2535" ht="15.75" customHeight="1">
      <c r="A2535" s="50" t="s">
        <v>2607</v>
      </c>
      <c r="B2535" s="50" t="s">
        <v>17</v>
      </c>
      <c r="C2535" s="50" t="s">
        <v>26</v>
      </c>
      <c r="D2535" s="51">
        <v>123929.41</v>
      </c>
      <c r="E2535" s="51" t="str">
        <f t="shared" si="1"/>
        <v>₹1,487,152.92</v>
      </c>
      <c r="F2535" s="52" t="str">
        <f t="shared" si="2"/>
        <v>30.0%</v>
      </c>
      <c r="G2535" s="51" t="str">
        <f t="shared" si="3"/>
        <v>₹446,145.88</v>
      </c>
      <c r="H2535" s="51" t="str">
        <f t="shared" si="4"/>
        <v>₹37,178.82</v>
      </c>
      <c r="I2535" s="51" t="str">
        <f>107978.75-H2535</f>
        <v>₹70,799.93</v>
      </c>
    </row>
    <row r="2536" ht="15.75" customHeight="1">
      <c r="A2536" s="53" t="s">
        <v>2609</v>
      </c>
      <c r="B2536" s="53" t="s">
        <v>29</v>
      </c>
      <c r="C2536" s="53" t="s">
        <v>54</v>
      </c>
      <c r="D2536" s="54">
        <v>123952.59</v>
      </c>
      <c r="E2536" s="54" t="str">
        <f t="shared" si="1"/>
        <v>₹1,487,431.08</v>
      </c>
      <c r="F2536" s="55" t="str">
        <f t="shared" si="2"/>
        <v>30.0%</v>
      </c>
      <c r="G2536" s="54" t="str">
        <f t="shared" si="3"/>
        <v>₹446,229.32</v>
      </c>
      <c r="H2536" s="54" t="str">
        <f t="shared" si="4"/>
        <v>₹37,185.78</v>
      </c>
      <c r="I2536" s="54" t="str">
        <f>107998.53-H2536</f>
        <v>₹70,812.75</v>
      </c>
    </row>
    <row r="2537" ht="15.75" customHeight="1">
      <c r="A2537" s="50" t="s">
        <v>2610</v>
      </c>
      <c r="B2537" s="50" t="s">
        <v>53</v>
      </c>
      <c r="C2537" s="50" t="s">
        <v>14</v>
      </c>
      <c r="D2537" s="51">
        <v>123975.77</v>
      </c>
      <c r="E2537" s="51" t="str">
        <f t="shared" si="1"/>
        <v>₹1,487,709.24</v>
      </c>
      <c r="F2537" s="52" t="str">
        <f t="shared" si="2"/>
        <v>30.0%</v>
      </c>
      <c r="G2537" s="51" t="str">
        <f t="shared" si="3"/>
        <v>₹446,312.77</v>
      </c>
      <c r="H2537" s="51" t="str">
        <f t="shared" si="4"/>
        <v>₹37,192.73</v>
      </c>
      <c r="I2537" s="51" t="str">
        <f>108018.31-H2537</f>
        <v>₹70,825.58</v>
      </c>
    </row>
    <row r="2538" ht="15.75" customHeight="1">
      <c r="A2538" s="53" t="s">
        <v>2611</v>
      </c>
      <c r="B2538" s="53" t="s">
        <v>25</v>
      </c>
      <c r="C2538" s="53" t="s">
        <v>54</v>
      </c>
      <c r="D2538" s="54">
        <v>123998.95</v>
      </c>
      <c r="E2538" s="54" t="str">
        <f t="shared" si="1"/>
        <v>₹1,487,987.40</v>
      </c>
      <c r="F2538" s="55" t="str">
        <f t="shared" si="2"/>
        <v>30.0%</v>
      </c>
      <c r="G2538" s="54" t="str">
        <f t="shared" si="3"/>
        <v>₹446,396.22</v>
      </c>
      <c r="H2538" s="54" t="str">
        <f t="shared" si="4"/>
        <v>₹37,199.69</v>
      </c>
      <c r="I2538" s="54" t="str">
        <f>108038.1-H2538</f>
        <v>₹70,838.42</v>
      </c>
    </row>
    <row r="2539" ht="15.75" customHeight="1">
      <c r="A2539" s="50" t="s">
        <v>2612</v>
      </c>
      <c r="B2539" s="50" t="s">
        <v>25</v>
      </c>
      <c r="C2539" s="50" t="s">
        <v>14</v>
      </c>
      <c r="D2539" s="51">
        <v>124022.12</v>
      </c>
      <c r="E2539" s="51" t="str">
        <f t="shared" si="1"/>
        <v>₹1,488,265.44</v>
      </c>
      <c r="F2539" s="52" t="str">
        <f t="shared" si="2"/>
        <v>30.0%</v>
      </c>
      <c r="G2539" s="51" t="str">
        <f t="shared" si="3"/>
        <v>₹446,479.63</v>
      </c>
      <c r="H2539" s="51" t="str">
        <f t="shared" si="4"/>
        <v>₹37,206.64</v>
      </c>
      <c r="I2539" s="51" t="str">
        <f>108057.87-H2539</f>
        <v>₹70,851.23</v>
      </c>
    </row>
    <row r="2540" ht="15.75" customHeight="1">
      <c r="A2540" s="53" t="s">
        <v>2613</v>
      </c>
      <c r="B2540" s="53" t="s">
        <v>51</v>
      </c>
      <c r="C2540" s="53" t="s">
        <v>33</v>
      </c>
      <c r="D2540" s="54">
        <v>124045.3</v>
      </c>
      <c r="E2540" s="54" t="str">
        <f t="shared" si="1"/>
        <v>₹1,488,543.60</v>
      </c>
      <c r="F2540" s="55" t="str">
        <f t="shared" si="2"/>
        <v>30.0%</v>
      </c>
      <c r="G2540" s="54" t="str">
        <f t="shared" si="3"/>
        <v>₹446,563.08</v>
      </c>
      <c r="H2540" s="54" t="str">
        <f t="shared" si="4"/>
        <v>₹37,213.59</v>
      </c>
      <c r="I2540" s="54" t="str">
        <f>108077.65-H2540</f>
        <v>₹70,864.06</v>
      </c>
    </row>
    <row r="2541" ht="15.75" customHeight="1">
      <c r="A2541" s="50" t="s">
        <v>2614</v>
      </c>
      <c r="B2541" s="50" t="s">
        <v>17</v>
      </c>
      <c r="C2541" s="50" t="s">
        <v>26</v>
      </c>
      <c r="D2541" s="51">
        <v>124068.48</v>
      </c>
      <c r="E2541" s="51" t="str">
        <f t="shared" si="1"/>
        <v>₹1,488,821.76</v>
      </c>
      <c r="F2541" s="52" t="str">
        <f t="shared" si="2"/>
        <v>30.0%</v>
      </c>
      <c r="G2541" s="51" t="str">
        <f t="shared" si="3"/>
        <v>₹446,646.53</v>
      </c>
      <c r="H2541" s="51" t="str">
        <f t="shared" si="4"/>
        <v>₹37,220.54</v>
      </c>
      <c r="I2541" s="51" t="str">
        <f>108097.43-H2541</f>
        <v>₹70,876.89</v>
      </c>
    </row>
    <row r="2542" ht="15.75" customHeight="1">
      <c r="A2542" s="53" t="s">
        <v>2615</v>
      </c>
      <c r="B2542" s="53" t="s">
        <v>25</v>
      </c>
      <c r="C2542" s="53" t="s">
        <v>14</v>
      </c>
      <c r="D2542" s="54">
        <v>124091.66</v>
      </c>
      <c r="E2542" s="54" t="str">
        <f t="shared" si="1"/>
        <v>₹1,489,099.92</v>
      </c>
      <c r="F2542" s="55" t="str">
        <f t="shared" si="2"/>
        <v>30.0%</v>
      </c>
      <c r="G2542" s="54" t="str">
        <f t="shared" si="3"/>
        <v>₹446,729.98</v>
      </c>
      <c r="H2542" s="54" t="str">
        <f t="shared" si="4"/>
        <v>₹37,227.50</v>
      </c>
      <c r="I2542" s="54" t="str">
        <f>108117.22-H2542</f>
        <v>₹70,889.72</v>
      </c>
    </row>
    <row r="2543" ht="15.75" customHeight="1">
      <c r="A2543" s="50" t="s">
        <v>2616</v>
      </c>
      <c r="B2543" s="50" t="s">
        <v>53</v>
      </c>
      <c r="C2543" s="50" t="s">
        <v>18</v>
      </c>
      <c r="D2543" s="51">
        <v>124114.83</v>
      </c>
      <c r="E2543" s="51" t="str">
        <f t="shared" si="1"/>
        <v>₹1,489,377.96</v>
      </c>
      <c r="F2543" s="52" t="str">
        <f t="shared" si="2"/>
        <v>30.0%</v>
      </c>
      <c r="G2543" s="51" t="str">
        <f t="shared" si="3"/>
        <v>₹446,813.39</v>
      </c>
      <c r="H2543" s="51" t="str">
        <f t="shared" si="4"/>
        <v>₹37,234.45</v>
      </c>
      <c r="I2543" s="51" t="str">
        <f>108136.99-H2543</f>
        <v>₹70,902.54</v>
      </c>
    </row>
    <row r="2544" ht="15.75" customHeight="1">
      <c r="A2544" s="53" t="s">
        <v>2617</v>
      </c>
      <c r="B2544" s="53" t="s">
        <v>36</v>
      </c>
      <c r="C2544" s="53" t="s">
        <v>26</v>
      </c>
      <c r="D2544" s="54">
        <v>124138.01</v>
      </c>
      <c r="E2544" s="54" t="str">
        <f t="shared" si="1"/>
        <v>₹1,489,656.12</v>
      </c>
      <c r="F2544" s="55" t="str">
        <f t="shared" si="2"/>
        <v>30.0%</v>
      </c>
      <c r="G2544" s="54" t="str">
        <f t="shared" si="3"/>
        <v>₹446,896.84</v>
      </c>
      <c r="H2544" s="54" t="str">
        <f t="shared" si="4"/>
        <v>₹37,241.40</v>
      </c>
      <c r="I2544" s="54" t="str">
        <f>109943.65-H2544</f>
        <v>₹72,702.25</v>
      </c>
    </row>
    <row r="2545" ht="15.75" customHeight="1">
      <c r="A2545" s="50" t="s">
        <v>2618</v>
      </c>
      <c r="B2545" s="50" t="s">
        <v>53</v>
      </c>
      <c r="C2545" s="50" t="s">
        <v>54</v>
      </c>
      <c r="D2545" s="51">
        <v>124161.19</v>
      </c>
      <c r="E2545" s="51" t="str">
        <f t="shared" si="1"/>
        <v>₹1,489,934.28</v>
      </c>
      <c r="F2545" s="52" t="str">
        <f t="shared" si="2"/>
        <v>30.0%</v>
      </c>
      <c r="G2545" s="51" t="str">
        <f t="shared" si="3"/>
        <v>₹446,980.28</v>
      </c>
      <c r="H2545" s="51" t="str">
        <f t="shared" si="4"/>
        <v>₹37,248.36</v>
      </c>
      <c r="I2545" s="51" t="str">
        <f>108176.55-H2545</f>
        <v>₹70,928.19</v>
      </c>
    </row>
    <row r="2546" ht="15.75" customHeight="1">
      <c r="A2546" s="53" t="s">
        <v>2619</v>
      </c>
      <c r="B2546" s="53" t="s">
        <v>17</v>
      </c>
      <c r="C2546" s="53" t="s">
        <v>14</v>
      </c>
      <c r="D2546" s="54">
        <v>124184.37</v>
      </c>
      <c r="E2546" s="54" t="str">
        <f t="shared" si="1"/>
        <v>₹1,490,212.44</v>
      </c>
      <c r="F2546" s="55" t="str">
        <f t="shared" si="2"/>
        <v>30.0%</v>
      </c>
      <c r="G2546" s="54" t="str">
        <f t="shared" si="3"/>
        <v>₹447,063.73</v>
      </c>
      <c r="H2546" s="54" t="str">
        <f t="shared" si="4"/>
        <v>₹37,255.31</v>
      </c>
      <c r="I2546" s="54" t="str">
        <f>108196.34-H2546</f>
        <v>₹70,941.03</v>
      </c>
    </row>
    <row r="2547" ht="15.75" customHeight="1">
      <c r="A2547" s="50" t="s">
        <v>2620</v>
      </c>
      <c r="B2547" s="50" t="s">
        <v>36</v>
      </c>
      <c r="C2547" s="50" t="s">
        <v>54</v>
      </c>
      <c r="D2547" s="51">
        <v>124207.54</v>
      </c>
      <c r="E2547" s="51" t="str">
        <f t="shared" si="1"/>
        <v>₹1,490,490.48</v>
      </c>
      <c r="F2547" s="52" t="str">
        <f t="shared" si="2"/>
        <v>30.0%</v>
      </c>
      <c r="G2547" s="51" t="str">
        <f t="shared" si="3"/>
        <v>₹447,147.14</v>
      </c>
      <c r="H2547" s="51" t="str">
        <f t="shared" si="4"/>
        <v>₹37,262.26</v>
      </c>
      <c r="I2547" s="51" t="str">
        <f>108216.11-H2547</f>
        <v>₹70,953.85</v>
      </c>
    </row>
    <row r="2548" ht="15.75" customHeight="1">
      <c r="A2548" s="53" t="s">
        <v>2621</v>
      </c>
      <c r="B2548" s="53" t="s">
        <v>36</v>
      </c>
      <c r="C2548" s="53" t="s">
        <v>26</v>
      </c>
      <c r="D2548" s="54">
        <v>124230.72</v>
      </c>
      <c r="E2548" s="54" t="str">
        <f t="shared" si="1"/>
        <v>₹1,490,768.64</v>
      </c>
      <c r="F2548" s="55" t="str">
        <f t="shared" si="2"/>
        <v>30.0%</v>
      </c>
      <c r="G2548" s="54" t="str">
        <f t="shared" si="3"/>
        <v>₹447,230.59</v>
      </c>
      <c r="H2548" s="54" t="str">
        <f t="shared" si="4"/>
        <v>₹37,269.22</v>
      </c>
      <c r="I2548" s="54" t="str">
        <f>108235.89-H2548</f>
        <v>₹70,966.67</v>
      </c>
    </row>
    <row r="2549" ht="15.75" customHeight="1">
      <c r="A2549" s="50" t="s">
        <v>2622</v>
      </c>
      <c r="B2549" s="50" t="s">
        <v>51</v>
      </c>
      <c r="C2549" s="50" t="s">
        <v>30</v>
      </c>
      <c r="D2549" s="51">
        <v>124253.9</v>
      </c>
      <c r="E2549" s="51" t="str">
        <f t="shared" si="1"/>
        <v>₹1,491,046.80</v>
      </c>
      <c r="F2549" s="52" t="str">
        <f t="shared" si="2"/>
        <v>30.0%</v>
      </c>
      <c r="G2549" s="51" t="str">
        <f t="shared" si="3"/>
        <v>₹447,314.04</v>
      </c>
      <c r="H2549" s="51" t="str">
        <f t="shared" si="4"/>
        <v>₹37,276.17</v>
      </c>
      <c r="I2549" s="51" t="str">
        <f>108255.67-H2549</f>
        <v>₹70,979.50</v>
      </c>
    </row>
    <row r="2550" ht="15.75" customHeight="1">
      <c r="A2550" s="53" t="s">
        <v>2623</v>
      </c>
      <c r="B2550" s="53" t="s">
        <v>17</v>
      </c>
      <c r="C2550" s="53" t="s">
        <v>26</v>
      </c>
      <c r="D2550" s="54">
        <v>124277.08</v>
      </c>
      <c r="E2550" s="54" t="str">
        <f t="shared" si="1"/>
        <v>₹1,491,324.96</v>
      </c>
      <c r="F2550" s="55" t="str">
        <f t="shared" si="2"/>
        <v>30.0%</v>
      </c>
      <c r="G2550" s="54" t="str">
        <f t="shared" si="3"/>
        <v>₹447,397.49</v>
      </c>
      <c r="H2550" s="54" t="str">
        <f t="shared" si="4"/>
        <v>₹37,283.12</v>
      </c>
      <c r="I2550" s="54" t="str">
        <f>108275.46-H2550</f>
        <v>₹70,992.34</v>
      </c>
    </row>
    <row r="2551" ht="15.75" customHeight="1">
      <c r="A2551" s="50" t="s">
        <v>2624</v>
      </c>
      <c r="B2551" s="50" t="s">
        <v>53</v>
      </c>
      <c r="C2551" s="50" t="s">
        <v>30</v>
      </c>
      <c r="D2551" s="51">
        <v>124300.26</v>
      </c>
      <c r="E2551" s="51" t="str">
        <f t="shared" si="1"/>
        <v>₹1,491,603.12</v>
      </c>
      <c r="F2551" s="52" t="str">
        <f t="shared" si="2"/>
        <v>30.0%</v>
      </c>
      <c r="G2551" s="51" t="str">
        <f t="shared" si="3"/>
        <v>₹447,480.94</v>
      </c>
      <c r="H2551" s="51" t="str">
        <f t="shared" si="4"/>
        <v>₹37,290.08</v>
      </c>
      <c r="I2551" s="51" t="str">
        <f>108295.24-H2551</f>
        <v>₹71,005.16</v>
      </c>
    </row>
    <row r="2552" ht="15.75" customHeight="1">
      <c r="A2552" s="53" t="s">
        <v>2625</v>
      </c>
      <c r="B2552" s="53" t="s">
        <v>36</v>
      </c>
      <c r="C2552" s="53" t="s">
        <v>54</v>
      </c>
      <c r="D2552" s="54">
        <v>124323.43</v>
      </c>
      <c r="E2552" s="54" t="str">
        <f t="shared" si="1"/>
        <v>₹1,491,881.16</v>
      </c>
      <c r="F2552" s="55" t="str">
        <f t="shared" si="2"/>
        <v>30.0%</v>
      </c>
      <c r="G2552" s="54" t="str">
        <f t="shared" si="3"/>
        <v>₹447,564.35</v>
      </c>
      <c r="H2552" s="54" t="str">
        <f t="shared" si="4"/>
        <v>₹37,297.03</v>
      </c>
      <c r="I2552" s="54" t="str">
        <f>108315.01-H2552</f>
        <v>₹71,017.98</v>
      </c>
    </row>
    <row r="2553" ht="15.75" customHeight="1">
      <c r="A2553" s="50" t="s">
        <v>2626</v>
      </c>
      <c r="B2553" s="50" t="s">
        <v>29</v>
      </c>
      <c r="C2553" s="50" t="s">
        <v>33</v>
      </c>
      <c r="D2553" s="51">
        <v>124346.61</v>
      </c>
      <c r="E2553" s="51" t="str">
        <f t="shared" si="1"/>
        <v>₹1,492,159.32</v>
      </c>
      <c r="F2553" s="52" t="str">
        <f t="shared" si="2"/>
        <v>30.0%</v>
      </c>
      <c r="G2553" s="51" t="str">
        <f t="shared" si="3"/>
        <v>₹447,647.80</v>
      </c>
      <c r="H2553" s="51" t="str">
        <f t="shared" si="4"/>
        <v>₹37,303.98</v>
      </c>
      <c r="I2553" s="51" t="str">
        <f>108334.79-H2553</f>
        <v>₹71,030.81</v>
      </c>
    </row>
    <row r="2554" ht="15.75" customHeight="1">
      <c r="A2554" s="53" t="s">
        <v>2627</v>
      </c>
      <c r="B2554" s="53" t="s">
        <v>13</v>
      </c>
      <c r="C2554" s="53" t="s">
        <v>26</v>
      </c>
      <c r="D2554" s="54">
        <v>124369.79</v>
      </c>
      <c r="E2554" s="54" t="str">
        <f t="shared" si="1"/>
        <v>₹1,492,437.48</v>
      </c>
      <c r="F2554" s="55" t="str">
        <f t="shared" si="2"/>
        <v>30.0%</v>
      </c>
      <c r="G2554" s="54" t="str">
        <f t="shared" si="3"/>
        <v>₹447,731.24</v>
      </c>
      <c r="H2554" s="54" t="str">
        <f t="shared" si="4"/>
        <v>₹37,310.94</v>
      </c>
      <c r="I2554" s="54" t="str">
        <f>108354.58-H2554</f>
        <v>₹71,043.64</v>
      </c>
    </row>
    <row r="2555" ht="15.75" customHeight="1">
      <c r="A2555" s="50" t="s">
        <v>2628</v>
      </c>
      <c r="B2555" s="50" t="s">
        <v>17</v>
      </c>
      <c r="C2555" s="50" t="s">
        <v>14</v>
      </c>
      <c r="D2555" s="51">
        <v>124392.97</v>
      </c>
      <c r="E2555" s="51" t="str">
        <f t="shared" si="1"/>
        <v>₹1,492,715.64</v>
      </c>
      <c r="F2555" s="52" t="str">
        <f t="shared" si="2"/>
        <v>30.0%</v>
      </c>
      <c r="G2555" s="51" t="str">
        <f t="shared" si="3"/>
        <v>₹447,814.69</v>
      </c>
      <c r="H2555" s="51" t="str">
        <f t="shared" si="4"/>
        <v>₹37,317.89</v>
      </c>
      <c r="I2555" s="51" t="str">
        <f>108374.36-H2555</f>
        <v>₹71,056.47</v>
      </c>
    </row>
    <row r="2556" ht="15.75" customHeight="1">
      <c r="A2556" s="53" t="s">
        <v>2629</v>
      </c>
      <c r="B2556" s="53" t="s">
        <v>13</v>
      </c>
      <c r="C2556" s="53" t="s">
        <v>33</v>
      </c>
      <c r="D2556" s="54">
        <v>124416.14</v>
      </c>
      <c r="E2556" s="54" t="str">
        <f t="shared" si="1"/>
        <v>₹1,492,993.68</v>
      </c>
      <c r="F2556" s="55" t="str">
        <f t="shared" si="2"/>
        <v>30.0%</v>
      </c>
      <c r="G2556" s="54" t="str">
        <f t="shared" si="3"/>
        <v>₹447,898.10</v>
      </c>
      <c r="H2556" s="54" t="str">
        <f t="shared" si="4"/>
        <v>₹37,324.84</v>
      </c>
      <c r="I2556" s="54" t="str">
        <f>108394.13-H2556</f>
        <v>₹71,069.29</v>
      </c>
    </row>
    <row r="2557" ht="15.75" customHeight="1">
      <c r="A2557" s="50" t="s">
        <v>2630</v>
      </c>
      <c r="B2557" s="50" t="s">
        <v>53</v>
      </c>
      <c r="C2557" s="50" t="s">
        <v>54</v>
      </c>
      <c r="D2557" s="51">
        <v>124439.32</v>
      </c>
      <c r="E2557" s="51" t="str">
        <f t="shared" si="1"/>
        <v>₹1,493,271.84</v>
      </c>
      <c r="F2557" s="52" t="str">
        <f t="shared" si="2"/>
        <v>30.0%</v>
      </c>
      <c r="G2557" s="51" t="str">
        <f t="shared" si="3"/>
        <v>₹447,981.55</v>
      </c>
      <c r="H2557" s="51" t="str">
        <f t="shared" si="4"/>
        <v>₹37,331.80</v>
      </c>
      <c r="I2557" s="51" t="str">
        <f>108413.91-H2557</f>
        <v>₹71,082.11</v>
      </c>
    </row>
    <row r="2558" ht="15.75" customHeight="1">
      <c r="A2558" s="53" t="s">
        <v>2631</v>
      </c>
      <c r="B2558" s="53" t="s">
        <v>25</v>
      </c>
      <c r="C2558" s="53" t="s">
        <v>26</v>
      </c>
      <c r="D2558" s="54">
        <v>124462.5</v>
      </c>
      <c r="E2558" s="54" t="str">
        <f t="shared" si="1"/>
        <v>₹1,493,550.00</v>
      </c>
      <c r="F2558" s="55" t="str">
        <f t="shared" si="2"/>
        <v>30.0%</v>
      </c>
      <c r="G2558" s="54" t="str">
        <f t="shared" si="3"/>
        <v>₹448,065.00</v>
      </c>
      <c r="H2558" s="54" t="str">
        <f t="shared" si="4"/>
        <v>₹37,338.75</v>
      </c>
      <c r="I2558" s="54" t="str">
        <f>108433.7-H2558</f>
        <v>₹71,094.95</v>
      </c>
    </row>
    <row r="2559" ht="15.75" customHeight="1">
      <c r="A2559" s="50" t="s">
        <v>2632</v>
      </c>
      <c r="B2559" s="50" t="s">
        <v>36</v>
      </c>
      <c r="C2559" s="50" t="s">
        <v>30</v>
      </c>
      <c r="D2559" s="51">
        <v>124485.68</v>
      </c>
      <c r="E2559" s="51" t="str">
        <f t="shared" si="1"/>
        <v>₹1,493,828.16</v>
      </c>
      <c r="F2559" s="52" t="str">
        <f t="shared" si="2"/>
        <v>30.0%</v>
      </c>
      <c r="G2559" s="51" t="str">
        <f t="shared" si="3"/>
        <v>₹448,148.45</v>
      </c>
      <c r="H2559" s="51" t="str">
        <f t="shared" si="4"/>
        <v>₹37,345.70</v>
      </c>
      <c r="I2559" s="51" t="str">
        <f>108453.48-H2559</f>
        <v>₹71,107.78</v>
      </c>
    </row>
    <row r="2560" ht="15.75" customHeight="1">
      <c r="A2560" s="53" t="s">
        <v>2633</v>
      </c>
      <c r="B2560" s="53" t="s">
        <v>29</v>
      </c>
      <c r="C2560" s="53" t="s">
        <v>37</v>
      </c>
      <c r="D2560" s="54">
        <v>124508.85</v>
      </c>
      <c r="E2560" s="54" t="str">
        <f t="shared" si="1"/>
        <v>₹1,494,106.20</v>
      </c>
      <c r="F2560" s="55" t="str">
        <f t="shared" si="2"/>
        <v>30.0%</v>
      </c>
      <c r="G2560" s="54" t="str">
        <f t="shared" si="3"/>
        <v>₹448,231.86</v>
      </c>
      <c r="H2560" s="54" t="str">
        <f t="shared" si="4"/>
        <v>₹37,352.66</v>
      </c>
      <c r="I2560" s="54" t="str">
        <f>108473.25-H2560</f>
        <v>₹71,120.60</v>
      </c>
    </row>
    <row r="2561" ht="15.75" customHeight="1">
      <c r="A2561" s="50" t="s">
        <v>2634</v>
      </c>
      <c r="B2561" s="50" t="s">
        <v>29</v>
      </c>
      <c r="C2561" s="50" t="s">
        <v>18</v>
      </c>
      <c r="D2561" s="51">
        <v>124532.03</v>
      </c>
      <c r="E2561" s="51" t="str">
        <f t="shared" si="1"/>
        <v>₹1,494,384.36</v>
      </c>
      <c r="F2561" s="52" t="str">
        <f t="shared" si="2"/>
        <v>30.0%</v>
      </c>
      <c r="G2561" s="51" t="str">
        <f t="shared" si="3"/>
        <v>₹448,315.31</v>
      </c>
      <c r="H2561" s="51" t="str">
        <f t="shared" si="4"/>
        <v>₹37,359.61</v>
      </c>
      <c r="I2561" s="51" t="str">
        <f>108493.03-H2561</f>
        <v>₹71,133.42</v>
      </c>
    </row>
    <row r="2562" ht="15.75" customHeight="1">
      <c r="A2562" s="53" t="s">
        <v>2635</v>
      </c>
      <c r="B2562" s="53" t="s">
        <v>53</v>
      </c>
      <c r="C2562" s="53" t="s">
        <v>14</v>
      </c>
      <c r="D2562" s="54">
        <v>124555.21</v>
      </c>
      <c r="E2562" s="54" t="str">
        <f t="shared" si="1"/>
        <v>₹1,494,662.52</v>
      </c>
      <c r="F2562" s="55" t="str">
        <f t="shared" si="2"/>
        <v>30.0%</v>
      </c>
      <c r="G2562" s="54" t="str">
        <f t="shared" si="3"/>
        <v>₹448,398.76</v>
      </c>
      <c r="H2562" s="54" t="str">
        <f t="shared" si="4"/>
        <v>₹37,366.56</v>
      </c>
      <c r="I2562" s="54" t="str">
        <f>108512.81-H2562</f>
        <v>₹71,146.25</v>
      </c>
    </row>
    <row r="2563" ht="15.75" customHeight="1">
      <c r="A2563" s="50" t="s">
        <v>2636</v>
      </c>
      <c r="B2563" s="50" t="s">
        <v>36</v>
      </c>
      <c r="C2563" s="50" t="s">
        <v>18</v>
      </c>
      <c r="D2563" s="51">
        <v>124578.39</v>
      </c>
      <c r="E2563" s="51" t="str">
        <f t="shared" si="1"/>
        <v>₹1,494,940.68</v>
      </c>
      <c r="F2563" s="52" t="str">
        <f t="shared" si="2"/>
        <v>30.0%</v>
      </c>
      <c r="G2563" s="51" t="str">
        <f t="shared" si="3"/>
        <v>₹448,482.20</v>
      </c>
      <c r="H2563" s="51" t="str">
        <f t="shared" si="4"/>
        <v>₹37,373.52</v>
      </c>
      <c r="I2563" s="51" t="str">
        <f>108532.6-H2563</f>
        <v>₹71,159.08</v>
      </c>
    </row>
    <row r="2564" ht="15.75" customHeight="1">
      <c r="A2564" s="53" t="s">
        <v>2637</v>
      </c>
      <c r="B2564" s="53" t="s">
        <v>13</v>
      </c>
      <c r="C2564" s="53" t="s">
        <v>30</v>
      </c>
      <c r="D2564" s="54">
        <v>124601.57</v>
      </c>
      <c r="E2564" s="54" t="str">
        <f t="shared" si="1"/>
        <v>₹1,495,218.84</v>
      </c>
      <c r="F2564" s="55" t="str">
        <f t="shared" si="2"/>
        <v>30.0%</v>
      </c>
      <c r="G2564" s="54" t="str">
        <f t="shared" si="3"/>
        <v>₹448,565.65</v>
      </c>
      <c r="H2564" s="54" t="str">
        <f t="shared" si="4"/>
        <v>₹37,380.47</v>
      </c>
      <c r="I2564" s="54" t="str">
        <f>108552.38-H2564</f>
        <v>₹71,171.91</v>
      </c>
    </row>
    <row r="2565" ht="15.75" customHeight="1">
      <c r="A2565" s="50" t="s">
        <v>2638</v>
      </c>
      <c r="B2565" s="50" t="s">
        <v>53</v>
      </c>
      <c r="C2565" s="50" t="s">
        <v>37</v>
      </c>
      <c r="D2565" s="51">
        <v>124624.74</v>
      </c>
      <c r="E2565" s="51" t="str">
        <f t="shared" si="1"/>
        <v>₹1,495,496.88</v>
      </c>
      <c r="F2565" s="52" t="str">
        <f t="shared" si="2"/>
        <v>30.0%</v>
      </c>
      <c r="G2565" s="51" t="str">
        <f t="shared" si="3"/>
        <v>₹448,649.06</v>
      </c>
      <c r="H2565" s="51" t="str">
        <f t="shared" si="4"/>
        <v>₹37,387.42</v>
      </c>
      <c r="I2565" s="51" t="str">
        <f>108572.15-H2565</f>
        <v>₹71,184.73</v>
      </c>
    </row>
    <row r="2566" ht="15.75" customHeight="1">
      <c r="A2566" s="53" t="s">
        <v>2639</v>
      </c>
      <c r="B2566" s="53" t="s">
        <v>29</v>
      </c>
      <c r="C2566" s="53" t="s">
        <v>54</v>
      </c>
      <c r="D2566" s="54">
        <v>124647.92</v>
      </c>
      <c r="E2566" s="54" t="str">
        <f t="shared" si="1"/>
        <v>₹1,495,775.04</v>
      </c>
      <c r="F2566" s="55" t="str">
        <f t="shared" si="2"/>
        <v>30.0%</v>
      </c>
      <c r="G2566" s="54" t="str">
        <f t="shared" si="3"/>
        <v>₹448,732.51</v>
      </c>
      <c r="H2566" s="54" t="str">
        <f t="shared" si="4"/>
        <v>₹37,394.38</v>
      </c>
      <c r="I2566" s="54" t="str">
        <f>108591.93-H2566</f>
        <v>₹71,197.55</v>
      </c>
    </row>
    <row r="2567" ht="15.75" customHeight="1">
      <c r="A2567" s="50" t="s">
        <v>2640</v>
      </c>
      <c r="B2567" s="50" t="s">
        <v>53</v>
      </c>
      <c r="C2567" s="50" t="s">
        <v>26</v>
      </c>
      <c r="D2567" s="51">
        <v>124671.1</v>
      </c>
      <c r="E2567" s="51" t="str">
        <f t="shared" si="1"/>
        <v>₹1,496,053.20</v>
      </c>
      <c r="F2567" s="52" t="str">
        <f t="shared" si="2"/>
        <v>30.0%</v>
      </c>
      <c r="G2567" s="51" t="str">
        <f t="shared" si="3"/>
        <v>₹448,815.96</v>
      </c>
      <c r="H2567" s="51" t="str">
        <f t="shared" si="4"/>
        <v>₹37,401.33</v>
      </c>
      <c r="I2567" s="51" t="str">
        <f>108611.72-H2567</f>
        <v>₹71,210.39</v>
      </c>
    </row>
    <row r="2568" ht="15.75" customHeight="1">
      <c r="A2568" s="53" t="s">
        <v>2641</v>
      </c>
      <c r="B2568" s="53" t="s">
        <v>36</v>
      </c>
      <c r="C2568" s="53" t="s">
        <v>26</v>
      </c>
      <c r="D2568" s="54">
        <v>124694.28</v>
      </c>
      <c r="E2568" s="54" t="str">
        <f t="shared" si="1"/>
        <v>₹1,496,331.36</v>
      </c>
      <c r="F2568" s="55" t="str">
        <f t="shared" si="2"/>
        <v>30.0%</v>
      </c>
      <c r="G2568" s="54" t="str">
        <f t="shared" si="3"/>
        <v>₹448,899.41</v>
      </c>
      <c r="H2568" s="54" t="str">
        <f t="shared" si="4"/>
        <v>₹37,408.28</v>
      </c>
      <c r="I2568" s="54" t="str">
        <f>108631.5-H2568</f>
        <v>₹71,223.22</v>
      </c>
    </row>
    <row r="2569" ht="15.75" customHeight="1">
      <c r="A2569" s="50" t="s">
        <v>2642</v>
      </c>
      <c r="B2569" s="50" t="s">
        <v>17</v>
      </c>
      <c r="C2569" s="50" t="s">
        <v>37</v>
      </c>
      <c r="D2569" s="51">
        <v>124717.45</v>
      </c>
      <c r="E2569" s="51" t="str">
        <f t="shared" si="1"/>
        <v>₹1,496,609.40</v>
      </c>
      <c r="F2569" s="52" t="str">
        <f t="shared" si="2"/>
        <v>30.0%</v>
      </c>
      <c r="G2569" s="51" t="str">
        <f t="shared" si="3"/>
        <v>₹448,982.82</v>
      </c>
      <c r="H2569" s="51" t="str">
        <f t="shared" si="4"/>
        <v>₹37,415.24</v>
      </c>
      <c r="I2569" s="51" t="str">
        <f>108651.27-H2569</f>
        <v>₹71,236.04</v>
      </c>
    </row>
    <row r="2570" ht="15.75" customHeight="1">
      <c r="A2570" s="53" t="s">
        <v>2643</v>
      </c>
      <c r="B2570" s="53" t="s">
        <v>25</v>
      </c>
      <c r="C2570" s="53" t="s">
        <v>14</v>
      </c>
      <c r="D2570" s="54">
        <v>124740.63</v>
      </c>
      <c r="E2570" s="54" t="str">
        <f t="shared" si="1"/>
        <v>₹1,496,887.56</v>
      </c>
      <c r="F2570" s="55" t="str">
        <f t="shared" si="2"/>
        <v>30.0%</v>
      </c>
      <c r="G2570" s="54" t="str">
        <f t="shared" si="3"/>
        <v>₹449,066.27</v>
      </c>
      <c r="H2570" s="54" t="str">
        <f t="shared" si="4"/>
        <v>₹37,422.19</v>
      </c>
      <c r="I2570" s="54" t="str">
        <f>108671.05-H2570</f>
        <v>₹71,248.86</v>
      </c>
    </row>
    <row r="2571" ht="15.75" customHeight="1">
      <c r="A2571" s="50" t="s">
        <v>2644</v>
      </c>
      <c r="B2571" s="50" t="s">
        <v>36</v>
      </c>
      <c r="C2571" s="50" t="s">
        <v>33</v>
      </c>
      <c r="D2571" s="51">
        <v>124763.81</v>
      </c>
      <c r="E2571" s="51" t="str">
        <f t="shared" si="1"/>
        <v>₹1,497,165.72</v>
      </c>
      <c r="F2571" s="52" t="str">
        <f t="shared" si="2"/>
        <v>30.0%</v>
      </c>
      <c r="G2571" s="51" t="str">
        <f t="shared" si="3"/>
        <v>₹449,149.72</v>
      </c>
      <c r="H2571" s="51" t="str">
        <f t="shared" si="4"/>
        <v>₹37,429.14</v>
      </c>
      <c r="I2571" s="51" t="str">
        <f>108690.84-H2571</f>
        <v>₹71,261.70</v>
      </c>
    </row>
    <row r="2572" ht="15.75" customHeight="1">
      <c r="A2572" s="53" t="s">
        <v>2645</v>
      </c>
      <c r="B2572" s="53" t="s">
        <v>25</v>
      </c>
      <c r="C2572" s="53" t="s">
        <v>18</v>
      </c>
      <c r="D2572" s="54">
        <v>124786.99</v>
      </c>
      <c r="E2572" s="54" t="str">
        <f t="shared" si="1"/>
        <v>₹1,497,443.88</v>
      </c>
      <c r="F2572" s="55" t="str">
        <f t="shared" si="2"/>
        <v>30.0%</v>
      </c>
      <c r="G2572" s="54" t="str">
        <f t="shared" si="3"/>
        <v>₹449,233.16</v>
      </c>
      <c r="H2572" s="54" t="str">
        <f t="shared" si="4"/>
        <v>₹37,436.10</v>
      </c>
      <c r="I2572" s="54" t="str">
        <f>108710.62-H2572</f>
        <v>₹71,274.52</v>
      </c>
    </row>
    <row r="2573" ht="15.75" customHeight="1">
      <c r="A2573" s="50" t="s">
        <v>2646</v>
      </c>
      <c r="B2573" s="50" t="s">
        <v>17</v>
      </c>
      <c r="C2573" s="50" t="s">
        <v>18</v>
      </c>
      <c r="D2573" s="51">
        <v>124856.52</v>
      </c>
      <c r="E2573" s="51" t="str">
        <f t="shared" si="1"/>
        <v>₹1,498,278.24</v>
      </c>
      <c r="F2573" s="52" t="str">
        <f t="shared" si="2"/>
        <v>30.0%</v>
      </c>
      <c r="G2573" s="51" t="str">
        <f t="shared" si="3"/>
        <v>₹449,483.47</v>
      </c>
      <c r="H2573" s="51" t="str">
        <f t="shared" si="4"/>
        <v>₹37,456.96</v>
      </c>
      <c r="I2573" s="51" t="str">
        <f>108769.96-H2573</f>
        <v>₹71,313.00</v>
      </c>
    </row>
    <row r="2574" ht="15.75" customHeight="1">
      <c r="A2574" s="53" t="s">
        <v>2647</v>
      </c>
      <c r="B2574" s="53" t="s">
        <v>36</v>
      </c>
      <c r="C2574" s="53" t="s">
        <v>37</v>
      </c>
      <c r="D2574" s="54">
        <v>124879.7</v>
      </c>
      <c r="E2574" s="54" t="str">
        <f t="shared" si="1"/>
        <v>₹1,498,556.40</v>
      </c>
      <c r="F2574" s="55" t="str">
        <f t="shared" si="2"/>
        <v>30.0%</v>
      </c>
      <c r="G2574" s="54" t="str">
        <f t="shared" si="3"/>
        <v>₹449,566.92</v>
      </c>
      <c r="H2574" s="54" t="str">
        <f t="shared" si="4"/>
        <v>₹37,463.91</v>
      </c>
      <c r="I2574" s="54" t="str">
        <f>108789.74-H2574</f>
        <v>₹71,325.83</v>
      </c>
    </row>
    <row r="2575" ht="15.75" customHeight="1">
      <c r="A2575" s="50" t="s">
        <v>2648</v>
      </c>
      <c r="B2575" s="50" t="s">
        <v>25</v>
      </c>
      <c r="C2575" s="50" t="s">
        <v>33</v>
      </c>
      <c r="D2575" s="51">
        <v>124902.88</v>
      </c>
      <c r="E2575" s="51" t="str">
        <f t="shared" si="1"/>
        <v>₹1,498,834.56</v>
      </c>
      <c r="F2575" s="52" t="str">
        <f t="shared" si="2"/>
        <v>30.0%</v>
      </c>
      <c r="G2575" s="51" t="str">
        <f t="shared" si="3"/>
        <v>₹449,650.37</v>
      </c>
      <c r="H2575" s="51" t="str">
        <f t="shared" si="4"/>
        <v>₹37,470.86</v>
      </c>
      <c r="I2575" s="51" t="str">
        <f>108809.52-H2575</f>
        <v>₹71,338.66</v>
      </c>
    </row>
    <row r="2576" ht="15.75" customHeight="1">
      <c r="A2576" s="53" t="s">
        <v>2649</v>
      </c>
      <c r="B2576" s="53" t="s">
        <v>25</v>
      </c>
      <c r="C2576" s="53" t="s">
        <v>14</v>
      </c>
      <c r="D2576" s="54">
        <v>124926.05</v>
      </c>
      <c r="E2576" s="54" t="str">
        <f t="shared" si="1"/>
        <v>₹1,499,112.60</v>
      </c>
      <c r="F2576" s="55" t="str">
        <f t="shared" si="2"/>
        <v>30.0%</v>
      </c>
      <c r="G2576" s="54" t="str">
        <f t="shared" si="3"/>
        <v>₹449,733.78</v>
      </c>
      <c r="H2576" s="54" t="str">
        <f t="shared" si="4"/>
        <v>₹37,477.82</v>
      </c>
      <c r="I2576" s="54" t="str">
        <f>108829.29-H2576</f>
        <v>₹71,351.48</v>
      </c>
    </row>
    <row r="2577" ht="15.75" customHeight="1">
      <c r="A2577" s="50" t="s">
        <v>2650</v>
      </c>
      <c r="B2577" s="50" t="s">
        <v>25</v>
      </c>
      <c r="C2577" s="50" t="s">
        <v>30</v>
      </c>
      <c r="D2577" s="51">
        <v>124949.23</v>
      </c>
      <c r="E2577" s="51" t="str">
        <f t="shared" si="1"/>
        <v>₹1,499,390.76</v>
      </c>
      <c r="F2577" s="52" t="str">
        <f t="shared" si="2"/>
        <v>30.0%</v>
      </c>
      <c r="G2577" s="51" t="str">
        <f t="shared" si="3"/>
        <v>₹449,817.23</v>
      </c>
      <c r="H2577" s="51" t="str">
        <f t="shared" si="4"/>
        <v>₹37,484.77</v>
      </c>
      <c r="I2577" s="51" t="str">
        <f>108849.08-H2577</f>
        <v>₹71,364.31</v>
      </c>
    </row>
    <row r="2578" ht="15.75" customHeight="1">
      <c r="A2578" s="53" t="s">
        <v>2651</v>
      </c>
      <c r="B2578" s="53" t="s">
        <v>53</v>
      </c>
      <c r="C2578" s="53" t="s">
        <v>14</v>
      </c>
      <c r="D2578" s="54">
        <v>124972.41</v>
      </c>
      <c r="E2578" s="54" t="str">
        <f t="shared" si="1"/>
        <v>₹1,499,668.92</v>
      </c>
      <c r="F2578" s="55" t="str">
        <f t="shared" si="2"/>
        <v>30.0%</v>
      </c>
      <c r="G2578" s="54" t="str">
        <f t="shared" si="3"/>
        <v>₹449,900.68</v>
      </c>
      <c r="H2578" s="54" t="str">
        <f t="shared" si="4"/>
        <v>₹37,491.72</v>
      </c>
      <c r="I2578" s="54" t="str">
        <f>108868.86-H2578</f>
        <v>₹71,377.14</v>
      </c>
    </row>
    <row r="2579" ht="15.75" customHeight="1">
      <c r="A2579" s="50" t="s">
        <v>2652</v>
      </c>
      <c r="B2579" s="50" t="s">
        <v>36</v>
      </c>
      <c r="C2579" s="50" t="s">
        <v>37</v>
      </c>
      <c r="D2579" s="51">
        <v>124995.59</v>
      </c>
      <c r="E2579" s="51" t="str">
        <f t="shared" si="1"/>
        <v>₹1,499,947.08</v>
      </c>
      <c r="F2579" s="52" t="str">
        <f t="shared" si="2"/>
        <v>30.0%</v>
      </c>
      <c r="G2579" s="51" t="str">
        <f t="shared" si="3"/>
        <v>₹449,984.12</v>
      </c>
      <c r="H2579" s="51" t="str">
        <f t="shared" si="4"/>
        <v>₹37,498.68</v>
      </c>
      <c r="I2579" s="51" t="str">
        <f>108888.64-H2579</f>
        <v>₹71,389.96</v>
      </c>
    </row>
    <row r="2580" ht="15.75" customHeight="1">
      <c r="A2580" s="53" t="s">
        <v>2653</v>
      </c>
      <c r="B2580" s="53" t="s">
        <v>13</v>
      </c>
      <c r="C2580" s="53" t="s">
        <v>37</v>
      </c>
      <c r="D2580" s="54">
        <v>125018.76</v>
      </c>
      <c r="E2580" s="54" t="str">
        <f t="shared" si="1"/>
        <v>₹1,500,225.12</v>
      </c>
      <c r="F2580" s="55" t="str">
        <f t="shared" si="2"/>
        <v>30.0%</v>
      </c>
      <c r="G2580" s="54" t="str">
        <f t="shared" si="3"/>
        <v>₹450,067.54</v>
      </c>
      <c r="H2580" s="54" t="str">
        <f t="shared" si="4"/>
        <v>₹37,505.63</v>
      </c>
      <c r="I2580" s="54" t="str">
        <f>108908.41-H2580</f>
        <v>₹71,402.78</v>
      </c>
    </row>
    <row r="2581" ht="15.75" customHeight="1">
      <c r="A2581" s="50" t="s">
        <v>2654</v>
      </c>
      <c r="B2581" s="50" t="s">
        <v>53</v>
      </c>
      <c r="C2581" s="50" t="s">
        <v>54</v>
      </c>
      <c r="D2581" s="51">
        <v>125041.94</v>
      </c>
      <c r="E2581" s="51" t="str">
        <f t="shared" si="1"/>
        <v>₹1,500,503.28</v>
      </c>
      <c r="F2581" s="52" t="str">
        <f t="shared" si="2"/>
        <v>30.0%</v>
      </c>
      <c r="G2581" s="51" t="str">
        <f t="shared" si="3"/>
        <v>₹450,150.98</v>
      </c>
      <c r="H2581" s="51" t="str">
        <f t="shared" si="4"/>
        <v>₹37,512.58</v>
      </c>
      <c r="I2581" s="51" t="str">
        <f>108928.2-H2581</f>
        <v>₹71,415.62</v>
      </c>
    </row>
    <row r="2582" ht="15.75" customHeight="1">
      <c r="A2582" s="53" t="s">
        <v>2655</v>
      </c>
      <c r="B2582" s="53" t="s">
        <v>17</v>
      </c>
      <c r="C2582" s="53" t="s">
        <v>37</v>
      </c>
      <c r="D2582" s="54">
        <v>125065.12</v>
      </c>
      <c r="E2582" s="54" t="str">
        <f t="shared" si="1"/>
        <v>₹1,500,781.44</v>
      </c>
      <c r="F2582" s="55" t="str">
        <f t="shared" si="2"/>
        <v>30.0%</v>
      </c>
      <c r="G2582" s="54" t="str">
        <f t="shared" si="3"/>
        <v>₹450,234.43</v>
      </c>
      <c r="H2582" s="54" t="str">
        <f t="shared" si="4"/>
        <v>₹37,519.54</v>
      </c>
      <c r="I2582" s="54" t="str">
        <f>108947.98-H2582</f>
        <v>₹71,428.44</v>
      </c>
    </row>
    <row r="2583" ht="15.75" customHeight="1">
      <c r="A2583" s="50" t="s">
        <v>2656</v>
      </c>
      <c r="B2583" s="50" t="s">
        <v>25</v>
      </c>
      <c r="C2583" s="50" t="s">
        <v>37</v>
      </c>
      <c r="D2583" s="51">
        <v>125088.3</v>
      </c>
      <c r="E2583" s="51" t="str">
        <f t="shared" si="1"/>
        <v>₹1,501,059.60</v>
      </c>
      <c r="F2583" s="52" t="str">
        <f t="shared" si="2"/>
        <v>30.0%</v>
      </c>
      <c r="G2583" s="51" t="str">
        <f t="shared" si="3"/>
        <v>₹450,317.88</v>
      </c>
      <c r="H2583" s="51" t="str">
        <f t="shared" si="4"/>
        <v>₹37,526.49</v>
      </c>
      <c r="I2583" s="51" t="str">
        <f>108967.76-H2583</f>
        <v>₹71,441.27</v>
      </c>
    </row>
    <row r="2584" ht="15.75" customHeight="1">
      <c r="A2584" s="53" t="s">
        <v>2657</v>
      </c>
      <c r="B2584" s="53" t="s">
        <v>13</v>
      </c>
      <c r="C2584" s="53" t="s">
        <v>30</v>
      </c>
      <c r="D2584" s="54">
        <v>125111.47</v>
      </c>
      <c r="E2584" s="54" t="str">
        <f t="shared" si="1"/>
        <v>₹1,501,337.64</v>
      </c>
      <c r="F2584" s="55" t="str">
        <f t="shared" si="2"/>
        <v>30.0%</v>
      </c>
      <c r="G2584" s="54" t="str">
        <f t="shared" si="3"/>
        <v>₹450,401.29</v>
      </c>
      <c r="H2584" s="54" t="str">
        <f t="shared" si="4"/>
        <v>₹37,533.44</v>
      </c>
      <c r="I2584" s="54" t="str">
        <f>108987.53-H2584</f>
        <v>₹71,454.09</v>
      </c>
    </row>
    <row r="2585" ht="15.75" customHeight="1">
      <c r="A2585" s="50" t="s">
        <v>2658</v>
      </c>
      <c r="B2585" s="50" t="s">
        <v>51</v>
      </c>
      <c r="C2585" s="50" t="s">
        <v>26</v>
      </c>
      <c r="D2585" s="51">
        <v>125134.65</v>
      </c>
      <c r="E2585" s="51" t="str">
        <f t="shared" si="1"/>
        <v>₹1,501,615.80</v>
      </c>
      <c r="F2585" s="52" t="str">
        <f t="shared" si="2"/>
        <v>30.0%</v>
      </c>
      <c r="G2585" s="51" t="str">
        <f t="shared" si="3"/>
        <v>₹450,484.74</v>
      </c>
      <c r="H2585" s="51" t="str">
        <f t="shared" si="4"/>
        <v>₹37,540.40</v>
      </c>
      <c r="I2585" s="51" t="str">
        <f>109007.32-H2585</f>
        <v>₹71,466.93</v>
      </c>
    </row>
    <row r="2586" ht="15.75" customHeight="1">
      <c r="A2586" s="53" t="s">
        <v>2659</v>
      </c>
      <c r="B2586" s="53" t="s">
        <v>51</v>
      </c>
      <c r="C2586" s="53" t="s">
        <v>18</v>
      </c>
      <c r="D2586" s="54">
        <v>125157.83</v>
      </c>
      <c r="E2586" s="54" t="str">
        <f t="shared" si="1"/>
        <v>₹1,501,893.96</v>
      </c>
      <c r="F2586" s="55" t="str">
        <f t="shared" si="2"/>
        <v>30.0%</v>
      </c>
      <c r="G2586" s="54" t="str">
        <f t="shared" si="3"/>
        <v>₹450,568.19</v>
      </c>
      <c r="H2586" s="54" t="str">
        <f t="shared" si="4"/>
        <v>₹37,547.35</v>
      </c>
      <c r="I2586" s="54" t="str">
        <f>109027.1-H2586</f>
        <v>₹71,479.75</v>
      </c>
    </row>
    <row r="2587" ht="15.75" customHeight="1">
      <c r="A2587" s="50" t="s">
        <v>2660</v>
      </c>
      <c r="B2587" s="50" t="s">
        <v>29</v>
      </c>
      <c r="C2587" s="50" t="s">
        <v>30</v>
      </c>
      <c r="D2587" s="51">
        <v>125181.01</v>
      </c>
      <c r="E2587" s="51" t="str">
        <f t="shared" si="1"/>
        <v>₹1,502,172.12</v>
      </c>
      <c r="F2587" s="52" t="str">
        <f t="shared" si="2"/>
        <v>30.0%</v>
      </c>
      <c r="G2587" s="51" t="str">
        <f t="shared" si="3"/>
        <v>₹450,651.64</v>
      </c>
      <c r="H2587" s="51" t="str">
        <f t="shared" si="4"/>
        <v>₹37,554.30</v>
      </c>
      <c r="I2587" s="51" t="str">
        <f>109046.88-H2587</f>
        <v>₹71,492.58</v>
      </c>
    </row>
    <row r="2588" ht="15.75" customHeight="1">
      <c r="A2588" s="53" t="s">
        <v>2661</v>
      </c>
      <c r="B2588" s="53" t="s">
        <v>53</v>
      </c>
      <c r="C2588" s="53" t="s">
        <v>18</v>
      </c>
      <c r="D2588" s="54">
        <v>125204.19</v>
      </c>
      <c r="E2588" s="54" t="str">
        <f t="shared" si="1"/>
        <v>₹1,502,450.28</v>
      </c>
      <c r="F2588" s="55" t="str">
        <f t="shared" si="2"/>
        <v>30.0%</v>
      </c>
      <c r="G2588" s="54" t="str">
        <f t="shared" si="3"/>
        <v>₹450,735.08</v>
      </c>
      <c r="H2588" s="54" t="str">
        <f t="shared" si="4"/>
        <v>₹37,561.26</v>
      </c>
      <c r="I2588" s="54" t="str">
        <f>109066.66-H2588</f>
        <v>₹71,505.40</v>
      </c>
    </row>
    <row r="2589" ht="15.75" customHeight="1">
      <c r="A2589" s="50" t="s">
        <v>2662</v>
      </c>
      <c r="B2589" s="50" t="s">
        <v>51</v>
      </c>
      <c r="C2589" s="50" t="s">
        <v>30</v>
      </c>
      <c r="D2589" s="51">
        <v>125227.36</v>
      </c>
      <c r="E2589" s="51" t="str">
        <f t="shared" si="1"/>
        <v>₹1,502,728.32</v>
      </c>
      <c r="F2589" s="52" t="str">
        <f t="shared" si="2"/>
        <v>30.0%</v>
      </c>
      <c r="G2589" s="51" t="str">
        <f t="shared" si="3"/>
        <v>₹450,818.50</v>
      </c>
      <c r="H2589" s="51" t="str">
        <f t="shared" si="4"/>
        <v>₹37,568.21</v>
      </c>
      <c r="I2589" s="51" t="str">
        <f>109086.44-H2589</f>
        <v>₹71,518.23</v>
      </c>
    </row>
    <row r="2590" ht="15.75" customHeight="1">
      <c r="A2590" s="53" t="s">
        <v>2663</v>
      </c>
      <c r="B2590" s="53" t="s">
        <v>29</v>
      </c>
      <c r="C2590" s="53" t="s">
        <v>14</v>
      </c>
      <c r="D2590" s="54">
        <v>125250.54</v>
      </c>
      <c r="E2590" s="54" t="str">
        <f t="shared" si="1"/>
        <v>₹1,503,006.48</v>
      </c>
      <c r="F2590" s="55" t="str">
        <f t="shared" si="2"/>
        <v>30.0%</v>
      </c>
      <c r="G2590" s="54" t="str">
        <f t="shared" si="3"/>
        <v>₹450,901.94</v>
      </c>
      <c r="H2590" s="54" t="str">
        <f t="shared" si="4"/>
        <v>₹37,575.16</v>
      </c>
      <c r="I2590" s="54" t="str">
        <f>109106.22-H2590</f>
        <v>₹71,531.06</v>
      </c>
    </row>
    <row r="2591" ht="15.75" customHeight="1">
      <c r="A2591" s="50" t="s">
        <v>2664</v>
      </c>
      <c r="B2591" s="50" t="s">
        <v>36</v>
      </c>
      <c r="C2591" s="50" t="s">
        <v>54</v>
      </c>
      <c r="D2591" s="51">
        <v>125273.72</v>
      </c>
      <c r="E2591" s="51" t="str">
        <f t="shared" si="1"/>
        <v>₹1,503,284.64</v>
      </c>
      <c r="F2591" s="52" t="str">
        <f t="shared" si="2"/>
        <v>30.0%</v>
      </c>
      <c r="G2591" s="51" t="str">
        <f t="shared" si="3"/>
        <v>₹450,985.39</v>
      </c>
      <c r="H2591" s="51" t="str">
        <f t="shared" si="4"/>
        <v>₹37,582.12</v>
      </c>
      <c r="I2591" s="51" t="str">
        <f>109126-H2591</f>
        <v>₹71,543.88</v>
      </c>
    </row>
    <row r="2592" ht="15.75" customHeight="1">
      <c r="A2592" s="53" t="s">
        <v>2665</v>
      </c>
      <c r="B2592" s="53" t="s">
        <v>53</v>
      </c>
      <c r="C2592" s="53" t="s">
        <v>26</v>
      </c>
      <c r="D2592" s="54">
        <v>125320.07</v>
      </c>
      <c r="E2592" s="54" t="str">
        <f t="shared" si="1"/>
        <v>₹1,503,840.84</v>
      </c>
      <c r="F2592" s="55" t="str">
        <f t="shared" si="2"/>
        <v>30.0%</v>
      </c>
      <c r="G2592" s="54" t="str">
        <f t="shared" si="3"/>
        <v>₹451,152.25</v>
      </c>
      <c r="H2592" s="54" t="str">
        <f t="shared" si="4"/>
        <v>₹37,596.02</v>
      </c>
      <c r="I2592" s="54" t="str">
        <f>109165.56-H2592</f>
        <v>₹71,569.54</v>
      </c>
    </row>
    <row r="2593" ht="15.75" customHeight="1">
      <c r="A2593" s="50" t="s">
        <v>2666</v>
      </c>
      <c r="B2593" s="50" t="s">
        <v>36</v>
      </c>
      <c r="C2593" s="50" t="s">
        <v>33</v>
      </c>
      <c r="D2593" s="51">
        <v>125343.25</v>
      </c>
      <c r="E2593" s="51" t="str">
        <f t="shared" si="1"/>
        <v>₹1,504,119.00</v>
      </c>
      <c r="F2593" s="52" t="str">
        <f t="shared" si="2"/>
        <v>30.0%</v>
      </c>
      <c r="G2593" s="51" t="str">
        <f t="shared" si="3"/>
        <v>₹451,235.70</v>
      </c>
      <c r="H2593" s="51" t="str">
        <f t="shared" si="4"/>
        <v>₹37,602.98</v>
      </c>
      <c r="I2593" s="51" t="str">
        <f>109185.34-H2593</f>
        <v>₹71,582.37</v>
      </c>
    </row>
    <row r="2594" ht="15.75" customHeight="1">
      <c r="A2594" s="53" t="s">
        <v>2667</v>
      </c>
      <c r="B2594" s="53" t="s">
        <v>13</v>
      </c>
      <c r="C2594" s="53" t="s">
        <v>18</v>
      </c>
      <c r="D2594" s="54">
        <v>125389.61</v>
      </c>
      <c r="E2594" s="54" t="str">
        <f t="shared" si="1"/>
        <v>₹1,504,675.32</v>
      </c>
      <c r="F2594" s="55" t="str">
        <f t="shared" si="2"/>
        <v>30.0%</v>
      </c>
      <c r="G2594" s="54" t="str">
        <f t="shared" si="3"/>
        <v>₹451,402.60</v>
      </c>
      <c r="H2594" s="54" t="str">
        <f t="shared" si="4"/>
        <v>₹37,616.88</v>
      </c>
      <c r="I2594" s="54" t="str">
        <f>109224.9-H2594</f>
        <v>₹71,608.02</v>
      </c>
    </row>
    <row r="2595" ht="15.75" customHeight="1">
      <c r="A2595" s="50" t="s">
        <v>2668</v>
      </c>
      <c r="B2595" s="50" t="s">
        <v>53</v>
      </c>
      <c r="C2595" s="50" t="s">
        <v>30</v>
      </c>
      <c r="D2595" s="51">
        <v>125412.78</v>
      </c>
      <c r="E2595" s="51" t="str">
        <f t="shared" si="1"/>
        <v>₹1,504,953.36</v>
      </c>
      <c r="F2595" s="52" t="str">
        <f t="shared" si="2"/>
        <v>30.0%</v>
      </c>
      <c r="G2595" s="51" t="str">
        <f t="shared" si="3"/>
        <v>₹451,486.01</v>
      </c>
      <c r="H2595" s="51" t="str">
        <f t="shared" si="4"/>
        <v>₹37,623.83</v>
      </c>
      <c r="I2595" s="51" t="str">
        <f>109244.68-H2595</f>
        <v>₹71,620.85</v>
      </c>
    </row>
    <row r="2596" ht="15.75" customHeight="1">
      <c r="A2596" s="53" t="s">
        <v>2669</v>
      </c>
      <c r="B2596" s="53" t="s">
        <v>13</v>
      </c>
      <c r="C2596" s="53" t="s">
        <v>33</v>
      </c>
      <c r="D2596" s="54">
        <v>125435.96</v>
      </c>
      <c r="E2596" s="54" t="str">
        <f t="shared" si="1"/>
        <v>₹1,505,231.52</v>
      </c>
      <c r="F2596" s="55" t="str">
        <f t="shared" si="2"/>
        <v>30.0%</v>
      </c>
      <c r="G2596" s="54" t="str">
        <f t="shared" si="3"/>
        <v>₹451,569.46</v>
      </c>
      <c r="H2596" s="54" t="str">
        <f t="shared" si="4"/>
        <v>₹37,630.79</v>
      </c>
      <c r="I2596" s="54" t="str">
        <f>109264.46-H2596</f>
        <v>₹71,633.67</v>
      </c>
    </row>
    <row r="2597" ht="15.75" customHeight="1">
      <c r="A2597" s="50" t="s">
        <v>2670</v>
      </c>
      <c r="B2597" s="50" t="s">
        <v>29</v>
      </c>
      <c r="C2597" s="50" t="s">
        <v>37</v>
      </c>
      <c r="D2597" s="51">
        <v>125459.14</v>
      </c>
      <c r="E2597" s="51" t="str">
        <f t="shared" si="1"/>
        <v>₹1,505,509.68</v>
      </c>
      <c r="F2597" s="52" t="str">
        <f t="shared" si="2"/>
        <v>30.0%</v>
      </c>
      <c r="G2597" s="51" t="str">
        <f t="shared" si="3"/>
        <v>₹451,652.90</v>
      </c>
      <c r="H2597" s="51" t="str">
        <f t="shared" si="4"/>
        <v>₹37,637.74</v>
      </c>
      <c r="I2597" s="51" t="str">
        <f>109284.24-H2597</f>
        <v>₹71,646.50</v>
      </c>
    </row>
    <row r="2598" ht="15.75" customHeight="1">
      <c r="A2598" s="53" t="s">
        <v>2671</v>
      </c>
      <c r="B2598" s="53" t="s">
        <v>29</v>
      </c>
      <c r="C2598" s="53" t="s">
        <v>30</v>
      </c>
      <c r="D2598" s="54">
        <v>125505.5</v>
      </c>
      <c r="E2598" s="54" t="str">
        <f t="shared" si="1"/>
        <v>₹1,506,066.00</v>
      </c>
      <c r="F2598" s="55" t="str">
        <f t="shared" si="2"/>
        <v>30.0%</v>
      </c>
      <c r="G2598" s="54" t="str">
        <f t="shared" si="3"/>
        <v>₹451,819.80</v>
      </c>
      <c r="H2598" s="54" t="str">
        <f t="shared" si="4"/>
        <v>₹37,651.65</v>
      </c>
      <c r="I2598" s="54" t="str">
        <f>109323.81-H2598</f>
        <v>₹71,672.16</v>
      </c>
    </row>
    <row r="2599" ht="15.75" customHeight="1">
      <c r="A2599" s="50" t="s">
        <v>2672</v>
      </c>
      <c r="B2599" s="50" t="s">
        <v>13</v>
      </c>
      <c r="C2599" s="50" t="s">
        <v>26</v>
      </c>
      <c r="D2599" s="51">
        <v>125528.67</v>
      </c>
      <c r="E2599" s="51" t="str">
        <f t="shared" si="1"/>
        <v>₹1,506,344.04</v>
      </c>
      <c r="F2599" s="52" t="str">
        <f t="shared" si="2"/>
        <v>30.0%</v>
      </c>
      <c r="G2599" s="51" t="str">
        <f t="shared" si="3"/>
        <v>₹451,903.21</v>
      </c>
      <c r="H2599" s="51" t="str">
        <f t="shared" si="4"/>
        <v>₹37,658.60</v>
      </c>
      <c r="I2599" s="51" t="str">
        <f>109343.58-H2599</f>
        <v>₹71,684.98</v>
      </c>
    </row>
    <row r="2600" ht="15.75" customHeight="1">
      <c r="A2600" s="53" t="s">
        <v>2673</v>
      </c>
      <c r="B2600" s="53" t="s">
        <v>36</v>
      </c>
      <c r="C2600" s="53" t="s">
        <v>14</v>
      </c>
      <c r="D2600" s="54">
        <v>125575.03</v>
      </c>
      <c r="E2600" s="54" t="str">
        <f t="shared" si="1"/>
        <v>₹1,506,900.36</v>
      </c>
      <c r="F2600" s="55" t="str">
        <f t="shared" si="2"/>
        <v>30.0%</v>
      </c>
      <c r="G2600" s="54" t="str">
        <f t="shared" si="3"/>
        <v>₹452,070.11</v>
      </c>
      <c r="H2600" s="54" t="str">
        <f t="shared" si="4"/>
        <v>₹37,672.51</v>
      </c>
      <c r="I2600" s="54" t="str">
        <f>109383.14-H2600</f>
        <v>₹71,710.63</v>
      </c>
    </row>
    <row r="2601" ht="15.75" customHeight="1">
      <c r="A2601" s="50" t="s">
        <v>2674</v>
      </c>
      <c r="B2601" s="50" t="s">
        <v>36</v>
      </c>
      <c r="C2601" s="50" t="s">
        <v>14</v>
      </c>
      <c r="D2601" s="51">
        <v>125598.21</v>
      </c>
      <c r="E2601" s="51" t="str">
        <f t="shared" si="1"/>
        <v>₹1,507,178.52</v>
      </c>
      <c r="F2601" s="52" t="str">
        <f t="shared" si="2"/>
        <v>30.0%</v>
      </c>
      <c r="G2601" s="51" t="str">
        <f t="shared" si="3"/>
        <v>₹452,153.56</v>
      </c>
      <c r="H2601" s="51" t="str">
        <f t="shared" si="4"/>
        <v>₹37,679.46</v>
      </c>
      <c r="I2601" s="51" t="str">
        <f>109402.93-H2601</f>
        <v>₹71,723.47</v>
      </c>
    </row>
    <row r="2602" ht="15.75" customHeight="1">
      <c r="A2602" s="53" t="s">
        <v>2675</v>
      </c>
      <c r="B2602" s="53" t="s">
        <v>29</v>
      </c>
      <c r="C2602" s="53" t="s">
        <v>26</v>
      </c>
      <c r="D2602" s="54">
        <v>125621.38</v>
      </c>
      <c r="E2602" s="54" t="str">
        <f t="shared" si="1"/>
        <v>₹1,507,456.56</v>
      </c>
      <c r="F2602" s="55" t="str">
        <f t="shared" si="2"/>
        <v>30.0%</v>
      </c>
      <c r="G2602" s="54" t="str">
        <f t="shared" si="3"/>
        <v>₹452,236.97</v>
      </c>
      <c r="H2602" s="54" t="str">
        <f t="shared" si="4"/>
        <v>₹37,686.41</v>
      </c>
      <c r="I2602" s="54" t="str">
        <f>109422.7-H2602</f>
        <v>₹71,736.29</v>
      </c>
    </row>
    <row r="2603" ht="15.75" customHeight="1">
      <c r="A2603" s="50" t="s">
        <v>2676</v>
      </c>
      <c r="B2603" s="50" t="s">
        <v>13</v>
      </c>
      <c r="C2603" s="50" t="s">
        <v>26</v>
      </c>
      <c r="D2603" s="51">
        <v>125644.56</v>
      </c>
      <c r="E2603" s="51" t="str">
        <f t="shared" si="1"/>
        <v>₹1,507,734.72</v>
      </c>
      <c r="F2603" s="52" t="str">
        <f t="shared" si="2"/>
        <v>30.0%</v>
      </c>
      <c r="G2603" s="51" t="str">
        <f t="shared" si="3"/>
        <v>₹452,320.42</v>
      </c>
      <c r="H2603" s="51" t="str">
        <f t="shared" si="4"/>
        <v>₹37,693.37</v>
      </c>
      <c r="I2603" s="51" t="str">
        <f>109442.48-H2603</f>
        <v>₹71,749.11</v>
      </c>
    </row>
    <row r="2604" ht="15.75" customHeight="1">
      <c r="A2604" s="53" t="s">
        <v>2677</v>
      </c>
      <c r="B2604" s="53" t="s">
        <v>51</v>
      </c>
      <c r="C2604" s="53" t="s">
        <v>54</v>
      </c>
      <c r="D2604" s="54">
        <v>125667.74</v>
      </c>
      <c r="E2604" s="54" t="str">
        <f t="shared" si="1"/>
        <v>₹1,508,012.88</v>
      </c>
      <c r="F2604" s="55" t="str">
        <f t="shared" si="2"/>
        <v>30.0%</v>
      </c>
      <c r="G2604" s="54" t="str">
        <f t="shared" si="3"/>
        <v>₹452,403.86</v>
      </c>
      <c r="H2604" s="54" t="str">
        <f t="shared" si="4"/>
        <v>₹37,700.32</v>
      </c>
      <c r="I2604" s="54" t="str">
        <f>109462.26-H2604</f>
        <v>₹71,761.94</v>
      </c>
    </row>
    <row r="2605" ht="15.75" customHeight="1">
      <c r="A2605" s="50" t="s">
        <v>2678</v>
      </c>
      <c r="B2605" s="50" t="s">
        <v>17</v>
      </c>
      <c r="C2605" s="50" t="s">
        <v>18</v>
      </c>
      <c r="D2605" s="51">
        <v>125690.92</v>
      </c>
      <c r="E2605" s="51" t="str">
        <f t="shared" si="1"/>
        <v>₹1,508,291.04</v>
      </c>
      <c r="F2605" s="52" t="str">
        <f t="shared" si="2"/>
        <v>30.0%</v>
      </c>
      <c r="G2605" s="51" t="str">
        <f t="shared" si="3"/>
        <v>₹452,487.31</v>
      </c>
      <c r="H2605" s="51" t="str">
        <f t="shared" si="4"/>
        <v>₹37,707.28</v>
      </c>
      <c r="I2605" s="51" t="str">
        <f>109482.04-H2605</f>
        <v>₹71,774.76</v>
      </c>
    </row>
    <row r="2606" ht="15.75" customHeight="1">
      <c r="A2606" s="53" t="s">
        <v>2679</v>
      </c>
      <c r="B2606" s="53" t="s">
        <v>51</v>
      </c>
      <c r="C2606" s="53" t="s">
        <v>37</v>
      </c>
      <c r="D2606" s="54">
        <v>125714.09</v>
      </c>
      <c r="E2606" s="54" t="str">
        <f t="shared" si="1"/>
        <v>₹1,508,569.08</v>
      </c>
      <c r="F2606" s="55" t="str">
        <f t="shared" si="2"/>
        <v>30.0%</v>
      </c>
      <c r="G2606" s="54" t="str">
        <f t="shared" si="3"/>
        <v>₹452,570.72</v>
      </c>
      <c r="H2606" s="54" t="str">
        <f t="shared" si="4"/>
        <v>₹37,714.23</v>
      </c>
      <c r="I2606" s="54" t="str">
        <f>109501.82-H2606</f>
        <v>₹71,787.59</v>
      </c>
    </row>
    <row r="2607" ht="15.75" customHeight="1">
      <c r="A2607" s="50" t="s">
        <v>2680</v>
      </c>
      <c r="B2607" s="50" t="s">
        <v>13</v>
      </c>
      <c r="C2607" s="50" t="s">
        <v>26</v>
      </c>
      <c r="D2607" s="51">
        <v>125737.27</v>
      </c>
      <c r="E2607" s="51" t="str">
        <f t="shared" si="1"/>
        <v>₹1,508,847.24</v>
      </c>
      <c r="F2607" s="52" t="str">
        <f t="shared" si="2"/>
        <v>30.0%</v>
      </c>
      <c r="G2607" s="51" t="str">
        <f t="shared" si="3"/>
        <v>₹452,654.17</v>
      </c>
      <c r="H2607" s="51" t="str">
        <f t="shared" si="4"/>
        <v>₹37,721.18</v>
      </c>
      <c r="I2607" s="51" t="str">
        <f>109521.6-H2607</f>
        <v>₹71,800.42</v>
      </c>
    </row>
    <row r="2608" ht="15.75" customHeight="1">
      <c r="A2608" s="53" t="s">
        <v>2681</v>
      </c>
      <c r="B2608" s="53" t="s">
        <v>51</v>
      </c>
      <c r="C2608" s="53" t="s">
        <v>30</v>
      </c>
      <c r="D2608" s="54">
        <v>125760.45</v>
      </c>
      <c r="E2608" s="54" t="str">
        <f t="shared" si="1"/>
        <v>₹1,509,125.40</v>
      </c>
      <c r="F2608" s="55" t="str">
        <f t="shared" si="2"/>
        <v>30.0%</v>
      </c>
      <c r="G2608" s="54" t="str">
        <f t="shared" si="3"/>
        <v>₹452,737.62</v>
      </c>
      <c r="H2608" s="54" t="str">
        <f t="shared" si="4"/>
        <v>₹37,728.14</v>
      </c>
      <c r="I2608" s="54" t="str">
        <f>109541.38-H2608</f>
        <v>₹71,813.25</v>
      </c>
    </row>
    <row r="2609" ht="15.75" customHeight="1">
      <c r="A2609" s="50" t="s">
        <v>2682</v>
      </c>
      <c r="B2609" s="50" t="s">
        <v>51</v>
      </c>
      <c r="C2609" s="50" t="s">
        <v>18</v>
      </c>
      <c r="D2609" s="51">
        <v>125783.63</v>
      </c>
      <c r="E2609" s="51" t="str">
        <f t="shared" si="1"/>
        <v>₹1,509,403.56</v>
      </c>
      <c r="F2609" s="52" t="str">
        <f t="shared" si="2"/>
        <v>30.0%</v>
      </c>
      <c r="G2609" s="51" t="str">
        <f t="shared" si="3"/>
        <v>₹452,821.07</v>
      </c>
      <c r="H2609" s="51" t="str">
        <f t="shared" si="4"/>
        <v>₹37,735.09</v>
      </c>
      <c r="I2609" s="51" t="str">
        <f>109561.16-H2609</f>
        <v>₹71,826.07</v>
      </c>
    </row>
    <row r="2610" ht="15.75" customHeight="1">
      <c r="A2610" s="53" t="s">
        <v>2683</v>
      </c>
      <c r="B2610" s="53" t="s">
        <v>36</v>
      </c>
      <c r="C2610" s="53" t="s">
        <v>33</v>
      </c>
      <c r="D2610" s="54">
        <v>125806.81</v>
      </c>
      <c r="E2610" s="54" t="str">
        <f t="shared" si="1"/>
        <v>₹1,509,681.72</v>
      </c>
      <c r="F2610" s="55" t="str">
        <f t="shared" si="2"/>
        <v>30.0%</v>
      </c>
      <c r="G2610" s="54" t="str">
        <f t="shared" si="3"/>
        <v>₹452,904.52</v>
      </c>
      <c r="H2610" s="54" t="str">
        <f t="shared" si="4"/>
        <v>₹37,742.04</v>
      </c>
      <c r="I2610" s="54" t="str">
        <f>109580.95-H2610</f>
        <v>₹71,838.91</v>
      </c>
    </row>
    <row r="2611" ht="15.75" customHeight="1">
      <c r="A2611" s="50" t="s">
        <v>2684</v>
      </c>
      <c r="B2611" s="50" t="s">
        <v>29</v>
      </c>
      <c r="C2611" s="50" t="s">
        <v>18</v>
      </c>
      <c r="D2611" s="51">
        <v>125829.98</v>
      </c>
      <c r="E2611" s="51" t="str">
        <f t="shared" si="1"/>
        <v>₹1,509,959.76</v>
      </c>
      <c r="F2611" s="52" t="str">
        <f t="shared" si="2"/>
        <v>30.0%</v>
      </c>
      <c r="G2611" s="51" t="str">
        <f t="shared" si="3"/>
        <v>₹452,987.93</v>
      </c>
      <c r="H2611" s="51" t="str">
        <f t="shared" si="4"/>
        <v>₹37,748.99</v>
      </c>
      <c r="I2611" s="51" t="str">
        <f>109600.72-H2611</f>
        <v>₹71,851.73</v>
      </c>
    </row>
    <row r="2612" ht="15.75" customHeight="1">
      <c r="A2612" s="53" t="s">
        <v>2685</v>
      </c>
      <c r="B2612" s="53" t="s">
        <v>29</v>
      </c>
      <c r="C2612" s="53" t="s">
        <v>30</v>
      </c>
      <c r="D2612" s="54">
        <v>125853.16</v>
      </c>
      <c r="E2612" s="54" t="str">
        <f t="shared" si="1"/>
        <v>₹1,510,237.92</v>
      </c>
      <c r="F2612" s="55" t="str">
        <f t="shared" si="2"/>
        <v>30.0%</v>
      </c>
      <c r="G2612" s="54" t="str">
        <f t="shared" si="3"/>
        <v>₹453,071.38</v>
      </c>
      <c r="H2612" s="54" t="str">
        <f t="shared" si="4"/>
        <v>₹37,755.95</v>
      </c>
      <c r="I2612" s="54" t="str">
        <f>109620.5-H2612</f>
        <v>₹71,864.55</v>
      </c>
    </row>
    <row r="2613" ht="15.75" customHeight="1">
      <c r="A2613" s="50" t="s">
        <v>2686</v>
      </c>
      <c r="B2613" s="50" t="s">
        <v>51</v>
      </c>
      <c r="C2613" s="50" t="s">
        <v>37</v>
      </c>
      <c r="D2613" s="51">
        <v>125876.34</v>
      </c>
      <c r="E2613" s="51" t="str">
        <f t="shared" si="1"/>
        <v>₹1,510,516.08</v>
      </c>
      <c r="F2613" s="52" t="str">
        <f t="shared" si="2"/>
        <v>30.0%</v>
      </c>
      <c r="G2613" s="51" t="str">
        <f t="shared" si="3"/>
        <v>₹453,154.82</v>
      </c>
      <c r="H2613" s="51" t="str">
        <f t="shared" si="4"/>
        <v>₹37,762.90</v>
      </c>
      <c r="I2613" s="51" t="str">
        <f>109640.28-H2613</f>
        <v>₹71,877.38</v>
      </c>
    </row>
    <row r="2614" ht="15.75" customHeight="1">
      <c r="A2614" s="53" t="s">
        <v>2687</v>
      </c>
      <c r="B2614" s="53" t="s">
        <v>53</v>
      </c>
      <c r="C2614" s="53" t="s">
        <v>33</v>
      </c>
      <c r="D2614" s="54">
        <v>125899.52</v>
      </c>
      <c r="E2614" s="54" t="str">
        <f t="shared" si="1"/>
        <v>₹1,510,794.24</v>
      </c>
      <c r="F2614" s="55" t="str">
        <f t="shared" si="2"/>
        <v>30.0%</v>
      </c>
      <c r="G2614" s="54" t="str">
        <f t="shared" si="3"/>
        <v>₹453,238.27</v>
      </c>
      <c r="H2614" s="54" t="str">
        <f t="shared" si="4"/>
        <v>₹37,769.86</v>
      </c>
      <c r="I2614" s="54" t="str">
        <f>109660.07-H2614</f>
        <v>₹71,890.21</v>
      </c>
    </row>
    <row r="2615" ht="15.75" customHeight="1">
      <c r="A2615" s="50" t="s">
        <v>2688</v>
      </c>
      <c r="B2615" s="50" t="s">
        <v>29</v>
      </c>
      <c r="C2615" s="50" t="s">
        <v>33</v>
      </c>
      <c r="D2615" s="51">
        <v>125922.69</v>
      </c>
      <c r="E2615" s="51" t="str">
        <f t="shared" si="1"/>
        <v>₹1,511,072.28</v>
      </c>
      <c r="F2615" s="52" t="str">
        <f t="shared" si="2"/>
        <v>30.0%</v>
      </c>
      <c r="G2615" s="51" t="str">
        <f t="shared" si="3"/>
        <v>₹453,321.68</v>
      </c>
      <c r="H2615" s="51" t="str">
        <f t="shared" si="4"/>
        <v>₹37,776.81</v>
      </c>
      <c r="I2615" s="51" t="str">
        <f>109679.84-H2615</f>
        <v>₹71,903.03</v>
      </c>
    </row>
    <row r="2616" ht="15.75" customHeight="1">
      <c r="A2616" s="53" t="s">
        <v>2689</v>
      </c>
      <c r="B2616" s="53" t="s">
        <v>17</v>
      </c>
      <c r="C2616" s="53" t="s">
        <v>54</v>
      </c>
      <c r="D2616" s="54">
        <v>120423.18</v>
      </c>
      <c r="E2616" s="54" t="str">
        <f t="shared" si="1"/>
        <v>₹1,445,078.16</v>
      </c>
      <c r="F2616" s="55" t="str">
        <f t="shared" si="2"/>
        <v>30.0%</v>
      </c>
      <c r="G2616" s="54" t="str">
        <f t="shared" si="3"/>
        <v>₹433,523.45</v>
      </c>
      <c r="H2616" s="54" t="str">
        <f t="shared" si="4"/>
        <v>₹36,126.95</v>
      </c>
      <c r="I2616" s="54" t="str">
        <f>104176.93-H2616</f>
        <v>₹68,049.98</v>
      </c>
    </row>
    <row r="2617" ht="15.75" customHeight="1">
      <c r="A2617" s="50" t="s">
        <v>2690</v>
      </c>
      <c r="B2617" s="50" t="s">
        <v>36</v>
      </c>
      <c r="C2617" s="50" t="s">
        <v>33</v>
      </c>
      <c r="D2617" s="51">
        <v>125969.05</v>
      </c>
      <c r="E2617" s="51" t="str">
        <f t="shared" si="1"/>
        <v>₹1,511,628.60</v>
      </c>
      <c r="F2617" s="52" t="str">
        <f t="shared" si="2"/>
        <v>30.0%</v>
      </c>
      <c r="G2617" s="51" t="str">
        <f t="shared" si="3"/>
        <v>₹453,488.58</v>
      </c>
      <c r="H2617" s="51" t="str">
        <f t="shared" si="4"/>
        <v>₹37,790.72</v>
      </c>
      <c r="I2617" s="51" t="str">
        <f>109719.4-H2617</f>
        <v>₹71,928.69</v>
      </c>
    </row>
    <row r="2618" ht="15.75" customHeight="1">
      <c r="A2618" s="53" t="s">
        <v>2691</v>
      </c>
      <c r="B2618" s="53" t="s">
        <v>13</v>
      </c>
      <c r="C2618" s="53" t="s">
        <v>33</v>
      </c>
      <c r="D2618" s="54">
        <v>125992.23</v>
      </c>
      <c r="E2618" s="54" t="str">
        <f t="shared" si="1"/>
        <v>₹1,511,906.76</v>
      </c>
      <c r="F2618" s="55" t="str">
        <f t="shared" si="2"/>
        <v>30.0%</v>
      </c>
      <c r="G2618" s="54" t="str">
        <f t="shared" si="3"/>
        <v>₹453,572.03</v>
      </c>
      <c r="H2618" s="54" t="str">
        <f t="shared" si="4"/>
        <v>₹37,797.67</v>
      </c>
      <c r="I2618" s="54" t="str">
        <f>109739.19-H2618</f>
        <v>₹71,941.52</v>
      </c>
    </row>
    <row r="2619" ht="15.75" customHeight="1">
      <c r="A2619" s="50" t="s">
        <v>2692</v>
      </c>
      <c r="B2619" s="50" t="s">
        <v>36</v>
      </c>
      <c r="C2619" s="50" t="s">
        <v>33</v>
      </c>
      <c r="D2619" s="51">
        <v>126015.4</v>
      </c>
      <c r="E2619" s="51" t="str">
        <f t="shared" si="1"/>
        <v>₹1,512,184.80</v>
      </c>
      <c r="F2619" s="52" t="str">
        <f t="shared" si="2"/>
        <v>30.0%</v>
      </c>
      <c r="G2619" s="51" t="str">
        <f t="shared" si="3"/>
        <v>₹453,655.44</v>
      </c>
      <c r="H2619" s="51" t="str">
        <f t="shared" si="4"/>
        <v>₹37,804.62</v>
      </c>
      <c r="I2619" s="51" t="str">
        <f>109758.96-H2619</f>
        <v>₹71,954.34</v>
      </c>
    </row>
    <row r="2620" ht="15.75" customHeight="1">
      <c r="A2620" s="53" t="s">
        <v>2693</v>
      </c>
      <c r="B2620" s="53" t="s">
        <v>51</v>
      </c>
      <c r="C2620" s="53" t="s">
        <v>54</v>
      </c>
      <c r="D2620" s="54">
        <v>126038.58</v>
      </c>
      <c r="E2620" s="54" t="str">
        <f t="shared" si="1"/>
        <v>₹1,512,462.96</v>
      </c>
      <c r="F2620" s="55" t="str">
        <f t="shared" si="2"/>
        <v>30.0%</v>
      </c>
      <c r="G2620" s="54" t="str">
        <f t="shared" si="3"/>
        <v>₹453,738.89</v>
      </c>
      <c r="H2620" s="54" t="str">
        <f t="shared" si="4"/>
        <v>₹37,811.57</v>
      </c>
      <c r="I2620" s="54" t="str">
        <f>109778.74-H2620</f>
        <v>₹71,967.17</v>
      </c>
    </row>
    <row r="2621" ht="15.75" customHeight="1">
      <c r="A2621" s="50" t="s">
        <v>2694</v>
      </c>
      <c r="B2621" s="50" t="s">
        <v>17</v>
      </c>
      <c r="C2621" s="50" t="s">
        <v>30</v>
      </c>
      <c r="D2621" s="51">
        <v>126084.94</v>
      </c>
      <c r="E2621" s="51" t="str">
        <f t="shared" si="1"/>
        <v>₹1,513,019.28</v>
      </c>
      <c r="F2621" s="52" t="str">
        <f t="shared" si="2"/>
        <v>30.0%</v>
      </c>
      <c r="G2621" s="51" t="str">
        <f t="shared" si="3"/>
        <v>₹453,905.78</v>
      </c>
      <c r="H2621" s="51" t="str">
        <f t="shared" si="4"/>
        <v>₹37,825.48</v>
      </c>
      <c r="I2621" s="51" t="str">
        <f>109818.31-H2621</f>
        <v>₹71,992.83</v>
      </c>
    </row>
    <row r="2622" ht="15.75" customHeight="1">
      <c r="A2622" s="53" t="s">
        <v>2695</v>
      </c>
      <c r="B2622" s="53" t="s">
        <v>17</v>
      </c>
      <c r="C2622" s="53" t="s">
        <v>14</v>
      </c>
      <c r="D2622" s="54">
        <v>126108.12</v>
      </c>
      <c r="E2622" s="54" t="str">
        <f t="shared" si="1"/>
        <v>₹1,513,297.44</v>
      </c>
      <c r="F2622" s="55" t="str">
        <f t="shared" si="2"/>
        <v>30.0%</v>
      </c>
      <c r="G2622" s="54" t="str">
        <f t="shared" si="3"/>
        <v>₹453,989.23</v>
      </c>
      <c r="H2622" s="54" t="str">
        <f t="shared" si="4"/>
        <v>₹37,832.44</v>
      </c>
      <c r="I2622" s="54" t="str">
        <f>109838.09-H2622</f>
        <v>₹72,005.65</v>
      </c>
    </row>
    <row r="2623" ht="15.75" customHeight="1">
      <c r="A2623" s="50" t="s">
        <v>2696</v>
      </c>
      <c r="B2623" s="50" t="s">
        <v>25</v>
      </c>
      <c r="C2623" s="50" t="s">
        <v>14</v>
      </c>
      <c r="D2623" s="51">
        <v>126131.29</v>
      </c>
      <c r="E2623" s="51" t="str">
        <f t="shared" si="1"/>
        <v>₹1,513,575.48</v>
      </c>
      <c r="F2623" s="52" t="str">
        <f t="shared" si="2"/>
        <v>30.0%</v>
      </c>
      <c r="G2623" s="51" t="str">
        <f t="shared" si="3"/>
        <v>₹454,072.64</v>
      </c>
      <c r="H2623" s="51" t="str">
        <f t="shared" si="4"/>
        <v>₹37,839.39</v>
      </c>
      <c r="I2623" s="51" t="str">
        <f>109857.86-H2623</f>
        <v>₹72,018.47</v>
      </c>
    </row>
    <row r="2624" ht="15.75" customHeight="1">
      <c r="A2624" s="53" t="s">
        <v>2697</v>
      </c>
      <c r="B2624" s="53" t="s">
        <v>36</v>
      </c>
      <c r="C2624" s="53" t="s">
        <v>30</v>
      </c>
      <c r="D2624" s="54">
        <v>126177.65</v>
      </c>
      <c r="E2624" s="54" t="str">
        <f t="shared" si="1"/>
        <v>₹1,514,131.80</v>
      </c>
      <c r="F2624" s="55" t="str">
        <f t="shared" si="2"/>
        <v>30.0%</v>
      </c>
      <c r="G2624" s="54" t="str">
        <f t="shared" si="3"/>
        <v>₹454,239.54</v>
      </c>
      <c r="H2624" s="54" t="str">
        <f t="shared" si="4"/>
        <v>₹37,853.30</v>
      </c>
      <c r="I2624" s="54" t="str">
        <f>109897.43-H2624</f>
        <v>₹72,044.14</v>
      </c>
    </row>
    <row r="2625" ht="15.75" customHeight="1">
      <c r="A2625" s="50" t="s">
        <v>2698</v>
      </c>
      <c r="B2625" s="50" t="s">
        <v>51</v>
      </c>
      <c r="C2625" s="50" t="s">
        <v>37</v>
      </c>
      <c r="D2625" s="51">
        <v>126200.83</v>
      </c>
      <c r="E2625" s="51" t="str">
        <f t="shared" si="1"/>
        <v>₹1,514,409.96</v>
      </c>
      <c r="F2625" s="52" t="str">
        <f t="shared" si="2"/>
        <v>30.0%</v>
      </c>
      <c r="G2625" s="51" t="str">
        <f t="shared" si="3"/>
        <v>₹454,322.99</v>
      </c>
      <c r="H2625" s="51" t="str">
        <f t="shared" si="4"/>
        <v>₹37,860.25</v>
      </c>
      <c r="I2625" s="51" t="str">
        <f>109917.21-H2625</f>
        <v>₹72,056.96</v>
      </c>
    </row>
    <row r="2626" ht="15.75" customHeight="1">
      <c r="A2626" s="53" t="s">
        <v>2699</v>
      </c>
      <c r="B2626" s="53" t="s">
        <v>13</v>
      </c>
      <c r="C2626" s="53" t="s">
        <v>18</v>
      </c>
      <c r="D2626" s="54">
        <v>126224.0</v>
      </c>
      <c r="E2626" s="54" t="str">
        <f t="shared" si="1"/>
        <v>₹1,514,688.00</v>
      </c>
      <c r="F2626" s="55" t="str">
        <f t="shared" si="2"/>
        <v>30.0%</v>
      </c>
      <c r="G2626" s="54" t="str">
        <f t="shared" si="3"/>
        <v>₹454,406.40</v>
      </c>
      <c r="H2626" s="54" t="str">
        <f t="shared" si="4"/>
        <v>₹37,867.20</v>
      </c>
      <c r="I2626" s="54" t="str">
        <f>109936.98-H2626</f>
        <v>₹72,069.78</v>
      </c>
    </row>
    <row r="2627" ht="15.75" customHeight="1">
      <c r="A2627" s="50" t="s">
        <v>2700</v>
      </c>
      <c r="B2627" s="50" t="s">
        <v>29</v>
      </c>
      <c r="C2627" s="50" t="s">
        <v>30</v>
      </c>
      <c r="D2627" s="51">
        <v>126247.18</v>
      </c>
      <c r="E2627" s="51" t="str">
        <f t="shared" si="1"/>
        <v>₹1,514,966.16</v>
      </c>
      <c r="F2627" s="52" t="str">
        <f t="shared" si="2"/>
        <v>30.0%</v>
      </c>
      <c r="G2627" s="51" t="str">
        <f t="shared" si="3"/>
        <v>₹454,489.85</v>
      </c>
      <c r="H2627" s="51" t="str">
        <f t="shared" si="4"/>
        <v>₹37,874.15</v>
      </c>
      <c r="I2627" s="51" t="str">
        <f>109956.76-H2627</f>
        <v>₹72,082.61</v>
      </c>
    </row>
    <row r="2628" ht="15.75" customHeight="1">
      <c r="A2628" s="53" t="s">
        <v>2701</v>
      </c>
      <c r="B2628" s="53" t="s">
        <v>53</v>
      </c>
      <c r="C2628" s="53" t="s">
        <v>54</v>
      </c>
      <c r="D2628" s="54">
        <v>126270.36</v>
      </c>
      <c r="E2628" s="54" t="str">
        <f t="shared" si="1"/>
        <v>₹1,515,244.32</v>
      </c>
      <c r="F2628" s="55" t="str">
        <f t="shared" si="2"/>
        <v>30.0%</v>
      </c>
      <c r="G2628" s="54" t="str">
        <f t="shared" si="3"/>
        <v>₹454,573.30</v>
      </c>
      <c r="H2628" s="54" t="str">
        <f t="shared" si="4"/>
        <v>₹37,881.11</v>
      </c>
      <c r="I2628" s="54" t="str">
        <f>109976.55-H2628</f>
        <v>₹72,095.44</v>
      </c>
    </row>
    <row r="2629" ht="15.75" customHeight="1">
      <c r="A2629" s="50" t="s">
        <v>2702</v>
      </c>
      <c r="B2629" s="50" t="s">
        <v>36</v>
      </c>
      <c r="C2629" s="50" t="s">
        <v>54</v>
      </c>
      <c r="D2629" s="51">
        <v>126293.54</v>
      </c>
      <c r="E2629" s="51" t="str">
        <f t="shared" si="1"/>
        <v>₹1,515,522.48</v>
      </c>
      <c r="F2629" s="52" t="str">
        <f t="shared" si="2"/>
        <v>30.0%</v>
      </c>
      <c r="G2629" s="51" t="str">
        <f t="shared" si="3"/>
        <v>₹454,656.74</v>
      </c>
      <c r="H2629" s="51" t="str">
        <f t="shared" si="4"/>
        <v>₹37,888.06</v>
      </c>
      <c r="I2629" s="51" t="str">
        <f>109996.33-H2629</f>
        <v>₹72,108.27</v>
      </c>
    </row>
    <row r="2630" ht="15.75" customHeight="1">
      <c r="A2630" s="53" t="s">
        <v>2703</v>
      </c>
      <c r="B2630" s="53" t="s">
        <v>17</v>
      </c>
      <c r="C2630" s="53" t="s">
        <v>33</v>
      </c>
      <c r="D2630" s="54">
        <v>126316.71</v>
      </c>
      <c r="E2630" s="54" t="str">
        <f t="shared" si="1"/>
        <v>₹1,515,800.52</v>
      </c>
      <c r="F2630" s="55" t="str">
        <f t="shared" si="2"/>
        <v>30.0%</v>
      </c>
      <c r="G2630" s="54" t="str">
        <f t="shared" si="3"/>
        <v>₹454,740.16</v>
      </c>
      <c r="H2630" s="54" t="str">
        <f t="shared" si="4"/>
        <v>₹37,895.01</v>
      </c>
      <c r="I2630" s="54" t="str">
        <f>110016.1-H2630</f>
        <v>₹72,121.09</v>
      </c>
    </row>
    <row r="2631" ht="15.75" customHeight="1">
      <c r="A2631" s="50" t="s">
        <v>2705</v>
      </c>
      <c r="B2631" s="50" t="s">
        <v>17</v>
      </c>
      <c r="C2631" s="50" t="s">
        <v>54</v>
      </c>
      <c r="D2631" s="51">
        <v>126363.07</v>
      </c>
      <c r="E2631" s="51" t="str">
        <f t="shared" si="1"/>
        <v>₹1,516,356.84</v>
      </c>
      <c r="F2631" s="52" t="str">
        <f t="shared" si="2"/>
        <v>30.0%</v>
      </c>
      <c r="G2631" s="51" t="str">
        <f t="shared" si="3"/>
        <v>₹454,907.05</v>
      </c>
      <c r="H2631" s="51" t="str">
        <f t="shared" si="4"/>
        <v>₹37,908.92</v>
      </c>
      <c r="I2631" s="51" t="str">
        <f>110055.67-H2631</f>
        <v>₹72,146.75</v>
      </c>
    </row>
    <row r="2632" ht="15.75" customHeight="1">
      <c r="A2632" s="53" t="s">
        <v>2706</v>
      </c>
      <c r="B2632" s="53" t="s">
        <v>36</v>
      </c>
      <c r="C2632" s="53" t="s">
        <v>14</v>
      </c>
      <c r="D2632" s="54">
        <v>126386.25</v>
      </c>
      <c r="E2632" s="54" t="str">
        <f t="shared" si="1"/>
        <v>₹1,516,635.00</v>
      </c>
      <c r="F2632" s="55" t="str">
        <f t="shared" si="2"/>
        <v>30.0%</v>
      </c>
      <c r="G2632" s="54" t="str">
        <f t="shared" si="3"/>
        <v>₹454,990.50</v>
      </c>
      <c r="H2632" s="54" t="str">
        <f t="shared" si="4"/>
        <v>₹37,915.88</v>
      </c>
      <c r="I2632" s="54" t="str">
        <f>110075.45-H2632</f>
        <v>₹72,159.58</v>
      </c>
    </row>
    <row r="2633" ht="15.75" customHeight="1">
      <c r="A2633" s="50" t="s">
        <v>2707</v>
      </c>
      <c r="B2633" s="50" t="s">
        <v>29</v>
      </c>
      <c r="C2633" s="50" t="s">
        <v>18</v>
      </c>
      <c r="D2633" s="51">
        <v>126409.43</v>
      </c>
      <c r="E2633" s="51" t="str">
        <f t="shared" si="1"/>
        <v>₹1,516,913.16</v>
      </c>
      <c r="F2633" s="52" t="str">
        <f t="shared" si="2"/>
        <v>30.0%</v>
      </c>
      <c r="G2633" s="51" t="str">
        <f t="shared" si="3"/>
        <v>₹455,073.95</v>
      </c>
      <c r="H2633" s="51" t="str">
        <f t="shared" si="4"/>
        <v>₹37,922.83</v>
      </c>
      <c r="I2633" s="51" t="str">
        <f>110095.23-H2633</f>
        <v>₹72,172.40</v>
      </c>
    </row>
    <row r="2634" ht="15.75" customHeight="1">
      <c r="A2634" s="53" t="s">
        <v>2708</v>
      </c>
      <c r="B2634" s="53" t="s">
        <v>29</v>
      </c>
      <c r="C2634" s="53" t="s">
        <v>33</v>
      </c>
      <c r="D2634" s="54">
        <v>126432.6</v>
      </c>
      <c r="E2634" s="54" t="str">
        <f t="shared" si="1"/>
        <v>₹1,517,191.20</v>
      </c>
      <c r="F2634" s="55" t="str">
        <f t="shared" si="2"/>
        <v>30.0%</v>
      </c>
      <c r="G2634" s="54" t="str">
        <f t="shared" si="3"/>
        <v>₹455,157.36</v>
      </c>
      <c r="H2634" s="54" t="str">
        <f t="shared" si="4"/>
        <v>₹37,929.78</v>
      </c>
      <c r="I2634" s="54" t="str">
        <f>110115-H2634</f>
        <v>₹72,185.22</v>
      </c>
    </row>
    <row r="2635" ht="15.75" customHeight="1">
      <c r="A2635" s="50" t="s">
        <v>2709</v>
      </c>
      <c r="B2635" s="50" t="s">
        <v>36</v>
      </c>
      <c r="C2635" s="50" t="s">
        <v>18</v>
      </c>
      <c r="D2635" s="51">
        <v>126455.78</v>
      </c>
      <c r="E2635" s="51" t="str">
        <f t="shared" si="1"/>
        <v>₹1,517,469.36</v>
      </c>
      <c r="F2635" s="52" t="str">
        <f t="shared" si="2"/>
        <v>30.0%</v>
      </c>
      <c r="G2635" s="51" t="str">
        <f t="shared" si="3"/>
        <v>₹455,240.81</v>
      </c>
      <c r="H2635" s="51" t="str">
        <f t="shared" si="4"/>
        <v>₹37,936.73</v>
      </c>
      <c r="I2635" s="51" t="str">
        <f>110134.79-H2635</f>
        <v>₹72,198.06</v>
      </c>
    </row>
    <row r="2636" ht="15.75" customHeight="1">
      <c r="A2636" s="53" t="s">
        <v>2710</v>
      </c>
      <c r="B2636" s="53" t="s">
        <v>53</v>
      </c>
      <c r="C2636" s="53" t="s">
        <v>30</v>
      </c>
      <c r="D2636" s="54">
        <v>126478.96</v>
      </c>
      <c r="E2636" s="54" t="str">
        <f t="shared" si="1"/>
        <v>₹1,517,747.52</v>
      </c>
      <c r="F2636" s="55" t="str">
        <f t="shared" si="2"/>
        <v>30.0%</v>
      </c>
      <c r="G2636" s="54" t="str">
        <f t="shared" si="3"/>
        <v>₹455,324.26</v>
      </c>
      <c r="H2636" s="54" t="str">
        <f t="shared" si="4"/>
        <v>₹37,943.69</v>
      </c>
      <c r="I2636" s="54" t="str">
        <f>110154.57-H2636</f>
        <v>₹72,210.88</v>
      </c>
    </row>
    <row r="2637" ht="15.75" customHeight="1">
      <c r="A2637" s="50" t="s">
        <v>2711</v>
      </c>
      <c r="B2637" s="50" t="s">
        <v>53</v>
      </c>
      <c r="C2637" s="50" t="s">
        <v>18</v>
      </c>
      <c r="D2637" s="51">
        <v>126502.14</v>
      </c>
      <c r="E2637" s="51" t="str">
        <f t="shared" si="1"/>
        <v>₹1,518,025.68</v>
      </c>
      <c r="F2637" s="52" t="str">
        <f t="shared" si="2"/>
        <v>30.0%</v>
      </c>
      <c r="G2637" s="51" t="str">
        <f t="shared" si="3"/>
        <v>₹455,407.70</v>
      </c>
      <c r="H2637" s="51" t="str">
        <f t="shared" si="4"/>
        <v>₹37,950.64</v>
      </c>
      <c r="I2637" s="51" t="str">
        <f>110174.35-H2637</f>
        <v>₹72,223.71</v>
      </c>
    </row>
    <row r="2638" ht="15.75" customHeight="1">
      <c r="A2638" s="53" t="s">
        <v>2712</v>
      </c>
      <c r="B2638" s="53" t="s">
        <v>53</v>
      </c>
      <c r="C2638" s="53" t="s">
        <v>33</v>
      </c>
      <c r="D2638" s="54">
        <v>126525.31</v>
      </c>
      <c r="E2638" s="54" t="str">
        <f t="shared" si="1"/>
        <v>₹1,518,303.72</v>
      </c>
      <c r="F2638" s="55" t="str">
        <f t="shared" si="2"/>
        <v>30.0%</v>
      </c>
      <c r="G2638" s="54" t="str">
        <f t="shared" si="3"/>
        <v>₹455,491.12</v>
      </c>
      <c r="H2638" s="54" t="str">
        <f t="shared" si="4"/>
        <v>₹37,957.59</v>
      </c>
      <c r="I2638" s="54" t="str">
        <f>110194.12-H2638</f>
        <v>₹72,236.53</v>
      </c>
    </row>
    <row r="2639" ht="15.75" customHeight="1">
      <c r="A2639" s="50" t="s">
        <v>2713</v>
      </c>
      <c r="B2639" s="50" t="s">
        <v>13</v>
      </c>
      <c r="C2639" s="50" t="s">
        <v>37</v>
      </c>
      <c r="D2639" s="51">
        <v>126548.49</v>
      </c>
      <c r="E2639" s="51" t="str">
        <f t="shared" si="1"/>
        <v>₹1,518,581.88</v>
      </c>
      <c r="F2639" s="52" t="str">
        <f t="shared" si="2"/>
        <v>30.0%</v>
      </c>
      <c r="G2639" s="51" t="str">
        <f t="shared" si="3"/>
        <v>₹455,574.56</v>
      </c>
      <c r="H2639" s="51" t="str">
        <f t="shared" si="4"/>
        <v>₹37,964.55</v>
      </c>
      <c r="I2639" s="51" t="str">
        <f>110213.91-H2639</f>
        <v>₹72,249.36</v>
      </c>
    </row>
    <row r="2640" ht="15.75" customHeight="1">
      <c r="A2640" s="53" t="s">
        <v>2714</v>
      </c>
      <c r="B2640" s="53" t="s">
        <v>17</v>
      </c>
      <c r="C2640" s="53" t="s">
        <v>18</v>
      </c>
      <c r="D2640" s="54">
        <v>126571.67</v>
      </c>
      <c r="E2640" s="54" t="str">
        <f t="shared" si="1"/>
        <v>₹1,518,860.04</v>
      </c>
      <c r="F2640" s="55" t="str">
        <f t="shared" si="2"/>
        <v>30.0%</v>
      </c>
      <c r="G2640" s="54" t="str">
        <f t="shared" si="3"/>
        <v>₹455,658.01</v>
      </c>
      <c r="H2640" s="54" t="str">
        <f t="shared" si="4"/>
        <v>₹37,971.50</v>
      </c>
      <c r="I2640" s="54" t="str">
        <f>110233.69-H2640</f>
        <v>₹72,262.19</v>
      </c>
    </row>
    <row r="2641" ht="15.75" customHeight="1">
      <c r="A2641" s="50" t="s">
        <v>2715</v>
      </c>
      <c r="B2641" s="50" t="s">
        <v>36</v>
      </c>
      <c r="C2641" s="50" t="s">
        <v>26</v>
      </c>
      <c r="D2641" s="51">
        <v>126594.85</v>
      </c>
      <c r="E2641" s="51" t="str">
        <f t="shared" si="1"/>
        <v>₹1,519,138.20</v>
      </c>
      <c r="F2641" s="52" t="str">
        <f t="shared" si="2"/>
        <v>30.0%</v>
      </c>
      <c r="G2641" s="51" t="str">
        <f t="shared" si="3"/>
        <v>₹455,741.46</v>
      </c>
      <c r="H2641" s="51" t="str">
        <f t="shared" si="4"/>
        <v>₹37,978.46</v>
      </c>
      <c r="I2641" s="51" t="str">
        <f>110253.47-H2641</f>
        <v>₹72,275.02</v>
      </c>
    </row>
    <row r="2642" ht="15.75" customHeight="1">
      <c r="A2642" s="53" t="s">
        <v>2716</v>
      </c>
      <c r="B2642" s="53" t="s">
        <v>36</v>
      </c>
      <c r="C2642" s="53" t="s">
        <v>54</v>
      </c>
      <c r="D2642" s="54">
        <v>126618.02</v>
      </c>
      <c r="E2642" s="54" t="str">
        <f t="shared" si="1"/>
        <v>₹1,519,416.24</v>
      </c>
      <c r="F2642" s="55" t="str">
        <f t="shared" si="2"/>
        <v>30.0%</v>
      </c>
      <c r="G2642" s="54" t="str">
        <f t="shared" si="3"/>
        <v>₹455,824.87</v>
      </c>
      <c r="H2642" s="54" t="str">
        <f t="shared" si="4"/>
        <v>₹37,985.41</v>
      </c>
      <c r="I2642" s="54" t="str">
        <f>110273.24-H2642</f>
        <v>₹72,287.83</v>
      </c>
    </row>
    <row r="2643" ht="15.75" customHeight="1">
      <c r="A2643" s="50" t="s">
        <v>2717</v>
      </c>
      <c r="B2643" s="50" t="s">
        <v>51</v>
      </c>
      <c r="C2643" s="50" t="s">
        <v>33</v>
      </c>
      <c r="D2643" s="51">
        <v>126641.2</v>
      </c>
      <c r="E2643" s="51" t="str">
        <f t="shared" si="1"/>
        <v>₹1,519,694.40</v>
      </c>
      <c r="F2643" s="52" t="str">
        <f t="shared" si="2"/>
        <v>30.0%</v>
      </c>
      <c r="G2643" s="51" t="str">
        <f t="shared" si="3"/>
        <v>₹455,908.32</v>
      </c>
      <c r="H2643" s="51" t="str">
        <f t="shared" si="4"/>
        <v>₹37,992.36</v>
      </c>
      <c r="I2643" s="51" t="str">
        <f>110293.03-H2643</f>
        <v>₹72,300.67</v>
      </c>
    </row>
    <row r="2644" ht="15.75" customHeight="1">
      <c r="A2644" s="53" t="s">
        <v>2718</v>
      </c>
      <c r="B2644" s="53" t="s">
        <v>51</v>
      </c>
      <c r="C2644" s="53" t="s">
        <v>26</v>
      </c>
      <c r="D2644" s="54">
        <v>126664.38</v>
      </c>
      <c r="E2644" s="54" t="str">
        <f t="shared" si="1"/>
        <v>₹1,519,972.56</v>
      </c>
      <c r="F2644" s="55" t="str">
        <f t="shared" si="2"/>
        <v>30.0%</v>
      </c>
      <c r="G2644" s="54" t="str">
        <f t="shared" si="3"/>
        <v>₹455,991.77</v>
      </c>
      <c r="H2644" s="54" t="str">
        <f t="shared" si="4"/>
        <v>₹37,999.31</v>
      </c>
      <c r="I2644" s="54" t="str">
        <f>110312.81-H2644</f>
        <v>₹72,313.50</v>
      </c>
    </row>
    <row r="2645" ht="15.75" customHeight="1">
      <c r="A2645" s="50" t="s">
        <v>2719</v>
      </c>
      <c r="B2645" s="50" t="s">
        <v>13</v>
      </c>
      <c r="C2645" s="50" t="s">
        <v>14</v>
      </c>
      <c r="D2645" s="51">
        <v>126687.56</v>
      </c>
      <c r="E2645" s="51" t="str">
        <f t="shared" si="1"/>
        <v>₹1,520,250.72</v>
      </c>
      <c r="F2645" s="52" t="str">
        <f t="shared" si="2"/>
        <v>30.0%</v>
      </c>
      <c r="G2645" s="51" t="str">
        <f t="shared" si="3"/>
        <v>₹456,075.22</v>
      </c>
      <c r="H2645" s="51" t="str">
        <f t="shared" si="4"/>
        <v>₹38,006.27</v>
      </c>
      <c r="I2645" s="51" t="str">
        <f>110332.59-H2645</f>
        <v>₹72,326.32</v>
      </c>
    </row>
    <row r="2646" ht="15.75" customHeight="1">
      <c r="A2646" s="53" t="s">
        <v>2720</v>
      </c>
      <c r="B2646" s="53" t="s">
        <v>29</v>
      </c>
      <c r="C2646" s="53" t="s">
        <v>54</v>
      </c>
      <c r="D2646" s="54">
        <v>126710.74</v>
      </c>
      <c r="E2646" s="54" t="str">
        <f t="shared" si="1"/>
        <v>₹1,520,528.88</v>
      </c>
      <c r="F2646" s="55" t="str">
        <f t="shared" si="2"/>
        <v>30.0%</v>
      </c>
      <c r="G2646" s="54" t="str">
        <f t="shared" si="3"/>
        <v>₹456,158.66</v>
      </c>
      <c r="H2646" s="54" t="str">
        <f t="shared" si="4"/>
        <v>₹38,013.22</v>
      </c>
      <c r="I2646" s="54" t="str">
        <f>110352.37-H2646</f>
        <v>₹72,339.15</v>
      </c>
    </row>
    <row r="2647" ht="15.75" customHeight="1">
      <c r="A2647" s="50" t="s">
        <v>2721</v>
      </c>
      <c r="B2647" s="50" t="s">
        <v>13</v>
      </c>
      <c r="C2647" s="50" t="s">
        <v>33</v>
      </c>
      <c r="D2647" s="51">
        <v>126733.91</v>
      </c>
      <c r="E2647" s="51" t="str">
        <f t="shared" si="1"/>
        <v>₹1,520,806.92</v>
      </c>
      <c r="F2647" s="52" t="str">
        <f t="shared" si="2"/>
        <v>30.0%</v>
      </c>
      <c r="G2647" s="51" t="str">
        <f t="shared" si="3"/>
        <v>₹456,242.08</v>
      </c>
      <c r="H2647" s="51" t="str">
        <f t="shared" si="4"/>
        <v>₹38,020.17</v>
      </c>
      <c r="I2647" s="51" t="str">
        <f>110372.15-H2647</f>
        <v>₹72,351.98</v>
      </c>
    </row>
    <row r="2648" ht="15.75" customHeight="1">
      <c r="A2648" s="53" t="s">
        <v>2722</v>
      </c>
      <c r="B2648" s="53" t="s">
        <v>25</v>
      </c>
      <c r="C2648" s="53" t="s">
        <v>54</v>
      </c>
      <c r="D2648" s="54">
        <v>126757.09</v>
      </c>
      <c r="E2648" s="54" t="str">
        <f t="shared" si="1"/>
        <v>₹1,521,085.08</v>
      </c>
      <c r="F2648" s="55" t="str">
        <f t="shared" si="2"/>
        <v>30.0%</v>
      </c>
      <c r="G2648" s="54" t="str">
        <f t="shared" si="3"/>
        <v>₹456,325.52</v>
      </c>
      <c r="H2648" s="54" t="str">
        <f t="shared" si="4"/>
        <v>₹38,027.13</v>
      </c>
      <c r="I2648" s="54" t="str">
        <f>110391.93-H2648</f>
        <v>₹72,364.80</v>
      </c>
    </row>
    <row r="2649" ht="15.75" customHeight="1">
      <c r="A2649" s="50" t="s">
        <v>2723</v>
      </c>
      <c r="B2649" s="50" t="s">
        <v>36</v>
      </c>
      <c r="C2649" s="50" t="s">
        <v>26</v>
      </c>
      <c r="D2649" s="51">
        <v>126780.27</v>
      </c>
      <c r="E2649" s="51" t="str">
        <f t="shared" si="1"/>
        <v>₹1,521,363.24</v>
      </c>
      <c r="F2649" s="52" t="str">
        <f t="shared" si="2"/>
        <v>30.0%</v>
      </c>
      <c r="G2649" s="51" t="str">
        <f t="shared" si="3"/>
        <v>₹456,408.97</v>
      </c>
      <c r="H2649" s="51" t="str">
        <f t="shared" si="4"/>
        <v>₹38,034.08</v>
      </c>
      <c r="I2649" s="51" t="str">
        <f>110411.71-H2649</f>
        <v>₹72,377.63</v>
      </c>
    </row>
    <row r="2650" ht="15.75" customHeight="1">
      <c r="A2650" s="53" t="s">
        <v>2724</v>
      </c>
      <c r="B2650" s="53" t="s">
        <v>29</v>
      </c>
      <c r="C2650" s="53" t="s">
        <v>33</v>
      </c>
      <c r="D2650" s="54">
        <v>126803.45</v>
      </c>
      <c r="E2650" s="54" t="str">
        <f t="shared" si="1"/>
        <v>₹1,521,641.40</v>
      </c>
      <c r="F2650" s="55" t="str">
        <f t="shared" si="2"/>
        <v>30.0%</v>
      </c>
      <c r="G2650" s="54" t="str">
        <f t="shared" si="3"/>
        <v>₹456,492.42</v>
      </c>
      <c r="H2650" s="54" t="str">
        <f t="shared" si="4"/>
        <v>₹38,041.04</v>
      </c>
      <c r="I2650" s="54" t="str">
        <f>110431.49-H2650</f>
        <v>₹72,390.46</v>
      </c>
    </row>
    <row r="2651" ht="15.75" customHeight="1">
      <c r="A2651" s="50" t="s">
        <v>2725</v>
      </c>
      <c r="B2651" s="50" t="s">
        <v>36</v>
      </c>
      <c r="C2651" s="50" t="s">
        <v>26</v>
      </c>
      <c r="D2651" s="51">
        <v>126826.62</v>
      </c>
      <c r="E2651" s="51" t="str">
        <f t="shared" si="1"/>
        <v>₹1,521,919.44</v>
      </c>
      <c r="F2651" s="52" t="str">
        <f t="shared" si="2"/>
        <v>30.0%</v>
      </c>
      <c r="G2651" s="51" t="str">
        <f t="shared" si="3"/>
        <v>₹456,575.83</v>
      </c>
      <c r="H2651" s="51" t="str">
        <f t="shared" si="4"/>
        <v>₹38,047.99</v>
      </c>
      <c r="I2651" s="51" t="str">
        <f>110451.26-H2651</f>
        <v>₹72,403.27</v>
      </c>
    </row>
    <row r="2652" ht="15.75" customHeight="1">
      <c r="A2652" s="53" t="s">
        <v>2726</v>
      </c>
      <c r="B2652" s="53" t="s">
        <v>29</v>
      </c>
      <c r="C2652" s="53" t="s">
        <v>54</v>
      </c>
      <c r="D2652" s="54">
        <v>126849.8</v>
      </c>
      <c r="E2652" s="54" t="str">
        <f t="shared" si="1"/>
        <v>₹1,522,197.60</v>
      </c>
      <c r="F2652" s="55" t="str">
        <f t="shared" si="2"/>
        <v>30.0%</v>
      </c>
      <c r="G2652" s="54" t="str">
        <f t="shared" si="3"/>
        <v>₹456,659.28</v>
      </c>
      <c r="H2652" s="54" t="str">
        <f t="shared" si="4"/>
        <v>₹38,054.94</v>
      </c>
      <c r="I2652" s="54" t="str">
        <f>110471.05-H2652</f>
        <v>₹72,416.11</v>
      </c>
    </row>
    <row r="2653" ht="15.75" customHeight="1">
      <c r="A2653" s="50" t="s">
        <v>2727</v>
      </c>
      <c r="B2653" s="50" t="s">
        <v>13</v>
      </c>
      <c r="C2653" s="50" t="s">
        <v>14</v>
      </c>
      <c r="D2653" s="51">
        <v>126872.98</v>
      </c>
      <c r="E2653" s="51" t="str">
        <f t="shared" si="1"/>
        <v>₹1,522,475.76</v>
      </c>
      <c r="F2653" s="52" t="str">
        <f t="shared" si="2"/>
        <v>30.0%</v>
      </c>
      <c r="G2653" s="51" t="str">
        <f t="shared" si="3"/>
        <v>₹456,742.73</v>
      </c>
      <c r="H2653" s="51" t="str">
        <f t="shared" si="4"/>
        <v>₹38,061.89</v>
      </c>
      <c r="I2653" s="51" t="str">
        <f>110490.83-H2653</f>
        <v>₹72,428.94</v>
      </c>
    </row>
    <row r="2654" ht="15.75" customHeight="1">
      <c r="A2654" s="53" t="s">
        <v>2728</v>
      </c>
      <c r="B2654" s="53" t="s">
        <v>13</v>
      </c>
      <c r="C2654" s="53" t="s">
        <v>26</v>
      </c>
      <c r="D2654" s="54">
        <v>126896.16</v>
      </c>
      <c r="E2654" s="54" t="str">
        <f t="shared" si="1"/>
        <v>₹1,522,753.92</v>
      </c>
      <c r="F2654" s="55" t="str">
        <f t="shared" si="2"/>
        <v>30.0%</v>
      </c>
      <c r="G2654" s="54" t="str">
        <f t="shared" si="3"/>
        <v>₹456,826.18</v>
      </c>
      <c r="H2654" s="54" t="str">
        <f t="shared" si="4"/>
        <v>₹38,068.85</v>
      </c>
      <c r="I2654" s="54" t="str">
        <f>110510.61-H2654</f>
        <v>₹72,441.76</v>
      </c>
    </row>
    <row r="2655" ht="15.75" customHeight="1">
      <c r="A2655" s="50" t="s">
        <v>2729</v>
      </c>
      <c r="B2655" s="50" t="s">
        <v>51</v>
      </c>
      <c r="C2655" s="50" t="s">
        <v>30</v>
      </c>
      <c r="D2655" s="51">
        <v>126919.33</v>
      </c>
      <c r="E2655" s="51" t="str">
        <f t="shared" si="1"/>
        <v>₹1,523,031.96</v>
      </c>
      <c r="F2655" s="52" t="str">
        <f t="shared" si="2"/>
        <v>30.0%</v>
      </c>
      <c r="G2655" s="51" t="str">
        <f t="shared" si="3"/>
        <v>₹456,909.59</v>
      </c>
      <c r="H2655" s="51" t="str">
        <f t="shared" si="4"/>
        <v>₹38,075.80</v>
      </c>
      <c r="I2655" s="51" t="str">
        <f>110530.38-H2655</f>
        <v>₹72,454.58</v>
      </c>
    </row>
    <row r="2656" ht="15.75" customHeight="1">
      <c r="A2656" s="53" t="s">
        <v>2730</v>
      </c>
      <c r="B2656" s="53" t="s">
        <v>51</v>
      </c>
      <c r="C2656" s="53" t="s">
        <v>37</v>
      </c>
      <c r="D2656" s="54">
        <v>126942.51</v>
      </c>
      <c r="E2656" s="54" t="str">
        <f t="shared" si="1"/>
        <v>₹1,523,310.12</v>
      </c>
      <c r="F2656" s="55" t="str">
        <f t="shared" si="2"/>
        <v>30.0%</v>
      </c>
      <c r="G2656" s="54" t="str">
        <f t="shared" si="3"/>
        <v>₹456,993.04</v>
      </c>
      <c r="H2656" s="54" t="str">
        <f t="shared" si="4"/>
        <v>₹38,082.75</v>
      </c>
      <c r="I2656" s="54" t="str">
        <f>110550.17-H2656</f>
        <v>₹72,467.42</v>
      </c>
    </row>
    <row r="2657" ht="15.75" customHeight="1">
      <c r="A2657" s="50" t="s">
        <v>2731</v>
      </c>
      <c r="B2657" s="50" t="s">
        <v>13</v>
      </c>
      <c r="C2657" s="50" t="s">
        <v>18</v>
      </c>
      <c r="D2657" s="51">
        <v>126965.69</v>
      </c>
      <c r="E2657" s="51" t="str">
        <f t="shared" si="1"/>
        <v>₹1,523,588.28</v>
      </c>
      <c r="F2657" s="52" t="str">
        <f t="shared" si="2"/>
        <v>30.0%</v>
      </c>
      <c r="G2657" s="51" t="str">
        <f t="shared" si="3"/>
        <v>₹457,076.48</v>
      </c>
      <c r="H2657" s="51" t="str">
        <f t="shared" si="4"/>
        <v>₹38,089.71</v>
      </c>
      <c r="I2657" s="51" t="str">
        <f>110569.95-H2657</f>
        <v>₹72,480.24</v>
      </c>
    </row>
    <row r="2658" ht="15.75" customHeight="1">
      <c r="A2658" s="53" t="s">
        <v>2732</v>
      </c>
      <c r="B2658" s="53" t="s">
        <v>51</v>
      </c>
      <c r="C2658" s="53" t="s">
        <v>33</v>
      </c>
      <c r="D2658" s="54">
        <v>126988.87</v>
      </c>
      <c r="E2658" s="54" t="str">
        <f t="shared" si="1"/>
        <v>₹1,523,866.44</v>
      </c>
      <c r="F2658" s="55" t="str">
        <f t="shared" si="2"/>
        <v>30.0%</v>
      </c>
      <c r="G2658" s="54" t="str">
        <f t="shared" si="3"/>
        <v>₹457,159.93</v>
      </c>
      <c r="H2658" s="54" t="str">
        <f t="shared" si="4"/>
        <v>₹38,096.66</v>
      </c>
      <c r="I2658" s="54" t="str">
        <f>110589.73-H2658</f>
        <v>₹72,493.07</v>
      </c>
    </row>
    <row r="2659" ht="15.75" customHeight="1">
      <c r="A2659" s="50" t="s">
        <v>2733</v>
      </c>
      <c r="B2659" s="50" t="s">
        <v>25</v>
      </c>
      <c r="C2659" s="50" t="s">
        <v>54</v>
      </c>
      <c r="D2659" s="51">
        <v>127012.05</v>
      </c>
      <c r="E2659" s="51" t="str">
        <f t="shared" si="1"/>
        <v>₹1,524,144.60</v>
      </c>
      <c r="F2659" s="52" t="str">
        <f t="shared" si="2"/>
        <v>30.0%</v>
      </c>
      <c r="G2659" s="51" t="str">
        <f t="shared" si="3"/>
        <v>₹457,243.38</v>
      </c>
      <c r="H2659" s="51" t="str">
        <f t="shared" si="4"/>
        <v>₹38,103.62</v>
      </c>
      <c r="I2659" s="51" t="str">
        <f>110609.51-H2659</f>
        <v>₹72,505.90</v>
      </c>
    </row>
    <row r="2660" ht="15.75" customHeight="1">
      <c r="A2660" s="53" t="s">
        <v>2734</v>
      </c>
      <c r="B2660" s="53" t="s">
        <v>17</v>
      </c>
      <c r="C2660" s="53" t="s">
        <v>14</v>
      </c>
      <c r="D2660" s="54">
        <v>127035.22</v>
      </c>
      <c r="E2660" s="54" t="str">
        <f t="shared" si="1"/>
        <v>₹1,524,422.64</v>
      </c>
      <c r="F2660" s="55" t="str">
        <f t="shared" si="2"/>
        <v>30.0%</v>
      </c>
      <c r="G2660" s="54" t="str">
        <f t="shared" si="3"/>
        <v>₹457,326.79</v>
      </c>
      <c r="H2660" s="54" t="str">
        <f t="shared" si="4"/>
        <v>₹38,110.57</v>
      </c>
      <c r="I2660" s="54" t="str">
        <f>110629.29-H2660</f>
        <v>₹72,518.72</v>
      </c>
    </row>
    <row r="2661" ht="15.75" customHeight="1">
      <c r="A2661" s="50" t="s">
        <v>2735</v>
      </c>
      <c r="B2661" s="50" t="s">
        <v>29</v>
      </c>
      <c r="C2661" s="50" t="s">
        <v>14</v>
      </c>
      <c r="D2661" s="51">
        <v>127058.4</v>
      </c>
      <c r="E2661" s="51" t="str">
        <f t="shared" si="1"/>
        <v>₹1,524,700.80</v>
      </c>
      <c r="F2661" s="52" t="str">
        <f t="shared" si="2"/>
        <v>30.0%</v>
      </c>
      <c r="G2661" s="51" t="str">
        <f t="shared" si="3"/>
        <v>₹457,410.24</v>
      </c>
      <c r="H2661" s="51" t="str">
        <f t="shared" si="4"/>
        <v>₹38,117.52</v>
      </c>
      <c r="I2661" s="51" t="str">
        <f>110649.07-H2661</f>
        <v>₹72,531.55</v>
      </c>
    </row>
    <row r="2662" ht="15.75" customHeight="1">
      <c r="A2662" s="53" t="s">
        <v>2736</v>
      </c>
      <c r="B2662" s="53" t="s">
        <v>25</v>
      </c>
      <c r="C2662" s="53" t="s">
        <v>37</v>
      </c>
      <c r="D2662" s="54">
        <v>127081.58</v>
      </c>
      <c r="E2662" s="54" t="str">
        <f t="shared" si="1"/>
        <v>₹1,524,978.96</v>
      </c>
      <c r="F2662" s="55" t="str">
        <f t="shared" si="2"/>
        <v>30.0%</v>
      </c>
      <c r="G2662" s="54" t="str">
        <f t="shared" si="3"/>
        <v>₹457,493.69</v>
      </c>
      <c r="H2662" s="54" t="str">
        <f t="shared" si="4"/>
        <v>₹38,124.47</v>
      </c>
      <c r="I2662" s="54" t="str">
        <f>110668.85-H2662</f>
        <v>₹72,544.38</v>
      </c>
    </row>
    <row r="2663" ht="15.75" customHeight="1">
      <c r="A2663" s="50" t="s">
        <v>2737</v>
      </c>
      <c r="B2663" s="50" t="s">
        <v>13</v>
      </c>
      <c r="C2663" s="50" t="s">
        <v>18</v>
      </c>
      <c r="D2663" s="51">
        <v>127104.76</v>
      </c>
      <c r="E2663" s="51" t="str">
        <f t="shared" si="1"/>
        <v>₹1,525,257.12</v>
      </c>
      <c r="F2663" s="52" t="str">
        <f t="shared" si="2"/>
        <v>30.0%</v>
      </c>
      <c r="G2663" s="51" t="str">
        <f t="shared" si="3"/>
        <v>₹457,577.14</v>
      </c>
      <c r="H2663" s="51" t="str">
        <f t="shared" si="4"/>
        <v>₹38,131.43</v>
      </c>
      <c r="I2663" s="51" t="str">
        <f>110688.63-H2663</f>
        <v>₹72,557.20</v>
      </c>
    </row>
    <row r="2664" ht="15.75" customHeight="1">
      <c r="A2664" s="53" t="s">
        <v>2738</v>
      </c>
      <c r="B2664" s="53" t="s">
        <v>25</v>
      </c>
      <c r="C2664" s="53" t="s">
        <v>18</v>
      </c>
      <c r="D2664" s="54">
        <v>127127.93</v>
      </c>
      <c r="E2664" s="54" t="str">
        <f t="shared" si="1"/>
        <v>₹1,525,535.16</v>
      </c>
      <c r="F2664" s="55" t="str">
        <f t="shared" si="2"/>
        <v>30.0%</v>
      </c>
      <c r="G2664" s="54" t="str">
        <f t="shared" si="3"/>
        <v>₹457,660.55</v>
      </c>
      <c r="H2664" s="54" t="str">
        <f t="shared" si="4"/>
        <v>₹38,138.38</v>
      </c>
      <c r="I2664" s="54" t="str">
        <f>110708.41-H2664</f>
        <v>₹72,570.03</v>
      </c>
    </row>
    <row r="2665" ht="15.75" customHeight="1">
      <c r="A2665" s="50" t="s">
        <v>2739</v>
      </c>
      <c r="B2665" s="50" t="s">
        <v>36</v>
      </c>
      <c r="C2665" s="50" t="s">
        <v>18</v>
      </c>
      <c r="D2665" s="51">
        <v>127151.11</v>
      </c>
      <c r="E2665" s="51" t="str">
        <f t="shared" si="1"/>
        <v>₹1,525,813.32</v>
      </c>
      <c r="F2665" s="52" t="str">
        <f t="shared" si="2"/>
        <v>30.0%</v>
      </c>
      <c r="G2665" s="51" t="str">
        <f t="shared" si="3"/>
        <v>₹457,744.00</v>
      </c>
      <c r="H2665" s="51" t="str">
        <f t="shared" si="4"/>
        <v>₹38,145.33</v>
      </c>
      <c r="I2665" s="51" t="str">
        <f>110728.19-H2665</f>
        <v>₹72,582.86</v>
      </c>
    </row>
    <row r="2666" ht="15.75" customHeight="1">
      <c r="A2666" s="53" t="s">
        <v>2740</v>
      </c>
      <c r="B2666" s="53" t="s">
        <v>51</v>
      </c>
      <c r="C2666" s="53" t="s">
        <v>14</v>
      </c>
      <c r="D2666" s="54">
        <v>127197.47</v>
      </c>
      <c r="E2666" s="54" t="str">
        <f t="shared" si="1"/>
        <v>₹1,526,369.64</v>
      </c>
      <c r="F2666" s="55" t="str">
        <f t="shared" si="2"/>
        <v>30.0%</v>
      </c>
      <c r="G2666" s="54" t="str">
        <f t="shared" si="3"/>
        <v>₹457,910.89</v>
      </c>
      <c r="H2666" s="54" t="str">
        <f t="shared" si="4"/>
        <v>₹38,159.24</v>
      </c>
      <c r="I2666" s="54" t="str">
        <f>110767.75-H2666</f>
        <v>₹72,608.51</v>
      </c>
    </row>
    <row r="2667" ht="15.75" customHeight="1">
      <c r="A2667" s="50" t="s">
        <v>2741</v>
      </c>
      <c r="B2667" s="50" t="s">
        <v>53</v>
      </c>
      <c r="C2667" s="50" t="s">
        <v>37</v>
      </c>
      <c r="D2667" s="51">
        <v>127220.64</v>
      </c>
      <c r="E2667" s="51" t="str">
        <f t="shared" si="1"/>
        <v>₹1,526,647.68</v>
      </c>
      <c r="F2667" s="52" t="str">
        <f t="shared" si="2"/>
        <v>30.0%</v>
      </c>
      <c r="G2667" s="51" t="str">
        <f t="shared" si="3"/>
        <v>₹457,994.30</v>
      </c>
      <c r="H2667" s="51" t="str">
        <f t="shared" si="4"/>
        <v>₹38,166.19</v>
      </c>
      <c r="I2667" s="51" t="str">
        <f>110787.53-H2667</f>
        <v>₹72,621.34</v>
      </c>
    </row>
    <row r="2668" ht="15.75" customHeight="1">
      <c r="A2668" s="53" t="s">
        <v>2742</v>
      </c>
      <c r="B2668" s="53" t="s">
        <v>17</v>
      </c>
      <c r="C2668" s="53" t="s">
        <v>37</v>
      </c>
      <c r="D2668" s="54">
        <v>127243.82</v>
      </c>
      <c r="E2668" s="54" t="str">
        <f t="shared" si="1"/>
        <v>₹1,526,925.84</v>
      </c>
      <c r="F2668" s="55" t="str">
        <f t="shared" si="2"/>
        <v>30.0%</v>
      </c>
      <c r="G2668" s="54" t="str">
        <f t="shared" si="3"/>
        <v>₹458,077.75</v>
      </c>
      <c r="H2668" s="54" t="str">
        <f t="shared" si="4"/>
        <v>₹38,173.15</v>
      </c>
      <c r="I2668" s="54" t="str">
        <f>110807.31-H2668</f>
        <v>₹72,634.16</v>
      </c>
    </row>
    <row r="2669" ht="15.75" customHeight="1">
      <c r="A2669" s="50" t="s">
        <v>2743</v>
      </c>
      <c r="B2669" s="50" t="s">
        <v>25</v>
      </c>
      <c r="C2669" s="50" t="s">
        <v>14</v>
      </c>
      <c r="D2669" s="51">
        <v>127267.0</v>
      </c>
      <c r="E2669" s="51" t="str">
        <f t="shared" si="1"/>
        <v>₹1,527,204.00</v>
      </c>
      <c r="F2669" s="52" t="str">
        <f t="shared" si="2"/>
        <v>30.0%</v>
      </c>
      <c r="G2669" s="51" t="str">
        <f t="shared" si="3"/>
        <v>₹458,161.20</v>
      </c>
      <c r="H2669" s="51" t="str">
        <f t="shared" si="4"/>
        <v>₹38,180.10</v>
      </c>
      <c r="I2669" s="51" t="str">
        <f>110827.09-H2669</f>
        <v>₹72,646.99</v>
      </c>
    </row>
    <row r="2670" ht="15.75" customHeight="1">
      <c r="A2670" s="53" t="s">
        <v>2744</v>
      </c>
      <c r="B2670" s="53" t="s">
        <v>53</v>
      </c>
      <c r="C2670" s="53" t="s">
        <v>54</v>
      </c>
      <c r="D2670" s="54">
        <v>127290.18</v>
      </c>
      <c r="E2670" s="54" t="str">
        <f t="shared" si="1"/>
        <v>₹1,527,482.16</v>
      </c>
      <c r="F2670" s="55" t="str">
        <f t="shared" si="2"/>
        <v>30.0%</v>
      </c>
      <c r="G2670" s="54" t="str">
        <f t="shared" si="3"/>
        <v>₹458,244.65</v>
      </c>
      <c r="H2670" s="54" t="str">
        <f t="shared" si="4"/>
        <v>₹38,187.05</v>
      </c>
      <c r="I2670" s="54" t="str">
        <f>110846.87-H2670</f>
        <v>₹72,659.82</v>
      </c>
    </row>
    <row r="2671" ht="15.75" customHeight="1">
      <c r="A2671" s="50" t="s">
        <v>2745</v>
      </c>
      <c r="B2671" s="50" t="s">
        <v>53</v>
      </c>
      <c r="C2671" s="50" t="s">
        <v>14</v>
      </c>
      <c r="D2671" s="51">
        <v>127313.36</v>
      </c>
      <c r="E2671" s="51" t="str">
        <f t="shared" si="1"/>
        <v>₹1,527,760.32</v>
      </c>
      <c r="F2671" s="52" t="str">
        <f t="shared" si="2"/>
        <v>30.0%</v>
      </c>
      <c r="G2671" s="51" t="str">
        <f t="shared" si="3"/>
        <v>₹458,328.10</v>
      </c>
      <c r="H2671" s="51" t="str">
        <f t="shared" si="4"/>
        <v>₹38,194.01</v>
      </c>
      <c r="I2671" s="51" t="str">
        <f>110866.66-H2671</f>
        <v>₹72,672.65</v>
      </c>
    </row>
    <row r="2672" ht="15.75" customHeight="1">
      <c r="A2672" s="53" t="s">
        <v>2746</v>
      </c>
      <c r="B2672" s="53" t="s">
        <v>25</v>
      </c>
      <c r="C2672" s="53" t="s">
        <v>54</v>
      </c>
      <c r="D2672" s="54">
        <v>127336.53</v>
      </c>
      <c r="E2672" s="54" t="str">
        <f t="shared" si="1"/>
        <v>₹1,528,038.36</v>
      </c>
      <c r="F2672" s="55" t="str">
        <f t="shared" si="2"/>
        <v>30.0%</v>
      </c>
      <c r="G2672" s="54" t="str">
        <f t="shared" si="3"/>
        <v>₹458,411.51</v>
      </c>
      <c r="H2672" s="54" t="str">
        <f t="shared" si="4"/>
        <v>₹38,200.96</v>
      </c>
      <c r="I2672" s="54" t="str">
        <f>110886.43-H2672</f>
        <v>₹72,685.47</v>
      </c>
    </row>
    <row r="2673" ht="15.75" customHeight="1">
      <c r="A2673" s="50" t="s">
        <v>2747</v>
      </c>
      <c r="B2673" s="50" t="s">
        <v>25</v>
      </c>
      <c r="C2673" s="50" t="s">
        <v>26</v>
      </c>
      <c r="D2673" s="51">
        <v>127359.71</v>
      </c>
      <c r="E2673" s="51" t="str">
        <f t="shared" si="1"/>
        <v>₹1,528,316.52</v>
      </c>
      <c r="F2673" s="52" t="str">
        <f t="shared" si="2"/>
        <v>30.0%</v>
      </c>
      <c r="G2673" s="51" t="str">
        <f t="shared" si="3"/>
        <v>₹458,494.96</v>
      </c>
      <c r="H2673" s="51" t="str">
        <f t="shared" si="4"/>
        <v>₹38,207.91</v>
      </c>
      <c r="I2673" s="51" t="str">
        <f>110906.21-H2673</f>
        <v>₹72,698.30</v>
      </c>
    </row>
    <row r="2674" ht="15.75" customHeight="1">
      <c r="A2674" s="53" t="s">
        <v>2748</v>
      </c>
      <c r="B2674" s="53" t="s">
        <v>53</v>
      </c>
      <c r="C2674" s="53" t="s">
        <v>26</v>
      </c>
      <c r="D2674" s="54">
        <v>127382.89</v>
      </c>
      <c r="E2674" s="54" t="str">
        <f t="shared" si="1"/>
        <v>₹1,528,594.68</v>
      </c>
      <c r="F2674" s="55" t="str">
        <f t="shared" si="2"/>
        <v>30.0%</v>
      </c>
      <c r="G2674" s="54" t="str">
        <f t="shared" si="3"/>
        <v>₹458,578.40</v>
      </c>
      <c r="H2674" s="54" t="str">
        <f t="shared" si="4"/>
        <v>₹38,214.87</v>
      </c>
      <c r="I2674" s="54" t="str">
        <f>110925.99-H2674</f>
        <v>₹72,711.12</v>
      </c>
    </row>
    <row r="2675" ht="15.75" customHeight="1">
      <c r="A2675" s="50" t="s">
        <v>2749</v>
      </c>
      <c r="B2675" s="50" t="s">
        <v>53</v>
      </c>
      <c r="C2675" s="50" t="s">
        <v>33</v>
      </c>
      <c r="D2675" s="51">
        <v>127406.07</v>
      </c>
      <c r="E2675" s="51" t="str">
        <f t="shared" si="1"/>
        <v>₹1,528,872.84</v>
      </c>
      <c r="F2675" s="52" t="str">
        <f t="shared" si="2"/>
        <v>30.0%</v>
      </c>
      <c r="G2675" s="51" t="str">
        <f t="shared" si="3"/>
        <v>₹458,661.85</v>
      </c>
      <c r="H2675" s="51" t="str">
        <f t="shared" si="4"/>
        <v>₹38,221.82</v>
      </c>
      <c r="I2675" s="51" t="str">
        <f>110945.78-H2675</f>
        <v>₹72,723.96</v>
      </c>
    </row>
    <row r="2676" ht="15.75" customHeight="1">
      <c r="A2676" s="53" t="s">
        <v>2750</v>
      </c>
      <c r="B2676" s="53" t="s">
        <v>51</v>
      </c>
      <c r="C2676" s="53" t="s">
        <v>54</v>
      </c>
      <c r="D2676" s="54">
        <v>127429.24</v>
      </c>
      <c r="E2676" s="54" t="str">
        <f t="shared" si="1"/>
        <v>₹1,529,150.88</v>
      </c>
      <c r="F2676" s="55" t="str">
        <f t="shared" si="2"/>
        <v>30.0%</v>
      </c>
      <c r="G2676" s="54" t="str">
        <f t="shared" si="3"/>
        <v>₹458,745.26</v>
      </c>
      <c r="H2676" s="54" t="str">
        <f t="shared" si="4"/>
        <v>₹38,228.77</v>
      </c>
      <c r="I2676" s="54" t="str">
        <f>110965.55-H2676</f>
        <v>₹72,736.78</v>
      </c>
    </row>
    <row r="2677" ht="15.75" customHeight="1">
      <c r="A2677" s="50" t="s">
        <v>2751</v>
      </c>
      <c r="B2677" s="50" t="s">
        <v>36</v>
      </c>
      <c r="C2677" s="50" t="s">
        <v>54</v>
      </c>
      <c r="D2677" s="51">
        <v>127452.42</v>
      </c>
      <c r="E2677" s="51" t="str">
        <f t="shared" si="1"/>
        <v>₹1,529,429.04</v>
      </c>
      <c r="F2677" s="52" t="str">
        <f t="shared" si="2"/>
        <v>30.0%</v>
      </c>
      <c r="G2677" s="51" t="str">
        <f t="shared" si="3"/>
        <v>₹458,828.71</v>
      </c>
      <c r="H2677" s="51" t="str">
        <f t="shared" si="4"/>
        <v>₹38,235.73</v>
      </c>
      <c r="I2677" s="51" t="str">
        <f>110985.33-H2677</f>
        <v>₹72,749.60</v>
      </c>
    </row>
    <row r="2678" ht="15.75" customHeight="1">
      <c r="A2678" s="53" t="s">
        <v>2752</v>
      </c>
      <c r="B2678" s="53" t="s">
        <v>13</v>
      </c>
      <c r="C2678" s="53" t="s">
        <v>18</v>
      </c>
      <c r="D2678" s="54">
        <v>127475.6</v>
      </c>
      <c r="E2678" s="54" t="str">
        <f t="shared" si="1"/>
        <v>₹1,529,707.20</v>
      </c>
      <c r="F2678" s="55" t="str">
        <f t="shared" si="2"/>
        <v>30.0%</v>
      </c>
      <c r="G2678" s="54" t="str">
        <f t="shared" si="3"/>
        <v>₹458,912.16</v>
      </c>
      <c r="H2678" s="54" t="str">
        <f t="shared" si="4"/>
        <v>₹38,242.68</v>
      </c>
      <c r="I2678" s="54" t="str">
        <f>111005.11-H2678</f>
        <v>₹72,762.43</v>
      </c>
    </row>
    <row r="2679" ht="15.75" customHeight="1">
      <c r="A2679" s="50" t="s">
        <v>2753</v>
      </c>
      <c r="B2679" s="50" t="s">
        <v>13</v>
      </c>
      <c r="C2679" s="50" t="s">
        <v>37</v>
      </c>
      <c r="D2679" s="51">
        <v>127498.78</v>
      </c>
      <c r="E2679" s="51" t="str">
        <f t="shared" si="1"/>
        <v>₹1,529,985.36</v>
      </c>
      <c r="F2679" s="52" t="str">
        <f t="shared" si="2"/>
        <v>30.0%</v>
      </c>
      <c r="G2679" s="51" t="str">
        <f t="shared" si="3"/>
        <v>₹458,995.61</v>
      </c>
      <c r="H2679" s="51" t="str">
        <f t="shared" si="4"/>
        <v>₹38,249.63</v>
      </c>
      <c r="I2679" s="51" t="str">
        <f>111024.9-H2679</f>
        <v>₹72,775.27</v>
      </c>
    </row>
    <row r="2680" ht="15.75" customHeight="1">
      <c r="A2680" s="53" t="s">
        <v>2754</v>
      </c>
      <c r="B2680" s="53" t="s">
        <v>53</v>
      </c>
      <c r="C2680" s="53" t="s">
        <v>26</v>
      </c>
      <c r="D2680" s="54">
        <v>127521.95</v>
      </c>
      <c r="E2680" s="54" t="str">
        <f t="shared" si="1"/>
        <v>₹1,530,263.40</v>
      </c>
      <c r="F2680" s="55" t="str">
        <f t="shared" si="2"/>
        <v>30.0%</v>
      </c>
      <c r="G2680" s="54" t="str">
        <f t="shared" si="3"/>
        <v>₹459,079.02</v>
      </c>
      <c r="H2680" s="54" t="str">
        <f t="shared" si="4"/>
        <v>₹38,256.59</v>
      </c>
      <c r="I2680" s="54" t="str">
        <f>111044.67-H2680</f>
        <v>₹72,788.09</v>
      </c>
    </row>
    <row r="2681" ht="15.75" customHeight="1">
      <c r="A2681" s="50" t="s">
        <v>2755</v>
      </c>
      <c r="B2681" s="50" t="s">
        <v>29</v>
      </c>
      <c r="C2681" s="50" t="s">
        <v>54</v>
      </c>
      <c r="D2681" s="51">
        <v>127545.13</v>
      </c>
      <c r="E2681" s="51" t="str">
        <f t="shared" si="1"/>
        <v>₹1,530,541.56</v>
      </c>
      <c r="F2681" s="52" t="str">
        <f t="shared" si="2"/>
        <v>30.0%</v>
      </c>
      <c r="G2681" s="51" t="str">
        <f t="shared" si="3"/>
        <v>₹459,162.47</v>
      </c>
      <c r="H2681" s="51" t="str">
        <f t="shared" si="4"/>
        <v>₹38,263.54</v>
      </c>
      <c r="I2681" s="51" t="str">
        <f>111064.45-H2681</f>
        <v>₹72,800.91</v>
      </c>
    </row>
    <row r="2682" ht="15.75" customHeight="1">
      <c r="A2682" s="53" t="s">
        <v>2756</v>
      </c>
      <c r="B2682" s="53" t="s">
        <v>13</v>
      </c>
      <c r="C2682" s="53" t="s">
        <v>33</v>
      </c>
      <c r="D2682" s="54">
        <v>127568.31</v>
      </c>
      <c r="E2682" s="54" t="str">
        <f t="shared" si="1"/>
        <v>₹1,530,819.72</v>
      </c>
      <c r="F2682" s="55" t="str">
        <f t="shared" si="2"/>
        <v>30.0%</v>
      </c>
      <c r="G2682" s="54" t="str">
        <f t="shared" si="3"/>
        <v>₹459,245.92</v>
      </c>
      <c r="H2682" s="54" t="str">
        <f t="shared" si="4"/>
        <v>₹38,270.49</v>
      </c>
      <c r="I2682" s="54" t="str">
        <f>111084.23-H2682</f>
        <v>₹72,813.74</v>
      </c>
    </row>
    <row r="2683" ht="15.75" customHeight="1">
      <c r="A2683" s="50" t="s">
        <v>2757</v>
      </c>
      <c r="B2683" s="50" t="s">
        <v>36</v>
      </c>
      <c r="C2683" s="50" t="s">
        <v>18</v>
      </c>
      <c r="D2683" s="51">
        <v>127591.49</v>
      </c>
      <c r="E2683" s="51" t="str">
        <f t="shared" si="1"/>
        <v>₹1,531,097.88</v>
      </c>
      <c r="F2683" s="52" t="str">
        <f t="shared" si="2"/>
        <v>30.0%</v>
      </c>
      <c r="G2683" s="51" t="str">
        <f t="shared" si="3"/>
        <v>₹459,329.36</v>
      </c>
      <c r="H2683" s="51" t="str">
        <f t="shared" si="4"/>
        <v>₹38,277.45</v>
      </c>
      <c r="I2683" s="51" t="str">
        <f>111104.02-H2683</f>
        <v>₹72,826.57</v>
      </c>
    </row>
    <row r="2684" ht="15.75" customHeight="1">
      <c r="A2684" s="53" t="s">
        <v>2758</v>
      </c>
      <c r="B2684" s="53" t="s">
        <v>25</v>
      </c>
      <c r="C2684" s="53" t="s">
        <v>33</v>
      </c>
      <c r="D2684" s="54">
        <v>127614.67</v>
      </c>
      <c r="E2684" s="54" t="str">
        <f t="shared" si="1"/>
        <v>₹1,531,376.04</v>
      </c>
      <c r="F2684" s="55" t="str">
        <f t="shared" si="2"/>
        <v>30.0%</v>
      </c>
      <c r="G2684" s="54" t="str">
        <f t="shared" si="3"/>
        <v>₹459,412.81</v>
      </c>
      <c r="H2684" s="54" t="str">
        <f t="shared" si="4"/>
        <v>₹38,284.40</v>
      </c>
      <c r="I2684" s="54" t="str">
        <f>111123.8-H2684</f>
        <v>₹72,839.40</v>
      </c>
    </row>
    <row r="2685" ht="15.75" customHeight="1">
      <c r="A2685" s="50" t="s">
        <v>2759</v>
      </c>
      <c r="B2685" s="50" t="s">
        <v>13</v>
      </c>
      <c r="C2685" s="50" t="s">
        <v>18</v>
      </c>
      <c r="D2685" s="51">
        <v>127637.84</v>
      </c>
      <c r="E2685" s="51" t="str">
        <f t="shared" si="1"/>
        <v>₹1,531,654.08</v>
      </c>
      <c r="F2685" s="52" t="str">
        <f t="shared" si="2"/>
        <v>30.0%</v>
      </c>
      <c r="G2685" s="51" t="str">
        <f t="shared" si="3"/>
        <v>₹459,496.22</v>
      </c>
      <c r="H2685" s="51" t="str">
        <f t="shared" si="4"/>
        <v>₹38,291.35</v>
      </c>
      <c r="I2685" s="51" t="str">
        <f>111143.57-H2685</f>
        <v>₹72,852.22</v>
      </c>
    </row>
    <row r="2686" ht="15.75" customHeight="1">
      <c r="A2686" s="53" t="s">
        <v>2760</v>
      </c>
      <c r="B2686" s="53" t="s">
        <v>13</v>
      </c>
      <c r="C2686" s="53" t="s">
        <v>26</v>
      </c>
      <c r="D2686" s="54">
        <v>127661.02</v>
      </c>
      <c r="E2686" s="54" t="str">
        <f t="shared" si="1"/>
        <v>₹1,531,932.24</v>
      </c>
      <c r="F2686" s="55" t="str">
        <f t="shared" si="2"/>
        <v>30.0%</v>
      </c>
      <c r="G2686" s="54" t="str">
        <f t="shared" si="3"/>
        <v>₹459,579.67</v>
      </c>
      <c r="H2686" s="54" t="str">
        <f t="shared" si="4"/>
        <v>₹38,298.31</v>
      </c>
      <c r="I2686" s="54" t="str">
        <f>111163.35-H2686</f>
        <v>₹72,865.04</v>
      </c>
    </row>
    <row r="2687" ht="15.75" customHeight="1">
      <c r="A2687" s="50" t="s">
        <v>2761</v>
      </c>
      <c r="B2687" s="50" t="s">
        <v>36</v>
      </c>
      <c r="C2687" s="50" t="s">
        <v>30</v>
      </c>
      <c r="D2687" s="51">
        <v>127684.2</v>
      </c>
      <c r="E2687" s="51" t="str">
        <f t="shared" si="1"/>
        <v>₹1,532,210.40</v>
      </c>
      <c r="F2687" s="52" t="str">
        <f t="shared" si="2"/>
        <v>30.0%</v>
      </c>
      <c r="G2687" s="51" t="str">
        <f t="shared" si="3"/>
        <v>₹459,663.12</v>
      </c>
      <c r="H2687" s="51" t="str">
        <f t="shared" si="4"/>
        <v>₹38,305.26</v>
      </c>
      <c r="I2687" s="51" t="str">
        <f>111183.14-H2687</f>
        <v>₹72,877.88</v>
      </c>
    </row>
    <row r="2688" ht="15.75" customHeight="1">
      <c r="A2688" s="53" t="s">
        <v>2762</v>
      </c>
      <c r="B2688" s="53" t="s">
        <v>17</v>
      </c>
      <c r="C2688" s="53" t="s">
        <v>26</v>
      </c>
      <c r="D2688" s="54">
        <v>127707.38</v>
      </c>
      <c r="E2688" s="54" t="str">
        <f t="shared" si="1"/>
        <v>₹1,532,488.56</v>
      </c>
      <c r="F2688" s="55" t="str">
        <f t="shared" si="2"/>
        <v>30.0%</v>
      </c>
      <c r="G2688" s="54" t="str">
        <f t="shared" si="3"/>
        <v>₹459,746.57</v>
      </c>
      <c r="H2688" s="54" t="str">
        <f t="shared" si="4"/>
        <v>₹38,312.21</v>
      </c>
      <c r="I2688" s="54" t="str">
        <f>111202.92-H2688</f>
        <v>₹72,890.71</v>
      </c>
    </row>
    <row r="2689" ht="15.75" customHeight="1">
      <c r="A2689" s="50" t="s">
        <v>2764</v>
      </c>
      <c r="B2689" s="50" t="s">
        <v>51</v>
      </c>
      <c r="C2689" s="50" t="s">
        <v>30</v>
      </c>
      <c r="D2689" s="51">
        <v>127730.55</v>
      </c>
      <c r="E2689" s="51" t="str">
        <f t="shared" si="1"/>
        <v>₹1,532,766.60</v>
      </c>
      <c r="F2689" s="52" t="str">
        <f t="shared" si="2"/>
        <v>30.0%</v>
      </c>
      <c r="G2689" s="51" t="str">
        <f t="shared" si="3"/>
        <v>₹459,829.98</v>
      </c>
      <c r="H2689" s="51" t="str">
        <f t="shared" si="4"/>
        <v>₹38,319.17</v>
      </c>
      <c r="I2689" s="51" t="str">
        <f>111222.69-H2689</f>
        <v>₹72,903.53</v>
      </c>
    </row>
    <row r="2690" ht="15.75" customHeight="1">
      <c r="A2690" s="53" t="s">
        <v>2765</v>
      </c>
      <c r="B2690" s="53" t="s">
        <v>13</v>
      </c>
      <c r="C2690" s="53" t="s">
        <v>54</v>
      </c>
      <c r="D2690" s="54">
        <v>127753.73</v>
      </c>
      <c r="E2690" s="54" t="str">
        <f t="shared" si="1"/>
        <v>₹1,533,044.76</v>
      </c>
      <c r="F2690" s="55" t="str">
        <f t="shared" si="2"/>
        <v>30.0%</v>
      </c>
      <c r="G2690" s="54" t="str">
        <f t="shared" si="3"/>
        <v>₹459,913.43</v>
      </c>
      <c r="H2690" s="54" t="str">
        <f t="shared" si="4"/>
        <v>₹38,326.12</v>
      </c>
      <c r="I2690" s="54" t="str">
        <f>111242.47-H2690</f>
        <v>₹72,916.35</v>
      </c>
    </row>
    <row r="2691" ht="15.75" customHeight="1">
      <c r="A2691" s="50" t="s">
        <v>2766</v>
      </c>
      <c r="B2691" s="50" t="s">
        <v>53</v>
      </c>
      <c r="C2691" s="50" t="s">
        <v>14</v>
      </c>
      <c r="D2691" s="51">
        <v>127776.91</v>
      </c>
      <c r="E2691" s="51" t="str">
        <f t="shared" si="1"/>
        <v>₹1,533,322.92</v>
      </c>
      <c r="F2691" s="52" t="str">
        <f t="shared" si="2"/>
        <v>30.0%</v>
      </c>
      <c r="G2691" s="51" t="str">
        <f t="shared" si="3"/>
        <v>₹459,996.88</v>
      </c>
      <c r="H2691" s="51" t="str">
        <f t="shared" si="4"/>
        <v>₹38,333.07</v>
      </c>
      <c r="I2691" s="51" t="str">
        <f>111262.26-H2691</f>
        <v>₹72,929.19</v>
      </c>
    </row>
    <row r="2692" ht="15.75" customHeight="1">
      <c r="A2692" s="53" t="s">
        <v>2767</v>
      </c>
      <c r="B2692" s="53" t="s">
        <v>51</v>
      </c>
      <c r="C2692" s="53" t="s">
        <v>14</v>
      </c>
      <c r="D2692" s="54">
        <v>127800.09</v>
      </c>
      <c r="E2692" s="54" t="str">
        <f t="shared" si="1"/>
        <v>₹1,533,601.08</v>
      </c>
      <c r="F2692" s="55" t="str">
        <f t="shared" si="2"/>
        <v>30.0%</v>
      </c>
      <c r="G2692" s="54" t="str">
        <f t="shared" si="3"/>
        <v>₹460,080.32</v>
      </c>
      <c r="H2692" s="54" t="str">
        <f t="shared" si="4"/>
        <v>₹38,340.03</v>
      </c>
      <c r="I2692" s="54" t="str">
        <f>111282.04-H2692</f>
        <v>₹72,942.01</v>
      </c>
    </row>
    <row r="2693" ht="15.75" customHeight="1">
      <c r="A2693" s="50" t="s">
        <v>2768</v>
      </c>
      <c r="B2693" s="50" t="s">
        <v>25</v>
      </c>
      <c r="C2693" s="50" t="s">
        <v>18</v>
      </c>
      <c r="D2693" s="51">
        <v>127823.26</v>
      </c>
      <c r="E2693" s="51" t="str">
        <f t="shared" si="1"/>
        <v>₹1,533,879.12</v>
      </c>
      <c r="F2693" s="52" t="str">
        <f t="shared" si="2"/>
        <v>30.0%</v>
      </c>
      <c r="G2693" s="51" t="str">
        <f t="shared" si="3"/>
        <v>₹460,163.74</v>
      </c>
      <c r="H2693" s="51" t="str">
        <f t="shared" si="4"/>
        <v>₹38,346.98</v>
      </c>
      <c r="I2693" s="51" t="str">
        <f>111301.81-H2693</f>
        <v>₹72,954.83</v>
      </c>
    </row>
    <row r="2694" ht="15.75" customHeight="1">
      <c r="A2694" s="53" t="s">
        <v>2769</v>
      </c>
      <c r="B2694" s="53" t="s">
        <v>51</v>
      </c>
      <c r="C2694" s="53" t="s">
        <v>33</v>
      </c>
      <c r="D2694" s="54">
        <v>127846.44</v>
      </c>
      <c r="E2694" s="54" t="str">
        <f t="shared" si="1"/>
        <v>₹1,534,157.28</v>
      </c>
      <c r="F2694" s="55" t="str">
        <f t="shared" si="2"/>
        <v>30.0%</v>
      </c>
      <c r="G2694" s="54" t="str">
        <f t="shared" si="3"/>
        <v>₹460,247.18</v>
      </c>
      <c r="H2694" s="54" t="str">
        <f t="shared" si="4"/>
        <v>₹38,353.93</v>
      </c>
      <c r="I2694" s="54" t="str">
        <f>111321.59-H2694</f>
        <v>₹72,967.66</v>
      </c>
    </row>
    <row r="2695" ht="15.75" customHeight="1">
      <c r="A2695" s="50" t="s">
        <v>2770</v>
      </c>
      <c r="B2695" s="50" t="s">
        <v>51</v>
      </c>
      <c r="C2695" s="50" t="s">
        <v>37</v>
      </c>
      <c r="D2695" s="51">
        <v>127869.62</v>
      </c>
      <c r="E2695" s="51" t="str">
        <f t="shared" si="1"/>
        <v>₹1,534,435.44</v>
      </c>
      <c r="F2695" s="52" t="str">
        <f t="shared" si="2"/>
        <v>30.0%</v>
      </c>
      <c r="G2695" s="51" t="str">
        <f t="shared" si="3"/>
        <v>₹460,330.63</v>
      </c>
      <c r="H2695" s="51" t="str">
        <f t="shared" si="4"/>
        <v>₹38,360.89</v>
      </c>
      <c r="I2695" s="51" t="str">
        <f>111341.38-H2695</f>
        <v>₹72,980.49</v>
      </c>
    </row>
    <row r="2696" ht="15.75" customHeight="1">
      <c r="A2696" s="53" t="s">
        <v>2771</v>
      </c>
      <c r="B2696" s="53" t="s">
        <v>13</v>
      </c>
      <c r="C2696" s="53" t="s">
        <v>54</v>
      </c>
      <c r="D2696" s="54">
        <v>127892.8</v>
      </c>
      <c r="E2696" s="54" t="str">
        <f t="shared" si="1"/>
        <v>₹1,534,713.60</v>
      </c>
      <c r="F2696" s="55" t="str">
        <f t="shared" si="2"/>
        <v>30.0%</v>
      </c>
      <c r="G2696" s="54" t="str">
        <f t="shared" si="3"/>
        <v>₹460,414.08</v>
      </c>
      <c r="H2696" s="54" t="str">
        <f t="shared" si="4"/>
        <v>₹38,367.84</v>
      </c>
      <c r="I2696" s="54" t="str">
        <f>113565.42-H2696</f>
        <v>₹75,197.58</v>
      </c>
    </row>
    <row r="2697" ht="15.75" customHeight="1">
      <c r="A2697" s="50" t="s">
        <v>2772</v>
      </c>
      <c r="B2697" s="50" t="s">
        <v>51</v>
      </c>
      <c r="C2697" s="50" t="s">
        <v>26</v>
      </c>
      <c r="D2697" s="51">
        <v>127915.98</v>
      </c>
      <c r="E2697" s="51" t="str">
        <f t="shared" si="1"/>
        <v>₹1,534,991.76</v>
      </c>
      <c r="F2697" s="52" t="str">
        <f t="shared" si="2"/>
        <v>30.0%</v>
      </c>
      <c r="G2697" s="51" t="str">
        <f t="shared" si="3"/>
        <v>₹460,497.53</v>
      </c>
      <c r="H2697" s="51" t="str">
        <f t="shared" si="4"/>
        <v>₹38,374.79</v>
      </c>
      <c r="I2697" s="51" t="str">
        <f>111380.94-H2697</f>
        <v>₹73,006.15</v>
      </c>
    </row>
    <row r="2698" ht="15.75" customHeight="1">
      <c r="A2698" s="53" t="s">
        <v>2773</v>
      </c>
      <c r="B2698" s="53" t="s">
        <v>29</v>
      </c>
      <c r="C2698" s="53" t="s">
        <v>14</v>
      </c>
      <c r="D2698" s="54">
        <v>127939.15</v>
      </c>
      <c r="E2698" s="54" t="str">
        <f t="shared" si="1"/>
        <v>₹1,535,269.80</v>
      </c>
      <c r="F2698" s="55" t="str">
        <f t="shared" si="2"/>
        <v>30.0%</v>
      </c>
      <c r="G2698" s="54" t="str">
        <f t="shared" si="3"/>
        <v>₹460,580.94</v>
      </c>
      <c r="H2698" s="54" t="str">
        <f t="shared" si="4"/>
        <v>₹38,381.75</v>
      </c>
      <c r="I2698" s="54" t="str">
        <f>111400.71-H2698</f>
        <v>₹73,018.97</v>
      </c>
    </row>
    <row r="2699" ht="15.75" customHeight="1">
      <c r="A2699" s="50" t="s">
        <v>2774</v>
      </c>
      <c r="B2699" s="50" t="s">
        <v>36</v>
      </c>
      <c r="C2699" s="50" t="s">
        <v>18</v>
      </c>
      <c r="D2699" s="51">
        <v>127962.33</v>
      </c>
      <c r="E2699" s="51" t="str">
        <f t="shared" si="1"/>
        <v>₹1,535,547.96</v>
      </c>
      <c r="F2699" s="52" t="str">
        <f t="shared" si="2"/>
        <v>30.0%</v>
      </c>
      <c r="G2699" s="51" t="str">
        <f t="shared" si="3"/>
        <v>₹460,664.39</v>
      </c>
      <c r="H2699" s="51" t="str">
        <f t="shared" si="4"/>
        <v>₹38,388.70</v>
      </c>
      <c r="I2699" s="51" t="str">
        <f>111420.49-H2699</f>
        <v>₹73,031.79</v>
      </c>
    </row>
    <row r="2700" ht="15.75" customHeight="1">
      <c r="A2700" s="53" t="s">
        <v>2775</v>
      </c>
      <c r="B2700" s="53" t="s">
        <v>29</v>
      </c>
      <c r="C2700" s="53" t="s">
        <v>54</v>
      </c>
      <c r="D2700" s="54">
        <v>127985.51</v>
      </c>
      <c r="E2700" s="54" t="str">
        <f t="shared" si="1"/>
        <v>₹1,535,826.12</v>
      </c>
      <c r="F2700" s="55" t="str">
        <f t="shared" si="2"/>
        <v>30.0%</v>
      </c>
      <c r="G2700" s="54" t="str">
        <f t="shared" si="3"/>
        <v>₹460,747.84</v>
      </c>
      <c r="H2700" s="54" t="str">
        <f t="shared" si="4"/>
        <v>₹38,395.65</v>
      </c>
      <c r="I2700" s="54" t="str">
        <f>111440.28-H2700</f>
        <v>₹73,044.63</v>
      </c>
    </row>
    <row r="2701" ht="15.75" customHeight="1">
      <c r="A2701" s="50" t="s">
        <v>2776</v>
      </c>
      <c r="B2701" s="50" t="s">
        <v>13</v>
      </c>
      <c r="C2701" s="50" t="s">
        <v>26</v>
      </c>
      <c r="D2701" s="51">
        <v>128008.69</v>
      </c>
      <c r="E2701" s="51" t="str">
        <f t="shared" si="1"/>
        <v>₹1,536,104.28</v>
      </c>
      <c r="F2701" s="52" t="str">
        <f t="shared" si="2"/>
        <v>30.0%</v>
      </c>
      <c r="G2701" s="51" t="str">
        <f t="shared" si="3"/>
        <v>₹460,831.28</v>
      </c>
      <c r="H2701" s="51" t="str">
        <f t="shared" si="4"/>
        <v>₹38,402.61</v>
      </c>
      <c r="I2701" s="51" t="str">
        <f>111460.06-H2701</f>
        <v>₹73,057.45</v>
      </c>
    </row>
    <row r="2702" ht="15.75" customHeight="1">
      <c r="A2702" s="53" t="s">
        <v>2777</v>
      </c>
      <c r="B2702" s="53" t="s">
        <v>17</v>
      </c>
      <c r="C2702" s="53" t="s">
        <v>26</v>
      </c>
      <c r="D2702" s="54">
        <v>128031.86</v>
      </c>
      <c r="E2702" s="54" t="str">
        <f t="shared" si="1"/>
        <v>₹1,536,382.32</v>
      </c>
      <c r="F2702" s="55" t="str">
        <f t="shared" si="2"/>
        <v>30.0%</v>
      </c>
      <c r="G2702" s="54" t="str">
        <f t="shared" si="3"/>
        <v>₹460,914.70</v>
      </c>
      <c r="H2702" s="54" t="str">
        <f t="shared" si="4"/>
        <v>₹38,409.56</v>
      </c>
      <c r="I2702" s="54" t="str">
        <f>111479.83-H2702</f>
        <v>₹73,070.27</v>
      </c>
    </row>
    <row r="2703" ht="15.75" customHeight="1">
      <c r="A2703" s="50" t="s">
        <v>2778</v>
      </c>
      <c r="B2703" s="50" t="s">
        <v>53</v>
      </c>
      <c r="C2703" s="50" t="s">
        <v>54</v>
      </c>
      <c r="D2703" s="51">
        <v>128055.04</v>
      </c>
      <c r="E2703" s="51" t="str">
        <f t="shared" si="1"/>
        <v>₹1,536,660.48</v>
      </c>
      <c r="F2703" s="52" t="str">
        <f t="shared" si="2"/>
        <v>30.0%</v>
      </c>
      <c r="G2703" s="51" t="str">
        <f t="shared" si="3"/>
        <v>₹460,998.14</v>
      </c>
      <c r="H2703" s="51" t="str">
        <f t="shared" si="4"/>
        <v>₹38,416.51</v>
      </c>
      <c r="I2703" s="51" t="str">
        <f>111499.61-H2703</f>
        <v>₹73,083.10</v>
      </c>
    </row>
    <row r="2704" ht="15.75" customHeight="1">
      <c r="A2704" s="53" t="s">
        <v>2779</v>
      </c>
      <c r="B2704" s="53" t="s">
        <v>51</v>
      </c>
      <c r="C2704" s="53" t="s">
        <v>37</v>
      </c>
      <c r="D2704" s="54">
        <v>128078.22</v>
      </c>
      <c r="E2704" s="54" t="str">
        <f t="shared" si="1"/>
        <v>₹1,536,938.64</v>
      </c>
      <c r="F2704" s="55" t="str">
        <f t="shared" si="2"/>
        <v>30.0%</v>
      </c>
      <c r="G2704" s="54" t="str">
        <f t="shared" si="3"/>
        <v>₹461,081.59</v>
      </c>
      <c r="H2704" s="54" t="str">
        <f t="shared" si="4"/>
        <v>₹38,423.47</v>
      </c>
      <c r="I2704" s="54" t="str">
        <f>111519.4-H2704</f>
        <v>₹73,095.93</v>
      </c>
    </row>
    <row r="2705" ht="15.75" customHeight="1">
      <c r="A2705" s="50" t="s">
        <v>2780</v>
      </c>
      <c r="B2705" s="50" t="s">
        <v>51</v>
      </c>
      <c r="C2705" s="50" t="s">
        <v>37</v>
      </c>
      <c r="D2705" s="51">
        <v>128101.4</v>
      </c>
      <c r="E2705" s="51" t="str">
        <f t="shared" si="1"/>
        <v>₹1,537,216.80</v>
      </c>
      <c r="F2705" s="52" t="str">
        <f t="shared" si="2"/>
        <v>30.0%</v>
      </c>
      <c r="G2705" s="51" t="str">
        <f t="shared" si="3"/>
        <v>₹461,165.04</v>
      </c>
      <c r="H2705" s="51" t="str">
        <f t="shared" si="4"/>
        <v>₹38,430.42</v>
      </c>
      <c r="I2705" s="51" t="str">
        <f>111539.18-H2705</f>
        <v>₹73,108.76</v>
      </c>
    </row>
    <row r="2706" ht="15.75" customHeight="1">
      <c r="A2706" s="53" t="s">
        <v>2781</v>
      </c>
      <c r="B2706" s="53" t="s">
        <v>29</v>
      </c>
      <c r="C2706" s="53" t="s">
        <v>37</v>
      </c>
      <c r="D2706" s="54">
        <v>128124.57</v>
      </c>
      <c r="E2706" s="54" t="str">
        <f t="shared" si="1"/>
        <v>₹1,537,494.84</v>
      </c>
      <c r="F2706" s="55" t="str">
        <f t="shared" si="2"/>
        <v>30.0%</v>
      </c>
      <c r="G2706" s="54" t="str">
        <f t="shared" si="3"/>
        <v>₹461,248.45</v>
      </c>
      <c r="H2706" s="54" t="str">
        <f t="shared" si="4"/>
        <v>₹38,437.37</v>
      </c>
      <c r="I2706" s="54" t="str">
        <f>111558.95-H2706</f>
        <v>₹73,121.58</v>
      </c>
    </row>
    <row r="2707" ht="15.75" customHeight="1">
      <c r="A2707" s="50" t="s">
        <v>2782</v>
      </c>
      <c r="B2707" s="50" t="s">
        <v>29</v>
      </c>
      <c r="C2707" s="50" t="s">
        <v>26</v>
      </c>
      <c r="D2707" s="51">
        <v>128147.75</v>
      </c>
      <c r="E2707" s="51" t="str">
        <f t="shared" si="1"/>
        <v>₹1,537,773.00</v>
      </c>
      <c r="F2707" s="52" t="str">
        <f t="shared" si="2"/>
        <v>30.0%</v>
      </c>
      <c r="G2707" s="51" t="str">
        <f t="shared" si="3"/>
        <v>₹461,331.90</v>
      </c>
      <c r="H2707" s="51" t="str">
        <f t="shared" si="4"/>
        <v>₹38,444.33</v>
      </c>
      <c r="I2707" s="51" t="str">
        <f>111578.73-H2707</f>
        <v>₹73,134.41</v>
      </c>
    </row>
    <row r="2708" ht="15.75" customHeight="1">
      <c r="A2708" s="53" t="s">
        <v>2783</v>
      </c>
      <c r="B2708" s="53" t="s">
        <v>36</v>
      </c>
      <c r="C2708" s="53" t="s">
        <v>26</v>
      </c>
      <c r="D2708" s="54">
        <v>128170.93</v>
      </c>
      <c r="E2708" s="54" t="str">
        <f t="shared" si="1"/>
        <v>₹1,538,051.16</v>
      </c>
      <c r="F2708" s="55" t="str">
        <f t="shared" si="2"/>
        <v>30.0%</v>
      </c>
      <c r="G2708" s="54" t="str">
        <f t="shared" si="3"/>
        <v>₹461,415.35</v>
      </c>
      <c r="H2708" s="54" t="str">
        <f t="shared" si="4"/>
        <v>₹38,451.28</v>
      </c>
      <c r="I2708" s="54" t="str">
        <f>111598.52-H2708</f>
        <v>₹73,147.24</v>
      </c>
    </row>
    <row r="2709" ht="15.75" customHeight="1">
      <c r="A2709" s="50" t="s">
        <v>2784</v>
      </c>
      <c r="B2709" s="50" t="s">
        <v>17</v>
      </c>
      <c r="C2709" s="50" t="s">
        <v>33</v>
      </c>
      <c r="D2709" s="51">
        <v>128194.11</v>
      </c>
      <c r="E2709" s="51" t="str">
        <f t="shared" si="1"/>
        <v>₹1,538,329.32</v>
      </c>
      <c r="F2709" s="52" t="str">
        <f t="shared" si="2"/>
        <v>30.0%</v>
      </c>
      <c r="G2709" s="51" t="str">
        <f t="shared" si="3"/>
        <v>₹461,498.80</v>
      </c>
      <c r="H2709" s="51" t="str">
        <f t="shared" si="4"/>
        <v>₹38,458.23</v>
      </c>
      <c r="I2709" s="51" t="str">
        <f>111618.3-H2709</f>
        <v>₹73,160.07</v>
      </c>
    </row>
    <row r="2710" ht="15.75" customHeight="1">
      <c r="A2710" s="53" t="s">
        <v>2785</v>
      </c>
      <c r="B2710" s="53" t="s">
        <v>53</v>
      </c>
      <c r="C2710" s="53" t="s">
        <v>18</v>
      </c>
      <c r="D2710" s="54">
        <v>128217.29</v>
      </c>
      <c r="E2710" s="54" t="str">
        <f t="shared" si="1"/>
        <v>₹1,538,607.48</v>
      </c>
      <c r="F2710" s="55" t="str">
        <f t="shared" si="2"/>
        <v>30.0%</v>
      </c>
      <c r="G2710" s="54" t="str">
        <f t="shared" si="3"/>
        <v>₹461,582.24</v>
      </c>
      <c r="H2710" s="54" t="str">
        <f t="shared" si="4"/>
        <v>₹38,465.19</v>
      </c>
      <c r="I2710" s="54" t="str">
        <f>111638.08-H2710</f>
        <v>₹73,172.89</v>
      </c>
    </row>
    <row r="2711" ht="15.75" customHeight="1">
      <c r="A2711" s="50" t="s">
        <v>2786</v>
      </c>
      <c r="B2711" s="50" t="s">
        <v>36</v>
      </c>
      <c r="C2711" s="50" t="s">
        <v>18</v>
      </c>
      <c r="D2711" s="51">
        <v>128240.46</v>
      </c>
      <c r="E2711" s="51" t="str">
        <f t="shared" si="1"/>
        <v>₹1,538,885.52</v>
      </c>
      <c r="F2711" s="52" t="str">
        <f t="shared" si="2"/>
        <v>30.0%</v>
      </c>
      <c r="G2711" s="51" t="str">
        <f t="shared" si="3"/>
        <v>₹461,665.66</v>
      </c>
      <c r="H2711" s="51" t="str">
        <f t="shared" si="4"/>
        <v>₹38,472.14</v>
      </c>
      <c r="I2711" s="51" t="str">
        <f>111657.85-H2711</f>
        <v>₹73,185.71</v>
      </c>
    </row>
    <row r="2712" ht="15.75" customHeight="1">
      <c r="A2712" s="53" t="s">
        <v>2787</v>
      </c>
      <c r="B2712" s="53" t="s">
        <v>29</v>
      </c>
      <c r="C2712" s="53" t="s">
        <v>37</v>
      </c>
      <c r="D2712" s="54">
        <v>128263.64</v>
      </c>
      <c r="E2712" s="54" t="str">
        <f t="shared" si="1"/>
        <v>₹1,539,163.68</v>
      </c>
      <c r="F2712" s="55" t="str">
        <f t="shared" si="2"/>
        <v>30.0%</v>
      </c>
      <c r="G2712" s="54" t="str">
        <f t="shared" si="3"/>
        <v>₹461,749.10</v>
      </c>
      <c r="H2712" s="54" t="str">
        <f t="shared" si="4"/>
        <v>₹38,479.09</v>
      </c>
      <c r="I2712" s="54" t="str">
        <f>111677.64-H2712</f>
        <v>₹73,198.55</v>
      </c>
    </row>
    <row r="2713" ht="15.75" customHeight="1">
      <c r="A2713" s="50" t="s">
        <v>2788</v>
      </c>
      <c r="B2713" s="50" t="s">
        <v>36</v>
      </c>
      <c r="C2713" s="50" t="s">
        <v>54</v>
      </c>
      <c r="D2713" s="51">
        <v>128286.82</v>
      </c>
      <c r="E2713" s="51" t="str">
        <f t="shared" si="1"/>
        <v>₹1,539,441.84</v>
      </c>
      <c r="F2713" s="52" t="str">
        <f t="shared" si="2"/>
        <v>30.0%</v>
      </c>
      <c r="G2713" s="51" t="str">
        <f t="shared" si="3"/>
        <v>₹461,832.55</v>
      </c>
      <c r="H2713" s="51" t="str">
        <f t="shared" si="4"/>
        <v>₹38,486.05</v>
      </c>
      <c r="I2713" s="51" t="str">
        <f>111697.42-H2713</f>
        <v>₹73,211.37</v>
      </c>
    </row>
    <row r="2714" ht="15.75" customHeight="1">
      <c r="A2714" s="53" t="s">
        <v>2789</v>
      </c>
      <c r="B2714" s="53" t="s">
        <v>53</v>
      </c>
      <c r="C2714" s="53" t="s">
        <v>26</v>
      </c>
      <c r="D2714" s="54">
        <v>128310.0</v>
      </c>
      <c r="E2714" s="54" t="str">
        <f t="shared" si="1"/>
        <v>₹1,539,720.00</v>
      </c>
      <c r="F2714" s="55" t="str">
        <f t="shared" si="2"/>
        <v>30.0%</v>
      </c>
      <c r="G2714" s="54" t="str">
        <f t="shared" si="3"/>
        <v>₹461,916.00</v>
      </c>
      <c r="H2714" s="54" t="str">
        <f t="shared" si="4"/>
        <v>₹38,493.00</v>
      </c>
      <c r="I2714" s="54" t="str">
        <f>111717.2-H2714</f>
        <v>₹73,224.20</v>
      </c>
    </row>
    <row r="2715" ht="15.75" customHeight="1">
      <c r="A2715" s="50" t="s">
        <v>2790</v>
      </c>
      <c r="B2715" s="50" t="s">
        <v>53</v>
      </c>
      <c r="C2715" s="50" t="s">
        <v>14</v>
      </c>
      <c r="D2715" s="51">
        <v>128333.17</v>
      </c>
      <c r="E2715" s="51" t="str">
        <f t="shared" si="1"/>
        <v>₹1,539,998.04</v>
      </c>
      <c r="F2715" s="52" t="str">
        <f t="shared" si="2"/>
        <v>30.0%</v>
      </c>
      <c r="G2715" s="51" t="str">
        <f t="shared" si="3"/>
        <v>₹461,999.41</v>
      </c>
      <c r="H2715" s="51" t="str">
        <f t="shared" si="4"/>
        <v>₹38,499.95</v>
      </c>
      <c r="I2715" s="51" t="str">
        <f>111736.97-H2715</f>
        <v>₹73,237.02</v>
      </c>
    </row>
    <row r="2716" ht="15.75" customHeight="1">
      <c r="A2716" s="53" t="s">
        <v>2791</v>
      </c>
      <c r="B2716" s="53" t="s">
        <v>25</v>
      </c>
      <c r="C2716" s="53" t="s">
        <v>26</v>
      </c>
      <c r="D2716" s="54">
        <v>128356.35</v>
      </c>
      <c r="E2716" s="54" t="str">
        <f t="shared" si="1"/>
        <v>₹1,540,276.20</v>
      </c>
      <c r="F2716" s="55" t="str">
        <f t="shared" si="2"/>
        <v>30.0%</v>
      </c>
      <c r="G2716" s="54" t="str">
        <f t="shared" si="3"/>
        <v>₹462,082.86</v>
      </c>
      <c r="H2716" s="54" t="str">
        <f t="shared" si="4"/>
        <v>₹38,506.91</v>
      </c>
      <c r="I2716" s="54" t="str">
        <f>111756.76-H2716</f>
        <v>₹73,249.86</v>
      </c>
    </row>
    <row r="2717" ht="15.75" customHeight="1">
      <c r="A2717" s="50" t="s">
        <v>2792</v>
      </c>
      <c r="B2717" s="50" t="s">
        <v>51</v>
      </c>
      <c r="C2717" s="50" t="s">
        <v>14</v>
      </c>
      <c r="D2717" s="51">
        <v>128379.53</v>
      </c>
      <c r="E2717" s="51" t="str">
        <f t="shared" si="1"/>
        <v>₹1,540,554.36</v>
      </c>
      <c r="F2717" s="52" t="str">
        <f t="shared" si="2"/>
        <v>30.0%</v>
      </c>
      <c r="G2717" s="51" t="str">
        <f t="shared" si="3"/>
        <v>₹462,166.31</v>
      </c>
      <c r="H2717" s="51" t="str">
        <f t="shared" si="4"/>
        <v>₹38,513.86</v>
      </c>
      <c r="I2717" s="51" t="str">
        <f>111776.54-H2717</f>
        <v>₹73,262.68</v>
      </c>
    </row>
    <row r="2718" ht="15.75" customHeight="1">
      <c r="A2718" s="53" t="s">
        <v>2793</v>
      </c>
      <c r="B2718" s="53" t="s">
        <v>13</v>
      </c>
      <c r="C2718" s="53" t="s">
        <v>26</v>
      </c>
      <c r="D2718" s="54">
        <v>128402.71</v>
      </c>
      <c r="E2718" s="54" t="str">
        <f t="shared" si="1"/>
        <v>₹1,540,832.52</v>
      </c>
      <c r="F2718" s="55" t="str">
        <f t="shared" si="2"/>
        <v>30.0%</v>
      </c>
      <c r="G2718" s="54" t="str">
        <f t="shared" si="3"/>
        <v>₹462,249.76</v>
      </c>
      <c r="H2718" s="54" t="str">
        <f t="shared" si="4"/>
        <v>₹38,520.81</v>
      </c>
      <c r="I2718" s="54" t="str">
        <f>111796.32-H2718</f>
        <v>₹73,275.51</v>
      </c>
    </row>
    <row r="2719" ht="15.75" customHeight="1">
      <c r="A2719" s="50" t="s">
        <v>2794</v>
      </c>
      <c r="B2719" s="50" t="s">
        <v>53</v>
      </c>
      <c r="C2719" s="50" t="s">
        <v>30</v>
      </c>
      <c r="D2719" s="51">
        <v>128425.88</v>
      </c>
      <c r="E2719" s="51" t="str">
        <f t="shared" si="1"/>
        <v>₹1,541,110.56</v>
      </c>
      <c r="F2719" s="52" t="str">
        <f t="shared" si="2"/>
        <v>30.0%</v>
      </c>
      <c r="G2719" s="51" t="str">
        <f t="shared" si="3"/>
        <v>₹462,333.17</v>
      </c>
      <c r="H2719" s="51" t="str">
        <f t="shared" si="4"/>
        <v>₹38,527.76</v>
      </c>
      <c r="I2719" s="51" t="str">
        <f>111816.09-H2719</f>
        <v>₹73,288.33</v>
      </c>
    </row>
    <row r="2720" ht="15.75" customHeight="1">
      <c r="A2720" s="53" t="s">
        <v>2795</v>
      </c>
      <c r="B2720" s="53" t="s">
        <v>17</v>
      </c>
      <c r="C2720" s="53" t="s">
        <v>18</v>
      </c>
      <c r="D2720" s="54">
        <v>128449.06</v>
      </c>
      <c r="E2720" s="54" t="str">
        <f t="shared" si="1"/>
        <v>₹1,541,388.72</v>
      </c>
      <c r="F2720" s="55" t="str">
        <f t="shared" si="2"/>
        <v>30.0%</v>
      </c>
      <c r="G2720" s="54" t="str">
        <f t="shared" si="3"/>
        <v>₹462,416.62</v>
      </c>
      <c r="H2720" s="54" t="str">
        <f t="shared" si="4"/>
        <v>₹38,534.72</v>
      </c>
      <c r="I2720" s="54" t="str">
        <f>111835.88-H2720</f>
        <v>₹73,301.16</v>
      </c>
    </row>
    <row r="2721" ht="15.75" customHeight="1">
      <c r="A2721" s="50" t="s">
        <v>2796</v>
      </c>
      <c r="B2721" s="50" t="s">
        <v>17</v>
      </c>
      <c r="C2721" s="50" t="s">
        <v>37</v>
      </c>
      <c r="D2721" s="51">
        <v>128472.24</v>
      </c>
      <c r="E2721" s="51" t="str">
        <f t="shared" si="1"/>
        <v>₹1,541,666.88</v>
      </c>
      <c r="F2721" s="52" t="str">
        <f t="shared" si="2"/>
        <v>30.0%</v>
      </c>
      <c r="G2721" s="51" t="str">
        <f t="shared" si="3"/>
        <v>₹462,500.06</v>
      </c>
      <c r="H2721" s="51" t="str">
        <f t="shared" si="4"/>
        <v>₹38,541.67</v>
      </c>
      <c r="I2721" s="51" t="str">
        <f>111855.66-H2721</f>
        <v>₹73,313.99</v>
      </c>
    </row>
    <row r="2722" ht="15.75" customHeight="1">
      <c r="A2722" s="53" t="s">
        <v>2797</v>
      </c>
      <c r="B2722" s="53" t="s">
        <v>25</v>
      </c>
      <c r="C2722" s="53" t="s">
        <v>30</v>
      </c>
      <c r="D2722" s="54">
        <v>128495.42</v>
      </c>
      <c r="E2722" s="54" t="str">
        <f t="shared" si="1"/>
        <v>₹1,541,945.04</v>
      </c>
      <c r="F2722" s="55" t="str">
        <f t="shared" si="2"/>
        <v>30.0%</v>
      </c>
      <c r="G2722" s="54" t="str">
        <f t="shared" si="3"/>
        <v>₹462,583.51</v>
      </c>
      <c r="H2722" s="54" t="str">
        <f t="shared" si="4"/>
        <v>₹38,548.63</v>
      </c>
      <c r="I2722" s="54" t="str">
        <f>111875.44-H2722</f>
        <v>₹73,326.81</v>
      </c>
    </row>
    <row r="2723" ht="15.75" customHeight="1">
      <c r="A2723" s="50" t="s">
        <v>2798</v>
      </c>
      <c r="B2723" s="50" t="s">
        <v>36</v>
      </c>
      <c r="C2723" s="50" t="s">
        <v>18</v>
      </c>
      <c r="D2723" s="51">
        <v>128518.6</v>
      </c>
      <c r="E2723" s="51" t="str">
        <f t="shared" si="1"/>
        <v>₹1,542,223.20</v>
      </c>
      <c r="F2723" s="52" t="str">
        <f t="shared" si="2"/>
        <v>30.0%</v>
      </c>
      <c r="G2723" s="51" t="str">
        <f t="shared" si="3"/>
        <v>₹462,666.96</v>
      </c>
      <c r="H2723" s="51" t="str">
        <f t="shared" si="4"/>
        <v>₹38,555.58</v>
      </c>
      <c r="I2723" s="51" t="str">
        <f>111895.22-H2723</f>
        <v>₹73,339.64</v>
      </c>
    </row>
    <row r="2724" ht="15.75" customHeight="1">
      <c r="A2724" s="53" t="s">
        <v>2799</v>
      </c>
      <c r="B2724" s="53" t="s">
        <v>13</v>
      </c>
      <c r="C2724" s="53" t="s">
        <v>30</v>
      </c>
      <c r="D2724" s="54">
        <v>128541.77</v>
      </c>
      <c r="E2724" s="54" t="str">
        <f t="shared" si="1"/>
        <v>₹1,542,501.24</v>
      </c>
      <c r="F2724" s="55" t="str">
        <f t="shared" si="2"/>
        <v>30.0%</v>
      </c>
      <c r="G2724" s="54" t="str">
        <f t="shared" si="3"/>
        <v>₹462,750.37</v>
      </c>
      <c r="H2724" s="54" t="str">
        <f t="shared" si="4"/>
        <v>₹38,562.53</v>
      </c>
      <c r="I2724" s="54" t="str">
        <f>111915-H2724</f>
        <v>₹73,352.47</v>
      </c>
    </row>
    <row r="2725" ht="15.75" customHeight="1">
      <c r="A2725" s="50" t="s">
        <v>2800</v>
      </c>
      <c r="B2725" s="50" t="s">
        <v>53</v>
      </c>
      <c r="C2725" s="50" t="s">
        <v>14</v>
      </c>
      <c r="D2725" s="51">
        <v>128564.95</v>
      </c>
      <c r="E2725" s="51" t="str">
        <f t="shared" si="1"/>
        <v>₹1,542,779.40</v>
      </c>
      <c r="F2725" s="52" t="str">
        <f t="shared" si="2"/>
        <v>30.0%</v>
      </c>
      <c r="G2725" s="51" t="str">
        <f t="shared" si="3"/>
        <v>₹462,833.82</v>
      </c>
      <c r="H2725" s="51" t="str">
        <f t="shared" si="4"/>
        <v>₹38,569.49</v>
      </c>
      <c r="I2725" s="51" t="str">
        <f>111934.78-H2725</f>
        <v>₹73,365.30</v>
      </c>
    </row>
    <row r="2726" ht="15.75" customHeight="1">
      <c r="A2726" s="53" t="s">
        <v>2801</v>
      </c>
      <c r="B2726" s="53" t="s">
        <v>25</v>
      </c>
      <c r="C2726" s="53" t="s">
        <v>37</v>
      </c>
      <c r="D2726" s="54">
        <v>128588.13</v>
      </c>
      <c r="E2726" s="54" t="str">
        <f t="shared" si="1"/>
        <v>₹1,543,057.56</v>
      </c>
      <c r="F2726" s="55" t="str">
        <f t="shared" si="2"/>
        <v>30.0%</v>
      </c>
      <c r="G2726" s="54" t="str">
        <f t="shared" si="3"/>
        <v>₹462,917.27</v>
      </c>
      <c r="H2726" s="54" t="str">
        <f t="shared" si="4"/>
        <v>₹38,576.44</v>
      </c>
      <c r="I2726" s="54" t="str">
        <f>111954.56-H2726</f>
        <v>₹73,378.12</v>
      </c>
    </row>
    <row r="2727" ht="15.75" customHeight="1">
      <c r="A2727" s="50" t="s">
        <v>2802</v>
      </c>
      <c r="B2727" s="50" t="s">
        <v>53</v>
      </c>
      <c r="C2727" s="50" t="s">
        <v>30</v>
      </c>
      <c r="D2727" s="51">
        <v>128611.31</v>
      </c>
      <c r="E2727" s="51" t="str">
        <f t="shared" si="1"/>
        <v>₹1,543,335.72</v>
      </c>
      <c r="F2727" s="52" t="str">
        <f t="shared" si="2"/>
        <v>30.0%</v>
      </c>
      <c r="G2727" s="51" t="str">
        <f t="shared" si="3"/>
        <v>₹463,000.72</v>
      </c>
      <c r="H2727" s="51" t="str">
        <f t="shared" si="4"/>
        <v>₹38,583.39</v>
      </c>
      <c r="I2727" s="51" t="str">
        <f>111974.34-H2727</f>
        <v>₹73,390.95</v>
      </c>
    </row>
    <row r="2728" ht="15.75" customHeight="1">
      <c r="A2728" s="53" t="s">
        <v>2803</v>
      </c>
      <c r="B2728" s="53" t="s">
        <v>36</v>
      </c>
      <c r="C2728" s="53" t="s">
        <v>26</v>
      </c>
      <c r="D2728" s="54">
        <v>128634.48</v>
      </c>
      <c r="E2728" s="54" t="str">
        <f t="shared" si="1"/>
        <v>₹1,543,613.76</v>
      </c>
      <c r="F2728" s="55" t="str">
        <f t="shared" si="2"/>
        <v>30.0%</v>
      </c>
      <c r="G2728" s="54" t="str">
        <f t="shared" si="3"/>
        <v>₹463,084.13</v>
      </c>
      <c r="H2728" s="54" t="str">
        <f t="shared" si="4"/>
        <v>₹38,590.34</v>
      </c>
      <c r="I2728" s="54" t="str">
        <f>111994.12-H2728</f>
        <v>₹73,403.78</v>
      </c>
    </row>
    <row r="2729" ht="15.75" customHeight="1">
      <c r="A2729" s="50" t="s">
        <v>2804</v>
      </c>
      <c r="B2729" s="50" t="s">
        <v>53</v>
      </c>
      <c r="C2729" s="50" t="s">
        <v>26</v>
      </c>
      <c r="D2729" s="51">
        <v>128657.66</v>
      </c>
      <c r="E2729" s="51" t="str">
        <f t="shared" si="1"/>
        <v>₹1,543,891.92</v>
      </c>
      <c r="F2729" s="52" t="str">
        <f t="shared" si="2"/>
        <v>30.0%</v>
      </c>
      <c r="G2729" s="51" t="str">
        <f t="shared" si="3"/>
        <v>₹463,167.58</v>
      </c>
      <c r="H2729" s="51" t="str">
        <f t="shared" si="4"/>
        <v>₹38,597.30</v>
      </c>
      <c r="I2729" s="51" t="str">
        <f>112013.9-H2729</f>
        <v>₹73,416.60</v>
      </c>
    </row>
    <row r="2730" ht="15.75" customHeight="1">
      <c r="A2730" s="53" t="s">
        <v>2805</v>
      </c>
      <c r="B2730" s="53" t="s">
        <v>53</v>
      </c>
      <c r="C2730" s="53" t="s">
        <v>26</v>
      </c>
      <c r="D2730" s="54">
        <v>128680.84</v>
      </c>
      <c r="E2730" s="54" t="str">
        <f t="shared" si="1"/>
        <v>₹1,544,170.08</v>
      </c>
      <c r="F2730" s="55" t="str">
        <f t="shared" si="2"/>
        <v>30.0%</v>
      </c>
      <c r="G2730" s="54" t="str">
        <f t="shared" si="3"/>
        <v>₹463,251.02</v>
      </c>
      <c r="H2730" s="54" t="str">
        <f t="shared" si="4"/>
        <v>₹38,604.25</v>
      </c>
      <c r="I2730" s="54" t="str">
        <f>112033.68-H2730</f>
        <v>₹73,429.43</v>
      </c>
    </row>
    <row r="2731" ht="15.75" customHeight="1">
      <c r="A2731" s="50" t="s">
        <v>2806</v>
      </c>
      <c r="B2731" s="50" t="s">
        <v>29</v>
      </c>
      <c r="C2731" s="50" t="s">
        <v>30</v>
      </c>
      <c r="D2731" s="51">
        <v>128704.02</v>
      </c>
      <c r="E2731" s="51" t="str">
        <f t="shared" si="1"/>
        <v>₹1,544,448.24</v>
      </c>
      <c r="F2731" s="52" t="str">
        <f t="shared" si="2"/>
        <v>30.0%</v>
      </c>
      <c r="G2731" s="51" t="str">
        <f t="shared" si="3"/>
        <v>₹463,334.47</v>
      </c>
      <c r="H2731" s="51" t="str">
        <f t="shared" si="4"/>
        <v>₹38,611.21</v>
      </c>
      <c r="I2731" s="51" t="str">
        <f>112053.46-H2731</f>
        <v>₹73,442.25</v>
      </c>
    </row>
    <row r="2732" ht="15.75" customHeight="1">
      <c r="A2732" s="53" t="s">
        <v>2807</v>
      </c>
      <c r="B2732" s="53" t="s">
        <v>53</v>
      </c>
      <c r="C2732" s="53" t="s">
        <v>26</v>
      </c>
      <c r="D2732" s="54">
        <v>128727.19</v>
      </c>
      <c r="E2732" s="54" t="str">
        <f t="shared" si="1"/>
        <v>₹1,544,726.28</v>
      </c>
      <c r="F2732" s="55" t="str">
        <f t="shared" si="2"/>
        <v>30.0%</v>
      </c>
      <c r="G2732" s="54" t="str">
        <f t="shared" si="3"/>
        <v>₹463,417.88</v>
      </c>
      <c r="H2732" s="54" t="str">
        <f t="shared" si="4"/>
        <v>₹38,618.16</v>
      </c>
      <c r="I2732" s="54" t="str">
        <f>112073.24-H2732</f>
        <v>₹73,455.08</v>
      </c>
    </row>
    <row r="2733" ht="15.75" customHeight="1">
      <c r="A2733" s="50" t="s">
        <v>2808</v>
      </c>
      <c r="B2733" s="50" t="s">
        <v>13</v>
      </c>
      <c r="C2733" s="50" t="s">
        <v>14</v>
      </c>
      <c r="D2733" s="51">
        <v>128750.37</v>
      </c>
      <c r="E2733" s="51" t="str">
        <f t="shared" si="1"/>
        <v>₹1,545,004.44</v>
      </c>
      <c r="F2733" s="52" t="str">
        <f t="shared" si="2"/>
        <v>30.0%</v>
      </c>
      <c r="G2733" s="51" t="str">
        <f t="shared" si="3"/>
        <v>₹463,501.33</v>
      </c>
      <c r="H2733" s="51" t="str">
        <f t="shared" si="4"/>
        <v>₹38,625.11</v>
      </c>
      <c r="I2733" s="51" t="str">
        <f>112093.02-H2733</f>
        <v>₹73,467.91</v>
      </c>
    </row>
    <row r="2734" ht="15.75" customHeight="1">
      <c r="A2734" s="53" t="s">
        <v>2809</v>
      </c>
      <c r="B2734" s="53" t="s">
        <v>51</v>
      </c>
      <c r="C2734" s="53" t="s">
        <v>30</v>
      </c>
      <c r="D2734" s="54">
        <v>128773.55</v>
      </c>
      <c r="E2734" s="54" t="str">
        <f t="shared" si="1"/>
        <v>₹1,545,282.60</v>
      </c>
      <c r="F2734" s="55" t="str">
        <f t="shared" si="2"/>
        <v>30.0%</v>
      </c>
      <c r="G2734" s="54" t="str">
        <f t="shared" si="3"/>
        <v>₹463,584.78</v>
      </c>
      <c r="H2734" s="54" t="str">
        <f t="shared" si="4"/>
        <v>₹38,632.07</v>
      </c>
      <c r="I2734" s="54" t="str">
        <f>112112.8-H2734</f>
        <v>₹73,480.74</v>
      </c>
    </row>
    <row r="2735" ht="15.75" customHeight="1">
      <c r="A2735" s="50" t="s">
        <v>2810</v>
      </c>
      <c r="B2735" s="50" t="s">
        <v>36</v>
      </c>
      <c r="C2735" s="50" t="s">
        <v>33</v>
      </c>
      <c r="D2735" s="51">
        <v>128796.73</v>
      </c>
      <c r="E2735" s="51" t="str">
        <f t="shared" si="1"/>
        <v>₹1,545,560.76</v>
      </c>
      <c r="F2735" s="52" t="str">
        <f t="shared" si="2"/>
        <v>30.0%</v>
      </c>
      <c r="G2735" s="51" t="str">
        <f t="shared" si="3"/>
        <v>₹463,668.23</v>
      </c>
      <c r="H2735" s="51" t="str">
        <f t="shared" si="4"/>
        <v>₹38,639.02</v>
      </c>
      <c r="I2735" s="51" t="str">
        <f>112132.58-H2735</f>
        <v>₹73,493.56</v>
      </c>
    </row>
    <row r="2736" ht="15.75" customHeight="1">
      <c r="A2736" s="53" t="s">
        <v>2811</v>
      </c>
      <c r="B2736" s="53" t="s">
        <v>36</v>
      </c>
      <c r="C2736" s="53" t="s">
        <v>26</v>
      </c>
      <c r="D2736" s="54">
        <v>128819.91</v>
      </c>
      <c r="E2736" s="54" t="str">
        <f t="shared" si="1"/>
        <v>₹1,545,838.92</v>
      </c>
      <c r="F2736" s="55" t="str">
        <f t="shared" si="2"/>
        <v>30.0%</v>
      </c>
      <c r="G2736" s="54" t="str">
        <f t="shared" si="3"/>
        <v>₹463,751.68</v>
      </c>
      <c r="H2736" s="54" t="str">
        <f t="shared" si="4"/>
        <v>₹38,645.97</v>
      </c>
      <c r="I2736" s="54" t="str">
        <f>112152.37-H2736</f>
        <v>₹73,506.40</v>
      </c>
    </row>
    <row r="2737" ht="15.75" customHeight="1">
      <c r="A2737" s="50" t="s">
        <v>2812</v>
      </c>
      <c r="B2737" s="50" t="s">
        <v>53</v>
      </c>
      <c r="C2737" s="50" t="s">
        <v>33</v>
      </c>
      <c r="D2737" s="51">
        <v>128843.08</v>
      </c>
      <c r="E2737" s="51" t="str">
        <f t="shared" si="1"/>
        <v>₹1,546,116.96</v>
      </c>
      <c r="F2737" s="52" t="str">
        <f t="shared" si="2"/>
        <v>30.0%</v>
      </c>
      <c r="G2737" s="51" t="str">
        <f t="shared" si="3"/>
        <v>₹463,835.09</v>
      </c>
      <c r="H2737" s="51" t="str">
        <f t="shared" si="4"/>
        <v>₹38,652.92</v>
      </c>
      <c r="I2737" s="51" t="str">
        <f>114077.77-H2737</f>
        <v>₹75,424.85</v>
      </c>
    </row>
    <row r="2738" ht="15.75" customHeight="1">
      <c r="A2738" s="53" t="s">
        <v>2813</v>
      </c>
      <c r="B2738" s="53" t="s">
        <v>13</v>
      </c>
      <c r="C2738" s="53" t="s">
        <v>14</v>
      </c>
      <c r="D2738" s="54">
        <v>128866.26</v>
      </c>
      <c r="E2738" s="54" t="str">
        <f t="shared" si="1"/>
        <v>₹1,546,395.12</v>
      </c>
      <c r="F2738" s="55" t="str">
        <f t="shared" si="2"/>
        <v>30.0%</v>
      </c>
      <c r="G2738" s="54" t="str">
        <f t="shared" si="3"/>
        <v>₹463,918.54</v>
      </c>
      <c r="H2738" s="54" t="str">
        <f t="shared" si="4"/>
        <v>₹38,659.88</v>
      </c>
      <c r="I2738" s="54" t="str">
        <f>112191.92-H2738</f>
        <v>₹73,532.04</v>
      </c>
    </row>
    <row r="2739" ht="15.75" customHeight="1">
      <c r="A2739" s="50" t="s">
        <v>2814</v>
      </c>
      <c r="B2739" s="50" t="s">
        <v>51</v>
      </c>
      <c r="C2739" s="50" t="s">
        <v>18</v>
      </c>
      <c r="D2739" s="51">
        <v>128889.44</v>
      </c>
      <c r="E2739" s="51" t="str">
        <f t="shared" si="1"/>
        <v>₹1,546,673.28</v>
      </c>
      <c r="F2739" s="52" t="str">
        <f t="shared" si="2"/>
        <v>30.0%</v>
      </c>
      <c r="G2739" s="51" t="str">
        <f t="shared" si="3"/>
        <v>₹464,001.98</v>
      </c>
      <c r="H2739" s="51" t="str">
        <f t="shared" si="4"/>
        <v>₹38,666.83</v>
      </c>
      <c r="I2739" s="51" t="str">
        <f>112211.7-H2739</f>
        <v>₹73,544.87</v>
      </c>
    </row>
    <row r="2740" ht="15.75" customHeight="1">
      <c r="A2740" s="53" t="s">
        <v>2815</v>
      </c>
      <c r="B2740" s="53" t="s">
        <v>36</v>
      </c>
      <c r="C2740" s="53" t="s">
        <v>26</v>
      </c>
      <c r="D2740" s="54">
        <v>128912.62</v>
      </c>
      <c r="E2740" s="54" t="str">
        <f t="shared" si="1"/>
        <v>₹1,546,951.44</v>
      </c>
      <c r="F2740" s="55" t="str">
        <f t="shared" si="2"/>
        <v>30.0%</v>
      </c>
      <c r="G2740" s="54" t="str">
        <f t="shared" si="3"/>
        <v>₹464,085.43</v>
      </c>
      <c r="H2740" s="54" t="str">
        <f t="shared" si="4"/>
        <v>₹38,673.79</v>
      </c>
      <c r="I2740" s="54" t="str">
        <f>112231.49-H2740</f>
        <v>₹73,557.70</v>
      </c>
    </row>
    <row r="2741" ht="15.75" customHeight="1">
      <c r="A2741" s="50" t="s">
        <v>2816</v>
      </c>
      <c r="B2741" s="50" t="s">
        <v>36</v>
      </c>
      <c r="C2741" s="50" t="s">
        <v>14</v>
      </c>
      <c r="D2741" s="51">
        <v>128935.79</v>
      </c>
      <c r="E2741" s="51" t="str">
        <f t="shared" si="1"/>
        <v>₹1,547,229.48</v>
      </c>
      <c r="F2741" s="52" t="str">
        <f t="shared" si="2"/>
        <v>30.0%</v>
      </c>
      <c r="G2741" s="51" t="str">
        <f t="shared" si="3"/>
        <v>₹464,168.84</v>
      </c>
      <c r="H2741" s="51" t="str">
        <f t="shared" si="4"/>
        <v>₹38,680.74</v>
      </c>
      <c r="I2741" s="51" t="str">
        <f>112251.26-H2741</f>
        <v>₹73,570.52</v>
      </c>
    </row>
    <row r="2742" ht="15.75" customHeight="1">
      <c r="A2742" s="53" t="s">
        <v>2817</v>
      </c>
      <c r="B2742" s="53" t="s">
        <v>53</v>
      </c>
      <c r="C2742" s="53" t="s">
        <v>26</v>
      </c>
      <c r="D2742" s="54">
        <v>128958.97</v>
      </c>
      <c r="E2742" s="54" t="str">
        <f t="shared" si="1"/>
        <v>₹1,547,507.64</v>
      </c>
      <c r="F2742" s="55" t="str">
        <f t="shared" si="2"/>
        <v>30.0%</v>
      </c>
      <c r="G2742" s="54" t="str">
        <f t="shared" si="3"/>
        <v>₹464,252.29</v>
      </c>
      <c r="H2742" s="54" t="str">
        <f t="shared" si="4"/>
        <v>₹38,687.69</v>
      </c>
      <c r="I2742" s="54" t="str">
        <f>112271.04-H2742</f>
        <v>₹73,583.35</v>
      </c>
    </row>
    <row r="2743" ht="15.75" customHeight="1">
      <c r="A2743" s="50" t="s">
        <v>2818</v>
      </c>
      <c r="B2743" s="50" t="s">
        <v>29</v>
      </c>
      <c r="C2743" s="50" t="s">
        <v>54</v>
      </c>
      <c r="D2743" s="51">
        <v>128982.15</v>
      </c>
      <c r="E2743" s="51" t="str">
        <f t="shared" si="1"/>
        <v>₹1,547,785.80</v>
      </c>
      <c r="F2743" s="52" t="str">
        <f t="shared" si="2"/>
        <v>30.0%</v>
      </c>
      <c r="G2743" s="51" t="str">
        <f t="shared" si="3"/>
        <v>₹464,335.74</v>
      </c>
      <c r="H2743" s="51" t="str">
        <f t="shared" si="4"/>
        <v>₹38,694.65</v>
      </c>
      <c r="I2743" s="51" t="str">
        <f>112290.82-H2743</f>
        <v>₹73,596.18</v>
      </c>
    </row>
    <row r="2744" ht="15.75" customHeight="1">
      <c r="A2744" s="53" t="s">
        <v>2819</v>
      </c>
      <c r="B2744" s="53" t="s">
        <v>29</v>
      </c>
      <c r="C2744" s="53" t="s">
        <v>14</v>
      </c>
      <c r="D2744" s="54">
        <v>129028.5</v>
      </c>
      <c r="E2744" s="54" t="str">
        <f t="shared" si="1"/>
        <v>₹1,548,342.00</v>
      </c>
      <c r="F2744" s="55" t="str">
        <f t="shared" si="2"/>
        <v>30.0%</v>
      </c>
      <c r="G2744" s="54" t="str">
        <f t="shared" si="3"/>
        <v>₹464,502.60</v>
      </c>
      <c r="H2744" s="54" t="str">
        <f t="shared" si="4"/>
        <v>₹38,708.55</v>
      </c>
      <c r="I2744" s="54" t="str">
        <f>112330.38-H2744</f>
        <v>₹73,621.83</v>
      </c>
    </row>
    <row r="2745" ht="15.75" customHeight="1">
      <c r="A2745" s="50" t="s">
        <v>2820</v>
      </c>
      <c r="B2745" s="50" t="s">
        <v>36</v>
      </c>
      <c r="C2745" s="50" t="s">
        <v>26</v>
      </c>
      <c r="D2745" s="51">
        <v>129051.68</v>
      </c>
      <c r="E2745" s="51" t="str">
        <f t="shared" si="1"/>
        <v>₹1,548,620.16</v>
      </c>
      <c r="F2745" s="52" t="str">
        <f t="shared" si="2"/>
        <v>30.0%</v>
      </c>
      <c r="G2745" s="51" t="str">
        <f t="shared" si="3"/>
        <v>₹464,586.05</v>
      </c>
      <c r="H2745" s="51" t="str">
        <f t="shared" si="4"/>
        <v>₹38,715.50</v>
      </c>
      <c r="I2745" s="51" t="str">
        <f>112350.16-H2745</f>
        <v>₹73,634.66</v>
      </c>
    </row>
    <row r="2746" ht="15.75" customHeight="1">
      <c r="A2746" s="53" t="s">
        <v>2821</v>
      </c>
      <c r="B2746" s="53" t="s">
        <v>36</v>
      </c>
      <c r="C2746" s="53" t="s">
        <v>54</v>
      </c>
      <c r="D2746" s="54">
        <v>129074.86</v>
      </c>
      <c r="E2746" s="54" t="str">
        <f t="shared" si="1"/>
        <v>₹1,548,898.32</v>
      </c>
      <c r="F2746" s="55" t="str">
        <f t="shared" si="2"/>
        <v>30.0%</v>
      </c>
      <c r="G2746" s="54" t="str">
        <f t="shared" si="3"/>
        <v>₹464,669.50</v>
      </c>
      <c r="H2746" s="54" t="str">
        <f t="shared" si="4"/>
        <v>₹38,722.46</v>
      </c>
      <c r="I2746" s="54" t="str">
        <f>112369.94-H2746</f>
        <v>₹73,647.48</v>
      </c>
    </row>
    <row r="2747" ht="15.75" customHeight="1">
      <c r="A2747" s="50" t="s">
        <v>2822</v>
      </c>
      <c r="B2747" s="50" t="s">
        <v>36</v>
      </c>
      <c r="C2747" s="50" t="s">
        <v>18</v>
      </c>
      <c r="D2747" s="51">
        <v>129098.04</v>
      </c>
      <c r="E2747" s="51" t="str">
        <f t="shared" si="1"/>
        <v>₹1,549,176.48</v>
      </c>
      <c r="F2747" s="52" t="str">
        <f t="shared" si="2"/>
        <v>30.0%</v>
      </c>
      <c r="G2747" s="51" t="str">
        <f t="shared" si="3"/>
        <v>₹464,752.94</v>
      </c>
      <c r="H2747" s="51" t="str">
        <f t="shared" si="4"/>
        <v>₹38,729.41</v>
      </c>
      <c r="I2747" s="51" t="str">
        <f>112389.72-H2747</f>
        <v>₹73,660.31</v>
      </c>
    </row>
    <row r="2748" ht="15.75" customHeight="1">
      <c r="A2748" s="53" t="s">
        <v>2823</v>
      </c>
      <c r="B2748" s="53" t="s">
        <v>29</v>
      </c>
      <c r="C2748" s="53" t="s">
        <v>33</v>
      </c>
      <c r="D2748" s="54">
        <v>129121.22</v>
      </c>
      <c r="E2748" s="54" t="str">
        <f t="shared" si="1"/>
        <v>₹1,549,454.64</v>
      </c>
      <c r="F2748" s="55" t="str">
        <f t="shared" si="2"/>
        <v>30.0%</v>
      </c>
      <c r="G2748" s="54" t="str">
        <f t="shared" si="3"/>
        <v>₹464,836.39</v>
      </c>
      <c r="H2748" s="54" t="str">
        <f t="shared" si="4"/>
        <v>₹38,736.37</v>
      </c>
      <c r="I2748" s="54" t="str">
        <f>112409.51-H2748</f>
        <v>₹73,673.14</v>
      </c>
    </row>
    <row r="2749" ht="15.75" customHeight="1">
      <c r="A2749" s="50" t="s">
        <v>2824</v>
      </c>
      <c r="B2749" s="50" t="s">
        <v>29</v>
      </c>
      <c r="C2749" s="50" t="s">
        <v>33</v>
      </c>
      <c r="D2749" s="51">
        <v>129144.39</v>
      </c>
      <c r="E2749" s="51" t="str">
        <f t="shared" si="1"/>
        <v>₹1,549,732.68</v>
      </c>
      <c r="F2749" s="52" t="str">
        <f t="shared" si="2"/>
        <v>30.0%</v>
      </c>
      <c r="G2749" s="51" t="str">
        <f t="shared" si="3"/>
        <v>₹464,919.80</v>
      </c>
      <c r="H2749" s="51" t="str">
        <f t="shared" si="4"/>
        <v>₹38,743.32</v>
      </c>
      <c r="I2749" s="51" t="str">
        <f>112429.28-H2749</f>
        <v>₹73,685.96</v>
      </c>
    </row>
    <row r="2750" ht="15.75" customHeight="1">
      <c r="A2750" s="53" t="s">
        <v>2825</v>
      </c>
      <c r="B2750" s="53" t="s">
        <v>36</v>
      </c>
      <c r="C2750" s="53" t="s">
        <v>14</v>
      </c>
      <c r="D2750" s="54">
        <v>129167.57</v>
      </c>
      <c r="E2750" s="54" t="str">
        <f t="shared" si="1"/>
        <v>₹1,550,010.84</v>
      </c>
      <c r="F2750" s="55" t="str">
        <f t="shared" si="2"/>
        <v>30.0%</v>
      </c>
      <c r="G2750" s="54" t="str">
        <f t="shared" si="3"/>
        <v>₹465,003.25</v>
      </c>
      <c r="H2750" s="54" t="str">
        <f t="shared" si="4"/>
        <v>₹38,750.27</v>
      </c>
      <c r="I2750" s="54" t="str">
        <f>112449.06-H2750</f>
        <v>₹73,698.79</v>
      </c>
    </row>
    <row r="2751" ht="15.75" customHeight="1">
      <c r="A2751" s="50" t="s">
        <v>2826</v>
      </c>
      <c r="B2751" s="50" t="s">
        <v>25</v>
      </c>
      <c r="C2751" s="50" t="s">
        <v>30</v>
      </c>
      <c r="D2751" s="51">
        <v>129190.75</v>
      </c>
      <c r="E2751" s="51" t="str">
        <f t="shared" si="1"/>
        <v>₹1,550,289.00</v>
      </c>
      <c r="F2751" s="52" t="str">
        <f t="shared" si="2"/>
        <v>30.0%</v>
      </c>
      <c r="G2751" s="51" t="str">
        <f t="shared" si="3"/>
        <v>₹465,086.70</v>
      </c>
      <c r="H2751" s="51" t="str">
        <f t="shared" si="4"/>
        <v>₹38,757.23</v>
      </c>
      <c r="I2751" s="51" t="str">
        <f>112468.84-H2751</f>
        <v>₹73,711.62</v>
      </c>
    </row>
    <row r="2752" ht="15.75" customHeight="1">
      <c r="A2752" s="53" t="s">
        <v>2828</v>
      </c>
      <c r="B2752" s="53" t="s">
        <v>17</v>
      </c>
      <c r="C2752" s="53" t="s">
        <v>26</v>
      </c>
      <c r="D2752" s="54">
        <v>129213.93</v>
      </c>
      <c r="E2752" s="54" t="str">
        <f t="shared" si="1"/>
        <v>₹1,550,567.16</v>
      </c>
      <c r="F2752" s="55" t="str">
        <f t="shared" si="2"/>
        <v>30.0%</v>
      </c>
      <c r="G2752" s="54" t="str">
        <f t="shared" si="3"/>
        <v>₹465,170.15</v>
      </c>
      <c r="H2752" s="54" t="str">
        <f t="shared" si="4"/>
        <v>₹38,764.18</v>
      </c>
      <c r="I2752" s="54" t="str">
        <f>112488.63-H2752</f>
        <v>₹73,724.45</v>
      </c>
    </row>
    <row r="2753" ht="15.75" customHeight="1">
      <c r="A2753" s="50" t="s">
        <v>2829</v>
      </c>
      <c r="B2753" s="50" t="s">
        <v>17</v>
      </c>
      <c r="C2753" s="50" t="s">
        <v>14</v>
      </c>
      <c r="D2753" s="51">
        <v>129237.1</v>
      </c>
      <c r="E2753" s="51" t="str">
        <f t="shared" si="1"/>
        <v>₹1,550,845.20</v>
      </c>
      <c r="F2753" s="52" t="str">
        <f t="shared" si="2"/>
        <v>30.0%</v>
      </c>
      <c r="G2753" s="51" t="str">
        <f t="shared" si="3"/>
        <v>₹465,253.56</v>
      </c>
      <c r="H2753" s="51" t="str">
        <f t="shared" si="4"/>
        <v>₹38,771.13</v>
      </c>
      <c r="I2753" s="51" t="str">
        <f>112508.4-H2753</f>
        <v>₹73,737.27</v>
      </c>
    </row>
    <row r="2754" ht="15.75" customHeight="1">
      <c r="A2754" s="53" t="s">
        <v>2830</v>
      </c>
      <c r="B2754" s="53" t="s">
        <v>25</v>
      </c>
      <c r="C2754" s="53" t="s">
        <v>18</v>
      </c>
      <c r="D2754" s="54">
        <v>129260.28</v>
      </c>
      <c r="E2754" s="54" t="str">
        <f t="shared" si="1"/>
        <v>₹1,551,123.36</v>
      </c>
      <c r="F2754" s="55" t="str">
        <f t="shared" si="2"/>
        <v>30.0%</v>
      </c>
      <c r="G2754" s="54" t="str">
        <f t="shared" si="3"/>
        <v>₹465,337.01</v>
      </c>
      <c r="H2754" s="54" t="str">
        <f t="shared" si="4"/>
        <v>₹38,778.08</v>
      </c>
      <c r="I2754" s="54" t="str">
        <f>112528.18-H2754</f>
        <v>₹73,750.10</v>
      </c>
    </row>
    <row r="2755" ht="15.75" customHeight="1">
      <c r="A2755" s="50" t="s">
        <v>2831</v>
      </c>
      <c r="B2755" s="50" t="s">
        <v>36</v>
      </c>
      <c r="C2755" s="50" t="s">
        <v>18</v>
      </c>
      <c r="D2755" s="51">
        <v>129283.46</v>
      </c>
      <c r="E2755" s="51" t="str">
        <f t="shared" si="1"/>
        <v>₹1,551,401.52</v>
      </c>
      <c r="F2755" s="52" t="str">
        <f t="shared" si="2"/>
        <v>30.0%</v>
      </c>
      <c r="G2755" s="51" t="str">
        <f t="shared" si="3"/>
        <v>₹465,420.46</v>
      </c>
      <c r="H2755" s="51" t="str">
        <f t="shared" si="4"/>
        <v>₹38,785.04</v>
      </c>
      <c r="I2755" s="51" t="str">
        <f>112547.96-H2755</f>
        <v>₹73,762.92</v>
      </c>
    </row>
    <row r="2756" ht="15.75" customHeight="1">
      <c r="A2756" s="53" t="s">
        <v>2832</v>
      </c>
      <c r="B2756" s="53" t="s">
        <v>36</v>
      </c>
      <c r="C2756" s="53" t="s">
        <v>30</v>
      </c>
      <c r="D2756" s="54">
        <v>129306.64</v>
      </c>
      <c r="E2756" s="54" t="str">
        <f t="shared" si="1"/>
        <v>₹1,551,679.68</v>
      </c>
      <c r="F2756" s="55" t="str">
        <f t="shared" si="2"/>
        <v>30.0%</v>
      </c>
      <c r="G2756" s="54" t="str">
        <f t="shared" si="3"/>
        <v>₹465,503.90</v>
      </c>
      <c r="H2756" s="54" t="str">
        <f t="shared" si="4"/>
        <v>₹38,791.99</v>
      </c>
      <c r="I2756" s="54" t="str">
        <f>112567.75-H2756</f>
        <v>₹73,775.76</v>
      </c>
    </row>
    <row r="2757" ht="15.75" customHeight="1">
      <c r="A2757" s="50" t="s">
        <v>2833</v>
      </c>
      <c r="B2757" s="50" t="s">
        <v>36</v>
      </c>
      <c r="C2757" s="50" t="s">
        <v>54</v>
      </c>
      <c r="D2757" s="51">
        <v>129329.81</v>
      </c>
      <c r="E2757" s="51" t="str">
        <f t="shared" si="1"/>
        <v>₹1,551,957.72</v>
      </c>
      <c r="F2757" s="52" t="str">
        <f t="shared" si="2"/>
        <v>30.0%</v>
      </c>
      <c r="G2757" s="51" t="str">
        <f t="shared" si="3"/>
        <v>₹465,587.32</v>
      </c>
      <c r="H2757" s="51" t="str">
        <f t="shared" si="4"/>
        <v>₹38,798.94</v>
      </c>
      <c r="I2757" s="51" t="str">
        <f>112587.52-H2757</f>
        <v>₹73,788.58</v>
      </c>
    </row>
    <row r="2758" ht="15.75" customHeight="1">
      <c r="A2758" s="53" t="s">
        <v>2834</v>
      </c>
      <c r="B2758" s="53" t="s">
        <v>17</v>
      </c>
      <c r="C2758" s="53" t="s">
        <v>37</v>
      </c>
      <c r="D2758" s="54">
        <v>129352.99</v>
      </c>
      <c r="E2758" s="54" t="str">
        <f t="shared" si="1"/>
        <v>₹1,552,235.88</v>
      </c>
      <c r="F2758" s="55" t="str">
        <f t="shared" si="2"/>
        <v>30.0%</v>
      </c>
      <c r="G2758" s="54" t="str">
        <f t="shared" si="3"/>
        <v>₹465,670.76</v>
      </c>
      <c r="H2758" s="54" t="str">
        <f t="shared" si="4"/>
        <v>₹38,805.90</v>
      </c>
      <c r="I2758" s="54" t="str">
        <f>112607.3-H2758</f>
        <v>₹73,801.40</v>
      </c>
    </row>
    <row r="2759" ht="15.75" customHeight="1">
      <c r="A2759" s="50" t="s">
        <v>2835</v>
      </c>
      <c r="B2759" s="50" t="s">
        <v>13</v>
      </c>
      <c r="C2759" s="50" t="s">
        <v>30</v>
      </c>
      <c r="D2759" s="51">
        <v>129376.17</v>
      </c>
      <c r="E2759" s="51" t="str">
        <f t="shared" si="1"/>
        <v>₹1,552,514.04</v>
      </c>
      <c r="F2759" s="52" t="str">
        <f t="shared" si="2"/>
        <v>30.0%</v>
      </c>
      <c r="G2759" s="51" t="str">
        <f t="shared" si="3"/>
        <v>₹465,754.21</v>
      </c>
      <c r="H2759" s="51" t="str">
        <f t="shared" si="4"/>
        <v>₹38,812.85</v>
      </c>
      <c r="I2759" s="51" t="str">
        <f>112627.08-H2759</f>
        <v>₹73,814.23</v>
      </c>
    </row>
    <row r="2760" ht="15.75" customHeight="1">
      <c r="A2760" s="53" t="s">
        <v>2836</v>
      </c>
      <c r="B2760" s="53" t="s">
        <v>13</v>
      </c>
      <c r="C2760" s="53" t="s">
        <v>33</v>
      </c>
      <c r="D2760" s="54">
        <v>129399.35</v>
      </c>
      <c r="E2760" s="54" t="str">
        <f t="shared" si="1"/>
        <v>₹1,552,792.20</v>
      </c>
      <c r="F2760" s="55" t="str">
        <f t="shared" si="2"/>
        <v>30.0%</v>
      </c>
      <c r="G2760" s="54" t="str">
        <f t="shared" si="3"/>
        <v>₹465,837.66</v>
      </c>
      <c r="H2760" s="54" t="str">
        <f t="shared" si="4"/>
        <v>₹38,819.81</v>
      </c>
      <c r="I2760" s="54" t="str">
        <f>112646.87-H2760</f>
        <v>₹73,827.07</v>
      </c>
    </row>
    <row r="2761" ht="15.75" customHeight="1">
      <c r="A2761" s="50" t="s">
        <v>2837</v>
      </c>
      <c r="B2761" s="50" t="s">
        <v>25</v>
      </c>
      <c r="C2761" s="50" t="s">
        <v>33</v>
      </c>
      <c r="D2761" s="51">
        <v>129422.53</v>
      </c>
      <c r="E2761" s="51" t="str">
        <f t="shared" si="1"/>
        <v>₹1,553,070.36</v>
      </c>
      <c r="F2761" s="52" t="str">
        <f t="shared" si="2"/>
        <v>30.0%</v>
      </c>
      <c r="G2761" s="51" t="str">
        <f t="shared" si="3"/>
        <v>₹465,921.11</v>
      </c>
      <c r="H2761" s="51" t="str">
        <f t="shared" si="4"/>
        <v>₹38,826.76</v>
      </c>
      <c r="I2761" s="51" t="str">
        <f>112666.65-H2761</f>
        <v>₹73,839.89</v>
      </c>
    </row>
    <row r="2762" ht="15.75" customHeight="1">
      <c r="A2762" s="53" t="s">
        <v>2838</v>
      </c>
      <c r="B2762" s="53" t="s">
        <v>51</v>
      </c>
      <c r="C2762" s="53" t="s">
        <v>14</v>
      </c>
      <c r="D2762" s="54">
        <v>129445.7</v>
      </c>
      <c r="E2762" s="54" t="str">
        <f t="shared" si="1"/>
        <v>₹1,553,348.40</v>
      </c>
      <c r="F2762" s="55" t="str">
        <f t="shared" si="2"/>
        <v>30.0%</v>
      </c>
      <c r="G2762" s="54" t="str">
        <f t="shared" si="3"/>
        <v>₹466,004.52</v>
      </c>
      <c r="H2762" s="54" t="str">
        <f t="shared" si="4"/>
        <v>₹38,833.71</v>
      </c>
      <c r="I2762" s="54" t="str">
        <f>112686.42-H2762</f>
        <v>₹73,852.71</v>
      </c>
    </row>
    <row r="2763" ht="15.75" customHeight="1">
      <c r="A2763" s="50" t="s">
        <v>2839</v>
      </c>
      <c r="B2763" s="50" t="s">
        <v>36</v>
      </c>
      <c r="C2763" s="50" t="s">
        <v>33</v>
      </c>
      <c r="D2763" s="51">
        <v>129468.88</v>
      </c>
      <c r="E2763" s="51" t="str">
        <f t="shared" si="1"/>
        <v>₹1,553,626.56</v>
      </c>
      <c r="F2763" s="52" t="str">
        <f t="shared" si="2"/>
        <v>30.0%</v>
      </c>
      <c r="G2763" s="51" t="str">
        <f t="shared" si="3"/>
        <v>₹466,087.97</v>
      </c>
      <c r="H2763" s="51" t="str">
        <f t="shared" si="4"/>
        <v>₹38,840.66</v>
      </c>
      <c r="I2763" s="51" t="str">
        <f>112706.2-H2763</f>
        <v>₹73,865.54</v>
      </c>
    </row>
    <row r="2764" ht="15.75" customHeight="1">
      <c r="A2764" s="53" t="s">
        <v>2840</v>
      </c>
      <c r="B2764" s="53" t="s">
        <v>51</v>
      </c>
      <c r="C2764" s="53" t="s">
        <v>37</v>
      </c>
      <c r="D2764" s="54">
        <v>129492.06</v>
      </c>
      <c r="E2764" s="54" t="str">
        <f t="shared" si="1"/>
        <v>₹1,553,904.72</v>
      </c>
      <c r="F2764" s="55" t="str">
        <f t="shared" si="2"/>
        <v>30.0%</v>
      </c>
      <c r="G2764" s="54" t="str">
        <f t="shared" si="3"/>
        <v>₹466,171.42</v>
      </c>
      <c r="H2764" s="54" t="str">
        <f t="shared" si="4"/>
        <v>₹38,847.62</v>
      </c>
      <c r="I2764" s="54" t="str">
        <f>112725.99-H2764</f>
        <v>₹73,878.37</v>
      </c>
    </row>
    <row r="2765" ht="15.75" customHeight="1">
      <c r="A2765" s="50" t="s">
        <v>2841</v>
      </c>
      <c r="B2765" s="50" t="s">
        <v>17</v>
      </c>
      <c r="C2765" s="50" t="s">
        <v>14</v>
      </c>
      <c r="D2765" s="51">
        <v>129515.24</v>
      </c>
      <c r="E2765" s="51" t="str">
        <f t="shared" si="1"/>
        <v>₹1,554,182.88</v>
      </c>
      <c r="F2765" s="52" t="str">
        <f t="shared" si="2"/>
        <v>30.0%</v>
      </c>
      <c r="G2765" s="51" t="str">
        <f t="shared" si="3"/>
        <v>₹466,254.86</v>
      </c>
      <c r="H2765" s="51" t="str">
        <f t="shared" si="4"/>
        <v>₹38,854.57</v>
      </c>
      <c r="I2765" s="51" t="str">
        <f>112745.77-H2765</f>
        <v>₹73,891.20</v>
      </c>
    </row>
    <row r="2766" ht="15.75" customHeight="1">
      <c r="A2766" s="53" t="s">
        <v>2842</v>
      </c>
      <c r="B2766" s="53" t="s">
        <v>25</v>
      </c>
      <c r="C2766" s="53" t="s">
        <v>26</v>
      </c>
      <c r="D2766" s="54">
        <v>129538.41</v>
      </c>
      <c r="E2766" s="54" t="str">
        <f t="shared" si="1"/>
        <v>₹1,554,460.92</v>
      </c>
      <c r="F2766" s="55" t="str">
        <f t="shared" si="2"/>
        <v>30.0%</v>
      </c>
      <c r="G2766" s="54" t="str">
        <f t="shared" si="3"/>
        <v>₹466,338.28</v>
      </c>
      <c r="H2766" s="54" t="str">
        <f t="shared" si="4"/>
        <v>₹38,861.52</v>
      </c>
      <c r="I2766" s="54" t="str">
        <f>112765.54-H2766</f>
        <v>₹73,904.02</v>
      </c>
    </row>
    <row r="2767" ht="15.75" customHeight="1">
      <c r="A2767" s="50" t="s">
        <v>2843</v>
      </c>
      <c r="B2767" s="50" t="s">
        <v>13</v>
      </c>
      <c r="C2767" s="50" t="s">
        <v>26</v>
      </c>
      <c r="D2767" s="51">
        <v>129561.59</v>
      </c>
      <c r="E2767" s="51" t="str">
        <f t="shared" si="1"/>
        <v>₹1,554,739.08</v>
      </c>
      <c r="F2767" s="52" t="str">
        <f t="shared" si="2"/>
        <v>30.0%</v>
      </c>
      <c r="G2767" s="51" t="str">
        <f t="shared" si="3"/>
        <v>₹466,421.72</v>
      </c>
      <c r="H2767" s="51" t="str">
        <f t="shared" si="4"/>
        <v>₹38,868.48</v>
      </c>
      <c r="I2767" s="51" t="str">
        <f>112785.32-H2767</f>
        <v>₹73,916.84</v>
      </c>
    </row>
    <row r="2768" ht="15.75" customHeight="1">
      <c r="A2768" s="53" t="s">
        <v>2844</v>
      </c>
      <c r="B2768" s="53" t="s">
        <v>17</v>
      </c>
      <c r="C2768" s="53" t="s">
        <v>37</v>
      </c>
      <c r="D2768" s="54">
        <v>129584.77</v>
      </c>
      <c r="E2768" s="54" t="str">
        <f t="shared" si="1"/>
        <v>₹1,555,017.24</v>
      </c>
      <c r="F2768" s="55" t="str">
        <f t="shared" si="2"/>
        <v>30.0%</v>
      </c>
      <c r="G2768" s="54" t="str">
        <f t="shared" si="3"/>
        <v>₹466,505.17</v>
      </c>
      <c r="H2768" s="54" t="str">
        <f t="shared" si="4"/>
        <v>₹38,875.43</v>
      </c>
      <c r="I2768" s="54" t="str">
        <f>114849.25-H2768</f>
        <v>₹75,973.82</v>
      </c>
    </row>
    <row r="2769" ht="15.75" customHeight="1">
      <c r="A2769" s="50" t="s">
        <v>2845</v>
      </c>
      <c r="B2769" s="50" t="s">
        <v>51</v>
      </c>
      <c r="C2769" s="50" t="s">
        <v>30</v>
      </c>
      <c r="D2769" s="51">
        <v>129607.95</v>
      </c>
      <c r="E2769" s="51" t="str">
        <f t="shared" si="1"/>
        <v>₹1,555,295.40</v>
      </c>
      <c r="F2769" s="52" t="str">
        <f t="shared" si="2"/>
        <v>30.0%</v>
      </c>
      <c r="G2769" s="51" t="str">
        <f t="shared" si="3"/>
        <v>₹466,588.62</v>
      </c>
      <c r="H2769" s="51" t="str">
        <f t="shared" si="4"/>
        <v>₹38,882.39</v>
      </c>
      <c r="I2769" s="51" t="str">
        <f>112824.89-H2769</f>
        <v>₹73,942.51</v>
      </c>
    </row>
    <row r="2770" ht="15.75" customHeight="1">
      <c r="A2770" s="53" t="s">
        <v>2846</v>
      </c>
      <c r="B2770" s="53" t="s">
        <v>51</v>
      </c>
      <c r="C2770" s="53" t="s">
        <v>18</v>
      </c>
      <c r="D2770" s="54">
        <v>129631.12</v>
      </c>
      <c r="E2770" s="54" t="str">
        <f t="shared" si="1"/>
        <v>₹1,555,573.44</v>
      </c>
      <c r="F2770" s="55" t="str">
        <f t="shared" si="2"/>
        <v>30.0%</v>
      </c>
      <c r="G2770" s="54" t="str">
        <f t="shared" si="3"/>
        <v>₹466,672.03</v>
      </c>
      <c r="H2770" s="54" t="str">
        <f t="shared" si="4"/>
        <v>₹38,889.34</v>
      </c>
      <c r="I2770" s="54" t="str">
        <f>112844.66-H2770</f>
        <v>₹73,955.32</v>
      </c>
    </row>
    <row r="2771" ht="15.75" customHeight="1">
      <c r="A2771" s="50" t="s">
        <v>2847</v>
      </c>
      <c r="B2771" s="50" t="s">
        <v>36</v>
      </c>
      <c r="C2771" s="50" t="s">
        <v>30</v>
      </c>
      <c r="D2771" s="51">
        <v>129654.3</v>
      </c>
      <c r="E2771" s="51" t="str">
        <f t="shared" si="1"/>
        <v>₹1,555,851.60</v>
      </c>
      <c r="F2771" s="52" t="str">
        <f t="shared" si="2"/>
        <v>30.0%</v>
      </c>
      <c r="G2771" s="51" t="str">
        <f t="shared" si="3"/>
        <v>₹466,755.48</v>
      </c>
      <c r="H2771" s="51" t="str">
        <f t="shared" si="4"/>
        <v>₹38,896.29</v>
      </c>
      <c r="I2771" s="51" t="str">
        <f>112864.44-H2771</f>
        <v>₹73,968.15</v>
      </c>
    </row>
    <row r="2772" ht="15.75" customHeight="1">
      <c r="A2772" s="53" t="s">
        <v>2848</v>
      </c>
      <c r="B2772" s="53" t="s">
        <v>36</v>
      </c>
      <c r="C2772" s="53" t="s">
        <v>18</v>
      </c>
      <c r="D2772" s="54">
        <v>129677.48</v>
      </c>
      <c r="E2772" s="54" t="str">
        <f t="shared" si="1"/>
        <v>₹1,556,129.76</v>
      </c>
      <c r="F2772" s="55" t="str">
        <f t="shared" si="2"/>
        <v>30.0%</v>
      </c>
      <c r="G2772" s="54" t="str">
        <f t="shared" si="3"/>
        <v>₹466,838.93</v>
      </c>
      <c r="H2772" s="54" t="str">
        <f t="shared" si="4"/>
        <v>₹38,903.24</v>
      </c>
      <c r="I2772" s="54" t="str">
        <f>112884.23-H2772</f>
        <v>₹73,980.99</v>
      </c>
    </row>
    <row r="2773" ht="15.75" customHeight="1">
      <c r="A2773" s="50" t="s">
        <v>2849</v>
      </c>
      <c r="B2773" s="50" t="s">
        <v>53</v>
      </c>
      <c r="C2773" s="50" t="s">
        <v>14</v>
      </c>
      <c r="D2773" s="51">
        <v>129700.66</v>
      </c>
      <c r="E2773" s="51" t="str">
        <f t="shared" si="1"/>
        <v>₹1,556,407.92</v>
      </c>
      <c r="F2773" s="52" t="str">
        <f t="shared" si="2"/>
        <v>30.0%</v>
      </c>
      <c r="G2773" s="51" t="str">
        <f t="shared" si="3"/>
        <v>₹466,922.38</v>
      </c>
      <c r="H2773" s="51" t="str">
        <f t="shared" si="4"/>
        <v>₹38,910.20</v>
      </c>
      <c r="I2773" s="51" t="str">
        <f>112904.01-H2773</f>
        <v>₹73,993.81</v>
      </c>
    </row>
    <row r="2774" ht="15.75" customHeight="1">
      <c r="A2774" s="53" t="s">
        <v>2850</v>
      </c>
      <c r="B2774" s="53" t="s">
        <v>36</v>
      </c>
      <c r="C2774" s="53" t="s">
        <v>26</v>
      </c>
      <c r="D2774" s="54">
        <v>129723.84</v>
      </c>
      <c r="E2774" s="54" t="str">
        <f t="shared" si="1"/>
        <v>₹1,556,686.08</v>
      </c>
      <c r="F2774" s="55" t="str">
        <f t="shared" si="2"/>
        <v>30.0%</v>
      </c>
      <c r="G2774" s="54" t="str">
        <f t="shared" si="3"/>
        <v>₹467,005.82</v>
      </c>
      <c r="H2774" s="54" t="str">
        <f t="shared" si="4"/>
        <v>₹38,917.15</v>
      </c>
      <c r="I2774" s="54" t="str">
        <f>112923.79-H2774</f>
        <v>₹74,006.64</v>
      </c>
    </row>
    <row r="2775" ht="15.75" customHeight="1">
      <c r="A2775" s="50" t="s">
        <v>2851</v>
      </c>
      <c r="B2775" s="50" t="s">
        <v>29</v>
      </c>
      <c r="C2775" s="50" t="s">
        <v>54</v>
      </c>
      <c r="D2775" s="51">
        <v>122174.98</v>
      </c>
      <c r="E2775" s="51" t="str">
        <f t="shared" si="1"/>
        <v>₹1,466,099.76</v>
      </c>
      <c r="F2775" s="52" t="str">
        <f t="shared" si="2"/>
        <v>30.0%</v>
      </c>
      <c r="G2775" s="51" t="str">
        <f t="shared" si="3"/>
        <v>₹439,829.93</v>
      </c>
      <c r="H2775" s="51" t="str">
        <f t="shared" si="4"/>
        <v>₹36,652.49</v>
      </c>
      <c r="I2775" s="51" t="str">
        <f>105371.53-H2775</f>
        <v>₹68,719.04</v>
      </c>
    </row>
    <row r="2776" ht="15.75" customHeight="1">
      <c r="A2776" s="53" t="s">
        <v>2852</v>
      </c>
      <c r="B2776" s="53" t="s">
        <v>53</v>
      </c>
      <c r="C2776" s="53" t="s">
        <v>26</v>
      </c>
      <c r="D2776" s="54">
        <v>129793.37</v>
      </c>
      <c r="E2776" s="54" t="str">
        <f t="shared" si="1"/>
        <v>₹1,557,520.44</v>
      </c>
      <c r="F2776" s="55" t="str">
        <f t="shared" si="2"/>
        <v>30.0%</v>
      </c>
      <c r="G2776" s="54" t="str">
        <f t="shared" si="3"/>
        <v>₹467,256.13</v>
      </c>
      <c r="H2776" s="54" t="str">
        <f t="shared" si="4"/>
        <v>₹38,938.01</v>
      </c>
      <c r="I2776" s="54" t="str">
        <f>112983.13-H2776</f>
        <v>₹74,045.12</v>
      </c>
    </row>
    <row r="2777" ht="15.75" customHeight="1">
      <c r="A2777" s="50" t="s">
        <v>2853</v>
      </c>
      <c r="B2777" s="50" t="s">
        <v>17</v>
      </c>
      <c r="C2777" s="50" t="s">
        <v>30</v>
      </c>
      <c r="D2777" s="51">
        <v>129816.55</v>
      </c>
      <c r="E2777" s="51" t="str">
        <f t="shared" si="1"/>
        <v>₹1,557,798.60</v>
      </c>
      <c r="F2777" s="52" t="str">
        <f t="shared" si="2"/>
        <v>30.0%</v>
      </c>
      <c r="G2777" s="51" t="str">
        <f t="shared" si="3"/>
        <v>₹467,339.58</v>
      </c>
      <c r="H2777" s="51" t="str">
        <f t="shared" si="4"/>
        <v>₹38,944.97</v>
      </c>
      <c r="I2777" s="51" t="str">
        <f>113002.91-H2777</f>
        <v>₹74,057.95</v>
      </c>
    </row>
    <row r="2778" ht="15.75" customHeight="1">
      <c r="A2778" s="53" t="s">
        <v>2854</v>
      </c>
      <c r="B2778" s="53" t="s">
        <v>51</v>
      </c>
      <c r="C2778" s="53" t="s">
        <v>30</v>
      </c>
      <c r="D2778" s="54">
        <v>129839.72</v>
      </c>
      <c r="E2778" s="54" t="str">
        <f t="shared" si="1"/>
        <v>₹1,558,076.64</v>
      </c>
      <c r="F2778" s="55" t="str">
        <f t="shared" si="2"/>
        <v>30.0%</v>
      </c>
      <c r="G2778" s="54" t="str">
        <f t="shared" si="3"/>
        <v>₹467,422.99</v>
      </c>
      <c r="H2778" s="54" t="str">
        <f t="shared" si="4"/>
        <v>₹38,951.92</v>
      </c>
      <c r="I2778" s="54" t="str">
        <f>113022.68-H2778</f>
        <v>₹74,070.76</v>
      </c>
    </row>
    <row r="2779" ht="15.75" customHeight="1">
      <c r="A2779" s="50" t="s">
        <v>2855</v>
      </c>
      <c r="B2779" s="50" t="s">
        <v>13</v>
      </c>
      <c r="C2779" s="50" t="s">
        <v>30</v>
      </c>
      <c r="D2779" s="51">
        <v>129862.9</v>
      </c>
      <c r="E2779" s="51" t="str">
        <f t="shared" si="1"/>
        <v>₹1,558,354.80</v>
      </c>
      <c r="F2779" s="52" t="str">
        <f t="shared" si="2"/>
        <v>30.0%</v>
      </c>
      <c r="G2779" s="51" t="str">
        <f t="shared" si="3"/>
        <v>₹467,506.44</v>
      </c>
      <c r="H2779" s="51" t="str">
        <f t="shared" si="4"/>
        <v>₹38,958.87</v>
      </c>
      <c r="I2779" s="51" t="str">
        <f>113042.47-H2779</f>
        <v>₹74,083.60</v>
      </c>
    </row>
    <row r="2780" ht="15.75" customHeight="1">
      <c r="A2780" s="53" t="s">
        <v>2856</v>
      </c>
      <c r="B2780" s="53" t="s">
        <v>25</v>
      </c>
      <c r="C2780" s="53" t="s">
        <v>54</v>
      </c>
      <c r="D2780" s="54">
        <v>129886.08</v>
      </c>
      <c r="E2780" s="54" t="str">
        <f t="shared" si="1"/>
        <v>₹1,558,632.96</v>
      </c>
      <c r="F2780" s="55" t="str">
        <f t="shared" si="2"/>
        <v>30.0%</v>
      </c>
      <c r="G2780" s="54" t="str">
        <f t="shared" si="3"/>
        <v>₹467,589.89</v>
      </c>
      <c r="H2780" s="54" t="str">
        <f t="shared" si="4"/>
        <v>₹38,965.82</v>
      </c>
      <c r="I2780" s="54" t="str">
        <f>113062.25-H2780</f>
        <v>₹74,096.43</v>
      </c>
    </row>
    <row r="2781" ht="15.75" customHeight="1">
      <c r="A2781" s="50" t="s">
        <v>2857</v>
      </c>
      <c r="B2781" s="50" t="s">
        <v>51</v>
      </c>
      <c r="C2781" s="50" t="s">
        <v>14</v>
      </c>
      <c r="D2781" s="51">
        <v>129909.26</v>
      </c>
      <c r="E2781" s="51" t="str">
        <f t="shared" si="1"/>
        <v>₹1,558,911.12</v>
      </c>
      <c r="F2781" s="52" t="str">
        <f t="shared" si="2"/>
        <v>30.0%</v>
      </c>
      <c r="G2781" s="51" t="str">
        <f t="shared" si="3"/>
        <v>₹467,673.34</v>
      </c>
      <c r="H2781" s="51" t="str">
        <f t="shared" si="4"/>
        <v>₹38,972.78</v>
      </c>
      <c r="I2781" s="51" t="str">
        <f>113082.03-H2781</f>
        <v>₹74,109.25</v>
      </c>
    </row>
    <row r="2782" ht="15.75" customHeight="1">
      <c r="A2782" s="53" t="s">
        <v>2858</v>
      </c>
      <c r="B2782" s="53" t="s">
        <v>36</v>
      </c>
      <c r="C2782" s="53" t="s">
        <v>37</v>
      </c>
      <c r="D2782" s="54">
        <v>129932.43</v>
      </c>
      <c r="E2782" s="54" t="str">
        <f t="shared" si="1"/>
        <v>₹1,559,189.16</v>
      </c>
      <c r="F2782" s="55" t="str">
        <f t="shared" si="2"/>
        <v>30.0%</v>
      </c>
      <c r="G2782" s="54" t="str">
        <f t="shared" si="3"/>
        <v>₹467,756.75</v>
      </c>
      <c r="H2782" s="54" t="str">
        <f t="shared" si="4"/>
        <v>₹38,979.73</v>
      </c>
      <c r="I2782" s="54" t="str">
        <f>113101.8-H2782</f>
        <v>₹74,122.07</v>
      </c>
    </row>
    <row r="2783" ht="15.75" customHeight="1">
      <c r="A2783" s="50" t="s">
        <v>2859</v>
      </c>
      <c r="B2783" s="50" t="s">
        <v>17</v>
      </c>
      <c r="C2783" s="50" t="s">
        <v>37</v>
      </c>
      <c r="D2783" s="51">
        <v>129955.61</v>
      </c>
      <c r="E2783" s="51" t="str">
        <f t="shared" si="1"/>
        <v>₹1,559,467.32</v>
      </c>
      <c r="F2783" s="52" t="str">
        <f t="shared" si="2"/>
        <v>30.0%</v>
      </c>
      <c r="G2783" s="51" t="str">
        <f t="shared" si="3"/>
        <v>₹467,840.20</v>
      </c>
      <c r="H2783" s="51" t="str">
        <f t="shared" si="4"/>
        <v>₹38,986.68</v>
      </c>
      <c r="I2783" s="51" t="str">
        <f>113121.59-H2783</f>
        <v>₹74,134.91</v>
      </c>
    </row>
    <row r="2784" ht="15.75" customHeight="1">
      <c r="A2784" s="53" t="s">
        <v>2860</v>
      </c>
      <c r="B2784" s="53" t="s">
        <v>51</v>
      </c>
      <c r="C2784" s="53" t="s">
        <v>26</v>
      </c>
      <c r="D2784" s="54">
        <v>129978.79</v>
      </c>
      <c r="E2784" s="54" t="str">
        <f t="shared" si="1"/>
        <v>₹1,559,745.48</v>
      </c>
      <c r="F2784" s="55" t="str">
        <f t="shared" si="2"/>
        <v>30.0%</v>
      </c>
      <c r="G2784" s="54" t="str">
        <f t="shared" si="3"/>
        <v>₹467,923.64</v>
      </c>
      <c r="H2784" s="54" t="str">
        <f t="shared" si="4"/>
        <v>₹38,993.64</v>
      </c>
      <c r="I2784" s="54" t="str">
        <f>113141.37-H2784</f>
        <v>₹74,147.73</v>
      </c>
    </row>
    <row r="2785" ht="15.75" customHeight="1">
      <c r="A2785" s="50" t="s">
        <v>2861</v>
      </c>
      <c r="B2785" s="50" t="s">
        <v>53</v>
      </c>
      <c r="C2785" s="50" t="s">
        <v>54</v>
      </c>
      <c r="D2785" s="51">
        <v>130001.97</v>
      </c>
      <c r="E2785" s="51" t="str">
        <f t="shared" si="1"/>
        <v>₹1,560,023.64</v>
      </c>
      <c r="F2785" s="52" t="str">
        <f t="shared" si="2"/>
        <v>30.0%</v>
      </c>
      <c r="G2785" s="51" t="str">
        <f t="shared" si="3"/>
        <v>₹468,007.09</v>
      </c>
      <c r="H2785" s="51" t="str">
        <f t="shared" si="4"/>
        <v>₹39,000.59</v>
      </c>
      <c r="I2785" s="51" t="str">
        <f>113161.15-H2785</f>
        <v>₹74,160.56</v>
      </c>
    </row>
    <row r="2786" ht="15.75" customHeight="1">
      <c r="A2786" s="53" t="s">
        <v>2862</v>
      </c>
      <c r="B2786" s="53" t="s">
        <v>53</v>
      </c>
      <c r="C2786" s="53" t="s">
        <v>26</v>
      </c>
      <c r="D2786" s="54">
        <v>130025.15</v>
      </c>
      <c r="E2786" s="54" t="str">
        <f t="shared" si="1"/>
        <v>₹1,560,301.80</v>
      </c>
      <c r="F2786" s="55" t="str">
        <f t="shared" si="2"/>
        <v>30.0%</v>
      </c>
      <c r="G2786" s="54" t="str">
        <f t="shared" si="3"/>
        <v>₹468,090.54</v>
      </c>
      <c r="H2786" s="54" t="str">
        <f t="shared" si="4"/>
        <v>₹39,007.55</v>
      </c>
      <c r="I2786" s="54" t="str">
        <f>113180.93-H2786</f>
        <v>₹74,173.39</v>
      </c>
    </row>
    <row r="2787" ht="15.75" customHeight="1">
      <c r="A2787" s="50" t="s">
        <v>2863</v>
      </c>
      <c r="B2787" s="50" t="s">
        <v>36</v>
      </c>
      <c r="C2787" s="50" t="s">
        <v>33</v>
      </c>
      <c r="D2787" s="51">
        <v>130048.32</v>
      </c>
      <c r="E2787" s="51" t="str">
        <f t="shared" si="1"/>
        <v>₹1,560,579.84</v>
      </c>
      <c r="F2787" s="52" t="str">
        <f t="shared" si="2"/>
        <v>30.0%</v>
      </c>
      <c r="G2787" s="51" t="str">
        <f t="shared" si="3"/>
        <v>₹468,173.95</v>
      </c>
      <c r="H2787" s="51" t="str">
        <f t="shared" si="4"/>
        <v>₹39,014.50</v>
      </c>
      <c r="I2787" s="51" t="str">
        <f>113200.71-H2787</f>
        <v>₹74,186.21</v>
      </c>
    </row>
    <row r="2788" ht="15.75" customHeight="1">
      <c r="A2788" s="53" t="s">
        <v>2864</v>
      </c>
      <c r="B2788" s="53" t="s">
        <v>36</v>
      </c>
      <c r="C2788" s="53" t="s">
        <v>30</v>
      </c>
      <c r="D2788" s="54">
        <v>130071.5</v>
      </c>
      <c r="E2788" s="54" t="str">
        <f t="shared" si="1"/>
        <v>₹1,560,858.00</v>
      </c>
      <c r="F2788" s="55" t="str">
        <f t="shared" si="2"/>
        <v>30.0%</v>
      </c>
      <c r="G2788" s="54" t="str">
        <f t="shared" si="3"/>
        <v>₹468,257.40</v>
      </c>
      <c r="H2788" s="54" t="str">
        <f t="shared" si="4"/>
        <v>₹39,021.45</v>
      </c>
      <c r="I2788" s="54" t="str">
        <f>113220.49-H2788</f>
        <v>₹74,199.04</v>
      </c>
    </row>
    <row r="2789" ht="15.75" customHeight="1">
      <c r="A2789" s="50" t="s">
        <v>2865</v>
      </c>
      <c r="B2789" s="50" t="s">
        <v>25</v>
      </c>
      <c r="C2789" s="50" t="s">
        <v>54</v>
      </c>
      <c r="D2789" s="51">
        <v>130094.68</v>
      </c>
      <c r="E2789" s="51" t="str">
        <f t="shared" si="1"/>
        <v>₹1,561,136.16</v>
      </c>
      <c r="F2789" s="52" t="str">
        <f t="shared" si="2"/>
        <v>30.0%</v>
      </c>
      <c r="G2789" s="51" t="str">
        <f t="shared" si="3"/>
        <v>₹468,340.85</v>
      </c>
      <c r="H2789" s="51" t="str">
        <f t="shared" si="4"/>
        <v>₹39,028.40</v>
      </c>
      <c r="I2789" s="51" t="str">
        <f>113240.27-H2789</f>
        <v>₹74,211.87</v>
      </c>
    </row>
    <row r="2790" ht="15.75" customHeight="1">
      <c r="A2790" s="53" t="s">
        <v>2866</v>
      </c>
      <c r="B2790" s="53" t="s">
        <v>25</v>
      </c>
      <c r="C2790" s="53" t="s">
        <v>14</v>
      </c>
      <c r="D2790" s="54">
        <v>121941.01</v>
      </c>
      <c r="E2790" s="54" t="str">
        <f t="shared" si="1"/>
        <v>₹1,463,292.12</v>
      </c>
      <c r="F2790" s="55" t="str">
        <f t="shared" si="2"/>
        <v>30.0%</v>
      </c>
      <c r="G2790" s="54" t="str">
        <f t="shared" si="3"/>
        <v>₹438,987.64</v>
      </c>
      <c r="H2790" s="54" t="str">
        <f t="shared" si="4"/>
        <v>₹36,582.30</v>
      </c>
      <c r="I2790" s="54" t="str">
        <f>105083.2-H2790</f>
        <v>₹68,500.90</v>
      </c>
    </row>
    <row r="2791" ht="15.75" customHeight="1">
      <c r="A2791" s="50" t="s">
        <v>2867</v>
      </c>
      <c r="B2791" s="50" t="s">
        <v>25</v>
      </c>
      <c r="C2791" s="50" t="s">
        <v>18</v>
      </c>
      <c r="D2791" s="51">
        <v>130141.03</v>
      </c>
      <c r="E2791" s="51" t="str">
        <f t="shared" si="1"/>
        <v>₹1,561,692.36</v>
      </c>
      <c r="F2791" s="52" t="str">
        <f t="shared" si="2"/>
        <v>30.0%</v>
      </c>
      <c r="G2791" s="51" t="str">
        <f t="shared" si="3"/>
        <v>₹468,507.71</v>
      </c>
      <c r="H2791" s="51" t="str">
        <f t="shared" si="4"/>
        <v>₹39,042.31</v>
      </c>
      <c r="I2791" s="51" t="str">
        <f>113279.83-H2791</f>
        <v>₹74,237.52</v>
      </c>
    </row>
    <row r="2792" ht="15.75" customHeight="1">
      <c r="A2792" s="53" t="s">
        <v>2868</v>
      </c>
      <c r="B2792" s="53" t="s">
        <v>53</v>
      </c>
      <c r="C2792" s="53" t="s">
        <v>54</v>
      </c>
      <c r="D2792" s="54">
        <v>130164.21</v>
      </c>
      <c r="E2792" s="54" t="str">
        <f t="shared" si="1"/>
        <v>₹1,561,970.52</v>
      </c>
      <c r="F2792" s="55" t="str">
        <f t="shared" si="2"/>
        <v>30.0%</v>
      </c>
      <c r="G2792" s="54" t="str">
        <f t="shared" si="3"/>
        <v>₹468,591.16</v>
      </c>
      <c r="H2792" s="54" t="str">
        <f t="shared" si="4"/>
        <v>₹39,049.26</v>
      </c>
      <c r="I2792" s="54" t="str">
        <f>113299.61-H2792</f>
        <v>₹74,250.35</v>
      </c>
    </row>
    <row r="2793" ht="15.75" customHeight="1">
      <c r="A2793" s="50" t="s">
        <v>2869</v>
      </c>
      <c r="B2793" s="50" t="s">
        <v>25</v>
      </c>
      <c r="C2793" s="50" t="s">
        <v>30</v>
      </c>
      <c r="D2793" s="51">
        <v>130187.39</v>
      </c>
      <c r="E2793" s="51" t="str">
        <f t="shared" si="1"/>
        <v>₹1,562,248.68</v>
      </c>
      <c r="F2793" s="52" t="str">
        <f t="shared" si="2"/>
        <v>30.0%</v>
      </c>
      <c r="G2793" s="51" t="str">
        <f t="shared" si="3"/>
        <v>₹468,674.60</v>
      </c>
      <c r="H2793" s="51" t="str">
        <f t="shared" si="4"/>
        <v>₹39,056.22</v>
      </c>
      <c r="I2793" s="51" t="str">
        <f>113319.39-H2793</f>
        <v>₹74,263.17</v>
      </c>
    </row>
    <row r="2794" ht="15.75" customHeight="1">
      <c r="A2794" s="53" t="s">
        <v>2870</v>
      </c>
      <c r="B2794" s="53" t="s">
        <v>17</v>
      </c>
      <c r="C2794" s="53" t="s">
        <v>26</v>
      </c>
      <c r="D2794" s="54">
        <v>130210.57</v>
      </c>
      <c r="E2794" s="54" t="str">
        <f t="shared" si="1"/>
        <v>₹1,562,526.84</v>
      </c>
      <c r="F2794" s="55" t="str">
        <f t="shared" si="2"/>
        <v>30.0%</v>
      </c>
      <c r="G2794" s="54" t="str">
        <f t="shared" si="3"/>
        <v>₹468,758.05</v>
      </c>
      <c r="H2794" s="54" t="str">
        <f t="shared" si="4"/>
        <v>₹39,063.17</v>
      </c>
      <c r="I2794" s="54" t="str">
        <f>113339.17-H2794</f>
        <v>₹74,276.00</v>
      </c>
    </row>
    <row r="2795" ht="15.75" customHeight="1">
      <c r="A2795" s="50" t="s">
        <v>2871</v>
      </c>
      <c r="B2795" s="50" t="s">
        <v>51</v>
      </c>
      <c r="C2795" s="50" t="s">
        <v>30</v>
      </c>
      <c r="D2795" s="51">
        <v>130233.74</v>
      </c>
      <c r="E2795" s="51" t="str">
        <f t="shared" si="1"/>
        <v>₹1,562,804.88</v>
      </c>
      <c r="F2795" s="52" t="str">
        <f t="shared" si="2"/>
        <v>30.0%</v>
      </c>
      <c r="G2795" s="51" t="str">
        <f t="shared" si="3"/>
        <v>₹468,841.46</v>
      </c>
      <c r="H2795" s="51" t="str">
        <f t="shared" si="4"/>
        <v>₹39,070.12</v>
      </c>
      <c r="I2795" s="51" t="str">
        <f>113358.94-H2795</f>
        <v>₹74,288.82</v>
      </c>
    </row>
    <row r="2796" ht="15.75" customHeight="1">
      <c r="A2796" s="53" t="s">
        <v>2872</v>
      </c>
      <c r="B2796" s="53" t="s">
        <v>36</v>
      </c>
      <c r="C2796" s="53" t="s">
        <v>37</v>
      </c>
      <c r="D2796" s="54">
        <v>130256.92</v>
      </c>
      <c r="E2796" s="54" t="str">
        <f t="shared" si="1"/>
        <v>₹1,563,083.04</v>
      </c>
      <c r="F2796" s="55" t="str">
        <f t="shared" si="2"/>
        <v>30.0%</v>
      </c>
      <c r="G2796" s="54" t="str">
        <f t="shared" si="3"/>
        <v>₹468,924.91</v>
      </c>
      <c r="H2796" s="54" t="str">
        <f t="shared" si="4"/>
        <v>₹39,077.08</v>
      </c>
      <c r="I2796" s="54" t="str">
        <f>113378.73-H2796</f>
        <v>₹74,301.65</v>
      </c>
    </row>
    <row r="2797" ht="15.75" customHeight="1">
      <c r="A2797" s="50" t="s">
        <v>2873</v>
      </c>
      <c r="B2797" s="50" t="s">
        <v>17</v>
      </c>
      <c r="C2797" s="50" t="s">
        <v>26</v>
      </c>
      <c r="D2797" s="51">
        <v>130280.1</v>
      </c>
      <c r="E2797" s="51" t="str">
        <f t="shared" si="1"/>
        <v>₹1,563,361.20</v>
      </c>
      <c r="F2797" s="52" t="str">
        <f t="shared" si="2"/>
        <v>30.0%</v>
      </c>
      <c r="G2797" s="51" t="str">
        <f t="shared" si="3"/>
        <v>₹469,008.36</v>
      </c>
      <c r="H2797" s="51" t="str">
        <f t="shared" si="4"/>
        <v>₹39,084.03</v>
      </c>
      <c r="I2797" s="51" t="str">
        <f>113398.51-H2797</f>
        <v>₹74,314.48</v>
      </c>
    </row>
    <row r="2798" ht="15.75" customHeight="1">
      <c r="A2798" s="53" t="s">
        <v>2874</v>
      </c>
      <c r="B2798" s="53" t="s">
        <v>29</v>
      </c>
      <c r="C2798" s="53" t="s">
        <v>30</v>
      </c>
      <c r="D2798" s="54">
        <v>130303.28</v>
      </c>
      <c r="E2798" s="54" t="str">
        <f t="shared" si="1"/>
        <v>₹1,563,639.36</v>
      </c>
      <c r="F2798" s="55" t="str">
        <f t="shared" si="2"/>
        <v>30.0%</v>
      </c>
      <c r="G2798" s="54" t="str">
        <f t="shared" si="3"/>
        <v>₹469,091.81</v>
      </c>
      <c r="H2798" s="54" t="str">
        <f t="shared" si="4"/>
        <v>₹39,090.98</v>
      </c>
      <c r="I2798" s="54" t="str">
        <f>113418.29-H2798</f>
        <v>₹74,327.31</v>
      </c>
    </row>
    <row r="2799" ht="15.75" customHeight="1">
      <c r="A2799" s="50" t="s">
        <v>2875</v>
      </c>
      <c r="B2799" s="50" t="s">
        <v>53</v>
      </c>
      <c r="C2799" s="50" t="s">
        <v>18</v>
      </c>
      <c r="D2799" s="51">
        <v>130326.46</v>
      </c>
      <c r="E2799" s="51" t="str">
        <f t="shared" si="1"/>
        <v>₹1,563,917.52</v>
      </c>
      <c r="F2799" s="52" t="str">
        <f t="shared" si="2"/>
        <v>30.0%</v>
      </c>
      <c r="G2799" s="51" t="str">
        <f t="shared" si="3"/>
        <v>₹469,175.26</v>
      </c>
      <c r="H2799" s="51" t="str">
        <f t="shared" si="4"/>
        <v>₹39,097.94</v>
      </c>
      <c r="I2799" s="51" t="str">
        <f>113438.07-H2799</f>
        <v>₹74,340.13</v>
      </c>
    </row>
    <row r="2800" ht="15.75" customHeight="1">
      <c r="A2800" s="53" t="s">
        <v>2876</v>
      </c>
      <c r="B2800" s="53" t="s">
        <v>13</v>
      </c>
      <c r="C2800" s="53" t="s">
        <v>37</v>
      </c>
      <c r="D2800" s="54">
        <v>130349.63</v>
      </c>
      <c r="E2800" s="54" t="str">
        <f t="shared" si="1"/>
        <v>₹1,564,195.56</v>
      </c>
      <c r="F2800" s="55" t="str">
        <f t="shared" si="2"/>
        <v>30.0%</v>
      </c>
      <c r="G2800" s="54" t="str">
        <f t="shared" si="3"/>
        <v>₹469,258.67</v>
      </c>
      <c r="H2800" s="54" t="str">
        <f t="shared" si="4"/>
        <v>₹39,104.89</v>
      </c>
      <c r="I2800" s="54" t="str">
        <f>113457.85-H2800</f>
        <v>₹74,352.96</v>
      </c>
    </row>
    <row r="2801" ht="15.75" customHeight="1">
      <c r="A2801" s="50" t="s">
        <v>2877</v>
      </c>
      <c r="B2801" s="50" t="s">
        <v>51</v>
      </c>
      <c r="C2801" s="50" t="s">
        <v>26</v>
      </c>
      <c r="D2801" s="51">
        <v>130372.81</v>
      </c>
      <c r="E2801" s="51" t="str">
        <f t="shared" si="1"/>
        <v>₹1,564,473.72</v>
      </c>
      <c r="F2801" s="52" t="str">
        <f t="shared" si="2"/>
        <v>30.0%</v>
      </c>
      <c r="G2801" s="51" t="str">
        <f t="shared" si="3"/>
        <v>₹469,342.12</v>
      </c>
      <c r="H2801" s="51" t="str">
        <f t="shared" si="4"/>
        <v>₹39,111.84</v>
      </c>
      <c r="I2801" s="51" t="str">
        <f>113477.63-H2801</f>
        <v>₹74,365.79</v>
      </c>
    </row>
    <row r="2802" ht="15.75" customHeight="1">
      <c r="A2802" s="53" t="s">
        <v>2878</v>
      </c>
      <c r="B2802" s="53" t="s">
        <v>29</v>
      </c>
      <c r="C2802" s="53" t="s">
        <v>33</v>
      </c>
      <c r="D2802" s="54">
        <v>130395.99</v>
      </c>
      <c r="E2802" s="54" t="str">
        <f t="shared" si="1"/>
        <v>₹1,564,751.88</v>
      </c>
      <c r="F2802" s="55" t="str">
        <f t="shared" si="2"/>
        <v>30.0%</v>
      </c>
      <c r="G2802" s="54" t="str">
        <f t="shared" si="3"/>
        <v>₹469,425.56</v>
      </c>
      <c r="H2802" s="54" t="str">
        <f t="shared" si="4"/>
        <v>₹39,118.80</v>
      </c>
      <c r="I2802" s="54" t="str">
        <f>113497.41-H2802</f>
        <v>₹74,378.61</v>
      </c>
    </row>
    <row r="2803" ht="15.75" customHeight="1">
      <c r="A2803" s="50" t="s">
        <v>2879</v>
      </c>
      <c r="B2803" s="50" t="s">
        <v>13</v>
      </c>
      <c r="C2803" s="50" t="s">
        <v>26</v>
      </c>
      <c r="D2803" s="51">
        <v>130419.17</v>
      </c>
      <c r="E2803" s="51" t="str">
        <f t="shared" si="1"/>
        <v>₹1,565,030.04</v>
      </c>
      <c r="F2803" s="52" t="str">
        <f t="shared" si="2"/>
        <v>30.0%</v>
      </c>
      <c r="G2803" s="51" t="str">
        <f t="shared" si="3"/>
        <v>₹469,509.01</v>
      </c>
      <c r="H2803" s="51" t="str">
        <f t="shared" si="4"/>
        <v>₹39,125.75</v>
      </c>
      <c r="I2803" s="51" t="str">
        <f>113517.19-H2803</f>
        <v>₹74,391.44</v>
      </c>
    </row>
    <row r="2804" ht="15.75" customHeight="1">
      <c r="A2804" s="53" t="s">
        <v>2880</v>
      </c>
      <c r="B2804" s="53" t="s">
        <v>17</v>
      </c>
      <c r="C2804" s="53" t="s">
        <v>14</v>
      </c>
      <c r="D2804" s="54">
        <v>130442.34</v>
      </c>
      <c r="E2804" s="54" t="str">
        <f t="shared" si="1"/>
        <v>₹1,565,308.08</v>
      </c>
      <c r="F2804" s="55" t="str">
        <f t="shared" si="2"/>
        <v>30.0%</v>
      </c>
      <c r="G2804" s="54" t="str">
        <f t="shared" si="3"/>
        <v>₹469,592.42</v>
      </c>
      <c r="H2804" s="54" t="str">
        <f t="shared" si="4"/>
        <v>₹39,132.70</v>
      </c>
      <c r="I2804" s="54" t="str">
        <f>113536.97-H2804</f>
        <v>₹74,404.27</v>
      </c>
    </row>
    <row r="2805" ht="15.75" customHeight="1">
      <c r="A2805" s="50" t="s">
        <v>2881</v>
      </c>
      <c r="B2805" s="50" t="s">
        <v>17</v>
      </c>
      <c r="C2805" s="50" t="s">
        <v>26</v>
      </c>
      <c r="D2805" s="51">
        <v>130488.7</v>
      </c>
      <c r="E2805" s="51" t="str">
        <f t="shared" si="1"/>
        <v>₹1,565,864.40</v>
      </c>
      <c r="F2805" s="52" t="str">
        <f t="shared" si="2"/>
        <v>30.0%</v>
      </c>
      <c r="G2805" s="51" t="str">
        <f t="shared" si="3"/>
        <v>₹469,759.32</v>
      </c>
      <c r="H2805" s="51" t="str">
        <f t="shared" si="4"/>
        <v>₹39,146.61</v>
      </c>
      <c r="I2805" s="51" t="str">
        <f>113576.53-H2805</f>
        <v>₹74,429.92</v>
      </c>
    </row>
    <row r="2806" ht="15.75" customHeight="1">
      <c r="A2806" s="53" t="s">
        <v>2882</v>
      </c>
      <c r="B2806" s="53" t="s">
        <v>51</v>
      </c>
      <c r="C2806" s="53" t="s">
        <v>14</v>
      </c>
      <c r="D2806" s="54">
        <v>130511.88</v>
      </c>
      <c r="E2806" s="54" t="str">
        <f t="shared" si="1"/>
        <v>₹1,566,142.56</v>
      </c>
      <c r="F2806" s="55" t="str">
        <f t="shared" si="2"/>
        <v>30.0%</v>
      </c>
      <c r="G2806" s="54" t="str">
        <f t="shared" si="3"/>
        <v>₹469,842.77</v>
      </c>
      <c r="H2806" s="54" t="str">
        <f t="shared" si="4"/>
        <v>₹39,153.56</v>
      </c>
      <c r="I2806" s="54" t="str">
        <f>113596.31-H2806</f>
        <v>₹74,442.75</v>
      </c>
    </row>
    <row r="2807" ht="15.75" customHeight="1">
      <c r="A2807" s="50" t="s">
        <v>2883</v>
      </c>
      <c r="B2807" s="50" t="s">
        <v>36</v>
      </c>
      <c r="C2807" s="50" t="s">
        <v>54</v>
      </c>
      <c r="D2807" s="51">
        <v>130535.05</v>
      </c>
      <c r="E2807" s="51" t="str">
        <f t="shared" si="1"/>
        <v>₹1,566,420.60</v>
      </c>
      <c r="F2807" s="52" t="str">
        <f t="shared" si="2"/>
        <v>30.0%</v>
      </c>
      <c r="G2807" s="51" t="str">
        <f t="shared" si="3"/>
        <v>₹469,926.18</v>
      </c>
      <c r="H2807" s="51" t="str">
        <f t="shared" si="4"/>
        <v>₹39,160.52</v>
      </c>
      <c r="I2807" s="51" t="str">
        <f>113616.09-H2807</f>
        <v>₹74,455.58</v>
      </c>
    </row>
    <row r="2808" ht="15.75" customHeight="1">
      <c r="A2808" s="53" t="s">
        <v>2884</v>
      </c>
      <c r="B2808" s="53" t="s">
        <v>51</v>
      </c>
      <c r="C2808" s="53" t="s">
        <v>26</v>
      </c>
      <c r="D2808" s="54">
        <v>130558.23</v>
      </c>
      <c r="E2808" s="54" t="str">
        <f t="shared" si="1"/>
        <v>₹1,566,698.76</v>
      </c>
      <c r="F2808" s="55" t="str">
        <f t="shared" si="2"/>
        <v>30.0%</v>
      </c>
      <c r="G2808" s="54" t="str">
        <f t="shared" si="3"/>
        <v>₹470,009.63</v>
      </c>
      <c r="H2808" s="54" t="str">
        <f t="shared" si="4"/>
        <v>₹39,167.47</v>
      </c>
      <c r="I2808" s="54" t="str">
        <f>113635.87-H2808</f>
        <v>₹74,468.40</v>
      </c>
    </row>
    <row r="2809" ht="15.75" customHeight="1">
      <c r="A2809" s="50" t="s">
        <v>2885</v>
      </c>
      <c r="B2809" s="50" t="s">
        <v>29</v>
      </c>
      <c r="C2809" s="50" t="s">
        <v>18</v>
      </c>
      <c r="D2809" s="51">
        <v>130581.41</v>
      </c>
      <c r="E2809" s="51" t="str">
        <f t="shared" si="1"/>
        <v>₹1,566,976.92</v>
      </c>
      <c r="F2809" s="52" t="str">
        <f t="shared" si="2"/>
        <v>30.0%</v>
      </c>
      <c r="G2809" s="51" t="str">
        <f t="shared" si="3"/>
        <v>₹470,093.08</v>
      </c>
      <c r="H2809" s="51" t="str">
        <f t="shared" si="4"/>
        <v>₹39,174.42</v>
      </c>
      <c r="I2809" s="51" t="str">
        <f>113655.65-H2809</f>
        <v>₹74,481.23</v>
      </c>
    </row>
    <row r="2810" ht="15.75" customHeight="1">
      <c r="A2810" s="53" t="s">
        <v>2886</v>
      </c>
      <c r="B2810" s="53" t="s">
        <v>17</v>
      </c>
      <c r="C2810" s="53" t="s">
        <v>37</v>
      </c>
      <c r="D2810" s="54">
        <v>130604.59</v>
      </c>
      <c r="E2810" s="54" t="str">
        <f t="shared" si="1"/>
        <v>₹1,567,255.08</v>
      </c>
      <c r="F2810" s="55" t="str">
        <f t="shared" si="2"/>
        <v>30.0%</v>
      </c>
      <c r="G2810" s="54" t="str">
        <f t="shared" si="3"/>
        <v>₹470,176.52</v>
      </c>
      <c r="H2810" s="54" t="str">
        <f t="shared" si="4"/>
        <v>₹39,181.38</v>
      </c>
      <c r="I2810" s="54" t="str">
        <f>113675.43-H2810</f>
        <v>₹74,494.05</v>
      </c>
    </row>
    <row r="2811" ht="15.75" customHeight="1">
      <c r="A2811" s="50" t="s">
        <v>2887</v>
      </c>
      <c r="B2811" s="50" t="s">
        <v>29</v>
      </c>
      <c r="C2811" s="50" t="s">
        <v>18</v>
      </c>
      <c r="D2811" s="51">
        <v>130627.77</v>
      </c>
      <c r="E2811" s="51" t="str">
        <f t="shared" si="1"/>
        <v>₹1,567,533.24</v>
      </c>
      <c r="F2811" s="52" t="str">
        <f t="shared" si="2"/>
        <v>30.0%</v>
      </c>
      <c r="G2811" s="51" t="str">
        <f t="shared" si="3"/>
        <v>₹470,259.97</v>
      </c>
      <c r="H2811" s="51" t="str">
        <f t="shared" si="4"/>
        <v>₹39,188.33</v>
      </c>
      <c r="I2811" s="51" t="str">
        <f>113695.22-H2811</f>
        <v>₹74,506.89</v>
      </c>
    </row>
    <row r="2812" ht="15.75" customHeight="1">
      <c r="A2812" s="53" t="s">
        <v>2888</v>
      </c>
      <c r="B2812" s="53" t="s">
        <v>13</v>
      </c>
      <c r="C2812" s="53" t="s">
        <v>18</v>
      </c>
      <c r="D2812" s="54">
        <v>130650.94</v>
      </c>
      <c r="E2812" s="54" t="str">
        <f t="shared" si="1"/>
        <v>₹1,567,811.28</v>
      </c>
      <c r="F2812" s="55" t="str">
        <f t="shared" si="2"/>
        <v>30.0%</v>
      </c>
      <c r="G2812" s="54" t="str">
        <f t="shared" si="3"/>
        <v>₹470,343.38</v>
      </c>
      <c r="H2812" s="54" t="str">
        <f t="shared" si="4"/>
        <v>₹39,195.28</v>
      </c>
      <c r="I2812" s="54" t="str">
        <f>113714.99-H2812</f>
        <v>₹74,519.71</v>
      </c>
    </row>
    <row r="2813" ht="15.75" customHeight="1">
      <c r="A2813" s="50" t="s">
        <v>2889</v>
      </c>
      <c r="B2813" s="50" t="s">
        <v>51</v>
      </c>
      <c r="C2813" s="50" t="s">
        <v>14</v>
      </c>
      <c r="D2813" s="51">
        <v>130674.12</v>
      </c>
      <c r="E2813" s="51" t="str">
        <f t="shared" si="1"/>
        <v>₹1,568,089.44</v>
      </c>
      <c r="F2813" s="52" t="str">
        <f t="shared" si="2"/>
        <v>30.0%</v>
      </c>
      <c r="G2813" s="51" t="str">
        <f t="shared" si="3"/>
        <v>₹470,426.83</v>
      </c>
      <c r="H2813" s="51" t="str">
        <f t="shared" si="4"/>
        <v>₹39,202.24</v>
      </c>
      <c r="I2813" s="51" t="str">
        <f>113734.77-H2813</f>
        <v>₹74,532.53</v>
      </c>
    </row>
    <row r="2814" ht="15.75" customHeight="1">
      <c r="A2814" s="53" t="s">
        <v>2890</v>
      </c>
      <c r="B2814" s="53" t="s">
        <v>53</v>
      </c>
      <c r="C2814" s="53" t="s">
        <v>33</v>
      </c>
      <c r="D2814" s="54">
        <v>130697.3</v>
      </c>
      <c r="E2814" s="54" t="str">
        <f t="shared" si="1"/>
        <v>₹1,568,367.60</v>
      </c>
      <c r="F2814" s="55" t="str">
        <f t="shared" si="2"/>
        <v>30.0%</v>
      </c>
      <c r="G2814" s="54" t="str">
        <f t="shared" si="3"/>
        <v>₹470,510.28</v>
      </c>
      <c r="H2814" s="54" t="str">
        <f t="shared" si="4"/>
        <v>₹39,209.19</v>
      </c>
      <c r="I2814" s="54" t="str">
        <f>113754.55-H2814</f>
        <v>₹74,545.36</v>
      </c>
    </row>
    <row r="2815" ht="15.75" customHeight="1">
      <c r="A2815" s="50" t="s">
        <v>2891</v>
      </c>
      <c r="B2815" s="50" t="s">
        <v>25</v>
      </c>
      <c r="C2815" s="50" t="s">
        <v>54</v>
      </c>
      <c r="D2815" s="51">
        <v>130720.48</v>
      </c>
      <c r="E2815" s="51" t="str">
        <f t="shared" si="1"/>
        <v>₹1,568,645.76</v>
      </c>
      <c r="F2815" s="52" t="str">
        <f t="shared" si="2"/>
        <v>30.0%</v>
      </c>
      <c r="G2815" s="51" t="str">
        <f t="shared" si="3"/>
        <v>₹470,593.73</v>
      </c>
      <c r="H2815" s="51" t="str">
        <f t="shared" si="4"/>
        <v>₹39,216.14</v>
      </c>
      <c r="I2815" s="51" t="str">
        <f>113774.34-H2815</f>
        <v>₹74,558.20</v>
      </c>
    </row>
    <row r="2816" ht="15.75" customHeight="1">
      <c r="A2816" s="53" t="s">
        <v>2892</v>
      </c>
      <c r="B2816" s="53" t="s">
        <v>25</v>
      </c>
      <c r="C2816" s="53" t="s">
        <v>14</v>
      </c>
      <c r="D2816" s="54">
        <v>130743.65</v>
      </c>
      <c r="E2816" s="54" t="str">
        <f t="shared" si="1"/>
        <v>₹1,568,923.80</v>
      </c>
      <c r="F2816" s="55" t="str">
        <f t="shared" si="2"/>
        <v>30.0%</v>
      </c>
      <c r="G2816" s="54" t="str">
        <f t="shared" si="3"/>
        <v>₹470,677.14</v>
      </c>
      <c r="H2816" s="54" t="str">
        <f t="shared" si="4"/>
        <v>₹39,223.10</v>
      </c>
      <c r="I2816" s="54" t="str">
        <f>113794.11-H2816</f>
        <v>₹74,571.02</v>
      </c>
    </row>
    <row r="2817" ht="15.75" customHeight="1">
      <c r="A2817" s="50" t="s">
        <v>2893</v>
      </c>
      <c r="B2817" s="50" t="s">
        <v>53</v>
      </c>
      <c r="C2817" s="50" t="s">
        <v>37</v>
      </c>
      <c r="D2817" s="51">
        <v>130766.83</v>
      </c>
      <c r="E2817" s="51" t="str">
        <f t="shared" si="1"/>
        <v>₹1,569,201.96</v>
      </c>
      <c r="F2817" s="52" t="str">
        <f t="shared" si="2"/>
        <v>30.0%</v>
      </c>
      <c r="G2817" s="51" t="str">
        <f t="shared" si="3"/>
        <v>₹470,760.59</v>
      </c>
      <c r="H2817" s="51" t="str">
        <f t="shared" si="4"/>
        <v>₹39,230.05</v>
      </c>
      <c r="I2817" s="51" t="str">
        <f>113813.89-H2817</f>
        <v>₹74,583.84</v>
      </c>
    </row>
    <row r="2818" ht="15.75" customHeight="1">
      <c r="A2818" s="53" t="s">
        <v>2894</v>
      </c>
      <c r="B2818" s="53" t="s">
        <v>29</v>
      </c>
      <c r="C2818" s="53" t="s">
        <v>54</v>
      </c>
      <c r="D2818" s="54">
        <v>130790.01</v>
      </c>
      <c r="E2818" s="54" t="str">
        <f t="shared" si="1"/>
        <v>₹1,569,480.12</v>
      </c>
      <c r="F2818" s="55" t="str">
        <f t="shared" si="2"/>
        <v>30.0%</v>
      </c>
      <c r="G2818" s="54" t="str">
        <f t="shared" si="3"/>
        <v>₹470,844.04</v>
      </c>
      <c r="H2818" s="54" t="str">
        <f t="shared" si="4"/>
        <v>₹39,237.00</v>
      </c>
      <c r="I2818" s="54" t="str">
        <f>113833.67-H2818</f>
        <v>₹74,596.67</v>
      </c>
    </row>
    <row r="2819" ht="15.75" customHeight="1">
      <c r="A2819" s="50" t="s">
        <v>2895</v>
      </c>
      <c r="B2819" s="50" t="s">
        <v>13</v>
      </c>
      <c r="C2819" s="50" t="s">
        <v>54</v>
      </c>
      <c r="D2819" s="51">
        <v>130813.19</v>
      </c>
      <c r="E2819" s="51" t="str">
        <f t="shared" si="1"/>
        <v>₹1,569,758.28</v>
      </c>
      <c r="F2819" s="52" t="str">
        <f t="shared" si="2"/>
        <v>30.0%</v>
      </c>
      <c r="G2819" s="51" t="str">
        <f t="shared" si="3"/>
        <v>₹470,927.48</v>
      </c>
      <c r="H2819" s="51" t="str">
        <f t="shared" si="4"/>
        <v>₹39,243.96</v>
      </c>
      <c r="I2819" s="51" t="str">
        <f>113853.46-H2819</f>
        <v>₹74,609.50</v>
      </c>
    </row>
    <row r="2820" ht="15.75" customHeight="1">
      <c r="A2820" s="53" t="s">
        <v>2896</v>
      </c>
      <c r="B2820" s="53" t="s">
        <v>17</v>
      </c>
      <c r="C2820" s="53" t="s">
        <v>54</v>
      </c>
      <c r="D2820" s="54">
        <v>130836.36</v>
      </c>
      <c r="E2820" s="54" t="str">
        <f t="shared" si="1"/>
        <v>₹1,570,036.32</v>
      </c>
      <c r="F2820" s="55" t="str">
        <f t="shared" si="2"/>
        <v>30.0%</v>
      </c>
      <c r="G2820" s="54" t="str">
        <f t="shared" si="3"/>
        <v>₹471,010.90</v>
      </c>
      <c r="H2820" s="54" t="str">
        <f t="shared" si="4"/>
        <v>₹39,250.91</v>
      </c>
      <c r="I2820" s="54" t="str">
        <f>113873.23-H2820</f>
        <v>₹74,622.32</v>
      </c>
    </row>
    <row r="2821" ht="15.75" customHeight="1">
      <c r="A2821" s="50" t="s">
        <v>2897</v>
      </c>
      <c r="B2821" s="50" t="s">
        <v>29</v>
      </c>
      <c r="C2821" s="50" t="s">
        <v>33</v>
      </c>
      <c r="D2821" s="51">
        <v>130859.54</v>
      </c>
      <c r="E2821" s="51" t="str">
        <f t="shared" si="1"/>
        <v>₹1,570,314.48</v>
      </c>
      <c r="F2821" s="52" t="str">
        <f t="shared" si="2"/>
        <v>30.0%</v>
      </c>
      <c r="G2821" s="51" t="str">
        <f t="shared" si="3"/>
        <v>₹471,094.34</v>
      </c>
      <c r="H2821" s="51" t="str">
        <f t="shared" si="4"/>
        <v>₹39,257.86</v>
      </c>
      <c r="I2821" s="51" t="str">
        <f>113893.01-H2821</f>
        <v>₹74,635.15</v>
      </c>
    </row>
    <row r="2822" ht="15.75" customHeight="1">
      <c r="A2822" s="53" t="s">
        <v>2898</v>
      </c>
      <c r="B2822" s="53" t="s">
        <v>53</v>
      </c>
      <c r="C2822" s="53" t="s">
        <v>33</v>
      </c>
      <c r="D2822" s="54">
        <v>130882.72</v>
      </c>
      <c r="E2822" s="54" t="str">
        <f t="shared" si="1"/>
        <v>₹1,570,592.64</v>
      </c>
      <c r="F2822" s="55" t="str">
        <f t="shared" si="2"/>
        <v>30.0%</v>
      </c>
      <c r="G2822" s="54" t="str">
        <f t="shared" si="3"/>
        <v>₹471,177.79</v>
      </c>
      <c r="H2822" s="54" t="str">
        <f t="shared" si="4"/>
        <v>₹39,264.82</v>
      </c>
      <c r="I2822" s="54" t="str">
        <f>113912.79-H2822</f>
        <v>₹74,647.97</v>
      </c>
    </row>
    <row r="2823" ht="15.75" customHeight="1">
      <c r="A2823" s="50" t="s">
        <v>2899</v>
      </c>
      <c r="B2823" s="50" t="s">
        <v>17</v>
      </c>
      <c r="C2823" s="50" t="s">
        <v>37</v>
      </c>
      <c r="D2823" s="51">
        <v>130905.9</v>
      </c>
      <c r="E2823" s="51" t="str">
        <f t="shared" si="1"/>
        <v>₹1,570,870.80</v>
      </c>
      <c r="F2823" s="52" t="str">
        <f t="shared" si="2"/>
        <v>30.0%</v>
      </c>
      <c r="G2823" s="51" t="str">
        <f t="shared" si="3"/>
        <v>₹471,261.24</v>
      </c>
      <c r="H2823" s="51" t="str">
        <f t="shared" si="4"/>
        <v>₹39,271.77</v>
      </c>
      <c r="I2823" s="51" t="str">
        <f>113932.58-H2823</f>
        <v>₹74,660.81</v>
      </c>
    </row>
    <row r="2824" ht="15.75" customHeight="1">
      <c r="A2824" s="53" t="s">
        <v>2900</v>
      </c>
      <c r="B2824" s="53" t="s">
        <v>25</v>
      </c>
      <c r="C2824" s="53" t="s">
        <v>30</v>
      </c>
      <c r="D2824" s="54">
        <v>130929.08</v>
      </c>
      <c r="E2824" s="54" t="str">
        <f t="shared" si="1"/>
        <v>₹1,571,148.96</v>
      </c>
      <c r="F2824" s="55" t="str">
        <f t="shared" si="2"/>
        <v>30.0%</v>
      </c>
      <c r="G2824" s="54" t="str">
        <f t="shared" si="3"/>
        <v>₹471,344.69</v>
      </c>
      <c r="H2824" s="54" t="str">
        <f t="shared" si="4"/>
        <v>₹39,278.72</v>
      </c>
      <c r="I2824" s="54" t="str">
        <f>113952.36-H2824</f>
        <v>₹74,673.64</v>
      </c>
    </row>
    <row r="2825" ht="15.75" customHeight="1">
      <c r="A2825" s="50" t="s">
        <v>2901</v>
      </c>
      <c r="B2825" s="50" t="s">
        <v>36</v>
      </c>
      <c r="C2825" s="50" t="s">
        <v>30</v>
      </c>
      <c r="D2825" s="51">
        <v>130952.25</v>
      </c>
      <c r="E2825" s="51" t="str">
        <f t="shared" si="1"/>
        <v>₹1,571,427.00</v>
      </c>
      <c r="F2825" s="52" t="str">
        <f t="shared" si="2"/>
        <v>30.0%</v>
      </c>
      <c r="G2825" s="51" t="str">
        <f t="shared" si="3"/>
        <v>₹471,428.10</v>
      </c>
      <c r="H2825" s="51" t="str">
        <f t="shared" si="4"/>
        <v>₹39,285.68</v>
      </c>
      <c r="I2825" s="51" t="str">
        <f>113972.13-H2825</f>
        <v>₹74,686.46</v>
      </c>
    </row>
    <row r="2826" ht="15.75" customHeight="1">
      <c r="A2826" s="53" t="s">
        <v>2902</v>
      </c>
      <c r="B2826" s="53" t="s">
        <v>29</v>
      </c>
      <c r="C2826" s="53" t="s">
        <v>26</v>
      </c>
      <c r="D2826" s="54">
        <v>130975.43</v>
      </c>
      <c r="E2826" s="54" t="str">
        <f t="shared" si="1"/>
        <v>₹1,571,705.16</v>
      </c>
      <c r="F2826" s="55" t="str">
        <f t="shared" si="2"/>
        <v>30.0%</v>
      </c>
      <c r="G2826" s="54" t="str">
        <f t="shared" si="3"/>
        <v>₹471,511.55</v>
      </c>
      <c r="H2826" s="54" t="str">
        <f t="shared" si="4"/>
        <v>₹39,292.63</v>
      </c>
      <c r="I2826" s="54" t="str">
        <f>113991.91-H2826</f>
        <v>₹74,699.28</v>
      </c>
    </row>
    <row r="2827" ht="15.75" customHeight="1">
      <c r="A2827" s="50" t="s">
        <v>2903</v>
      </c>
      <c r="B2827" s="50" t="s">
        <v>53</v>
      </c>
      <c r="C2827" s="50" t="s">
        <v>14</v>
      </c>
      <c r="D2827" s="51">
        <v>130998.61</v>
      </c>
      <c r="E2827" s="51" t="str">
        <f t="shared" si="1"/>
        <v>₹1,571,983.32</v>
      </c>
      <c r="F2827" s="52" t="str">
        <f t="shared" si="2"/>
        <v>30.0%</v>
      </c>
      <c r="G2827" s="51" t="str">
        <f t="shared" si="3"/>
        <v>₹471,595.00</v>
      </c>
      <c r="H2827" s="51" t="str">
        <f t="shared" si="4"/>
        <v>₹39,299.58</v>
      </c>
      <c r="I2827" s="51" t="str">
        <f>114011.7-H2827</f>
        <v>₹74,712.12</v>
      </c>
    </row>
    <row r="2828" ht="15.75" customHeight="1">
      <c r="A2828" s="53" t="s">
        <v>2904</v>
      </c>
      <c r="B2828" s="53" t="s">
        <v>13</v>
      </c>
      <c r="C2828" s="53" t="s">
        <v>26</v>
      </c>
      <c r="D2828" s="54">
        <v>131021.79</v>
      </c>
      <c r="E2828" s="54" t="str">
        <f t="shared" si="1"/>
        <v>₹1,572,261.48</v>
      </c>
      <c r="F2828" s="55" t="str">
        <f t="shared" si="2"/>
        <v>30.0%</v>
      </c>
      <c r="G2828" s="54" t="str">
        <f t="shared" si="3"/>
        <v>₹471,678.44</v>
      </c>
      <c r="H2828" s="54" t="str">
        <f t="shared" si="4"/>
        <v>₹39,306.54</v>
      </c>
      <c r="I2828" s="54" t="str">
        <f>114031.48-H2828</f>
        <v>₹74,724.94</v>
      </c>
    </row>
    <row r="2829" ht="15.75" customHeight="1">
      <c r="A2829" s="50" t="s">
        <v>2905</v>
      </c>
      <c r="B2829" s="50" t="s">
        <v>17</v>
      </c>
      <c r="C2829" s="50" t="s">
        <v>33</v>
      </c>
      <c r="D2829" s="51">
        <v>131044.96</v>
      </c>
      <c r="E2829" s="51" t="str">
        <f t="shared" si="1"/>
        <v>₹1,572,539.52</v>
      </c>
      <c r="F2829" s="52" t="str">
        <f t="shared" si="2"/>
        <v>30.0%</v>
      </c>
      <c r="G2829" s="51" t="str">
        <f t="shared" si="3"/>
        <v>₹471,761.86</v>
      </c>
      <c r="H2829" s="51" t="str">
        <f t="shared" si="4"/>
        <v>₹39,313.49</v>
      </c>
      <c r="I2829" s="51" t="str">
        <f>114051.25-H2829</f>
        <v>₹74,737.76</v>
      </c>
    </row>
    <row r="2830" ht="15.75" customHeight="1">
      <c r="A2830" s="53" t="s">
        <v>2906</v>
      </c>
      <c r="B2830" s="53" t="s">
        <v>17</v>
      </c>
      <c r="C2830" s="53" t="s">
        <v>30</v>
      </c>
      <c r="D2830" s="54">
        <v>131068.14</v>
      </c>
      <c r="E2830" s="54" t="str">
        <f t="shared" si="1"/>
        <v>₹1,572,817.68</v>
      </c>
      <c r="F2830" s="55" t="str">
        <f t="shared" si="2"/>
        <v>30.0%</v>
      </c>
      <c r="G2830" s="54" t="str">
        <f t="shared" si="3"/>
        <v>₹471,845.30</v>
      </c>
      <c r="H2830" s="54" t="str">
        <f t="shared" si="4"/>
        <v>₹39,320.44</v>
      </c>
      <c r="I2830" s="54" t="str">
        <f>114071.03-H2830</f>
        <v>₹74,750.59</v>
      </c>
    </row>
    <row r="2831" ht="15.75" customHeight="1">
      <c r="A2831" s="50" t="s">
        <v>2907</v>
      </c>
      <c r="B2831" s="50" t="s">
        <v>13</v>
      </c>
      <c r="C2831" s="50" t="s">
        <v>37</v>
      </c>
      <c r="D2831" s="51">
        <v>131091.32</v>
      </c>
      <c r="E2831" s="51" t="str">
        <f t="shared" si="1"/>
        <v>₹1,573,095.84</v>
      </c>
      <c r="F2831" s="52" t="str">
        <f t="shared" si="2"/>
        <v>30.0%</v>
      </c>
      <c r="G2831" s="51" t="str">
        <f t="shared" si="3"/>
        <v>₹471,928.75</v>
      </c>
      <c r="H2831" s="51" t="str">
        <f t="shared" si="4"/>
        <v>₹39,327.40</v>
      </c>
      <c r="I2831" s="51" t="str">
        <f>114090.82-H2831</f>
        <v>₹74,763.42</v>
      </c>
    </row>
    <row r="2832" ht="15.75" customHeight="1">
      <c r="A2832" s="53" t="s">
        <v>2908</v>
      </c>
      <c r="B2832" s="53" t="s">
        <v>53</v>
      </c>
      <c r="C2832" s="53" t="s">
        <v>14</v>
      </c>
      <c r="D2832" s="54">
        <v>131114.5</v>
      </c>
      <c r="E2832" s="54" t="str">
        <f t="shared" si="1"/>
        <v>₹1,573,374.00</v>
      </c>
      <c r="F2832" s="55" t="str">
        <f t="shared" si="2"/>
        <v>30.0%</v>
      </c>
      <c r="G2832" s="54" t="str">
        <f t="shared" si="3"/>
        <v>₹472,012.20</v>
      </c>
      <c r="H2832" s="54" t="str">
        <f t="shared" si="4"/>
        <v>₹39,334.35</v>
      </c>
      <c r="I2832" s="54" t="str">
        <f>114110.6-H2832</f>
        <v>₹74,776.25</v>
      </c>
    </row>
    <row r="2833" ht="15.75" customHeight="1">
      <c r="A2833" s="50" t="s">
        <v>2909</v>
      </c>
      <c r="B2833" s="50" t="s">
        <v>25</v>
      </c>
      <c r="C2833" s="50" t="s">
        <v>30</v>
      </c>
      <c r="D2833" s="51">
        <v>131137.67</v>
      </c>
      <c r="E2833" s="51" t="str">
        <f t="shared" si="1"/>
        <v>₹1,573,652.04</v>
      </c>
      <c r="F2833" s="52" t="str">
        <f t="shared" si="2"/>
        <v>30.0%</v>
      </c>
      <c r="G2833" s="51" t="str">
        <f t="shared" si="3"/>
        <v>₹472,095.61</v>
      </c>
      <c r="H2833" s="51" t="str">
        <f t="shared" si="4"/>
        <v>₹39,341.30</v>
      </c>
      <c r="I2833" s="51" t="str">
        <f>114130.37-H2833</f>
        <v>₹74,789.07</v>
      </c>
    </row>
    <row r="2834" ht="15.75" customHeight="1">
      <c r="A2834" s="53" t="s">
        <v>2910</v>
      </c>
      <c r="B2834" s="53" t="s">
        <v>29</v>
      </c>
      <c r="C2834" s="53" t="s">
        <v>37</v>
      </c>
      <c r="D2834" s="54">
        <v>131160.85</v>
      </c>
      <c r="E2834" s="54" t="str">
        <f t="shared" si="1"/>
        <v>₹1,573,930.20</v>
      </c>
      <c r="F2834" s="55" t="str">
        <f t="shared" si="2"/>
        <v>30.0%</v>
      </c>
      <c r="G2834" s="54" t="str">
        <f t="shared" si="3"/>
        <v>₹472,179.06</v>
      </c>
      <c r="H2834" s="54" t="str">
        <f t="shared" si="4"/>
        <v>₹39,348.26</v>
      </c>
      <c r="I2834" s="54" t="str">
        <f>114150.15-H2834</f>
        <v>₹74,801.90</v>
      </c>
    </row>
    <row r="2835" ht="15.75" customHeight="1">
      <c r="A2835" s="50" t="s">
        <v>2911</v>
      </c>
      <c r="B2835" s="50" t="s">
        <v>13</v>
      </c>
      <c r="C2835" s="50" t="s">
        <v>30</v>
      </c>
      <c r="D2835" s="51">
        <v>131184.03</v>
      </c>
      <c r="E2835" s="51" t="str">
        <f t="shared" si="1"/>
        <v>₹1,574,208.36</v>
      </c>
      <c r="F2835" s="52" t="str">
        <f t="shared" si="2"/>
        <v>30.0%</v>
      </c>
      <c r="G2835" s="51" t="str">
        <f t="shared" si="3"/>
        <v>₹472,262.51</v>
      </c>
      <c r="H2835" s="51" t="str">
        <f t="shared" si="4"/>
        <v>₹39,355.21</v>
      </c>
      <c r="I2835" s="51" t="str">
        <f>114169.94-H2835</f>
        <v>₹74,814.73</v>
      </c>
    </row>
    <row r="2836" ht="15.75" customHeight="1">
      <c r="A2836" s="53" t="s">
        <v>2912</v>
      </c>
      <c r="B2836" s="53" t="s">
        <v>51</v>
      </c>
      <c r="C2836" s="53" t="s">
        <v>26</v>
      </c>
      <c r="D2836" s="54">
        <v>131207.21</v>
      </c>
      <c r="E2836" s="54" t="str">
        <f t="shared" si="1"/>
        <v>₹1,574,486.52</v>
      </c>
      <c r="F2836" s="55" t="str">
        <f t="shared" si="2"/>
        <v>30.0%</v>
      </c>
      <c r="G2836" s="54" t="str">
        <f t="shared" si="3"/>
        <v>₹472,345.96</v>
      </c>
      <c r="H2836" s="54" t="str">
        <f t="shared" si="4"/>
        <v>₹39,362.16</v>
      </c>
      <c r="I2836" s="54" t="str">
        <f>114189.72-H2836</f>
        <v>₹74,827.56</v>
      </c>
    </row>
    <row r="2837" ht="15.75" customHeight="1">
      <c r="A2837" s="50" t="s">
        <v>2913</v>
      </c>
      <c r="B2837" s="50" t="s">
        <v>13</v>
      </c>
      <c r="C2837" s="50" t="s">
        <v>30</v>
      </c>
      <c r="D2837" s="51">
        <v>131230.39</v>
      </c>
      <c r="E2837" s="51" t="str">
        <f t="shared" si="1"/>
        <v>₹1,574,764.68</v>
      </c>
      <c r="F2837" s="52" t="str">
        <f t="shared" si="2"/>
        <v>30.0%</v>
      </c>
      <c r="G2837" s="51" t="str">
        <f t="shared" si="3"/>
        <v>₹472,429.40</v>
      </c>
      <c r="H2837" s="51" t="str">
        <f t="shared" si="4"/>
        <v>₹39,369.12</v>
      </c>
      <c r="I2837" s="51" t="str">
        <f>114209.5-H2837</f>
        <v>₹74,840.38</v>
      </c>
    </row>
    <row r="2838" ht="15.75" customHeight="1">
      <c r="A2838" s="53" t="s">
        <v>2914</v>
      </c>
      <c r="B2838" s="53" t="s">
        <v>51</v>
      </c>
      <c r="C2838" s="53" t="s">
        <v>26</v>
      </c>
      <c r="D2838" s="54">
        <v>131253.56</v>
      </c>
      <c r="E2838" s="54" t="str">
        <f t="shared" si="1"/>
        <v>₹1,575,042.72</v>
      </c>
      <c r="F2838" s="55" t="str">
        <f t="shared" si="2"/>
        <v>30.0%</v>
      </c>
      <c r="G2838" s="54" t="str">
        <f t="shared" si="3"/>
        <v>₹472,512.82</v>
      </c>
      <c r="H2838" s="54" t="str">
        <f t="shared" si="4"/>
        <v>₹39,376.07</v>
      </c>
      <c r="I2838" s="54" t="str">
        <f>114229.27-H2838</f>
        <v>₹74,853.20</v>
      </c>
    </row>
    <row r="2839" ht="15.75" customHeight="1">
      <c r="A2839" s="50" t="s">
        <v>2915</v>
      </c>
      <c r="B2839" s="50" t="s">
        <v>53</v>
      </c>
      <c r="C2839" s="50" t="s">
        <v>26</v>
      </c>
      <c r="D2839" s="51">
        <v>131276.74</v>
      </c>
      <c r="E2839" s="51" t="str">
        <f t="shared" si="1"/>
        <v>₹1,575,320.88</v>
      </c>
      <c r="F2839" s="52" t="str">
        <f t="shared" si="2"/>
        <v>30.0%</v>
      </c>
      <c r="G2839" s="51" t="str">
        <f t="shared" si="3"/>
        <v>₹472,596.26</v>
      </c>
      <c r="H2839" s="51" t="str">
        <f t="shared" si="4"/>
        <v>₹39,383.02</v>
      </c>
      <c r="I2839" s="51" t="str">
        <f>114249.06-H2839</f>
        <v>₹74,866.04</v>
      </c>
    </row>
    <row r="2840" ht="15.75" customHeight="1">
      <c r="A2840" s="53" t="s">
        <v>2916</v>
      </c>
      <c r="B2840" s="53" t="s">
        <v>51</v>
      </c>
      <c r="C2840" s="53" t="s">
        <v>37</v>
      </c>
      <c r="D2840" s="54">
        <v>131299.92</v>
      </c>
      <c r="E2840" s="54" t="str">
        <f t="shared" si="1"/>
        <v>₹1,575,599.04</v>
      </c>
      <c r="F2840" s="55" t="str">
        <f t="shared" si="2"/>
        <v>30.0%</v>
      </c>
      <c r="G2840" s="54" t="str">
        <f t="shared" si="3"/>
        <v>₹472,679.71</v>
      </c>
      <c r="H2840" s="54" t="str">
        <f t="shared" si="4"/>
        <v>₹39,389.98</v>
      </c>
      <c r="I2840" s="54" t="str">
        <f>114268.84-H2840</f>
        <v>₹74,878.86</v>
      </c>
    </row>
    <row r="2841" ht="15.75" customHeight="1">
      <c r="A2841" s="50" t="s">
        <v>2917</v>
      </c>
      <c r="B2841" s="50" t="s">
        <v>29</v>
      </c>
      <c r="C2841" s="50" t="s">
        <v>37</v>
      </c>
      <c r="D2841" s="51">
        <v>131323.1</v>
      </c>
      <c r="E2841" s="51" t="str">
        <f t="shared" si="1"/>
        <v>₹1,575,877.20</v>
      </c>
      <c r="F2841" s="52" t="str">
        <f t="shared" si="2"/>
        <v>30.0%</v>
      </c>
      <c r="G2841" s="51" t="str">
        <f t="shared" si="3"/>
        <v>₹472,763.16</v>
      </c>
      <c r="H2841" s="51" t="str">
        <f t="shared" si="4"/>
        <v>₹39,396.93</v>
      </c>
      <c r="I2841" s="51" t="str">
        <f>114288.62-H2841</f>
        <v>₹74,891.69</v>
      </c>
    </row>
    <row r="2842" ht="15.75" customHeight="1">
      <c r="A2842" s="53" t="s">
        <v>2918</v>
      </c>
      <c r="B2842" s="53" t="s">
        <v>17</v>
      </c>
      <c r="C2842" s="53" t="s">
        <v>33</v>
      </c>
      <c r="D2842" s="54">
        <v>131346.27</v>
      </c>
      <c r="E2842" s="54" t="str">
        <f t="shared" si="1"/>
        <v>₹1,576,155.24</v>
      </c>
      <c r="F2842" s="55" t="str">
        <f t="shared" si="2"/>
        <v>30.0%</v>
      </c>
      <c r="G2842" s="54" t="str">
        <f t="shared" si="3"/>
        <v>₹472,846.57</v>
      </c>
      <c r="H2842" s="54" t="str">
        <f t="shared" si="4"/>
        <v>₹39,403.88</v>
      </c>
      <c r="I2842" s="54" t="str">
        <f>114308.39-H2842</f>
        <v>₹74,904.51</v>
      </c>
    </row>
    <row r="2843" ht="15.75" customHeight="1">
      <c r="A2843" s="50" t="s">
        <v>2919</v>
      </c>
      <c r="B2843" s="50" t="s">
        <v>29</v>
      </c>
      <c r="C2843" s="50" t="s">
        <v>33</v>
      </c>
      <c r="D2843" s="51">
        <v>131369.45</v>
      </c>
      <c r="E2843" s="51" t="str">
        <f t="shared" si="1"/>
        <v>₹1,576,433.40</v>
      </c>
      <c r="F2843" s="52" t="str">
        <f t="shared" si="2"/>
        <v>30.0%</v>
      </c>
      <c r="G2843" s="51" t="str">
        <f t="shared" si="3"/>
        <v>₹472,930.02</v>
      </c>
      <c r="H2843" s="51" t="str">
        <f t="shared" si="4"/>
        <v>₹39,410.84</v>
      </c>
      <c r="I2843" s="51" t="str">
        <f>114328.17-H2843</f>
        <v>₹74,917.34</v>
      </c>
    </row>
    <row r="2844" ht="15.75" customHeight="1">
      <c r="A2844" s="53" t="s">
        <v>2920</v>
      </c>
      <c r="B2844" s="53" t="s">
        <v>25</v>
      </c>
      <c r="C2844" s="53" t="s">
        <v>54</v>
      </c>
      <c r="D2844" s="54">
        <v>131392.63</v>
      </c>
      <c r="E2844" s="54" t="str">
        <f t="shared" si="1"/>
        <v>₹1,576,711.56</v>
      </c>
      <c r="F2844" s="55" t="str">
        <f t="shared" si="2"/>
        <v>30.0%</v>
      </c>
      <c r="G2844" s="54" t="str">
        <f t="shared" si="3"/>
        <v>₹473,013.47</v>
      </c>
      <c r="H2844" s="54" t="str">
        <f t="shared" si="4"/>
        <v>₹39,417.79</v>
      </c>
      <c r="I2844" s="54" t="str">
        <f>114347.96-H2844</f>
        <v>₹74,930.17</v>
      </c>
    </row>
    <row r="2845" ht="15.75" customHeight="1">
      <c r="A2845" s="50" t="s">
        <v>2921</v>
      </c>
      <c r="B2845" s="50" t="s">
        <v>25</v>
      </c>
      <c r="C2845" s="50" t="s">
        <v>37</v>
      </c>
      <c r="D2845" s="51">
        <v>131415.81</v>
      </c>
      <c r="E2845" s="51" t="str">
        <f t="shared" si="1"/>
        <v>₹1,576,989.72</v>
      </c>
      <c r="F2845" s="52" t="str">
        <f t="shared" si="2"/>
        <v>30.0%</v>
      </c>
      <c r="G2845" s="51" t="str">
        <f t="shared" si="3"/>
        <v>₹473,096.92</v>
      </c>
      <c r="H2845" s="51" t="str">
        <f t="shared" si="4"/>
        <v>₹39,424.74</v>
      </c>
      <c r="I2845" s="51" t="str">
        <f>114367.74-H2845</f>
        <v>₹74,943.00</v>
      </c>
    </row>
    <row r="2846" ht="15.75" customHeight="1">
      <c r="A2846" s="53" t="s">
        <v>2922</v>
      </c>
      <c r="B2846" s="53" t="s">
        <v>51</v>
      </c>
      <c r="C2846" s="53" t="s">
        <v>33</v>
      </c>
      <c r="D2846" s="54">
        <v>131438.98</v>
      </c>
      <c r="E2846" s="54" t="str">
        <f t="shared" si="1"/>
        <v>₹1,577,267.76</v>
      </c>
      <c r="F2846" s="55" t="str">
        <f t="shared" si="2"/>
        <v>30.0%</v>
      </c>
      <c r="G2846" s="54" t="str">
        <f t="shared" si="3"/>
        <v>₹473,180.33</v>
      </c>
      <c r="H2846" s="54" t="str">
        <f t="shared" si="4"/>
        <v>₹39,431.69</v>
      </c>
      <c r="I2846" s="54" t="str">
        <f>114387.51-H2846</f>
        <v>₹74,955.82</v>
      </c>
    </row>
    <row r="2847" ht="15.75" customHeight="1">
      <c r="A2847" s="50" t="s">
        <v>2923</v>
      </c>
      <c r="B2847" s="50" t="s">
        <v>25</v>
      </c>
      <c r="C2847" s="50" t="s">
        <v>37</v>
      </c>
      <c r="D2847" s="51">
        <v>131462.16</v>
      </c>
      <c r="E2847" s="51" t="str">
        <f t="shared" si="1"/>
        <v>₹1,577,545.92</v>
      </c>
      <c r="F2847" s="52" t="str">
        <f t="shared" si="2"/>
        <v>30.0%</v>
      </c>
      <c r="G2847" s="51" t="str">
        <f t="shared" si="3"/>
        <v>₹473,263.78</v>
      </c>
      <c r="H2847" s="51" t="str">
        <f t="shared" si="4"/>
        <v>₹39,438.65</v>
      </c>
      <c r="I2847" s="51" t="str">
        <f>114407.29-H2847</f>
        <v>₹74,968.64</v>
      </c>
    </row>
    <row r="2848" ht="15.75" customHeight="1">
      <c r="A2848" s="53" t="s">
        <v>2924</v>
      </c>
      <c r="B2848" s="53" t="s">
        <v>36</v>
      </c>
      <c r="C2848" s="53" t="s">
        <v>26</v>
      </c>
      <c r="D2848" s="54">
        <v>131485.34</v>
      </c>
      <c r="E2848" s="54" t="str">
        <f t="shared" si="1"/>
        <v>₹1,577,824.08</v>
      </c>
      <c r="F2848" s="55" t="str">
        <f t="shared" si="2"/>
        <v>30.0%</v>
      </c>
      <c r="G2848" s="54" t="str">
        <f t="shared" si="3"/>
        <v>₹473,347.22</v>
      </c>
      <c r="H2848" s="54" t="str">
        <f t="shared" si="4"/>
        <v>₹39,445.60</v>
      </c>
      <c r="I2848" s="54" t="str">
        <f>114427.08-H2848</f>
        <v>₹74,981.48</v>
      </c>
    </row>
    <row r="2849" ht="15.75" customHeight="1">
      <c r="A2849" s="50" t="s">
        <v>2925</v>
      </c>
      <c r="B2849" s="50" t="s">
        <v>36</v>
      </c>
      <c r="C2849" s="50" t="s">
        <v>14</v>
      </c>
      <c r="D2849" s="51">
        <v>131508.52</v>
      </c>
      <c r="E2849" s="51" t="str">
        <f t="shared" si="1"/>
        <v>₹1,578,102.24</v>
      </c>
      <c r="F2849" s="52" t="str">
        <f t="shared" si="2"/>
        <v>30.0%</v>
      </c>
      <c r="G2849" s="51" t="str">
        <f t="shared" si="3"/>
        <v>₹473,430.67</v>
      </c>
      <c r="H2849" s="51" t="str">
        <f t="shared" si="4"/>
        <v>₹39,452.56</v>
      </c>
      <c r="I2849" s="51" t="str">
        <f>114446.86-H2849</f>
        <v>₹74,994.30</v>
      </c>
    </row>
    <row r="2850" ht="15.75" customHeight="1">
      <c r="A2850" s="53" t="s">
        <v>2926</v>
      </c>
      <c r="B2850" s="53" t="s">
        <v>17</v>
      </c>
      <c r="C2850" s="53" t="s">
        <v>18</v>
      </c>
      <c r="D2850" s="54">
        <v>131531.7</v>
      </c>
      <c r="E2850" s="54" t="str">
        <f t="shared" si="1"/>
        <v>₹1,578,380.40</v>
      </c>
      <c r="F2850" s="55" t="str">
        <f t="shared" si="2"/>
        <v>30.0%</v>
      </c>
      <c r="G2850" s="54" t="str">
        <f t="shared" si="3"/>
        <v>₹473,514.12</v>
      </c>
      <c r="H2850" s="54" t="str">
        <f t="shared" si="4"/>
        <v>₹39,459.51</v>
      </c>
      <c r="I2850" s="54" t="str">
        <f>114466.64-H2850</f>
        <v>₹75,007.13</v>
      </c>
    </row>
    <row r="2851" ht="15.75" customHeight="1">
      <c r="A2851" s="50" t="s">
        <v>2927</v>
      </c>
      <c r="B2851" s="50" t="s">
        <v>29</v>
      </c>
      <c r="C2851" s="50" t="s">
        <v>26</v>
      </c>
      <c r="D2851" s="51">
        <v>131554.87</v>
      </c>
      <c r="E2851" s="51" t="str">
        <f t="shared" si="1"/>
        <v>₹1,578,658.44</v>
      </c>
      <c r="F2851" s="52" t="str">
        <f t="shared" si="2"/>
        <v>30.0%</v>
      </c>
      <c r="G2851" s="51" t="str">
        <f t="shared" si="3"/>
        <v>₹473,597.53</v>
      </c>
      <c r="H2851" s="51" t="str">
        <f t="shared" si="4"/>
        <v>₹39,466.46</v>
      </c>
      <c r="I2851" s="51" t="str">
        <f>114486.41-H2851</f>
        <v>₹75,019.95</v>
      </c>
    </row>
    <row r="2852" ht="15.75" customHeight="1">
      <c r="A2852" s="53" t="s">
        <v>2928</v>
      </c>
      <c r="B2852" s="53" t="s">
        <v>13</v>
      </c>
      <c r="C2852" s="53" t="s">
        <v>30</v>
      </c>
      <c r="D2852" s="54">
        <v>131578.05</v>
      </c>
      <c r="E2852" s="54" t="str">
        <f t="shared" si="1"/>
        <v>₹1,578,936.60</v>
      </c>
      <c r="F2852" s="55" t="str">
        <f t="shared" si="2"/>
        <v>30.0%</v>
      </c>
      <c r="G2852" s="54" t="str">
        <f t="shared" si="3"/>
        <v>₹473,680.98</v>
      </c>
      <c r="H2852" s="54" t="str">
        <f t="shared" si="4"/>
        <v>₹39,473.42</v>
      </c>
      <c r="I2852" s="54" t="str">
        <f>114506.2-H2852</f>
        <v>₹75,032.79</v>
      </c>
    </row>
    <row r="2853" ht="15.75" customHeight="1">
      <c r="A2853" s="50" t="s">
        <v>2929</v>
      </c>
      <c r="B2853" s="50" t="s">
        <v>51</v>
      </c>
      <c r="C2853" s="50" t="s">
        <v>18</v>
      </c>
      <c r="D2853" s="51">
        <v>131601.23</v>
      </c>
      <c r="E2853" s="51" t="str">
        <f t="shared" si="1"/>
        <v>₹1,579,214.76</v>
      </c>
      <c r="F2853" s="52" t="str">
        <f t="shared" si="2"/>
        <v>30.0%</v>
      </c>
      <c r="G2853" s="51" t="str">
        <f t="shared" si="3"/>
        <v>₹473,764.43</v>
      </c>
      <c r="H2853" s="51" t="str">
        <f t="shared" si="4"/>
        <v>₹39,480.37</v>
      </c>
      <c r="I2853" s="51" t="str">
        <f>114525.98-H2853</f>
        <v>₹75,045.61</v>
      </c>
    </row>
    <row r="2854" ht="15.75" customHeight="1">
      <c r="A2854" s="53" t="s">
        <v>2930</v>
      </c>
      <c r="B2854" s="53" t="s">
        <v>13</v>
      </c>
      <c r="C2854" s="53" t="s">
        <v>14</v>
      </c>
      <c r="D2854" s="54">
        <v>131624.41</v>
      </c>
      <c r="E2854" s="54" t="str">
        <f t="shared" si="1"/>
        <v>₹1,579,492.92</v>
      </c>
      <c r="F2854" s="55" t="str">
        <f t="shared" si="2"/>
        <v>30.0%</v>
      </c>
      <c r="G2854" s="54" t="str">
        <f t="shared" si="3"/>
        <v>₹473,847.88</v>
      </c>
      <c r="H2854" s="54" t="str">
        <f t="shared" si="4"/>
        <v>₹39,487.32</v>
      </c>
      <c r="I2854" s="54" t="str">
        <f>114545.76-H2854</f>
        <v>₹75,058.44</v>
      </c>
    </row>
    <row r="2855" ht="15.75" customHeight="1">
      <c r="A2855" s="50" t="s">
        <v>2931</v>
      </c>
      <c r="B2855" s="50" t="s">
        <v>51</v>
      </c>
      <c r="C2855" s="50" t="s">
        <v>26</v>
      </c>
      <c r="D2855" s="51">
        <v>131647.58</v>
      </c>
      <c r="E2855" s="51" t="str">
        <f t="shared" si="1"/>
        <v>₹1,579,770.96</v>
      </c>
      <c r="F2855" s="52" t="str">
        <f t="shared" si="2"/>
        <v>30.0%</v>
      </c>
      <c r="G2855" s="51" t="str">
        <f t="shared" si="3"/>
        <v>₹473,931.29</v>
      </c>
      <c r="H2855" s="51" t="str">
        <f t="shared" si="4"/>
        <v>₹39,494.27</v>
      </c>
      <c r="I2855" s="51" t="str">
        <f>114565.53-H2855</f>
        <v>₹75,071.26</v>
      </c>
    </row>
    <row r="2856" ht="15.75" customHeight="1">
      <c r="A2856" s="53" t="s">
        <v>2932</v>
      </c>
      <c r="B2856" s="53" t="s">
        <v>36</v>
      </c>
      <c r="C2856" s="53" t="s">
        <v>54</v>
      </c>
      <c r="D2856" s="54">
        <v>131670.76</v>
      </c>
      <c r="E2856" s="54" t="str">
        <f t="shared" si="1"/>
        <v>₹1,580,049.12</v>
      </c>
      <c r="F2856" s="55" t="str">
        <f t="shared" si="2"/>
        <v>30.0%</v>
      </c>
      <c r="G2856" s="54" t="str">
        <f t="shared" si="3"/>
        <v>₹474,014.74</v>
      </c>
      <c r="H2856" s="54" t="str">
        <f t="shared" si="4"/>
        <v>₹39,501.23</v>
      </c>
      <c r="I2856" s="54" t="str">
        <f>114585.32-H2856</f>
        <v>₹75,084.09</v>
      </c>
    </row>
    <row r="2857" ht="15.75" customHeight="1">
      <c r="A2857" s="50" t="s">
        <v>2933</v>
      </c>
      <c r="B2857" s="50" t="s">
        <v>36</v>
      </c>
      <c r="C2857" s="50" t="s">
        <v>30</v>
      </c>
      <c r="D2857" s="51">
        <v>131693.94</v>
      </c>
      <c r="E2857" s="51" t="str">
        <f t="shared" si="1"/>
        <v>₹1,580,327.28</v>
      </c>
      <c r="F2857" s="52" t="str">
        <f t="shared" si="2"/>
        <v>30.0%</v>
      </c>
      <c r="G2857" s="51" t="str">
        <f t="shared" si="3"/>
        <v>₹474,098.18</v>
      </c>
      <c r="H2857" s="51" t="str">
        <f t="shared" si="4"/>
        <v>₹39,508.18</v>
      </c>
      <c r="I2857" s="51" t="str">
        <f>114605.1-H2857</f>
        <v>₹75,096.92</v>
      </c>
    </row>
    <row r="2858" ht="15.75" customHeight="1">
      <c r="A2858" s="53" t="s">
        <v>2934</v>
      </c>
      <c r="B2858" s="53" t="s">
        <v>29</v>
      </c>
      <c r="C2858" s="53" t="s">
        <v>33</v>
      </c>
      <c r="D2858" s="54">
        <v>131717.12</v>
      </c>
      <c r="E2858" s="54" t="str">
        <f t="shared" si="1"/>
        <v>₹1,580,605.44</v>
      </c>
      <c r="F2858" s="55" t="str">
        <f t="shared" si="2"/>
        <v>30.0%</v>
      </c>
      <c r="G2858" s="54" t="str">
        <f t="shared" si="3"/>
        <v>₹474,181.63</v>
      </c>
      <c r="H2858" s="54" t="str">
        <f t="shared" si="4"/>
        <v>₹39,515.14</v>
      </c>
      <c r="I2858" s="54" t="str">
        <f>114624.88-H2858</f>
        <v>₹75,109.74</v>
      </c>
    </row>
    <row r="2859" ht="15.75" customHeight="1">
      <c r="A2859" s="50" t="s">
        <v>2935</v>
      </c>
      <c r="B2859" s="50" t="s">
        <v>13</v>
      </c>
      <c r="C2859" s="50" t="s">
        <v>54</v>
      </c>
      <c r="D2859" s="51">
        <v>131763.47</v>
      </c>
      <c r="E2859" s="51" t="str">
        <f t="shared" si="1"/>
        <v>₹1,581,161.64</v>
      </c>
      <c r="F2859" s="52" t="str">
        <f t="shared" si="2"/>
        <v>30.0%</v>
      </c>
      <c r="G2859" s="51" t="str">
        <f t="shared" si="3"/>
        <v>₹474,348.49</v>
      </c>
      <c r="H2859" s="51" t="str">
        <f t="shared" si="4"/>
        <v>₹39,529.04</v>
      </c>
      <c r="I2859" s="51" t="str">
        <f>114664.44-H2859</f>
        <v>₹75,135.40</v>
      </c>
    </row>
    <row r="2860" ht="15.75" customHeight="1">
      <c r="A2860" s="53" t="s">
        <v>2936</v>
      </c>
      <c r="B2860" s="53" t="s">
        <v>25</v>
      </c>
      <c r="C2860" s="53" t="s">
        <v>18</v>
      </c>
      <c r="D2860" s="54">
        <v>131786.65</v>
      </c>
      <c r="E2860" s="54" t="str">
        <f t="shared" si="1"/>
        <v>₹1,581,439.80</v>
      </c>
      <c r="F2860" s="55" t="str">
        <f t="shared" si="2"/>
        <v>30.0%</v>
      </c>
      <c r="G2860" s="54" t="str">
        <f t="shared" si="3"/>
        <v>₹474,431.94</v>
      </c>
      <c r="H2860" s="54" t="str">
        <f t="shared" si="4"/>
        <v>₹39,536.00</v>
      </c>
      <c r="I2860" s="54" t="str">
        <f>114684.22-H2860</f>
        <v>₹75,148.23</v>
      </c>
    </row>
    <row r="2861" ht="15.75" customHeight="1">
      <c r="A2861" s="50" t="s">
        <v>2937</v>
      </c>
      <c r="B2861" s="50" t="s">
        <v>25</v>
      </c>
      <c r="C2861" s="50" t="s">
        <v>14</v>
      </c>
      <c r="D2861" s="51">
        <v>131809.83</v>
      </c>
      <c r="E2861" s="51" t="str">
        <f t="shared" si="1"/>
        <v>₹1,581,717.96</v>
      </c>
      <c r="F2861" s="52" t="str">
        <f t="shared" si="2"/>
        <v>30.0%</v>
      </c>
      <c r="G2861" s="51" t="str">
        <f t="shared" si="3"/>
        <v>₹474,515.39</v>
      </c>
      <c r="H2861" s="51" t="str">
        <f t="shared" si="4"/>
        <v>₹39,542.95</v>
      </c>
      <c r="I2861" s="51" t="str">
        <f>114704-H2861</f>
        <v>₹75,161.05</v>
      </c>
    </row>
    <row r="2862" ht="15.75" customHeight="1">
      <c r="A2862" s="53" t="s">
        <v>2938</v>
      </c>
      <c r="B2862" s="53" t="s">
        <v>51</v>
      </c>
      <c r="C2862" s="53" t="s">
        <v>14</v>
      </c>
      <c r="D2862" s="54">
        <v>131833.01</v>
      </c>
      <c r="E2862" s="54" t="str">
        <f t="shared" si="1"/>
        <v>₹1,581,996.12</v>
      </c>
      <c r="F2862" s="55" t="str">
        <f t="shared" si="2"/>
        <v>30.0%</v>
      </c>
      <c r="G2862" s="54" t="str">
        <f t="shared" si="3"/>
        <v>₹474,598.84</v>
      </c>
      <c r="H2862" s="54" t="str">
        <f t="shared" si="4"/>
        <v>₹39,549.90</v>
      </c>
      <c r="I2862" s="54" t="str">
        <f>114723.78-H2862</f>
        <v>₹75,173.88</v>
      </c>
    </row>
    <row r="2863" ht="15.75" customHeight="1">
      <c r="A2863" s="50" t="s">
        <v>2939</v>
      </c>
      <c r="B2863" s="50" t="s">
        <v>17</v>
      </c>
      <c r="C2863" s="50" t="s">
        <v>37</v>
      </c>
      <c r="D2863" s="51">
        <v>131856.18</v>
      </c>
      <c r="E2863" s="51" t="str">
        <f t="shared" si="1"/>
        <v>₹1,582,274.16</v>
      </c>
      <c r="F2863" s="52" t="str">
        <f t="shared" si="2"/>
        <v>30.0%</v>
      </c>
      <c r="G2863" s="51" t="str">
        <f t="shared" si="3"/>
        <v>₹474,682.25</v>
      </c>
      <c r="H2863" s="51" t="str">
        <f t="shared" si="4"/>
        <v>₹39,556.85</v>
      </c>
      <c r="I2863" s="51" t="str">
        <f>114743.56-H2863</f>
        <v>₹75,186.71</v>
      </c>
    </row>
    <row r="2864" ht="15.75" customHeight="1">
      <c r="A2864" s="53" t="s">
        <v>2940</v>
      </c>
      <c r="B2864" s="53" t="s">
        <v>51</v>
      </c>
      <c r="C2864" s="53" t="s">
        <v>14</v>
      </c>
      <c r="D2864" s="54">
        <v>131879.36</v>
      </c>
      <c r="E2864" s="54" t="str">
        <f t="shared" si="1"/>
        <v>₹1,582,552.32</v>
      </c>
      <c r="F2864" s="55" t="str">
        <f t="shared" si="2"/>
        <v>30.0%</v>
      </c>
      <c r="G2864" s="54" t="str">
        <f t="shared" si="3"/>
        <v>₹474,765.70</v>
      </c>
      <c r="H2864" s="54" t="str">
        <f t="shared" si="4"/>
        <v>₹39,563.81</v>
      </c>
      <c r="I2864" s="54" t="str">
        <f>114763.34-H2864</f>
        <v>₹75,199.53</v>
      </c>
    </row>
    <row r="2865" ht="15.75" customHeight="1">
      <c r="A2865" s="50" t="s">
        <v>2941</v>
      </c>
      <c r="B2865" s="50" t="s">
        <v>17</v>
      </c>
      <c r="C2865" s="50" t="s">
        <v>33</v>
      </c>
      <c r="D2865" s="51">
        <v>131902.54</v>
      </c>
      <c r="E2865" s="51" t="str">
        <f t="shared" si="1"/>
        <v>₹1,582,830.48</v>
      </c>
      <c r="F2865" s="52" t="str">
        <f t="shared" si="2"/>
        <v>30.0%</v>
      </c>
      <c r="G2865" s="51" t="str">
        <f t="shared" si="3"/>
        <v>₹474,849.14</v>
      </c>
      <c r="H2865" s="51" t="str">
        <f t="shared" si="4"/>
        <v>₹39,570.76</v>
      </c>
      <c r="I2865" s="51" t="str">
        <f>114783.12-H2865</f>
        <v>₹75,212.36</v>
      </c>
    </row>
    <row r="2866" ht="15.75" customHeight="1">
      <c r="A2866" s="53" t="s">
        <v>2942</v>
      </c>
      <c r="B2866" s="53" t="s">
        <v>25</v>
      </c>
      <c r="C2866" s="53" t="s">
        <v>18</v>
      </c>
      <c r="D2866" s="54">
        <v>131925.72</v>
      </c>
      <c r="E2866" s="54" t="str">
        <f t="shared" si="1"/>
        <v>₹1,583,108.64</v>
      </c>
      <c r="F2866" s="55" t="str">
        <f t="shared" si="2"/>
        <v>30.0%</v>
      </c>
      <c r="G2866" s="54" t="str">
        <f t="shared" si="3"/>
        <v>₹474,932.59</v>
      </c>
      <c r="H2866" s="54" t="str">
        <f t="shared" si="4"/>
        <v>₹39,577.72</v>
      </c>
      <c r="I2866" s="54" t="str">
        <f>114802.9-H2866</f>
        <v>₹75,225.18</v>
      </c>
    </row>
    <row r="2867" ht="15.75" customHeight="1">
      <c r="A2867" s="50" t="s">
        <v>2943</v>
      </c>
      <c r="B2867" s="50" t="s">
        <v>29</v>
      </c>
      <c r="C2867" s="50" t="s">
        <v>54</v>
      </c>
      <c r="D2867" s="51">
        <v>131948.89</v>
      </c>
      <c r="E2867" s="51" t="str">
        <f t="shared" si="1"/>
        <v>₹1,583,386.68</v>
      </c>
      <c r="F2867" s="52" t="str">
        <f t="shared" si="2"/>
        <v>30.0%</v>
      </c>
      <c r="G2867" s="51" t="str">
        <f t="shared" si="3"/>
        <v>₹475,016.00</v>
      </c>
      <c r="H2867" s="51" t="str">
        <f t="shared" si="4"/>
        <v>₹39,584.67</v>
      </c>
      <c r="I2867" s="51" t="str">
        <f>114822.68-H2867</f>
        <v>₹75,238.01</v>
      </c>
    </row>
    <row r="2868" ht="15.75" customHeight="1">
      <c r="A2868" s="53" t="s">
        <v>2944</v>
      </c>
      <c r="B2868" s="53" t="s">
        <v>17</v>
      </c>
      <c r="C2868" s="53" t="s">
        <v>18</v>
      </c>
      <c r="D2868" s="54">
        <v>131972.07</v>
      </c>
      <c r="E2868" s="54" t="str">
        <f t="shared" si="1"/>
        <v>₹1,583,664.84</v>
      </c>
      <c r="F2868" s="55" t="str">
        <f t="shared" si="2"/>
        <v>30.0%</v>
      </c>
      <c r="G2868" s="54" t="str">
        <f t="shared" si="3"/>
        <v>₹475,099.45</v>
      </c>
      <c r="H2868" s="54" t="str">
        <f t="shared" si="4"/>
        <v>₹39,591.62</v>
      </c>
      <c r="I2868" s="54" t="str">
        <f>114842.46-H2868</f>
        <v>₹75,250.84</v>
      </c>
    </row>
    <row r="2869" ht="15.75" customHeight="1">
      <c r="A2869" s="50" t="s">
        <v>2946</v>
      </c>
      <c r="B2869" s="50" t="s">
        <v>53</v>
      </c>
      <c r="C2869" s="50" t="s">
        <v>30</v>
      </c>
      <c r="D2869" s="51">
        <v>131995.25</v>
      </c>
      <c r="E2869" s="51" t="str">
        <f t="shared" si="1"/>
        <v>₹1,583,943.00</v>
      </c>
      <c r="F2869" s="52" t="str">
        <f t="shared" si="2"/>
        <v>30.0%</v>
      </c>
      <c r="G2869" s="51" t="str">
        <f t="shared" si="3"/>
        <v>₹475,182.90</v>
      </c>
      <c r="H2869" s="51" t="str">
        <f t="shared" si="4"/>
        <v>₹39,598.58</v>
      </c>
      <c r="I2869" s="51" t="str">
        <f>114862.24-H2869</f>
        <v>₹75,263.67</v>
      </c>
    </row>
    <row r="2870" ht="15.75" customHeight="1">
      <c r="A2870" s="53" t="s">
        <v>2947</v>
      </c>
      <c r="B2870" s="53" t="s">
        <v>13</v>
      </c>
      <c r="C2870" s="53" t="s">
        <v>37</v>
      </c>
      <c r="D2870" s="54">
        <v>132018.43</v>
      </c>
      <c r="E2870" s="54" t="str">
        <f t="shared" si="1"/>
        <v>₹1,584,221.16</v>
      </c>
      <c r="F2870" s="55" t="str">
        <f t="shared" si="2"/>
        <v>30.0%</v>
      </c>
      <c r="G2870" s="54" t="str">
        <f t="shared" si="3"/>
        <v>₹475,266.35</v>
      </c>
      <c r="H2870" s="54" t="str">
        <f t="shared" si="4"/>
        <v>₹39,605.53</v>
      </c>
      <c r="I2870" s="54" t="str">
        <f>114882.02-H2870</f>
        <v>₹75,276.49</v>
      </c>
    </row>
    <row r="2871" ht="15.75" customHeight="1">
      <c r="A2871" s="50" t="s">
        <v>2948</v>
      </c>
      <c r="B2871" s="50" t="s">
        <v>36</v>
      </c>
      <c r="C2871" s="50" t="s">
        <v>30</v>
      </c>
      <c r="D2871" s="51">
        <v>132041.6</v>
      </c>
      <c r="E2871" s="51" t="str">
        <f t="shared" si="1"/>
        <v>₹1,584,499.20</v>
      </c>
      <c r="F2871" s="52" t="str">
        <f t="shared" si="2"/>
        <v>30.0%</v>
      </c>
      <c r="G2871" s="51" t="str">
        <f t="shared" si="3"/>
        <v>₹475,349.76</v>
      </c>
      <c r="H2871" s="51" t="str">
        <f t="shared" si="4"/>
        <v>₹39,612.48</v>
      </c>
      <c r="I2871" s="51" t="str">
        <f>114901.8-H2871</f>
        <v>₹75,289.32</v>
      </c>
    </row>
    <row r="2872" ht="15.75" customHeight="1">
      <c r="A2872" s="53" t="s">
        <v>2949</v>
      </c>
      <c r="B2872" s="53" t="s">
        <v>53</v>
      </c>
      <c r="C2872" s="53" t="s">
        <v>33</v>
      </c>
      <c r="D2872" s="54">
        <v>132064.78</v>
      </c>
      <c r="E2872" s="54" t="str">
        <f t="shared" si="1"/>
        <v>₹1,584,777.36</v>
      </c>
      <c r="F2872" s="55" t="str">
        <f t="shared" si="2"/>
        <v>30.0%</v>
      </c>
      <c r="G2872" s="54" t="str">
        <f t="shared" si="3"/>
        <v>₹475,433.21</v>
      </c>
      <c r="H2872" s="54" t="str">
        <f t="shared" si="4"/>
        <v>₹39,619.43</v>
      </c>
      <c r="I2872" s="54" t="str">
        <f>114921.58-H2872</f>
        <v>₹75,302.15</v>
      </c>
    </row>
    <row r="2873" ht="15.75" customHeight="1">
      <c r="A2873" s="50" t="s">
        <v>2950</v>
      </c>
      <c r="B2873" s="50" t="s">
        <v>51</v>
      </c>
      <c r="C2873" s="50" t="s">
        <v>14</v>
      </c>
      <c r="D2873" s="51">
        <v>132087.96</v>
      </c>
      <c r="E2873" s="51" t="str">
        <f t="shared" si="1"/>
        <v>₹1,585,055.52</v>
      </c>
      <c r="F2873" s="52" t="str">
        <f t="shared" si="2"/>
        <v>30.0%</v>
      </c>
      <c r="G2873" s="51" t="str">
        <f t="shared" si="3"/>
        <v>₹475,516.66</v>
      </c>
      <c r="H2873" s="51" t="str">
        <f t="shared" si="4"/>
        <v>₹39,626.39</v>
      </c>
      <c r="I2873" s="51" t="str">
        <f>114941.36-H2873</f>
        <v>₹75,314.97</v>
      </c>
    </row>
    <row r="2874" ht="15.75" customHeight="1">
      <c r="A2874" s="53" t="s">
        <v>2951</v>
      </c>
      <c r="B2874" s="53" t="s">
        <v>36</v>
      </c>
      <c r="C2874" s="53" t="s">
        <v>54</v>
      </c>
      <c r="D2874" s="54">
        <v>132111.14</v>
      </c>
      <c r="E2874" s="54" t="str">
        <f t="shared" si="1"/>
        <v>₹1,585,333.68</v>
      </c>
      <c r="F2874" s="55" t="str">
        <f t="shared" si="2"/>
        <v>30.0%</v>
      </c>
      <c r="G2874" s="54" t="str">
        <f t="shared" si="3"/>
        <v>₹475,600.10</v>
      </c>
      <c r="H2874" s="54" t="str">
        <f t="shared" si="4"/>
        <v>₹39,633.34</v>
      </c>
      <c r="I2874" s="54" t="str">
        <f>114961.14-H2874</f>
        <v>₹75,327.80</v>
      </c>
    </row>
    <row r="2875" ht="15.75" customHeight="1">
      <c r="A2875" s="50" t="s">
        <v>2952</v>
      </c>
      <c r="B2875" s="50" t="s">
        <v>51</v>
      </c>
      <c r="C2875" s="50" t="s">
        <v>33</v>
      </c>
      <c r="D2875" s="51">
        <v>132134.32</v>
      </c>
      <c r="E2875" s="51" t="str">
        <f t="shared" si="1"/>
        <v>₹1,585,611.84</v>
      </c>
      <c r="F2875" s="52" t="str">
        <f t="shared" si="2"/>
        <v>30.0%</v>
      </c>
      <c r="G2875" s="51" t="str">
        <f t="shared" si="3"/>
        <v>₹475,683.55</v>
      </c>
      <c r="H2875" s="51" t="str">
        <f t="shared" si="4"/>
        <v>₹39,640.30</v>
      </c>
      <c r="I2875" s="51" t="str">
        <f>114980.93-H2875</f>
        <v>₹75,340.63</v>
      </c>
    </row>
    <row r="2876" ht="15.75" customHeight="1">
      <c r="A2876" s="53" t="s">
        <v>2953</v>
      </c>
      <c r="B2876" s="53" t="s">
        <v>17</v>
      </c>
      <c r="C2876" s="53" t="s">
        <v>33</v>
      </c>
      <c r="D2876" s="54">
        <v>132157.49</v>
      </c>
      <c r="E2876" s="54" t="str">
        <f t="shared" si="1"/>
        <v>₹1,585,889.88</v>
      </c>
      <c r="F2876" s="55" t="str">
        <f t="shared" si="2"/>
        <v>30.0%</v>
      </c>
      <c r="G2876" s="54" t="str">
        <f t="shared" si="3"/>
        <v>₹475,766.96</v>
      </c>
      <c r="H2876" s="54" t="str">
        <f t="shared" si="4"/>
        <v>₹39,647.25</v>
      </c>
      <c r="I2876" s="54" t="str">
        <f>115000.7-H2876</f>
        <v>₹75,353.45</v>
      </c>
    </row>
    <row r="2877" ht="15.75" customHeight="1">
      <c r="A2877" s="50" t="s">
        <v>2954</v>
      </c>
      <c r="B2877" s="50" t="s">
        <v>29</v>
      </c>
      <c r="C2877" s="50" t="s">
        <v>54</v>
      </c>
      <c r="D2877" s="51">
        <v>132180.67</v>
      </c>
      <c r="E2877" s="51" t="str">
        <f t="shared" si="1"/>
        <v>₹1,586,168.04</v>
      </c>
      <c r="F2877" s="52" t="str">
        <f t="shared" si="2"/>
        <v>30.0%</v>
      </c>
      <c r="G2877" s="51" t="str">
        <f t="shared" si="3"/>
        <v>₹475,850.41</v>
      </c>
      <c r="H2877" s="51" t="str">
        <f t="shared" si="4"/>
        <v>₹39,654.20</v>
      </c>
      <c r="I2877" s="51" t="str">
        <f>115020.48-H2877</f>
        <v>₹75,366.28</v>
      </c>
    </row>
    <row r="2878" ht="15.75" customHeight="1">
      <c r="A2878" s="53" t="s">
        <v>2955</v>
      </c>
      <c r="B2878" s="53" t="s">
        <v>25</v>
      </c>
      <c r="C2878" s="53" t="s">
        <v>54</v>
      </c>
      <c r="D2878" s="54">
        <v>132203.85</v>
      </c>
      <c r="E2878" s="54" t="str">
        <f t="shared" si="1"/>
        <v>₹1,586,446.20</v>
      </c>
      <c r="F2878" s="55" t="str">
        <f t="shared" si="2"/>
        <v>30.0%</v>
      </c>
      <c r="G2878" s="54" t="str">
        <f t="shared" si="3"/>
        <v>₹475,933.86</v>
      </c>
      <c r="H2878" s="54" t="str">
        <f t="shared" si="4"/>
        <v>₹39,661.16</v>
      </c>
      <c r="I2878" s="54" t="str">
        <f>115040.26-H2878</f>
        <v>₹75,379.11</v>
      </c>
    </row>
    <row r="2879" ht="15.75" customHeight="1">
      <c r="A2879" s="50" t="s">
        <v>2956</v>
      </c>
      <c r="B2879" s="50" t="s">
        <v>29</v>
      </c>
      <c r="C2879" s="50" t="s">
        <v>54</v>
      </c>
      <c r="D2879" s="51">
        <v>132227.03</v>
      </c>
      <c r="E2879" s="51" t="str">
        <f t="shared" si="1"/>
        <v>₹1,586,724.36</v>
      </c>
      <c r="F2879" s="52" t="str">
        <f t="shared" si="2"/>
        <v>30.0%</v>
      </c>
      <c r="G2879" s="51" t="str">
        <f t="shared" si="3"/>
        <v>₹476,017.31</v>
      </c>
      <c r="H2879" s="51" t="str">
        <f t="shared" si="4"/>
        <v>₹39,668.11</v>
      </c>
      <c r="I2879" s="51" t="str">
        <f>115060.05-H2879</f>
        <v>₹75,391.94</v>
      </c>
    </row>
    <row r="2880" ht="15.75" customHeight="1">
      <c r="A2880" s="53" t="s">
        <v>2957</v>
      </c>
      <c r="B2880" s="53" t="s">
        <v>53</v>
      </c>
      <c r="C2880" s="53" t="s">
        <v>14</v>
      </c>
      <c r="D2880" s="54">
        <v>132250.2</v>
      </c>
      <c r="E2880" s="54" t="str">
        <f t="shared" si="1"/>
        <v>₹1,587,002.40</v>
      </c>
      <c r="F2880" s="55" t="str">
        <f t="shared" si="2"/>
        <v>30.0%</v>
      </c>
      <c r="G2880" s="54" t="str">
        <f t="shared" si="3"/>
        <v>₹476,100.72</v>
      </c>
      <c r="H2880" s="54" t="str">
        <f t="shared" si="4"/>
        <v>₹39,675.06</v>
      </c>
      <c r="I2880" s="54" t="str">
        <f>115079.82-H2880</f>
        <v>₹75,404.76</v>
      </c>
    </row>
    <row r="2881" ht="15.75" customHeight="1">
      <c r="A2881" s="50" t="s">
        <v>2958</v>
      </c>
      <c r="B2881" s="50" t="s">
        <v>51</v>
      </c>
      <c r="C2881" s="50" t="s">
        <v>33</v>
      </c>
      <c r="D2881" s="51">
        <v>132273.38</v>
      </c>
      <c r="E2881" s="51" t="str">
        <f t="shared" si="1"/>
        <v>₹1,587,280.56</v>
      </c>
      <c r="F2881" s="52" t="str">
        <f t="shared" si="2"/>
        <v>30.0%</v>
      </c>
      <c r="G2881" s="51" t="str">
        <f t="shared" si="3"/>
        <v>₹476,184.17</v>
      </c>
      <c r="H2881" s="51" t="str">
        <f t="shared" si="4"/>
        <v>₹39,682.01</v>
      </c>
      <c r="I2881" s="51" t="str">
        <f>115099.6-H2881</f>
        <v>₹75,417.59</v>
      </c>
    </row>
    <row r="2882" ht="15.75" customHeight="1">
      <c r="A2882" s="53" t="s">
        <v>2959</v>
      </c>
      <c r="B2882" s="53" t="s">
        <v>17</v>
      </c>
      <c r="C2882" s="53" t="s">
        <v>14</v>
      </c>
      <c r="D2882" s="54">
        <v>132319.74</v>
      </c>
      <c r="E2882" s="54" t="str">
        <f t="shared" si="1"/>
        <v>₹1,587,836.88</v>
      </c>
      <c r="F2882" s="55" t="str">
        <f t="shared" si="2"/>
        <v>30.0%</v>
      </c>
      <c r="G2882" s="54" t="str">
        <f t="shared" si="3"/>
        <v>₹476,351.06</v>
      </c>
      <c r="H2882" s="54" t="str">
        <f t="shared" si="4"/>
        <v>₹39,695.92</v>
      </c>
      <c r="I2882" s="54" t="str">
        <f>115139.17-H2882</f>
        <v>₹75,443.25</v>
      </c>
    </row>
    <row r="2883" ht="15.75" customHeight="1">
      <c r="A2883" s="50" t="s">
        <v>2960</v>
      </c>
      <c r="B2883" s="50" t="s">
        <v>25</v>
      </c>
      <c r="C2883" s="50" t="s">
        <v>18</v>
      </c>
      <c r="D2883" s="51">
        <v>132342.91</v>
      </c>
      <c r="E2883" s="51" t="str">
        <f t="shared" si="1"/>
        <v>₹1,588,114.92</v>
      </c>
      <c r="F2883" s="52" t="str">
        <f t="shared" si="2"/>
        <v>30.0%</v>
      </c>
      <c r="G2883" s="51" t="str">
        <f t="shared" si="3"/>
        <v>₹476,434.48</v>
      </c>
      <c r="H2883" s="51" t="str">
        <f t="shared" si="4"/>
        <v>₹39,702.87</v>
      </c>
      <c r="I2883" s="51" t="str">
        <f>115158.94-H2883</f>
        <v>₹75,456.07</v>
      </c>
    </row>
    <row r="2884" ht="15.75" customHeight="1">
      <c r="A2884" s="53" t="s">
        <v>2961</v>
      </c>
      <c r="B2884" s="53" t="s">
        <v>36</v>
      </c>
      <c r="C2884" s="53" t="s">
        <v>30</v>
      </c>
      <c r="D2884" s="54">
        <v>132366.09</v>
      </c>
      <c r="E2884" s="54" t="str">
        <f t="shared" si="1"/>
        <v>₹1,588,393.08</v>
      </c>
      <c r="F2884" s="55" t="str">
        <f t="shared" si="2"/>
        <v>30.0%</v>
      </c>
      <c r="G2884" s="54" t="str">
        <f t="shared" si="3"/>
        <v>₹476,517.92</v>
      </c>
      <c r="H2884" s="54" t="str">
        <f t="shared" si="4"/>
        <v>₹39,709.83</v>
      </c>
      <c r="I2884" s="54" t="str">
        <f>115178.72-H2884</f>
        <v>₹75,468.89</v>
      </c>
    </row>
    <row r="2885" ht="15.75" customHeight="1">
      <c r="A2885" s="50" t="s">
        <v>2962</v>
      </c>
      <c r="B2885" s="50" t="s">
        <v>13</v>
      </c>
      <c r="C2885" s="50" t="s">
        <v>14</v>
      </c>
      <c r="D2885" s="51">
        <v>132389.27</v>
      </c>
      <c r="E2885" s="51" t="str">
        <f t="shared" si="1"/>
        <v>₹1,588,671.24</v>
      </c>
      <c r="F2885" s="52" t="str">
        <f t="shared" si="2"/>
        <v>30.0%</v>
      </c>
      <c r="G2885" s="51" t="str">
        <f t="shared" si="3"/>
        <v>₹476,601.37</v>
      </c>
      <c r="H2885" s="51" t="str">
        <f t="shared" si="4"/>
        <v>₹39,716.78</v>
      </c>
      <c r="I2885" s="51" t="str">
        <f>115198.5-H2885</f>
        <v>₹75,481.72</v>
      </c>
    </row>
    <row r="2886" ht="15.75" customHeight="1">
      <c r="A2886" s="53" t="s">
        <v>2963</v>
      </c>
      <c r="B2886" s="53" t="s">
        <v>13</v>
      </c>
      <c r="C2886" s="53" t="s">
        <v>54</v>
      </c>
      <c r="D2886" s="54">
        <v>132412.45</v>
      </c>
      <c r="E2886" s="54" t="str">
        <f t="shared" si="1"/>
        <v>₹1,588,949.40</v>
      </c>
      <c r="F2886" s="55" t="str">
        <f t="shared" si="2"/>
        <v>30.0%</v>
      </c>
      <c r="G2886" s="54" t="str">
        <f t="shared" si="3"/>
        <v>₹476,684.82</v>
      </c>
      <c r="H2886" s="54" t="str">
        <f t="shared" si="4"/>
        <v>₹39,723.74</v>
      </c>
      <c r="I2886" s="54" t="str">
        <f>115218.29-H2886</f>
        <v>₹75,494.56</v>
      </c>
    </row>
    <row r="2887" ht="15.75" customHeight="1">
      <c r="A2887" s="50" t="s">
        <v>2964</v>
      </c>
      <c r="B2887" s="50" t="s">
        <v>13</v>
      </c>
      <c r="C2887" s="50" t="s">
        <v>54</v>
      </c>
      <c r="D2887" s="51">
        <v>132435.63</v>
      </c>
      <c r="E2887" s="51" t="str">
        <f t="shared" si="1"/>
        <v>₹1,589,227.56</v>
      </c>
      <c r="F2887" s="52" t="str">
        <f t="shared" si="2"/>
        <v>30.0%</v>
      </c>
      <c r="G2887" s="51" t="str">
        <f t="shared" si="3"/>
        <v>₹476,768.27</v>
      </c>
      <c r="H2887" s="51" t="str">
        <f t="shared" si="4"/>
        <v>₹39,730.69</v>
      </c>
      <c r="I2887" s="51" t="str">
        <f>115238.07-H2887</f>
        <v>₹75,507.38</v>
      </c>
    </row>
    <row r="2888" ht="15.75" customHeight="1">
      <c r="A2888" s="53" t="s">
        <v>2965</v>
      </c>
      <c r="B2888" s="53" t="s">
        <v>51</v>
      </c>
      <c r="C2888" s="53" t="s">
        <v>33</v>
      </c>
      <c r="D2888" s="54">
        <v>132458.8</v>
      </c>
      <c r="E2888" s="54" t="str">
        <f t="shared" si="1"/>
        <v>₹1,589,505.60</v>
      </c>
      <c r="F2888" s="55" t="str">
        <f t="shared" si="2"/>
        <v>30.0%</v>
      </c>
      <c r="G2888" s="54" t="str">
        <f t="shared" si="3"/>
        <v>₹476,851.68</v>
      </c>
      <c r="H2888" s="54" t="str">
        <f t="shared" si="4"/>
        <v>₹39,737.64</v>
      </c>
      <c r="I2888" s="54" t="str">
        <f>115257.84-H2888</f>
        <v>₹75,520.20</v>
      </c>
    </row>
    <row r="2889" ht="15.75" customHeight="1">
      <c r="A2889" s="50" t="s">
        <v>2966</v>
      </c>
      <c r="B2889" s="50" t="s">
        <v>25</v>
      </c>
      <c r="C2889" s="50" t="s">
        <v>18</v>
      </c>
      <c r="D2889" s="51">
        <v>132481.98</v>
      </c>
      <c r="E2889" s="51" t="str">
        <f t="shared" si="1"/>
        <v>₹1,589,783.76</v>
      </c>
      <c r="F2889" s="52" t="str">
        <f t="shared" si="2"/>
        <v>30.0%</v>
      </c>
      <c r="G2889" s="51" t="str">
        <f t="shared" si="3"/>
        <v>₹476,935.13</v>
      </c>
      <c r="H2889" s="51" t="str">
        <f t="shared" si="4"/>
        <v>₹39,744.59</v>
      </c>
      <c r="I2889" s="51" t="str">
        <f>115277.62-H2889</f>
        <v>₹75,533.03</v>
      </c>
    </row>
    <row r="2890" ht="15.75" customHeight="1">
      <c r="A2890" s="53" t="s">
        <v>2967</v>
      </c>
      <c r="B2890" s="53" t="s">
        <v>51</v>
      </c>
      <c r="C2890" s="53" t="s">
        <v>54</v>
      </c>
      <c r="D2890" s="54">
        <v>132505.16</v>
      </c>
      <c r="E2890" s="54" t="str">
        <f t="shared" si="1"/>
        <v>₹1,590,061.92</v>
      </c>
      <c r="F2890" s="55" t="str">
        <f t="shared" si="2"/>
        <v>30.0%</v>
      </c>
      <c r="G2890" s="54" t="str">
        <f t="shared" si="3"/>
        <v>₹477,018.58</v>
      </c>
      <c r="H2890" s="54" t="str">
        <f t="shared" si="4"/>
        <v>₹39,751.55</v>
      </c>
      <c r="I2890" s="54" t="str">
        <f>115297.4-H2890</f>
        <v>₹75,545.85</v>
      </c>
    </row>
    <row r="2891" ht="15.75" customHeight="1">
      <c r="A2891" s="50" t="s">
        <v>2968</v>
      </c>
      <c r="B2891" s="50" t="s">
        <v>17</v>
      </c>
      <c r="C2891" s="50" t="s">
        <v>14</v>
      </c>
      <c r="D2891" s="51">
        <v>132528.34</v>
      </c>
      <c r="E2891" s="51" t="str">
        <f t="shared" si="1"/>
        <v>₹1,590,340.08</v>
      </c>
      <c r="F2891" s="52" t="str">
        <f t="shared" si="2"/>
        <v>30.0%</v>
      </c>
      <c r="G2891" s="51" t="str">
        <f t="shared" si="3"/>
        <v>₹477,102.02</v>
      </c>
      <c r="H2891" s="51" t="str">
        <f t="shared" si="4"/>
        <v>₹39,758.50</v>
      </c>
      <c r="I2891" s="51" t="str">
        <f>115317.19-H2891</f>
        <v>₹75,558.69</v>
      </c>
    </row>
    <row r="2892" ht="15.75" customHeight="1">
      <c r="A2892" s="53" t="s">
        <v>2969</v>
      </c>
      <c r="B2892" s="53" t="s">
        <v>25</v>
      </c>
      <c r="C2892" s="53" t="s">
        <v>54</v>
      </c>
      <c r="D2892" s="54">
        <v>132551.51</v>
      </c>
      <c r="E2892" s="54" t="str">
        <f t="shared" si="1"/>
        <v>₹1,590,618.12</v>
      </c>
      <c r="F2892" s="55" t="str">
        <f t="shared" si="2"/>
        <v>30.0%</v>
      </c>
      <c r="G2892" s="54" t="str">
        <f t="shared" si="3"/>
        <v>₹477,185.44</v>
      </c>
      <c r="H2892" s="54" t="str">
        <f t="shared" si="4"/>
        <v>₹39,765.45</v>
      </c>
      <c r="I2892" s="54" t="str">
        <f>115336.96-H2892</f>
        <v>₹75,571.51</v>
      </c>
    </row>
    <row r="2893" ht="15.75" customHeight="1">
      <c r="A2893" s="50" t="s">
        <v>2970</v>
      </c>
      <c r="B2893" s="50" t="s">
        <v>29</v>
      </c>
      <c r="C2893" s="50" t="s">
        <v>37</v>
      </c>
      <c r="D2893" s="51">
        <v>132574.69</v>
      </c>
      <c r="E2893" s="51" t="str">
        <f t="shared" si="1"/>
        <v>₹1,590,896.28</v>
      </c>
      <c r="F2893" s="52" t="str">
        <f t="shared" si="2"/>
        <v>30.0%</v>
      </c>
      <c r="G2893" s="51" t="str">
        <f t="shared" si="3"/>
        <v>₹477,268.88</v>
      </c>
      <c r="H2893" s="51" t="str">
        <f t="shared" si="4"/>
        <v>₹39,772.41</v>
      </c>
      <c r="I2893" s="51" t="str">
        <f>115356.74-H2893</f>
        <v>₹75,584.33</v>
      </c>
    </row>
    <row r="2894" ht="15.75" customHeight="1">
      <c r="A2894" s="53" t="s">
        <v>2971</v>
      </c>
      <c r="B2894" s="53" t="s">
        <v>13</v>
      </c>
      <c r="C2894" s="53" t="s">
        <v>18</v>
      </c>
      <c r="D2894" s="54">
        <v>132597.87</v>
      </c>
      <c r="E2894" s="54" t="str">
        <f t="shared" si="1"/>
        <v>₹1,591,174.44</v>
      </c>
      <c r="F2894" s="55" t="str">
        <f t="shared" si="2"/>
        <v>30.0%</v>
      </c>
      <c r="G2894" s="54" t="str">
        <f t="shared" si="3"/>
        <v>₹477,352.33</v>
      </c>
      <c r="H2894" s="54" t="str">
        <f t="shared" si="4"/>
        <v>₹39,779.36</v>
      </c>
      <c r="I2894" s="54" t="str">
        <f>115376.52-H2894</f>
        <v>₹75,597.16</v>
      </c>
    </row>
    <row r="2895" ht="15.75" customHeight="1">
      <c r="A2895" s="50" t="s">
        <v>2972</v>
      </c>
      <c r="B2895" s="50" t="s">
        <v>36</v>
      </c>
      <c r="C2895" s="50" t="s">
        <v>26</v>
      </c>
      <c r="D2895" s="51">
        <v>132621.05</v>
      </c>
      <c r="E2895" s="51" t="str">
        <f t="shared" si="1"/>
        <v>₹1,591,452.60</v>
      </c>
      <c r="F2895" s="52" t="str">
        <f t="shared" si="2"/>
        <v>30.0%</v>
      </c>
      <c r="G2895" s="51" t="str">
        <f t="shared" si="3"/>
        <v>₹477,435.78</v>
      </c>
      <c r="H2895" s="51" t="str">
        <f t="shared" si="4"/>
        <v>₹39,786.32</v>
      </c>
      <c r="I2895" s="51" t="str">
        <f>115396.31-H2895</f>
        <v>₹75,610.00</v>
      </c>
    </row>
    <row r="2896" ht="15.75" customHeight="1">
      <c r="A2896" s="53" t="s">
        <v>2973</v>
      </c>
      <c r="B2896" s="53" t="s">
        <v>25</v>
      </c>
      <c r="C2896" s="53" t="s">
        <v>14</v>
      </c>
      <c r="D2896" s="54">
        <v>132644.22</v>
      </c>
      <c r="E2896" s="54" t="str">
        <f t="shared" si="1"/>
        <v>₹1,591,730.64</v>
      </c>
      <c r="F2896" s="55" t="str">
        <f t="shared" si="2"/>
        <v>30.0%</v>
      </c>
      <c r="G2896" s="54" t="str">
        <f t="shared" si="3"/>
        <v>₹477,519.19</v>
      </c>
      <c r="H2896" s="54" t="str">
        <f t="shared" si="4"/>
        <v>₹39,793.27</v>
      </c>
      <c r="I2896" s="54" t="str">
        <f>115416.08-H2896</f>
        <v>₹75,622.81</v>
      </c>
    </row>
    <row r="2897" ht="15.75" customHeight="1">
      <c r="A2897" s="50" t="s">
        <v>2974</v>
      </c>
      <c r="B2897" s="50" t="s">
        <v>36</v>
      </c>
      <c r="C2897" s="50" t="s">
        <v>26</v>
      </c>
      <c r="D2897" s="51">
        <v>132667.4</v>
      </c>
      <c r="E2897" s="51" t="str">
        <f t="shared" si="1"/>
        <v>₹1,592,008.80</v>
      </c>
      <c r="F2897" s="52" t="str">
        <f t="shared" si="2"/>
        <v>30.0%</v>
      </c>
      <c r="G2897" s="51" t="str">
        <f t="shared" si="3"/>
        <v>₹477,602.64</v>
      </c>
      <c r="H2897" s="51" t="str">
        <f t="shared" si="4"/>
        <v>₹39,800.22</v>
      </c>
      <c r="I2897" s="51" t="str">
        <f>115435.86-H2897</f>
        <v>₹75,635.64</v>
      </c>
    </row>
    <row r="2898" ht="15.75" customHeight="1">
      <c r="A2898" s="53" t="s">
        <v>2975</v>
      </c>
      <c r="B2898" s="53" t="s">
        <v>17</v>
      </c>
      <c r="C2898" s="53" t="s">
        <v>18</v>
      </c>
      <c r="D2898" s="54">
        <v>132690.58</v>
      </c>
      <c r="E2898" s="54" t="str">
        <f t="shared" si="1"/>
        <v>₹1,592,286.96</v>
      </c>
      <c r="F2898" s="55" t="str">
        <f t="shared" si="2"/>
        <v>30.0%</v>
      </c>
      <c r="G2898" s="54" t="str">
        <f t="shared" si="3"/>
        <v>₹477,686.09</v>
      </c>
      <c r="H2898" s="54" t="str">
        <f t="shared" si="4"/>
        <v>₹39,807.17</v>
      </c>
      <c r="I2898" s="54" t="str">
        <f>115455.64-H2898</f>
        <v>₹75,648.47</v>
      </c>
    </row>
    <row r="2899" ht="15.75" customHeight="1">
      <c r="A2899" s="50" t="s">
        <v>2976</v>
      </c>
      <c r="B2899" s="50" t="s">
        <v>17</v>
      </c>
      <c r="C2899" s="50" t="s">
        <v>33</v>
      </c>
      <c r="D2899" s="51">
        <v>132713.76</v>
      </c>
      <c r="E2899" s="51" t="str">
        <f t="shared" si="1"/>
        <v>₹1,592,565.12</v>
      </c>
      <c r="F2899" s="52" t="str">
        <f t="shared" si="2"/>
        <v>30.0%</v>
      </c>
      <c r="G2899" s="51" t="str">
        <f t="shared" si="3"/>
        <v>₹477,769.54</v>
      </c>
      <c r="H2899" s="51" t="str">
        <f t="shared" si="4"/>
        <v>₹39,814.13</v>
      </c>
      <c r="I2899" s="51" t="str">
        <f>115475.43-H2899</f>
        <v>₹75,661.30</v>
      </c>
    </row>
    <row r="2900" ht="15.75" customHeight="1">
      <c r="A2900" s="53" t="s">
        <v>2977</v>
      </c>
      <c r="B2900" s="53" t="s">
        <v>36</v>
      </c>
      <c r="C2900" s="53" t="s">
        <v>18</v>
      </c>
      <c r="D2900" s="54">
        <v>132736.94</v>
      </c>
      <c r="E2900" s="54" t="str">
        <f t="shared" si="1"/>
        <v>₹1,592,843.28</v>
      </c>
      <c r="F2900" s="55" t="str">
        <f t="shared" si="2"/>
        <v>30.0%</v>
      </c>
      <c r="G2900" s="54" t="str">
        <f t="shared" si="3"/>
        <v>₹477,852.98</v>
      </c>
      <c r="H2900" s="54" t="str">
        <f t="shared" si="4"/>
        <v>₹39,821.08</v>
      </c>
      <c r="I2900" s="54" t="str">
        <f>115495.21-H2900</f>
        <v>₹75,674.13</v>
      </c>
    </row>
    <row r="2901" ht="15.75" customHeight="1">
      <c r="A2901" s="50" t="s">
        <v>2978</v>
      </c>
      <c r="B2901" s="50" t="s">
        <v>53</v>
      </c>
      <c r="C2901" s="50" t="s">
        <v>18</v>
      </c>
      <c r="D2901" s="51">
        <v>132783.29</v>
      </c>
      <c r="E2901" s="51" t="str">
        <f t="shared" si="1"/>
        <v>₹1,593,399.48</v>
      </c>
      <c r="F2901" s="52" t="str">
        <f t="shared" si="2"/>
        <v>30.0%</v>
      </c>
      <c r="G2901" s="51" t="str">
        <f t="shared" si="3"/>
        <v>₹478,019.84</v>
      </c>
      <c r="H2901" s="51" t="str">
        <f t="shared" si="4"/>
        <v>₹39,834.99</v>
      </c>
      <c r="I2901" s="51" t="str">
        <f>115534.76-H2901</f>
        <v>₹75,699.77</v>
      </c>
    </row>
    <row r="2902" ht="15.75" customHeight="1">
      <c r="A2902" s="53" t="s">
        <v>2979</v>
      </c>
      <c r="B2902" s="53" t="s">
        <v>53</v>
      </c>
      <c r="C2902" s="53" t="s">
        <v>26</v>
      </c>
      <c r="D2902" s="54">
        <v>132806.47</v>
      </c>
      <c r="E2902" s="54" t="str">
        <f t="shared" si="1"/>
        <v>₹1,593,677.64</v>
      </c>
      <c r="F2902" s="55" t="str">
        <f t="shared" si="2"/>
        <v>30.0%</v>
      </c>
      <c r="G2902" s="54" t="str">
        <f t="shared" si="3"/>
        <v>₹478,103.29</v>
      </c>
      <c r="H2902" s="54" t="str">
        <f t="shared" si="4"/>
        <v>₹39,841.94</v>
      </c>
      <c r="I2902" s="54" t="str">
        <f>115554.55-H2902</f>
        <v>₹75,712.61</v>
      </c>
    </row>
    <row r="2903" ht="15.75" customHeight="1">
      <c r="A2903" s="50" t="s">
        <v>2980</v>
      </c>
      <c r="B2903" s="50" t="s">
        <v>17</v>
      </c>
      <c r="C2903" s="50" t="s">
        <v>18</v>
      </c>
      <c r="D2903" s="51">
        <v>132829.65</v>
      </c>
      <c r="E2903" s="51" t="str">
        <f t="shared" si="1"/>
        <v>₹1,593,955.80</v>
      </c>
      <c r="F2903" s="52" t="str">
        <f t="shared" si="2"/>
        <v>30.0%</v>
      </c>
      <c r="G2903" s="51" t="str">
        <f t="shared" si="3"/>
        <v>₹478,186.74</v>
      </c>
      <c r="H2903" s="51" t="str">
        <f t="shared" si="4"/>
        <v>₹39,848.90</v>
      </c>
      <c r="I2903" s="51" t="str">
        <f>115574.33-H2903</f>
        <v>₹75,725.44</v>
      </c>
    </row>
    <row r="2904" ht="15.75" customHeight="1">
      <c r="A2904" s="53" t="s">
        <v>2981</v>
      </c>
      <c r="B2904" s="53" t="s">
        <v>17</v>
      </c>
      <c r="C2904" s="53" t="s">
        <v>37</v>
      </c>
      <c r="D2904" s="54">
        <v>132852.82</v>
      </c>
      <c r="E2904" s="54" t="str">
        <f t="shared" si="1"/>
        <v>₹1,594,233.84</v>
      </c>
      <c r="F2904" s="55" t="str">
        <f t="shared" si="2"/>
        <v>30.0%</v>
      </c>
      <c r="G2904" s="54" t="str">
        <f t="shared" si="3"/>
        <v>₹478,270.15</v>
      </c>
      <c r="H2904" s="54" t="str">
        <f t="shared" si="4"/>
        <v>₹39,855.85</v>
      </c>
      <c r="I2904" s="54" t="str">
        <f>115594.1-H2904</f>
        <v>₹75,738.25</v>
      </c>
    </row>
    <row r="2905" ht="15.75" customHeight="1">
      <c r="A2905" s="50" t="s">
        <v>2982</v>
      </c>
      <c r="B2905" s="50" t="s">
        <v>29</v>
      </c>
      <c r="C2905" s="50" t="s">
        <v>14</v>
      </c>
      <c r="D2905" s="51">
        <v>132876.0</v>
      </c>
      <c r="E2905" s="51" t="str">
        <f t="shared" si="1"/>
        <v>₹1,594,512.00</v>
      </c>
      <c r="F2905" s="52" t="str">
        <f t="shared" si="2"/>
        <v>30.0%</v>
      </c>
      <c r="G2905" s="51" t="str">
        <f t="shared" si="3"/>
        <v>₹478,353.60</v>
      </c>
      <c r="H2905" s="51" t="str">
        <f t="shared" si="4"/>
        <v>₹39,862.80</v>
      </c>
      <c r="I2905" s="51" t="str">
        <f>115613.88-H2905</f>
        <v>₹75,751.08</v>
      </c>
    </row>
    <row r="2906" ht="15.75" customHeight="1">
      <c r="A2906" s="53" t="s">
        <v>2983</v>
      </c>
      <c r="B2906" s="53" t="s">
        <v>13</v>
      </c>
      <c r="C2906" s="53" t="s">
        <v>54</v>
      </c>
      <c r="D2906" s="54">
        <v>132899.18</v>
      </c>
      <c r="E2906" s="54" t="str">
        <f t="shared" si="1"/>
        <v>₹1,594,790.16</v>
      </c>
      <c r="F2906" s="55" t="str">
        <f t="shared" si="2"/>
        <v>30.0%</v>
      </c>
      <c r="G2906" s="54" t="str">
        <f t="shared" si="3"/>
        <v>₹478,437.05</v>
      </c>
      <c r="H2906" s="54" t="str">
        <f t="shared" si="4"/>
        <v>₹39,869.75</v>
      </c>
      <c r="I2906" s="54" t="str">
        <f>115633.67-H2906</f>
        <v>₹75,763.92</v>
      </c>
    </row>
    <row r="2907" ht="15.75" customHeight="1">
      <c r="A2907" s="50" t="s">
        <v>2984</v>
      </c>
      <c r="B2907" s="50" t="s">
        <v>36</v>
      </c>
      <c r="C2907" s="50" t="s">
        <v>33</v>
      </c>
      <c r="D2907" s="51">
        <v>132922.36</v>
      </c>
      <c r="E2907" s="51" t="str">
        <f t="shared" si="1"/>
        <v>₹1,595,068.32</v>
      </c>
      <c r="F2907" s="52" t="str">
        <f t="shared" si="2"/>
        <v>30.0%</v>
      </c>
      <c r="G2907" s="51" t="str">
        <f t="shared" si="3"/>
        <v>₹478,520.50</v>
      </c>
      <c r="H2907" s="51" t="str">
        <f t="shared" si="4"/>
        <v>₹39,876.71</v>
      </c>
      <c r="I2907" s="51" t="str">
        <f>115653.45-H2907</f>
        <v>₹75,776.74</v>
      </c>
    </row>
    <row r="2908" ht="15.75" customHeight="1">
      <c r="A2908" s="53" t="s">
        <v>2985</v>
      </c>
      <c r="B2908" s="53" t="s">
        <v>53</v>
      </c>
      <c r="C2908" s="53" t="s">
        <v>37</v>
      </c>
      <c r="D2908" s="54">
        <v>132945.53</v>
      </c>
      <c r="E2908" s="54" t="str">
        <f t="shared" si="1"/>
        <v>₹1,595,346.36</v>
      </c>
      <c r="F2908" s="55" t="str">
        <f t="shared" si="2"/>
        <v>30.0%</v>
      </c>
      <c r="G2908" s="54" t="str">
        <f t="shared" si="3"/>
        <v>₹478,603.91</v>
      </c>
      <c r="H2908" s="54" t="str">
        <f t="shared" si="4"/>
        <v>₹39,883.66</v>
      </c>
      <c r="I2908" s="54" t="str">
        <f>115673.22-H2908</f>
        <v>₹75,789.56</v>
      </c>
    </row>
    <row r="2909" ht="15.75" customHeight="1">
      <c r="A2909" s="50" t="s">
        <v>2986</v>
      </c>
      <c r="B2909" s="50" t="s">
        <v>29</v>
      </c>
      <c r="C2909" s="50" t="s">
        <v>26</v>
      </c>
      <c r="D2909" s="51">
        <v>132968.71</v>
      </c>
      <c r="E2909" s="51" t="str">
        <f t="shared" si="1"/>
        <v>₹1,595,624.52</v>
      </c>
      <c r="F2909" s="52" t="str">
        <f t="shared" si="2"/>
        <v>30.0%</v>
      </c>
      <c r="G2909" s="51" t="str">
        <f t="shared" si="3"/>
        <v>₹478,687.36</v>
      </c>
      <c r="H2909" s="51" t="str">
        <f t="shared" si="4"/>
        <v>₹39,890.61</v>
      </c>
      <c r="I2909" s="51" t="str">
        <f>115693-H2909</f>
        <v>₹75,802.39</v>
      </c>
    </row>
    <row r="2910" ht="15.75" customHeight="1">
      <c r="A2910" s="53" t="s">
        <v>2987</v>
      </c>
      <c r="B2910" s="53" t="s">
        <v>17</v>
      </c>
      <c r="C2910" s="53" t="s">
        <v>26</v>
      </c>
      <c r="D2910" s="54">
        <v>132991.89</v>
      </c>
      <c r="E2910" s="54" t="str">
        <f t="shared" si="1"/>
        <v>₹1,595,902.68</v>
      </c>
      <c r="F2910" s="55" t="str">
        <f t="shared" si="2"/>
        <v>30.0%</v>
      </c>
      <c r="G2910" s="54" t="str">
        <f t="shared" si="3"/>
        <v>₹478,770.80</v>
      </c>
      <c r="H2910" s="54" t="str">
        <f t="shared" si="4"/>
        <v>₹39,897.57</v>
      </c>
      <c r="I2910" s="54" t="str">
        <f>115712.79-H2910</f>
        <v>₹75,815.22</v>
      </c>
    </row>
    <row r="2911" ht="15.75" customHeight="1">
      <c r="A2911" s="50" t="s">
        <v>2988</v>
      </c>
      <c r="B2911" s="50" t="s">
        <v>25</v>
      </c>
      <c r="C2911" s="50" t="s">
        <v>54</v>
      </c>
      <c r="D2911" s="51">
        <v>133015.07</v>
      </c>
      <c r="E2911" s="51" t="str">
        <f t="shared" si="1"/>
        <v>₹1,596,180.84</v>
      </c>
      <c r="F2911" s="52" t="str">
        <f t="shared" si="2"/>
        <v>30.0%</v>
      </c>
      <c r="G2911" s="51" t="str">
        <f t="shared" si="3"/>
        <v>₹478,854.25</v>
      </c>
      <c r="H2911" s="51" t="str">
        <f t="shared" si="4"/>
        <v>₹39,904.52</v>
      </c>
      <c r="I2911" s="51" t="str">
        <f>115732.57-H2911</f>
        <v>₹75,828.05</v>
      </c>
    </row>
    <row r="2912" ht="15.75" customHeight="1">
      <c r="A2912" s="53" t="s">
        <v>2989</v>
      </c>
      <c r="B2912" s="53" t="s">
        <v>25</v>
      </c>
      <c r="C2912" s="53" t="s">
        <v>30</v>
      </c>
      <c r="D2912" s="54">
        <v>133038.25</v>
      </c>
      <c r="E2912" s="54" t="str">
        <f t="shared" si="1"/>
        <v>₹1,596,459.00</v>
      </c>
      <c r="F2912" s="55" t="str">
        <f t="shared" si="2"/>
        <v>30.0%</v>
      </c>
      <c r="G2912" s="54" t="str">
        <f t="shared" si="3"/>
        <v>₹478,937.70</v>
      </c>
      <c r="H2912" s="54" t="str">
        <f t="shared" si="4"/>
        <v>₹39,911.48</v>
      </c>
      <c r="I2912" s="54" t="str">
        <f>115752.35-H2912</f>
        <v>₹75,840.88</v>
      </c>
    </row>
    <row r="2913" ht="15.75" customHeight="1">
      <c r="A2913" s="50" t="s">
        <v>2990</v>
      </c>
      <c r="B2913" s="50" t="s">
        <v>13</v>
      </c>
      <c r="C2913" s="50" t="s">
        <v>26</v>
      </c>
      <c r="D2913" s="51">
        <v>133061.42</v>
      </c>
      <c r="E2913" s="51" t="str">
        <f t="shared" si="1"/>
        <v>₹1,596,737.04</v>
      </c>
      <c r="F2913" s="52" t="str">
        <f t="shared" si="2"/>
        <v>30.0%</v>
      </c>
      <c r="G2913" s="51" t="str">
        <f t="shared" si="3"/>
        <v>₹479,021.11</v>
      </c>
      <c r="H2913" s="51" t="str">
        <f t="shared" si="4"/>
        <v>₹39,918.43</v>
      </c>
      <c r="I2913" s="51" t="str">
        <f>115772.12-H2913</f>
        <v>₹75,853.69</v>
      </c>
    </row>
    <row r="2914" ht="15.75" customHeight="1">
      <c r="A2914" s="53" t="s">
        <v>2991</v>
      </c>
      <c r="B2914" s="53" t="s">
        <v>51</v>
      </c>
      <c r="C2914" s="53" t="s">
        <v>37</v>
      </c>
      <c r="D2914" s="54">
        <v>133084.6</v>
      </c>
      <c r="E2914" s="54" t="str">
        <f t="shared" si="1"/>
        <v>₹1,597,015.20</v>
      </c>
      <c r="F2914" s="55" t="str">
        <f t="shared" si="2"/>
        <v>30.0%</v>
      </c>
      <c r="G2914" s="54" t="str">
        <f t="shared" si="3"/>
        <v>₹479,104.56</v>
      </c>
      <c r="H2914" s="54" t="str">
        <f t="shared" si="4"/>
        <v>₹39,925.38</v>
      </c>
      <c r="I2914" s="54" t="str">
        <f>115791.91-H2914</f>
        <v>₹75,866.53</v>
      </c>
    </row>
    <row r="2915" ht="15.75" customHeight="1">
      <c r="A2915" s="50" t="s">
        <v>2992</v>
      </c>
      <c r="B2915" s="50" t="s">
        <v>36</v>
      </c>
      <c r="C2915" s="50" t="s">
        <v>33</v>
      </c>
      <c r="D2915" s="51">
        <v>133107.78</v>
      </c>
      <c r="E2915" s="51" t="str">
        <f t="shared" si="1"/>
        <v>₹1,597,293.36</v>
      </c>
      <c r="F2915" s="52" t="str">
        <f t="shared" si="2"/>
        <v>30.0%</v>
      </c>
      <c r="G2915" s="51" t="str">
        <f t="shared" si="3"/>
        <v>₹479,188.01</v>
      </c>
      <c r="H2915" s="51" t="str">
        <f t="shared" si="4"/>
        <v>₹39,932.33</v>
      </c>
      <c r="I2915" s="51" t="str">
        <f>115811.69-H2915</f>
        <v>₹75,879.36</v>
      </c>
    </row>
    <row r="2916" ht="15.75" customHeight="1">
      <c r="A2916" s="53" t="s">
        <v>2993</v>
      </c>
      <c r="B2916" s="53" t="s">
        <v>29</v>
      </c>
      <c r="C2916" s="53" t="s">
        <v>33</v>
      </c>
      <c r="D2916" s="54">
        <v>133130.96</v>
      </c>
      <c r="E2916" s="54" t="str">
        <f t="shared" si="1"/>
        <v>₹1,597,571.52</v>
      </c>
      <c r="F2916" s="55" t="str">
        <f t="shared" si="2"/>
        <v>30.0%</v>
      </c>
      <c r="G2916" s="54" t="str">
        <f t="shared" si="3"/>
        <v>₹479,271.46</v>
      </c>
      <c r="H2916" s="54" t="str">
        <f t="shared" si="4"/>
        <v>₹39,939.29</v>
      </c>
      <c r="I2916" s="54" t="str">
        <f>115831.47-H2916</f>
        <v>₹75,892.18</v>
      </c>
    </row>
    <row r="2917" ht="15.75" customHeight="1">
      <c r="A2917" s="50" t="s">
        <v>2994</v>
      </c>
      <c r="B2917" s="50" t="s">
        <v>53</v>
      </c>
      <c r="C2917" s="50" t="s">
        <v>14</v>
      </c>
      <c r="D2917" s="51">
        <v>133154.13</v>
      </c>
      <c r="E2917" s="51" t="str">
        <f t="shared" si="1"/>
        <v>₹1,597,849.56</v>
      </c>
      <c r="F2917" s="52" t="str">
        <f t="shared" si="2"/>
        <v>30.0%</v>
      </c>
      <c r="G2917" s="51" t="str">
        <f t="shared" si="3"/>
        <v>₹479,354.87</v>
      </c>
      <c r="H2917" s="51" t="str">
        <f t="shared" si="4"/>
        <v>₹39,946.24</v>
      </c>
      <c r="I2917" s="51" t="str">
        <f>115851.24-H2917</f>
        <v>₹75,905.00</v>
      </c>
    </row>
    <row r="2918" ht="15.75" customHeight="1">
      <c r="A2918" s="53" t="s">
        <v>2995</v>
      </c>
      <c r="B2918" s="53" t="s">
        <v>25</v>
      </c>
      <c r="C2918" s="53" t="s">
        <v>37</v>
      </c>
      <c r="D2918" s="54">
        <v>133177.31</v>
      </c>
      <c r="E2918" s="54" t="str">
        <f t="shared" si="1"/>
        <v>₹1,598,127.72</v>
      </c>
      <c r="F2918" s="55" t="str">
        <f t="shared" si="2"/>
        <v>30.0%</v>
      </c>
      <c r="G2918" s="54" t="str">
        <f t="shared" si="3"/>
        <v>₹479,438.32</v>
      </c>
      <c r="H2918" s="54" t="str">
        <f t="shared" si="4"/>
        <v>₹39,953.19</v>
      </c>
      <c r="I2918" s="54" t="str">
        <f>115871.03-H2918</f>
        <v>₹75,917.84</v>
      </c>
    </row>
    <row r="2919" ht="15.75" customHeight="1">
      <c r="A2919" s="50" t="s">
        <v>2996</v>
      </c>
      <c r="B2919" s="50" t="s">
        <v>51</v>
      </c>
      <c r="C2919" s="50" t="s">
        <v>26</v>
      </c>
      <c r="D2919" s="51">
        <v>133200.49</v>
      </c>
      <c r="E2919" s="51" t="str">
        <f t="shared" si="1"/>
        <v>₹1,598,405.88</v>
      </c>
      <c r="F2919" s="52" t="str">
        <f t="shared" si="2"/>
        <v>30.0%</v>
      </c>
      <c r="G2919" s="51" t="str">
        <f t="shared" si="3"/>
        <v>₹479,521.76</v>
      </c>
      <c r="H2919" s="51" t="str">
        <f t="shared" si="4"/>
        <v>₹39,960.15</v>
      </c>
      <c r="I2919" s="51" t="str">
        <f>115890.81-H2919</f>
        <v>₹75,930.66</v>
      </c>
    </row>
    <row r="2920" ht="15.75" customHeight="1">
      <c r="A2920" s="53" t="s">
        <v>2997</v>
      </c>
      <c r="B2920" s="53" t="s">
        <v>17</v>
      </c>
      <c r="C2920" s="53" t="s">
        <v>26</v>
      </c>
      <c r="D2920" s="54">
        <v>133223.67</v>
      </c>
      <c r="E2920" s="54" t="str">
        <f t="shared" si="1"/>
        <v>₹1,598,684.04</v>
      </c>
      <c r="F2920" s="55" t="str">
        <f t="shared" si="2"/>
        <v>30.0%</v>
      </c>
      <c r="G2920" s="54" t="str">
        <f t="shared" si="3"/>
        <v>₹479,605.21</v>
      </c>
      <c r="H2920" s="54" t="str">
        <f t="shared" si="4"/>
        <v>₹39,967.10</v>
      </c>
      <c r="I2920" s="54" t="str">
        <f>115910.59-H2920</f>
        <v>₹75,943.49</v>
      </c>
    </row>
    <row r="2921" ht="15.75" customHeight="1">
      <c r="A2921" s="50" t="s">
        <v>2998</v>
      </c>
      <c r="B2921" s="50" t="s">
        <v>36</v>
      </c>
      <c r="C2921" s="50" t="s">
        <v>18</v>
      </c>
      <c r="D2921" s="51">
        <v>133246.84</v>
      </c>
      <c r="E2921" s="51" t="str">
        <f t="shared" si="1"/>
        <v>₹1,598,962.08</v>
      </c>
      <c r="F2921" s="52" t="str">
        <f t="shared" si="2"/>
        <v>30.0%</v>
      </c>
      <c r="G2921" s="51" t="str">
        <f t="shared" si="3"/>
        <v>₹479,688.62</v>
      </c>
      <c r="H2921" s="51" t="str">
        <f t="shared" si="4"/>
        <v>₹39,974.05</v>
      </c>
      <c r="I2921" s="51" t="str">
        <f>115930.36-H2921</f>
        <v>₹75,956.31</v>
      </c>
    </row>
    <row r="2922" ht="15.75" customHeight="1">
      <c r="A2922" s="53" t="s">
        <v>2999</v>
      </c>
      <c r="B2922" s="53" t="s">
        <v>51</v>
      </c>
      <c r="C2922" s="53" t="s">
        <v>14</v>
      </c>
      <c r="D2922" s="54">
        <v>133270.02</v>
      </c>
      <c r="E2922" s="54" t="str">
        <f t="shared" si="1"/>
        <v>₹1,599,240.24</v>
      </c>
      <c r="F2922" s="55" t="str">
        <f t="shared" si="2"/>
        <v>30.0%</v>
      </c>
      <c r="G2922" s="54" t="str">
        <f t="shared" si="3"/>
        <v>₹479,772.07</v>
      </c>
      <c r="H2922" s="54" t="str">
        <f t="shared" si="4"/>
        <v>₹39,981.01</v>
      </c>
      <c r="I2922" s="54" t="str">
        <f>115950.15-H2922</f>
        <v>₹75,969.14</v>
      </c>
    </row>
    <row r="2923" ht="15.75" customHeight="1">
      <c r="A2923" s="50" t="s">
        <v>3000</v>
      </c>
      <c r="B2923" s="50" t="s">
        <v>17</v>
      </c>
      <c r="C2923" s="50" t="s">
        <v>37</v>
      </c>
      <c r="D2923" s="51">
        <v>133293.2</v>
      </c>
      <c r="E2923" s="51" t="str">
        <f t="shared" si="1"/>
        <v>₹1,599,518.40</v>
      </c>
      <c r="F2923" s="52" t="str">
        <f t="shared" si="2"/>
        <v>30.0%</v>
      </c>
      <c r="G2923" s="51" t="str">
        <f t="shared" si="3"/>
        <v>₹479,855.52</v>
      </c>
      <c r="H2923" s="51" t="str">
        <f t="shared" si="4"/>
        <v>₹39,987.96</v>
      </c>
      <c r="I2923" s="51" t="str">
        <f>115969.93-H2923</f>
        <v>₹75,981.97</v>
      </c>
    </row>
    <row r="2924" ht="15.75" customHeight="1">
      <c r="A2924" s="53" t="s">
        <v>3001</v>
      </c>
      <c r="B2924" s="53" t="s">
        <v>36</v>
      </c>
      <c r="C2924" s="53" t="s">
        <v>26</v>
      </c>
      <c r="D2924" s="54">
        <v>133316.38</v>
      </c>
      <c r="E2924" s="54" t="str">
        <f t="shared" si="1"/>
        <v>₹1,599,796.56</v>
      </c>
      <c r="F2924" s="55" t="str">
        <f t="shared" si="2"/>
        <v>30.0%</v>
      </c>
      <c r="G2924" s="54" t="str">
        <f t="shared" si="3"/>
        <v>₹479,938.97</v>
      </c>
      <c r="H2924" s="54" t="str">
        <f t="shared" si="4"/>
        <v>₹39,994.91</v>
      </c>
      <c r="I2924" s="54" t="str">
        <f>115989.71-H2924</f>
        <v>₹75,994.80</v>
      </c>
    </row>
    <row r="2925" ht="15.75" customHeight="1">
      <c r="A2925" s="50" t="s">
        <v>3002</v>
      </c>
      <c r="B2925" s="50" t="s">
        <v>29</v>
      </c>
      <c r="C2925" s="50" t="s">
        <v>54</v>
      </c>
      <c r="D2925" s="51">
        <v>133339.56</v>
      </c>
      <c r="E2925" s="51" t="str">
        <f t="shared" si="1"/>
        <v>₹1,600,074.72</v>
      </c>
      <c r="F2925" s="52" t="str">
        <f t="shared" si="2"/>
        <v>30.0%</v>
      </c>
      <c r="G2925" s="51" t="str">
        <f t="shared" si="3"/>
        <v>₹480,022.42</v>
      </c>
      <c r="H2925" s="51" t="str">
        <f t="shared" si="4"/>
        <v>₹40,001.87</v>
      </c>
      <c r="I2925" s="51" t="str">
        <f>116009.49-H2925</f>
        <v>₹76,007.62</v>
      </c>
    </row>
    <row r="2926" ht="15.75" customHeight="1">
      <c r="A2926" s="53" t="s">
        <v>3003</v>
      </c>
      <c r="B2926" s="53" t="s">
        <v>51</v>
      </c>
      <c r="C2926" s="53" t="s">
        <v>37</v>
      </c>
      <c r="D2926" s="54">
        <v>133362.73</v>
      </c>
      <c r="E2926" s="54" t="str">
        <f t="shared" si="1"/>
        <v>₹1,600,352.76</v>
      </c>
      <c r="F2926" s="55" t="str">
        <f t="shared" si="2"/>
        <v>30.0%</v>
      </c>
      <c r="G2926" s="54" t="str">
        <f t="shared" si="3"/>
        <v>₹480,105.83</v>
      </c>
      <c r="H2926" s="54" t="str">
        <f t="shared" si="4"/>
        <v>₹40,008.82</v>
      </c>
      <c r="I2926" s="54" t="str">
        <f>116029.27-H2926</f>
        <v>₹76,020.45</v>
      </c>
    </row>
    <row r="2927" ht="15.75" customHeight="1">
      <c r="A2927" s="50" t="s">
        <v>3004</v>
      </c>
      <c r="B2927" s="50" t="s">
        <v>13</v>
      </c>
      <c r="C2927" s="50" t="s">
        <v>26</v>
      </c>
      <c r="D2927" s="51">
        <v>133385.91</v>
      </c>
      <c r="E2927" s="51" t="str">
        <f t="shared" si="1"/>
        <v>₹1,600,630.92</v>
      </c>
      <c r="F2927" s="52" t="str">
        <f t="shared" si="2"/>
        <v>30.0%</v>
      </c>
      <c r="G2927" s="51" t="str">
        <f t="shared" si="3"/>
        <v>₹480,189.28</v>
      </c>
      <c r="H2927" s="51" t="str">
        <f t="shared" si="4"/>
        <v>₹40,015.77</v>
      </c>
      <c r="I2927" s="51" t="str">
        <f>116049.05-H2927</f>
        <v>₹76,033.28</v>
      </c>
    </row>
    <row r="2928" ht="15.75" customHeight="1">
      <c r="A2928" s="53" t="s">
        <v>3005</v>
      </c>
      <c r="B2928" s="53" t="s">
        <v>13</v>
      </c>
      <c r="C2928" s="53" t="s">
        <v>30</v>
      </c>
      <c r="D2928" s="54">
        <v>133409.09</v>
      </c>
      <c r="E2928" s="54" t="str">
        <f t="shared" si="1"/>
        <v>₹1,600,909.08</v>
      </c>
      <c r="F2928" s="55" t="str">
        <f t="shared" si="2"/>
        <v>30.0%</v>
      </c>
      <c r="G2928" s="54" t="str">
        <f t="shared" si="3"/>
        <v>₹480,272.72</v>
      </c>
      <c r="H2928" s="54" t="str">
        <f t="shared" si="4"/>
        <v>₹40,022.73</v>
      </c>
      <c r="I2928" s="54" t="str">
        <f>116068.83-H2928</f>
        <v>₹76,046.10</v>
      </c>
    </row>
    <row r="2929" ht="15.75" customHeight="1">
      <c r="A2929" s="50" t="s">
        <v>3006</v>
      </c>
      <c r="B2929" s="50" t="s">
        <v>25</v>
      </c>
      <c r="C2929" s="50" t="s">
        <v>33</v>
      </c>
      <c r="D2929" s="51">
        <v>133432.27</v>
      </c>
      <c r="E2929" s="51" t="str">
        <f t="shared" si="1"/>
        <v>₹1,601,187.24</v>
      </c>
      <c r="F2929" s="52" t="str">
        <f t="shared" si="2"/>
        <v>30.0%</v>
      </c>
      <c r="G2929" s="51" t="str">
        <f t="shared" si="3"/>
        <v>₹480,356.17</v>
      </c>
      <c r="H2929" s="51" t="str">
        <f t="shared" si="4"/>
        <v>₹40,029.68</v>
      </c>
      <c r="I2929" s="51" t="str">
        <f>116088.61-H2929</f>
        <v>₹76,058.93</v>
      </c>
    </row>
    <row r="2930" ht="15.75" customHeight="1">
      <c r="A2930" s="53" t="s">
        <v>3007</v>
      </c>
      <c r="B2930" s="53" t="s">
        <v>51</v>
      </c>
      <c r="C2930" s="53" t="s">
        <v>18</v>
      </c>
      <c r="D2930" s="54">
        <v>133478.62</v>
      </c>
      <c r="E2930" s="54" t="str">
        <f t="shared" si="1"/>
        <v>₹1,601,743.44</v>
      </c>
      <c r="F2930" s="55" t="str">
        <f t="shared" si="2"/>
        <v>30.0%</v>
      </c>
      <c r="G2930" s="54" t="str">
        <f t="shared" si="3"/>
        <v>₹480,523.03</v>
      </c>
      <c r="H2930" s="54" t="str">
        <f t="shared" si="4"/>
        <v>₹40,043.59</v>
      </c>
      <c r="I2930" s="54" t="str">
        <f>116128.17-H2930</f>
        <v>₹76,084.58</v>
      </c>
    </row>
    <row r="2931" ht="15.75" customHeight="1">
      <c r="A2931" s="50" t="s">
        <v>3008</v>
      </c>
      <c r="B2931" s="50" t="s">
        <v>29</v>
      </c>
      <c r="C2931" s="50" t="s">
        <v>26</v>
      </c>
      <c r="D2931" s="51">
        <v>133501.8</v>
      </c>
      <c r="E2931" s="51" t="str">
        <f t="shared" si="1"/>
        <v>₹1,602,021.60</v>
      </c>
      <c r="F2931" s="52" t="str">
        <f t="shared" si="2"/>
        <v>30.0%</v>
      </c>
      <c r="G2931" s="51" t="str">
        <f t="shared" si="3"/>
        <v>₹480,606.48</v>
      </c>
      <c r="H2931" s="51" t="str">
        <f t="shared" si="4"/>
        <v>₹40,050.54</v>
      </c>
      <c r="I2931" s="51" t="str">
        <f>116147.95-H2931</f>
        <v>₹76,097.41</v>
      </c>
    </row>
    <row r="2932" ht="15.75" customHeight="1">
      <c r="A2932" s="53" t="s">
        <v>3009</v>
      </c>
      <c r="B2932" s="53" t="s">
        <v>17</v>
      </c>
      <c r="C2932" s="53" t="s">
        <v>18</v>
      </c>
      <c r="D2932" s="54">
        <v>133524.98</v>
      </c>
      <c r="E2932" s="54" t="str">
        <f t="shared" si="1"/>
        <v>₹1,602,299.76</v>
      </c>
      <c r="F2932" s="55" t="str">
        <f t="shared" si="2"/>
        <v>30.0%</v>
      </c>
      <c r="G2932" s="54" t="str">
        <f t="shared" si="3"/>
        <v>₹480,689.93</v>
      </c>
      <c r="H2932" s="54" t="str">
        <f t="shared" si="4"/>
        <v>₹40,057.49</v>
      </c>
      <c r="I2932" s="54" t="str">
        <f>116167.73-H2932</f>
        <v>₹76,110.24</v>
      </c>
    </row>
    <row r="2933" ht="15.75" customHeight="1">
      <c r="A2933" s="50" t="s">
        <v>3010</v>
      </c>
      <c r="B2933" s="50" t="s">
        <v>53</v>
      </c>
      <c r="C2933" s="50" t="s">
        <v>14</v>
      </c>
      <c r="D2933" s="51">
        <v>133548.15</v>
      </c>
      <c r="E2933" s="51" t="str">
        <f t="shared" si="1"/>
        <v>₹1,602,577.80</v>
      </c>
      <c r="F2933" s="52" t="str">
        <f t="shared" si="2"/>
        <v>30.0%</v>
      </c>
      <c r="G2933" s="51" t="str">
        <f t="shared" si="3"/>
        <v>₹480,773.34</v>
      </c>
      <c r="H2933" s="51" t="str">
        <f t="shared" si="4"/>
        <v>₹40,064.45</v>
      </c>
      <c r="I2933" s="51" t="str">
        <f>116187.51-H2933</f>
        <v>₹76,123.07</v>
      </c>
    </row>
    <row r="2934" ht="15.75" customHeight="1">
      <c r="A2934" s="53" t="s">
        <v>3011</v>
      </c>
      <c r="B2934" s="53" t="s">
        <v>25</v>
      </c>
      <c r="C2934" s="53" t="s">
        <v>33</v>
      </c>
      <c r="D2934" s="54">
        <v>133571.33</v>
      </c>
      <c r="E2934" s="54" t="str">
        <f t="shared" si="1"/>
        <v>₹1,602,855.96</v>
      </c>
      <c r="F2934" s="55" t="str">
        <f t="shared" si="2"/>
        <v>30.0%</v>
      </c>
      <c r="G2934" s="54" t="str">
        <f t="shared" si="3"/>
        <v>₹480,856.79</v>
      </c>
      <c r="H2934" s="54" t="str">
        <f t="shared" si="4"/>
        <v>₹40,071.40</v>
      </c>
      <c r="I2934" s="54" t="str">
        <f>116207.29-H2934</f>
        <v>₹76,135.89</v>
      </c>
    </row>
    <row r="2935" ht="15.75" customHeight="1">
      <c r="A2935" s="50" t="s">
        <v>3012</v>
      </c>
      <c r="B2935" s="50" t="s">
        <v>25</v>
      </c>
      <c r="C2935" s="50" t="s">
        <v>30</v>
      </c>
      <c r="D2935" s="51">
        <v>133594.51</v>
      </c>
      <c r="E2935" s="51" t="str">
        <f t="shared" si="1"/>
        <v>₹1,603,134.12</v>
      </c>
      <c r="F2935" s="52" t="str">
        <f t="shared" si="2"/>
        <v>30.0%</v>
      </c>
      <c r="G2935" s="51" t="str">
        <f t="shared" si="3"/>
        <v>₹480,940.24</v>
      </c>
      <c r="H2935" s="51" t="str">
        <f t="shared" si="4"/>
        <v>₹40,078.35</v>
      </c>
      <c r="I2935" s="51" t="str">
        <f>116227.07-H2935</f>
        <v>₹76,148.72</v>
      </c>
    </row>
    <row r="2936" ht="15.75" customHeight="1">
      <c r="A2936" s="53" t="s">
        <v>3013</v>
      </c>
      <c r="B2936" s="53" t="s">
        <v>13</v>
      </c>
      <c r="C2936" s="53" t="s">
        <v>54</v>
      </c>
      <c r="D2936" s="54">
        <v>133617.69</v>
      </c>
      <c r="E2936" s="54" t="str">
        <f t="shared" si="1"/>
        <v>₹1,603,412.28</v>
      </c>
      <c r="F2936" s="55" t="str">
        <f t="shared" si="2"/>
        <v>30.0%</v>
      </c>
      <c r="G2936" s="54" t="str">
        <f t="shared" si="3"/>
        <v>₹481,023.68</v>
      </c>
      <c r="H2936" s="54" t="str">
        <f t="shared" si="4"/>
        <v>₹40,085.31</v>
      </c>
      <c r="I2936" s="54" t="str">
        <f>116246.85-H2936</f>
        <v>₹76,161.54</v>
      </c>
    </row>
    <row r="2937" ht="15.75" customHeight="1">
      <c r="A2937" s="50" t="s">
        <v>3014</v>
      </c>
      <c r="B2937" s="50" t="s">
        <v>17</v>
      </c>
      <c r="C2937" s="50" t="s">
        <v>54</v>
      </c>
      <c r="D2937" s="51">
        <v>133640.87</v>
      </c>
      <c r="E2937" s="51" t="str">
        <f t="shared" si="1"/>
        <v>₹1,603,690.44</v>
      </c>
      <c r="F2937" s="52" t="str">
        <f t="shared" si="2"/>
        <v>30.0%</v>
      </c>
      <c r="G2937" s="51" t="str">
        <f t="shared" si="3"/>
        <v>₹481,107.13</v>
      </c>
      <c r="H2937" s="51" t="str">
        <f t="shared" si="4"/>
        <v>₹40,092.26</v>
      </c>
      <c r="I2937" s="51" t="str">
        <f>116266.63-H2937</f>
        <v>₹76,174.37</v>
      </c>
    </row>
    <row r="2938" ht="15.75" customHeight="1">
      <c r="A2938" s="53" t="s">
        <v>3015</v>
      </c>
      <c r="B2938" s="53" t="s">
        <v>51</v>
      </c>
      <c r="C2938" s="53" t="s">
        <v>33</v>
      </c>
      <c r="D2938" s="54">
        <v>133664.04</v>
      </c>
      <c r="E2938" s="54" t="str">
        <f t="shared" si="1"/>
        <v>₹1,603,968.48</v>
      </c>
      <c r="F2938" s="55" t="str">
        <f t="shared" si="2"/>
        <v>30.0%</v>
      </c>
      <c r="G2938" s="54" t="str">
        <f t="shared" si="3"/>
        <v>₹481,190.54</v>
      </c>
      <c r="H2938" s="54" t="str">
        <f t="shared" si="4"/>
        <v>₹40,099.21</v>
      </c>
      <c r="I2938" s="54" t="str">
        <f>116286.41-H2938</f>
        <v>₹76,187.20</v>
      </c>
    </row>
    <row r="2939" ht="15.75" customHeight="1">
      <c r="A2939" s="50" t="s">
        <v>3016</v>
      </c>
      <c r="B2939" s="50" t="s">
        <v>13</v>
      </c>
      <c r="C2939" s="50" t="s">
        <v>14</v>
      </c>
      <c r="D2939" s="51">
        <v>133687.22</v>
      </c>
      <c r="E2939" s="51" t="str">
        <f t="shared" si="1"/>
        <v>₹1,604,246.64</v>
      </c>
      <c r="F2939" s="52" t="str">
        <f t="shared" si="2"/>
        <v>30.0%</v>
      </c>
      <c r="G2939" s="51" t="str">
        <f t="shared" si="3"/>
        <v>₹481,273.99</v>
      </c>
      <c r="H2939" s="51" t="str">
        <f t="shared" si="4"/>
        <v>₹40,106.17</v>
      </c>
      <c r="I2939" s="51" t="str">
        <f>116306.19-H2939</f>
        <v>₹76,200.02</v>
      </c>
    </row>
    <row r="2940" ht="15.75" customHeight="1">
      <c r="A2940" s="53" t="s">
        <v>3017</v>
      </c>
      <c r="B2940" s="53" t="s">
        <v>51</v>
      </c>
      <c r="C2940" s="53" t="s">
        <v>26</v>
      </c>
      <c r="D2940" s="54">
        <v>133710.4</v>
      </c>
      <c r="E2940" s="54" t="str">
        <f t="shared" si="1"/>
        <v>₹1,604,524.80</v>
      </c>
      <c r="F2940" s="55" t="str">
        <f t="shared" si="2"/>
        <v>30.0%</v>
      </c>
      <c r="G2940" s="54" t="str">
        <f t="shared" si="3"/>
        <v>₹481,357.44</v>
      </c>
      <c r="H2940" s="54" t="str">
        <f t="shared" si="4"/>
        <v>₹40,113.12</v>
      </c>
      <c r="I2940" s="54" t="str">
        <f>116325.97-H2940</f>
        <v>₹76,212.85</v>
      </c>
    </row>
    <row r="2941" ht="15.75" customHeight="1">
      <c r="A2941" s="50" t="s">
        <v>3018</v>
      </c>
      <c r="B2941" s="50" t="s">
        <v>53</v>
      </c>
      <c r="C2941" s="50" t="s">
        <v>37</v>
      </c>
      <c r="D2941" s="51">
        <v>133756.75</v>
      </c>
      <c r="E2941" s="51" t="str">
        <f t="shared" si="1"/>
        <v>₹1,605,081.00</v>
      </c>
      <c r="F2941" s="52" t="str">
        <f t="shared" si="2"/>
        <v>30.0%</v>
      </c>
      <c r="G2941" s="51" t="str">
        <f t="shared" si="3"/>
        <v>₹481,524.30</v>
      </c>
      <c r="H2941" s="51" t="str">
        <f t="shared" si="4"/>
        <v>₹40,127.03</v>
      </c>
      <c r="I2941" s="51" t="str">
        <f>116365.53-H2941</f>
        <v>₹76,238.51</v>
      </c>
    </row>
    <row r="2942" ht="15.75" customHeight="1">
      <c r="A2942" s="53" t="s">
        <v>3019</v>
      </c>
      <c r="B2942" s="53" t="s">
        <v>17</v>
      </c>
      <c r="C2942" s="53" t="s">
        <v>18</v>
      </c>
      <c r="D2942" s="54">
        <v>133779.93</v>
      </c>
      <c r="E2942" s="54" t="str">
        <f t="shared" si="1"/>
        <v>₹1,605,359.16</v>
      </c>
      <c r="F2942" s="55" t="str">
        <f t="shared" si="2"/>
        <v>30.0%</v>
      </c>
      <c r="G2942" s="54" t="str">
        <f t="shared" si="3"/>
        <v>₹481,607.75</v>
      </c>
      <c r="H2942" s="54" t="str">
        <f t="shared" si="4"/>
        <v>₹40,133.98</v>
      </c>
      <c r="I2942" s="54" t="str">
        <f>116385.31-H2942</f>
        <v>₹76,251.33</v>
      </c>
    </row>
    <row r="2943" ht="15.75" customHeight="1">
      <c r="A2943" s="50" t="s">
        <v>3020</v>
      </c>
      <c r="B2943" s="50" t="s">
        <v>13</v>
      </c>
      <c r="C2943" s="50" t="s">
        <v>54</v>
      </c>
      <c r="D2943" s="51">
        <v>133803.11</v>
      </c>
      <c r="E2943" s="51" t="str">
        <f t="shared" si="1"/>
        <v>₹1,605,637.32</v>
      </c>
      <c r="F2943" s="52" t="str">
        <f t="shared" si="2"/>
        <v>30.0%</v>
      </c>
      <c r="G2943" s="51" t="str">
        <f t="shared" si="3"/>
        <v>₹481,691.20</v>
      </c>
      <c r="H2943" s="51" t="str">
        <f t="shared" si="4"/>
        <v>₹40,140.93</v>
      </c>
      <c r="I2943" s="51" t="str">
        <f>116405.09-H2943</f>
        <v>₹76,264.16</v>
      </c>
    </row>
    <row r="2944" ht="15.75" customHeight="1">
      <c r="A2944" s="53" t="s">
        <v>3021</v>
      </c>
      <c r="B2944" s="53" t="s">
        <v>25</v>
      </c>
      <c r="C2944" s="53" t="s">
        <v>33</v>
      </c>
      <c r="D2944" s="54">
        <v>133826.29</v>
      </c>
      <c r="E2944" s="54" t="str">
        <f t="shared" si="1"/>
        <v>₹1,605,915.48</v>
      </c>
      <c r="F2944" s="55" t="str">
        <f t="shared" si="2"/>
        <v>30.0%</v>
      </c>
      <c r="G2944" s="54" t="str">
        <f t="shared" si="3"/>
        <v>₹481,774.64</v>
      </c>
      <c r="H2944" s="54" t="str">
        <f t="shared" si="4"/>
        <v>₹40,147.89</v>
      </c>
      <c r="I2944" s="54" t="str">
        <f>116424.87-H2944</f>
        <v>₹76,276.98</v>
      </c>
    </row>
    <row r="2945" ht="15.75" customHeight="1">
      <c r="A2945" s="50" t="s">
        <v>3022</v>
      </c>
      <c r="B2945" s="50" t="s">
        <v>36</v>
      </c>
      <c r="C2945" s="50" t="s">
        <v>33</v>
      </c>
      <c r="D2945" s="51">
        <v>133849.46</v>
      </c>
      <c r="E2945" s="51" t="str">
        <f t="shared" si="1"/>
        <v>₹1,606,193.52</v>
      </c>
      <c r="F2945" s="52" t="str">
        <f t="shared" si="2"/>
        <v>30.0%</v>
      </c>
      <c r="G2945" s="51" t="str">
        <f t="shared" si="3"/>
        <v>₹481,858.06</v>
      </c>
      <c r="H2945" s="51" t="str">
        <f t="shared" si="4"/>
        <v>₹40,154.84</v>
      </c>
      <c r="I2945" s="51" t="str">
        <f>116444.65-H2945</f>
        <v>₹76,289.81</v>
      </c>
    </row>
    <row r="2946" ht="15.75" customHeight="1">
      <c r="A2946" s="53" t="s">
        <v>3023</v>
      </c>
      <c r="B2946" s="53" t="s">
        <v>29</v>
      </c>
      <c r="C2946" s="53" t="s">
        <v>33</v>
      </c>
      <c r="D2946" s="54">
        <v>133872.64</v>
      </c>
      <c r="E2946" s="54" t="str">
        <f t="shared" si="1"/>
        <v>₹1,606,471.68</v>
      </c>
      <c r="F2946" s="55" t="str">
        <f t="shared" si="2"/>
        <v>30.0%</v>
      </c>
      <c r="G2946" s="54" t="str">
        <f t="shared" si="3"/>
        <v>₹481,941.50</v>
      </c>
      <c r="H2946" s="54" t="str">
        <f t="shared" si="4"/>
        <v>₹40,161.79</v>
      </c>
      <c r="I2946" s="54" t="str">
        <f>116464.43-H2946</f>
        <v>₹76,302.64</v>
      </c>
    </row>
    <row r="2947" ht="15.75" customHeight="1">
      <c r="A2947" s="50" t="s">
        <v>3024</v>
      </c>
      <c r="B2947" s="50" t="s">
        <v>13</v>
      </c>
      <c r="C2947" s="50" t="s">
        <v>18</v>
      </c>
      <c r="D2947" s="51">
        <v>133895.82</v>
      </c>
      <c r="E2947" s="51" t="str">
        <f t="shared" si="1"/>
        <v>₹1,606,749.84</v>
      </c>
      <c r="F2947" s="52" t="str">
        <f t="shared" si="2"/>
        <v>30.0%</v>
      </c>
      <c r="G2947" s="51" t="str">
        <f t="shared" si="3"/>
        <v>₹482,024.95</v>
      </c>
      <c r="H2947" s="51" t="str">
        <f t="shared" si="4"/>
        <v>₹40,168.75</v>
      </c>
      <c r="I2947" s="51" t="str">
        <f>116484.21-H2947</f>
        <v>₹76,315.46</v>
      </c>
    </row>
    <row r="2948" ht="15.75" customHeight="1">
      <c r="A2948" s="53" t="s">
        <v>3025</v>
      </c>
      <c r="B2948" s="53" t="s">
        <v>53</v>
      </c>
      <c r="C2948" s="53" t="s">
        <v>30</v>
      </c>
      <c r="D2948" s="54">
        <v>133919.0</v>
      </c>
      <c r="E2948" s="54" t="str">
        <f t="shared" si="1"/>
        <v>₹1,607,028.00</v>
      </c>
      <c r="F2948" s="55" t="str">
        <f t="shared" si="2"/>
        <v>30.0%</v>
      </c>
      <c r="G2948" s="54" t="str">
        <f t="shared" si="3"/>
        <v>₹482,108.40</v>
      </c>
      <c r="H2948" s="54" t="str">
        <f t="shared" si="4"/>
        <v>₹40,175.70</v>
      </c>
      <c r="I2948" s="54" t="str">
        <f>116503.99-H2948</f>
        <v>₹76,328.29</v>
      </c>
    </row>
    <row r="2949" ht="15.75" customHeight="1">
      <c r="A2949" s="50" t="s">
        <v>3026</v>
      </c>
      <c r="B2949" s="50" t="s">
        <v>29</v>
      </c>
      <c r="C2949" s="50" t="s">
        <v>33</v>
      </c>
      <c r="D2949" s="51">
        <v>133942.18</v>
      </c>
      <c r="E2949" s="51" t="str">
        <f t="shared" si="1"/>
        <v>₹1,607,306.16</v>
      </c>
      <c r="F2949" s="52" t="str">
        <f t="shared" si="2"/>
        <v>30.0%</v>
      </c>
      <c r="G2949" s="51" t="str">
        <f t="shared" si="3"/>
        <v>₹482,191.85</v>
      </c>
      <c r="H2949" s="51" t="str">
        <f t="shared" si="4"/>
        <v>₹40,182.65</v>
      </c>
      <c r="I2949" s="51" t="str">
        <f>116523.78-H2949</f>
        <v>₹76,341.13</v>
      </c>
    </row>
    <row r="2950" ht="15.75" customHeight="1">
      <c r="A2950" s="53" t="s">
        <v>3027</v>
      </c>
      <c r="B2950" s="53" t="s">
        <v>13</v>
      </c>
      <c r="C2950" s="53" t="s">
        <v>37</v>
      </c>
      <c r="D2950" s="54">
        <v>133988.53</v>
      </c>
      <c r="E2950" s="54" t="str">
        <f t="shared" si="1"/>
        <v>₹1,607,862.36</v>
      </c>
      <c r="F2950" s="55" t="str">
        <f t="shared" si="2"/>
        <v>30.0%</v>
      </c>
      <c r="G2950" s="54" t="str">
        <f t="shared" si="3"/>
        <v>₹482,358.71</v>
      </c>
      <c r="H2950" s="54" t="str">
        <f t="shared" si="4"/>
        <v>₹40,196.56</v>
      </c>
      <c r="I2950" s="54" t="str">
        <f>116563.33-H2950</f>
        <v>₹76,366.77</v>
      </c>
    </row>
    <row r="2951" ht="15.75" customHeight="1">
      <c r="A2951" s="50" t="s">
        <v>3028</v>
      </c>
      <c r="B2951" s="50" t="s">
        <v>36</v>
      </c>
      <c r="C2951" s="50" t="s">
        <v>26</v>
      </c>
      <c r="D2951" s="51">
        <v>134011.71</v>
      </c>
      <c r="E2951" s="51" t="str">
        <f t="shared" si="1"/>
        <v>₹1,608,140.52</v>
      </c>
      <c r="F2951" s="52" t="str">
        <f t="shared" si="2"/>
        <v>30.0%</v>
      </c>
      <c r="G2951" s="51" t="str">
        <f t="shared" si="3"/>
        <v>₹482,442.16</v>
      </c>
      <c r="H2951" s="51" t="str">
        <f t="shared" si="4"/>
        <v>₹40,203.51</v>
      </c>
      <c r="I2951" s="51" t="str">
        <f>116583.11-H2951</f>
        <v>₹76,379.60</v>
      </c>
    </row>
    <row r="2952" ht="15.75" customHeight="1">
      <c r="A2952" s="53" t="s">
        <v>3029</v>
      </c>
      <c r="B2952" s="53" t="s">
        <v>25</v>
      </c>
      <c r="C2952" s="53" t="s">
        <v>54</v>
      </c>
      <c r="D2952" s="54">
        <v>134034.89</v>
      </c>
      <c r="E2952" s="54" t="str">
        <f t="shared" si="1"/>
        <v>₹1,608,418.68</v>
      </c>
      <c r="F2952" s="55" t="str">
        <f t="shared" si="2"/>
        <v>30.0%</v>
      </c>
      <c r="G2952" s="54" t="str">
        <f t="shared" si="3"/>
        <v>₹482,525.60</v>
      </c>
      <c r="H2952" s="54" t="str">
        <f t="shared" si="4"/>
        <v>₹40,210.47</v>
      </c>
      <c r="I2952" s="54" t="str">
        <f>116602.9-H2952</f>
        <v>₹76,392.43</v>
      </c>
    </row>
    <row r="2953" ht="15.75" customHeight="1">
      <c r="A2953" s="50" t="s">
        <v>3030</v>
      </c>
      <c r="B2953" s="50" t="s">
        <v>17</v>
      </c>
      <c r="C2953" s="50" t="s">
        <v>37</v>
      </c>
      <c r="D2953" s="51">
        <v>134058.06</v>
      </c>
      <c r="E2953" s="51" t="str">
        <f t="shared" si="1"/>
        <v>₹1,608,696.72</v>
      </c>
      <c r="F2953" s="52" t="str">
        <f t="shared" si="2"/>
        <v>30.0%</v>
      </c>
      <c r="G2953" s="51" t="str">
        <f t="shared" si="3"/>
        <v>₹482,609.02</v>
      </c>
      <c r="H2953" s="51" t="str">
        <f t="shared" si="4"/>
        <v>₹40,217.42</v>
      </c>
      <c r="I2953" s="51" t="str">
        <f>116622.67-H2953</f>
        <v>₹76,405.25</v>
      </c>
    </row>
    <row r="2954" ht="15.75" customHeight="1">
      <c r="A2954" s="53" t="s">
        <v>3031</v>
      </c>
      <c r="B2954" s="53" t="s">
        <v>53</v>
      </c>
      <c r="C2954" s="53" t="s">
        <v>18</v>
      </c>
      <c r="D2954" s="54">
        <v>134081.24</v>
      </c>
      <c r="E2954" s="54" t="str">
        <f t="shared" si="1"/>
        <v>₹1,608,974.88</v>
      </c>
      <c r="F2954" s="55" t="str">
        <f t="shared" si="2"/>
        <v>30.0%</v>
      </c>
      <c r="G2954" s="54" t="str">
        <f t="shared" si="3"/>
        <v>₹482,692.46</v>
      </c>
      <c r="H2954" s="54" t="str">
        <f t="shared" si="4"/>
        <v>₹40,224.37</v>
      </c>
      <c r="I2954" s="54" t="str">
        <f>116642.45-H2954</f>
        <v>₹76,418.08</v>
      </c>
    </row>
    <row r="2955" ht="15.75" customHeight="1">
      <c r="A2955" s="50" t="s">
        <v>3032</v>
      </c>
      <c r="B2955" s="50" t="s">
        <v>29</v>
      </c>
      <c r="C2955" s="50" t="s">
        <v>54</v>
      </c>
      <c r="D2955" s="51">
        <v>134104.42</v>
      </c>
      <c r="E2955" s="51" t="str">
        <f t="shared" si="1"/>
        <v>₹1,609,253.04</v>
      </c>
      <c r="F2955" s="52" t="str">
        <f t="shared" si="2"/>
        <v>30.0%</v>
      </c>
      <c r="G2955" s="51" t="str">
        <f t="shared" si="3"/>
        <v>₹482,775.91</v>
      </c>
      <c r="H2955" s="51" t="str">
        <f t="shared" si="4"/>
        <v>₹40,231.33</v>
      </c>
      <c r="I2955" s="51" t="str">
        <f>116662.23-H2955</f>
        <v>₹76,430.90</v>
      </c>
    </row>
    <row r="2956" ht="15.75" customHeight="1">
      <c r="A2956" s="53" t="s">
        <v>3033</v>
      </c>
      <c r="B2956" s="53" t="s">
        <v>29</v>
      </c>
      <c r="C2956" s="53" t="s">
        <v>30</v>
      </c>
      <c r="D2956" s="54">
        <v>134127.6</v>
      </c>
      <c r="E2956" s="54" t="str">
        <f t="shared" si="1"/>
        <v>₹1,609,531.20</v>
      </c>
      <c r="F2956" s="55" t="str">
        <f t="shared" si="2"/>
        <v>30.0%</v>
      </c>
      <c r="G2956" s="54" t="str">
        <f t="shared" si="3"/>
        <v>₹482,859.36</v>
      </c>
      <c r="H2956" s="54" t="str">
        <f t="shared" si="4"/>
        <v>₹40,238.28</v>
      </c>
      <c r="I2956" s="54" t="str">
        <f>116682.02-H2956</f>
        <v>₹76,443.74</v>
      </c>
    </row>
    <row r="2957" ht="15.75" customHeight="1">
      <c r="A2957" s="50" t="s">
        <v>3034</v>
      </c>
      <c r="B2957" s="50" t="s">
        <v>51</v>
      </c>
      <c r="C2957" s="50" t="s">
        <v>18</v>
      </c>
      <c r="D2957" s="51">
        <v>134150.77</v>
      </c>
      <c r="E2957" s="51" t="str">
        <f t="shared" si="1"/>
        <v>₹1,609,809.24</v>
      </c>
      <c r="F2957" s="52" t="str">
        <f t="shared" si="2"/>
        <v>30.0%</v>
      </c>
      <c r="G2957" s="51" t="str">
        <f t="shared" si="3"/>
        <v>₹482,942.77</v>
      </c>
      <c r="H2957" s="51" t="str">
        <f t="shared" si="4"/>
        <v>₹40,245.23</v>
      </c>
      <c r="I2957" s="51" t="str">
        <f>116701.79-H2957</f>
        <v>₹76,456.56</v>
      </c>
    </row>
    <row r="2958" ht="15.75" customHeight="1">
      <c r="A2958" s="53" t="s">
        <v>3035</v>
      </c>
      <c r="B2958" s="53" t="s">
        <v>53</v>
      </c>
      <c r="C2958" s="53" t="s">
        <v>33</v>
      </c>
      <c r="D2958" s="54">
        <v>134173.95</v>
      </c>
      <c r="E2958" s="54" t="str">
        <f t="shared" si="1"/>
        <v>₹1,610,087.40</v>
      </c>
      <c r="F2958" s="55" t="str">
        <f t="shared" si="2"/>
        <v>30.0%</v>
      </c>
      <c r="G2958" s="54" t="str">
        <f t="shared" si="3"/>
        <v>₹483,026.22</v>
      </c>
      <c r="H2958" s="54" t="str">
        <f t="shared" si="4"/>
        <v>₹40,252.19</v>
      </c>
      <c r="I2958" s="54" t="str">
        <f>116721.57-H2958</f>
        <v>₹76,469.39</v>
      </c>
    </row>
    <row r="2959" ht="15.75" customHeight="1">
      <c r="A2959" s="50" t="s">
        <v>3036</v>
      </c>
      <c r="B2959" s="50" t="s">
        <v>53</v>
      </c>
      <c r="C2959" s="50" t="s">
        <v>14</v>
      </c>
      <c r="D2959" s="51">
        <v>134197.13</v>
      </c>
      <c r="E2959" s="51" t="str">
        <f t="shared" si="1"/>
        <v>₹1,610,365.56</v>
      </c>
      <c r="F2959" s="52" t="str">
        <f t="shared" si="2"/>
        <v>30.0%</v>
      </c>
      <c r="G2959" s="51" t="str">
        <f t="shared" si="3"/>
        <v>₹483,109.67</v>
      </c>
      <c r="H2959" s="51" t="str">
        <f t="shared" si="4"/>
        <v>₹40,259.14</v>
      </c>
      <c r="I2959" s="51" t="str">
        <f>116741.35-H2959</f>
        <v>₹76,482.21</v>
      </c>
    </row>
    <row r="2960" ht="15.75" customHeight="1">
      <c r="A2960" s="53" t="s">
        <v>3037</v>
      </c>
      <c r="B2960" s="53" t="s">
        <v>17</v>
      </c>
      <c r="C2960" s="53" t="s">
        <v>26</v>
      </c>
      <c r="D2960" s="54">
        <v>134220.31</v>
      </c>
      <c r="E2960" s="54" t="str">
        <f t="shared" si="1"/>
        <v>₹1,610,643.72</v>
      </c>
      <c r="F2960" s="55" t="str">
        <f t="shared" si="2"/>
        <v>30.0%</v>
      </c>
      <c r="G2960" s="54" t="str">
        <f t="shared" si="3"/>
        <v>₹483,193.12</v>
      </c>
      <c r="H2960" s="54" t="str">
        <f t="shared" si="4"/>
        <v>₹40,266.09</v>
      </c>
      <c r="I2960" s="54" t="str">
        <f>116761.14-H2960</f>
        <v>₹76,495.05</v>
      </c>
    </row>
    <row r="2961" ht="15.75" customHeight="1">
      <c r="A2961" s="50" t="s">
        <v>3038</v>
      </c>
      <c r="B2961" s="50" t="s">
        <v>25</v>
      </c>
      <c r="C2961" s="50" t="s">
        <v>14</v>
      </c>
      <c r="D2961" s="51">
        <v>134243.49</v>
      </c>
      <c r="E2961" s="51" t="str">
        <f t="shared" si="1"/>
        <v>₹1,610,921.88</v>
      </c>
      <c r="F2961" s="52" t="str">
        <f t="shared" si="2"/>
        <v>30.0%</v>
      </c>
      <c r="G2961" s="51" t="str">
        <f t="shared" si="3"/>
        <v>₹483,276.56</v>
      </c>
      <c r="H2961" s="51" t="str">
        <f t="shared" si="4"/>
        <v>₹40,273.05</v>
      </c>
      <c r="I2961" s="51" t="str">
        <f>116780.92-H2961</f>
        <v>₹76,507.87</v>
      </c>
    </row>
    <row r="2962" ht="15.75" customHeight="1">
      <c r="A2962" s="53" t="s">
        <v>3039</v>
      </c>
      <c r="B2962" s="53" t="s">
        <v>51</v>
      </c>
      <c r="C2962" s="53" t="s">
        <v>33</v>
      </c>
      <c r="D2962" s="54">
        <v>134266.66</v>
      </c>
      <c r="E2962" s="54" t="str">
        <f t="shared" si="1"/>
        <v>₹1,611,199.92</v>
      </c>
      <c r="F2962" s="55" t="str">
        <f t="shared" si="2"/>
        <v>30.0%</v>
      </c>
      <c r="G2962" s="54" t="str">
        <f t="shared" si="3"/>
        <v>₹483,359.98</v>
      </c>
      <c r="H2962" s="54" t="str">
        <f t="shared" si="4"/>
        <v>₹40,280.00</v>
      </c>
      <c r="I2962" s="54" t="str">
        <f>116800.69-H2962</f>
        <v>₹76,520.69</v>
      </c>
    </row>
    <row r="2963" ht="15.75" customHeight="1">
      <c r="A2963" s="50" t="s">
        <v>3040</v>
      </c>
      <c r="B2963" s="50" t="s">
        <v>36</v>
      </c>
      <c r="C2963" s="50" t="s">
        <v>37</v>
      </c>
      <c r="D2963" s="51">
        <v>134313.02</v>
      </c>
      <c r="E2963" s="51" t="str">
        <f t="shared" si="1"/>
        <v>₹1,611,756.24</v>
      </c>
      <c r="F2963" s="52" t="str">
        <f t="shared" si="2"/>
        <v>30.0%</v>
      </c>
      <c r="G2963" s="51" t="str">
        <f t="shared" si="3"/>
        <v>₹483,526.87</v>
      </c>
      <c r="H2963" s="51" t="str">
        <f t="shared" si="4"/>
        <v>₹40,293.91</v>
      </c>
      <c r="I2963" s="51" t="str">
        <f>116840.26-H2963</f>
        <v>₹76,546.35</v>
      </c>
    </row>
    <row r="2964" ht="15.75" customHeight="1">
      <c r="A2964" s="53" t="s">
        <v>3041</v>
      </c>
      <c r="B2964" s="53" t="s">
        <v>51</v>
      </c>
      <c r="C2964" s="53" t="s">
        <v>30</v>
      </c>
      <c r="D2964" s="54">
        <v>134336.2</v>
      </c>
      <c r="E2964" s="54" t="str">
        <f t="shared" si="1"/>
        <v>₹1,612,034.40</v>
      </c>
      <c r="F2964" s="55" t="str">
        <f t="shared" si="2"/>
        <v>30.0%</v>
      </c>
      <c r="G2964" s="54" t="str">
        <f t="shared" si="3"/>
        <v>₹483,610.32</v>
      </c>
      <c r="H2964" s="54" t="str">
        <f t="shared" si="4"/>
        <v>₹40,300.86</v>
      </c>
      <c r="I2964" s="54" t="str">
        <f>116860.04-H2964</f>
        <v>₹76,559.18</v>
      </c>
    </row>
    <row r="2965" ht="15.75" customHeight="1">
      <c r="A2965" s="50" t="s">
        <v>3042</v>
      </c>
      <c r="B2965" s="50" t="s">
        <v>25</v>
      </c>
      <c r="C2965" s="50" t="s">
        <v>26</v>
      </c>
      <c r="D2965" s="51">
        <v>134359.37</v>
      </c>
      <c r="E2965" s="51" t="str">
        <f t="shared" si="1"/>
        <v>₹1,612,312.44</v>
      </c>
      <c r="F2965" s="52" t="str">
        <f t="shared" si="2"/>
        <v>30.0%</v>
      </c>
      <c r="G2965" s="51" t="str">
        <f t="shared" si="3"/>
        <v>₹483,693.73</v>
      </c>
      <c r="H2965" s="51" t="str">
        <f t="shared" si="4"/>
        <v>₹40,307.81</v>
      </c>
      <c r="I2965" s="51" t="str">
        <f>116879.81-H2965</f>
        <v>₹76,572.00</v>
      </c>
    </row>
    <row r="2966" ht="15.75" customHeight="1">
      <c r="A2966" s="53" t="s">
        <v>3043</v>
      </c>
      <c r="B2966" s="53" t="s">
        <v>25</v>
      </c>
      <c r="C2966" s="53" t="s">
        <v>18</v>
      </c>
      <c r="D2966" s="54">
        <v>134405.73</v>
      </c>
      <c r="E2966" s="54" t="str">
        <f t="shared" si="1"/>
        <v>₹1,612,868.76</v>
      </c>
      <c r="F2966" s="55" t="str">
        <f t="shared" si="2"/>
        <v>30.0%</v>
      </c>
      <c r="G2966" s="54" t="str">
        <f t="shared" si="3"/>
        <v>₹483,860.63</v>
      </c>
      <c r="H2966" s="54" t="str">
        <f t="shared" si="4"/>
        <v>₹40,321.72</v>
      </c>
      <c r="I2966" s="54" t="str">
        <f>116919.38-H2966</f>
        <v>₹76,597.66</v>
      </c>
    </row>
    <row r="2967" ht="15.75" customHeight="1">
      <c r="A2967" s="50" t="s">
        <v>3044</v>
      </c>
      <c r="B2967" s="50" t="s">
        <v>17</v>
      </c>
      <c r="C2967" s="50" t="s">
        <v>14</v>
      </c>
      <c r="D2967" s="51">
        <v>134428.91</v>
      </c>
      <c r="E2967" s="51" t="str">
        <f t="shared" si="1"/>
        <v>₹1,613,146.92</v>
      </c>
      <c r="F2967" s="52" t="str">
        <f t="shared" si="2"/>
        <v>30.0%</v>
      </c>
      <c r="G2967" s="51" t="str">
        <f t="shared" si="3"/>
        <v>₹483,944.08</v>
      </c>
      <c r="H2967" s="51" t="str">
        <f t="shared" si="4"/>
        <v>₹40,328.67</v>
      </c>
      <c r="I2967" s="51" t="str">
        <f>116939.16-H2967</f>
        <v>₹76,610.49</v>
      </c>
    </row>
    <row r="2968" ht="15.75" customHeight="1">
      <c r="A2968" s="53" t="s">
        <v>3045</v>
      </c>
      <c r="B2968" s="53" t="s">
        <v>17</v>
      </c>
      <c r="C2968" s="53" t="s">
        <v>30</v>
      </c>
      <c r="D2968" s="54">
        <v>134452.08</v>
      </c>
      <c r="E2968" s="54" t="str">
        <f t="shared" si="1"/>
        <v>₹1,613,424.96</v>
      </c>
      <c r="F2968" s="55" t="str">
        <f t="shared" si="2"/>
        <v>30.0%</v>
      </c>
      <c r="G2968" s="54" t="str">
        <f t="shared" si="3"/>
        <v>₹484,027.49</v>
      </c>
      <c r="H2968" s="54" t="str">
        <f t="shared" si="4"/>
        <v>₹40,335.62</v>
      </c>
      <c r="I2968" s="54" t="str">
        <f>116958.93-H2968</f>
        <v>₹76,623.31</v>
      </c>
    </row>
    <row r="2969" ht="15.75" customHeight="1">
      <c r="A2969" s="50" t="s">
        <v>3046</v>
      </c>
      <c r="B2969" s="50" t="s">
        <v>36</v>
      </c>
      <c r="C2969" s="50" t="s">
        <v>30</v>
      </c>
      <c r="D2969" s="51">
        <v>134475.26</v>
      </c>
      <c r="E2969" s="51" t="str">
        <f t="shared" si="1"/>
        <v>₹1,613,703.12</v>
      </c>
      <c r="F2969" s="52" t="str">
        <f t="shared" si="2"/>
        <v>30.0%</v>
      </c>
      <c r="G2969" s="51" t="str">
        <f t="shared" si="3"/>
        <v>₹484,110.94</v>
      </c>
      <c r="H2969" s="51" t="str">
        <f t="shared" si="4"/>
        <v>₹40,342.58</v>
      </c>
      <c r="I2969" s="51" t="str">
        <f>116978.71-H2969</f>
        <v>₹76,636.13</v>
      </c>
    </row>
    <row r="2970" ht="15.75" customHeight="1">
      <c r="A2970" s="53" t="s">
        <v>3047</v>
      </c>
      <c r="B2970" s="53" t="s">
        <v>36</v>
      </c>
      <c r="C2970" s="53" t="s">
        <v>37</v>
      </c>
      <c r="D2970" s="54">
        <v>134498.44</v>
      </c>
      <c r="E2970" s="54" t="str">
        <f t="shared" si="1"/>
        <v>₹1,613,981.28</v>
      </c>
      <c r="F2970" s="55" t="str">
        <f t="shared" si="2"/>
        <v>30.0%</v>
      </c>
      <c r="G2970" s="54" t="str">
        <f t="shared" si="3"/>
        <v>₹484,194.38</v>
      </c>
      <c r="H2970" s="54" t="str">
        <f t="shared" si="4"/>
        <v>₹40,349.53</v>
      </c>
      <c r="I2970" s="54" t="str">
        <f>116998.5-H2970</f>
        <v>₹76,648.97</v>
      </c>
    </row>
    <row r="2971" ht="15.75" customHeight="1">
      <c r="A2971" s="50" t="s">
        <v>3048</v>
      </c>
      <c r="B2971" s="50" t="s">
        <v>51</v>
      </c>
      <c r="C2971" s="50" t="s">
        <v>18</v>
      </c>
      <c r="D2971" s="51">
        <v>134521.62</v>
      </c>
      <c r="E2971" s="51" t="str">
        <f t="shared" si="1"/>
        <v>₹1,614,259.44</v>
      </c>
      <c r="F2971" s="52" t="str">
        <f t="shared" si="2"/>
        <v>30.0%</v>
      </c>
      <c r="G2971" s="51" t="str">
        <f t="shared" si="3"/>
        <v>₹484,277.83</v>
      </c>
      <c r="H2971" s="51" t="str">
        <f t="shared" si="4"/>
        <v>₹40,356.49</v>
      </c>
      <c r="I2971" s="51" t="str">
        <f>117018.28-H2971</f>
        <v>₹76,661.79</v>
      </c>
    </row>
    <row r="2972" ht="15.75" customHeight="1">
      <c r="A2972" s="53" t="s">
        <v>3049</v>
      </c>
      <c r="B2972" s="53" t="s">
        <v>29</v>
      </c>
      <c r="C2972" s="53" t="s">
        <v>33</v>
      </c>
      <c r="D2972" s="54">
        <v>134544.8</v>
      </c>
      <c r="E2972" s="54" t="str">
        <f t="shared" si="1"/>
        <v>₹1,614,537.60</v>
      </c>
      <c r="F2972" s="55" t="str">
        <f t="shared" si="2"/>
        <v>30.0%</v>
      </c>
      <c r="G2972" s="54" t="str">
        <f t="shared" si="3"/>
        <v>₹484,361.28</v>
      </c>
      <c r="H2972" s="54" t="str">
        <f t="shared" si="4"/>
        <v>₹40,363.44</v>
      </c>
      <c r="I2972" s="54" t="str">
        <f>117038.06-H2972</f>
        <v>₹76,674.62</v>
      </c>
    </row>
    <row r="2973" ht="15.75" customHeight="1">
      <c r="A2973" s="50" t="s">
        <v>3050</v>
      </c>
      <c r="B2973" s="50" t="s">
        <v>25</v>
      </c>
      <c r="C2973" s="50" t="s">
        <v>18</v>
      </c>
      <c r="D2973" s="51">
        <v>134567.97</v>
      </c>
      <c r="E2973" s="51" t="str">
        <f t="shared" si="1"/>
        <v>₹1,614,815.64</v>
      </c>
      <c r="F2973" s="52" t="str">
        <f t="shared" si="2"/>
        <v>30.0%</v>
      </c>
      <c r="G2973" s="51" t="str">
        <f t="shared" si="3"/>
        <v>₹484,444.69</v>
      </c>
      <c r="H2973" s="51" t="str">
        <f t="shared" si="4"/>
        <v>₹40,370.39</v>
      </c>
      <c r="I2973" s="51" t="str">
        <f>117057.83-H2973</f>
        <v>₹76,687.44</v>
      </c>
    </row>
    <row r="2974" ht="15.75" customHeight="1">
      <c r="A2974" s="53" t="s">
        <v>3051</v>
      </c>
      <c r="B2974" s="53" t="s">
        <v>17</v>
      </c>
      <c r="C2974" s="53" t="s">
        <v>30</v>
      </c>
      <c r="D2974" s="54">
        <v>134591.15</v>
      </c>
      <c r="E2974" s="54" t="str">
        <f t="shared" si="1"/>
        <v>₹1,615,093.80</v>
      </c>
      <c r="F2974" s="55" t="str">
        <f t="shared" si="2"/>
        <v>30.0%</v>
      </c>
      <c r="G2974" s="54" t="str">
        <f t="shared" si="3"/>
        <v>₹484,528.14</v>
      </c>
      <c r="H2974" s="54" t="str">
        <f t="shared" si="4"/>
        <v>₹40,377.35</v>
      </c>
      <c r="I2974" s="54" t="str">
        <f>117077.62-H2974</f>
        <v>₹76,700.28</v>
      </c>
    </row>
    <row r="2975" ht="15.75" customHeight="1">
      <c r="A2975" s="50" t="s">
        <v>3052</v>
      </c>
      <c r="B2975" s="50" t="s">
        <v>51</v>
      </c>
      <c r="C2975" s="50" t="s">
        <v>30</v>
      </c>
      <c r="D2975" s="51">
        <v>134614.33</v>
      </c>
      <c r="E2975" s="51" t="str">
        <f t="shared" si="1"/>
        <v>₹1,615,371.96</v>
      </c>
      <c r="F2975" s="52" t="str">
        <f t="shared" si="2"/>
        <v>30.0%</v>
      </c>
      <c r="G2975" s="51" t="str">
        <f t="shared" si="3"/>
        <v>₹484,611.59</v>
      </c>
      <c r="H2975" s="51" t="str">
        <f t="shared" si="4"/>
        <v>₹40,384.30</v>
      </c>
      <c r="I2975" s="51" t="str">
        <f>117097.4-H2975</f>
        <v>₹76,713.10</v>
      </c>
    </row>
    <row r="2976" ht="15.75" customHeight="1">
      <c r="A2976" s="53" t="s">
        <v>3053</v>
      </c>
      <c r="B2976" s="53" t="s">
        <v>13</v>
      </c>
      <c r="C2976" s="53" t="s">
        <v>33</v>
      </c>
      <c r="D2976" s="54">
        <v>124215.0</v>
      </c>
      <c r="E2976" s="54" t="str">
        <f t="shared" si="1"/>
        <v>₹1,490,580.00</v>
      </c>
      <c r="F2976" s="55" t="str">
        <f t="shared" si="2"/>
        <v>30.0%</v>
      </c>
      <c r="G2976" s="54" t="str">
        <f t="shared" si="3"/>
        <v>₹447,174.00</v>
      </c>
      <c r="H2976" s="54" t="str">
        <f t="shared" si="4"/>
        <v>₹37,264.50</v>
      </c>
      <c r="I2976" s="54" t="str">
        <f>106694.67-H2976</f>
        <v>₹69,430.17</v>
      </c>
    </row>
    <row r="2977" ht="15.75" customHeight="1">
      <c r="A2977" s="50" t="s">
        <v>3054</v>
      </c>
      <c r="B2977" s="50" t="s">
        <v>13</v>
      </c>
      <c r="C2977" s="50" t="s">
        <v>14</v>
      </c>
      <c r="D2977" s="51">
        <v>134660.68</v>
      </c>
      <c r="E2977" s="51" t="str">
        <f t="shared" si="1"/>
        <v>₹1,615,928.16</v>
      </c>
      <c r="F2977" s="52" t="str">
        <f t="shared" si="2"/>
        <v>30.0%</v>
      </c>
      <c r="G2977" s="51" t="str">
        <f t="shared" si="3"/>
        <v>₹484,778.45</v>
      </c>
      <c r="H2977" s="51" t="str">
        <f t="shared" si="4"/>
        <v>₹40,398.20</v>
      </c>
      <c r="I2977" s="51" t="str">
        <f>117136.95-H2977</f>
        <v>₹76,738.75</v>
      </c>
    </row>
    <row r="2978" ht="15.75" customHeight="1">
      <c r="A2978" s="53" t="s">
        <v>3055</v>
      </c>
      <c r="B2978" s="53" t="s">
        <v>29</v>
      </c>
      <c r="C2978" s="53" t="s">
        <v>14</v>
      </c>
      <c r="D2978" s="54">
        <v>134683.86</v>
      </c>
      <c r="E2978" s="54" t="str">
        <f t="shared" si="1"/>
        <v>₹1,616,206.32</v>
      </c>
      <c r="F2978" s="55" t="str">
        <f t="shared" si="2"/>
        <v>30.0%</v>
      </c>
      <c r="G2978" s="54" t="str">
        <f t="shared" si="3"/>
        <v>₹484,861.90</v>
      </c>
      <c r="H2978" s="54" t="str">
        <f t="shared" si="4"/>
        <v>₹40,405.16</v>
      </c>
      <c r="I2978" s="54" t="str">
        <f>117156.74-H2978</f>
        <v>₹76,751.58</v>
      </c>
    </row>
    <row r="2979" ht="15.75" customHeight="1">
      <c r="A2979" s="50" t="s">
        <v>3056</v>
      </c>
      <c r="B2979" s="50" t="s">
        <v>29</v>
      </c>
      <c r="C2979" s="50" t="s">
        <v>26</v>
      </c>
      <c r="D2979" s="51">
        <v>134707.04</v>
      </c>
      <c r="E2979" s="51" t="str">
        <f t="shared" si="1"/>
        <v>₹1,616,484.48</v>
      </c>
      <c r="F2979" s="52" t="str">
        <f t="shared" si="2"/>
        <v>30.0%</v>
      </c>
      <c r="G2979" s="51" t="str">
        <f t="shared" si="3"/>
        <v>₹484,945.34</v>
      </c>
      <c r="H2979" s="51" t="str">
        <f t="shared" si="4"/>
        <v>₹40,412.11</v>
      </c>
      <c r="I2979" s="51" t="str">
        <f>117176.52-H2979</f>
        <v>₹76,764.41</v>
      </c>
    </row>
    <row r="2980" ht="15.75" customHeight="1">
      <c r="A2980" s="53" t="s">
        <v>3058</v>
      </c>
      <c r="B2980" s="53" t="s">
        <v>53</v>
      </c>
      <c r="C2980" s="53" t="s">
        <v>18</v>
      </c>
      <c r="D2980" s="54">
        <v>134753.39</v>
      </c>
      <c r="E2980" s="54" t="str">
        <f t="shared" si="1"/>
        <v>₹1,617,040.68</v>
      </c>
      <c r="F2980" s="55" t="str">
        <f t="shared" si="2"/>
        <v>30.0%</v>
      </c>
      <c r="G2980" s="54" t="str">
        <f t="shared" si="3"/>
        <v>₹485,112.20</v>
      </c>
      <c r="H2980" s="54" t="str">
        <f t="shared" si="4"/>
        <v>₹40,426.02</v>
      </c>
      <c r="I2980" s="54" t="str">
        <f>117216.07-H2980</f>
        <v>₹76,790.05</v>
      </c>
    </row>
    <row r="2981" ht="15.75" customHeight="1">
      <c r="A2981" s="50" t="s">
        <v>3059</v>
      </c>
      <c r="B2981" s="50" t="s">
        <v>17</v>
      </c>
      <c r="C2981" s="50" t="s">
        <v>14</v>
      </c>
      <c r="D2981" s="51">
        <v>134776.57</v>
      </c>
      <c r="E2981" s="51" t="str">
        <f t="shared" si="1"/>
        <v>₹1,617,318.84</v>
      </c>
      <c r="F2981" s="52" t="str">
        <f t="shared" si="2"/>
        <v>30.0%</v>
      </c>
      <c r="G2981" s="51" t="str">
        <f t="shared" si="3"/>
        <v>₹485,195.65</v>
      </c>
      <c r="H2981" s="51" t="str">
        <f t="shared" si="4"/>
        <v>₹40,432.97</v>
      </c>
      <c r="I2981" s="51" t="str">
        <f>117235.86-H2981</f>
        <v>₹76,802.89</v>
      </c>
    </row>
    <row r="2982" ht="15.75" customHeight="1">
      <c r="A2982" s="53" t="s">
        <v>3060</v>
      </c>
      <c r="B2982" s="53" t="s">
        <v>25</v>
      </c>
      <c r="C2982" s="53" t="s">
        <v>54</v>
      </c>
      <c r="D2982" s="54">
        <v>134799.75</v>
      </c>
      <c r="E2982" s="54" t="str">
        <f t="shared" si="1"/>
        <v>₹1,617,597.00</v>
      </c>
      <c r="F2982" s="55" t="str">
        <f t="shared" si="2"/>
        <v>30.0%</v>
      </c>
      <c r="G2982" s="54" t="str">
        <f t="shared" si="3"/>
        <v>₹485,279.10</v>
      </c>
      <c r="H2982" s="54" t="str">
        <f t="shared" si="4"/>
        <v>₹40,439.93</v>
      </c>
      <c r="I2982" s="54" t="str">
        <f>117255.64-H2982</f>
        <v>₹76,815.72</v>
      </c>
    </row>
    <row r="2983" ht="15.75" customHeight="1">
      <c r="A2983" s="50" t="s">
        <v>3061</v>
      </c>
      <c r="B2983" s="50" t="s">
        <v>51</v>
      </c>
      <c r="C2983" s="50" t="s">
        <v>30</v>
      </c>
      <c r="D2983" s="51">
        <v>134822.93</v>
      </c>
      <c r="E2983" s="51" t="str">
        <f t="shared" si="1"/>
        <v>₹1,617,875.16</v>
      </c>
      <c r="F2983" s="52" t="str">
        <f t="shared" si="2"/>
        <v>30.0%</v>
      </c>
      <c r="G2983" s="51" t="str">
        <f t="shared" si="3"/>
        <v>₹485,362.55</v>
      </c>
      <c r="H2983" s="51" t="str">
        <f t="shared" si="4"/>
        <v>₹40,446.88</v>
      </c>
      <c r="I2983" s="51" t="str">
        <f>117275.42-H2983</f>
        <v>₹76,828.54</v>
      </c>
    </row>
    <row r="2984" ht="15.75" customHeight="1">
      <c r="A2984" s="53" t="s">
        <v>3062</v>
      </c>
      <c r="B2984" s="53" t="s">
        <v>36</v>
      </c>
      <c r="C2984" s="53" t="s">
        <v>37</v>
      </c>
      <c r="D2984" s="54">
        <v>134846.11</v>
      </c>
      <c r="E2984" s="54" t="str">
        <f t="shared" si="1"/>
        <v>₹1,618,153.32</v>
      </c>
      <c r="F2984" s="55" t="str">
        <f t="shared" si="2"/>
        <v>30.0%</v>
      </c>
      <c r="G2984" s="54" t="str">
        <f t="shared" si="3"/>
        <v>₹485,446.00</v>
      </c>
      <c r="H2984" s="54" t="str">
        <f t="shared" si="4"/>
        <v>₹40,453.83</v>
      </c>
      <c r="I2984" s="54" t="str">
        <f>117295.2-H2984</f>
        <v>₹76,841.37</v>
      </c>
    </row>
    <row r="2985" ht="15.75" customHeight="1">
      <c r="A2985" s="50" t="s">
        <v>3063</v>
      </c>
      <c r="B2985" s="50" t="s">
        <v>36</v>
      </c>
      <c r="C2985" s="50" t="s">
        <v>54</v>
      </c>
      <c r="D2985" s="51">
        <v>134869.28</v>
      </c>
      <c r="E2985" s="51" t="str">
        <f t="shared" si="1"/>
        <v>₹1,618,431.36</v>
      </c>
      <c r="F2985" s="52" t="str">
        <f t="shared" si="2"/>
        <v>30.0%</v>
      </c>
      <c r="G2985" s="51" t="str">
        <f t="shared" si="3"/>
        <v>₹485,529.41</v>
      </c>
      <c r="H2985" s="51" t="str">
        <f t="shared" si="4"/>
        <v>₹40,460.78</v>
      </c>
      <c r="I2985" s="51" t="str">
        <f>117314.97-H2985</f>
        <v>₹76,854.19</v>
      </c>
    </row>
    <row r="2986" ht="15.75" customHeight="1">
      <c r="A2986" s="53" t="s">
        <v>3064</v>
      </c>
      <c r="B2986" s="53" t="s">
        <v>51</v>
      </c>
      <c r="C2986" s="53" t="s">
        <v>18</v>
      </c>
      <c r="D2986" s="54">
        <v>134892.46</v>
      </c>
      <c r="E2986" s="54" t="str">
        <f t="shared" si="1"/>
        <v>₹1,618,709.52</v>
      </c>
      <c r="F2986" s="55" t="str">
        <f t="shared" si="2"/>
        <v>30.0%</v>
      </c>
      <c r="G2986" s="54" t="str">
        <f t="shared" si="3"/>
        <v>₹485,612.86</v>
      </c>
      <c r="H2986" s="54" t="str">
        <f t="shared" si="4"/>
        <v>₹40,467.74</v>
      </c>
      <c r="I2986" s="54" t="str">
        <f>117334.76-H2986</f>
        <v>₹76,867.02</v>
      </c>
    </row>
    <row r="2987" ht="15.75" customHeight="1">
      <c r="A2987" s="50" t="s">
        <v>3065</v>
      </c>
      <c r="B2987" s="50" t="s">
        <v>17</v>
      </c>
      <c r="C2987" s="50" t="s">
        <v>54</v>
      </c>
      <c r="D2987" s="51">
        <v>134915.64</v>
      </c>
      <c r="E2987" s="51" t="str">
        <f t="shared" si="1"/>
        <v>₹1,618,987.68</v>
      </c>
      <c r="F2987" s="52" t="str">
        <f t="shared" si="2"/>
        <v>30.0%</v>
      </c>
      <c r="G2987" s="51" t="str">
        <f t="shared" si="3"/>
        <v>₹485,696.30</v>
      </c>
      <c r="H2987" s="51" t="str">
        <f t="shared" si="4"/>
        <v>₹40,474.69</v>
      </c>
      <c r="I2987" s="51" t="str">
        <f>117354.54-H2987</f>
        <v>₹76,879.85</v>
      </c>
    </row>
    <row r="2988" ht="15.75" customHeight="1">
      <c r="A2988" s="53" t="s">
        <v>3066</v>
      </c>
      <c r="B2988" s="53" t="s">
        <v>25</v>
      </c>
      <c r="C2988" s="53" t="s">
        <v>18</v>
      </c>
      <c r="D2988" s="54">
        <v>134938.82</v>
      </c>
      <c r="E2988" s="54" t="str">
        <f t="shared" si="1"/>
        <v>₹1,619,265.84</v>
      </c>
      <c r="F2988" s="55" t="str">
        <f t="shared" si="2"/>
        <v>30.0%</v>
      </c>
      <c r="G2988" s="54" t="str">
        <f t="shared" si="3"/>
        <v>₹485,779.75</v>
      </c>
      <c r="H2988" s="54" t="str">
        <f t="shared" si="4"/>
        <v>₹40,481.65</v>
      </c>
      <c r="I2988" s="54" t="str">
        <f>117374.32-H2988</f>
        <v>₹76,892.67</v>
      </c>
    </row>
    <row r="2989" ht="15.75" customHeight="1">
      <c r="A2989" s="50" t="s">
        <v>3067</v>
      </c>
      <c r="B2989" s="50" t="s">
        <v>13</v>
      </c>
      <c r="C2989" s="50" t="s">
        <v>37</v>
      </c>
      <c r="D2989" s="51">
        <v>134985.17</v>
      </c>
      <c r="E2989" s="51" t="str">
        <f t="shared" si="1"/>
        <v>₹1,619,822.04</v>
      </c>
      <c r="F2989" s="52" t="str">
        <f t="shared" si="2"/>
        <v>30.0%</v>
      </c>
      <c r="G2989" s="51" t="str">
        <f t="shared" si="3"/>
        <v>₹485,946.61</v>
      </c>
      <c r="H2989" s="51" t="str">
        <f t="shared" si="4"/>
        <v>₹40,495.55</v>
      </c>
      <c r="I2989" s="51" t="str">
        <f>117413.88-H2989</f>
        <v>₹76,918.33</v>
      </c>
    </row>
    <row r="2990" ht="15.75" customHeight="1">
      <c r="A2990" s="53" t="s">
        <v>3068</v>
      </c>
      <c r="B2990" s="53" t="s">
        <v>51</v>
      </c>
      <c r="C2990" s="53" t="s">
        <v>30</v>
      </c>
      <c r="D2990" s="54">
        <v>135008.35</v>
      </c>
      <c r="E2990" s="54" t="str">
        <f t="shared" si="1"/>
        <v>₹1,620,100.20</v>
      </c>
      <c r="F2990" s="55" t="str">
        <f t="shared" si="2"/>
        <v>30.0%</v>
      </c>
      <c r="G2990" s="54" t="str">
        <f t="shared" si="3"/>
        <v>₹486,030.06</v>
      </c>
      <c r="H2990" s="54" t="str">
        <f t="shared" si="4"/>
        <v>₹40,502.51</v>
      </c>
      <c r="I2990" s="54" t="str">
        <f>117433.66-H2990</f>
        <v>₹76,931.16</v>
      </c>
    </row>
    <row r="2991" ht="15.75" customHeight="1">
      <c r="A2991" s="50" t="s">
        <v>3069</v>
      </c>
      <c r="B2991" s="50" t="s">
        <v>13</v>
      </c>
      <c r="C2991" s="50" t="s">
        <v>30</v>
      </c>
      <c r="D2991" s="51">
        <v>135031.53</v>
      </c>
      <c r="E2991" s="51" t="str">
        <f t="shared" si="1"/>
        <v>₹1,620,378.36</v>
      </c>
      <c r="F2991" s="52" t="str">
        <f t="shared" si="2"/>
        <v>30.0%</v>
      </c>
      <c r="G2991" s="51" t="str">
        <f t="shared" si="3"/>
        <v>₹486,113.51</v>
      </c>
      <c r="H2991" s="51" t="str">
        <f t="shared" si="4"/>
        <v>₹40,509.46</v>
      </c>
      <c r="I2991" s="51" t="str">
        <f>117453.44-H2991</f>
        <v>₹76,943.98</v>
      </c>
    </row>
    <row r="2992" ht="15.75" customHeight="1">
      <c r="A2992" s="53" t="s">
        <v>3070</v>
      </c>
      <c r="B2992" s="53" t="s">
        <v>17</v>
      </c>
      <c r="C2992" s="53" t="s">
        <v>18</v>
      </c>
      <c r="D2992" s="54">
        <v>135054.7</v>
      </c>
      <c r="E2992" s="54" t="str">
        <f t="shared" si="1"/>
        <v>₹1,620,656.40</v>
      </c>
      <c r="F2992" s="55" t="str">
        <f t="shared" si="2"/>
        <v>30.0%</v>
      </c>
      <c r="G2992" s="54" t="str">
        <f t="shared" si="3"/>
        <v>₹486,196.92</v>
      </c>
      <c r="H2992" s="54" t="str">
        <f t="shared" si="4"/>
        <v>₹40,516.41</v>
      </c>
      <c r="I2992" s="54" t="str">
        <f>117473.21-H2992</f>
        <v>₹76,956.80</v>
      </c>
    </row>
    <row r="2993" ht="15.75" customHeight="1">
      <c r="A2993" s="50" t="s">
        <v>3071</v>
      </c>
      <c r="B2993" s="50" t="s">
        <v>53</v>
      </c>
      <c r="C2993" s="50" t="s">
        <v>30</v>
      </c>
      <c r="D2993" s="51">
        <v>135077.88</v>
      </c>
      <c r="E2993" s="51" t="str">
        <f t="shared" si="1"/>
        <v>₹1,620,934.56</v>
      </c>
      <c r="F2993" s="52" t="str">
        <f t="shared" si="2"/>
        <v>30.0%</v>
      </c>
      <c r="G2993" s="51" t="str">
        <f t="shared" si="3"/>
        <v>₹486,280.37</v>
      </c>
      <c r="H2993" s="51" t="str">
        <f t="shared" si="4"/>
        <v>₹40,523.36</v>
      </c>
      <c r="I2993" s="51" t="str">
        <f>117493-H2993</f>
        <v>₹76,969.64</v>
      </c>
    </row>
    <row r="2994" ht="15.75" customHeight="1">
      <c r="A2994" s="53" t="s">
        <v>3072</v>
      </c>
      <c r="B2994" s="53" t="s">
        <v>36</v>
      </c>
      <c r="C2994" s="53" t="s">
        <v>26</v>
      </c>
      <c r="D2994" s="54">
        <v>135101.06</v>
      </c>
      <c r="E2994" s="54" t="str">
        <f t="shared" si="1"/>
        <v>₹1,621,212.72</v>
      </c>
      <c r="F2994" s="55" t="str">
        <f t="shared" si="2"/>
        <v>30.0%</v>
      </c>
      <c r="G2994" s="54" t="str">
        <f t="shared" si="3"/>
        <v>₹486,363.82</v>
      </c>
      <c r="H2994" s="54" t="str">
        <f t="shared" si="4"/>
        <v>₹40,530.32</v>
      </c>
      <c r="I2994" s="54" t="str">
        <f>117512.78-H2994</f>
        <v>₹76,982.46</v>
      </c>
    </row>
    <row r="2995" ht="15.75" customHeight="1">
      <c r="A2995" s="50" t="s">
        <v>3073</v>
      </c>
      <c r="B2995" s="50" t="s">
        <v>29</v>
      </c>
      <c r="C2995" s="50" t="s">
        <v>14</v>
      </c>
      <c r="D2995" s="51">
        <v>135124.24</v>
      </c>
      <c r="E2995" s="51" t="str">
        <f t="shared" si="1"/>
        <v>₹1,621,490.88</v>
      </c>
      <c r="F2995" s="52" t="str">
        <f t="shared" si="2"/>
        <v>30.0%</v>
      </c>
      <c r="G2995" s="51" t="str">
        <f t="shared" si="3"/>
        <v>₹486,447.26</v>
      </c>
      <c r="H2995" s="51" t="str">
        <f t="shared" si="4"/>
        <v>₹40,537.27</v>
      </c>
      <c r="I2995" s="51" t="str">
        <f>117532.56-H2995</f>
        <v>₹76,995.29</v>
      </c>
    </row>
    <row r="2996" ht="15.75" customHeight="1">
      <c r="A2996" s="53" t="s">
        <v>3074</v>
      </c>
      <c r="B2996" s="53" t="s">
        <v>36</v>
      </c>
      <c r="C2996" s="53" t="s">
        <v>37</v>
      </c>
      <c r="D2996" s="54">
        <v>135147.42</v>
      </c>
      <c r="E2996" s="54" t="str">
        <f t="shared" si="1"/>
        <v>₹1,621,769.04</v>
      </c>
      <c r="F2996" s="55" t="str">
        <f t="shared" si="2"/>
        <v>30.0%</v>
      </c>
      <c r="G2996" s="54" t="str">
        <f t="shared" si="3"/>
        <v>₹486,530.71</v>
      </c>
      <c r="H2996" s="54" t="str">
        <f t="shared" si="4"/>
        <v>₹40,544.23</v>
      </c>
      <c r="I2996" s="54" t="str">
        <f>117552.34-H2996</f>
        <v>₹77,008.11</v>
      </c>
    </row>
    <row r="2997" ht="15.75" customHeight="1">
      <c r="A2997" s="50" t="s">
        <v>3075</v>
      </c>
      <c r="B2997" s="50" t="s">
        <v>53</v>
      </c>
      <c r="C2997" s="50" t="s">
        <v>54</v>
      </c>
      <c r="D2997" s="51">
        <v>135170.59</v>
      </c>
      <c r="E2997" s="51" t="str">
        <f t="shared" si="1"/>
        <v>₹1,622,047.08</v>
      </c>
      <c r="F2997" s="52" t="str">
        <f t="shared" si="2"/>
        <v>30.0%</v>
      </c>
      <c r="G2997" s="51" t="str">
        <f t="shared" si="3"/>
        <v>₹486,614.12</v>
      </c>
      <c r="H2997" s="51" t="str">
        <f t="shared" si="4"/>
        <v>₹40,551.18</v>
      </c>
      <c r="I2997" s="51" t="str">
        <f>117572.12-H2997</f>
        <v>₹77,020.94</v>
      </c>
    </row>
    <row r="2998" ht="15.75" customHeight="1">
      <c r="A2998" s="53" t="s">
        <v>3076</v>
      </c>
      <c r="B2998" s="53" t="s">
        <v>36</v>
      </c>
      <c r="C2998" s="53" t="s">
        <v>30</v>
      </c>
      <c r="D2998" s="54">
        <v>135193.77</v>
      </c>
      <c r="E2998" s="54" t="str">
        <f t="shared" si="1"/>
        <v>₹1,622,325.24</v>
      </c>
      <c r="F2998" s="55" t="str">
        <f t="shared" si="2"/>
        <v>30.0%</v>
      </c>
      <c r="G2998" s="54" t="str">
        <f t="shared" si="3"/>
        <v>₹486,697.57</v>
      </c>
      <c r="H2998" s="54" t="str">
        <f t="shared" si="4"/>
        <v>₹40,558.13</v>
      </c>
      <c r="I2998" s="54" t="str">
        <f>117591.9-H2998</f>
        <v>₹77,033.77</v>
      </c>
    </row>
    <row r="2999" ht="15.75" customHeight="1">
      <c r="A2999" s="50" t="s">
        <v>3077</v>
      </c>
      <c r="B2999" s="50" t="s">
        <v>29</v>
      </c>
      <c r="C2999" s="50" t="s">
        <v>54</v>
      </c>
      <c r="D2999" s="51">
        <v>135216.95</v>
      </c>
      <c r="E2999" s="51" t="str">
        <f t="shared" si="1"/>
        <v>₹1,622,603.40</v>
      </c>
      <c r="F2999" s="52" t="str">
        <f t="shared" si="2"/>
        <v>30.0%</v>
      </c>
      <c r="G2999" s="51" t="str">
        <f t="shared" si="3"/>
        <v>₹486,781.02</v>
      </c>
      <c r="H2999" s="51" t="str">
        <f t="shared" si="4"/>
        <v>₹40,565.09</v>
      </c>
      <c r="I2999" s="51" t="str">
        <f>117611.68-H2999</f>
        <v>₹77,046.60</v>
      </c>
    </row>
    <row r="3000" ht="15.75" customHeight="1">
      <c r="A3000" s="53" t="s">
        <v>3078</v>
      </c>
      <c r="B3000" s="53" t="s">
        <v>13</v>
      </c>
      <c r="C3000" s="53" t="s">
        <v>14</v>
      </c>
      <c r="D3000" s="54">
        <v>135240.13</v>
      </c>
      <c r="E3000" s="54" t="str">
        <f t="shared" si="1"/>
        <v>₹1,622,881.56</v>
      </c>
      <c r="F3000" s="55" t="str">
        <f t="shared" si="2"/>
        <v>30.0%</v>
      </c>
      <c r="G3000" s="54" t="str">
        <f t="shared" si="3"/>
        <v>₹486,864.47</v>
      </c>
      <c r="H3000" s="54" t="str">
        <f t="shared" si="4"/>
        <v>₹40,572.04</v>
      </c>
      <c r="I3000" s="54" t="str">
        <f>117631.46-H3000</f>
        <v>₹77,059.42</v>
      </c>
    </row>
    <row r="3001" ht="15.75" customHeight="1">
      <c r="A3001" s="50" t="s">
        <v>3079</v>
      </c>
      <c r="B3001" s="50" t="s">
        <v>29</v>
      </c>
      <c r="C3001" s="50" t="s">
        <v>26</v>
      </c>
      <c r="D3001" s="51">
        <v>135263.3</v>
      </c>
      <c r="E3001" s="51" t="str">
        <f t="shared" si="1"/>
        <v>₹1,623,159.60</v>
      </c>
      <c r="F3001" s="52" t="str">
        <f t="shared" si="2"/>
        <v>30.0%</v>
      </c>
      <c r="G3001" s="51" t="str">
        <f t="shared" si="3"/>
        <v>₹486,947.88</v>
      </c>
      <c r="H3001" s="51" t="str">
        <f t="shared" si="4"/>
        <v>₹40,578.99</v>
      </c>
      <c r="I3001" s="51" t="str">
        <f>117651.24-H3001</f>
        <v>₹77,072.25</v>
      </c>
    </row>
    <row r="3002" ht="15.75" customHeight="1">
      <c r="A3002" s="53" t="s">
        <v>3080</v>
      </c>
      <c r="B3002" s="53" t="s">
        <v>13</v>
      </c>
      <c r="C3002" s="53" t="s">
        <v>37</v>
      </c>
      <c r="D3002" s="54">
        <v>135286.48</v>
      </c>
      <c r="E3002" s="54" t="str">
        <f t="shared" si="1"/>
        <v>₹1,623,437.76</v>
      </c>
      <c r="F3002" s="55" t="str">
        <f t="shared" si="2"/>
        <v>30.0%</v>
      </c>
      <c r="G3002" s="54" t="str">
        <f t="shared" si="3"/>
        <v>₹487,031.33</v>
      </c>
      <c r="H3002" s="54" t="str">
        <f t="shared" si="4"/>
        <v>₹40,585.94</v>
      </c>
      <c r="I3002" s="54" t="str">
        <f>117671.02-H3002</f>
        <v>₹77,085.08</v>
      </c>
    </row>
    <row r="3003" ht="15.75" customHeight="1">
      <c r="A3003" s="50" t="s">
        <v>3081</v>
      </c>
      <c r="B3003" s="50" t="s">
        <v>13</v>
      </c>
      <c r="C3003" s="50" t="s">
        <v>33</v>
      </c>
      <c r="D3003" s="51">
        <v>135309.66</v>
      </c>
      <c r="E3003" s="51" t="str">
        <f t="shared" si="1"/>
        <v>₹1,623,715.92</v>
      </c>
      <c r="F3003" s="52" t="str">
        <f t="shared" si="2"/>
        <v>30.0%</v>
      </c>
      <c r="G3003" s="51" t="str">
        <f t="shared" si="3"/>
        <v>₹487,114.78</v>
      </c>
      <c r="H3003" s="51" t="str">
        <f t="shared" si="4"/>
        <v>₹40,592.90</v>
      </c>
      <c r="I3003" s="51" t="str">
        <f>117690.8-H3003</f>
        <v>₹77,097.90</v>
      </c>
    </row>
    <row r="3004" ht="15.75" customHeight="1">
      <c r="A3004" s="53" t="s">
        <v>3082</v>
      </c>
      <c r="B3004" s="53" t="s">
        <v>25</v>
      </c>
      <c r="C3004" s="53" t="s">
        <v>54</v>
      </c>
      <c r="D3004" s="54">
        <v>135332.84</v>
      </c>
      <c r="E3004" s="54" t="str">
        <f t="shared" si="1"/>
        <v>₹1,623,994.08</v>
      </c>
      <c r="F3004" s="55" t="str">
        <f t="shared" si="2"/>
        <v>30.0%</v>
      </c>
      <c r="G3004" s="54" t="str">
        <f t="shared" si="3"/>
        <v>₹487,198.22</v>
      </c>
      <c r="H3004" s="54" t="str">
        <f t="shared" si="4"/>
        <v>₹40,599.85</v>
      </c>
      <c r="I3004" s="54" t="str">
        <f>117710.58-H3004</f>
        <v>₹77,110.73</v>
      </c>
    </row>
    <row r="3005" ht="15.75" customHeight="1">
      <c r="A3005" s="50" t="s">
        <v>3083</v>
      </c>
      <c r="B3005" s="50" t="s">
        <v>17</v>
      </c>
      <c r="C3005" s="50" t="s">
        <v>14</v>
      </c>
      <c r="D3005" s="51">
        <v>135356.01</v>
      </c>
      <c r="E3005" s="51" t="str">
        <f t="shared" si="1"/>
        <v>₹1,624,272.12</v>
      </c>
      <c r="F3005" s="52" t="str">
        <f t="shared" si="2"/>
        <v>30.0%</v>
      </c>
      <c r="G3005" s="51" t="str">
        <f t="shared" si="3"/>
        <v>₹487,281.64</v>
      </c>
      <c r="H3005" s="51" t="str">
        <f t="shared" si="4"/>
        <v>₹40,606.80</v>
      </c>
      <c r="I3005" s="51" t="str">
        <f>117730.36-H3005</f>
        <v>₹77,123.56</v>
      </c>
    </row>
    <row r="3006" ht="15.75" customHeight="1">
      <c r="A3006" s="53" t="s">
        <v>3084</v>
      </c>
      <c r="B3006" s="53" t="s">
        <v>17</v>
      </c>
      <c r="C3006" s="53" t="s">
        <v>33</v>
      </c>
      <c r="D3006" s="54">
        <v>135379.19</v>
      </c>
      <c r="E3006" s="54" t="str">
        <f t="shared" si="1"/>
        <v>₹1,624,550.28</v>
      </c>
      <c r="F3006" s="55" t="str">
        <f t="shared" si="2"/>
        <v>30.0%</v>
      </c>
      <c r="G3006" s="54" t="str">
        <f t="shared" si="3"/>
        <v>₹487,365.08</v>
      </c>
      <c r="H3006" s="54" t="str">
        <f t="shared" si="4"/>
        <v>₹40,613.76</v>
      </c>
      <c r="I3006" s="54" t="str">
        <f>117750.14-H3006</f>
        <v>₹77,136.38</v>
      </c>
    </row>
    <row r="3007" ht="15.75" customHeight="1">
      <c r="A3007" s="50" t="s">
        <v>3085</v>
      </c>
      <c r="B3007" s="50" t="s">
        <v>36</v>
      </c>
      <c r="C3007" s="50" t="s">
        <v>37</v>
      </c>
      <c r="D3007" s="51">
        <v>135402.37</v>
      </c>
      <c r="E3007" s="51" t="str">
        <f t="shared" si="1"/>
        <v>₹1,624,828.44</v>
      </c>
      <c r="F3007" s="52" t="str">
        <f t="shared" si="2"/>
        <v>30.0%</v>
      </c>
      <c r="G3007" s="51" t="str">
        <f t="shared" si="3"/>
        <v>₹487,448.53</v>
      </c>
      <c r="H3007" s="51" t="str">
        <f t="shared" si="4"/>
        <v>₹40,620.71</v>
      </c>
      <c r="I3007" s="51" t="str">
        <f>117769.92-H3007</f>
        <v>₹77,149.21</v>
      </c>
    </row>
    <row r="3008" ht="15.75" customHeight="1">
      <c r="A3008" s="53" t="s">
        <v>3086</v>
      </c>
      <c r="B3008" s="53" t="s">
        <v>25</v>
      </c>
      <c r="C3008" s="53" t="s">
        <v>18</v>
      </c>
      <c r="D3008" s="54">
        <v>135425.55</v>
      </c>
      <c r="E3008" s="54" t="str">
        <f t="shared" si="1"/>
        <v>₹1,625,106.60</v>
      </c>
      <c r="F3008" s="55" t="str">
        <f t="shared" si="2"/>
        <v>30.0%</v>
      </c>
      <c r="G3008" s="54" t="str">
        <f t="shared" si="3"/>
        <v>₹487,531.98</v>
      </c>
      <c r="H3008" s="54" t="str">
        <f t="shared" si="4"/>
        <v>₹40,627.67</v>
      </c>
      <c r="I3008" s="54" t="str">
        <f>117789.7-H3008</f>
        <v>₹77,162.04</v>
      </c>
    </row>
    <row r="3009" ht="15.75" customHeight="1">
      <c r="A3009" s="50" t="s">
        <v>3087</v>
      </c>
      <c r="B3009" s="50" t="s">
        <v>13</v>
      </c>
      <c r="C3009" s="50" t="s">
        <v>30</v>
      </c>
      <c r="D3009" s="51">
        <v>135448.73</v>
      </c>
      <c r="E3009" s="51" t="str">
        <f t="shared" si="1"/>
        <v>₹1,625,384.76</v>
      </c>
      <c r="F3009" s="52" t="str">
        <f t="shared" si="2"/>
        <v>30.0%</v>
      </c>
      <c r="G3009" s="51" t="str">
        <f t="shared" si="3"/>
        <v>₹487,615.43</v>
      </c>
      <c r="H3009" s="51" t="str">
        <f t="shared" si="4"/>
        <v>₹40,634.62</v>
      </c>
      <c r="I3009" s="51" t="str">
        <f>117809.49-H3009</f>
        <v>₹77,174.87</v>
      </c>
    </row>
    <row r="3010" ht="15.75" customHeight="1">
      <c r="A3010" s="53" t="s">
        <v>3088</v>
      </c>
      <c r="B3010" s="53" t="s">
        <v>53</v>
      </c>
      <c r="C3010" s="53" t="s">
        <v>33</v>
      </c>
      <c r="D3010" s="54">
        <v>135471.9</v>
      </c>
      <c r="E3010" s="54" t="str">
        <f t="shared" si="1"/>
        <v>₹1,625,662.80</v>
      </c>
      <c r="F3010" s="55" t="str">
        <f t="shared" si="2"/>
        <v>30.0%</v>
      </c>
      <c r="G3010" s="54" t="str">
        <f t="shared" si="3"/>
        <v>₹487,698.84</v>
      </c>
      <c r="H3010" s="54" t="str">
        <f t="shared" si="4"/>
        <v>₹40,641.57</v>
      </c>
      <c r="I3010" s="54" t="str">
        <f>117829.26-H3010</f>
        <v>₹77,187.69</v>
      </c>
    </row>
    <row r="3011" ht="15.75" customHeight="1">
      <c r="A3011" s="50" t="s">
        <v>3089</v>
      </c>
      <c r="B3011" s="50" t="s">
        <v>13</v>
      </c>
      <c r="C3011" s="50" t="s">
        <v>37</v>
      </c>
      <c r="D3011" s="51">
        <v>135495.08</v>
      </c>
      <c r="E3011" s="51" t="str">
        <f t="shared" si="1"/>
        <v>₹1,625,940.96</v>
      </c>
      <c r="F3011" s="52" t="str">
        <f t="shared" si="2"/>
        <v>30.0%</v>
      </c>
      <c r="G3011" s="51" t="str">
        <f t="shared" si="3"/>
        <v>₹487,782.29</v>
      </c>
      <c r="H3011" s="51" t="str">
        <f t="shared" si="4"/>
        <v>₹40,648.52</v>
      </c>
      <c r="I3011" s="51" t="str">
        <f>117849.04-H3011</f>
        <v>₹77,200.52</v>
      </c>
    </row>
    <row r="3012" ht="15.75" customHeight="1">
      <c r="A3012" s="53" t="s">
        <v>3090</v>
      </c>
      <c r="B3012" s="53" t="s">
        <v>36</v>
      </c>
      <c r="C3012" s="53" t="s">
        <v>33</v>
      </c>
      <c r="D3012" s="54">
        <v>135518.26</v>
      </c>
      <c r="E3012" s="54" t="str">
        <f t="shared" si="1"/>
        <v>₹1,626,219.12</v>
      </c>
      <c r="F3012" s="55" t="str">
        <f t="shared" si="2"/>
        <v>30.0%</v>
      </c>
      <c r="G3012" s="54" t="str">
        <f t="shared" si="3"/>
        <v>₹487,865.74</v>
      </c>
      <c r="H3012" s="54" t="str">
        <f t="shared" si="4"/>
        <v>₹40,655.48</v>
      </c>
      <c r="I3012" s="54" t="str">
        <f>117868.82-H3012</f>
        <v>₹77,213.34</v>
      </c>
    </row>
    <row r="3013" ht="15.75" customHeight="1">
      <c r="A3013" s="50" t="s">
        <v>3091</v>
      </c>
      <c r="B3013" s="50" t="s">
        <v>53</v>
      </c>
      <c r="C3013" s="50" t="s">
        <v>14</v>
      </c>
      <c r="D3013" s="51">
        <v>135541.44</v>
      </c>
      <c r="E3013" s="51" t="str">
        <f t="shared" si="1"/>
        <v>₹1,626,497.28</v>
      </c>
      <c r="F3013" s="52" t="str">
        <f t="shared" si="2"/>
        <v>30.0%</v>
      </c>
      <c r="G3013" s="51" t="str">
        <f t="shared" si="3"/>
        <v>₹487,949.18</v>
      </c>
      <c r="H3013" s="51" t="str">
        <f t="shared" si="4"/>
        <v>₹40,662.43</v>
      </c>
      <c r="I3013" s="51" t="str">
        <f>117888.61-H3013</f>
        <v>₹77,226.18</v>
      </c>
    </row>
    <row r="3014" ht="15.75" customHeight="1">
      <c r="A3014" s="53" t="s">
        <v>3092</v>
      </c>
      <c r="B3014" s="53" t="s">
        <v>53</v>
      </c>
      <c r="C3014" s="53" t="s">
        <v>37</v>
      </c>
      <c r="D3014" s="54">
        <v>135564.61</v>
      </c>
      <c r="E3014" s="54" t="str">
        <f t="shared" si="1"/>
        <v>₹1,626,775.32</v>
      </c>
      <c r="F3014" s="55" t="str">
        <f t="shared" si="2"/>
        <v>30.0%</v>
      </c>
      <c r="G3014" s="54" t="str">
        <f t="shared" si="3"/>
        <v>₹488,032.60</v>
      </c>
      <c r="H3014" s="54" t="str">
        <f t="shared" si="4"/>
        <v>₹40,669.38</v>
      </c>
      <c r="I3014" s="54" t="str">
        <f>117908.38-H3014</f>
        <v>₹77,239.00</v>
      </c>
    </row>
    <row r="3015" ht="15.75" customHeight="1">
      <c r="A3015" s="50" t="s">
        <v>3093</v>
      </c>
      <c r="B3015" s="50" t="s">
        <v>29</v>
      </c>
      <c r="C3015" s="50" t="s">
        <v>37</v>
      </c>
      <c r="D3015" s="51">
        <v>135587.79</v>
      </c>
      <c r="E3015" s="51" t="str">
        <f t="shared" si="1"/>
        <v>₹1,627,053.48</v>
      </c>
      <c r="F3015" s="52" t="str">
        <f t="shared" si="2"/>
        <v>30.0%</v>
      </c>
      <c r="G3015" s="51" t="str">
        <f t="shared" si="3"/>
        <v>₹488,116.04</v>
      </c>
      <c r="H3015" s="51" t="str">
        <f t="shared" si="4"/>
        <v>₹40,676.34</v>
      </c>
      <c r="I3015" s="51" t="str">
        <f>117928.16-H3015</f>
        <v>₹77,251.82</v>
      </c>
    </row>
    <row r="3016" ht="15.75" customHeight="1">
      <c r="A3016" s="53" t="s">
        <v>3094</v>
      </c>
      <c r="B3016" s="53" t="s">
        <v>53</v>
      </c>
      <c r="C3016" s="53" t="s">
        <v>18</v>
      </c>
      <c r="D3016" s="54">
        <v>135610.97</v>
      </c>
      <c r="E3016" s="54" t="str">
        <f t="shared" si="1"/>
        <v>₹1,627,331.64</v>
      </c>
      <c r="F3016" s="55" t="str">
        <f t="shared" si="2"/>
        <v>30.0%</v>
      </c>
      <c r="G3016" s="54" t="str">
        <f t="shared" si="3"/>
        <v>₹488,199.49</v>
      </c>
      <c r="H3016" s="54" t="str">
        <f t="shared" si="4"/>
        <v>₹40,683.29</v>
      </c>
      <c r="I3016" s="54" t="str">
        <f>117947.94-H3016</f>
        <v>₹77,264.65</v>
      </c>
    </row>
    <row r="3017" ht="15.75" customHeight="1">
      <c r="A3017" s="50" t="s">
        <v>3095</v>
      </c>
      <c r="B3017" s="50" t="s">
        <v>53</v>
      </c>
      <c r="C3017" s="50" t="s">
        <v>30</v>
      </c>
      <c r="D3017" s="51">
        <v>135634.15</v>
      </c>
      <c r="E3017" s="51" t="str">
        <f t="shared" si="1"/>
        <v>₹1,627,609.80</v>
      </c>
      <c r="F3017" s="52" t="str">
        <f t="shared" si="2"/>
        <v>30.0%</v>
      </c>
      <c r="G3017" s="51" t="str">
        <f t="shared" si="3"/>
        <v>₹488,282.94</v>
      </c>
      <c r="H3017" s="51" t="str">
        <f t="shared" si="4"/>
        <v>₹40,690.25</v>
      </c>
      <c r="I3017" s="51" t="str">
        <f>117967.73-H3017</f>
        <v>₹77,277.49</v>
      </c>
    </row>
    <row r="3018" ht="15.75" customHeight="1">
      <c r="A3018" s="53" t="s">
        <v>3096</v>
      </c>
      <c r="B3018" s="53" t="s">
        <v>13</v>
      </c>
      <c r="C3018" s="53" t="s">
        <v>37</v>
      </c>
      <c r="D3018" s="54">
        <v>135657.32</v>
      </c>
      <c r="E3018" s="54" t="str">
        <f t="shared" si="1"/>
        <v>₹1,627,887.84</v>
      </c>
      <c r="F3018" s="55" t="str">
        <f t="shared" si="2"/>
        <v>30.0%</v>
      </c>
      <c r="G3018" s="54" t="str">
        <f t="shared" si="3"/>
        <v>₹488,366.35</v>
      </c>
      <c r="H3018" s="54" t="str">
        <f t="shared" si="4"/>
        <v>₹40,697.20</v>
      </c>
      <c r="I3018" s="54" t="str">
        <f>117987.5-H3018</f>
        <v>₹77,290.30</v>
      </c>
    </row>
    <row r="3019" ht="15.75" customHeight="1">
      <c r="A3019" s="50" t="s">
        <v>3097</v>
      </c>
      <c r="B3019" s="50" t="s">
        <v>53</v>
      </c>
      <c r="C3019" s="50" t="s">
        <v>14</v>
      </c>
      <c r="D3019" s="51">
        <v>135680.5</v>
      </c>
      <c r="E3019" s="51" t="str">
        <f t="shared" si="1"/>
        <v>₹1,628,166.00</v>
      </c>
      <c r="F3019" s="52" t="str">
        <f t="shared" si="2"/>
        <v>30.0%</v>
      </c>
      <c r="G3019" s="51" t="str">
        <f t="shared" si="3"/>
        <v>₹488,449.80</v>
      </c>
      <c r="H3019" s="51" t="str">
        <f t="shared" si="4"/>
        <v>₹40,704.15</v>
      </c>
      <c r="I3019" s="51" t="str">
        <f>118007.28-H3019</f>
        <v>₹77,303.13</v>
      </c>
    </row>
    <row r="3020" ht="15.75" customHeight="1">
      <c r="A3020" s="53" t="s">
        <v>3098</v>
      </c>
      <c r="B3020" s="53" t="s">
        <v>29</v>
      </c>
      <c r="C3020" s="53" t="s">
        <v>37</v>
      </c>
      <c r="D3020" s="54">
        <v>135703.68</v>
      </c>
      <c r="E3020" s="54" t="str">
        <f t="shared" si="1"/>
        <v>₹1,628,444.16</v>
      </c>
      <c r="F3020" s="55" t="str">
        <f t="shared" si="2"/>
        <v>30.0%</v>
      </c>
      <c r="G3020" s="54" t="str">
        <f t="shared" si="3"/>
        <v>₹488,533.25</v>
      </c>
      <c r="H3020" s="54" t="str">
        <f t="shared" si="4"/>
        <v>₹40,711.10</v>
      </c>
      <c r="I3020" s="54" t="str">
        <f>118027.06-H3020</f>
        <v>₹77,315.96</v>
      </c>
    </row>
    <row r="3021" ht="15.75" customHeight="1">
      <c r="A3021" s="50" t="s">
        <v>3099</v>
      </c>
      <c r="B3021" s="50" t="s">
        <v>25</v>
      </c>
      <c r="C3021" s="50" t="s">
        <v>37</v>
      </c>
      <c r="D3021" s="51">
        <v>135726.86</v>
      </c>
      <c r="E3021" s="51" t="str">
        <f t="shared" si="1"/>
        <v>₹1,628,722.32</v>
      </c>
      <c r="F3021" s="52" t="str">
        <f t="shared" si="2"/>
        <v>30.0%</v>
      </c>
      <c r="G3021" s="51" t="str">
        <f t="shared" si="3"/>
        <v>₹488,616.70</v>
      </c>
      <c r="H3021" s="51" t="str">
        <f t="shared" si="4"/>
        <v>₹40,718.06</v>
      </c>
      <c r="I3021" s="51" t="str">
        <f>118046.85-H3021</f>
        <v>₹77,328.79</v>
      </c>
    </row>
    <row r="3022" ht="15.75" customHeight="1">
      <c r="A3022" s="53" t="s">
        <v>3100</v>
      </c>
      <c r="B3022" s="53" t="s">
        <v>29</v>
      </c>
      <c r="C3022" s="53" t="s">
        <v>54</v>
      </c>
      <c r="D3022" s="54">
        <v>135750.04</v>
      </c>
      <c r="E3022" s="54" t="str">
        <f t="shared" si="1"/>
        <v>₹1,629,000.48</v>
      </c>
      <c r="F3022" s="55" t="str">
        <f t="shared" si="2"/>
        <v>30.0%</v>
      </c>
      <c r="G3022" s="54" t="str">
        <f t="shared" si="3"/>
        <v>₹488,700.14</v>
      </c>
      <c r="H3022" s="54" t="str">
        <f t="shared" si="4"/>
        <v>₹40,725.01</v>
      </c>
      <c r="I3022" s="54" t="str">
        <f>118066.63-H3022</f>
        <v>₹77,341.62</v>
      </c>
    </row>
    <row r="3023" ht="15.75" customHeight="1">
      <c r="A3023" s="50" t="s">
        <v>3101</v>
      </c>
      <c r="B3023" s="50" t="s">
        <v>25</v>
      </c>
      <c r="C3023" s="50" t="s">
        <v>30</v>
      </c>
      <c r="D3023" s="51">
        <v>135773.21</v>
      </c>
      <c r="E3023" s="51" t="str">
        <f t="shared" si="1"/>
        <v>₹1,629,278.52</v>
      </c>
      <c r="F3023" s="52" t="str">
        <f t="shared" si="2"/>
        <v>30.0%</v>
      </c>
      <c r="G3023" s="51" t="str">
        <f t="shared" si="3"/>
        <v>₹488,783.56</v>
      </c>
      <c r="H3023" s="51" t="str">
        <f t="shared" si="4"/>
        <v>₹40,731.96</v>
      </c>
      <c r="I3023" s="51" t="str">
        <f>118086.4-H3023</f>
        <v>₹77,354.44</v>
      </c>
    </row>
    <row r="3024" ht="15.75" customHeight="1">
      <c r="A3024" s="53" t="s">
        <v>3102</v>
      </c>
      <c r="B3024" s="53" t="s">
        <v>29</v>
      </c>
      <c r="C3024" s="53" t="s">
        <v>14</v>
      </c>
      <c r="D3024" s="54">
        <v>135796.39</v>
      </c>
      <c r="E3024" s="54" t="str">
        <f t="shared" si="1"/>
        <v>₹1,629,556.68</v>
      </c>
      <c r="F3024" s="55" t="str">
        <f t="shared" si="2"/>
        <v>30.0%</v>
      </c>
      <c r="G3024" s="54" t="str">
        <f t="shared" si="3"/>
        <v>₹488,867.00</v>
      </c>
      <c r="H3024" s="54" t="str">
        <f t="shared" si="4"/>
        <v>₹40,738.92</v>
      </c>
      <c r="I3024" s="54" t="str">
        <f>118106.18-H3024</f>
        <v>₹77,367.26</v>
      </c>
    </row>
    <row r="3025" ht="15.75" customHeight="1">
      <c r="A3025" s="50" t="s">
        <v>3103</v>
      </c>
      <c r="B3025" s="50" t="s">
        <v>29</v>
      </c>
      <c r="C3025" s="50" t="s">
        <v>54</v>
      </c>
      <c r="D3025" s="51">
        <v>135819.57</v>
      </c>
      <c r="E3025" s="51" t="str">
        <f t="shared" si="1"/>
        <v>₹1,629,834.84</v>
      </c>
      <c r="F3025" s="52" t="str">
        <f t="shared" si="2"/>
        <v>30.0%</v>
      </c>
      <c r="G3025" s="51" t="str">
        <f t="shared" si="3"/>
        <v>₹488,950.45</v>
      </c>
      <c r="H3025" s="51" t="str">
        <f t="shared" si="4"/>
        <v>₹40,745.87</v>
      </c>
      <c r="I3025" s="51" t="str">
        <f>118125.97-H3025</f>
        <v>₹77,380.10</v>
      </c>
    </row>
    <row r="3026" ht="15.75" customHeight="1">
      <c r="A3026" s="53" t="s">
        <v>3104</v>
      </c>
      <c r="B3026" s="53" t="s">
        <v>25</v>
      </c>
      <c r="C3026" s="53" t="s">
        <v>33</v>
      </c>
      <c r="D3026" s="54">
        <v>135842.75</v>
      </c>
      <c r="E3026" s="54" t="str">
        <f t="shared" si="1"/>
        <v>₹1,630,113.00</v>
      </c>
      <c r="F3026" s="55" t="str">
        <f t="shared" si="2"/>
        <v>30.0%</v>
      </c>
      <c r="G3026" s="54" t="str">
        <f t="shared" si="3"/>
        <v>₹489,033.90</v>
      </c>
      <c r="H3026" s="54" t="str">
        <f t="shared" si="4"/>
        <v>₹40,752.83</v>
      </c>
      <c r="I3026" s="54" t="str">
        <f>118145.75-H3026</f>
        <v>₹77,392.93</v>
      </c>
    </row>
    <row r="3027" ht="15.75" customHeight="1">
      <c r="A3027" s="50" t="s">
        <v>3105</v>
      </c>
      <c r="B3027" s="50" t="s">
        <v>53</v>
      </c>
      <c r="C3027" s="50" t="s">
        <v>26</v>
      </c>
      <c r="D3027" s="51">
        <v>135865.92</v>
      </c>
      <c r="E3027" s="51" t="str">
        <f t="shared" si="1"/>
        <v>₹1,630,391.04</v>
      </c>
      <c r="F3027" s="52" t="str">
        <f t="shared" si="2"/>
        <v>30.0%</v>
      </c>
      <c r="G3027" s="51" t="str">
        <f t="shared" si="3"/>
        <v>₹489,117.31</v>
      </c>
      <c r="H3027" s="51" t="str">
        <f t="shared" si="4"/>
        <v>₹40,759.78</v>
      </c>
      <c r="I3027" s="51" t="str">
        <f>118165.52-H3027</f>
        <v>₹77,405.74</v>
      </c>
    </row>
    <row r="3028" ht="15.75" customHeight="1">
      <c r="A3028" s="53" t="s">
        <v>3106</v>
      </c>
      <c r="B3028" s="53" t="s">
        <v>36</v>
      </c>
      <c r="C3028" s="53" t="s">
        <v>30</v>
      </c>
      <c r="D3028" s="54">
        <v>135889.1</v>
      </c>
      <c r="E3028" s="54" t="str">
        <f t="shared" si="1"/>
        <v>₹1,630,669.20</v>
      </c>
      <c r="F3028" s="55" t="str">
        <f t="shared" si="2"/>
        <v>30.0%</v>
      </c>
      <c r="G3028" s="54" t="str">
        <f t="shared" si="3"/>
        <v>₹489,200.76</v>
      </c>
      <c r="H3028" s="54" t="str">
        <f t="shared" si="4"/>
        <v>₹40,766.73</v>
      </c>
      <c r="I3028" s="54" t="str">
        <f>118185.3-H3028</f>
        <v>₹77,418.57</v>
      </c>
    </row>
    <row r="3029" ht="15.75" customHeight="1">
      <c r="A3029" s="50" t="s">
        <v>3107</v>
      </c>
      <c r="B3029" s="50" t="s">
        <v>53</v>
      </c>
      <c r="C3029" s="50" t="s">
        <v>33</v>
      </c>
      <c r="D3029" s="51">
        <v>135912.28</v>
      </c>
      <c r="E3029" s="51" t="str">
        <f t="shared" si="1"/>
        <v>₹1,630,947.36</v>
      </c>
      <c r="F3029" s="52" t="str">
        <f t="shared" si="2"/>
        <v>30.0%</v>
      </c>
      <c r="G3029" s="51" t="str">
        <f t="shared" si="3"/>
        <v>₹489,284.21</v>
      </c>
      <c r="H3029" s="51" t="str">
        <f t="shared" si="4"/>
        <v>₹40,773.68</v>
      </c>
      <c r="I3029" s="51" t="str">
        <f>118205.09-H3029</f>
        <v>₹77,431.41</v>
      </c>
    </row>
    <row r="3030" ht="15.75" customHeight="1">
      <c r="A3030" s="53" t="s">
        <v>3108</v>
      </c>
      <c r="B3030" s="53" t="s">
        <v>51</v>
      </c>
      <c r="C3030" s="53" t="s">
        <v>26</v>
      </c>
      <c r="D3030" s="54">
        <v>135935.46</v>
      </c>
      <c r="E3030" s="54" t="str">
        <f t="shared" si="1"/>
        <v>₹1,631,225.52</v>
      </c>
      <c r="F3030" s="55" t="str">
        <f t="shared" si="2"/>
        <v>30.0%</v>
      </c>
      <c r="G3030" s="54" t="str">
        <f t="shared" si="3"/>
        <v>₹489,367.66</v>
      </c>
      <c r="H3030" s="54" t="str">
        <f t="shared" si="4"/>
        <v>₹40,780.64</v>
      </c>
      <c r="I3030" s="54" t="str">
        <f>118224.87-H3030</f>
        <v>₹77,444.23</v>
      </c>
    </row>
    <row r="3031" ht="15.75" customHeight="1">
      <c r="A3031" s="50" t="s">
        <v>3109</v>
      </c>
      <c r="B3031" s="50" t="s">
        <v>17</v>
      </c>
      <c r="C3031" s="50" t="s">
        <v>14</v>
      </c>
      <c r="D3031" s="51">
        <v>135958.63</v>
      </c>
      <c r="E3031" s="51" t="str">
        <f t="shared" si="1"/>
        <v>₹1,631,503.56</v>
      </c>
      <c r="F3031" s="52" t="str">
        <f t="shared" si="2"/>
        <v>30.0%</v>
      </c>
      <c r="G3031" s="51" t="str">
        <f t="shared" si="3"/>
        <v>₹489,451.07</v>
      </c>
      <c r="H3031" s="51" t="str">
        <f t="shared" si="4"/>
        <v>₹40,787.59</v>
      </c>
      <c r="I3031" s="51" t="str">
        <f>118244.64-H3031</f>
        <v>₹77,457.05</v>
      </c>
    </row>
    <row r="3032" ht="15.75" customHeight="1">
      <c r="A3032" s="53" t="s">
        <v>3110</v>
      </c>
      <c r="B3032" s="53" t="s">
        <v>53</v>
      </c>
      <c r="C3032" s="53" t="s">
        <v>54</v>
      </c>
      <c r="D3032" s="54">
        <v>135981.81</v>
      </c>
      <c r="E3032" s="54" t="str">
        <f t="shared" si="1"/>
        <v>₹1,631,781.72</v>
      </c>
      <c r="F3032" s="55" t="str">
        <f t="shared" si="2"/>
        <v>30.0%</v>
      </c>
      <c r="G3032" s="54" t="str">
        <f t="shared" si="3"/>
        <v>₹489,534.52</v>
      </c>
      <c r="H3032" s="54" t="str">
        <f t="shared" si="4"/>
        <v>₹40,794.54</v>
      </c>
      <c r="I3032" s="54" t="str">
        <f>118264.42-H3032</f>
        <v>₹77,469.88</v>
      </c>
    </row>
    <row r="3033" ht="15.75" customHeight="1">
      <c r="A3033" s="50" t="s">
        <v>3111</v>
      </c>
      <c r="B3033" s="50" t="s">
        <v>17</v>
      </c>
      <c r="C3033" s="50" t="s">
        <v>26</v>
      </c>
      <c r="D3033" s="51">
        <v>136004.99</v>
      </c>
      <c r="E3033" s="51" t="str">
        <f t="shared" si="1"/>
        <v>₹1,632,059.88</v>
      </c>
      <c r="F3033" s="52" t="str">
        <f t="shared" si="2"/>
        <v>30.0%</v>
      </c>
      <c r="G3033" s="51" t="str">
        <f t="shared" si="3"/>
        <v>₹489,617.96</v>
      </c>
      <c r="H3033" s="51" t="str">
        <f t="shared" si="4"/>
        <v>₹40,801.50</v>
      </c>
      <c r="I3033" s="51" t="str">
        <f>118284.2-H3033</f>
        <v>₹77,482.70</v>
      </c>
    </row>
    <row r="3034" ht="15.75" customHeight="1">
      <c r="A3034" s="53" t="s">
        <v>3112</v>
      </c>
      <c r="B3034" s="53" t="s">
        <v>17</v>
      </c>
      <c r="C3034" s="53" t="s">
        <v>33</v>
      </c>
      <c r="D3034" s="54">
        <v>136028.17</v>
      </c>
      <c r="E3034" s="54" t="str">
        <f t="shared" si="1"/>
        <v>₹1,632,338.04</v>
      </c>
      <c r="F3034" s="55" t="str">
        <f t="shared" si="2"/>
        <v>30.0%</v>
      </c>
      <c r="G3034" s="54" t="str">
        <f t="shared" si="3"/>
        <v>₹489,701.41</v>
      </c>
      <c r="H3034" s="54" t="str">
        <f t="shared" si="4"/>
        <v>₹40,808.45</v>
      </c>
      <c r="I3034" s="54" t="str">
        <f>118303.99-H3034</f>
        <v>₹77,495.54</v>
      </c>
    </row>
    <row r="3035" ht="15.75" customHeight="1">
      <c r="A3035" s="50" t="s">
        <v>3113</v>
      </c>
      <c r="B3035" s="50" t="s">
        <v>29</v>
      </c>
      <c r="C3035" s="50" t="s">
        <v>54</v>
      </c>
      <c r="D3035" s="51">
        <v>136051.35</v>
      </c>
      <c r="E3035" s="51" t="str">
        <f t="shared" si="1"/>
        <v>₹1,632,616.20</v>
      </c>
      <c r="F3035" s="52" t="str">
        <f t="shared" si="2"/>
        <v>30.0%</v>
      </c>
      <c r="G3035" s="51" t="str">
        <f t="shared" si="3"/>
        <v>₹489,784.86</v>
      </c>
      <c r="H3035" s="51" t="str">
        <f t="shared" si="4"/>
        <v>₹40,815.41</v>
      </c>
      <c r="I3035" s="51" t="str">
        <f>118323.77-H3035</f>
        <v>₹77,508.37</v>
      </c>
    </row>
    <row r="3036" ht="15.75" customHeight="1">
      <c r="A3036" s="53" t="s">
        <v>3114</v>
      </c>
      <c r="B3036" s="53" t="s">
        <v>51</v>
      </c>
      <c r="C3036" s="53" t="s">
        <v>37</v>
      </c>
      <c r="D3036" s="54">
        <v>136074.52</v>
      </c>
      <c r="E3036" s="54" t="str">
        <f t="shared" si="1"/>
        <v>₹1,632,894.24</v>
      </c>
      <c r="F3036" s="55" t="str">
        <f t="shared" si="2"/>
        <v>30.0%</v>
      </c>
      <c r="G3036" s="54" t="str">
        <f t="shared" si="3"/>
        <v>₹489,868.27</v>
      </c>
      <c r="H3036" s="54" t="str">
        <f t="shared" si="4"/>
        <v>₹40,822.36</v>
      </c>
      <c r="I3036" s="54" t="str">
        <f>118343.54-H3036</f>
        <v>₹77,521.18</v>
      </c>
    </row>
    <row r="3037" ht="15.75" customHeight="1">
      <c r="A3037" s="50" t="s">
        <v>3115</v>
      </c>
      <c r="B3037" s="50" t="s">
        <v>53</v>
      </c>
      <c r="C3037" s="50" t="s">
        <v>37</v>
      </c>
      <c r="D3037" s="51">
        <v>136120.88</v>
      </c>
      <c r="E3037" s="51" t="str">
        <f t="shared" si="1"/>
        <v>₹1,633,450.56</v>
      </c>
      <c r="F3037" s="52" t="str">
        <f t="shared" si="2"/>
        <v>30.0%</v>
      </c>
      <c r="G3037" s="51" t="str">
        <f t="shared" si="3"/>
        <v>₹490,035.17</v>
      </c>
      <c r="H3037" s="51" t="str">
        <f t="shared" si="4"/>
        <v>₹40,836.26</v>
      </c>
      <c r="I3037" s="51" t="str">
        <f>118383.11-H3037</f>
        <v>₹77,546.85</v>
      </c>
    </row>
    <row r="3038" ht="15.75" customHeight="1">
      <c r="A3038" s="53" t="s">
        <v>3116</v>
      </c>
      <c r="B3038" s="53" t="s">
        <v>36</v>
      </c>
      <c r="C3038" s="53" t="s">
        <v>26</v>
      </c>
      <c r="D3038" s="54">
        <v>136144.06</v>
      </c>
      <c r="E3038" s="54" t="str">
        <f t="shared" si="1"/>
        <v>₹1,633,728.72</v>
      </c>
      <c r="F3038" s="55" t="str">
        <f t="shared" si="2"/>
        <v>30.0%</v>
      </c>
      <c r="G3038" s="54" t="str">
        <f t="shared" si="3"/>
        <v>₹490,118.62</v>
      </c>
      <c r="H3038" s="54" t="str">
        <f t="shared" si="4"/>
        <v>₹40,843.22</v>
      </c>
      <c r="I3038" s="54" t="str">
        <f>118402.89-H3038</f>
        <v>₹77,559.67</v>
      </c>
    </row>
    <row r="3039" ht="15.75" customHeight="1">
      <c r="A3039" s="50" t="s">
        <v>3117</v>
      </c>
      <c r="B3039" s="50" t="s">
        <v>53</v>
      </c>
      <c r="C3039" s="50" t="s">
        <v>26</v>
      </c>
      <c r="D3039" s="51">
        <v>136167.23</v>
      </c>
      <c r="E3039" s="51" t="str">
        <f t="shared" si="1"/>
        <v>₹1,634,006.76</v>
      </c>
      <c r="F3039" s="52" t="str">
        <f t="shared" si="2"/>
        <v>30.0%</v>
      </c>
      <c r="G3039" s="51" t="str">
        <f t="shared" si="3"/>
        <v>₹490,202.03</v>
      </c>
      <c r="H3039" s="51" t="str">
        <f t="shared" si="4"/>
        <v>₹40,850.17</v>
      </c>
      <c r="I3039" s="51" t="str">
        <f>118422.66-H3039</f>
        <v>₹77,572.49</v>
      </c>
    </row>
    <row r="3040" ht="15.75" customHeight="1">
      <c r="A3040" s="53" t="s">
        <v>3118</v>
      </c>
      <c r="B3040" s="53" t="s">
        <v>51</v>
      </c>
      <c r="C3040" s="53" t="s">
        <v>30</v>
      </c>
      <c r="D3040" s="54">
        <v>136190.41</v>
      </c>
      <c r="E3040" s="54" t="str">
        <f t="shared" si="1"/>
        <v>₹1,634,284.92</v>
      </c>
      <c r="F3040" s="55" t="str">
        <f t="shared" si="2"/>
        <v>30.0%</v>
      </c>
      <c r="G3040" s="54" t="str">
        <f t="shared" si="3"/>
        <v>₹490,285.48</v>
      </c>
      <c r="H3040" s="54" t="str">
        <f t="shared" si="4"/>
        <v>₹40,857.12</v>
      </c>
      <c r="I3040" s="54" t="str">
        <f>118442.44-H3040</f>
        <v>₹77,585.32</v>
      </c>
    </row>
    <row r="3041" ht="15.75" customHeight="1">
      <c r="A3041" s="50" t="s">
        <v>3119</v>
      </c>
      <c r="B3041" s="50" t="s">
        <v>53</v>
      </c>
      <c r="C3041" s="50" t="s">
        <v>26</v>
      </c>
      <c r="D3041" s="51">
        <v>136213.59</v>
      </c>
      <c r="E3041" s="51" t="str">
        <f t="shared" si="1"/>
        <v>₹1,634,563.08</v>
      </c>
      <c r="F3041" s="52" t="str">
        <f t="shared" si="2"/>
        <v>30.0%</v>
      </c>
      <c r="G3041" s="51" t="str">
        <f t="shared" si="3"/>
        <v>₹490,368.92</v>
      </c>
      <c r="H3041" s="51" t="str">
        <f t="shared" si="4"/>
        <v>₹40,864.08</v>
      </c>
      <c r="I3041" s="51" t="str">
        <f>118462.23-H3041</f>
        <v>₹77,598.15</v>
      </c>
    </row>
    <row r="3042" ht="15.75" customHeight="1">
      <c r="A3042" s="53" t="s">
        <v>3120</v>
      </c>
      <c r="B3042" s="53" t="s">
        <v>25</v>
      </c>
      <c r="C3042" s="53" t="s">
        <v>37</v>
      </c>
      <c r="D3042" s="54">
        <v>136236.77</v>
      </c>
      <c r="E3042" s="54" t="str">
        <f t="shared" si="1"/>
        <v>₹1,634,841.24</v>
      </c>
      <c r="F3042" s="55" t="str">
        <f t="shared" si="2"/>
        <v>30.0%</v>
      </c>
      <c r="G3042" s="54" t="str">
        <f t="shared" si="3"/>
        <v>₹490,452.37</v>
      </c>
      <c r="H3042" s="54" t="str">
        <f t="shared" si="4"/>
        <v>₹40,871.03</v>
      </c>
      <c r="I3042" s="54" t="str">
        <f>118482.01-H3042</f>
        <v>₹77,610.98</v>
      </c>
    </row>
    <row r="3043" ht="15.75" customHeight="1">
      <c r="A3043" s="50" t="s">
        <v>3121</v>
      </c>
      <c r="B3043" s="50" t="s">
        <v>13</v>
      </c>
      <c r="C3043" s="50" t="s">
        <v>37</v>
      </c>
      <c r="D3043" s="51">
        <v>136259.94</v>
      </c>
      <c r="E3043" s="51" t="str">
        <f t="shared" si="1"/>
        <v>₹1,635,119.28</v>
      </c>
      <c r="F3043" s="52" t="str">
        <f t="shared" si="2"/>
        <v>30.0%</v>
      </c>
      <c r="G3043" s="51" t="str">
        <f t="shared" si="3"/>
        <v>₹490,535.78</v>
      </c>
      <c r="H3043" s="51" t="str">
        <f t="shared" si="4"/>
        <v>₹40,877.98</v>
      </c>
      <c r="I3043" s="51" t="str">
        <f>118501.78-H3043</f>
        <v>₹77,623.80</v>
      </c>
    </row>
    <row r="3044" ht="15.75" customHeight="1">
      <c r="A3044" s="53" t="s">
        <v>3122</v>
      </c>
      <c r="B3044" s="53" t="s">
        <v>51</v>
      </c>
      <c r="C3044" s="53" t="s">
        <v>30</v>
      </c>
      <c r="D3044" s="54">
        <v>136283.12</v>
      </c>
      <c r="E3044" s="54" t="str">
        <f t="shared" si="1"/>
        <v>₹1,635,397.44</v>
      </c>
      <c r="F3044" s="55" t="str">
        <f t="shared" si="2"/>
        <v>30.0%</v>
      </c>
      <c r="G3044" s="54" t="str">
        <f t="shared" si="3"/>
        <v>₹490,619.23</v>
      </c>
      <c r="H3044" s="54" t="str">
        <f t="shared" si="4"/>
        <v>₹40,884.94</v>
      </c>
      <c r="I3044" s="54" t="str">
        <f>118521.56-H3044</f>
        <v>₹77,636.62</v>
      </c>
    </row>
    <row r="3045" ht="15.75" customHeight="1">
      <c r="A3045" s="50" t="s">
        <v>3123</v>
      </c>
      <c r="B3045" s="50" t="s">
        <v>51</v>
      </c>
      <c r="C3045" s="50" t="s">
        <v>30</v>
      </c>
      <c r="D3045" s="51">
        <v>136306.3</v>
      </c>
      <c r="E3045" s="51" t="str">
        <f t="shared" si="1"/>
        <v>₹1,635,675.60</v>
      </c>
      <c r="F3045" s="52" t="str">
        <f t="shared" si="2"/>
        <v>30.0%</v>
      </c>
      <c r="G3045" s="51" t="str">
        <f t="shared" si="3"/>
        <v>₹490,702.68</v>
      </c>
      <c r="H3045" s="51" t="str">
        <f t="shared" si="4"/>
        <v>₹40,891.89</v>
      </c>
      <c r="I3045" s="51" t="str">
        <f>118541.35-H3045</f>
        <v>₹77,649.46</v>
      </c>
    </row>
    <row r="3046" ht="15.75" customHeight="1">
      <c r="A3046" s="53" t="s">
        <v>3124</v>
      </c>
      <c r="B3046" s="53" t="s">
        <v>36</v>
      </c>
      <c r="C3046" s="53" t="s">
        <v>30</v>
      </c>
      <c r="D3046" s="54">
        <v>136329.48</v>
      </c>
      <c r="E3046" s="54" t="str">
        <f t="shared" si="1"/>
        <v>₹1,635,953.76</v>
      </c>
      <c r="F3046" s="55" t="str">
        <f t="shared" si="2"/>
        <v>30.0%</v>
      </c>
      <c r="G3046" s="54" t="str">
        <f t="shared" si="3"/>
        <v>₹490,786.13</v>
      </c>
      <c r="H3046" s="54" t="str">
        <f t="shared" si="4"/>
        <v>₹40,898.84</v>
      </c>
      <c r="I3046" s="54" t="str">
        <f>118561.13-H3046</f>
        <v>₹77,662.29</v>
      </c>
    </row>
    <row r="3047" ht="15.75" customHeight="1">
      <c r="A3047" s="50" t="s">
        <v>3125</v>
      </c>
      <c r="B3047" s="50" t="s">
        <v>13</v>
      </c>
      <c r="C3047" s="50" t="s">
        <v>37</v>
      </c>
      <c r="D3047" s="51">
        <v>136352.66</v>
      </c>
      <c r="E3047" s="51" t="str">
        <f t="shared" si="1"/>
        <v>₹1,636,231.92</v>
      </c>
      <c r="F3047" s="52" t="str">
        <f t="shared" si="2"/>
        <v>30.0%</v>
      </c>
      <c r="G3047" s="51" t="str">
        <f t="shared" si="3"/>
        <v>₹490,869.58</v>
      </c>
      <c r="H3047" s="51" t="str">
        <f t="shared" si="4"/>
        <v>₹40,905.80</v>
      </c>
      <c r="I3047" s="51" t="str">
        <f>118580.91-H3047</f>
        <v>₹77,675.11</v>
      </c>
    </row>
    <row r="3048" ht="15.75" customHeight="1">
      <c r="A3048" s="53" t="s">
        <v>3126</v>
      </c>
      <c r="B3048" s="53" t="s">
        <v>53</v>
      </c>
      <c r="C3048" s="53" t="s">
        <v>14</v>
      </c>
      <c r="D3048" s="54">
        <v>136375.83</v>
      </c>
      <c r="E3048" s="54" t="str">
        <f t="shared" si="1"/>
        <v>₹1,636,509.96</v>
      </c>
      <c r="F3048" s="55" t="str">
        <f t="shared" si="2"/>
        <v>30.0%</v>
      </c>
      <c r="G3048" s="54" t="str">
        <f t="shared" si="3"/>
        <v>₹490,952.99</v>
      </c>
      <c r="H3048" s="54" t="str">
        <f t="shared" si="4"/>
        <v>₹40,912.75</v>
      </c>
      <c r="I3048" s="54" t="str">
        <f>118600.68-H3048</f>
        <v>₹77,687.93</v>
      </c>
    </row>
    <row r="3049" ht="15.75" customHeight="1">
      <c r="A3049" s="50" t="s">
        <v>3127</v>
      </c>
      <c r="B3049" s="50" t="s">
        <v>29</v>
      </c>
      <c r="C3049" s="50" t="s">
        <v>54</v>
      </c>
      <c r="D3049" s="51">
        <v>136399.01</v>
      </c>
      <c r="E3049" s="51" t="str">
        <f t="shared" si="1"/>
        <v>₹1,636,788.12</v>
      </c>
      <c r="F3049" s="52" t="str">
        <f t="shared" si="2"/>
        <v>30.0%</v>
      </c>
      <c r="G3049" s="51" t="str">
        <f t="shared" si="3"/>
        <v>₹491,036.44</v>
      </c>
      <c r="H3049" s="51" t="str">
        <f t="shared" si="4"/>
        <v>₹40,919.70</v>
      </c>
      <c r="I3049" s="51" t="str">
        <f>118620.47-H3049</f>
        <v>₹77,700.77</v>
      </c>
    </row>
    <row r="3050" ht="15.75" customHeight="1">
      <c r="A3050" s="53" t="s">
        <v>3128</v>
      </c>
      <c r="B3050" s="53" t="s">
        <v>36</v>
      </c>
      <c r="C3050" s="53" t="s">
        <v>54</v>
      </c>
      <c r="D3050" s="54">
        <v>136422.19</v>
      </c>
      <c r="E3050" s="54" t="str">
        <f t="shared" si="1"/>
        <v>₹1,637,066.28</v>
      </c>
      <c r="F3050" s="55" t="str">
        <f t="shared" si="2"/>
        <v>30.0%</v>
      </c>
      <c r="G3050" s="54" t="str">
        <f t="shared" si="3"/>
        <v>₹491,119.88</v>
      </c>
      <c r="H3050" s="54" t="str">
        <f t="shared" si="4"/>
        <v>₹40,926.66</v>
      </c>
      <c r="I3050" s="54" t="str">
        <f>118640.25-H3050</f>
        <v>₹77,713.59</v>
      </c>
    </row>
    <row r="3051" ht="15.75" customHeight="1">
      <c r="A3051" s="50" t="s">
        <v>3129</v>
      </c>
      <c r="B3051" s="50" t="s">
        <v>51</v>
      </c>
      <c r="C3051" s="50" t="s">
        <v>37</v>
      </c>
      <c r="D3051" s="51">
        <v>136445.37</v>
      </c>
      <c r="E3051" s="51" t="str">
        <f t="shared" si="1"/>
        <v>₹1,637,344.44</v>
      </c>
      <c r="F3051" s="52" t="str">
        <f t="shared" si="2"/>
        <v>30.0%</v>
      </c>
      <c r="G3051" s="51" t="str">
        <f t="shared" si="3"/>
        <v>₹491,203.33</v>
      </c>
      <c r="H3051" s="51" t="str">
        <f t="shared" si="4"/>
        <v>₹40,933.61</v>
      </c>
      <c r="I3051" s="51" t="str">
        <f>118660.03-H3051</f>
        <v>₹77,726.42</v>
      </c>
    </row>
    <row r="3052" ht="15.75" customHeight="1">
      <c r="A3052" s="53" t="s">
        <v>3130</v>
      </c>
      <c r="B3052" s="53" t="s">
        <v>51</v>
      </c>
      <c r="C3052" s="53" t="s">
        <v>26</v>
      </c>
      <c r="D3052" s="54">
        <v>136468.54</v>
      </c>
      <c r="E3052" s="54" t="str">
        <f t="shared" si="1"/>
        <v>₹1,637,622.48</v>
      </c>
      <c r="F3052" s="55" t="str">
        <f t="shared" si="2"/>
        <v>30.0%</v>
      </c>
      <c r="G3052" s="54" t="str">
        <f t="shared" si="3"/>
        <v>₹491,286.74</v>
      </c>
      <c r="H3052" s="54" t="str">
        <f t="shared" si="4"/>
        <v>₹40,940.56</v>
      </c>
      <c r="I3052" s="54" t="str">
        <f>118679.8-H3052</f>
        <v>₹77,739.24</v>
      </c>
    </row>
    <row r="3053" ht="15.75" customHeight="1">
      <c r="A3053" s="50" t="s">
        <v>3131</v>
      </c>
      <c r="B3053" s="50" t="s">
        <v>13</v>
      </c>
      <c r="C3053" s="50" t="s">
        <v>33</v>
      </c>
      <c r="D3053" s="51">
        <v>136491.72</v>
      </c>
      <c r="E3053" s="51" t="str">
        <f t="shared" si="1"/>
        <v>₹1,637,900.64</v>
      </c>
      <c r="F3053" s="52" t="str">
        <f t="shared" si="2"/>
        <v>30.0%</v>
      </c>
      <c r="G3053" s="51" t="str">
        <f t="shared" si="3"/>
        <v>₹491,370.19</v>
      </c>
      <c r="H3053" s="51" t="str">
        <f t="shared" si="4"/>
        <v>₹40,947.52</v>
      </c>
      <c r="I3053" s="51" t="str">
        <f>118699.59-H3053</f>
        <v>₹77,752.07</v>
      </c>
    </row>
    <row r="3054" ht="15.75" customHeight="1">
      <c r="A3054" s="53" t="s">
        <v>3132</v>
      </c>
      <c r="B3054" s="53" t="s">
        <v>17</v>
      </c>
      <c r="C3054" s="53" t="s">
        <v>14</v>
      </c>
      <c r="D3054" s="54">
        <v>136514.9</v>
      </c>
      <c r="E3054" s="54" t="str">
        <f t="shared" si="1"/>
        <v>₹1,638,178.80</v>
      </c>
      <c r="F3054" s="55" t="str">
        <f t="shared" si="2"/>
        <v>30.0%</v>
      </c>
      <c r="G3054" s="54" t="str">
        <f t="shared" si="3"/>
        <v>₹491,453.64</v>
      </c>
      <c r="H3054" s="54" t="str">
        <f t="shared" si="4"/>
        <v>₹40,954.47</v>
      </c>
      <c r="I3054" s="54" t="str">
        <f>118719.37-H3054</f>
        <v>₹77,764.90</v>
      </c>
    </row>
    <row r="3055" ht="15.75" customHeight="1">
      <c r="A3055" s="50" t="s">
        <v>3133</v>
      </c>
      <c r="B3055" s="50" t="s">
        <v>29</v>
      </c>
      <c r="C3055" s="50" t="s">
        <v>33</v>
      </c>
      <c r="D3055" s="51">
        <v>136538.08</v>
      </c>
      <c r="E3055" s="51" t="str">
        <f t="shared" si="1"/>
        <v>₹1,638,456.96</v>
      </c>
      <c r="F3055" s="52" t="str">
        <f t="shared" si="2"/>
        <v>30.0%</v>
      </c>
      <c r="G3055" s="51" t="str">
        <f t="shared" si="3"/>
        <v>₹491,537.09</v>
      </c>
      <c r="H3055" s="51" t="str">
        <f t="shared" si="4"/>
        <v>₹40,961.42</v>
      </c>
      <c r="I3055" s="51" t="str">
        <f>118739.15-H3055</f>
        <v>₹77,777.73</v>
      </c>
    </row>
    <row r="3056" ht="15.75" customHeight="1">
      <c r="A3056" s="53" t="s">
        <v>3134</v>
      </c>
      <c r="B3056" s="53" t="s">
        <v>13</v>
      </c>
      <c r="C3056" s="53" t="s">
        <v>54</v>
      </c>
      <c r="D3056" s="54">
        <v>136561.25</v>
      </c>
      <c r="E3056" s="54" t="str">
        <f t="shared" si="1"/>
        <v>₹1,638,735.00</v>
      </c>
      <c r="F3056" s="55" t="str">
        <f t="shared" si="2"/>
        <v>30.0%</v>
      </c>
      <c r="G3056" s="54" t="str">
        <f t="shared" si="3"/>
        <v>₹491,620.50</v>
      </c>
      <c r="H3056" s="54" t="str">
        <f t="shared" si="4"/>
        <v>₹40,968.38</v>
      </c>
      <c r="I3056" s="54" t="str">
        <f>118758.92-H3056</f>
        <v>₹77,790.55</v>
      </c>
    </row>
    <row r="3057" ht="15.75" customHeight="1">
      <c r="A3057" s="50" t="s">
        <v>3135</v>
      </c>
      <c r="B3057" s="50" t="s">
        <v>51</v>
      </c>
      <c r="C3057" s="50" t="s">
        <v>37</v>
      </c>
      <c r="D3057" s="51">
        <v>136584.43</v>
      </c>
      <c r="E3057" s="51" t="str">
        <f t="shared" si="1"/>
        <v>₹1,639,013.16</v>
      </c>
      <c r="F3057" s="52" t="str">
        <f t="shared" si="2"/>
        <v>30.0%</v>
      </c>
      <c r="G3057" s="51" t="str">
        <f t="shared" si="3"/>
        <v>₹491,703.95</v>
      </c>
      <c r="H3057" s="51" t="str">
        <f t="shared" si="4"/>
        <v>₹40,975.33</v>
      </c>
      <c r="I3057" s="51" t="str">
        <f>118778.71-H3057</f>
        <v>₹77,803.38</v>
      </c>
    </row>
    <row r="3058" ht="15.75" customHeight="1">
      <c r="A3058" s="53" t="s">
        <v>3136</v>
      </c>
      <c r="B3058" s="53" t="s">
        <v>36</v>
      </c>
      <c r="C3058" s="53" t="s">
        <v>37</v>
      </c>
      <c r="D3058" s="54">
        <v>136607.61</v>
      </c>
      <c r="E3058" s="54" t="str">
        <f t="shared" si="1"/>
        <v>₹1,639,291.32</v>
      </c>
      <c r="F3058" s="55" t="str">
        <f t="shared" si="2"/>
        <v>30.0%</v>
      </c>
      <c r="G3058" s="54" t="str">
        <f t="shared" si="3"/>
        <v>₹491,787.40</v>
      </c>
      <c r="H3058" s="54" t="str">
        <f t="shared" si="4"/>
        <v>₹40,982.28</v>
      </c>
      <c r="I3058" s="54" t="str">
        <f>118798.49-H3058</f>
        <v>₹77,816.21</v>
      </c>
    </row>
    <row r="3059" ht="15.75" customHeight="1">
      <c r="A3059" s="50" t="s">
        <v>3137</v>
      </c>
      <c r="B3059" s="50" t="s">
        <v>51</v>
      </c>
      <c r="C3059" s="50" t="s">
        <v>26</v>
      </c>
      <c r="D3059" s="51">
        <v>136630.79</v>
      </c>
      <c r="E3059" s="51" t="str">
        <f t="shared" si="1"/>
        <v>₹1,639,569.48</v>
      </c>
      <c r="F3059" s="52" t="str">
        <f t="shared" si="2"/>
        <v>30.0%</v>
      </c>
      <c r="G3059" s="51" t="str">
        <f t="shared" si="3"/>
        <v>₹491,870.84</v>
      </c>
      <c r="H3059" s="51" t="str">
        <f t="shared" si="4"/>
        <v>₹40,989.24</v>
      </c>
      <c r="I3059" s="51" t="str">
        <f>118818.27-H3059</f>
        <v>₹77,829.03</v>
      </c>
    </row>
    <row r="3060" ht="15.75" customHeight="1">
      <c r="A3060" s="53" t="s">
        <v>3138</v>
      </c>
      <c r="B3060" s="53" t="s">
        <v>13</v>
      </c>
      <c r="C3060" s="53" t="s">
        <v>18</v>
      </c>
      <c r="D3060" s="54">
        <v>136653.97</v>
      </c>
      <c r="E3060" s="54" t="str">
        <f t="shared" si="1"/>
        <v>₹1,639,847.64</v>
      </c>
      <c r="F3060" s="55" t="str">
        <f t="shared" si="2"/>
        <v>30.0%</v>
      </c>
      <c r="G3060" s="54" t="str">
        <f t="shared" si="3"/>
        <v>₹491,954.29</v>
      </c>
      <c r="H3060" s="54" t="str">
        <f t="shared" si="4"/>
        <v>₹40,996.19</v>
      </c>
      <c r="I3060" s="54" t="str">
        <f>118838.05-H3060</f>
        <v>₹77,841.86</v>
      </c>
    </row>
    <row r="3061" ht="15.75" customHeight="1">
      <c r="A3061" s="50" t="s">
        <v>3139</v>
      </c>
      <c r="B3061" s="50" t="s">
        <v>36</v>
      </c>
      <c r="C3061" s="50" t="s">
        <v>18</v>
      </c>
      <c r="D3061" s="51">
        <v>136677.14</v>
      </c>
      <c r="E3061" s="51" t="str">
        <f t="shared" si="1"/>
        <v>₹1,640,125.68</v>
      </c>
      <c r="F3061" s="52" t="str">
        <f t="shared" si="2"/>
        <v>30.0%</v>
      </c>
      <c r="G3061" s="51" t="str">
        <f t="shared" si="3"/>
        <v>₹492,037.70</v>
      </c>
      <c r="H3061" s="51" t="str">
        <f t="shared" si="4"/>
        <v>₹41,003.14</v>
      </c>
      <c r="I3061" s="51" t="str">
        <f>118857.83-H3061</f>
        <v>₹77,854.69</v>
      </c>
    </row>
    <row r="3062" ht="15.75" customHeight="1">
      <c r="A3062" s="53" t="s">
        <v>3140</v>
      </c>
      <c r="B3062" s="53" t="s">
        <v>53</v>
      </c>
      <c r="C3062" s="53" t="s">
        <v>37</v>
      </c>
      <c r="D3062" s="54">
        <v>136700.32</v>
      </c>
      <c r="E3062" s="54" t="str">
        <f t="shared" si="1"/>
        <v>₹1,640,403.84</v>
      </c>
      <c r="F3062" s="55" t="str">
        <f t="shared" si="2"/>
        <v>30.0%</v>
      </c>
      <c r="G3062" s="54" t="str">
        <f t="shared" si="3"/>
        <v>₹492,121.15</v>
      </c>
      <c r="H3062" s="54" t="str">
        <f t="shared" si="4"/>
        <v>₹41,010.10</v>
      </c>
      <c r="I3062" s="54" t="str">
        <f>118877.61-H3062</f>
        <v>₹77,867.51</v>
      </c>
    </row>
    <row r="3063" ht="15.75" customHeight="1">
      <c r="A3063" s="50" t="s">
        <v>3141</v>
      </c>
      <c r="B3063" s="50" t="s">
        <v>29</v>
      </c>
      <c r="C3063" s="50" t="s">
        <v>33</v>
      </c>
      <c r="D3063" s="51">
        <v>136723.5</v>
      </c>
      <c r="E3063" s="51" t="str">
        <f t="shared" si="1"/>
        <v>₹1,640,682.00</v>
      </c>
      <c r="F3063" s="52" t="str">
        <f t="shared" si="2"/>
        <v>30.0%</v>
      </c>
      <c r="G3063" s="51" t="str">
        <f t="shared" si="3"/>
        <v>₹492,204.60</v>
      </c>
      <c r="H3063" s="51" t="str">
        <f t="shared" si="4"/>
        <v>₹41,017.05</v>
      </c>
      <c r="I3063" s="51" t="str">
        <f>118897.39-H3063</f>
        <v>₹77,880.34</v>
      </c>
    </row>
    <row r="3064" ht="15.75" customHeight="1">
      <c r="A3064" s="53" t="s">
        <v>3142</v>
      </c>
      <c r="B3064" s="53" t="s">
        <v>25</v>
      </c>
      <c r="C3064" s="53" t="s">
        <v>14</v>
      </c>
      <c r="D3064" s="54">
        <v>136746.68</v>
      </c>
      <c r="E3064" s="54" t="str">
        <f t="shared" si="1"/>
        <v>₹1,640,960.16</v>
      </c>
      <c r="F3064" s="55" t="str">
        <f t="shared" si="2"/>
        <v>30.0%</v>
      </c>
      <c r="G3064" s="54" t="str">
        <f t="shared" si="3"/>
        <v>₹492,288.05</v>
      </c>
      <c r="H3064" s="54" t="str">
        <f t="shared" si="4"/>
        <v>₹41,024.00</v>
      </c>
      <c r="I3064" s="54" t="str">
        <f>118917.17-H3064</f>
        <v>₹77,893.17</v>
      </c>
    </row>
    <row r="3065" ht="15.75" customHeight="1">
      <c r="A3065" s="50" t="s">
        <v>3143</v>
      </c>
      <c r="B3065" s="50" t="s">
        <v>36</v>
      </c>
      <c r="C3065" s="50" t="s">
        <v>33</v>
      </c>
      <c r="D3065" s="51">
        <v>136769.85</v>
      </c>
      <c r="E3065" s="51" t="str">
        <f t="shared" si="1"/>
        <v>₹1,641,238.20</v>
      </c>
      <c r="F3065" s="52" t="str">
        <f t="shared" si="2"/>
        <v>30.0%</v>
      </c>
      <c r="G3065" s="51" t="str">
        <f t="shared" si="3"/>
        <v>₹492,371.46</v>
      </c>
      <c r="H3065" s="51" t="str">
        <f t="shared" si="4"/>
        <v>₹41,030.96</v>
      </c>
      <c r="I3065" s="51" t="str">
        <f>118936.95-H3065</f>
        <v>₹77,906.00</v>
      </c>
    </row>
    <row r="3066" ht="15.75" customHeight="1">
      <c r="A3066" s="53" t="s">
        <v>3144</v>
      </c>
      <c r="B3066" s="53" t="s">
        <v>53</v>
      </c>
      <c r="C3066" s="53" t="s">
        <v>33</v>
      </c>
      <c r="D3066" s="54">
        <v>136793.03</v>
      </c>
      <c r="E3066" s="54" t="str">
        <f t="shared" si="1"/>
        <v>₹1,641,516.36</v>
      </c>
      <c r="F3066" s="55" t="str">
        <f t="shared" si="2"/>
        <v>30.0%</v>
      </c>
      <c r="G3066" s="54" t="str">
        <f t="shared" si="3"/>
        <v>₹492,454.91</v>
      </c>
      <c r="H3066" s="54" t="str">
        <f t="shared" si="4"/>
        <v>₹41,037.91</v>
      </c>
      <c r="I3066" s="54" t="str">
        <f>118956.73-H3066</f>
        <v>₹77,918.82</v>
      </c>
    </row>
    <row r="3067" ht="15.75" customHeight="1">
      <c r="A3067" s="50" t="s">
        <v>3145</v>
      </c>
      <c r="B3067" s="50" t="s">
        <v>51</v>
      </c>
      <c r="C3067" s="50" t="s">
        <v>54</v>
      </c>
      <c r="D3067" s="51">
        <v>136816.21</v>
      </c>
      <c r="E3067" s="51" t="str">
        <f t="shared" si="1"/>
        <v>₹1,641,794.52</v>
      </c>
      <c r="F3067" s="52" t="str">
        <f t="shared" si="2"/>
        <v>30.0%</v>
      </c>
      <c r="G3067" s="51" t="str">
        <f t="shared" si="3"/>
        <v>₹492,538.36</v>
      </c>
      <c r="H3067" s="51" t="str">
        <f t="shared" si="4"/>
        <v>₹41,044.86</v>
      </c>
      <c r="I3067" s="51" t="str">
        <f>118976.51-H3067</f>
        <v>₹77,931.65</v>
      </c>
    </row>
    <row r="3068" ht="15.75" customHeight="1">
      <c r="A3068" s="53" t="s">
        <v>3146</v>
      </c>
      <c r="B3068" s="53" t="s">
        <v>25</v>
      </c>
      <c r="C3068" s="53" t="s">
        <v>33</v>
      </c>
      <c r="D3068" s="54">
        <v>136839.39</v>
      </c>
      <c r="E3068" s="54" t="str">
        <f t="shared" si="1"/>
        <v>₹1,642,072.68</v>
      </c>
      <c r="F3068" s="55" t="str">
        <f t="shared" si="2"/>
        <v>30.0%</v>
      </c>
      <c r="G3068" s="54" t="str">
        <f t="shared" si="3"/>
        <v>₹492,621.80</v>
      </c>
      <c r="H3068" s="54" t="str">
        <f t="shared" si="4"/>
        <v>₹41,051.82</v>
      </c>
      <c r="I3068" s="54" t="str">
        <f>118996.29-H3068</f>
        <v>₹77,944.47</v>
      </c>
    </row>
    <row r="3069" ht="15.75" customHeight="1">
      <c r="A3069" s="50" t="s">
        <v>3147</v>
      </c>
      <c r="B3069" s="50" t="s">
        <v>51</v>
      </c>
      <c r="C3069" s="50" t="s">
        <v>26</v>
      </c>
      <c r="D3069" s="51">
        <v>136862.56</v>
      </c>
      <c r="E3069" s="51" t="str">
        <f t="shared" si="1"/>
        <v>₹1,642,350.72</v>
      </c>
      <c r="F3069" s="52" t="str">
        <f t="shared" si="2"/>
        <v>30.0%</v>
      </c>
      <c r="G3069" s="51" t="str">
        <f t="shared" si="3"/>
        <v>₹492,705.22</v>
      </c>
      <c r="H3069" s="51" t="str">
        <f t="shared" si="4"/>
        <v>₹41,058.77</v>
      </c>
      <c r="I3069" s="51" t="str">
        <f>119016.07-H3069</f>
        <v>₹77,957.30</v>
      </c>
    </row>
    <row r="3070" ht="15.75" customHeight="1">
      <c r="A3070" s="53" t="s">
        <v>3148</v>
      </c>
      <c r="B3070" s="53" t="s">
        <v>13</v>
      </c>
      <c r="C3070" s="53" t="s">
        <v>33</v>
      </c>
      <c r="D3070" s="54">
        <v>136885.74</v>
      </c>
      <c r="E3070" s="54" t="str">
        <f t="shared" si="1"/>
        <v>₹1,642,628.88</v>
      </c>
      <c r="F3070" s="55" t="str">
        <f t="shared" si="2"/>
        <v>30.0%</v>
      </c>
      <c r="G3070" s="54" t="str">
        <f t="shared" si="3"/>
        <v>₹492,788.66</v>
      </c>
      <c r="H3070" s="54" t="str">
        <f t="shared" si="4"/>
        <v>₹41,065.72</v>
      </c>
      <c r="I3070" s="54" t="str">
        <f>119035.85-H3070</f>
        <v>₹77,970.13</v>
      </c>
    </row>
    <row r="3071" ht="15.75" customHeight="1">
      <c r="A3071" s="50" t="s">
        <v>3149</v>
      </c>
      <c r="B3071" s="50" t="s">
        <v>13</v>
      </c>
      <c r="C3071" s="50" t="s">
        <v>26</v>
      </c>
      <c r="D3071" s="51">
        <v>136908.92</v>
      </c>
      <c r="E3071" s="51" t="str">
        <f t="shared" si="1"/>
        <v>₹1,642,907.04</v>
      </c>
      <c r="F3071" s="52" t="str">
        <f t="shared" si="2"/>
        <v>30.0%</v>
      </c>
      <c r="G3071" s="51" t="str">
        <f t="shared" si="3"/>
        <v>₹492,872.11</v>
      </c>
      <c r="H3071" s="51" t="str">
        <f t="shared" si="4"/>
        <v>₹41,072.68</v>
      </c>
      <c r="I3071" s="51" t="str">
        <f>119055.63-H3071</f>
        <v>₹77,982.95</v>
      </c>
    </row>
    <row r="3072" ht="15.75" customHeight="1">
      <c r="A3072" s="53" t="s">
        <v>3150</v>
      </c>
      <c r="B3072" s="53" t="s">
        <v>29</v>
      </c>
      <c r="C3072" s="53" t="s">
        <v>54</v>
      </c>
      <c r="D3072" s="54">
        <v>136932.1</v>
      </c>
      <c r="E3072" s="54" t="str">
        <f t="shared" si="1"/>
        <v>₹1,643,185.20</v>
      </c>
      <c r="F3072" s="55" t="str">
        <f t="shared" si="2"/>
        <v>30.0%</v>
      </c>
      <c r="G3072" s="54" t="str">
        <f t="shared" si="3"/>
        <v>₹492,955.56</v>
      </c>
      <c r="H3072" s="54" t="str">
        <f t="shared" si="4"/>
        <v>₹41,079.63</v>
      </c>
      <c r="I3072" s="54" t="str">
        <f>119075.41-H3072</f>
        <v>₹77,995.78</v>
      </c>
    </row>
    <row r="3073" ht="15.75" customHeight="1">
      <c r="A3073" s="50" t="s">
        <v>3151</v>
      </c>
      <c r="B3073" s="50" t="s">
        <v>13</v>
      </c>
      <c r="C3073" s="50" t="s">
        <v>54</v>
      </c>
      <c r="D3073" s="51">
        <v>136955.28</v>
      </c>
      <c r="E3073" s="51" t="str">
        <f t="shared" si="1"/>
        <v>₹1,643,463.36</v>
      </c>
      <c r="F3073" s="52" t="str">
        <f t="shared" si="2"/>
        <v>30.0%</v>
      </c>
      <c r="G3073" s="51" t="str">
        <f t="shared" si="3"/>
        <v>₹493,039.01</v>
      </c>
      <c r="H3073" s="51" t="str">
        <f t="shared" si="4"/>
        <v>₹41,086.58</v>
      </c>
      <c r="I3073" s="51" t="str">
        <f>122627.9-H3073</f>
        <v>₹81,541.32</v>
      </c>
    </row>
    <row r="3074" ht="15.75" customHeight="1">
      <c r="A3074" s="53" t="s">
        <v>3152</v>
      </c>
      <c r="B3074" s="53" t="s">
        <v>53</v>
      </c>
      <c r="C3074" s="53" t="s">
        <v>30</v>
      </c>
      <c r="D3074" s="54">
        <v>136978.45</v>
      </c>
      <c r="E3074" s="54" t="str">
        <f t="shared" si="1"/>
        <v>₹1,643,741.40</v>
      </c>
      <c r="F3074" s="55" t="str">
        <f t="shared" si="2"/>
        <v>30.0%</v>
      </c>
      <c r="G3074" s="54" t="str">
        <f t="shared" si="3"/>
        <v>₹493,122.42</v>
      </c>
      <c r="H3074" s="54" t="str">
        <f t="shared" si="4"/>
        <v>₹41,093.54</v>
      </c>
      <c r="I3074" s="54" t="str">
        <f>119114.97-H3074</f>
        <v>₹78,021.44</v>
      </c>
    </row>
    <row r="3075" ht="15.75" customHeight="1">
      <c r="A3075" s="50" t="s">
        <v>3153</v>
      </c>
      <c r="B3075" s="50" t="s">
        <v>17</v>
      </c>
      <c r="C3075" s="50" t="s">
        <v>26</v>
      </c>
      <c r="D3075" s="51">
        <v>137001.63</v>
      </c>
      <c r="E3075" s="51" t="str">
        <f t="shared" si="1"/>
        <v>₹1,644,019.56</v>
      </c>
      <c r="F3075" s="52" t="str">
        <f t="shared" si="2"/>
        <v>30.0%</v>
      </c>
      <c r="G3075" s="51" t="str">
        <f t="shared" si="3"/>
        <v>₹493,205.87</v>
      </c>
      <c r="H3075" s="51" t="str">
        <f t="shared" si="4"/>
        <v>₹41,100.49</v>
      </c>
      <c r="I3075" s="51" t="str">
        <f>119134.75-H3075</f>
        <v>₹78,034.26</v>
      </c>
    </row>
    <row r="3076" ht="15.75" customHeight="1">
      <c r="A3076" s="53" t="s">
        <v>3154</v>
      </c>
      <c r="B3076" s="53" t="s">
        <v>36</v>
      </c>
      <c r="C3076" s="53" t="s">
        <v>26</v>
      </c>
      <c r="D3076" s="54">
        <v>137047.99</v>
      </c>
      <c r="E3076" s="54" t="str">
        <f t="shared" si="1"/>
        <v>₹1,644,575.88</v>
      </c>
      <c r="F3076" s="55" t="str">
        <f t="shared" si="2"/>
        <v>30.0%</v>
      </c>
      <c r="G3076" s="54" t="str">
        <f t="shared" si="3"/>
        <v>₹493,372.76</v>
      </c>
      <c r="H3076" s="54" t="str">
        <f t="shared" si="4"/>
        <v>₹41,114.40</v>
      </c>
      <c r="I3076" s="54" t="str">
        <f>119174.32-H3076</f>
        <v>₹78,059.92</v>
      </c>
    </row>
    <row r="3077" ht="15.75" customHeight="1">
      <c r="A3077" s="50" t="s">
        <v>3155</v>
      </c>
      <c r="B3077" s="50" t="s">
        <v>13</v>
      </c>
      <c r="C3077" s="50" t="s">
        <v>54</v>
      </c>
      <c r="D3077" s="51">
        <v>137071.16</v>
      </c>
      <c r="E3077" s="51" t="str">
        <f t="shared" si="1"/>
        <v>₹1,644,853.92</v>
      </c>
      <c r="F3077" s="52" t="str">
        <f t="shared" si="2"/>
        <v>30.0%</v>
      </c>
      <c r="G3077" s="51" t="str">
        <f t="shared" si="3"/>
        <v>₹493,456.18</v>
      </c>
      <c r="H3077" s="51" t="str">
        <f t="shared" si="4"/>
        <v>₹41,121.35</v>
      </c>
      <c r="I3077" s="51" t="str">
        <f>119194.09-H3077</f>
        <v>₹78,072.74</v>
      </c>
    </row>
    <row r="3078" ht="15.75" customHeight="1">
      <c r="A3078" s="53" t="s">
        <v>3156</v>
      </c>
      <c r="B3078" s="53" t="s">
        <v>51</v>
      </c>
      <c r="C3078" s="53" t="s">
        <v>30</v>
      </c>
      <c r="D3078" s="54">
        <v>137094.34</v>
      </c>
      <c r="E3078" s="54" t="str">
        <f t="shared" si="1"/>
        <v>₹1,645,132.08</v>
      </c>
      <c r="F3078" s="55" t="str">
        <f t="shared" si="2"/>
        <v>30.0%</v>
      </c>
      <c r="G3078" s="54" t="str">
        <f t="shared" si="3"/>
        <v>₹493,539.62</v>
      </c>
      <c r="H3078" s="54" t="str">
        <f t="shared" si="4"/>
        <v>₹41,128.30</v>
      </c>
      <c r="I3078" s="54" t="str">
        <f>119213.87-H3078</f>
        <v>₹78,085.57</v>
      </c>
    </row>
    <row r="3079" ht="15.75" customHeight="1">
      <c r="A3079" s="50" t="s">
        <v>3157</v>
      </c>
      <c r="B3079" s="50" t="s">
        <v>53</v>
      </c>
      <c r="C3079" s="50" t="s">
        <v>54</v>
      </c>
      <c r="D3079" s="51">
        <v>137117.52</v>
      </c>
      <c r="E3079" s="51" t="str">
        <f t="shared" si="1"/>
        <v>₹1,645,410.24</v>
      </c>
      <c r="F3079" s="52" t="str">
        <f t="shared" si="2"/>
        <v>30.0%</v>
      </c>
      <c r="G3079" s="51" t="str">
        <f t="shared" si="3"/>
        <v>₹493,623.07</v>
      </c>
      <c r="H3079" s="51" t="str">
        <f t="shared" si="4"/>
        <v>₹41,135.26</v>
      </c>
      <c r="I3079" s="51" t="str">
        <f>119233.65-H3079</f>
        <v>₹78,098.39</v>
      </c>
    </row>
    <row r="3080" ht="15.75" customHeight="1">
      <c r="A3080" s="53" t="s">
        <v>3158</v>
      </c>
      <c r="B3080" s="53" t="s">
        <v>25</v>
      </c>
      <c r="C3080" s="53" t="s">
        <v>30</v>
      </c>
      <c r="D3080" s="54">
        <v>137140.7</v>
      </c>
      <c r="E3080" s="54" t="str">
        <f t="shared" si="1"/>
        <v>₹1,645,688.40</v>
      </c>
      <c r="F3080" s="55" t="str">
        <f t="shared" si="2"/>
        <v>30.0%</v>
      </c>
      <c r="G3080" s="54" t="str">
        <f t="shared" si="3"/>
        <v>₹493,706.52</v>
      </c>
      <c r="H3080" s="54" t="str">
        <f t="shared" si="4"/>
        <v>₹41,142.21</v>
      </c>
      <c r="I3080" s="54" t="str">
        <f>119253.43-H3080</f>
        <v>₹78,111.22</v>
      </c>
    </row>
    <row r="3081" ht="15.75" customHeight="1">
      <c r="A3081" s="50" t="s">
        <v>3159</v>
      </c>
      <c r="B3081" s="50" t="s">
        <v>51</v>
      </c>
      <c r="C3081" s="50" t="s">
        <v>26</v>
      </c>
      <c r="D3081" s="51">
        <v>137187.05</v>
      </c>
      <c r="E3081" s="51" t="str">
        <f t="shared" si="1"/>
        <v>₹1,646,244.60</v>
      </c>
      <c r="F3081" s="52" t="str">
        <f t="shared" si="2"/>
        <v>30.0%</v>
      </c>
      <c r="G3081" s="51" t="str">
        <f t="shared" si="3"/>
        <v>₹493,873.38</v>
      </c>
      <c r="H3081" s="51" t="str">
        <f t="shared" si="4"/>
        <v>₹41,156.12</v>
      </c>
      <c r="I3081" s="51" t="str">
        <f>119292.99-H3081</f>
        <v>₹78,136.88</v>
      </c>
    </row>
    <row r="3082" ht="15.75" customHeight="1">
      <c r="A3082" s="53" t="s">
        <v>3160</v>
      </c>
      <c r="B3082" s="53" t="s">
        <v>13</v>
      </c>
      <c r="C3082" s="53" t="s">
        <v>14</v>
      </c>
      <c r="D3082" s="54">
        <v>137210.23</v>
      </c>
      <c r="E3082" s="54" t="str">
        <f t="shared" si="1"/>
        <v>₹1,646,522.76</v>
      </c>
      <c r="F3082" s="55" t="str">
        <f t="shared" si="2"/>
        <v>30.0%</v>
      </c>
      <c r="G3082" s="54" t="str">
        <f t="shared" si="3"/>
        <v>₹493,956.83</v>
      </c>
      <c r="H3082" s="54" t="str">
        <f t="shared" si="4"/>
        <v>₹41,163.07</v>
      </c>
      <c r="I3082" s="54" t="str">
        <f>119312.77-H3082</f>
        <v>₹78,149.70</v>
      </c>
    </row>
    <row r="3083" ht="15.75" customHeight="1">
      <c r="A3083" s="50" t="s">
        <v>3161</v>
      </c>
      <c r="B3083" s="50" t="s">
        <v>36</v>
      </c>
      <c r="C3083" s="50" t="s">
        <v>18</v>
      </c>
      <c r="D3083" s="51">
        <v>137233.41</v>
      </c>
      <c r="E3083" s="51" t="str">
        <f t="shared" si="1"/>
        <v>₹1,646,800.92</v>
      </c>
      <c r="F3083" s="52" t="str">
        <f t="shared" si="2"/>
        <v>30.0%</v>
      </c>
      <c r="G3083" s="51" t="str">
        <f t="shared" si="3"/>
        <v>₹494,040.28</v>
      </c>
      <c r="H3083" s="51" t="str">
        <f t="shared" si="4"/>
        <v>₹41,170.02</v>
      </c>
      <c r="I3083" s="51" t="str">
        <f>119332.55-H3083</f>
        <v>₹78,162.53</v>
      </c>
    </row>
    <row r="3084" ht="15.75" customHeight="1">
      <c r="A3084" s="53" t="s">
        <v>3162</v>
      </c>
      <c r="B3084" s="53" t="s">
        <v>51</v>
      </c>
      <c r="C3084" s="53" t="s">
        <v>18</v>
      </c>
      <c r="D3084" s="54">
        <v>137256.59</v>
      </c>
      <c r="E3084" s="54" t="str">
        <f t="shared" si="1"/>
        <v>₹1,647,079.08</v>
      </c>
      <c r="F3084" s="55" t="str">
        <f t="shared" si="2"/>
        <v>30.0%</v>
      </c>
      <c r="G3084" s="54" t="str">
        <f t="shared" si="3"/>
        <v>₹494,123.72</v>
      </c>
      <c r="H3084" s="54" t="str">
        <f t="shared" si="4"/>
        <v>₹41,176.98</v>
      </c>
      <c r="I3084" s="54" t="str">
        <f>119352.34-H3084</f>
        <v>₹78,175.36</v>
      </c>
    </row>
    <row r="3085" ht="15.75" customHeight="1">
      <c r="A3085" s="50" t="s">
        <v>3163</v>
      </c>
      <c r="B3085" s="50" t="s">
        <v>17</v>
      </c>
      <c r="C3085" s="50" t="s">
        <v>14</v>
      </c>
      <c r="D3085" s="51">
        <v>137279.76</v>
      </c>
      <c r="E3085" s="51" t="str">
        <f t="shared" si="1"/>
        <v>₹1,647,357.12</v>
      </c>
      <c r="F3085" s="52" t="str">
        <f t="shared" si="2"/>
        <v>30.0%</v>
      </c>
      <c r="G3085" s="51" t="str">
        <f t="shared" si="3"/>
        <v>₹494,207.14</v>
      </c>
      <c r="H3085" s="51" t="str">
        <f t="shared" si="4"/>
        <v>₹41,183.93</v>
      </c>
      <c r="I3085" s="51" t="str">
        <f>119372.11-H3085</f>
        <v>₹78,188.18</v>
      </c>
    </row>
    <row r="3086" ht="15.75" customHeight="1">
      <c r="A3086" s="53" t="s">
        <v>3164</v>
      </c>
      <c r="B3086" s="53" t="s">
        <v>36</v>
      </c>
      <c r="C3086" s="53" t="s">
        <v>14</v>
      </c>
      <c r="D3086" s="54">
        <v>137302.94</v>
      </c>
      <c r="E3086" s="54" t="str">
        <f t="shared" si="1"/>
        <v>₹1,647,635.28</v>
      </c>
      <c r="F3086" s="55" t="str">
        <f t="shared" si="2"/>
        <v>30.0%</v>
      </c>
      <c r="G3086" s="54" t="str">
        <f t="shared" si="3"/>
        <v>₹494,290.58</v>
      </c>
      <c r="H3086" s="54" t="str">
        <f t="shared" si="4"/>
        <v>₹41,190.88</v>
      </c>
      <c r="I3086" s="54" t="str">
        <f>119391.89-H3086</f>
        <v>₹78,201.01</v>
      </c>
    </row>
    <row r="3087" ht="15.75" customHeight="1">
      <c r="A3087" s="50" t="s">
        <v>3165</v>
      </c>
      <c r="B3087" s="50" t="s">
        <v>13</v>
      </c>
      <c r="C3087" s="50" t="s">
        <v>26</v>
      </c>
      <c r="D3087" s="51">
        <v>137326.12</v>
      </c>
      <c r="E3087" s="51" t="str">
        <f t="shared" si="1"/>
        <v>₹1,647,913.44</v>
      </c>
      <c r="F3087" s="52" t="str">
        <f t="shared" si="2"/>
        <v>30.0%</v>
      </c>
      <c r="G3087" s="51" t="str">
        <f t="shared" si="3"/>
        <v>₹494,374.03</v>
      </c>
      <c r="H3087" s="51" t="str">
        <f t="shared" si="4"/>
        <v>₹41,197.84</v>
      </c>
      <c r="I3087" s="51" t="str">
        <f>119411.67-H3087</f>
        <v>₹78,213.83</v>
      </c>
    </row>
    <row r="3088" ht="15.75" customHeight="1">
      <c r="A3088" s="53" t="s">
        <v>3166</v>
      </c>
      <c r="B3088" s="53" t="s">
        <v>25</v>
      </c>
      <c r="C3088" s="53" t="s">
        <v>33</v>
      </c>
      <c r="D3088" s="54">
        <v>137349.3</v>
      </c>
      <c r="E3088" s="54" t="str">
        <f t="shared" si="1"/>
        <v>₹1,648,191.60</v>
      </c>
      <c r="F3088" s="55" t="str">
        <f t="shared" si="2"/>
        <v>30.0%</v>
      </c>
      <c r="G3088" s="54" t="str">
        <f t="shared" si="3"/>
        <v>₹494,457.48</v>
      </c>
      <c r="H3088" s="54" t="str">
        <f t="shared" si="4"/>
        <v>₹41,204.79</v>
      </c>
      <c r="I3088" s="54" t="str">
        <f>119431.46-H3088</f>
        <v>₹78,226.67</v>
      </c>
    </row>
    <row r="3089" ht="15.75" customHeight="1">
      <c r="A3089" s="50" t="s">
        <v>3167</v>
      </c>
      <c r="B3089" s="50" t="s">
        <v>25</v>
      </c>
      <c r="C3089" s="50" t="s">
        <v>14</v>
      </c>
      <c r="D3089" s="51">
        <v>137372.47</v>
      </c>
      <c r="E3089" s="51" t="str">
        <f t="shared" si="1"/>
        <v>₹1,648,469.64</v>
      </c>
      <c r="F3089" s="52" t="str">
        <f t="shared" si="2"/>
        <v>30.0%</v>
      </c>
      <c r="G3089" s="51" t="str">
        <f t="shared" si="3"/>
        <v>₹494,540.89</v>
      </c>
      <c r="H3089" s="51" t="str">
        <f t="shared" si="4"/>
        <v>₹41,211.74</v>
      </c>
      <c r="I3089" s="51" t="str">
        <f>119451.23-H3089</f>
        <v>₹78,239.49</v>
      </c>
    </row>
    <row r="3090" ht="15.75" customHeight="1">
      <c r="A3090" s="53" t="s">
        <v>3168</v>
      </c>
      <c r="B3090" s="53" t="s">
        <v>36</v>
      </c>
      <c r="C3090" s="53" t="s">
        <v>37</v>
      </c>
      <c r="D3090" s="54">
        <v>137418.83</v>
      </c>
      <c r="E3090" s="54" t="str">
        <f t="shared" si="1"/>
        <v>₹1,649,025.96</v>
      </c>
      <c r="F3090" s="55" t="str">
        <f t="shared" si="2"/>
        <v>30.0%</v>
      </c>
      <c r="G3090" s="54" t="str">
        <f t="shared" si="3"/>
        <v>₹494,707.79</v>
      </c>
      <c r="H3090" s="54" t="str">
        <f t="shared" si="4"/>
        <v>₹41,225.65</v>
      </c>
      <c r="I3090" s="54" t="str">
        <f>119490.79-H3090</f>
        <v>₹78,265.14</v>
      </c>
    </row>
    <row r="3091" ht="15.75" customHeight="1">
      <c r="A3091" s="50" t="s">
        <v>3169</v>
      </c>
      <c r="B3091" s="50" t="s">
        <v>53</v>
      </c>
      <c r="C3091" s="50" t="s">
        <v>30</v>
      </c>
      <c r="D3091" s="51">
        <v>137465.18</v>
      </c>
      <c r="E3091" s="51" t="str">
        <f t="shared" si="1"/>
        <v>₹1,649,582.16</v>
      </c>
      <c r="F3091" s="52" t="str">
        <f t="shared" si="2"/>
        <v>30.0%</v>
      </c>
      <c r="G3091" s="51" t="str">
        <f t="shared" si="3"/>
        <v>₹494,874.65</v>
      </c>
      <c r="H3091" s="51" t="str">
        <f t="shared" si="4"/>
        <v>₹41,239.55</v>
      </c>
      <c r="I3091" s="51" t="str">
        <f>119530.35-H3091</f>
        <v>₹78,290.80</v>
      </c>
    </row>
    <row r="3092" ht="15.75" customHeight="1">
      <c r="A3092" s="53" t="s">
        <v>3170</v>
      </c>
      <c r="B3092" s="53" t="s">
        <v>36</v>
      </c>
      <c r="C3092" s="53" t="s">
        <v>37</v>
      </c>
      <c r="D3092" s="54">
        <v>137488.36</v>
      </c>
      <c r="E3092" s="54" t="str">
        <f t="shared" si="1"/>
        <v>₹1,649,860.32</v>
      </c>
      <c r="F3092" s="55" t="str">
        <f t="shared" si="2"/>
        <v>30.0%</v>
      </c>
      <c r="G3092" s="54" t="str">
        <f t="shared" si="3"/>
        <v>₹494,958.10</v>
      </c>
      <c r="H3092" s="54" t="str">
        <f t="shared" si="4"/>
        <v>₹41,246.51</v>
      </c>
      <c r="I3092" s="54" t="str">
        <f>119550.13-H3092</f>
        <v>₹78,303.62</v>
      </c>
    </row>
    <row r="3093" ht="15.75" customHeight="1">
      <c r="A3093" s="50" t="s">
        <v>3171</v>
      </c>
      <c r="B3093" s="50" t="s">
        <v>13</v>
      </c>
      <c r="C3093" s="50" t="s">
        <v>33</v>
      </c>
      <c r="D3093" s="51">
        <v>137511.54</v>
      </c>
      <c r="E3093" s="51" t="str">
        <f t="shared" si="1"/>
        <v>₹1,650,138.48</v>
      </c>
      <c r="F3093" s="52" t="str">
        <f t="shared" si="2"/>
        <v>30.0%</v>
      </c>
      <c r="G3093" s="51" t="str">
        <f t="shared" si="3"/>
        <v>₹495,041.54</v>
      </c>
      <c r="H3093" s="51" t="str">
        <f t="shared" si="4"/>
        <v>₹41,253.46</v>
      </c>
      <c r="I3093" s="51" t="str">
        <f>119569.91-H3093</f>
        <v>₹78,316.45</v>
      </c>
    </row>
    <row r="3094" ht="15.75" customHeight="1">
      <c r="A3094" s="53" t="s">
        <v>3172</v>
      </c>
      <c r="B3094" s="53" t="s">
        <v>36</v>
      </c>
      <c r="C3094" s="53" t="s">
        <v>26</v>
      </c>
      <c r="D3094" s="54">
        <v>137534.72</v>
      </c>
      <c r="E3094" s="54" t="str">
        <f t="shared" si="1"/>
        <v>₹1,650,416.64</v>
      </c>
      <c r="F3094" s="55" t="str">
        <f t="shared" si="2"/>
        <v>30.0%</v>
      </c>
      <c r="G3094" s="54" t="str">
        <f t="shared" si="3"/>
        <v>₹495,124.99</v>
      </c>
      <c r="H3094" s="54" t="str">
        <f t="shared" si="4"/>
        <v>₹41,260.42</v>
      </c>
      <c r="I3094" s="54" t="str">
        <f>119589.7-H3094</f>
        <v>₹78,329.28</v>
      </c>
    </row>
    <row r="3095" ht="15.75" customHeight="1">
      <c r="A3095" s="50" t="s">
        <v>3173</v>
      </c>
      <c r="B3095" s="50" t="s">
        <v>53</v>
      </c>
      <c r="C3095" s="50" t="s">
        <v>18</v>
      </c>
      <c r="D3095" s="51">
        <v>137557.9</v>
      </c>
      <c r="E3095" s="51" t="str">
        <f t="shared" si="1"/>
        <v>₹1,650,694.80</v>
      </c>
      <c r="F3095" s="52" t="str">
        <f t="shared" si="2"/>
        <v>30.0%</v>
      </c>
      <c r="G3095" s="51" t="str">
        <f t="shared" si="3"/>
        <v>₹495,208.44</v>
      </c>
      <c r="H3095" s="51" t="str">
        <f t="shared" si="4"/>
        <v>₹41,267.37</v>
      </c>
      <c r="I3095" s="51" t="str">
        <f>119609.48-H3095</f>
        <v>₹78,342.11</v>
      </c>
    </row>
    <row r="3096" ht="15.75" customHeight="1">
      <c r="A3096" s="53" t="s">
        <v>3174</v>
      </c>
      <c r="B3096" s="53" t="s">
        <v>29</v>
      </c>
      <c r="C3096" s="53" t="s">
        <v>54</v>
      </c>
      <c r="D3096" s="54">
        <v>137604.25</v>
      </c>
      <c r="E3096" s="54" t="str">
        <f t="shared" si="1"/>
        <v>₹1,651,251.00</v>
      </c>
      <c r="F3096" s="55" t="str">
        <f t="shared" si="2"/>
        <v>30.0%</v>
      </c>
      <c r="G3096" s="54" t="str">
        <f t="shared" si="3"/>
        <v>₹495,375.30</v>
      </c>
      <c r="H3096" s="54" t="str">
        <f t="shared" si="4"/>
        <v>₹41,281.28</v>
      </c>
      <c r="I3096" s="54" t="str">
        <f>119649.03-H3096</f>
        <v>₹78,367.76</v>
      </c>
    </row>
    <row r="3097" ht="15.75" customHeight="1">
      <c r="A3097" s="50" t="s">
        <v>3175</v>
      </c>
      <c r="B3097" s="50" t="s">
        <v>13</v>
      </c>
      <c r="C3097" s="50" t="s">
        <v>26</v>
      </c>
      <c r="D3097" s="51">
        <v>137627.43</v>
      </c>
      <c r="E3097" s="51" t="str">
        <f t="shared" si="1"/>
        <v>₹1,651,529.16</v>
      </c>
      <c r="F3097" s="52" t="str">
        <f t="shared" si="2"/>
        <v>30.0%</v>
      </c>
      <c r="G3097" s="51" t="str">
        <f t="shared" si="3"/>
        <v>₹495,458.75</v>
      </c>
      <c r="H3097" s="51" t="str">
        <f t="shared" si="4"/>
        <v>₹41,288.23</v>
      </c>
      <c r="I3097" s="51" t="str">
        <f>119668.82-H3097</f>
        <v>₹78,380.59</v>
      </c>
    </row>
    <row r="3098" ht="15.75" customHeight="1">
      <c r="A3098" s="53" t="s">
        <v>3176</v>
      </c>
      <c r="B3098" s="53" t="s">
        <v>36</v>
      </c>
      <c r="C3098" s="53" t="s">
        <v>33</v>
      </c>
      <c r="D3098" s="54">
        <v>137673.78</v>
      </c>
      <c r="E3098" s="54" t="str">
        <f t="shared" si="1"/>
        <v>₹1,652,085.36</v>
      </c>
      <c r="F3098" s="55" t="str">
        <f t="shared" si="2"/>
        <v>30.0%</v>
      </c>
      <c r="G3098" s="54" t="str">
        <f t="shared" si="3"/>
        <v>₹495,625.61</v>
      </c>
      <c r="H3098" s="54" t="str">
        <f t="shared" si="4"/>
        <v>₹41,302.13</v>
      </c>
      <c r="I3098" s="54" t="str">
        <f>119708.37-H3098</f>
        <v>₹78,406.24</v>
      </c>
    </row>
    <row r="3099" ht="15.75" customHeight="1">
      <c r="A3099" s="50" t="s">
        <v>3177</v>
      </c>
      <c r="B3099" s="50" t="s">
        <v>29</v>
      </c>
      <c r="C3099" s="50" t="s">
        <v>30</v>
      </c>
      <c r="D3099" s="51">
        <v>137696.96</v>
      </c>
      <c r="E3099" s="51" t="str">
        <f t="shared" si="1"/>
        <v>₹1,652,363.52</v>
      </c>
      <c r="F3099" s="52" t="str">
        <f t="shared" si="2"/>
        <v>30.0%</v>
      </c>
      <c r="G3099" s="51" t="str">
        <f t="shared" si="3"/>
        <v>₹495,709.06</v>
      </c>
      <c r="H3099" s="51" t="str">
        <f t="shared" si="4"/>
        <v>₹41,309.09</v>
      </c>
      <c r="I3099" s="51" t="str">
        <f>119728.15-H3099</f>
        <v>₹78,419.06</v>
      </c>
    </row>
    <row r="3100" ht="15.75" customHeight="1">
      <c r="A3100" s="53" t="s">
        <v>3178</v>
      </c>
      <c r="B3100" s="53" t="s">
        <v>53</v>
      </c>
      <c r="C3100" s="53" t="s">
        <v>37</v>
      </c>
      <c r="D3100" s="54">
        <v>137720.14</v>
      </c>
      <c r="E3100" s="54" t="str">
        <f t="shared" si="1"/>
        <v>₹1,652,641.68</v>
      </c>
      <c r="F3100" s="55" t="str">
        <f t="shared" si="2"/>
        <v>30.0%</v>
      </c>
      <c r="G3100" s="54" t="str">
        <f t="shared" si="3"/>
        <v>₹495,792.50</v>
      </c>
      <c r="H3100" s="54" t="str">
        <f t="shared" si="4"/>
        <v>₹41,316.04</v>
      </c>
      <c r="I3100" s="54" t="str">
        <f>119747.94-H3100</f>
        <v>₹78,431.90</v>
      </c>
    </row>
    <row r="3101" ht="15.75" customHeight="1">
      <c r="A3101" s="50" t="s">
        <v>3179</v>
      </c>
      <c r="B3101" s="50" t="s">
        <v>29</v>
      </c>
      <c r="C3101" s="50" t="s">
        <v>14</v>
      </c>
      <c r="D3101" s="51">
        <v>137743.32</v>
      </c>
      <c r="E3101" s="51" t="str">
        <f t="shared" si="1"/>
        <v>₹1,652,919.84</v>
      </c>
      <c r="F3101" s="52" t="str">
        <f t="shared" si="2"/>
        <v>30.0%</v>
      </c>
      <c r="G3101" s="51" t="str">
        <f t="shared" si="3"/>
        <v>₹495,875.95</v>
      </c>
      <c r="H3101" s="51" t="str">
        <f t="shared" si="4"/>
        <v>₹41,323.00</v>
      </c>
      <c r="I3101" s="51" t="str">
        <f>119767.72-H3101</f>
        <v>₹78,444.72</v>
      </c>
    </row>
    <row r="3102" ht="15.75" customHeight="1">
      <c r="A3102" s="53" t="s">
        <v>3180</v>
      </c>
      <c r="B3102" s="53" t="s">
        <v>25</v>
      </c>
      <c r="C3102" s="53" t="s">
        <v>30</v>
      </c>
      <c r="D3102" s="54">
        <v>137766.49</v>
      </c>
      <c r="E3102" s="54" t="str">
        <f t="shared" si="1"/>
        <v>₹1,653,197.88</v>
      </c>
      <c r="F3102" s="55" t="str">
        <f t="shared" si="2"/>
        <v>30.0%</v>
      </c>
      <c r="G3102" s="54" t="str">
        <f t="shared" si="3"/>
        <v>₹495,959.36</v>
      </c>
      <c r="H3102" s="54" t="str">
        <f t="shared" si="4"/>
        <v>₹41,329.95</v>
      </c>
      <c r="I3102" s="54" t="str">
        <f>119787.49-H3102</f>
        <v>₹78,457.54</v>
      </c>
    </row>
    <row r="3103" ht="15.75" customHeight="1">
      <c r="A3103" s="50" t="s">
        <v>3181</v>
      </c>
      <c r="B3103" s="50" t="s">
        <v>51</v>
      </c>
      <c r="C3103" s="50" t="s">
        <v>26</v>
      </c>
      <c r="D3103" s="51">
        <v>137789.67</v>
      </c>
      <c r="E3103" s="51" t="str">
        <f t="shared" si="1"/>
        <v>₹1,653,476.04</v>
      </c>
      <c r="F3103" s="52" t="str">
        <f t="shared" si="2"/>
        <v>30.0%</v>
      </c>
      <c r="G3103" s="51" t="str">
        <f t="shared" si="3"/>
        <v>₹496,042.81</v>
      </c>
      <c r="H3103" s="51" t="str">
        <f t="shared" si="4"/>
        <v>₹41,336.90</v>
      </c>
      <c r="I3103" s="51" t="str">
        <f>119807.27-H3103</f>
        <v>₹78,470.37</v>
      </c>
    </row>
    <row r="3104" ht="15.75" customHeight="1">
      <c r="A3104" s="53" t="s">
        <v>3182</v>
      </c>
      <c r="B3104" s="53" t="s">
        <v>17</v>
      </c>
      <c r="C3104" s="53" t="s">
        <v>33</v>
      </c>
      <c r="D3104" s="54">
        <v>137836.03</v>
      </c>
      <c r="E3104" s="54" t="str">
        <f t="shared" si="1"/>
        <v>₹1,654,032.36</v>
      </c>
      <c r="F3104" s="55" t="str">
        <f t="shared" si="2"/>
        <v>30.0%</v>
      </c>
      <c r="G3104" s="54" t="str">
        <f t="shared" si="3"/>
        <v>₹496,209.71</v>
      </c>
      <c r="H3104" s="54" t="str">
        <f t="shared" si="4"/>
        <v>₹41,350.81</v>
      </c>
      <c r="I3104" s="54" t="str">
        <f>119846.84-H3104</f>
        <v>₹78,496.03</v>
      </c>
    </row>
    <row r="3105" ht="15.75" customHeight="1">
      <c r="A3105" s="50" t="s">
        <v>3183</v>
      </c>
      <c r="B3105" s="50" t="s">
        <v>17</v>
      </c>
      <c r="C3105" s="50" t="s">
        <v>33</v>
      </c>
      <c r="D3105" s="51">
        <v>137859.21</v>
      </c>
      <c r="E3105" s="51" t="str">
        <f t="shared" si="1"/>
        <v>₹1,654,310.52</v>
      </c>
      <c r="F3105" s="52" t="str">
        <f t="shared" si="2"/>
        <v>30.0%</v>
      </c>
      <c r="G3105" s="51" t="str">
        <f t="shared" si="3"/>
        <v>₹496,293.16</v>
      </c>
      <c r="H3105" s="51" t="str">
        <f t="shared" si="4"/>
        <v>₹41,357.76</v>
      </c>
      <c r="I3105" s="51" t="str">
        <f>119866.62-H3105</f>
        <v>₹78,508.86</v>
      </c>
    </row>
    <row r="3106" ht="15.75" customHeight="1">
      <c r="A3106" s="53" t="s">
        <v>3184</v>
      </c>
      <c r="B3106" s="53" t="s">
        <v>36</v>
      </c>
      <c r="C3106" s="53" t="s">
        <v>26</v>
      </c>
      <c r="D3106" s="54">
        <v>137882.38</v>
      </c>
      <c r="E3106" s="54" t="str">
        <f t="shared" si="1"/>
        <v>₹1,654,588.56</v>
      </c>
      <c r="F3106" s="55" t="str">
        <f t="shared" si="2"/>
        <v>30.0%</v>
      </c>
      <c r="G3106" s="54" t="str">
        <f t="shared" si="3"/>
        <v>₹496,376.57</v>
      </c>
      <c r="H3106" s="54" t="str">
        <f t="shared" si="4"/>
        <v>₹41,364.71</v>
      </c>
      <c r="I3106" s="54" t="str">
        <f>119886.39-H3106</f>
        <v>₹78,521.68</v>
      </c>
    </row>
    <row r="3107" ht="15.75" customHeight="1">
      <c r="A3107" s="50" t="s">
        <v>3185</v>
      </c>
      <c r="B3107" s="50" t="s">
        <v>17</v>
      </c>
      <c r="C3107" s="50" t="s">
        <v>30</v>
      </c>
      <c r="D3107" s="51">
        <v>137905.56</v>
      </c>
      <c r="E3107" s="51" t="str">
        <f t="shared" si="1"/>
        <v>₹1,654,866.72</v>
      </c>
      <c r="F3107" s="52" t="str">
        <f t="shared" si="2"/>
        <v>30.0%</v>
      </c>
      <c r="G3107" s="51" t="str">
        <f t="shared" si="3"/>
        <v>₹496,460.02</v>
      </c>
      <c r="H3107" s="51" t="str">
        <f t="shared" si="4"/>
        <v>₹41,371.67</v>
      </c>
      <c r="I3107" s="51" t="str">
        <f>119906.18-H3107</f>
        <v>₹78,534.51</v>
      </c>
    </row>
    <row r="3108" ht="15.75" customHeight="1">
      <c r="A3108" s="53" t="s">
        <v>3186</v>
      </c>
      <c r="B3108" s="53" t="s">
        <v>25</v>
      </c>
      <c r="C3108" s="53" t="s">
        <v>33</v>
      </c>
      <c r="D3108" s="54">
        <v>137928.74</v>
      </c>
      <c r="E3108" s="54" t="str">
        <f t="shared" si="1"/>
        <v>₹1,655,144.88</v>
      </c>
      <c r="F3108" s="55" t="str">
        <f t="shared" si="2"/>
        <v>30.0%</v>
      </c>
      <c r="G3108" s="54" t="str">
        <f t="shared" si="3"/>
        <v>₹496,543.46</v>
      </c>
      <c r="H3108" s="54" t="str">
        <f t="shared" si="4"/>
        <v>₹41,378.62</v>
      </c>
      <c r="I3108" s="54" t="str">
        <f>119925.96-H3108</f>
        <v>₹78,547.34</v>
      </c>
    </row>
    <row r="3109" ht="15.75" customHeight="1">
      <c r="A3109" s="50" t="s">
        <v>3187</v>
      </c>
      <c r="B3109" s="50" t="s">
        <v>53</v>
      </c>
      <c r="C3109" s="50" t="s">
        <v>30</v>
      </c>
      <c r="D3109" s="51">
        <v>137951.92</v>
      </c>
      <c r="E3109" s="51" t="str">
        <f t="shared" si="1"/>
        <v>₹1,655,423.04</v>
      </c>
      <c r="F3109" s="52" t="str">
        <f t="shared" si="2"/>
        <v>30.0%</v>
      </c>
      <c r="G3109" s="51" t="str">
        <f t="shared" si="3"/>
        <v>₹496,626.91</v>
      </c>
      <c r="H3109" s="51" t="str">
        <f t="shared" si="4"/>
        <v>₹41,385.58</v>
      </c>
      <c r="I3109" s="51" t="str">
        <f>119945.74-H3109</f>
        <v>₹78,560.16</v>
      </c>
    </row>
    <row r="3110" ht="15.75" customHeight="1">
      <c r="A3110" s="53" t="s">
        <v>3188</v>
      </c>
      <c r="B3110" s="53" t="s">
        <v>51</v>
      </c>
      <c r="C3110" s="53" t="s">
        <v>33</v>
      </c>
      <c r="D3110" s="54">
        <v>137975.09</v>
      </c>
      <c r="E3110" s="54" t="str">
        <f t="shared" si="1"/>
        <v>₹1,655,701.08</v>
      </c>
      <c r="F3110" s="55" t="str">
        <f t="shared" si="2"/>
        <v>30.0%</v>
      </c>
      <c r="G3110" s="54" t="str">
        <f t="shared" si="3"/>
        <v>₹496,710.32</v>
      </c>
      <c r="H3110" s="54" t="str">
        <f t="shared" si="4"/>
        <v>₹41,392.53</v>
      </c>
      <c r="I3110" s="54" t="str">
        <f>119965.51-H3110</f>
        <v>₹78,572.98</v>
      </c>
    </row>
    <row r="3111" ht="15.75" customHeight="1">
      <c r="A3111" s="50" t="s">
        <v>3189</v>
      </c>
      <c r="B3111" s="50" t="s">
        <v>29</v>
      </c>
      <c r="C3111" s="50" t="s">
        <v>37</v>
      </c>
      <c r="D3111" s="51">
        <v>137998.27</v>
      </c>
      <c r="E3111" s="51" t="str">
        <f t="shared" si="1"/>
        <v>₹1,655,979.24</v>
      </c>
      <c r="F3111" s="52" t="str">
        <f t="shared" si="2"/>
        <v>30.0%</v>
      </c>
      <c r="G3111" s="51" t="str">
        <f t="shared" si="3"/>
        <v>₹496,793.77</v>
      </c>
      <c r="H3111" s="51" t="str">
        <f t="shared" si="4"/>
        <v>₹41,399.48</v>
      </c>
      <c r="I3111" s="51" t="str">
        <f>119985.3-H3111</f>
        <v>₹78,585.82</v>
      </c>
    </row>
    <row r="3112" ht="15.75" customHeight="1">
      <c r="A3112" s="53" t="s">
        <v>3190</v>
      </c>
      <c r="B3112" s="53" t="s">
        <v>13</v>
      </c>
      <c r="C3112" s="53" t="s">
        <v>33</v>
      </c>
      <c r="D3112" s="54">
        <v>138021.45</v>
      </c>
      <c r="E3112" s="54" t="str">
        <f t="shared" si="1"/>
        <v>₹1,656,257.40</v>
      </c>
      <c r="F3112" s="55" t="str">
        <f t="shared" si="2"/>
        <v>30.0%</v>
      </c>
      <c r="G3112" s="54" t="str">
        <f t="shared" si="3"/>
        <v>₹496,877.22</v>
      </c>
      <c r="H3112" s="54" t="str">
        <f t="shared" si="4"/>
        <v>₹41,406.44</v>
      </c>
      <c r="I3112" s="54" t="str">
        <f>120005.08-H3112</f>
        <v>₹78,598.65</v>
      </c>
    </row>
    <row r="3113" ht="15.75" customHeight="1">
      <c r="A3113" s="50" t="s">
        <v>3191</v>
      </c>
      <c r="B3113" s="50" t="s">
        <v>53</v>
      </c>
      <c r="C3113" s="50" t="s">
        <v>33</v>
      </c>
      <c r="D3113" s="51">
        <v>138044.63</v>
      </c>
      <c r="E3113" s="51" t="str">
        <f t="shared" si="1"/>
        <v>₹1,656,535.56</v>
      </c>
      <c r="F3113" s="52" t="str">
        <f t="shared" si="2"/>
        <v>30.0%</v>
      </c>
      <c r="G3113" s="51" t="str">
        <f t="shared" si="3"/>
        <v>₹496,960.67</v>
      </c>
      <c r="H3113" s="51" t="str">
        <f t="shared" si="4"/>
        <v>₹41,413.39</v>
      </c>
      <c r="I3113" s="51" t="str">
        <f>120024.86-H3113</f>
        <v>₹78,611.47</v>
      </c>
    </row>
    <row r="3114" ht="15.75" customHeight="1">
      <c r="A3114" s="53" t="s">
        <v>3192</v>
      </c>
      <c r="B3114" s="53" t="s">
        <v>36</v>
      </c>
      <c r="C3114" s="53" t="s">
        <v>33</v>
      </c>
      <c r="D3114" s="54">
        <v>138067.8</v>
      </c>
      <c r="E3114" s="54" t="str">
        <f t="shared" si="1"/>
        <v>₹1,656,813.60</v>
      </c>
      <c r="F3114" s="55" t="str">
        <f t="shared" si="2"/>
        <v>30.0%</v>
      </c>
      <c r="G3114" s="54" t="str">
        <f t="shared" si="3"/>
        <v>₹497,044.08</v>
      </c>
      <c r="H3114" s="54" t="str">
        <f t="shared" si="4"/>
        <v>₹41,420.34</v>
      </c>
      <c r="I3114" s="54" t="str">
        <f>120044.63-H3114</f>
        <v>₹78,624.29</v>
      </c>
    </row>
    <row r="3115" ht="15.75" customHeight="1">
      <c r="A3115" s="50" t="s">
        <v>3193</v>
      </c>
      <c r="B3115" s="50" t="s">
        <v>53</v>
      </c>
      <c r="C3115" s="50" t="s">
        <v>14</v>
      </c>
      <c r="D3115" s="51">
        <v>138090.98</v>
      </c>
      <c r="E3115" s="51" t="str">
        <f t="shared" si="1"/>
        <v>₹1,657,091.76</v>
      </c>
      <c r="F3115" s="52" t="str">
        <f t="shared" si="2"/>
        <v>30.0%</v>
      </c>
      <c r="G3115" s="51" t="str">
        <f t="shared" si="3"/>
        <v>₹497,127.53</v>
      </c>
      <c r="H3115" s="51" t="str">
        <f t="shared" si="4"/>
        <v>₹41,427.29</v>
      </c>
      <c r="I3115" s="51" t="str">
        <f>123325.67-H3115</f>
        <v>₹81,898.38</v>
      </c>
    </row>
    <row r="3116" ht="15.75" customHeight="1">
      <c r="A3116" s="53" t="s">
        <v>3194</v>
      </c>
      <c r="B3116" s="53" t="s">
        <v>29</v>
      </c>
      <c r="C3116" s="53" t="s">
        <v>18</v>
      </c>
      <c r="D3116" s="54">
        <v>138114.16</v>
      </c>
      <c r="E3116" s="54" t="str">
        <f t="shared" si="1"/>
        <v>₹1,657,369.92</v>
      </c>
      <c r="F3116" s="55" t="str">
        <f t="shared" si="2"/>
        <v>30.0%</v>
      </c>
      <c r="G3116" s="54" t="str">
        <f t="shared" si="3"/>
        <v>₹497,210.98</v>
      </c>
      <c r="H3116" s="54" t="str">
        <f t="shared" si="4"/>
        <v>₹41,434.25</v>
      </c>
      <c r="I3116" s="54" t="str">
        <f>120084.2-H3116</f>
        <v>₹78,649.95</v>
      </c>
    </row>
    <row r="3117" ht="15.75" customHeight="1">
      <c r="A3117" s="50" t="s">
        <v>3195</v>
      </c>
      <c r="B3117" s="50" t="s">
        <v>53</v>
      </c>
      <c r="C3117" s="50" t="s">
        <v>30</v>
      </c>
      <c r="D3117" s="51">
        <v>138137.34</v>
      </c>
      <c r="E3117" s="51" t="str">
        <f t="shared" si="1"/>
        <v>₹1,657,648.08</v>
      </c>
      <c r="F3117" s="52" t="str">
        <f t="shared" si="2"/>
        <v>30.0%</v>
      </c>
      <c r="G3117" s="51" t="str">
        <f t="shared" si="3"/>
        <v>₹497,294.42</v>
      </c>
      <c r="H3117" s="51" t="str">
        <f t="shared" si="4"/>
        <v>₹41,441.20</v>
      </c>
      <c r="I3117" s="51" t="str">
        <f>120103.98-H3117</f>
        <v>₹78,662.78</v>
      </c>
    </row>
    <row r="3118" ht="15.75" customHeight="1">
      <c r="A3118" s="53" t="s">
        <v>3196</v>
      </c>
      <c r="B3118" s="53" t="s">
        <v>13</v>
      </c>
      <c r="C3118" s="53" t="s">
        <v>26</v>
      </c>
      <c r="D3118" s="54">
        <v>138160.52</v>
      </c>
      <c r="E3118" s="54" t="str">
        <f t="shared" si="1"/>
        <v>₹1,657,926.24</v>
      </c>
      <c r="F3118" s="55" t="str">
        <f t="shared" si="2"/>
        <v>30.0%</v>
      </c>
      <c r="G3118" s="54" t="str">
        <f t="shared" si="3"/>
        <v>₹497,377.87</v>
      </c>
      <c r="H3118" s="54" t="str">
        <f t="shared" si="4"/>
        <v>₹41,448.16</v>
      </c>
      <c r="I3118" s="54" t="str">
        <f>120123.76-H3118</f>
        <v>₹78,675.60</v>
      </c>
    </row>
    <row r="3119" ht="15.75" customHeight="1">
      <c r="A3119" s="50" t="s">
        <v>3198</v>
      </c>
      <c r="B3119" s="50" t="s">
        <v>17</v>
      </c>
      <c r="C3119" s="50" t="s">
        <v>26</v>
      </c>
      <c r="D3119" s="51">
        <v>138183.69</v>
      </c>
      <c r="E3119" s="51" t="str">
        <f t="shared" si="1"/>
        <v>₹1,658,204.28</v>
      </c>
      <c r="F3119" s="52" t="str">
        <f t="shared" si="2"/>
        <v>30.0%</v>
      </c>
      <c r="G3119" s="51" t="str">
        <f t="shared" si="3"/>
        <v>₹497,461.28</v>
      </c>
      <c r="H3119" s="51" t="str">
        <f t="shared" si="4"/>
        <v>₹41,455.11</v>
      </c>
      <c r="I3119" s="51" t="str">
        <f>120143.54-H3119</f>
        <v>₹78,688.43</v>
      </c>
    </row>
    <row r="3120" ht="15.75" customHeight="1">
      <c r="A3120" s="53" t="s">
        <v>3199</v>
      </c>
      <c r="B3120" s="53" t="s">
        <v>25</v>
      </c>
      <c r="C3120" s="53" t="s">
        <v>14</v>
      </c>
      <c r="D3120" s="54">
        <v>138206.87</v>
      </c>
      <c r="E3120" s="54" t="str">
        <f t="shared" si="1"/>
        <v>₹1,658,482.44</v>
      </c>
      <c r="F3120" s="55" t="str">
        <f t="shared" si="2"/>
        <v>30.0%</v>
      </c>
      <c r="G3120" s="54" t="str">
        <f t="shared" si="3"/>
        <v>₹497,544.73</v>
      </c>
      <c r="H3120" s="54" t="str">
        <f t="shared" si="4"/>
        <v>₹41,462.06</v>
      </c>
      <c r="I3120" s="54" t="str">
        <f>120163.32-H3120</f>
        <v>₹78,701.26</v>
      </c>
    </row>
    <row r="3121" ht="15.75" customHeight="1">
      <c r="A3121" s="50" t="s">
        <v>3200</v>
      </c>
      <c r="B3121" s="50" t="s">
        <v>25</v>
      </c>
      <c r="C3121" s="50" t="s">
        <v>14</v>
      </c>
      <c r="D3121" s="51">
        <v>138230.05</v>
      </c>
      <c r="E3121" s="51" t="str">
        <f t="shared" si="1"/>
        <v>₹1,658,760.60</v>
      </c>
      <c r="F3121" s="52" t="str">
        <f t="shared" si="2"/>
        <v>30.0%</v>
      </c>
      <c r="G3121" s="51" t="str">
        <f t="shared" si="3"/>
        <v>₹497,628.18</v>
      </c>
      <c r="H3121" s="51" t="str">
        <f t="shared" si="4"/>
        <v>₹41,469.02</v>
      </c>
      <c r="I3121" s="51" t="str">
        <f>120183.1-H3121</f>
        <v>₹78,714.09</v>
      </c>
    </row>
    <row r="3122" ht="15.75" customHeight="1">
      <c r="A3122" s="53" t="s">
        <v>3201</v>
      </c>
      <c r="B3122" s="53" t="s">
        <v>17</v>
      </c>
      <c r="C3122" s="53" t="s">
        <v>14</v>
      </c>
      <c r="D3122" s="54">
        <v>138253.23</v>
      </c>
      <c r="E3122" s="54" t="str">
        <f t="shared" si="1"/>
        <v>₹1,659,038.76</v>
      </c>
      <c r="F3122" s="55" t="str">
        <f t="shared" si="2"/>
        <v>30.0%</v>
      </c>
      <c r="G3122" s="54" t="str">
        <f t="shared" si="3"/>
        <v>₹497,711.63</v>
      </c>
      <c r="H3122" s="54" t="str">
        <f t="shared" si="4"/>
        <v>₹41,475.97</v>
      </c>
      <c r="I3122" s="54" t="str">
        <f>120202.88-H3122</f>
        <v>₹78,726.91</v>
      </c>
    </row>
    <row r="3123" ht="15.75" customHeight="1">
      <c r="A3123" s="50" t="s">
        <v>3202</v>
      </c>
      <c r="B3123" s="50" t="s">
        <v>29</v>
      </c>
      <c r="C3123" s="50" t="s">
        <v>26</v>
      </c>
      <c r="D3123" s="51">
        <v>138276.4</v>
      </c>
      <c r="E3123" s="51" t="str">
        <f t="shared" si="1"/>
        <v>₹1,659,316.80</v>
      </c>
      <c r="F3123" s="52" t="str">
        <f t="shared" si="2"/>
        <v>30.0%</v>
      </c>
      <c r="G3123" s="51" t="str">
        <f t="shared" si="3"/>
        <v>₹497,795.04</v>
      </c>
      <c r="H3123" s="51" t="str">
        <f t="shared" si="4"/>
        <v>₹41,482.92</v>
      </c>
      <c r="I3123" s="51" t="str">
        <f>120222.65-H3123</f>
        <v>₹78,739.73</v>
      </c>
    </row>
    <row r="3124" ht="15.75" customHeight="1">
      <c r="A3124" s="53" t="s">
        <v>3203</v>
      </c>
      <c r="B3124" s="53" t="s">
        <v>13</v>
      </c>
      <c r="C3124" s="53" t="s">
        <v>18</v>
      </c>
      <c r="D3124" s="54">
        <v>138299.58</v>
      </c>
      <c r="E3124" s="54" t="str">
        <f t="shared" si="1"/>
        <v>₹1,659,594.96</v>
      </c>
      <c r="F3124" s="55" t="str">
        <f t="shared" si="2"/>
        <v>30.0%</v>
      </c>
      <c r="G3124" s="54" t="str">
        <f t="shared" si="3"/>
        <v>₹497,878.49</v>
      </c>
      <c r="H3124" s="54" t="str">
        <f t="shared" si="4"/>
        <v>₹41,489.87</v>
      </c>
      <c r="I3124" s="54" t="str">
        <f>120242.44-H3124</f>
        <v>₹78,752.57</v>
      </c>
    </row>
    <row r="3125" ht="15.75" customHeight="1">
      <c r="A3125" s="50" t="s">
        <v>3204</v>
      </c>
      <c r="B3125" s="50" t="s">
        <v>17</v>
      </c>
      <c r="C3125" s="50" t="s">
        <v>18</v>
      </c>
      <c r="D3125" s="51">
        <v>138345.94</v>
      </c>
      <c r="E3125" s="51" t="str">
        <f t="shared" si="1"/>
        <v>₹1,660,151.28</v>
      </c>
      <c r="F3125" s="52" t="str">
        <f t="shared" si="2"/>
        <v>30.0%</v>
      </c>
      <c r="G3125" s="51" t="str">
        <f t="shared" si="3"/>
        <v>₹498,045.38</v>
      </c>
      <c r="H3125" s="51" t="str">
        <f t="shared" si="4"/>
        <v>₹41,503.78</v>
      </c>
      <c r="I3125" s="51" t="str">
        <f>120282-H3125</f>
        <v>₹78,778.22</v>
      </c>
    </row>
    <row r="3126" ht="15.75" customHeight="1">
      <c r="A3126" s="53" t="s">
        <v>3205</v>
      </c>
      <c r="B3126" s="53" t="s">
        <v>17</v>
      </c>
      <c r="C3126" s="53" t="s">
        <v>14</v>
      </c>
      <c r="D3126" s="54">
        <v>138369.11</v>
      </c>
      <c r="E3126" s="54" t="str">
        <f t="shared" si="1"/>
        <v>₹1,660,429.32</v>
      </c>
      <c r="F3126" s="55" t="str">
        <f t="shared" si="2"/>
        <v>30.0%</v>
      </c>
      <c r="G3126" s="54" t="str">
        <f t="shared" si="3"/>
        <v>₹498,128.80</v>
      </c>
      <c r="H3126" s="54" t="str">
        <f t="shared" si="4"/>
        <v>₹41,510.73</v>
      </c>
      <c r="I3126" s="54" t="str">
        <f>120301.77-H3126</f>
        <v>₹78,791.04</v>
      </c>
    </row>
    <row r="3127" ht="15.75" customHeight="1">
      <c r="A3127" s="50" t="s">
        <v>3206</v>
      </c>
      <c r="B3127" s="50" t="s">
        <v>25</v>
      </c>
      <c r="C3127" s="50" t="s">
        <v>33</v>
      </c>
      <c r="D3127" s="51">
        <v>138392.29</v>
      </c>
      <c r="E3127" s="51" t="str">
        <f t="shared" si="1"/>
        <v>₹1,660,707.48</v>
      </c>
      <c r="F3127" s="52" t="str">
        <f t="shared" si="2"/>
        <v>30.0%</v>
      </c>
      <c r="G3127" s="51" t="str">
        <f t="shared" si="3"/>
        <v>₹498,212.24</v>
      </c>
      <c r="H3127" s="51" t="str">
        <f t="shared" si="4"/>
        <v>₹41,517.69</v>
      </c>
      <c r="I3127" s="51" t="str">
        <f>120321.56-H3127</f>
        <v>₹78,803.87</v>
      </c>
    </row>
    <row r="3128" ht="15.75" customHeight="1">
      <c r="A3128" s="53" t="s">
        <v>3207</v>
      </c>
      <c r="B3128" s="53" t="s">
        <v>36</v>
      </c>
      <c r="C3128" s="53" t="s">
        <v>14</v>
      </c>
      <c r="D3128" s="54">
        <v>138415.47</v>
      </c>
      <c r="E3128" s="54" t="str">
        <f t="shared" si="1"/>
        <v>₹1,660,985.64</v>
      </c>
      <c r="F3128" s="55" t="str">
        <f t="shared" si="2"/>
        <v>30.0%</v>
      </c>
      <c r="G3128" s="54" t="str">
        <f t="shared" si="3"/>
        <v>₹498,295.69</v>
      </c>
      <c r="H3128" s="54" t="str">
        <f t="shared" si="4"/>
        <v>₹41,524.64</v>
      </c>
      <c r="I3128" s="54" t="str">
        <f>120341.34-H3128</f>
        <v>₹78,816.70</v>
      </c>
    </row>
    <row r="3129" ht="15.75" customHeight="1">
      <c r="A3129" s="50" t="s">
        <v>3208</v>
      </c>
      <c r="B3129" s="50" t="s">
        <v>36</v>
      </c>
      <c r="C3129" s="50" t="s">
        <v>14</v>
      </c>
      <c r="D3129" s="51">
        <v>138438.65</v>
      </c>
      <c r="E3129" s="51" t="str">
        <f t="shared" si="1"/>
        <v>₹1,661,263.80</v>
      </c>
      <c r="F3129" s="52" t="str">
        <f t="shared" si="2"/>
        <v>30.0%</v>
      </c>
      <c r="G3129" s="51" t="str">
        <f t="shared" si="3"/>
        <v>₹498,379.14</v>
      </c>
      <c r="H3129" s="51" t="str">
        <f t="shared" si="4"/>
        <v>₹41,531.60</v>
      </c>
      <c r="I3129" s="51" t="str">
        <f>120361.12-H3129</f>
        <v>₹78,829.53</v>
      </c>
    </row>
    <row r="3130" ht="15.75" customHeight="1">
      <c r="A3130" s="53" t="s">
        <v>3209</v>
      </c>
      <c r="B3130" s="53" t="s">
        <v>36</v>
      </c>
      <c r="C3130" s="53" t="s">
        <v>26</v>
      </c>
      <c r="D3130" s="54">
        <v>138461.83</v>
      </c>
      <c r="E3130" s="54" t="str">
        <f t="shared" si="1"/>
        <v>₹1,661,541.96</v>
      </c>
      <c r="F3130" s="55" t="str">
        <f t="shared" si="2"/>
        <v>30.0%</v>
      </c>
      <c r="G3130" s="54" t="str">
        <f t="shared" si="3"/>
        <v>₹498,462.59</v>
      </c>
      <c r="H3130" s="54" t="str">
        <f t="shared" si="4"/>
        <v>₹41,538.55</v>
      </c>
      <c r="I3130" s="54" t="str">
        <f>120380.9-H3130</f>
        <v>₹78,842.35</v>
      </c>
    </row>
    <row r="3131" ht="15.75" customHeight="1">
      <c r="A3131" s="50" t="s">
        <v>3210</v>
      </c>
      <c r="B3131" s="50" t="s">
        <v>13</v>
      </c>
      <c r="C3131" s="50" t="s">
        <v>30</v>
      </c>
      <c r="D3131" s="51">
        <v>138485.0</v>
      </c>
      <c r="E3131" s="51" t="str">
        <f t="shared" si="1"/>
        <v>₹1,661,820.00</v>
      </c>
      <c r="F3131" s="52" t="str">
        <f t="shared" si="2"/>
        <v>30.0%</v>
      </c>
      <c r="G3131" s="51" t="str">
        <f t="shared" si="3"/>
        <v>₹498,546.00</v>
      </c>
      <c r="H3131" s="51" t="str">
        <f t="shared" si="4"/>
        <v>₹41,545.50</v>
      </c>
      <c r="I3131" s="51" t="str">
        <f>120400.68-H3131</f>
        <v>₹78,855.18</v>
      </c>
    </row>
    <row r="3132" ht="15.75" customHeight="1">
      <c r="A3132" s="53" t="s">
        <v>3211</v>
      </c>
      <c r="B3132" s="53" t="s">
        <v>51</v>
      </c>
      <c r="C3132" s="53" t="s">
        <v>54</v>
      </c>
      <c r="D3132" s="54">
        <v>138508.18</v>
      </c>
      <c r="E3132" s="54" t="str">
        <f t="shared" si="1"/>
        <v>₹1,662,098.16</v>
      </c>
      <c r="F3132" s="55" t="str">
        <f t="shared" si="2"/>
        <v>30.0%</v>
      </c>
      <c r="G3132" s="54" t="str">
        <f t="shared" si="3"/>
        <v>₹498,629.45</v>
      </c>
      <c r="H3132" s="54" t="str">
        <f t="shared" si="4"/>
        <v>₹41,552.45</v>
      </c>
      <c r="I3132" s="54" t="str">
        <f>120420.46-H3132</f>
        <v>₹78,868.01</v>
      </c>
    </row>
    <row r="3133" ht="15.75" customHeight="1">
      <c r="A3133" s="50" t="s">
        <v>3212</v>
      </c>
      <c r="B3133" s="50" t="s">
        <v>29</v>
      </c>
      <c r="C3133" s="50" t="s">
        <v>54</v>
      </c>
      <c r="D3133" s="51">
        <v>138531.36</v>
      </c>
      <c r="E3133" s="51" t="str">
        <f t="shared" si="1"/>
        <v>₹1,662,376.32</v>
      </c>
      <c r="F3133" s="52" t="str">
        <f t="shared" si="2"/>
        <v>30.0%</v>
      </c>
      <c r="G3133" s="51" t="str">
        <f t="shared" si="3"/>
        <v>₹498,712.90</v>
      </c>
      <c r="H3133" s="51" t="str">
        <f t="shared" si="4"/>
        <v>₹41,559.41</v>
      </c>
      <c r="I3133" s="51" t="str">
        <f>120440.24-H3133</f>
        <v>₹78,880.83</v>
      </c>
    </row>
    <row r="3134" ht="15.75" customHeight="1">
      <c r="A3134" s="53" t="s">
        <v>3213</v>
      </c>
      <c r="B3134" s="53" t="s">
        <v>29</v>
      </c>
      <c r="C3134" s="53" t="s">
        <v>14</v>
      </c>
      <c r="D3134" s="54">
        <v>138554.54</v>
      </c>
      <c r="E3134" s="54" t="str">
        <f t="shared" si="1"/>
        <v>₹1,662,654.48</v>
      </c>
      <c r="F3134" s="55" t="str">
        <f t="shared" si="2"/>
        <v>30.0%</v>
      </c>
      <c r="G3134" s="54" t="str">
        <f t="shared" si="3"/>
        <v>₹498,796.34</v>
      </c>
      <c r="H3134" s="54" t="str">
        <f t="shared" si="4"/>
        <v>₹41,566.36</v>
      </c>
      <c r="I3134" s="54" t="str">
        <f>120460.02-H3134</f>
        <v>₹78,893.66</v>
      </c>
    </row>
    <row r="3135" ht="15.75" customHeight="1">
      <c r="A3135" s="50" t="s">
        <v>3214</v>
      </c>
      <c r="B3135" s="50" t="s">
        <v>13</v>
      </c>
      <c r="C3135" s="50" t="s">
        <v>18</v>
      </c>
      <c r="D3135" s="51">
        <v>138577.71</v>
      </c>
      <c r="E3135" s="51" t="str">
        <f t="shared" si="1"/>
        <v>₹1,662,932.52</v>
      </c>
      <c r="F3135" s="52" t="str">
        <f t="shared" si="2"/>
        <v>30.0%</v>
      </c>
      <c r="G3135" s="51" t="str">
        <f t="shared" si="3"/>
        <v>₹498,879.76</v>
      </c>
      <c r="H3135" s="51" t="str">
        <f t="shared" si="4"/>
        <v>₹41,573.31</v>
      </c>
      <c r="I3135" s="51" t="str">
        <f>120479.8-H3135</f>
        <v>₹78,906.49</v>
      </c>
    </row>
    <row r="3136" ht="15.75" customHeight="1">
      <c r="A3136" s="53" t="s">
        <v>3215</v>
      </c>
      <c r="B3136" s="53" t="s">
        <v>36</v>
      </c>
      <c r="C3136" s="53" t="s">
        <v>14</v>
      </c>
      <c r="D3136" s="54">
        <v>138600.89</v>
      </c>
      <c r="E3136" s="54" t="str">
        <f t="shared" si="1"/>
        <v>₹1,663,210.68</v>
      </c>
      <c r="F3136" s="55" t="str">
        <f t="shared" si="2"/>
        <v>30.0%</v>
      </c>
      <c r="G3136" s="54" t="str">
        <f t="shared" si="3"/>
        <v>₹498,963.20</v>
      </c>
      <c r="H3136" s="54" t="str">
        <f t="shared" si="4"/>
        <v>₹41,580.27</v>
      </c>
      <c r="I3136" s="54" t="str">
        <f>120499.58-H3136</f>
        <v>₹78,919.31</v>
      </c>
    </row>
    <row r="3137" ht="15.75" customHeight="1">
      <c r="A3137" s="50" t="s">
        <v>3216</v>
      </c>
      <c r="B3137" s="50" t="s">
        <v>36</v>
      </c>
      <c r="C3137" s="50" t="s">
        <v>37</v>
      </c>
      <c r="D3137" s="51">
        <v>138624.07</v>
      </c>
      <c r="E3137" s="51" t="str">
        <f t="shared" si="1"/>
        <v>₹1,663,488.84</v>
      </c>
      <c r="F3137" s="52" t="str">
        <f t="shared" si="2"/>
        <v>30.0%</v>
      </c>
      <c r="G3137" s="51" t="str">
        <f t="shared" si="3"/>
        <v>₹499,046.65</v>
      </c>
      <c r="H3137" s="51" t="str">
        <f t="shared" si="4"/>
        <v>₹41,587.22</v>
      </c>
      <c r="I3137" s="51" t="str">
        <f>120519.36-H3137</f>
        <v>₹78,932.14</v>
      </c>
    </row>
    <row r="3138" ht="15.75" customHeight="1">
      <c r="A3138" s="53" t="s">
        <v>3217</v>
      </c>
      <c r="B3138" s="53" t="s">
        <v>53</v>
      </c>
      <c r="C3138" s="53" t="s">
        <v>14</v>
      </c>
      <c r="D3138" s="54">
        <v>138647.25</v>
      </c>
      <c r="E3138" s="54" t="str">
        <f t="shared" si="1"/>
        <v>₹1,663,767.00</v>
      </c>
      <c r="F3138" s="55" t="str">
        <f t="shared" si="2"/>
        <v>30.0%</v>
      </c>
      <c r="G3138" s="54" t="str">
        <f t="shared" si="3"/>
        <v>₹499,130.10</v>
      </c>
      <c r="H3138" s="54" t="str">
        <f t="shared" si="4"/>
        <v>₹41,594.18</v>
      </c>
      <c r="I3138" s="54" t="str">
        <f>120539.14-H3138</f>
        <v>₹78,944.97</v>
      </c>
    </row>
    <row r="3139" ht="15.75" customHeight="1">
      <c r="A3139" s="50" t="s">
        <v>3218</v>
      </c>
      <c r="B3139" s="50" t="s">
        <v>25</v>
      </c>
      <c r="C3139" s="50" t="s">
        <v>14</v>
      </c>
      <c r="D3139" s="51">
        <v>138670.42</v>
      </c>
      <c r="E3139" s="51" t="str">
        <f t="shared" si="1"/>
        <v>₹1,664,045.04</v>
      </c>
      <c r="F3139" s="52" t="str">
        <f t="shared" si="2"/>
        <v>30.0%</v>
      </c>
      <c r="G3139" s="51" t="str">
        <f t="shared" si="3"/>
        <v>₹499,213.51</v>
      </c>
      <c r="H3139" s="51" t="str">
        <f t="shared" si="4"/>
        <v>₹41,601.13</v>
      </c>
      <c r="I3139" s="51" t="str">
        <f>120558.92-H3139</f>
        <v>₹78,957.79</v>
      </c>
    </row>
    <row r="3140" ht="15.75" customHeight="1">
      <c r="A3140" s="53" t="s">
        <v>3219</v>
      </c>
      <c r="B3140" s="53" t="s">
        <v>25</v>
      </c>
      <c r="C3140" s="53" t="s">
        <v>37</v>
      </c>
      <c r="D3140" s="54">
        <v>138693.6</v>
      </c>
      <c r="E3140" s="54" t="str">
        <f t="shared" si="1"/>
        <v>₹1,664,323.20</v>
      </c>
      <c r="F3140" s="55" t="str">
        <f t="shared" si="2"/>
        <v>30.0%</v>
      </c>
      <c r="G3140" s="54" t="str">
        <f t="shared" si="3"/>
        <v>₹499,296.96</v>
      </c>
      <c r="H3140" s="54" t="str">
        <f t="shared" si="4"/>
        <v>₹41,608.08</v>
      </c>
      <c r="I3140" s="54" t="str">
        <f>120578.7-H3140</f>
        <v>₹78,970.62</v>
      </c>
    </row>
    <row r="3141" ht="15.75" customHeight="1">
      <c r="A3141" s="50" t="s">
        <v>3220</v>
      </c>
      <c r="B3141" s="50" t="s">
        <v>29</v>
      </c>
      <c r="C3141" s="50" t="s">
        <v>14</v>
      </c>
      <c r="D3141" s="51">
        <v>138716.78</v>
      </c>
      <c r="E3141" s="51" t="str">
        <f t="shared" si="1"/>
        <v>₹1,664,601.36</v>
      </c>
      <c r="F3141" s="52" t="str">
        <f t="shared" si="2"/>
        <v>30.0%</v>
      </c>
      <c r="G3141" s="51" t="str">
        <f t="shared" si="3"/>
        <v>₹499,380.41</v>
      </c>
      <c r="H3141" s="51" t="str">
        <f t="shared" si="4"/>
        <v>₹41,615.03</v>
      </c>
      <c r="I3141" s="51" t="str">
        <f>120598.48-H3141</f>
        <v>₹78,983.45</v>
      </c>
    </row>
    <row r="3142" ht="15.75" customHeight="1">
      <c r="A3142" s="53" t="s">
        <v>3221</v>
      </c>
      <c r="B3142" s="53" t="s">
        <v>17</v>
      </c>
      <c r="C3142" s="53" t="s">
        <v>18</v>
      </c>
      <c r="D3142" s="54">
        <v>138739.96</v>
      </c>
      <c r="E3142" s="54" t="str">
        <f t="shared" si="1"/>
        <v>₹1,664,879.52</v>
      </c>
      <c r="F3142" s="55" t="str">
        <f t="shared" si="2"/>
        <v>30.0%</v>
      </c>
      <c r="G3142" s="54" t="str">
        <f t="shared" si="3"/>
        <v>₹499,463.86</v>
      </c>
      <c r="H3142" s="54" t="str">
        <f t="shared" si="4"/>
        <v>₹41,621.99</v>
      </c>
      <c r="I3142" s="54" t="str">
        <f>120618.26-H3142</f>
        <v>₹78,996.27</v>
      </c>
    </row>
    <row r="3143" ht="15.75" customHeight="1">
      <c r="A3143" s="50" t="s">
        <v>3222</v>
      </c>
      <c r="B3143" s="50" t="s">
        <v>53</v>
      </c>
      <c r="C3143" s="50" t="s">
        <v>14</v>
      </c>
      <c r="D3143" s="51">
        <v>138763.14</v>
      </c>
      <c r="E3143" s="51" t="str">
        <f t="shared" si="1"/>
        <v>₹1,665,157.68</v>
      </c>
      <c r="F3143" s="52" t="str">
        <f t="shared" si="2"/>
        <v>30.0%</v>
      </c>
      <c r="G3143" s="51" t="str">
        <f t="shared" si="3"/>
        <v>₹499,547.30</v>
      </c>
      <c r="H3143" s="51" t="str">
        <f t="shared" si="4"/>
        <v>₹41,628.94</v>
      </c>
      <c r="I3143" s="51" t="str">
        <f>120638.05-H3143</f>
        <v>₹79,009.11</v>
      </c>
    </row>
    <row r="3144" ht="15.75" customHeight="1">
      <c r="A3144" s="53" t="s">
        <v>3223</v>
      </c>
      <c r="B3144" s="53" t="s">
        <v>29</v>
      </c>
      <c r="C3144" s="53" t="s">
        <v>18</v>
      </c>
      <c r="D3144" s="54">
        <v>138786.31</v>
      </c>
      <c r="E3144" s="54" t="str">
        <f t="shared" si="1"/>
        <v>₹1,665,435.72</v>
      </c>
      <c r="F3144" s="55" t="str">
        <f t="shared" si="2"/>
        <v>30.0%</v>
      </c>
      <c r="G3144" s="54" t="str">
        <f t="shared" si="3"/>
        <v>₹499,630.72</v>
      </c>
      <c r="H3144" s="54" t="str">
        <f t="shared" si="4"/>
        <v>₹41,635.89</v>
      </c>
      <c r="I3144" s="54" t="str">
        <f>120657.82-H3144</f>
        <v>₹79,021.93</v>
      </c>
    </row>
    <row r="3145" ht="15.75" customHeight="1">
      <c r="A3145" s="50" t="s">
        <v>3224</v>
      </c>
      <c r="B3145" s="50" t="s">
        <v>29</v>
      </c>
      <c r="C3145" s="50" t="s">
        <v>37</v>
      </c>
      <c r="D3145" s="51">
        <v>138879.02</v>
      </c>
      <c r="E3145" s="51" t="str">
        <f t="shared" si="1"/>
        <v>₹1,666,548.24</v>
      </c>
      <c r="F3145" s="52" t="str">
        <f t="shared" si="2"/>
        <v>30.0%</v>
      </c>
      <c r="G3145" s="51" t="str">
        <f t="shared" si="3"/>
        <v>₹499,964.47</v>
      </c>
      <c r="H3145" s="51" t="str">
        <f t="shared" si="4"/>
        <v>₹41,663.71</v>
      </c>
      <c r="I3145" s="51" t="str">
        <f>120736.94-H3145</f>
        <v>₹79,073.23</v>
      </c>
    </row>
    <row r="3146" ht="15.75" customHeight="1">
      <c r="A3146" s="53" t="s">
        <v>3225</v>
      </c>
      <c r="B3146" s="53" t="s">
        <v>25</v>
      </c>
      <c r="C3146" s="53" t="s">
        <v>18</v>
      </c>
      <c r="D3146" s="54">
        <v>138902.2</v>
      </c>
      <c r="E3146" s="54" t="str">
        <f t="shared" si="1"/>
        <v>₹1,666,826.40</v>
      </c>
      <c r="F3146" s="55" t="str">
        <f t="shared" si="2"/>
        <v>30.0%</v>
      </c>
      <c r="G3146" s="54" t="str">
        <f t="shared" si="3"/>
        <v>₹500,047.92</v>
      </c>
      <c r="H3146" s="54" t="str">
        <f t="shared" si="4"/>
        <v>₹41,670.66</v>
      </c>
      <c r="I3146" s="54" t="str">
        <f>120756.72-H3146</f>
        <v>₹79,086.06</v>
      </c>
    </row>
    <row r="3147" ht="15.75" customHeight="1">
      <c r="A3147" s="50" t="s">
        <v>3226</v>
      </c>
      <c r="B3147" s="50" t="s">
        <v>36</v>
      </c>
      <c r="C3147" s="50" t="s">
        <v>14</v>
      </c>
      <c r="D3147" s="51">
        <v>138925.38</v>
      </c>
      <c r="E3147" s="51" t="str">
        <f t="shared" si="1"/>
        <v>₹1,667,104.56</v>
      </c>
      <c r="F3147" s="52" t="str">
        <f t="shared" si="2"/>
        <v>30.0%</v>
      </c>
      <c r="G3147" s="51" t="str">
        <f t="shared" si="3"/>
        <v>₹500,131.37</v>
      </c>
      <c r="H3147" s="51" t="str">
        <f t="shared" si="4"/>
        <v>₹41,677.61</v>
      </c>
      <c r="I3147" s="51" t="str">
        <f>120776.5-H3147</f>
        <v>₹79,098.89</v>
      </c>
    </row>
    <row r="3148" ht="15.75" customHeight="1">
      <c r="A3148" s="53" t="s">
        <v>3227</v>
      </c>
      <c r="B3148" s="53" t="s">
        <v>17</v>
      </c>
      <c r="C3148" s="53" t="s">
        <v>33</v>
      </c>
      <c r="D3148" s="54">
        <v>138971.73</v>
      </c>
      <c r="E3148" s="54" t="str">
        <f t="shared" si="1"/>
        <v>₹1,667,660.76</v>
      </c>
      <c r="F3148" s="55" t="str">
        <f t="shared" si="2"/>
        <v>30.0%</v>
      </c>
      <c r="G3148" s="54" t="str">
        <f t="shared" si="3"/>
        <v>₹500,298.23</v>
      </c>
      <c r="H3148" s="54" t="str">
        <f t="shared" si="4"/>
        <v>₹41,691.52</v>
      </c>
      <c r="I3148" s="54" t="str">
        <f>120816.06-H3148</f>
        <v>₹79,124.54</v>
      </c>
    </row>
    <row r="3149" ht="15.75" customHeight="1">
      <c r="A3149" s="50" t="s">
        <v>3228</v>
      </c>
      <c r="B3149" s="50" t="s">
        <v>53</v>
      </c>
      <c r="C3149" s="50" t="s">
        <v>37</v>
      </c>
      <c r="D3149" s="51">
        <v>138994.91</v>
      </c>
      <c r="E3149" s="51" t="str">
        <f t="shared" si="1"/>
        <v>₹1,667,938.92</v>
      </c>
      <c r="F3149" s="52" t="str">
        <f t="shared" si="2"/>
        <v>30.0%</v>
      </c>
      <c r="G3149" s="51" t="str">
        <f t="shared" si="3"/>
        <v>₹500,381.68</v>
      </c>
      <c r="H3149" s="51" t="str">
        <f t="shared" si="4"/>
        <v>₹41,698.47</v>
      </c>
      <c r="I3149" s="51" t="str">
        <f>120835.84-H3149</f>
        <v>₹79,137.37</v>
      </c>
    </row>
    <row r="3150" ht="15.75" customHeight="1">
      <c r="A3150" s="53" t="s">
        <v>3229</v>
      </c>
      <c r="B3150" s="53" t="s">
        <v>13</v>
      </c>
      <c r="C3150" s="53" t="s">
        <v>33</v>
      </c>
      <c r="D3150" s="54">
        <v>139018.09</v>
      </c>
      <c r="E3150" s="54" t="str">
        <f t="shared" si="1"/>
        <v>₹1,668,217.08</v>
      </c>
      <c r="F3150" s="55" t="str">
        <f t="shared" si="2"/>
        <v>30.0%</v>
      </c>
      <c r="G3150" s="54" t="str">
        <f t="shared" si="3"/>
        <v>₹500,465.12</v>
      </c>
      <c r="H3150" s="54" t="str">
        <f t="shared" si="4"/>
        <v>₹41,705.43</v>
      </c>
      <c r="I3150" s="54" t="str">
        <f>120855.62-H3150</f>
        <v>₹79,150.19</v>
      </c>
    </row>
    <row r="3151" ht="15.75" customHeight="1">
      <c r="A3151" s="50" t="s">
        <v>3230</v>
      </c>
      <c r="B3151" s="50" t="s">
        <v>51</v>
      </c>
      <c r="C3151" s="50" t="s">
        <v>26</v>
      </c>
      <c r="D3151" s="51">
        <v>139041.27</v>
      </c>
      <c r="E3151" s="51" t="str">
        <f t="shared" si="1"/>
        <v>₹1,668,495.24</v>
      </c>
      <c r="F3151" s="52" t="str">
        <f t="shared" si="2"/>
        <v>30.0%</v>
      </c>
      <c r="G3151" s="51" t="str">
        <f t="shared" si="3"/>
        <v>₹500,548.57</v>
      </c>
      <c r="H3151" s="51" t="str">
        <f t="shared" si="4"/>
        <v>₹41,712.38</v>
      </c>
      <c r="I3151" s="51" t="str">
        <f>120875.41-H3151</f>
        <v>₹79,163.03</v>
      </c>
    </row>
    <row r="3152" ht="15.75" customHeight="1">
      <c r="A3152" s="53" t="s">
        <v>3231</v>
      </c>
      <c r="B3152" s="53" t="s">
        <v>53</v>
      </c>
      <c r="C3152" s="53" t="s">
        <v>30</v>
      </c>
      <c r="D3152" s="54">
        <v>139087.62</v>
      </c>
      <c r="E3152" s="54" t="str">
        <f t="shared" si="1"/>
        <v>₹1,669,051.44</v>
      </c>
      <c r="F3152" s="55" t="str">
        <f t="shared" si="2"/>
        <v>30.0%</v>
      </c>
      <c r="G3152" s="54" t="str">
        <f t="shared" si="3"/>
        <v>₹500,715.43</v>
      </c>
      <c r="H3152" s="54" t="str">
        <f t="shared" si="4"/>
        <v>₹41,726.29</v>
      </c>
      <c r="I3152" s="54" t="str">
        <f>120914.96-H3152</f>
        <v>₹79,188.67</v>
      </c>
    </row>
    <row r="3153" ht="15.75" customHeight="1">
      <c r="A3153" s="50" t="s">
        <v>3232</v>
      </c>
      <c r="B3153" s="50" t="s">
        <v>53</v>
      </c>
      <c r="C3153" s="50" t="s">
        <v>33</v>
      </c>
      <c r="D3153" s="51">
        <v>139110.8</v>
      </c>
      <c r="E3153" s="51" t="str">
        <f t="shared" si="1"/>
        <v>₹1,669,329.60</v>
      </c>
      <c r="F3153" s="52" t="str">
        <f t="shared" si="2"/>
        <v>30.0%</v>
      </c>
      <c r="G3153" s="51" t="str">
        <f t="shared" si="3"/>
        <v>₹500,798.88</v>
      </c>
      <c r="H3153" s="51" t="str">
        <f t="shared" si="4"/>
        <v>₹41,733.24</v>
      </c>
      <c r="I3153" s="51" t="str">
        <f>120934.74-H3153</f>
        <v>₹79,201.50</v>
      </c>
    </row>
    <row r="3154" ht="15.75" customHeight="1">
      <c r="A3154" s="53" t="s">
        <v>3233</v>
      </c>
      <c r="B3154" s="53" t="s">
        <v>13</v>
      </c>
      <c r="C3154" s="53" t="s">
        <v>54</v>
      </c>
      <c r="D3154" s="54">
        <v>139133.98</v>
      </c>
      <c r="E3154" s="54" t="str">
        <f t="shared" si="1"/>
        <v>₹1,669,607.76</v>
      </c>
      <c r="F3154" s="55" t="str">
        <f t="shared" si="2"/>
        <v>30.0%</v>
      </c>
      <c r="G3154" s="54" t="str">
        <f t="shared" si="3"/>
        <v>₹500,882.33</v>
      </c>
      <c r="H3154" s="54" t="str">
        <f t="shared" si="4"/>
        <v>₹41,740.19</v>
      </c>
      <c r="I3154" s="54" t="str">
        <f>120954.53-H3154</f>
        <v>₹79,214.34</v>
      </c>
    </row>
    <row r="3155" ht="15.75" customHeight="1">
      <c r="A3155" s="50" t="s">
        <v>3234</v>
      </c>
      <c r="B3155" s="50" t="s">
        <v>25</v>
      </c>
      <c r="C3155" s="50" t="s">
        <v>54</v>
      </c>
      <c r="D3155" s="51">
        <v>139157.16</v>
      </c>
      <c r="E3155" s="51" t="str">
        <f t="shared" si="1"/>
        <v>₹1,669,885.92</v>
      </c>
      <c r="F3155" s="52" t="str">
        <f t="shared" si="2"/>
        <v>30.0%</v>
      </c>
      <c r="G3155" s="51" t="str">
        <f t="shared" si="3"/>
        <v>₹500,965.78</v>
      </c>
      <c r="H3155" s="51" t="str">
        <f t="shared" si="4"/>
        <v>₹41,747.15</v>
      </c>
      <c r="I3155" s="51" t="str">
        <f>124522.72-H3155</f>
        <v>₹82,775.57</v>
      </c>
    </row>
    <row r="3156" ht="15.75" customHeight="1">
      <c r="A3156" s="53" t="s">
        <v>3235</v>
      </c>
      <c r="B3156" s="53" t="s">
        <v>17</v>
      </c>
      <c r="C3156" s="53" t="s">
        <v>26</v>
      </c>
      <c r="D3156" s="54">
        <v>139180.33</v>
      </c>
      <c r="E3156" s="54" t="str">
        <f t="shared" si="1"/>
        <v>₹1,670,163.96</v>
      </c>
      <c r="F3156" s="55" t="str">
        <f t="shared" si="2"/>
        <v>30.0%</v>
      </c>
      <c r="G3156" s="54" t="str">
        <f t="shared" si="3"/>
        <v>₹501,049.19</v>
      </c>
      <c r="H3156" s="54" t="str">
        <f t="shared" si="4"/>
        <v>₹41,754.10</v>
      </c>
      <c r="I3156" s="54" t="str">
        <f>120994.08-H3156</f>
        <v>₹79,239.98</v>
      </c>
    </row>
    <row r="3157" ht="15.75" customHeight="1">
      <c r="A3157" s="50" t="s">
        <v>3236</v>
      </c>
      <c r="B3157" s="50" t="s">
        <v>36</v>
      </c>
      <c r="C3157" s="50" t="s">
        <v>37</v>
      </c>
      <c r="D3157" s="51">
        <v>139203.51</v>
      </c>
      <c r="E3157" s="51" t="str">
        <f t="shared" si="1"/>
        <v>₹1,670,442.12</v>
      </c>
      <c r="F3157" s="52" t="str">
        <f t="shared" si="2"/>
        <v>30.0%</v>
      </c>
      <c r="G3157" s="51" t="str">
        <f t="shared" si="3"/>
        <v>₹501,132.64</v>
      </c>
      <c r="H3157" s="51" t="str">
        <f t="shared" si="4"/>
        <v>₹41,761.05</v>
      </c>
      <c r="I3157" s="51" t="str">
        <f>121013.86-H3157</f>
        <v>₹79,252.81</v>
      </c>
    </row>
    <row r="3158" ht="15.75" customHeight="1">
      <c r="A3158" s="53" t="s">
        <v>3237</v>
      </c>
      <c r="B3158" s="53" t="s">
        <v>29</v>
      </c>
      <c r="C3158" s="53" t="s">
        <v>14</v>
      </c>
      <c r="D3158" s="54">
        <v>139226.69</v>
      </c>
      <c r="E3158" s="54" t="str">
        <f t="shared" si="1"/>
        <v>₹1,670,720.28</v>
      </c>
      <c r="F3158" s="55" t="str">
        <f t="shared" si="2"/>
        <v>30.0%</v>
      </c>
      <c r="G3158" s="54" t="str">
        <f t="shared" si="3"/>
        <v>₹501,216.08</v>
      </c>
      <c r="H3158" s="54" t="str">
        <f t="shared" si="4"/>
        <v>₹41,768.01</v>
      </c>
      <c r="I3158" s="54" t="str">
        <f>121033.65-H3158</f>
        <v>₹79,265.64</v>
      </c>
    </row>
    <row r="3159" ht="15.75" customHeight="1">
      <c r="A3159" s="50" t="s">
        <v>3238</v>
      </c>
      <c r="B3159" s="50" t="s">
        <v>53</v>
      </c>
      <c r="C3159" s="50" t="s">
        <v>14</v>
      </c>
      <c r="D3159" s="51">
        <v>139249.87</v>
      </c>
      <c r="E3159" s="51" t="str">
        <f t="shared" si="1"/>
        <v>₹1,670,998.44</v>
      </c>
      <c r="F3159" s="52" t="str">
        <f t="shared" si="2"/>
        <v>30.0%</v>
      </c>
      <c r="G3159" s="51" t="str">
        <f t="shared" si="3"/>
        <v>₹501,299.53</v>
      </c>
      <c r="H3159" s="51" t="str">
        <f t="shared" si="4"/>
        <v>₹41,774.96</v>
      </c>
      <c r="I3159" s="51" t="str">
        <f>121053.43-H3159</f>
        <v>₹79,278.47</v>
      </c>
    </row>
    <row r="3160" ht="15.75" customHeight="1">
      <c r="A3160" s="53" t="s">
        <v>3239</v>
      </c>
      <c r="B3160" s="53" t="s">
        <v>51</v>
      </c>
      <c r="C3160" s="53" t="s">
        <v>33</v>
      </c>
      <c r="D3160" s="54">
        <v>139273.04</v>
      </c>
      <c r="E3160" s="54" t="str">
        <f t="shared" si="1"/>
        <v>₹1,671,276.48</v>
      </c>
      <c r="F3160" s="55" t="str">
        <f t="shared" si="2"/>
        <v>30.0%</v>
      </c>
      <c r="G3160" s="54" t="str">
        <f t="shared" si="3"/>
        <v>₹501,382.94</v>
      </c>
      <c r="H3160" s="54" t="str">
        <f t="shared" si="4"/>
        <v>₹41,781.91</v>
      </c>
      <c r="I3160" s="54" t="str">
        <f>121073.2-H3160</f>
        <v>₹79,291.29</v>
      </c>
    </row>
    <row r="3161" ht="15.75" customHeight="1">
      <c r="A3161" s="50" t="s">
        <v>3240</v>
      </c>
      <c r="B3161" s="50" t="s">
        <v>17</v>
      </c>
      <c r="C3161" s="50" t="s">
        <v>18</v>
      </c>
      <c r="D3161" s="51">
        <v>139296.22</v>
      </c>
      <c r="E3161" s="51" t="str">
        <f t="shared" si="1"/>
        <v>₹1,671,554.64</v>
      </c>
      <c r="F3161" s="52" t="str">
        <f t="shared" si="2"/>
        <v>30.0%</v>
      </c>
      <c r="G3161" s="51" t="str">
        <f t="shared" si="3"/>
        <v>₹501,466.39</v>
      </c>
      <c r="H3161" s="51" t="str">
        <f t="shared" si="4"/>
        <v>₹41,788.87</v>
      </c>
      <c r="I3161" s="51" t="str">
        <f>121092.98-H3161</f>
        <v>₹79,304.11</v>
      </c>
    </row>
    <row r="3162" ht="15.75" customHeight="1">
      <c r="A3162" s="53" t="s">
        <v>3241</v>
      </c>
      <c r="B3162" s="53" t="s">
        <v>25</v>
      </c>
      <c r="C3162" s="53" t="s">
        <v>26</v>
      </c>
      <c r="D3162" s="54">
        <v>139319.4</v>
      </c>
      <c r="E3162" s="54" t="str">
        <f t="shared" si="1"/>
        <v>₹1,671,832.80</v>
      </c>
      <c r="F3162" s="55" t="str">
        <f t="shared" si="2"/>
        <v>30.0%</v>
      </c>
      <c r="G3162" s="54" t="str">
        <f t="shared" si="3"/>
        <v>₹501,549.84</v>
      </c>
      <c r="H3162" s="54" t="str">
        <f t="shared" si="4"/>
        <v>₹41,795.82</v>
      </c>
      <c r="I3162" s="54" t="str">
        <f>121112.77-H3162</f>
        <v>₹79,316.95</v>
      </c>
    </row>
    <row r="3163" ht="15.75" customHeight="1">
      <c r="A3163" s="50" t="s">
        <v>3242</v>
      </c>
      <c r="B3163" s="50" t="s">
        <v>36</v>
      </c>
      <c r="C3163" s="50" t="s">
        <v>33</v>
      </c>
      <c r="D3163" s="51">
        <v>139342.58</v>
      </c>
      <c r="E3163" s="51" t="str">
        <f t="shared" si="1"/>
        <v>₹1,672,110.96</v>
      </c>
      <c r="F3163" s="52" t="str">
        <f t="shared" si="2"/>
        <v>30.0%</v>
      </c>
      <c r="G3163" s="51" t="str">
        <f t="shared" si="3"/>
        <v>₹501,633.29</v>
      </c>
      <c r="H3163" s="51" t="str">
        <f t="shared" si="4"/>
        <v>₹41,802.77</v>
      </c>
      <c r="I3163" s="51" t="str">
        <f>121132.55-H3163</f>
        <v>₹79,329.78</v>
      </c>
    </row>
    <row r="3164" ht="15.75" customHeight="1">
      <c r="A3164" s="53" t="s">
        <v>3243</v>
      </c>
      <c r="B3164" s="53" t="s">
        <v>36</v>
      </c>
      <c r="C3164" s="53" t="s">
        <v>14</v>
      </c>
      <c r="D3164" s="54">
        <v>139365.75</v>
      </c>
      <c r="E3164" s="54" t="str">
        <f t="shared" si="1"/>
        <v>₹1,672,389.00</v>
      </c>
      <c r="F3164" s="55" t="str">
        <f t="shared" si="2"/>
        <v>30.0%</v>
      </c>
      <c r="G3164" s="54" t="str">
        <f t="shared" si="3"/>
        <v>₹501,716.70</v>
      </c>
      <c r="H3164" s="54" t="str">
        <f t="shared" si="4"/>
        <v>₹41,809.73</v>
      </c>
      <c r="I3164" s="54" t="str">
        <f>121152.32-H3164</f>
        <v>₹79,342.60</v>
      </c>
    </row>
    <row r="3165" ht="15.75" customHeight="1">
      <c r="A3165" s="50" t="s">
        <v>3244</v>
      </c>
      <c r="B3165" s="50" t="s">
        <v>17</v>
      </c>
      <c r="C3165" s="50" t="s">
        <v>26</v>
      </c>
      <c r="D3165" s="51">
        <v>139388.93</v>
      </c>
      <c r="E3165" s="51" t="str">
        <f t="shared" si="1"/>
        <v>₹1,672,667.16</v>
      </c>
      <c r="F3165" s="52" t="str">
        <f t="shared" si="2"/>
        <v>30.0%</v>
      </c>
      <c r="G3165" s="51" t="str">
        <f t="shared" si="3"/>
        <v>₹501,800.15</v>
      </c>
      <c r="H3165" s="51" t="str">
        <f t="shared" si="4"/>
        <v>₹41,816.68</v>
      </c>
      <c r="I3165" s="51" t="str">
        <f>121172.1-H3165</f>
        <v>₹79,355.42</v>
      </c>
    </row>
    <row r="3166" ht="15.75" customHeight="1">
      <c r="A3166" s="53" t="s">
        <v>3245</v>
      </c>
      <c r="B3166" s="53" t="s">
        <v>29</v>
      </c>
      <c r="C3166" s="53" t="s">
        <v>54</v>
      </c>
      <c r="D3166" s="54">
        <v>139412.11</v>
      </c>
      <c r="E3166" s="54" t="str">
        <f t="shared" si="1"/>
        <v>₹1,672,945.32</v>
      </c>
      <c r="F3166" s="55" t="str">
        <f t="shared" si="2"/>
        <v>30.0%</v>
      </c>
      <c r="G3166" s="54" t="str">
        <f t="shared" si="3"/>
        <v>₹501,883.60</v>
      </c>
      <c r="H3166" s="54" t="str">
        <f t="shared" si="4"/>
        <v>₹41,823.63</v>
      </c>
      <c r="I3166" s="54" t="str">
        <f>121191.88-H3166</f>
        <v>₹79,368.25</v>
      </c>
    </row>
    <row r="3167" ht="15.75" customHeight="1">
      <c r="A3167" s="50" t="s">
        <v>3246</v>
      </c>
      <c r="B3167" s="50" t="s">
        <v>51</v>
      </c>
      <c r="C3167" s="50" t="s">
        <v>30</v>
      </c>
      <c r="D3167" s="51">
        <v>139435.29</v>
      </c>
      <c r="E3167" s="51" t="str">
        <f t="shared" si="1"/>
        <v>₹1,673,223.48</v>
      </c>
      <c r="F3167" s="52" t="str">
        <f t="shared" si="2"/>
        <v>30.0%</v>
      </c>
      <c r="G3167" s="51" t="str">
        <f t="shared" si="3"/>
        <v>₹501,967.04</v>
      </c>
      <c r="H3167" s="51" t="str">
        <f t="shared" si="4"/>
        <v>₹41,830.59</v>
      </c>
      <c r="I3167" s="51" t="str">
        <f>121211.67-H3167</f>
        <v>₹79,381.08</v>
      </c>
    </row>
    <row r="3168" ht="15.75" customHeight="1">
      <c r="A3168" s="53" t="s">
        <v>3247</v>
      </c>
      <c r="B3168" s="53" t="s">
        <v>29</v>
      </c>
      <c r="C3168" s="53" t="s">
        <v>54</v>
      </c>
      <c r="D3168" s="54">
        <v>139458.47</v>
      </c>
      <c r="E3168" s="54" t="str">
        <f t="shared" si="1"/>
        <v>₹1,673,501.64</v>
      </c>
      <c r="F3168" s="55" t="str">
        <f t="shared" si="2"/>
        <v>30.0%</v>
      </c>
      <c r="G3168" s="54" t="str">
        <f t="shared" si="3"/>
        <v>₹502,050.49</v>
      </c>
      <c r="H3168" s="54" t="str">
        <f t="shared" si="4"/>
        <v>₹41,837.54</v>
      </c>
      <c r="I3168" s="54" t="str">
        <f>121231.45-H3168</f>
        <v>₹79,393.91</v>
      </c>
    </row>
    <row r="3169" ht="15.75" customHeight="1">
      <c r="A3169" s="50" t="s">
        <v>3248</v>
      </c>
      <c r="B3169" s="50" t="s">
        <v>17</v>
      </c>
      <c r="C3169" s="50" t="s">
        <v>14</v>
      </c>
      <c r="D3169" s="51">
        <v>139481.64</v>
      </c>
      <c r="E3169" s="51" t="str">
        <f t="shared" si="1"/>
        <v>₹1,673,779.68</v>
      </c>
      <c r="F3169" s="52" t="str">
        <f t="shared" si="2"/>
        <v>30.0%</v>
      </c>
      <c r="G3169" s="51" t="str">
        <f t="shared" si="3"/>
        <v>₹502,133.90</v>
      </c>
      <c r="H3169" s="51" t="str">
        <f t="shared" si="4"/>
        <v>₹41,844.49</v>
      </c>
      <c r="I3169" s="51" t="str">
        <f>121251.22-H3169</f>
        <v>₹79,406.73</v>
      </c>
    </row>
    <row r="3170" ht="15.75" customHeight="1">
      <c r="A3170" s="53" t="s">
        <v>3249</v>
      </c>
      <c r="B3170" s="53" t="s">
        <v>25</v>
      </c>
      <c r="C3170" s="53" t="s">
        <v>37</v>
      </c>
      <c r="D3170" s="54">
        <v>126920.37</v>
      </c>
      <c r="E3170" s="54" t="str">
        <f t="shared" si="1"/>
        <v>₹1,523,044.44</v>
      </c>
      <c r="F3170" s="55" t="str">
        <f t="shared" si="2"/>
        <v>30.0%</v>
      </c>
      <c r="G3170" s="54" t="str">
        <f t="shared" si="3"/>
        <v>₹456,913.33</v>
      </c>
      <c r="H3170" s="54" t="str">
        <f t="shared" si="4"/>
        <v>₹38,076.11</v>
      </c>
      <c r="I3170" s="54" t="str">
        <f>108686.55-H3170</f>
        <v>₹70,610.44</v>
      </c>
    </row>
    <row r="3171" ht="15.75" customHeight="1">
      <c r="A3171" s="50" t="s">
        <v>3250</v>
      </c>
      <c r="B3171" s="50" t="s">
        <v>51</v>
      </c>
      <c r="C3171" s="50" t="s">
        <v>14</v>
      </c>
      <c r="D3171" s="51">
        <v>139528.0</v>
      </c>
      <c r="E3171" s="51" t="str">
        <f t="shared" si="1"/>
        <v>₹1,674,336.00</v>
      </c>
      <c r="F3171" s="52" t="str">
        <f t="shared" si="2"/>
        <v>30.0%</v>
      </c>
      <c r="G3171" s="51" t="str">
        <f t="shared" si="3"/>
        <v>₹502,300.80</v>
      </c>
      <c r="H3171" s="51" t="str">
        <f t="shared" si="4"/>
        <v>₹41,858.40</v>
      </c>
      <c r="I3171" s="51" t="str">
        <f>121290.79-H3171</f>
        <v>₹79,432.39</v>
      </c>
    </row>
    <row r="3172" ht="15.75" customHeight="1">
      <c r="A3172" s="53" t="s">
        <v>3251</v>
      </c>
      <c r="B3172" s="53" t="s">
        <v>51</v>
      </c>
      <c r="C3172" s="53" t="s">
        <v>30</v>
      </c>
      <c r="D3172" s="54">
        <v>139551.18</v>
      </c>
      <c r="E3172" s="54" t="str">
        <f t="shared" si="1"/>
        <v>₹1,674,614.16</v>
      </c>
      <c r="F3172" s="55" t="str">
        <f t="shared" si="2"/>
        <v>30.0%</v>
      </c>
      <c r="G3172" s="54" t="str">
        <f t="shared" si="3"/>
        <v>₹502,384.25</v>
      </c>
      <c r="H3172" s="54" t="str">
        <f t="shared" si="4"/>
        <v>₹41,865.35</v>
      </c>
      <c r="I3172" s="54" t="str">
        <f>121310.57-H3172</f>
        <v>₹79,445.22</v>
      </c>
    </row>
    <row r="3173" ht="15.75" customHeight="1">
      <c r="A3173" s="50" t="s">
        <v>3252</v>
      </c>
      <c r="B3173" s="50" t="s">
        <v>36</v>
      </c>
      <c r="C3173" s="50" t="s">
        <v>30</v>
      </c>
      <c r="D3173" s="51">
        <v>139574.35</v>
      </c>
      <c r="E3173" s="51" t="str">
        <f t="shared" si="1"/>
        <v>₹1,674,892.20</v>
      </c>
      <c r="F3173" s="52" t="str">
        <f t="shared" si="2"/>
        <v>30.0%</v>
      </c>
      <c r="G3173" s="51" t="str">
        <f t="shared" si="3"/>
        <v>₹502,467.66</v>
      </c>
      <c r="H3173" s="51" t="str">
        <f t="shared" si="4"/>
        <v>₹41,872.31</v>
      </c>
      <c r="I3173" s="51" t="str">
        <f>121330.34-H3173</f>
        <v>₹79,458.04</v>
      </c>
    </row>
    <row r="3174" ht="15.75" customHeight="1">
      <c r="A3174" s="53" t="s">
        <v>3253</v>
      </c>
      <c r="B3174" s="53" t="s">
        <v>13</v>
      </c>
      <c r="C3174" s="53" t="s">
        <v>54</v>
      </c>
      <c r="D3174" s="54">
        <v>139597.53</v>
      </c>
      <c r="E3174" s="54" t="str">
        <f t="shared" si="1"/>
        <v>₹1,675,170.36</v>
      </c>
      <c r="F3174" s="55" t="str">
        <f t="shared" si="2"/>
        <v>30.0%</v>
      </c>
      <c r="G3174" s="54" t="str">
        <f t="shared" si="3"/>
        <v>₹502,551.11</v>
      </c>
      <c r="H3174" s="54" t="str">
        <f t="shared" si="4"/>
        <v>₹41,879.26</v>
      </c>
      <c r="I3174" s="54" t="str">
        <f>121350.12-H3174</f>
        <v>₹79,470.86</v>
      </c>
    </row>
    <row r="3175" ht="15.75" customHeight="1">
      <c r="A3175" s="50" t="s">
        <v>3254</v>
      </c>
      <c r="B3175" s="50" t="s">
        <v>13</v>
      </c>
      <c r="C3175" s="50" t="s">
        <v>18</v>
      </c>
      <c r="D3175" s="51">
        <v>139620.71</v>
      </c>
      <c r="E3175" s="51" t="str">
        <f t="shared" si="1"/>
        <v>₹1,675,448.52</v>
      </c>
      <c r="F3175" s="52" t="str">
        <f t="shared" si="2"/>
        <v>30.0%</v>
      </c>
      <c r="G3175" s="51" t="str">
        <f t="shared" si="3"/>
        <v>₹502,634.56</v>
      </c>
      <c r="H3175" s="51" t="str">
        <f t="shared" si="4"/>
        <v>₹41,886.21</v>
      </c>
      <c r="I3175" s="51" t="str">
        <f>121369.91-H3175</f>
        <v>₹79,483.70</v>
      </c>
    </row>
    <row r="3176" ht="15.75" customHeight="1">
      <c r="A3176" s="53" t="s">
        <v>3255</v>
      </c>
      <c r="B3176" s="53" t="s">
        <v>17</v>
      </c>
      <c r="C3176" s="53" t="s">
        <v>26</v>
      </c>
      <c r="D3176" s="54">
        <v>139643.89</v>
      </c>
      <c r="E3176" s="54" t="str">
        <f t="shared" si="1"/>
        <v>₹1,675,726.68</v>
      </c>
      <c r="F3176" s="55" t="str">
        <f t="shared" si="2"/>
        <v>30.0%</v>
      </c>
      <c r="G3176" s="54" t="str">
        <f t="shared" si="3"/>
        <v>₹502,718.00</v>
      </c>
      <c r="H3176" s="54" t="str">
        <f t="shared" si="4"/>
        <v>₹41,893.17</v>
      </c>
      <c r="I3176" s="54" t="str">
        <f>121389.69-H3176</f>
        <v>₹79,496.52</v>
      </c>
    </row>
    <row r="3177" ht="15.75" customHeight="1">
      <c r="A3177" s="50" t="s">
        <v>3256</v>
      </c>
      <c r="B3177" s="50" t="s">
        <v>53</v>
      </c>
      <c r="C3177" s="50" t="s">
        <v>30</v>
      </c>
      <c r="D3177" s="51">
        <v>139667.06</v>
      </c>
      <c r="E3177" s="51" t="str">
        <f t="shared" si="1"/>
        <v>₹1,676,004.72</v>
      </c>
      <c r="F3177" s="52" t="str">
        <f t="shared" si="2"/>
        <v>30.0%</v>
      </c>
      <c r="G3177" s="51" t="str">
        <f t="shared" si="3"/>
        <v>₹502,801.42</v>
      </c>
      <c r="H3177" s="51" t="str">
        <f t="shared" si="4"/>
        <v>₹41,900.12</v>
      </c>
      <c r="I3177" s="51" t="str">
        <f>121409.46-H3177</f>
        <v>₹79,509.34</v>
      </c>
    </row>
    <row r="3178" ht="15.75" customHeight="1">
      <c r="A3178" s="53" t="s">
        <v>3257</v>
      </c>
      <c r="B3178" s="53" t="s">
        <v>25</v>
      </c>
      <c r="C3178" s="53" t="s">
        <v>26</v>
      </c>
      <c r="D3178" s="54">
        <v>139690.24</v>
      </c>
      <c r="E3178" s="54" t="str">
        <f t="shared" si="1"/>
        <v>₹1,676,282.88</v>
      </c>
      <c r="F3178" s="55" t="str">
        <f t="shared" si="2"/>
        <v>30.0%</v>
      </c>
      <c r="G3178" s="54" t="str">
        <f t="shared" si="3"/>
        <v>₹502,884.86</v>
      </c>
      <c r="H3178" s="54" t="str">
        <f t="shared" si="4"/>
        <v>₹41,907.07</v>
      </c>
      <c r="I3178" s="54" t="str">
        <f>121429.24-H3178</f>
        <v>₹79,522.17</v>
      </c>
    </row>
    <row r="3179" ht="15.75" customHeight="1">
      <c r="A3179" s="50" t="s">
        <v>3258</v>
      </c>
      <c r="B3179" s="50" t="s">
        <v>51</v>
      </c>
      <c r="C3179" s="50" t="s">
        <v>14</v>
      </c>
      <c r="D3179" s="51">
        <v>139713.42</v>
      </c>
      <c r="E3179" s="51" t="str">
        <f t="shared" si="1"/>
        <v>₹1,676,561.04</v>
      </c>
      <c r="F3179" s="52" t="str">
        <f t="shared" si="2"/>
        <v>30.0%</v>
      </c>
      <c r="G3179" s="51" t="str">
        <f t="shared" si="3"/>
        <v>₹502,968.31</v>
      </c>
      <c r="H3179" s="51" t="str">
        <f t="shared" si="4"/>
        <v>₹41,914.03</v>
      </c>
      <c r="I3179" s="51" t="str">
        <f>121449.03-H3179</f>
        <v>₹79,535.00</v>
      </c>
    </row>
    <row r="3180" ht="15.75" customHeight="1">
      <c r="A3180" s="53" t="s">
        <v>3259</v>
      </c>
      <c r="B3180" s="53" t="s">
        <v>17</v>
      </c>
      <c r="C3180" s="53" t="s">
        <v>54</v>
      </c>
      <c r="D3180" s="54">
        <v>139736.6</v>
      </c>
      <c r="E3180" s="54" t="str">
        <f t="shared" si="1"/>
        <v>₹1,676,839.20</v>
      </c>
      <c r="F3180" s="55" t="str">
        <f t="shared" si="2"/>
        <v>30.0%</v>
      </c>
      <c r="G3180" s="54" t="str">
        <f t="shared" si="3"/>
        <v>₹503,051.76</v>
      </c>
      <c r="H3180" s="54" t="str">
        <f t="shared" si="4"/>
        <v>₹41,920.98</v>
      </c>
      <c r="I3180" s="54" t="str">
        <f>121468.81-H3180</f>
        <v>₹79,547.83</v>
      </c>
    </row>
    <row r="3181" ht="15.75" customHeight="1">
      <c r="A3181" s="50" t="s">
        <v>3260</v>
      </c>
      <c r="B3181" s="50" t="s">
        <v>51</v>
      </c>
      <c r="C3181" s="50" t="s">
        <v>14</v>
      </c>
      <c r="D3181" s="51">
        <v>139759.78</v>
      </c>
      <c r="E3181" s="51" t="str">
        <f t="shared" si="1"/>
        <v>₹1,677,117.36</v>
      </c>
      <c r="F3181" s="52" t="str">
        <f t="shared" si="2"/>
        <v>30.0%</v>
      </c>
      <c r="G3181" s="51" t="str">
        <f t="shared" si="3"/>
        <v>₹503,135.21</v>
      </c>
      <c r="H3181" s="51" t="str">
        <f t="shared" si="4"/>
        <v>₹41,927.93</v>
      </c>
      <c r="I3181" s="51" t="str">
        <f>121488.59-H3181</f>
        <v>₹79,560.66</v>
      </c>
    </row>
    <row r="3182" ht="15.75" customHeight="1">
      <c r="A3182" s="53" t="s">
        <v>3261</v>
      </c>
      <c r="B3182" s="53" t="s">
        <v>25</v>
      </c>
      <c r="C3182" s="53" t="s">
        <v>54</v>
      </c>
      <c r="D3182" s="54">
        <v>139782.95</v>
      </c>
      <c r="E3182" s="54" t="str">
        <f t="shared" si="1"/>
        <v>₹1,677,395.40</v>
      </c>
      <c r="F3182" s="55" t="str">
        <f t="shared" si="2"/>
        <v>30.0%</v>
      </c>
      <c r="G3182" s="54" t="str">
        <f t="shared" si="3"/>
        <v>₹503,218.62</v>
      </c>
      <c r="H3182" s="54" t="str">
        <f t="shared" si="4"/>
        <v>₹41,934.89</v>
      </c>
      <c r="I3182" s="54" t="str">
        <f>121508.36-H3182</f>
        <v>₹79,573.48</v>
      </c>
    </row>
    <row r="3183" ht="15.75" customHeight="1">
      <c r="A3183" s="50" t="s">
        <v>3262</v>
      </c>
      <c r="B3183" s="50" t="s">
        <v>51</v>
      </c>
      <c r="C3183" s="50" t="s">
        <v>54</v>
      </c>
      <c r="D3183" s="51">
        <v>139806.13</v>
      </c>
      <c r="E3183" s="51" t="str">
        <f t="shared" si="1"/>
        <v>₹1,677,673.56</v>
      </c>
      <c r="F3183" s="52" t="str">
        <f t="shared" si="2"/>
        <v>30.0%</v>
      </c>
      <c r="G3183" s="51" t="str">
        <f t="shared" si="3"/>
        <v>₹503,302.07</v>
      </c>
      <c r="H3183" s="51" t="str">
        <f t="shared" si="4"/>
        <v>₹41,941.84</v>
      </c>
      <c r="I3183" s="51" t="str">
        <f>121528.15-H3183</f>
        <v>₹79,586.31</v>
      </c>
    </row>
    <row r="3184" ht="15.75" customHeight="1">
      <c r="A3184" s="53" t="s">
        <v>3263</v>
      </c>
      <c r="B3184" s="53" t="s">
        <v>53</v>
      </c>
      <c r="C3184" s="53" t="s">
        <v>37</v>
      </c>
      <c r="D3184" s="54">
        <v>139829.31</v>
      </c>
      <c r="E3184" s="54" t="str">
        <f t="shared" si="1"/>
        <v>₹1,677,951.72</v>
      </c>
      <c r="F3184" s="55" t="str">
        <f t="shared" si="2"/>
        <v>30.0%</v>
      </c>
      <c r="G3184" s="54" t="str">
        <f t="shared" si="3"/>
        <v>₹503,385.52</v>
      </c>
      <c r="H3184" s="54" t="str">
        <f t="shared" si="4"/>
        <v>₹41,948.79</v>
      </c>
      <c r="I3184" s="54" t="str">
        <f>121547.93-H3184</f>
        <v>₹79,599.14</v>
      </c>
    </row>
    <row r="3185" ht="15.75" customHeight="1">
      <c r="A3185" s="50" t="s">
        <v>3264</v>
      </c>
      <c r="B3185" s="50" t="s">
        <v>13</v>
      </c>
      <c r="C3185" s="50" t="s">
        <v>26</v>
      </c>
      <c r="D3185" s="51">
        <v>139852.49</v>
      </c>
      <c r="E3185" s="51" t="str">
        <f t="shared" si="1"/>
        <v>₹1,678,229.88</v>
      </c>
      <c r="F3185" s="52" t="str">
        <f t="shared" si="2"/>
        <v>30.0%</v>
      </c>
      <c r="G3185" s="51" t="str">
        <f t="shared" si="3"/>
        <v>₹503,468.96</v>
      </c>
      <c r="H3185" s="51" t="str">
        <f t="shared" si="4"/>
        <v>₹41,955.75</v>
      </c>
      <c r="I3185" s="51" t="str">
        <f>121567.71-H3185</f>
        <v>₹79,611.96</v>
      </c>
    </row>
    <row r="3186" ht="15.75" customHeight="1">
      <c r="A3186" s="53" t="s">
        <v>3265</v>
      </c>
      <c r="B3186" s="53" t="s">
        <v>51</v>
      </c>
      <c r="C3186" s="53" t="s">
        <v>37</v>
      </c>
      <c r="D3186" s="54">
        <v>139875.66</v>
      </c>
      <c r="E3186" s="54" t="str">
        <f t="shared" si="1"/>
        <v>₹1,678,507.92</v>
      </c>
      <c r="F3186" s="55" t="str">
        <f t="shared" si="2"/>
        <v>30.0%</v>
      </c>
      <c r="G3186" s="54" t="str">
        <f t="shared" si="3"/>
        <v>₹503,552.38</v>
      </c>
      <c r="H3186" s="54" t="str">
        <f t="shared" si="4"/>
        <v>₹41,962.70</v>
      </c>
      <c r="I3186" s="54" t="str">
        <f>121587.48-H3186</f>
        <v>₹79,624.78</v>
      </c>
    </row>
    <row r="3187" ht="15.75" customHeight="1">
      <c r="A3187" s="50" t="s">
        <v>3266</v>
      </c>
      <c r="B3187" s="50" t="s">
        <v>29</v>
      </c>
      <c r="C3187" s="50" t="s">
        <v>37</v>
      </c>
      <c r="D3187" s="51">
        <v>127560.06</v>
      </c>
      <c r="E3187" s="51" t="str">
        <f t="shared" si="1"/>
        <v>₹1,530,720.72</v>
      </c>
      <c r="F3187" s="52" t="str">
        <f t="shared" si="2"/>
        <v>30.0%</v>
      </c>
      <c r="G3187" s="51" t="str">
        <f t="shared" si="3"/>
        <v>₹459,216.22</v>
      </c>
      <c r="H3187" s="51" t="str">
        <f t="shared" si="4"/>
        <v>₹38,268.02</v>
      </c>
      <c r="I3187" s="51" t="str">
        <f>109268.49-H3187</f>
        <v>₹71,000.47</v>
      </c>
    </row>
    <row r="3188" ht="15.75" customHeight="1">
      <c r="A3188" s="53" t="s">
        <v>3267</v>
      </c>
      <c r="B3188" s="53" t="s">
        <v>17</v>
      </c>
      <c r="C3188" s="53" t="s">
        <v>37</v>
      </c>
      <c r="D3188" s="54">
        <v>139922.02</v>
      </c>
      <c r="E3188" s="54" t="str">
        <f t="shared" si="1"/>
        <v>₹1,679,064.24</v>
      </c>
      <c r="F3188" s="55" t="str">
        <f t="shared" si="2"/>
        <v>30.0%</v>
      </c>
      <c r="G3188" s="54" t="str">
        <f t="shared" si="3"/>
        <v>₹503,719.27</v>
      </c>
      <c r="H3188" s="54" t="str">
        <f t="shared" si="4"/>
        <v>₹41,976.61</v>
      </c>
      <c r="I3188" s="54" t="str">
        <f>121627.05-H3188</f>
        <v>₹79,650.44</v>
      </c>
    </row>
    <row r="3189" ht="15.75" customHeight="1">
      <c r="A3189" s="50" t="s">
        <v>3268</v>
      </c>
      <c r="B3189" s="50" t="s">
        <v>17</v>
      </c>
      <c r="C3189" s="50" t="s">
        <v>33</v>
      </c>
      <c r="D3189" s="51">
        <v>139945.2</v>
      </c>
      <c r="E3189" s="51" t="str">
        <f t="shared" si="1"/>
        <v>₹1,679,342.40</v>
      </c>
      <c r="F3189" s="52" t="str">
        <f t="shared" si="2"/>
        <v>30.0%</v>
      </c>
      <c r="G3189" s="51" t="str">
        <f t="shared" si="3"/>
        <v>₹503,802.72</v>
      </c>
      <c r="H3189" s="51" t="str">
        <f t="shared" si="4"/>
        <v>₹41,983.56</v>
      </c>
      <c r="I3189" s="51" t="str">
        <f>121646.83-H3189</f>
        <v>₹79,663.27</v>
      </c>
    </row>
    <row r="3190" ht="15.75" customHeight="1">
      <c r="A3190" s="53" t="s">
        <v>3269</v>
      </c>
      <c r="B3190" s="53" t="s">
        <v>36</v>
      </c>
      <c r="C3190" s="53" t="s">
        <v>14</v>
      </c>
      <c r="D3190" s="54">
        <v>139968.37</v>
      </c>
      <c r="E3190" s="54" t="str">
        <f t="shared" si="1"/>
        <v>₹1,679,620.44</v>
      </c>
      <c r="F3190" s="55" t="str">
        <f t="shared" si="2"/>
        <v>30.0%</v>
      </c>
      <c r="G3190" s="54" t="str">
        <f t="shared" si="3"/>
        <v>₹503,886.13</v>
      </c>
      <c r="H3190" s="54" t="str">
        <f t="shared" si="4"/>
        <v>₹41,990.51</v>
      </c>
      <c r="I3190" s="54" t="str">
        <f>121666.6-H3190</f>
        <v>₹79,676.09</v>
      </c>
    </row>
    <row r="3191" ht="15.75" customHeight="1">
      <c r="A3191" s="50" t="s">
        <v>3270</v>
      </c>
      <c r="B3191" s="50" t="s">
        <v>51</v>
      </c>
      <c r="C3191" s="50" t="s">
        <v>33</v>
      </c>
      <c r="D3191" s="51">
        <v>140014.73</v>
      </c>
      <c r="E3191" s="51" t="str">
        <f t="shared" si="1"/>
        <v>₹1,680,176.76</v>
      </c>
      <c r="F3191" s="52" t="str">
        <f t="shared" si="2"/>
        <v>30.0%</v>
      </c>
      <c r="G3191" s="51" t="str">
        <f t="shared" si="3"/>
        <v>₹504,053.03</v>
      </c>
      <c r="H3191" s="51" t="str">
        <f t="shared" si="4"/>
        <v>₹42,004.42</v>
      </c>
      <c r="I3191" s="51" t="str">
        <f>121706.17-H3191</f>
        <v>₹79,701.75</v>
      </c>
    </row>
    <row r="3192" ht="15.75" customHeight="1">
      <c r="A3192" s="53" t="s">
        <v>3271</v>
      </c>
      <c r="B3192" s="53" t="s">
        <v>53</v>
      </c>
      <c r="C3192" s="53" t="s">
        <v>26</v>
      </c>
      <c r="D3192" s="54">
        <v>140037.91</v>
      </c>
      <c r="E3192" s="54" t="str">
        <f t="shared" si="1"/>
        <v>₹1,680,454.92</v>
      </c>
      <c r="F3192" s="55" t="str">
        <f t="shared" si="2"/>
        <v>30.0%</v>
      </c>
      <c r="G3192" s="54" t="str">
        <f t="shared" si="3"/>
        <v>₹504,136.48</v>
      </c>
      <c r="H3192" s="54" t="str">
        <f t="shared" si="4"/>
        <v>₹42,011.37</v>
      </c>
      <c r="I3192" s="54" t="str">
        <f>121725.95-H3192</f>
        <v>₹79,714.58</v>
      </c>
    </row>
    <row r="3193" ht="15.75" customHeight="1">
      <c r="A3193" s="50" t="s">
        <v>3272</v>
      </c>
      <c r="B3193" s="50" t="s">
        <v>53</v>
      </c>
      <c r="C3193" s="50" t="s">
        <v>14</v>
      </c>
      <c r="D3193" s="51">
        <v>140061.09</v>
      </c>
      <c r="E3193" s="51" t="str">
        <f t="shared" si="1"/>
        <v>₹1,680,733.08</v>
      </c>
      <c r="F3193" s="52" t="str">
        <f t="shared" si="2"/>
        <v>30.0%</v>
      </c>
      <c r="G3193" s="51" t="str">
        <f t="shared" si="3"/>
        <v>₹504,219.92</v>
      </c>
      <c r="H3193" s="51" t="str">
        <f t="shared" si="4"/>
        <v>₹42,018.33</v>
      </c>
      <c r="I3193" s="51" t="str">
        <f>121745.73-H3193</f>
        <v>₹79,727.40</v>
      </c>
    </row>
    <row r="3194" ht="15.75" customHeight="1">
      <c r="A3194" s="53" t="s">
        <v>3273</v>
      </c>
      <c r="B3194" s="53" t="s">
        <v>51</v>
      </c>
      <c r="C3194" s="53" t="s">
        <v>37</v>
      </c>
      <c r="D3194" s="54">
        <v>140084.26</v>
      </c>
      <c r="E3194" s="54" t="str">
        <f t="shared" si="1"/>
        <v>₹1,681,011.12</v>
      </c>
      <c r="F3194" s="55" t="str">
        <f t="shared" si="2"/>
        <v>30.0%</v>
      </c>
      <c r="G3194" s="54" t="str">
        <f t="shared" si="3"/>
        <v>₹504,303.34</v>
      </c>
      <c r="H3194" s="54" t="str">
        <f t="shared" si="4"/>
        <v>₹42,025.28</v>
      </c>
      <c r="I3194" s="54" t="str">
        <f>121765.51-H3194</f>
        <v>₹79,740.23</v>
      </c>
    </row>
    <row r="3195" ht="15.75" customHeight="1">
      <c r="A3195" s="50" t="s">
        <v>3274</v>
      </c>
      <c r="B3195" s="50" t="s">
        <v>17</v>
      </c>
      <c r="C3195" s="50" t="s">
        <v>18</v>
      </c>
      <c r="D3195" s="51">
        <v>140107.44</v>
      </c>
      <c r="E3195" s="51" t="str">
        <f t="shared" si="1"/>
        <v>₹1,681,289.28</v>
      </c>
      <c r="F3195" s="52" t="str">
        <f t="shared" si="2"/>
        <v>30.0%</v>
      </c>
      <c r="G3195" s="51" t="str">
        <f t="shared" si="3"/>
        <v>₹504,386.78</v>
      </c>
      <c r="H3195" s="51" t="str">
        <f t="shared" si="4"/>
        <v>₹42,032.23</v>
      </c>
      <c r="I3195" s="51" t="str">
        <f>121785.29-H3195</f>
        <v>₹79,753.06</v>
      </c>
    </row>
    <row r="3196" ht="15.75" customHeight="1">
      <c r="A3196" s="53" t="s">
        <v>3275</v>
      </c>
      <c r="B3196" s="53" t="s">
        <v>25</v>
      </c>
      <c r="C3196" s="53" t="s">
        <v>18</v>
      </c>
      <c r="D3196" s="54">
        <v>140130.62</v>
      </c>
      <c r="E3196" s="54" t="str">
        <f t="shared" si="1"/>
        <v>₹1,681,567.44</v>
      </c>
      <c r="F3196" s="55" t="str">
        <f t="shared" si="2"/>
        <v>30.0%</v>
      </c>
      <c r="G3196" s="54" t="str">
        <f t="shared" si="3"/>
        <v>₹504,470.23</v>
      </c>
      <c r="H3196" s="54" t="str">
        <f t="shared" si="4"/>
        <v>₹42,039.19</v>
      </c>
      <c r="I3196" s="54" t="str">
        <f>121805.07-H3196</f>
        <v>₹79,765.88</v>
      </c>
    </row>
    <row r="3197" ht="15.75" customHeight="1">
      <c r="A3197" s="50" t="s">
        <v>3276</v>
      </c>
      <c r="B3197" s="50" t="s">
        <v>17</v>
      </c>
      <c r="C3197" s="50" t="s">
        <v>33</v>
      </c>
      <c r="D3197" s="51">
        <v>140153.8</v>
      </c>
      <c r="E3197" s="51" t="str">
        <f t="shared" si="1"/>
        <v>₹1,681,845.60</v>
      </c>
      <c r="F3197" s="52" t="str">
        <f t="shared" si="2"/>
        <v>30.0%</v>
      </c>
      <c r="G3197" s="51" t="str">
        <f t="shared" si="3"/>
        <v>₹504,553.68</v>
      </c>
      <c r="H3197" s="51" t="str">
        <f t="shared" si="4"/>
        <v>₹42,046.14</v>
      </c>
      <c r="I3197" s="51" t="str">
        <f>121824.85-H3197</f>
        <v>₹79,778.71</v>
      </c>
    </row>
    <row r="3198" ht="15.75" customHeight="1">
      <c r="A3198" s="53" t="s">
        <v>3277</v>
      </c>
      <c r="B3198" s="53" t="s">
        <v>17</v>
      </c>
      <c r="C3198" s="53" t="s">
        <v>14</v>
      </c>
      <c r="D3198" s="54">
        <v>140176.97</v>
      </c>
      <c r="E3198" s="54" t="str">
        <f t="shared" si="1"/>
        <v>₹1,682,123.64</v>
      </c>
      <c r="F3198" s="55" t="str">
        <f t="shared" si="2"/>
        <v>30.0%</v>
      </c>
      <c r="G3198" s="54" t="str">
        <f t="shared" si="3"/>
        <v>₹504,637.09</v>
      </c>
      <c r="H3198" s="54" t="str">
        <f t="shared" si="4"/>
        <v>₹42,053.09</v>
      </c>
      <c r="I3198" s="54" t="str">
        <f>121844.63-H3198</f>
        <v>₹79,791.54</v>
      </c>
    </row>
    <row r="3199" ht="15.75" customHeight="1">
      <c r="A3199" s="50" t="s">
        <v>3278</v>
      </c>
      <c r="B3199" s="50" t="s">
        <v>51</v>
      </c>
      <c r="C3199" s="50" t="s">
        <v>26</v>
      </c>
      <c r="D3199" s="51">
        <v>140200.15</v>
      </c>
      <c r="E3199" s="51" t="str">
        <f t="shared" si="1"/>
        <v>₹1,682,401.80</v>
      </c>
      <c r="F3199" s="52" t="str">
        <f t="shared" si="2"/>
        <v>30.0%</v>
      </c>
      <c r="G3199" s="51" t="str">
        <f t="shared" si="3"/>
        <v>₹504,720.54</v>
      </c>
      <c r="H3199" s="51" t="str">
        <f t="shared" si="4"/>
        <v>₹42,060.05</v>
      </c>
      <c r="I3199" s="51" t="str">
        <f>121864.41-H3199</f>
        <v>₹79,804.37</v>
      </c>
    </row>
    <row r="3200" ht="15.75" customHeight="1">
      <c r="A3200" s="53" t="s">
        <v>3279</v>
      </c>
      <c r="B3200" s="53" t="s">
        <v>13</v>
      </c>
      <c r="C3200" s="53" t="s">
        <v>33</v>
      </c>
      <c r="D3200" s="54">
        <v>140223.33</v>
      </c>
      <c r="E3200" s="54" t="str">
        <f t="shared" si="1"/>
        <v>₹1,682,679.96</v>
      </c>
      <c r="F3200" s="55" t="str">
        <f t="shared" si="2"/>
        <v>30.0%</v>
      </c>
      <c r="G3200" s="54" t="str">
        <f t="shared" si="3"/>
        <v>₹504,803.99</v>
      </c>
      <c r="H3200" s="54" t="str">
        <f t="shared" si="4"/>
        <v>₹42,067.00</v>
      </c>
      <c r="I3200" s="54" t="str">
        <f>121884.19-H3200</f>
        <v>₹79,817.19</v>
      </c>
    </row>
    <row r="3201" ht="15.75" customHeight="1">
      <c r="A3201" s="50" t="s">
        <v>3280</v>
      </c>
      <c r="B3201" s="50" t="s">
        <v>13</v>
      </c>
      <c r="C3201" s="50" t="s">
        <v>18</v>
      </c>
      <c r="D3201" s="51">
        <v>140246.51</v>
      </c>
      <c r="E3201" s="51" t="str">
        <f t="shared" si="1"/>
        <v>₹1,682,958.12</v>
      </c>
      <c r="F3201" s="52" t="str">
        <f t="shared" si="2"/>
        <v>30.0%</v>
      </c>
      <c r="G3201" s="51" t="str">
        <f t="shared" si="3"/>
        <v>₹504,887.44</v>
      </c>
      <c r="H3201" s="51" t="str">
        <f t="shared" si="4"/>
        <v>₹42,073.95</v>
      </c>
      <c r="I3201" s="51" t="str">
        <f>121903.97-H3201</f>
        <v>₹79,830.02</v>
      </c>
    </row>
    <row r="3202" ht="15.75" customHeight="1">
      <c r="A3202" s="53" t="s">
        <v>3281</v>
      </c>
      <c r="B3202" s="53" t="s">
        <v>53</v>
      </c>
      <c r="C3202" s="53" t="s">
        <v>18</v>
      </c>
      <c r="D3202" s="54">
        <v>140269.68</v>
      </c>
      <c r="E3202" s="54" t="str">
        <f t="shared" si="1"/>
        <v>₹1,683,236.16</v>
      </c>
      <c r="F3202" s="55" t="str">
        <f t="shared" si="2"/>
        <v>30.0%</v>
      </c>
      <c r="G3202" s="54" t="str">
        <f t="shared" si="3"/>
        <v>₹504,970.85</v>
      </c>
      <c r="H3202" s="54" t="str">
        <f t="shared" si="4"/>
        <v>₹42,080.90</v>
      </c>
      <c r="I3202" s="54" t="str">
        <f>121923.75-H3202</f>
        <v>₹79,842.85</v>
      </c>
    </row>
    <row r="3203" ht="15.75" customHeight="1">
      <c r="A3203" s="50" t="s">
        <v>3282</v>
      </c>
      <c r="B3203" s="50" t="s">
        <v>29</v>
      </c>
      <c r="C3203" s="50" t="s">
        <v>14</v>
      </c>
      <c r="D3203" s="51">
        <v>140292.86</v>
      </c>
      <c r="E3203" s="51" t="str">
        <f t="shared" si="1"/>
        <v>₹1,683,514.32</v>
      </c>
      <c r="F3203" s="52" t="str">
        <f t="shared" si="2"/>
        <v>30.0%</v>
      </c>
      <c r="G3203" s="51" t="str">
        <f t="shared" si="3"/>
        <v>₹505,054.30</v>
      </c>
      <c r="H3203" s="51" t="str">
        <f t="shared" si="4"/>
        <v>₹42,087.86</v>
      </c>
      <c r="I3203" s="51" t="str">
        <f>121943.53-H3203</f>
        <v>₹79,855.67</v>
      </c>
    </row>
    <row r="3204" ht="15.75" customHeight="1">
      <c r="A3204" s="53" t="s">
        <v>3283</v>
      </c>
      <c r="B3204" s="53" t="s">
        <v>36</v>
      </c>
      <c r="C3204" s="53" t="s">
        <v>18</v>
      </c>
      <c r="D3204" s="54">
        <v>140316.04</v>
      </c>
      <c r="E3204" s="54" t="str">
        <f t="shared" si="1"/>
        <v>₹1,683,792.48</v>
      </c>
      <c r="F3204" s="55" t="str">
        <f t="shared" si="2"/>
        <v>30.0%</v>
      </c>
      <c r="G3204" s="54" t="str">
        <f t="shared" si="3"/>
        <v>₹505,137.74</v>
      </c>
      <c r="H3204" s="54" t="str">
        <f t="shared" si="4"/>
        <v>₹42,094.81</v>
      </c>
      <c r="I3204" s="54" t="str">
        <f>126121.68-H3204</f>
        <v>₹84,026.87</v>
      </c>
    </row>
    <row r="3205" ht="15.75" customHeight="1">
      <c r="A3205" s="50" t="s">
        <v>3284</v>
      </c>
      <c r="B3205" s="50" t="s">
        <v>36</v>
      </c>
      <c r="C3205" s="50" t="s">
        <v>54</v>
      </c>
      <c r="D3205" s="51">
        <v>140339.22</v>
      </c>
      <c r="E3205" s="51" t="str">
        <f t="shared" si="1"/>
        <v>₹1,684,070.64</v>
      </c>
      <c r="F3205" s="52" t="str">
        <f t="shared" si="2"/>
        <v>30.0%</v>
      </c>
      <c r="G3205" s="51" t="str">
        <f t="shared" si="3"/>
        <v>₹505,221.19</v>
      </c>
      <c r="H3205" s="51" t="str">
        <f t="shared" si="4"/>
        <v>₹42,101.77</v>
      </c>
      <c r="I3205" s="51" t="str">
        <f>121983.09-H3205</f>
        <v>₹79,881.32</v>
      </c>
    </row>
    <row r="3206" ht="15.75" customHeight="1">
      <c r="A3206" s="53" t="s">
        <v>3285</v>
      </c>
      <c r="B3206" s="53" t="s">
        <v>36</v>
      </c>
      <c r="C3206" s="53" t="s">
        <v>33</v>
      </c>
      <c r="D3206" s="54">
        <v>140362.4</v>
      </c>
      <c r="E3206" s="54" t="str">
        <f t="shared" si="1"/>
        <v>₹1,684,348.80</v>
      </c>
      <c r="F3206" s="55" t="str">
        <f t="shared" si="2"/>
        <v>30.0%</v>
      </c>
      <c r="G3206" s="54" t="str">
        <f t="shared" si="3"/>
        <v>₹505,304.64</v>
      </c>
      <c r="H3206" s="54" t="str">
        <f t="shared" si="4"/>
        <v>₹42,108.72</v>
      </c>
      <c r="I3206" s="54" t="str">
        <f>122002.88-H3206</f>
        <v>₹79,894.16</v>
      </c>
    </row>
    <row r="3207" ht="15.75" customHeight="1">
      <c r="A3207" s="50" t="s">
        <v>3286</v>
      </c>
      <c r="B3207" s="50" t="s">
        <v>53</v>
      </c>
      <c r="C3207" s="50" t="s">
        <v>54</v>
      </c>
      <c r="D3207" s="51">
        <v>140385.57</v>
      </c>
      <c r="E3207" s="51" t="str">
        <f t="shared" si="1"/>
        <v>₹1,684,626.84</v>
      </c>
      <c r="F3207" s="52" t="str">
        <f t="shared" si="2"/>
        <v>30.0%</v>
      </c>
      <c r="G3207" s="51" t="str">
        <f t="shared" si="3"/>
        <v>₹505,388.05</v>
      </c>
      <c r="H3207" s="51" t="str">
        <f t="shared" si="4"/>
        <v>₹42,115.67</v>
      </c>
      <c r="I3207" s="51" t="str">
        <f>122022.65-H3207</f>
        <v>₹79,906.98</v>
      </c>
    </row>
    <row r="3208" ht="15.75" customHeight="1">
      <c r="A3208" s="53" t="s">
        <v>3287</v>
      </c>
      <c r="B3208" s="53" t="s">
        <v>51</v>
      </c>
      <c r="C3208" s="53" t="s">
        <v>18</v>
      </c>
      <c r="D3208" s="54">
        <v>140408.75</v>
      </c>
      <c r="E3208" s="54" t="str">
        <f t="shared" si="1"/>
        <v>₹1,684,905.00</v>
      </c>
      <c r="F3208" s="55" t="str">
        <f t="shared" si="2"/>
        <v>30.0%</v>
      </c>
      <c r="G3208" s="54" t="str">
        <f t="shared" si="3"/>
        <v>₹505,471.50</v>
      </c>
      <c r="H3208" s="54" t="str">
        <f t="shared" si="4"/>
        <v>₹42,122.63</v>
      </c>
      <c r="I3208" s="54" t="str">
        <f>122042.43-H3208</f>
        <v>₹79,919.81</v>
      </c>
    </row>
    <row r="3209" ht="15.75" customHeight="1">
      <c r="A3209" s="50" t="s">
        <v>3288</v>
      </c>
      <c r="B3209" s="50" t="s">
        <v>53</v>
      </c>
      <c r="C3209" s="50" t="s">
        <v>14</v>
      </c>
      <c r="D3209" s="51">
        <v>140431.93</v>
      </c>
      <c r="E3209" s="51" t="str">
        <f t="shared" si="1"/>
        <v>₹1,685,183.16</v>
      </c>
      <c r="F3209" s="52" t="str">
        <f t="shared" si="2"/>
        <v>30.0%</v>
      </c>
      <c r="G3209" s="51" t="str">
        <f t="shared" si="3"/>
        <v>₹505,554.95</v>
      </c>
      <c r="H3209" s="51" t="str">
        <f t="shared" si="4"/>
        <v>₹42,129.58</v>
      </c>
      <c r="I3209" s="51" t="str">
        <f>125666.62-H3209</f>
        <v>₹83,537.04</v>
      </c>
    </row>
    <row r="3210" ht="15.75" customHeight="1">
      <c r="A3210" s="53" t="s">
        <v>3289</v>
      </c>
      <c r="B3210" s="53" t="s">
        <v>36</v>
      </c>
      <c r="C3210" s="53" t="s">
        <v>14</v>
      </c>
      <c r="D3210" s="54">
        <v>140455.11</v>
      </c>
      <c r="E3210" s="54" t="str">
        <f t="shared" si="1"/>
        <v>₹1,685,461.32</v>
      </c>
      <c r="F3210" s="55" t="str">
        <f t="shared" si="2"/>
        <v>30.0%</v>
      </c>
      <c r="G3210" s="54" t="str">
        <f t="shared" si="3"/>
        <v>₹505,638.40</v>
      </c>
      <c r="H3210" s="54" t="str">
        <f t="shared" si="4"/>
        <v>₹42,136.53</v>
      </c>
      <c r="I3210" s="54" t="str">
        <f>122082-H3210</f>
        <v>₹79,945.47</v>
      </c>
    </row>
    <row r="3211" ht="15.75" customHeight="1">
      <c r="A3211" s="50" t="s">
        <v>3290</v>
      </c>
      <c r="B3211" s="50" t="s">
        <v>13</v>
      </c>
      <c r="C3211" s="50" t="s">
        <v>54</v>
      </c>
      <c r="D3211" s="51">
        <v>140501.46</v>
      </c>
      <c r="E3211" s="51" t="str">
        <f t="shared" si="1"/>
        <v>₹1,686,017.52</v>
      </c>
      <c r="F3211" s="52" t="str">
        <f t="shared" si="2"/>
        <v>30.0%</v>
      </c>
      <c r="G3211" s="51" t="str">
        <f t="shared" si="3"/>
        <v>₹505,805.26</v>
      </c>
      <c r="H3211" s="51" t="str">
        <f t="shared" si="4"/>
        <v>₹42,150.44</v>
      </c>
      <c r="I3211" s="51" t="str">
        <f>122121.55-H3211</f>
        <v>₹79,971.11</v>
      </c>
    </row>
    <row r="3212" ht="15.75" customHeight="1">
      <c r="A3212" s="53" t="s">
        <v>3291</v>
      </c>
      <c r="B3212" s="53" t="s">
        <v>13</v>
      </c>
      <c r="C3212" s="53" t="s">
        <v>18</v>
      </c>
      <c r="D3212" s="54">
        <v>140524.64</v>
      </c>
      <c r="E3212" s="54" t="str">
        <f t="shared" si="1"/>
        <v>₹1,686,295.68</v>
      </c>
      <c r="F3212" s="55" t="str">
        <f t="shared" si="2"/>
        <v>30.0%</v>
      </c>
      <c r="G3212" s="54" t="str">
        <f t="shared" si="3"/>
        <v>₹505,888.70</v>
      </c>
      <c r="H3212" s="54" t="str">
        <f t="shared" si="4"/>
        <v>₹42,157.39</v>
      </c>
      <c r="I3212" s="54" t="str">
        <f>122141.33-H3212</f>
        <v>₹79,983.94</v>
      </c>
    </row>
    <row r="3213" ht="15.75" customHeight="1">
      <c r="A3213" s="50" t="s">
        <v>3292</v>
      </c>
      <c r="B3213" s="50" t="s">
        <v>13</v>
      </c>
      <c r="C3213" s="50" t="s">
        <v>37</v>
      </c>
      <c r="D3213" s="51">
        <v>140547.82</v>
      </c>
      <c r="E3213" s="51" t="str">
        <f t="shared" si="1"/>
        <v>₹1,686,573.84</v>
      </c>
      <c r="F3213" s="52" t="str">
        <f t="shared" si="2"/>
        <v>30.0%</v>
      </c>
      <c r="G3213" s="51" t="str">
        <f t="shared" si="3"/>
        <v>₹505,972.15</v>
      </c>
      <c r="H3213" s="51" t="str">
        <f t="shared" si="4"/>
        <v>₹42,164.35</v>
      </c>
      <c r="I3213" s="51" t="str">
        <f>122161.11-H3213</f>
        <v>₹79,996.76</v>
      </c>
    </row>
    <row r="3214" ht="15.75" customHeight="1">
      <c r="A3214" s="53" t="s">
        <v>3293</v>
      </c>
      <c r="B3214" s="53" t="s">
        <v>29</v>
      </c>
      <c r="C3214" s="53" t="s">
        <v>33</v>
      </c>
      <c r="D3214" s="54">
        <v>140570.99</v>
      </c>
      <c r="E3214" s="54" t="str">
        <f t="shared" si="1"/>
        <v>₹1,686,851.88</v>
      </c>
      <c r="F3214" s="55" t="str">
        <f t="shared" si="2"/>
        <v>30.0%</v>
      </c>
      <c r="G3214" s="54" t="str">
        <f t="shared" si="3"/>
        <v>₹506,055.56</v>
      </c>
      <c r="H3214" s="54" t="str">
        <f t="shared" si="4"/>
        <v>₹42,171.30</v>
      </c>
      <c r="I3214" s="54" t="str">
        <f>122180.89-H3214</f>
        <v>₹80,009.59</v>
      </c>
    </row>
    <row r="3215" ht="15.75" customHeight="1">
      <c r="A3215" s="50" t="s">
        <v>3294</v>
      </c>
      <c r="B3215" s="50" t="s">
        <v>13</v>
      </c>
      <c r="C3215" s="50" t="s">
        <v>30</v>
      </c>
      <c r="D3215" s="51">
        <v>140594.17</v>
      </c>
      <c r="E3215" s="51" t="str">
        <f t="shared" si="1"/>
        <v>₹1,687,130.04</v>
      </c>
      <c r="F3215" s="52" t="str">
        <f t="shared" si="2"/>
        <v>30.0%</v>
      </c>
      <c r="G3215" s="51" t="str">
        <f t="shared" si="3"/>
        <v>₹506,139.01</v>
      </c>
      <c r="H3215" s="51" t="str">
        <f t="shared" si="4"/>
        <v>₹42,178.25</v>
      </c>
      <c r="I3215" s="51" t="str">
        <f>122200.67-H3215</f>
        <v>₹80,022.42</v>
      </c>
    </row>
    <row r="3216" ht="15.75" customHeight="1">
      <c r="A3216" s="53" t="s">
        <v>3295</v>
      </c>
      <c r="B3216" s="53" t="s">
        <v>36</v>
      </c>
      <c r="C3216" s="53" t="s">
        <v>37</v>
      </c>
      <c r="D3216" s="54">
        <v>140617.35</v>
      </c>
      <c r="E3216" s="54" t="str">
        <f t="shared" si="1"/>
        <v>₹1,687,408.20</v>
      </c>
      <c r="F3216" s="55" t="str">
        <f t="shared" si="2"/>
        <v>30.0%</v>
      </c>
      <c r="G3216" s="54" t="str">
        <f t="shared" si="3"/>
        <v>₹506,222.46</v>
      </c>
      <c r="H3216" s="54" t="str">
        <f t="shared" si="4"/>
        <v>₹42,185.21</v>
      </c>
      <c r="I3216" s="54" t="str">
        <f>122220.45-H3216</f>
        <v>₹80,035.25</v>
      </c>
    </row>
    <row r="3217" ht="15.75" customHeight="1">
      <c r="A3217" s="50" t="s">
        <v>3296</v>
      </c>
      <c r="B3217" s="50" t="s">
        <v>29</v>
      </c>
      <c r="C3217" s="50" t="s">
        <v>54</v>
      </c>
      <c r="D3217" s="51">
        <v>140640.53</v>
      </c>
      <c r="E3217" s="51" t="str">
        <f t="shared" si="1"/>
        <v>₹1,687,686.36</v>
      </c>
      <c r="F3217" s="52" t="str">
        <f t="shared" si="2"/>
        <v>30.0%</v>
      </c>
      <c r="G3217" s="51" t="str">
        <f t="shared" si="3"/>
        <v>₹506,305.91</v>
      </c>
      <c r="H3217" s="51" t="str">
        <f t="shared" si="4"/>
        <v>₹42,192.16</v>
      </c>
      <c r="I3217" s="51" t="str">
        <f>122240.23-H3217</f>
        <v>₹80,048.07</v>
      </c>
    </row>
    <row r="3218" ht="15.75" customHeight="1">
      <c r="A3218" s="53" t="s">
        <v>3297</v>
      </c>
      <c r="B3218" s="53" t="s">
        <v>25</v>
      </c>
      <c r="C3218" s="53" t="s">
        <v>18</v>
      </c>
      <c r="D3218" s="54">
        <v>140686.88</v>
      </c>
      <c r="E3218" s="54" t="str">
        <f t="shared" si="1"/>
        <v>₹1,688,242.56</v>
      </c>
      <c r="F3218" s="55" t="str">
        <f t="shared" si="2"/>
        <v>30.0%</v>
      </c>
      <c r="G3218" s="54" t="str">
        <f t="shared" si="3"/>
        <v>₹506,472.77</v>
      </c>
      <c r="H3218" s="54" t="str">
        <f t="shared" si="4"/>
        <v>₹42,206.06</v>
      </c>
      <c r="I3218" s="54" t="str">
        <f>122279.79-H3218</f>
        <v>₹80,073.73</v>
      </c>
    </row>
    <row r="3219" ht="15.75" customHeight="1">
      <c r="A3219" s="50" t="s">
        <v>3298</v>
      </c>
      <c r="B3219" s="50" t="s">
        <v>17</v>
      </c>
      <c r="C3219" s="50" t="s">
        <v>26</v>
      </c>
      <c r="D3219" s="51">
        <v>140710.06</v>
      </c>
      <c r="E3219" s="51" t="str">
        <f t="shared" si="1"/>
        <v>₹1,688,520.72</v>
      </c>
      <c r="F3219" s="52" t="str">
        <f t="shared" si="2"/>
        <v>30.0%</v>
      </c>
      <c r="G3219" s="51" t="str">
        <f t="shared" si="3"/>
        <v>₹506,556.22</v>
      </c>
      <c r="H3219" s="51" t="str">
        <f t="shared" si="4"/>
        <v>₹42,213.02</v>
      </c>
      <c r="I3219" s="51" t="str">
        <f>122299.57-H3219</f>
        <v>₹80,086.55</v>
      </c>
    </row>
    <row r="3220" ht="15.75" customHeight="1">
      <c r="A3220" s="53" t="s">
        <v>3299</v>
      </c>
      <c r="B3220" s="53" t="s">
        <v>51</v>
      </c>
      <c r="C3220" s="53" t="s">
        <v>14</v>
      </c>
      <c r="D3220" s="54">
        <v>140733.24</v>
      </c>
      <c r="E3220" s="54" t="str">
        <f t="shared" si="1"/>
        <v>₹1,688,798.88</v>
      </c>
      <c r="F3220" s="55" t="str">
        <f t="shared" si="2"/>
        <v>30.0%</v>
      </c>
      <c r="G3220" s="54" t="str">
        <f t="shared" si="3"/>
        <v>₹506,639.66</v>
      </c>
      <c r="H3220" s="54" t="str">
        <f t="shared" si="4"/>
        <v>₹42,219.97</v>
      </c>
      <c r="I3220" s="54" t="str">
        <f>122319.35-H3220</f>
        <v>₹80,099.38</v>
      </c>
    </row>
    <row r="3221" ht="15.75" customHeight="1">
      <c r="A3221" s="50" t="s">
        <v>3300</v>
      </c>
      <c r="B3221" s="50" t="s">
        <v>53</v>
      </c>
      <c r="C3221" s="50" t="s">
        <v>54</v>
      </c>
      <c r="D3221" s="51">
        <v>140756.42</v>
      </c>
      <c r="E3221" s="51" t="str">
        <f t="shared" si="1"/>
        <v>₹1,689,077.04</v>
      </c>
      <c r="F3221" s="52" t="str">
        <f t="shared" si="2"/>
        <v>30.0%</v>
      </c>
      <c r="G3221" s="51" t="str">
        <f t="shared" si="3"/>
        <v>₹506,723.11</v>
      </c>
      <c r="H3221" s="51" t="str">
        <f t="shared" si="4"/>
        <v>₹42,226.93</v>
      </c>
      <c r="I3221" s="51" t="str">
        <f>122339.14-H3221</f>
        <v>₹80,112.21</v>
      </c>
    </row>
    <row r="3222" ht="15.75" customHeight="1">
      <c r="A3222" s="53" t="s">
        <v>3301</v>
      </c>
      <c r="B3222" s="53" t="s">
        <v>17</v>
      </c>
      <c r="C3222" s="53" t="s">
        <v>54</v>
      </c>
      <c r="D3222" s="54">
        <v>140779.59</v>
      </c>
      <c r="E3222" s="54" t="str">
        <f t="shared" si="1"/>
        <v>₹1,689,355.08</v>
      </c>
      <c r="F3222" s="55" t="str">
        <f t="shared" si="2"/>
        <v>30.0%</v>
      </c>
      <c r="G3222" s="54" t="str">
        <f t="shared" si="3"/>
        <v>₹506,806.52</v>
      </c>
      <c r="H3222" s="54" t="str">
        <f t="shared" si="4"/>
        <v>₹42,233.88</v>
      </c>
      <c r="I3222" s="54" t="str">
        <f>122358.91-H3222</f>
        <v>₹80,125.03</v>
      </c>
    </row>
    <row r="3223" ht="15.75" customHeight="1">
      <c r="A3223" s="50" t="s">
        <v>3302</v>
      </c>
      <c r="B3223" s="50" t="s">
        <v>17</v>
      </c>
      <c r="C3223" s="50" t="s">
        <v>54</v>
      </c>
      <c r="D3223" s="51">
        <v>140802.77</v>
      </c>
      <c r="E3223" s="51" t="str">
        <f t="shared" si="1"/>
        <v>₹1,689,633.24</v>
      </c>
      <c r="F3223" s="52" t="str">
        <f t="shared" si="2"/>
        <v>30.0%</v>
      </c>
      <c r="G3223" s="51" t="str">
        <f t="shared" si="3"/>
        <v>₹506,889.97</v>
      </c>
      <c r="H3223" s="51" t="str">
        <f t="shared" si="4"/>
        <v>₹42,240.83</v>
      </c>
      <c r="I3223" s="51" t="str">
        <f>122378.69-H3223</f>
        <v>₹80,137.86</v>
      </c>
    </row>
    <row r="3224" ht="15.75" customHeight="1">
      <c r="A3224" s="53" t="s">
        <v>3303</v>
      </c>
      <c r="B3224" s="53" t="s">
        <v>53</v>
      </c>
      <c r="C3224" s="53" t="s">
        <v>37</v>
      </c>
      <c r="D3224" s="54">
        <v>140825.95</v>
      </c>
      <c r="E3224" s="54" t="str">
        <f t="shared" si="1"/>
        <v>₹1,689,911.40</v>
      </c>
      <c r="F3224" s="55" t="str">
        <f t="shared" si="2"/>
        <v>30.0%</v>
      </c>
      <c r="G3224" s="54" t="str">
        <f t="shared" si="3"/>
        <v>₹506,973.42</v>
      </c>
      <c r="H3224" s="54" t="str">
        <f t="shared" si="4"/>
        <v>₹42,247.79</v>
      </c>
      <c r="I3224" s="54" t="str">
        <f>122398.47-H3224</f>
        <v>₹80,150.69</v>
      </c>
    </row>
    <row r="3225" ht="15.75" customHeight="1">
      <c r="A3225" s="50" t="s">
        <v>3304</v>
      </c>
      <c r="B3225" s="50" t="s">
        <v>25</v>
      </c>
      <c r="C3225" s="50" t="s">
        <v>37</v>
      </c>
      <c r="D3225" s="51">
        <v>140849.13</v>
      </c>
      <c r="E3225" s="51" t="str">
        <f t="shared" si="1"/>
        <v>₹1,690,189.56</v>
      </c>
      <c r="F3225" s="52" t="str">
        <f t="shared" si="2"/>
        <v>30.0%</v>
      </c>
      <c r="G3225" s="51" t="str">
        <f t="shared" si="3"/>
        <v>₹507,056.87</v>
      </c>
      <c r="H3225" s="51" t="str">
        <f t="shared" si="4"/>
        <v>₹42,254.74</v>
      </c>
      <c r="I3225" s="51" t="str">
        <f>122418.26-H3225</f>
        <v>₹80,163.52</v>
      </c>
    </row>
    <row r="3226" ht="15.75" customHeight="1">
      <c r="A3226" s="53" t="s">
        <v>3305</v>
      </c>
      <c r="B3226" s="53" t="s">
        <v>51</v>
      </c>
      <c r="C3226" s="53" t="s">
        <v>26</v>
      </c>
      <c r="D3226" s="54">
        <v>140872.3</v>
      </c>
      <c r="E3226" s="54" t="str">
        <f t="shared" si="1"/>
        <v>₹1,690,467.60</v>
      </c>
      <c r="F3226" s="55" t="str">
        <f t="shared" si="2"/>
        <v>30.0%</v>
      </c>
      <c r="G3226" s="54" t="str">
        <f t="shared" si="3"/>
        <v>₹507,140.28</v>
      </c>
      <c r="H3226" s="54" t="str">
        <f t="shared" si="4"/>
        <v>₹42,261.69</v>
      </c>
      <c r="I3226" s="54" t="str">
        <f>122438.03-H3226</f>
        <v>₹80,176.34</v>
      </c>
    </row>
    <row r="3227" ht="15.75" customHeight="1">
      <c r="A3227" s="50" t="s">
        <v>3306</v>
      </c>
      <c r="B3227" s="50" t="s">
        <v>13</v>
      </c>
      <c r="C3227" s="50" t="s">
        <v>30</v>
      </c>
      <c r="D3227" s="51">
        <v>140895.48</v>
      </c>
      <c r="E3227" s="51" t="str">
        <f t="shared" si="1"/>
        <v>₹1,690,745.76</v>
      </c>
      <c r="F3227" s="52" t="str">
        <f t="shared" si="2"/>
        <v>30.0%</v>
      </c>
      <c r="G3227" s="51" t="str">
        <f t="shared" si="3"/>
        <v>₹507,223.73</v>
      </c>
      <c r="H3227" s="51" t="str">
        <f t="shared" si="4"/>
        <v>₹42,268.64</v>
      </c>
      <c r="I3227" s="51" t="str">
        <f>122457.81-H3227</f>
        <v>₹80,189.17</v>
      </c>
    </row>
    <row r="3228" ht="15.75" customHeight="1">
      <c r="A3228" s="53" t="s">
        <v>3307</v>
      </c>
      <c r="B3228" s="53" t="s">
        <v>17</v>
      </c>
      <c r="C3228" s="53" t="s">
        <v>18</v>
      </c>
      <c r="D3228" s="54">
        <v>140918.66</v>
      </c>
      <c r="E3228" s="54" t="str">
        <f t="shared" si="1"/>
        <v>₹1,691,023.92</v>
      </c>
      <c r="F3228" s="55" t="str">
        <f t="shared" si="2"/>
        <v>30.0%</v>
      </c>
      <c r="G3228" s="54" t="str">
        <f t="shared" si="3"/>
        <v>₹507,307.18</v>
      </c>
      <c r="H3228" s="54" t="str">
        <f t="shared" si="4"/>
        <v>₹42,275.60</v>
      </c>
      <c r="I3228" s="54" t="str">
        <f>122477.59-H3228</f>
        <v>₹80,201.99</v>
      </c>
    </row>
    <row r="3229" ht="15.75" customHeight="1">
      <c r="A3229" s="50" t="s">
        <v>3308</v>
      </c>
      <c r="B3229" s="50" t="s">
        <v>29</v>
      </c>
      <c r="C3229" s="50" t="s">
        <v>54</v>
      </c>
      <c r="D3229" s="51">
        <v>140941.84</v>
      </c>
      <c r="E3229" s="51" t="str">
        <f t="shared" si="1"/>
        <v>₹1,691,302.08</v>
      </c>
      <c r="F3229" s="52" t="str">
        <f t="shared" si="2"/>
        <v>30.0%</v>
      </c>
      <c r="G3229" s="51" t="str">
        <f t="shared" si="3"/>
        <v>₹507,390.62</v>
      </c>
      <c r="H3229" s="51" t="str">
        <f t="shared" si="4"/>
        <v>₹42,282.55</v>
      </c>
      <c r="I3229" s="51" t="str">
        <f>122497.38-H3229</f>
        <v>₹80,214.83</v>
      </c>
    </row>
    <row r="3230" ht="15.75" customHeight="1">
      <c r="A3230" s="53" t="s">
        <v>3309</v>
      </c>
      <c r="B3230" s="53" t="s">
        <v>53</v>
      </c>
      <c r="C3230" s="53" t="s">
        <v>14</v>
      </c>
      <c r="D3230" s="54">
        <v>140965.02</v>
      </c>
      <c r="E3230" s="54" t="str">
        <f t="shared" si="1"/>
        <v>₹1,691,580.24</v>
      </c>
      <c r="F3230" s="55" t="str">
        <f t="shared" si="2"/>
        <v>30.0%</v>
      </c>
      <c r="G3230" s="54" t="str">
        <f t="shared" si="3"/>
        <v>₹507,474.07</v>
      </c>
      <c r="H3230" s="54" t="str">
        <f t="shared" si="4"/>
        <v>₹42,289.51</v>
      </c>
      <c r="I3230" s="54" t="str">
        <f>122517.16-H3230</f>
        <v>₹80,227.65</v>
      </c>
    </row>
    <row r="3231" ht="15.75" customHeight="1">
      <c r="A3231" s="50" t="s">
        <v>3310</v>
      </c>
      <c r="B3231" s="50" t="s">
        <v>17</v>
      </c>
      <c r="C3231" s="50" t="s">
        <v>14</v>
      </c>
      <c r="D3231" s="51">
        <v>140988.19</v>
      </c>
      <c r="E3231" s="51" t="str">
        <f t="shared" si="1"/>
        <v>₹1,691,858.28</v>
      </c>
      <c r="F3231" s="52" t="str">
        <f t="shared" si="2"/>
        <v>30.0%</v>
      </c>
      <c r="G3231" s="51" t="str">
        <f t="shared" si="3"/>
        <v>₹507,557.48</v>
      </c>
      <c r="H3231" s="51" t="str">
        <f t="shared" si="4"/>
        <v>₹42,296.46</v>
      </c>
      <c r="I3231" s="51" t="str">
        <f>122536.93-H3231</f>
        <v>₹80,240.47</v>
      </c>
    </row>
    <row r="3232" ht="15.75" customHeight="1">
      <c r="A3232" s="53" t="s">
        <v>3311</v>
      </c>
      <c r="B3232" s="53" t="s">
        <v>17</v>
      </c>
      <c r="C3232" s="53" t="s">
        <v>26</v>
      </c>
      <c r="D3232" s="54">
        <v>141011.37</v>
      </c>
      <c r="E3232" s="54" t="str">
        <f t="shared" si="1"/>
        <v>₹1,692,136.44</v>
      </c>
      <c r="F3232" s="55" t="str">
        <f t="shared" si="2"/>
        <v>30.0%</v>
      </c>
      <c r="G3232" s="54" t="str">
        <f t="shared" si="3"/>
        <v>₹507,640.93</v>
      </c>
      <c r="H3232" s="54" t="str">
        <f t="shared" si="4"/>
        <v>₹42,303.41</v>
      </c>
      <c r="I3232" s="54" t="str">
        <f>126275.85-H3232</f>
        <v>₹83,972.44</v>
      </c>
    </row>
    <row r="3233" ht="15.75" customHeight="1">
      <c r="A3233" s="50" t="s">
        <v>3312</v>
      </c>
      <c r="B3233" s="50" t="s">
        <v>13</v>
      </c>
      <c r="C3233" s="50" t="s">
        <v>26</v>
      </c>
      <c r="D3233" s="51">
        <v>141034.55</v>
      </c>
      <c r="E3233" s="51" t="str">
        <f t="shared" si="1"/>
        <v>₹1,692,414.60</v>
      </c>
      <c r="F3233" s="52" t="str">
        <f t="shared" si="2"/>
        <v>30.0%</v>
      </c>
      <c r="G3233" s="51" t="str">
        <f t="shared" si="3"/>
        <v>₹507,724.38</v>
      </c>
      <c r="H3233" s="51" t="str">
        <f t="shared" si="4"/>
        <v>₹42,310.37</v>
      </c>
      <c r="I3233" s="51" t="str">
        <f>122576.5-H3233</f>
        <v>₹80,266.14</v>
      </c>
    </row>
    <row r="3234" ht="15.75" customHeight="1">
      <c r="A3234" s="53" t="s">
        <v>3313</v>
      </c>
      <c r="B3234" s="53" t="s">
        <v>29</v>
      </c>
      <c r="C3234" s="53" t="s">
        <v>26</v>
      </c>
      <c r="D3234" s="54">
        <v>141057.73</v>
      </c>
      <c r="E3234" s="54" t="str">
        <f t="shared" si="1"/>
        <v>₹1,692,692.76</v>
      </c>
      <c r="F3234" s="55" t="str">
        <f t="shared" si="2"/>
        <v>30.0%</v>
      </c>
      <c r="G3234" s="54" t="str">
        <f t="shared" si="3"/>
        <v>₹507,807.83</v>
      </c>
      <c r="H3234" s="54" t="str">
        <f t="shared" si="4"/>
        <v>₹42,317.32</v>
      </c>
      <c r="I3234" s="54" t="str">
        <f>122596.28-H3234</f>
        <v>₹80,278.96</v>
      </c>
    </row>
    <row r="3235" ht="15.75" customHeight="1">
      <c r="A3235" s="50" t="s">
        <v>3314</v>
      </c>
      <c r="B3235" s="50" t="s">
        <v>51</v>
      </c>
      <c r="C3235" s="50" t="s">
        <v>18</v>
      </c>
      <c r="D3235" s="51">
        <v>141080.9</v>
      </c>
      <c r="E3235" s="51" t="str">
        <f t="shared" si="1"/>
        <v>₹1,692,970.80</v>
      </c>
      <c r="F3235" s="52" t="str">
        <f t="shared" si="2"/>
        <v>30.0%</v>
      </c>
      <c r="G3235" s="51" t="str">
        <f t="shared" si="3"/>
        <v>₹507,891.24</v>
      </c>
      <c r="H3235" s="51" t="str">
        <f t="shared" si="4"/>
        <v>₹42,324.27</v>
      </c>
      <c r="I3235" s="51" t="str">
        <f>122616.05-H3235</f>
        <v>₹80,291.78</v>
      </c>
    </row>
    <row r="3236" ht="15.75" customHeight="1">
      <c r="A3236" s="53" t="s">
        <v>3315</v>
      </c>
      <c r="B3236" s="53" t="s">
        <v>25</v>
      </c>
      <c r="C3236" s="53" t="s">
        <v>54</v>
      </c>
      <c r="D3236" s="54">
        <v>141104.08</v>
      </c>
      <c r="E3236" s="54" t="str">
        <f t="shared" si="1"/>
        <v>₹1,693,248.96</v>
      </c>
      <c r="F3236" s="55" t="str">
        <f t="shared" si="2"/>
        <v>30.0%</v>
      </c>
      <c r="G3236" s="54" t="str">
        <f t="shared" si="3"/>
        <v>₹507,974.69</v>
      </c>
      <c r="H3236" s="54" t="str">
        <f t="shared" si="4"/>
        <v>₹42,331.22</v>
      </c>
      <c r="I3236" s="54" t="str">
        <f>122635.83-H3236</f>
        <v>₹80,304.61</v>
      </c>
    </row>
    <row r="3237" ht="15.75" customHeight="1">
      <c r="A3237" s="50" t="s">
        <v>3316</v>
      </c>
      <c r="B3237" s="50" t="s">
        <v>53</v>
      </c>
      <c r="C3237" s="50" t="s">
        <v>30</v>
      </c>
      <c r="D3237" s="51">
        <v>141127.26</v>
      </c>
      <c r="E3237" s="51" t="str">
        <f t="shared" si="1"/>
        <v>₹1,693,527.12</v>
      </c>
      <c r="F3237" s="52" t="str">
        <f t="shared" si="2"/>
        <v>30.0%</v>
      </c>
      <c r="G3237" s="51" t="str">
        <f t="shared" si="3"/>
        <v>₹508,058.14</v>
      </c>
      <c r="H3237" s="51" t="str">
        <f t="shared" si="4"/>
        <v>₹42,338.18</v>
      </c>
      <c r="I3237" s="51" t="str">
        <f>122655.62-H3237</f>
        <v>₹80,317.44</v>
      </c>
    </row>
    <row r="3238" ht="15.75" customHeight="1">
      <c r="A3238" s="53" t="s">
        <v>3317</v>
      </c>
      <c r="B3238" s="53" t="s">
        <v>36</v>
      </c>
      <c r="C3238" s="53" t="s">
        <v>54</v>
      </c>
      <c r="D3238" s="54">
        <v>141150.44</v>
      </c>
      <c r="E3238" s="54" t="str">
        <f t="shared" si="1"/>
        <v>₹1,693,805.28</v>
      </c>
      <c r="F3238" s="55" t="str">
        <f t="shared" si="2"/>
        <v>30.0%</v>
      </c>
      <c r="G3238" s="54" t="str">
        <f t="shared" si="3"/>
        <v>₹508,141.58</v>
      </c>
      <c r="H3238" s="54" t="str">
        <f t="shared" si="4"/>
        <v>₹42,345.13</v>
      </c>
      <c r="I3238" s="54" t="str">
        <f>122675.4-H3238</f>
        <v>₹80,330.27</v>
      </c>
    </row>
    <row r="3239" ht="15.75" customHeight="1">
      <c r="A3239" s="50" t="s">
        <v>3318</v>
      </c>
      <c r="B3239" s="50" t="s">
        <v>13</v>
      </c>
      <c r="C3239" s="50" t="s">
        <v>26</v>
      </c>
      <c r="D3239" s="51">
        <v>141173.61</v>
      </c>
      <c r="E3239" s="51" t="str">
        <f t="shared" si="1"/>
        <v>₹1,694,083.32</v>
      </c>
      <c r="F3239" s="52" t="str">
        <f t="shared" si="2"/>
        <v>30.0%</v>
      </c>
      <c r="G3239" s="51" t="str">
        <f t="shared" si="3"/>
        <v>₹508,225.00</v>
      </c>
      <c r="H3239" s="51" t="str">
        <f t="shared" si="4"/>
        <v>₹42,352.08</v>
      </c>
      <c r="I3239" s="51" t="str">
        <f>122695.17-H3239</f>
        <v>₹80,343.09</v>
      </c>
    </row>
    <row r="3240" ht="15.75" customHeight="1">
      <c r="A3240" s="53" t="s">
        <v>3319</v>
      </c>
      <c r="B3240" s="53" t="s">
        <v>13</v>
      </c>
      <c r="C3240" s="53" t="s">
        <v>33</v>
      </c>
      <c r="D3240" s="54">
        <v>141196.79</v>
      </c>
      <c r="E3240" s="54" t="str">
        <f t="shared" si="1"/>
        <v>₹1,694,361.48</v>
      </c>
      <c r="F3240" s="55" t="str">
        <f t="shared" si="2"/>
        <v>30.0%</v>
      </c>
      <c r="G3240" s="54" t="str">
        <f t="shared" si="3"/>
        <v>₹508,308.44</v>
      </c>
      <c r="H3240" s="54" t="str">
        <f t="shared" si="4"/>
        <v>₹42,359.04</v>
      </c>
      <c r="I3240" s="54" t="str">
        <f>122714.95-H3240</f>
        <v>₹80,355.91</v>
      </c>
    </row>
    <row r="3241" ht="15.75" customHeight="1">
      <c r="A3241" s="50" t="s">
        <v>3320</v>
      </c>
      <c r="B3241" s="50" t="s">
        <v>53</v>
      </c>
      <c r="C3241" s="50" t="s">
        <v>26</v>
      </c>
      <c r="D3241" s="51">
        <v>141219.97</v>
      </c>
      <c r="E3241" s="51" t="str">
        <f t="shared" si="1"/>
        <v>₹1,694,639.64</v>
      </c>
      <c r="F3241" s="52" t="str">
        <f t="shared" si="2"/>
        <v>30.0%</v>
      </c>
      <c r="G3241" s="51" t="str">
        <f t="shared" si="3"/>
        <v>₹508,391.89</v>
      </c>
      <c r="H3241" s="51" t="str">
        <f t="shared" si="4"/>
        <v>₹42,365.99</v>
      </c>
      <c r="I3241" s="51" t="str">
        <f>122734.74-H3241</f>
        <v>₹80,368.75</v>
      </c>
    </row>
    <row r="3242" ht="15.75" customHeight="1">
      <c r="A3242" s="53" t="s">
        <v>3321</v>
      </c>
      <c r="B3242" s="53" t="s">
        <v>17</v>
      </c>
      <c r="C3242" s="53" t="s">
        <v>18</v>
      </c>
      <c r="D3242" s="54">
        <v>141243.15</v>
      </c>
      <c r="E3242" s="54" t="str">
        <f t="shared" si="1"/>
        <v>₹1,694,917.80</v>
      </c>
      <c r="F3242" s="55" t="str">
        <f t="shared" si="2"/>
        <v>30.0%</v>
      </c>
      <c r="G3242" s="54" t="str">
        <f t="shared" si="3"/>
        <v>₹508,475.34</v>
      </c>
      <c r="H3242" s="54" t="str">
        <f t="shared" si="4"/>
        <v>₹42,372.95</v>
      </c>
      <c r="I3242" s="54" t="str">
        <f>122754.52-H3242</f>
        <v>₹80,381.58</v>
      </c>
    </row>
    <row r="3243" ht="15.75" customHeight="1">
      <c r="A3243" s="50" t="s">
        <v>3322</v>
      </c>
      <c r="B3243" s="50" t="s">
        <v>13</v>
      </c>
      <c r="C3243" s="50" t="s">
        <v>30</v>
      </c>
      <c r="D3243" s="51">
        <v>141266.33</v>
      </c>
      <c r="E3243" s="51" t="str">
        <f t="shared" si="1"/>
        <v>₹1,695,195.96</v>
      </c>
      <c r="F3243" s="52" t="str">
        <f t="shared" si="2"/>
        <v>30.0%</v>
      </c>
      <c r="G3243" s="51" t="str">
        <f t="shared" si="3"/>
        <v>₹508,558.79</v>
      </c>
      <c r="H3243" s="51" t="str">
        <f t="shared" si="4"/>
        <v>₹42,379.90</v>
      </c>
      <c r="I3243" s="51" t="str">
        <f>122774.3-H3243</f>
        <v>₹80,394.40</v>
      </c>
    </row>
    <row r="3244" ht="15.75" customHeight="1">
      <c r="A3244" s="53" t="s">
        <v>3323</v>
      </c>
      <c r="B3244" s="53" t="s">
        <v>53</v>
      </c>
      <c r="C3244" s="53" t="s">
        <v>14</v>
      </c>
      <c r="D3244" s="54">
        <v>141289.5</v>
      </c>
      <c r="E3244" s="54" t="str">
        <f t="shared" si="1"/>
        <v>₹1,695,474.00</v>
      </c>
      <c r="F3244" s="55" t="str">
        <f t="shared" si="2"/>
        <v>30.0%</v>
      </c>
      <c r="G3244" s="54" t="str">
        <f t="shared" si="3"/>
        <v>₹508,642.20</v>
      </c>
      <c r="H3244" s="54" t="str">
        <f t="shared" si="4"/>
        <v>₹42,386.85</v>
      </c>
      <c r="I3244" s="54" t="str">
        <f>122794.07-H3244</f>
        <v>₹80,407.22</v>
      </c>
    </row>
    <row r="3245" ht="15.75" customHeight="1">
      <c r="A3245" s="50" t="s">
        <v>3324</v>
      </c>
      <c r="B3245" s="50" t="s">
        <v>17</v>
      </c>
      <c r="C3245" s="50" t="s">
        <v>37</v>
      </c>
      <c r="D3245" s="51">
        <v>141312.68</v>
      </c>
      <c r="E3245" s="51" t="str">
        <f t="shared" si="1"/>
        <v>₹1,695,752.16</v>
      </c>
      <c r="F3245" s="52" t="str">
        <f t="shared" si="2"/>
        <v>30.0%</v>
      </c>
      <c r="G3245" s="51" t="str">
        <f t="shared" si="3"/>
        <v>₹508,725.65</v>
      </c>
      <c r="H3245" s="51" t="str">
        <f t="shared" si="4"/>
        <v>₹42,393.80</v>
      </c>
      <c r="I3245" s="51" t="str">
        <f>122813.86-H3245</f>
        <v>₹80,420.06</v>
      </c>
    </row>
    <row r="3246" ht="15.75" customHeight="1">
      <c r="A3246" s="53" t="s">
        <v>3325</v>
      </c>
      <c r="B3246" s="53" t="s">
        <v>51</v>
      </c>
      <c r="C3246" s="53" t="s">
        <v>14</v>
      </c>
      <c r="D3246" s="54">
        <v>141335.86</v>
      </c>
      <c r="E3246" s="54" t="str">
        <f t="shared" si="1"/>
        <v>₹1,696,030.32</v>
      </c>
      <c r="F3246" s="55" t="str">
        <f t="shared" si="2"/>
        <v>30.0%</v>
      </c>
      <c r="G3246" s="54" t="str">
        <f t="shared" si="3"/>
        <v>₹508,809.10</v>
      </c>
      <c r="H3246" s="54" t="str">
        <f t="shared" si="4"/>
        <v>₹42,400.76</v>
      </c>
      <c r="I3246" s="54" t="str">
        <f>122833.64-H3246</f>
        <v>₹80,432.88</v>
      </c>
    </row>
    <row r="3247" ht="15.75" customHeight="1">
      <c r="A3247" s="50" t="s">
        <v>3326</v>
      </c>
      <c r="B3247" s="50" t="s">
        <v>13</v>
      </c>
      <c r="C3247" s="50" t="s">
        <v>18</v>
      </c>
      <c r="D3247" s="51">
        <v>141359.04</v>
      </c>
      <c r="E3247" s="51" t="str">
        <f t="shared" si="1"/>
        <v>₹1,696,308.48</v>
      </c>
      <c r="F3247" s="52" t="str">
        <f t="shared" si="2"/>
        <v>30.0%</v>
      </c>
      <c r="G3247" s="51" t="str">
        <f t="shared" si="3"/>
        <v>₹508,892.54</v>
      </c>
      <c r="H3247" s="51" t="str">
        <f t="shared" si="4"/>
        <v>₹42,407.71</v>
      </c>
      <c r="I3247" s="51" t="str">
        <f>122853.42-H3247</f>
        <v>₹80,445.71</v>
      </c>
    </row>
    <row r="3248" ht="15.75" customHeight="1">
      <c r="A3248" s="53" t="s">
        <v>3327</v>
      </c>
      <c r="B3248" s="53" t="s">
        <v>25</v>
      </c>
      <c r="C3248" s="53" t="s">
        <v>18</v>
      </c>
      <c r="D3248" s="54">
        <v>141382.21</v>
      </c>
      <c r="E3248" s="54" t="str">
        <f t="shared" si="1"/>
        <v>₹1,696,586.52</v>
      </c>
      <c r="F3248" s="55" t="str">
        <f t="shared" si="2"/>
        <v>30.0%</v>
      </c>
      <c r="G3248" s="54" t="str">
        <f t="shared" si="3"/>
        <v>₹508,975.96</v>
      </c>
      <c r="H3248" s="54" t="str">
        <f t="shared" si="4"/>
        <v>₹42,414.66</v>
      </c>
      <c r="I3248" s="54" t="str">
        <f>122873.19-H3248</f>
        <v>₹80,458.53</v>
      </c>
    </row>
    <row r="3249" ht="15.75" customHeight="1">
      <c r="A3249" s="50" t="s">
        <v>3328</v>
      </c>
      <c r="B3249" s="50" t="s">
        <v>17</v>
      </c>
      <c r="C3249" s="50" t="s">
        <v>37</v>
      </c>
      <c r="D3249" s="51">
        <v>141428.57</v>
      </c>
      <c r="E3249" s="51" t="str">
        <f t="shared" si="1"/>
        <v>₹1,697,142.84</v>
      </c>
      <c r="F3249" s="52" t="str">
        <f t="shared" si="2"/>
        <v>30.0%</v>
      </c>
      <c r="G3249" s="51" t="str">
        <f t="shared" si="3"/>
        <v>₹509,142.85</v>
      </c>
      <c r="H3249" s="51" t="str">
        <f t="shared" si="4"/>
        <v>₹42,428.57</v>
      </c>
      <c r="I3249" s="51" t="str">
        <f>122912.76-H3249</f>
        <v>₹80,484.19</v>
      </c>
    </row>
    <row r="3250" ht="15.75" customHeight="1">
      <c r="A3250" s="53" t="s">
        <v>3329</v>
      </c>
      <c r="B3250" s="53" t="s">
        <v>36</v>
      </c>
      <c r="C3250" s="53" t="s">
        <v>54</v>
      </c>
      <c r="D3250" s="54">
        <v>126951.87</v>
      </c>
      <c r="E3250" s="54" t="str">
        <f t="shared" si="1"/>
        <v>₹1,523,422.44</v>
      </c>
      <c r="F3250" s="55" t="str">
        <f t="shared" si="2"/>
        <v>30.0%</v>
      </c>
      <c r="G3250" s="54" t="str">
        <f t="shared" si="3"/>
        <v>₹457,026.73</v>
      </c>
      <c r="H3250" s="54" t="str">
        <f t="shared" si="4"/>
        <v>₹38,085.56</v>
      </c>
      <c r="I3250" s="54" t="str">
        <f>108432.66-H3250</f>
        <v>₹70,347.10</v>
      </c>
    </row>
    <row r="3251" ht="15.75" customHeight="1">
      <c r="A3251" s="50" t="s">
        <v>3330</v>
      </c>
      <c r="B3251" s="50" t="s">
        <v>51</v>
      </c>
      <c r="C3251" s="50" t="s">
        <v>54</v>
      </c>
      <c r="D3251" s="51">
        <v>141474.92</v>
      </c>
      <c r="E3251" s="51" t="str">
        <f t="shared" si="1"/>
        <v>₹1,697,699.04</v>
      </c>
      <c r="F3251" s="52" t="str">
        <f t="shared" si="2"/>
        <v>30.0%</v>
      </c>
      <c r="G3251" s="51" t="str">
        <f t="shared" si="3"/>
        <v>₹509,309.71</v>
      </c>
      <c r="H3251" s="51" t="str">
        <f t="shared" si="4"/>
        <v>₹42,442.48</v>
      </c>
      <c r="I3251" s="51" t="str">
        <f>122952.31-H3251</f>
        <v>₹80,509.83</v>
      </c>
    </row>
    <row r="3252" ht="15.75" customHeight="1">
      <c r="A3252" s="53" t="s">
        <v>3331</v>
      </c>
      <c r="B3252" s="53" t="s">
        <v>51</v>
      </c>
      <c r="C3252" s="53" t="s">
        <v>37</v>
      </c>
      <c r="D3252" s="54">
        <v>141498.1</v>
      </c>
      <c r="E3252" s="54" t="str">
        <f t="shared" si="1"/>
        <v>₹1,697,977.20</v>
      </c>
      <c r="F3252" s="55" t="str">
        <f t="shared" si="2"/>
        <v>30.0%</v>
      </c>
      <c r="G3252" s="54" t="str">
        <f t="shared" si="3"/>
        <v>₹509,393.16</v>
      </c>
      <c r="H3252" s="54" t="str">
        <f t="shared" si="4"/>
        <v>₹42,449.43</v>
      </c>
      <c r="I3252" s="54" t="str">
        <f>122972.1-H3252</f>
        <v>₹80,522.67</v>
      </c>
    </row>
    <row r="3253" ht="15.75" customHeight="1">
      <c r="A3253" s="50" t="s">
        <v>3332</v>
      </c>
      <c r="B3253" s="50" t="s">
        <v>36</v>
      </c>
      <c r="C3253" s="50" t="s">
        <v>33</v>
      </c>
      <c r="D3253" s="51">
        <v>141521.28</v>
      </c>
      <c r="E3253" s="51" t="str">
        <f t="shared" si="1"/>
        <v>₹1,698,255.36</v>
      </c>
      <c r="F3253" s="52" t="str">
        <f t="shared" si="2"/>
        <v>30.0%</v>
      </c>
      <c r="G3253" s="51" t="str">
        <f t="shared" si="3"/>
        <v>₹509,476.61</v>
      </c>
      <c r="H3253" s="51" t="str">
        <f t="shared" si="4"/>
        <v>₹42,456.38</v>
      </c>
      <c r="I3253" s="51" t="str">
        <f>122991.88-H3253</f>
        <v>₹80,535.50</v>
      </c>
    </row>
    <row r="3254" ht="15.75" customHeight="1">
      <c r="A3254" s="53" t="s">
        <v>3333</v>
      </c>
      <c r="B3254" s="53" t="s">
        <v>13</v>
      </c>
      <c r="C3254" s="53" t="s">
        <v>26</v>
      </c>
      <c r="D3254" s="54">
        <v>141544.46</v>
      </c>
      <c r="E3254" s="54" t="str">
        <f t="shared" si="1"/>
        <v>₹1,698,533.52</v>
      </c>
      <c r="F3254" s="55" t="str">
        <f t="shared" si="2"/>
        <v>30.0%</v>
      </c>
      <c r="G3254" s="54" t="str">
        <f t="shared" si="3"/>
        <v>₹509,560.06</v>
      </c>
      <c r="H3254" s="54" t="str">
        <f t="shared" si="4"/>
        <v>₹42,463.34</v>
      </c>
      <c r="I3254" s="54" t="str">
        <f>123011.66-H3254</f>
        <v>₹80,548.32</v>
      </c>
    </row>
    <row r="3255" ht="15.75" customHeight="1">
      <c r="A3255" s="50" t="s">
        <v>3334</v>
      </c>
      <c r="B3255" s="50" t="s">
        <v>29</v>
      </c>
      <c r="C3255" s="50" t="s">
        <v>26</v>
      </c>
      <c r="D3255" s="51">
        <v>141567.64</v>
      </c>
      <c r="E3255" s="51" t="str">
        <f t="shared" si="1"/>
        <v>₹1,698,811.68</v>
      </c>
      <c r="F3255" s="52" t="str">
        <f t="shared" si="2"/>
        <v>30.0%</v>
      </c>
      <c r="G3255" s="51" t="str">
        <f t="shared" si="3"/>
        <v>₹509,643.50</v>
      </c>
      <c r="H3255" s="51" t="str">
        <f t="shared" si="4"/>
        <v>₹42,470.29</v>
      </c>
      <c r="I3255" s="51" t="str">
        <f>123031.44-H3255</f>
        <v>₹80,561.15</v>
      </c>
    </row>
    <row r="3256" ht="15.75" customHeight="1">
      <c r="A3256" s="53" t="s">
        <v>3335</v>
      </c>
      <c r="B3256" s="53" t="s">
        <v>17</v>
      </c>
      <c r="C3256" s="53" t="s">
        <v>30</v>
      </c>
      <c r="D3256" s="54">
        <v>141613.99</v>
      </c>
      <c r="E3256" s="54" t="str">
        <f t="shared" si="1"/>
        <v>₹1,699,367.88</v>
      </c>
      <c r="F3256" s="55" t="str">
        <f t="shared" si="2"/>
        <v>30.0%</v>
      </c>
      <c r="G3256" s="54" t="str">
        <f t="shared" si="3"/>
        <v>₹509,810.36</v>
      </c>
      <c r="H3256" s="54" t="str">
        <f t="shared" si="4"/>
        <v>₹42,484.20</v>
      </c>
      <c r="I3256" s="54" t="str">
        <f>123071-H3256</f>
        <v>₹80,586.80</v>
      </c>
    </row>
    <row r="3257" ht="15.75" customHeight="1">
      <c r="A3257" s="50" t="s">
        <v>3336</v>
      </c>
      <c r="B3257" s="50" t="s">
        <v>53</v>
      </c>
      <c r="C3257" s="50" t="s">
        <v>54</v>
      </c>
      <c r="D3257" s="51">
        <v>141637.17</v>
      </c>
      <c r="E3257" s="51" t="str">
        <f t="shared" si="1"/>
        <v>₹1,699,646.04</v>
      </c>
      <c r="F3257" s="52" t="str">
        <f t="shared" si="2"/>
        <v>30.0%</v>
      </c>
      <c r="G3257" s="51" t="str">
        <f t="shared" si="3"/>
        <v>₹509,893.81</v>
      </c>
      <c r="H3257" s="51" t="str">
        <f t="shared" si="4"/>
        <v>₹42,491.15</v>
      </c>
      <c r="I3257" s="51" t="str">
        <f>123090.78-H3257</f>
        <v>₹80,599.63</v>
      </c>
    </row>
    <row r="3258" ht="15.75" customHeight="1">
      <c r="A3258" s="53" t="s">
        <v>3337</v>
      </c>
      <c r="B3258" s="53" t="s">
        <v>29</v>
      </c>
      <c r="C3258" s="53" t="s">
        <v>30</v>
      </c>
      <c r="D3258" s="54">
        <v>141660.35</v>
      </c>
      <c r="E3258" s="54" t="str">
        <f t="shared" si="1"/>
        <v>₹1,699,924.20</v>
      </c>
      <c r="F3258" s="55" t="str">
        <f t="shared" si="2"/>
        <v>30.0%</v>
      </c>
      <c r="G3258" s="54" t="str">
        <f t="shared" si="3"/>
        <v>₹509,977.26</v>
      </c>
      <c r="H3258" s="54" t="str">
        <f t="shared" si="4"/>
        <v>₹42,498.11</v>
      </c>
      <c r="I3258" s="54" t="str">
        <f>123110.56-H3258</f>
        <v>₹80,612.46</v>
      </c>
    </row>
    <row r="3259" ht="15.75" customHeight="1">
      <c r="A3259" s="50" t="s">
        <v>3338</v>
      </c>
      <c r="B3259" s="50" t="s">
        <v>29</v>
      </c>
      <c r="C3259" s="50" t="s">
        <v>37</v>
      </c>
      <c r="D3259" s="51">
        <v>141683.52</v>
      </c>
      <c r="E3259" s="51" t="str">
        <f t="shared" si="1"/>
        <v>₹1,700,202.24</v>
      </c>
      <c r="F3259" s="52" t="str">
        <f t="shared" si="2"/>
        <v>30.0%</v>
      </c>
      <c r="G3259" s="51" t="str">
        <f t="shared" si="3"/>
        <v>₹510,060.67</v>
      </c>
      <c r="H3259" s="51" t="str">
        <f t="shared" si="4"/>
        <v>₹42,505.06</v>
      </c>
      <c r="I3259" s="51" t="str">
        <f>123130.33-H3259</f>
        <v>₹80,625.27</v>
      </c>
    </row>
    <row r="3260" ht="15.75" customHeight="1">
      <c r="A3260" s="53" t="s">
        <v>3339</v>
      </c>
      <c r="B3260" s="53" t="s">
        <v>29</v>
      </c>
      <c r="C3260" s="53" t="s">
        <v>33</v>
      </c>
      <c r="D3260" s="54">
        <v>141729.88</v>
      </c>
      <c r="E3260" s="54" t="str">
        <f t="shared" si="1"/>
        <v>₹1,700,758.56</v>
      </c>
      <c r="F3260" s="55" t="str">
        <f t="shared" si="2"/>
        <v>30.0%</v>
      </c>
      <c r="G3260" s="54" t="str">
        <f t="shared" si="3"/>
        <v>₹510,227.57</v>
      </c>
      <c r="H3260" s="54" t="str">
        <f t="shared" si="4"/>
        <v>₹42,518.96</v>
      </c>
      <c r="I3260" s="54" t="str">
        <f>123169.9-H3260</f>
        <v>₹80,650.94</v>
      </c>
    </row>
    <row r="3261" ht="15.75" customHeight="1">
      <c r="A3261" s="50" t="s">
        <v>3340</v>
      </c>
      <c r="B3261" s="50" t="s">
        <v>17</v>
      </c>
      <c r="C3261" s="50" t="s">
        <v>30</v>
      </c>
      <c r="D3261" s="51">
        <v>141753.06</v>
      </c>
      <c r="E3261" s="51" t="str">
        <f t="shared" si="1"/>
        <v>₹1,701,036.72</v>
      </c>
      <c r="F3261" s="52" t="str">
        <f t="shared" si="2"/>
        <v>30.0%</v>
      </c>
      <c r="G3261" s="51" t="str">
        <f t="shared" si="3"/>
        <v>₹510,311.02</v>
      </c>
      <c r="H3261" s="51" t="str">
        <f t="shared" si="4"/>
        <v>₹42,525.92</v>
      </c>
      <c r="I3261" s="51" t="str">
        <f>123189.68-H3261</f>
        <v>₹80,663.76</v>
      </c>
    </row>
    <row r="3262" ht="15.75" customHeight="1">
      <c r="A3262" s="53" t="s">
        <v>3341</v>
      </c>
      <c r="B3262" s="53" t="s">
        <v>25</v>
      </c>
      <c r="C3262" s="53" t="s">
        <v>33</v>
      </c>
      <c r="D3262" s="54">
        <v>141776.23</v>
      </c>
      <c r="E3262" s="54" t="str">
        <f t="shared" si="1"/>
        <v>₹1,701,314.76</v>
      </c>
      <c r="F3262" s="55" t="str">
        <f t="shared" si="2"/>
        <v>30.0%</v>
      </c>
      <c r="G3262" s="54" t="str">
        <f t="shared" si="3"/>
        <v>₹510,394.43</v>
      </c>
      <c r="H3262" s="54" t="str">
        <f t="shared" si="4"/>
        <v>₹42,532.87</v>
      </c>
      <c r="I3262" s="54" t="str">
        <f>123209.45-H3262</f>
        <v>₹80,676.58</v>
      </c>
    </row>
    <row r="3263" ht="15.75" customHeight="1">
      <c r="A3263" s="50" t="s">
        <v>3342</v>
      </c>
      <c r="B3263" s="50" t="s">
        <v>51</v>
      </c>
      <c r="C3263" s="50" t="s">
        <v>33</v>
      </c>
      <c r="D3263" s="51">
        <v>141822.59</v>
      </c>
      <c r="E3263" s="51" t="str">
        <f t="shared" si="1"/>
        <v>₹1,701,871.08</v>
      </c>
      <c r="F3263" s="52" t="str">
        <f t="shared" si="2"/>
        <v>30.0%</v>
      </c>
      <c r="G3263" s="51" t="str">
        <f t="shared" si="3"/>
        <v>₹510,561.32</v>
      </c>
      <c r="H3263" s="51" t="str">
        <f t="shared" si="4"/>
        <v>₹42,546.78</v>
      </c>
      <c r="I3263" s="51" t="str">
        <f>123249.02-H3263</f>
        <v>₹80,702.24</v>
      </c>
    </row>
    <row r="3264" ht="15.75" customHeight="1">
      <c r="A3264" s="53" t="s">
        <v>3343</v>
      </c>
      <c r="B3264" s="53" t="s">
        <v>36</v>
      </c>
      <c r="C3264" s="53" t="s">
        <v>26</v>
      </c>
      <c r="D3264" s="54">
        <v>141845.77</v>
      </c>
      <c r="E3264" s="54" t="str">
        <f t="shared" si="1"/>
        <v>₹1,702,149.24</v>
      </c>
      <c r="F3264" s="55" t="str">
        <f t="shared" si="2"/>
        <v>30.0%</v>
      </c>
      <c r="G3264" s="54" t="str">
        <f t="shared" si="3"/>
        <v>₹510,644.77</v>
      </c>
      <c r="H3264" s="54" t="str">
        <f t="shared" si="4"/>
        <v>₹42,553.73</v>
      </c>
      <c r="I3264" s="54" t="str">
        <f>123268.8-H3264</f>
        <v>₹80,715.07</v>
      </c>
    </row>
    <row r="3265" ht="15.75" customHeight="1">
      <c r="A3265" s="50" t="s">
        <v>3344</v>
      </c>
      <c r="B3265" s="50" t="s">
        <v>51</v>
      </c>
      <c r="C3265" s="50" t="s">
        <v>14</v>
      </c>
      <c r="D3265" s="51">
        <v>141868.95</v>
      </c>
      <c r="E3265" s="51" t="str">
        <f t="shared" si="1"/>
        <v>₹1,702,427.40</v>
      </c>
      <c r="F3265" s="52" t="str">
        <f t="shared" si="2"/>
        <v>30.0%</v>
      </c>
      <c r="G3265" s="51" t="str">
        <f t="shared" si="3"/>
        <v>₹510,728.22</v>
      </c>
      <c r="H3265" s="51" t="str">
        <f t="shared" si="4"/>
        <v>₹42,560.69</v>
      </c>
      <c r="I3265" s="51" t="str">
        <f>123288.58-H3265</f>
        <v>₹80,727.90</v>
      </c>
    </row>
    <row r="3266" ht="15.75" customHeight="1">
      <c r="A3266" s="53" t="s">
        <v>3345</v>
      </c>
      <c r="B3266" s="53" t="s">
        <v>25</v>
      </c>
      <c r="C3266" s="53" t="s">
        <v>54</v>
      </c>
      <c r="D3266" s="54">
        <v>141892.12</v>
      </c>
      <c r="E3266" s="54" t="str">
        <f t="shared" si="1"/>
        <v>₹1,702,705.44</v>
      </c>
      <c r="F3266" s="55" t="str">
        <f t="shared" si="2"/>
        <v>30.0%</v>
      </c>
      <c r="G3266" s="54" t="str">
        <f t="shared" si="3"/>
        <v>₹510,811.63</v>
      </c>
      <c r="H3266" s="54" t="str">
        <f t="shared" si="4"/>
        <v>₹42,567.64</v>
      </c>
      <c r="I3266" s="54" t="str">
        <f>123308.36-H3266</f>
        <v>₹80,740.72</v>
      </c>
    </row>
    <row r="3267" ht="15.75" customHeight="1">
      <c r="A3267" s="50" t="s">
        <v>3346</v>
      </c>
      <c r="B3267" s="50" t="s">
        <v>25</v>
      </c>
      <c r="C3267" s="50" t="s">
        <v>37</v>
      </c>
      <c r="D3267" s="51">
        <v>141915.3</v>
      </c>
      <c r="E3267" s="51" t="str">
        <f t="shared" si="1"/>
        <v>₹1,702,983.60</v>
      </c>
      <c r="F3267" s="52" t="str">
        <f t="shared" si="2"/>
        <v>30.0%</v>
      </c>
      <c r="G3267" s="51" t="str">
        <f t="shared" si="3"/>
        <v>₹510,895.08</v>
      </c>
      <c r="H3267" s="51" t="str">
        <f t="shared" si="4"/>
        <v>₹42,574.59</v>
      </c>
      <c r="I3267" s="51" t="str">
        <f>123328.14-H3267</f>
        <v>₹80,753.55</v>
      </c>
    </row>
    <row r="3268" ht="15.75" customHeight="1">
      <c r="A3268" s="53" t="s">
        <v>3347</v>
      </c>
      <c r="B3268" s="53" t="s">
        <v>53</v>
      </c>
      <c r="C3268" s="53" t="s">
        <v>54</v>
      </c>
      <c r="D3268" s="54">
        <v>141938.48</v>
      </c>
      <c r="E3268" s="54" t="str">
        <f t="shared" si="1"/>
        <v>₹1,703,261.76</v>
      </c>
      <c r="F3268" s="55" t="str">
        <f t="shared" si="2"/>
        <v>30.0%</v>
      </c>
      <c r="G3268" s="54" t="str">
        <f t="shared" si="3"/>
        <v>₹510,978.53</v>
      </c>
      <c r="H3268" s="54" t="str">
        <f t="shared" si="4"/>
        <v>₹42,581.54</v>
      </c>
      <c r="I3268" s="54" t="str">
        <f>123347.92-H3268</f>
        <v>₹80,766.38</v>
      </c>
    </row>
    <row r="3269" ht="15.75" customHeight="1">
      <c r="A3269" s="50" t="s">
        <v>3348</v>
      </c>
      <c r="B3269" s="50" t="s">
        <v>13</v>
      </c>
      <c r="C3269" s="50" t="s">
        <v>54</v>
      </c>
      <c r="D3269" s="51">
        <v>141961.66</v>
      </c>
      <c r="E3269" s="51" t="str">
        <f t="shared" si="1"/>
        <v>₹1,703,539.92</v>
      </c>
      <c r="F3269" s="52" t="str">
        <f t="shared" si="2"/>
        <v>30.0%</v>
      </c>
      <c r="G3269" s="51" t="str">
        <f t="shared" si="3"/>
        <v>₹511,061.98</v>
      </c>
      <c r="H3269" s="51" t="str">
        <f t="shared" si="4"/>
        <v>₹42,588.50</v>
      </c>
      <c r="I3269" s="51" t="str">
        <f>123367.7-H3269</f>
        <v>₹80,779.20</v>
      </c>
    </row>
    <row r="3270" ht="15.75" customHeight="1">
      <c r="A3270" s="53" t="s">
        <v>3349</v>
      </c>
      <c r="B3270" s="53" t="s">
        <v>13</v>
      </c>
      <c r="C3270" s="53" t="s">
        <v>37</v>
      </c>
      <c r="D3270" s="54">
        <v>141984.83</v>
      </c>
      <c r="E3270" s="54" t="str">
        <f t="shared" si="1"/>
        <v>₹1,703,817.96</v>
      </c>
      <c r="F3270" s="55" t="str">
        <f t="shared" si="2"/>
        <v>30.0%</v>
      </c>
      <c r="G3270" s="54" t="str">
        <f t="shared" si="3"/>
        <v>₹511,145.39</v>
      </c>
      <c r="H3270" s="54" t="str">
        <f t="shared" si="4"/>
        <v>₹42,595.45</v>
      </c>
      <c r="I3270" s="54" t="str">
        <f>123387.48-H3270</f>
        <v>₹80,792.03</v>
      </c>
    </row>
    <row r="3271" ht="15.75" customHeight="1">
      <c r="A3271" s="50" t="s">
        <v>3350</v>
      </c>
      <c r="B3271" s="50" t="s">
        <v>53</v>
      </c>
      <c r="C3271" s="50" t="s">
        <v>30</v>
      </c>
      <c r="D3271" s="51">
        <v>142008.01</v>
      </c>
      <c r="E3271" s="51" t="str">
        <f t="shared" si="1"/>
        <v>₹1,704,096.12</v>
      </c>
      <c r="F3271" s="52" t="str">
        <f t="shared" si="2"/>
        <v>30.0%</v>
      </c>
      <c r="G3271" s="51" t="str">
        <f t="shared" si="3"/>
        <v>₹511,228.84</v>
      </c>
      <c r="H3271" s="51" t="str">
        <f t="shared" si="4"/>
        <v>₹42,602.40</v>
      </c>
      <c r="I3271" s="51" t="str">
        <f>123407.26-H3271</f>
        <v>₹80,804.86</v>
      </c>
    </row>
    <row r="3272" ht="15.75" customHeight="1">
      <c r="A3272" s="53" t="s">
        <v>3351</v>
      </c>
      <c r="B3272" s="53" t="s">
        <v>29</v>
      </c>
      <c r="C3272" s="53" t="s">
        <v>30</v>
      </c>
      <c r="D3272" s="54">
        <v>142031.19</v>
      </c>
      <c r="E3272" s="54" t="str">
        <f t="shared" si="1"/>
        <v>₹1,704,374.28</v>
      </c>
      <c r="F3272" s="55" t="str">
        <f t="shared" si="2"/>
        <v>30.0%</v>
      </c>
      <c r="G3272" s="54" t="str">
        <f t="shared" si="3"/>
        <v>₹511,312.28</v>
      </c>
      <c r="H3272" s="54" t="str">
        <f t="shared" si="4"/>
        <v>₹42,609.36</v>
      </c>
      <c r="I3272" s="54" t="str">
        <f>123427.04-H3272</f>
        <v>₹80,817.68</v>
      </c>
    </row>
    <row r="3273" ht="15.75" customHeight="1">
      <c r="A3273" s="50" t="s">
        <v>3352</v>
      </c>
      <c r="B3273" s="50" t="s">
        <v>36</v>
      </c>
      <c r="C3273" s="50" t="s">
        <v>30</v>
      </c>
      <c r="D3273" s="51">
        <v>142054.37</v>
      </c>
      <c r="E3273" s="51" t="str">
        <f t="shared" si="1"/>
        <v>₹1,704,652.44</v>
      </c>
      <c r="F3273" s="52" t="str">
        <f t="shared" si="2"/>
        <v>30.0%</v>
      </c>
      <c r="G3273" s="51" t="str">
        <f t="shared" si="3"/>
        <v>₹511,395.73</v>
      </c>
      <c r="H3273" s="51" t="str">
        <f t="shared" si="4"/>
        <v>₹42,616.31</v>
      </c>
      <c r="I3273" s="51" t="str">
        <f>123446.82-H3273</f>
        <v>₹80,830.51</v>
      </c>
    </row>
    <row r="3274" ht="15.75" customHeight="1">
      <c r="A3274" s="53" t="s">
        <v>3353</v>
      </c>
      <c r="B3274" s="53" t="s">
        <v>17</v>
      </c>
      <c r="C3274" s="53" t="s">
        <v>30</v>
      </c>
      <c r="D3274" s="54">
        <v>142077.54</v>
      </c>
      <c r="E3274" s="54" t="str">
        <f t="shared" si="1"/>
        <v>₹1,704,930.48</v>
      </c>
      <c r="F3274" s="55" t="str">
        <f t="shared" si="2"/>
        <v>30.0%</v>
      </c>
      <c r="G3274" s="54" t="str">
        <f t="shared" si="3"/>
        <v>₹511,479.14</v>
      </c>
      <c r="H3274" s="54" t="str">
        <f t="shared" si="4"/>
        <v>₹42,623.26</v>
      </c>
      <c r="I3274" s="54" t="str">
        <f>123466.6-H3274</f>
        <v>₹80,843.34</v>
      </c>
    </row>
    <row r="3275" ht="15.75" customHeight="1">
      <c r="A3275" s="50" t="s">
        <v>3354</v>
      </c>
      <c r="B3275" s="50" t="s">
        <v>53</v>
      </c>
      <c r="C3275" s="50" t="s">
        <v>30</v>
      </c>
      <c r="D3275" s="51">
        <v>142100.72</v>
      </c>
      <c r="E3275" s="51" t="str">
        <f t="shared" si="1"/>
        <v>₹1,705,208.64</v>
      </c>
      <c r="F3275" s="52" t="str">
        <f t="shared" si="2"/>
        <v>30.0%</v>
      </c>
      <c r="G3275" s="51" t="str">
        <f t="shared" si="3"/>
        <v>₹511,562.59</v>
      </c>
      <c r="H3275" s="51" t="str">
        <f t="shared" si="4"/>
        <v>₹42,630.22</v>
      </c>
      <c r="I3275" s="51" t="str">
        <f>123486.38-H3275</f>
        <v>₹80,856.16</v>
      </c>
    </row>
    <row r="3276" ht="15.75" customHeight="1">
      <c r="A3276" s="53" t="s">
        <v>3355</v>
      </c>
      <c r="B3276" s="53" t="s">
        <v>51</v>
      </c>
      <c r="C3276" s="53" t="s">
        <v>30</v>
      </c>
      <c r="D3276" s="54">
        <v>142123.9</v>
      </c>
      <c r="E3276" s="54" t="str">
        <f t="shared" si="1"/>
        <v>₹1,705,486.80</v>
      </c>
      <c r="F3276" s="55" t="str">
        <f t="shared" si="2"/>
        <v>30.0%</v>
      </c>
      <c r="G3276" s="54" t="str">
        <f t="shared" si="3"/>
        <v>₹511,646.04</v>
      </c>
      <c r="H3276" s="54" t="str">
        <f t="shared" si="4"/>
        <v>₹42,637.17</v>
      </c>
      <c r="I3276" s="54" t="str">
        <f>123506.16-H3276</f>
        <v>₹80,868.99</v>
      </c>
    </row>
    <row r="3277" ht="15.75" customHeight="1">
      <c r="A3277" s="50" t="s">
        <v>3356</v>
      </c>
      <c r="B3277" s="50" t="s">
        <v>51</v>
      </c>
      <c r="C3277" s="50" t="s">
        <v>37</v>
      </c>
      <c r="D3277" s="51">
        <v>142147.08</v>
      </c>
      <c r="E3277" s="51" t="str">
        <f t="shared" si="1"/>
        <v>₹1,705,764.96</v>
      </c>
      <c r="F3277" s="52" t="str">
        <f t="shared" si="2"/>
        <v>30.0%</v>
      </c>
      <c r="G3277" s="51" t="str">
        <f t="shared" si="3"/>
        <v>₹511,729.49</v>
      </c>
      <c r="H3277" s="51" t="str">
        <f t="shared" si="4"/>
        <v>₹42,644.12</v>
      </c>
      <c r="I3277" s="51" t="str">
        <f>123525.94-H3277</f>
        <v>₹80,881.82</v>
      </c>
    </row>
    <row r="3278" ht="15.75" customHeight="1">
      <c r="A3278" s="53" t="s">
        <v>3357</v>
      </c>
      <c r="B3278" s="53" t="s">
        <v>17</v>
      </c>
      <c r="C3278" s="53" t="s">
        <v>54</v>
      </c>
      <c r="D3278" s="54">
        <v>142170.26</v>
      </c>
      <c r="E3278" s="54" t="str">
        <f t="shared" si="1"/>
        <v>₹1,706,043.12</v>
      </c>
      <c r="F3278" s="55" t="str">
        <f t="shared" si="2"/>
        <v>30.0%</v>
      </c>
      <c r="G3278" s="54" t="str">
        <f t="shared" si="3"/>
        <v>₹511,812.94</v>
      </c>
      <c r="H3278" s="54" t="str">
        <f t="shared" si="4"/>
        <v>₹42,651.08</v>
      </c>
      <c r="I3278" s="54" t="str">
        <f>123545.73-H3278</f>
        <v>₹80,894.65</v>
      </c>
    </row>
    <row r="3279" ht="15.75" customHeight="1">
      <c r="A3279" s="50" t="s">
        <v>3358</v>
      </c>
      <c r="B3279" s="50" t="s">
        <v>13</v>
      </c>
      <c r="C3279" s="50" t="s">
        <v>14</v>
      </c>
      <c r="D3279" s="51">
        <v>142193.43</v>
      </c>
      <c r="E3279" s="51" t="str">
        <f t="shared" si="1"/>
        <v>₹1,706,321.16</v>
      </c>
      <c r="F3279" s="52" t="str">
        <f t="shared" si="2"/>
        <v>30.0%</v>
      </c>
      <c r="G3279" s="51" t="str">
        <f t="shared" si="3"/>
        <v>₹511,896.35</v>
      </c>
      <c r="H3279" s="51" t="str">
        <f t="shared" si="4"/>
        <v>₹42,658.03</v>
      </c>
      <c r="I3279" s="51" t="str">
        <f>123565.5-H3279</f>
        <v>₹80,907.47</v>
      </c>
    </row>
    <row r="3280" ht="15.75" customHeight="1">
      <c r="A3280" s="53" t="s">
        <v>3359</v>
      </c>
      <c r="B3280" s="53" t="s">
        <v>53</v>
      </c>
      <c r="C3280" s="53" t="s">
        <v>30</v>
      </c>
      <c r="D3280" s="54">
        <v>142216.61</v>
      </c>
      <c r="E3280" s="54" t="str">
        <f t="shared" si="1"/>
        <v>₹1,706,599.32</v>
      </c>
      <c r="F3280" s="55" t="str">
        <f t="shared" si="2"/>
        <v>30.0%</v>
      </c>
      <c r="G3280" s="54" t="str">
        <f t="shared" si="3"/>
        <v>₹511,979.80</v>
      </c>
      <c r="H3280" s="54" t="str">
        <f t="shared" si="4"/>
        <v>₹42,664.98</v>
      </c>
      <c r="I3280" s="54" t="str">
        <f>123585.28-H3280</f>
        <v>₹80,920.30</v>
      </c>
    </row>
    <row r="3281" ht="15.75" customHeight="1">
      <c r="A3281" s="50" t="s">
        <v>3360</v>
      </c>
      <c r="B3281" s="50" t="s">
        <v>29</v>
      </c>
      <c r="C3281" s="50" t="s">
        <v>18</v>
      </c>
      <c r="D3281" s="51">
        <v>142239.79</v>
      </c>
      <c r="E3281" s="51" t="str">
        <f t="shared" si="1"/>
        <v>₹1,706,877.48</v>
      </c>
      <c r="F3281" s="52" t="str">
        <f t="shared" si="2"/>
        <v>30.0%</v>
      </c>
      <c r="G3281" s="51" t="str">
        <f t="shared" si="3"/>
        <v>₹512,063.24</v>
      </c>
      <c r="H3281" s="51" t="str">
        <f t="shared" si="4"/>
        <v>₹42,671.94</v>
      </c>
      <c r="I3281" s="51" t="str">
        <f>123605.06-H3281</f>
        <v>₹80,933.12</v>
      </c>
    </row>
    <row r="3282" ht="15.75" customHeight="1">
      <c r="A3282" s="53" t="s">
        <v>3361</v>
      </c>
      <c r="B3282" s="53" t="s">
        <v>36</v>
      </c>
      <c r="C3282" s="53" t="s">
        <v>37</v>
      </c>
      <c r="D3282" s="54">
        <v>142262.97</v>
      </c>
      <c r="E3282" s="54" t="str">
        <f t="shared" si="1"/>
        <v>₹1,707,155.64</v>
      </c>
      <c r="F3282" s="55" t="str">
        <f t="shared" si="2"/>
        <v>30.0%</v>
      </c>
      <c r="G3282" s="54" t="str">
        <f t="shared" si="3"/>
        <v>₹512,146.69</v>
      </c>
      <c r="H3282" s="54" t="str">
        <f t="shared" si="4"/>
        <v>₹42,678.89</v>
      </c>
      <c r="I3282" s="54" t="str">
        <f>128068.61-H3282</f>
        <v>₹85,389.72</v>
      </c>
    </row>
    <row r="3283" ht="15.75" customHeight="1">
      <c r="A3283" s="50" t="s">
        <v>3362</v>
      </c>
      <c r="B3283" s="50" t="s">
        <v>25</v>
      </c>
      <c r="C3283" s="50" t="s">
        <v>18</v>
      </c>
      <c r="D3283" s="51">
        <v>142286.14</v>
      </c>
      <c r="E3283" s="51" t="str">
        <f t="shared" si="1"/>
        <v>₹1,707,433.68</v>
      </c>
      <c r="F3283" s="52" t="str">
        <f t="shared" si="2"/>
        <v>30.0%</v>
      </c>
      <c r="G3283" s="51" t="str">
        <f t="shared" si="3"/>
        <v>₹512,230.10</v>
      </c>
      <c r="H3283" s="51" t="str">
        <f t="shared" si="4"/>
        <v>₹42,685.84</v>
      </c>
      <c r="I3283" s="51" t="str">
        <f>123644.62-H3283</f>
        <v>₹80,958.78</v>
      </c>
    </row>
    <row r="3284" ht="15.75" customHeight="1">
      <c r="A3284" s="53" t="s">
        <v>3363</v>
      </c>
      <c r="B3284" s="53" t="s">
        <v>13</v>
      </c>
      <c r="C3284" s="53" t="s">
        <v>33</v>
      </c>
      <c r="D3284" s="54">
        <v>142309.32</v>
      </c>
      <c r="E3284" s="54" t="str">
        <f t="shared" si="1"/>
        <v>₹1,707,711.84</v>
      </c>
      <c r="F3284" s="55" t="str">
        <f t="shared" si="2"/>
        <v>30.0%</v>
      </c>
      <c r="G3284" s="54" t="str">
        <f t="shared" si="3"/>
        <v>₹512,313.55</v>
      </c>
      <c r="H3284" s="54" t="str">
        <f t="shared" si="4"/>
        <v>₹42,692.80</v>
      </c>
      <c r="I3284" s="54" t="str">
        <f>123664.4-H3284</f>
        <v>₹80,971.60</v>
      </c>
    </row>
    <row r="3285" ht="15.75" customHeight="1">
      <c r="A3285" s="50" t="s">
        <v>3364</v>
      </c>
      <c r="B3285" s="50" t="s">
        <v>36</v>
      </c>
      <c r="C3285" s="50" t="s">
        <v>33</v>
      </c>
      <c r="D3285" s="51">
        <v>142332.5</v>
      </c>
      <c r="E3285" s="51" t="str">
        <f t="shared" si="1"/>
        <v>₹1,707,990.00</v>
      </c>
      <c r="F3285" s="52" t="str">
        <f t="shared" si="2"/>
        <v>30.0%</v>
      </c>
      <c r="G3285" s="51" t="str">
        <f t="shared" si="3"/>
        <v>₹512,397.00</v>
      </c>
      <c r="H3285" s="51" t="str">
        <f t="shared" si="4"/>
        <v>₹42,699.75</v>
      </c>
      <c r="I3285" s="51" t="str">
        <f>123684.18-H3285</f>
        <v>₹80,984.43</v>
      </c>
    </row>
    <row r="3286" ht="15.75" customHeight="1">
      <c r="A3286" s="53" t="s">
        <v>3365</v>
      </c>
      <c r="B3286" s="53" t="s">
        <v>29</v>
      </c>
      <c r="C3286" s="53" t="s">
        <v>14</v>
      </c>
      <c r="D3286" s="54">
        <v>142355.68</v>
      </c>
      <c r="E3286" s="54" t="str">
        <f t="shared" si="1"/>
        <v>₹1,708,268.16</v>
      </c>
      <c r="F3286" s="55" t="str">
        <f t="shared" si="2"/>
        <v>30.0%</v>
      </c>
      <c r="G3286" s="54" t="str">
        <f t="shared" si="3"/>
        <v>₹512,480.45</v>
      </c>
      <c r="H3286" s="54" t="str">
        <f t="shared" si="4"/>
        <v>₹42,706.70</v>
      </c>
      <c r="I3286" s="54" t="str">
        <f>123703.97-H3286</f>
        <v>₹80,997.27</v>
      </c>
    </row>
    <row r="3287" ht="15.75" customHeight="1">
      <c r="A3287" s="50" t="s">
        <v>3366</v>
      </c>
      <c r="B3287" s="50" t="s">
        <v>51</v>
      </c>
      <c r="C3287" s="50" t="s">
        <v>37</v>
      </c>
      <c r="D3287" s="51">
        <v>142378.85</v>
      </c>
      <c r="E3287" s="51" t="str">
        <f t="shared" si="1"/>
        <v>₹1,708,546.20</v>
      </c>
      <c r="F3287" s="52" t="str">
        <f t="shared" si="2"/>
        <v>30.0%</v>
      </c>
      <c r="G3287" s="51" t="str">
        <f t="shared" si="3"/>
        <v>₹512,563.86</v>
      </c>
      <c r="H3287" s="51" t="str">
        <f t="shared" si="4"/>
        <v>₹42,713.66</v>
      </c>
      <c r="I3287" s="51" t="str">
        <f>123723.74-H3287</f>
        <v>₹81,010.09</v>
      </c>
    </row>
    <row r="3288" ht="15.75" customHeight="1">
      <c r="A3288" s="53" t="s">
        <v>3367</v>
      </c>
      <c r="B3288" s="53" t="s">
        <v>53</v>
      </c>
      <c r="C3288" s="53" t="s">
        <v>14</v>
      </c>
      <c r="D3288" s="54">
        <v>142402.03</v>
      </c>
      <c r="E3288" s="54" t="str">
        <f t="shared" si="1"/>
        <v>₹1,708,824.36</v>
      </c>
      <c r="F3288" s="55" t="str">
        <f t="shared" si="2"/>
        <v>30.0%</v>
      </c>
      <c r="G3288" s="54" t="str">
        <f t="shared" si="3"/>
        <v>₹512,647.31</v>
      </c>
      <c r="H3288" s="54" t="str">
        <f t="shared" si="4"/>
        <v>₹42,720.61</v>
      </c>
      <c r="I3288" s="54" t="str">
        <f>123743.52-H3288</f>
        <v>₹81,022.91</v>
      </c>
    </row>
    <row r="3289" ht="15.75" customHeight="1">
      <c r="A3289" s="50" t="s">
        <v>3368</v>
      </c>
      <c r="B3289" s="50" t="s">
        <v>29</v>
      </c>
      <c r="C3289" s="50" t="s">
        <v>26</v>
      </c>
      <c r="D3289" s="51">
        <v>142425.21</v>
      </c>
      <c r="E3289" s="51" t="str">
        <f t="shared" si="1"/>
        <v>₹1,709,102.52</v>
      </c>
      <c r="F3289" s="52" t="str">
        <f t="shared" si="2"/>
        <v>30.0%</v>
      </c>
      <c r="G3289" s="51" t="str">
        <f t="shared" si="3"/>
        <v>₹512,730.76</v>
      </c>
      <c r="H3289" s="51" t="str">
        <f t="shared" si="4"/>
        <v>₹42,727.56</v>
      </c>
      <c r="I3289" s="51" t="str">
        <f>123763.3-H3289</f>
        <v>₹81,035.74</v>
      </c>
    </row>
    <row r="3290" ht="15.75" customHeight="1">
      <c r="A3290" s="53" t="s">
        <v>3369</v>
      </c>
      <c r="B3290" s="53" t="s">
        <v>13</v>
      </c>
      <c r="C3290" s="53" t="s">
        <v>18</v>
      </c>
      <c r="D3290" s="54">
        <v>142448.39</v>
      </c>
      <c r="E3290" s="54" t="str">
        <f t="shared" si="1"/>
        <v>₹1,709,380.68</v>
      </c>
      <c r="F3290" s="55" t="str">
        <f t="shared" si="2"/>
        <v>30.0%</v>
      </c>
      <c r="G3290" s="54" t="str">
        <f t="shared" si="3"/>
        <v>₹512,814.20</v>
      </c>
      <c r="H3290" s="54" t="str">
        <f t="shared" si="4"/>
        <v>₹42,734.52</v>
      </c>
      <c r="I3290" s="54" t="str">
        <f>123783.09-H3290</f>
        <v>₹81,048.57</v>
      </c>
    </row>
    <row r="3291" ht="15.75" customHeight="1">
      <c r="A3291" s="50" t="s">
        <v>3370</v>
      </c>
      <c r="B3291" s="50" t="s">
        <v>51</v>
      </c>
      <c r="C3291" s="50" t="s">
        <v>30</v>
      </c>
      <c r="D3291" s="51">
        <v>142471.57</v>
      </c>
      <c r="E3291" s="51" t="str">
        <f t="shared" si="1"/>
        <v>₹1,709,658.84</v>
      </c>
      <c r="F3291" s="52" t="str">
        <f t="shared" si="2"/>
        <v>30.0%</v>
      </c>
      <c r="G3291" s="51" t="str">
        <f t="shared" si="3"/>
        <v>₹512,897.65</v>
      </c>
      <c r="H3291" s="51" t="str">
        <f t="shared" si="4"/>
        <v>₹42,741.47</v>
      </c>
      <c r="I3291" s="51" t="str">
        <f>123802.87-H3291</f>
        <v>₹81,061.40</v>
      </c>
    </row>
    <row r="3292" ht="15.75" customHeight="1">
      <c r="A3292" s="53" t="s">
        <v>3371</v>
      </c>
      <c r="B3292" s="53" t="s">
        <v>25</v>
      </c>
      <c r="C3292" s="53" t="s">
        <v>14</v>
      </c>
      <c r="D3292" s="54">
        <v>142494.74</v>
      </c>
      <c r="E3292" s="54" t="str">
        <f t="shared" si="1"/>
        <v>₹1,709,936.88</v>
      </c>
      <c r="F3292" s="55" t="str">
        <f t="shared" si="2"/>
        <v>30.0%</v>
      </c>
      <c r="G3292" s="54" t="str">
        <f t="shared" si="3"/>
        <v>₹512,981.06</v>
      </c>
      <c r="H3292" s="54" t="str">
        <f t="shared" si="4"/>
        <v>₹42,748.42</v>
      </c>
      <c r="I3292" s="54" t="str">
        <f>123822.64-H3292</f>
        <v>₹81,074.22</v>
      </c>
    </row>
    <row r="3293" ht="15.75" customHeight="1">
      <c r="A3293" s="50" t="s">
        <v>3372</v>
      </c>
      <c r="B3293" s="50" t="s">
        <v>29</v>
      </c>
      <c r="C3293" s="50" t="s">
        <v>54</v>
      </c>
      <c r="D3293" s="51">
        <v>142541.1</v>
      </c>
      <c r="E3293" s="51" t="str">
        <f t="shared" si="1"/>
        <v>₹1,710,493.20</v>
      </c>
      <c r="F3293" s="52" t="str">
        <f t="shared" si="2"/>
        <v>30.0%</v>
      </c>
      <c r="G3293" s="51" t="str">
        <f t="shared" si="3"/>
        <v>₹513,147.96</v>
      </c>
      <c r="H3293" s="51" t="str">
        <f t="shared" si="4"/>
        <v>₹42,762.33</v>
      </c>
      <c r="I3293" s="51" t="str">
        <f>123862.21-H3293</f>
        <v>₹81,099.88</v>
      </c>
    </row>
    <row r="3294" ht="15.75" customHeight="1">
      <c r="A3294" s="53" t="s">
        <v>3373</v>
      </c>
      <c r="B3294" s="53" t="s">
        <v>51</v>
      </c>
      <c r="C3294" s="53" t="s">
        <v>30</v>
      </c>
      <c r="D3294" s="54">
        <v>142564.28</v>
      </c>
      <c r="E3294" s="54" t="str">
        <f t="shared" si="1"/>
        <v>₹1,710,771.36</v>
      </c>
      <c r="F3294" s="55" t="str">
        <f t="shared" si="2"/>
        <v>30.0%</v>
      </c>
      <c r="G3294" s="54" t="str">
        <f t="shared" si="3"/>
        <v>₹513,231.41</v>
      </c>
      <c r="H3294" s="54" t="str">
        <f t="shared" si="4"/>
        <v>₹42,769.28</v>
      </c>
      <c r="I3294" s="54" t="str">
        <f>123881.99-H3294</f>
        <v>₹81,112.71</v>
      </c>
    </row>
    <row r="3295" ht="15.75" customHeight="1">
      <c r="A3295" s="50" t="s">
        <v>3374</v>
      </c>
      <c r="B3295" s="50" t="s">
        <v>25</v>
      </c>
      <c r="C3295" s="50" t="s">
        <v>26</v>
      </c>
      <c r="D3295" s="51">
        <v>142587.45</v>
      </c>
      <c r="E3295" s="51" t="str">
        <f t="shared" si="1"/>
        <v>₹1,711,049.40</v>
      </c>
      <c r="F3295" s="52" t="str">
        <f t="shared" si="2"/>
        <v>30.0%</v>
      </c>
      <c r="G3295" s="51" t="str">
        <f t="shared" si="3"/>
        <v>₹513,314.82</v>
      </c>
      <c r="H3295" s="51" t="str">
        <f t="shared" si="4"/>
        <v>₹42,776.24</v>
      </c>
      <c r="I3295" s="51" t="str">
        <f>123901.76-H3295</f>
        <v>₹81,125.53</v>
      </c>
    </row>
    <row r="3296" ht="15.75" customHeight="1">
      <c r="A3296" s="53" t="s">
        <v>3375</v>
      </c>
      <c r="B3296" s="53" t="s">
        <v>51</v>
      </c>
      <c r="C3296" s="53" t="s">
        <v>37</v>
      </c>
      <c r="D3296" s="54">
        <v>142610.63</v>
      </c>
      <c r="E3296" s="54" t="str">
        <f t="shared" si="1"/>
        <v>₹1,711,327.56</v>
      </c>
      <c r="F3296" s="55" t="str">
        <f t="shared" si="2"/>
        <v>30.0%</v>
      </c>
      <c r="G3296" s="54" t="str">
        <f t="shared" si="3"/>
        <v>₹513,398.27</v>
      </c>
      <c r="H3296" s="54" t="str">
        <f t="shared" si="4"/>
        <v>₹42,783.19</v>
      </c>
      <c r="I3296" s="54" t="str">
        <f>123921.54-H3296</f>
        <v>₹81,138.35</v>
      </c>
    </row>
    <row r="3297" ht="15.75" customHeight="1">
      <c r="A3297" s="50" t="s">
        <v>3376</v>
      </c>
      <c r="B3297" s="50" t="s">
        <v>36</v>
      </c>
      <c r="C3297" s="50" t="s">
        <v>54</v>
      </c>
      <c r="D3297" s="51">
        <v>142633.81</v>
      </c>
      <c r="E3297" s="51" t="str">
        <f t="shared" si="1"/>
        <v>₹1,711,605.72</v>
      </c>
      <c r="F3297" s="52" t="str">
        <f t="shared" si="2"/>
        <v>30.0%</v>
      </c>
      <c r="G3297" s="51" t="str">
        <f t="shared" si="3"/>
        <v>₹513,481.72</v>
      </c>
      <c r="H3297" s="51" t="str">
        <f t="shared" si="4"/>
        <v>₹42,790.14</v>
      </c>
      <c r="I3297" s="51" t="str">
        <f>123941.33-H3297</f>
        <v>₹81,151.19</v>
      </c>
    </row>
    <row r="3298" ht="15.75" customHeight="1">
      <c r="A3298" s="53" t="s">
        <v>3377</v>
      </c>
      <c r="B3298" s="53" t="s">
        <v>36</v>
      </c>
      <c r="C3298" s="53" t="s">
        <v>26</v>
      </c>
      <c r="D3298" s="54">
        <v>142656.99</v>
      </c>
      <c r="E3298" s="54" t="str">
        <f t="shared" si="1"/>
        <v>₹1,711,883.88</v>
      </c>
      <c r="F3298" s="55" t="str">
        <f t="shared" si="2"/>
        <v>30.0%</v>
      </c>
      <c r="G3298" s="54" t="str">
        <f t="shared" si="3"/>
        <v>₹513,565.16</v>
      </c>
      <c r="H3298" s="54" t="str">
        <f t="shared" si="4"/>
        <v>₹42,797.10</v>
      </c>
      <c r="I3298" s="54" t="str">
        <f>123961.11-H3298</f>
        <v>₹81,164.01</v>
      </c>
    </row>
    <row r="3299" ht="15.75" customHeight="1">
      <c r="A3299" s="50" t="s">
        <v>3378</v>
      </c>
      <c r="B3299" s="50" t="s">
        <v>13</v>
      </c>
      <c r="C3299" s="50" t="s">
        <v>26</v>
      </c>
      <c r="D3299" s="51">
        <v>142680.16</v>
      </c>
      <c r="E3299" s="51" t="str">
        <f t="shared" si="1"/>
        <v>₹1,712,161.92</v>
      </c>
      <c r="F3299" s="52" t="str">
        <f t="shared" si="2"/>
        <v>30.0%</v>
      </c>
      <c r="G3299" s="51" t="str">
        <f t="shared" si="3"/>
        <v>₹513,648.58</v>
      </c>
      <c r="H3299" s="51" t="str">
        <f t="shared" si="4"/>
        <v>₹42,804.05</v>
      </c>
      <c r="I3299" s="51" t="str">
        <f>123980.88-H3299</f>
        <v>₹81,176.83</v>
      </c>
    </row>
    <row r="3300" ht="15.75" customHeight="1">
      <c r="A3300" s="53" t="s">
        <v>3379</v>
      </c>
      <c r="B3300" s="53" t="s">
        <v>29</v>
      </c>
      <c r="C3300" s="53" t="s">
        <v>18</v>
      </c>
      <c r="D3300" s="54">
        <v>142703.34</v>
      </c>
      <c r="E3300" s="54" t="str">
        <f t="shared" si="1"/>
        <v>₹1,712,440.08</v>
      </c>
      <c r="F3300" s="55" t="str">
        <f t="shared" si="2"/>
        <v>30.0%</v>
      </c>
      <c r="G3300" s="54" t="str">
        <f t="shared" si="3"/>
        <v>₹513,732.02</v>
      </c>
      <c r="H3300" s="54" t="str">
        <f t="shared" si="4"/>
        <v>₹42,811.00</v>
      </c>
      <c r="I3300" s="54" t="str">
        <f>124000.66-H3300</f>
        <v>₹81,189.66</v>
      </c>
    </row>
    <row r="3301" ht="15.75" customHeight="1">
      <c r="A3301" s="50" t="s">
        <v>3380</v>
      </c>
      <c r="B3301" s="50" t="s">
        <v>53</v>
      </c>
      <c r="C3301" s="50" t="s">
        <v>37</v>
      </c>
      <c r="D3301" s="51">
        <v>142726.52</v>
      </c>
      <c r="E3301" s="51" t="str">
        <f t="shared" si="1"/>
        <v>₹1,712,718.24</v>
      </c>
      <c r="F3301" s="52" t="str">
        <f t="shared" si="2"/>
        <v>30.0%</v>
      </c>
      <c r="G3301" s="51" t="str">
        <f t="shared" si="3"/>
        <v>₹513,815.47</v>
      </c>
      <c r="H3301" s="51" t="str">
        <f t="shared" si="4"/>
        <v>₹42,817.96</v>
      </c>
      <c r="I3301" s="51" t="str">
        <f>124020.45-H3301</f>
        <v>₹81,202.49</v>
      </c>
    </row>
    <row r="3302" ht="15.75" customHeight="1">
      <c r="A3302" s="53" t="s">
        <v>3381</v>
      </c>
      <c r="B3302" s="53" t="s">
        <v>17</v>
      </c>
      <c r="C3302" s="53" t="s">
        <v>37</v>
      </c>
      <c r="D3302" s="54">
        <v>142749.7</v>
      </c>
      <c r="E3302" s="54" t="str">
        <f t="shared" si="1"/>
        <v>₹1,712,996.40</v>
      </c>
      <c r="F3302" s="55" t="str">
        <f t="shared" si="2"/>
        <v>30.0%</v>
      </c>
      <c r="G3302" s="54" t="str">
        <f t="shared" si="3"/>
        <v>₹513,898.92</v>
      </c>
      <c r="H3302" s="54" t="str">
        <f t="shared" si="4"/>
        <v>₹42,824.91</v>
      </c>
      <c r="I3302" s="54" t="str">
        <f>124040.23-H3302</f>
        <v>₹81,215.32</v>
      </c>
    </row>
    <row r="3303" ht="15.75" customHeight="1">
      <c r="A3303" s="50" t="s">
        <v>3382</v>
      </c>
      <c r="B3303" s="50" t="s">
        <v>29</v>
      </c>
      <c r="C3303" s="50" t="s">
        <v>14</v>
      </c>
      <c r="D3303" s="51">
        <v>142772.88</v>
      </c>
      <c r="E3303" s="51" t="str">
        <f t="shared" si="1"/>
        <v>₹1,713,274.56</v>
      </c>
      <c r="F3303" s="52" t="str">
        <f t="shared" si="2"/>
        <v>30.0%</v>
      </c>
      <c r="G3303" s="51" t="str">
        <f t="shared" si="3"/>
        <v>₹513,982.37</v>
      </c>
      <c r="H3303" s="51" t="str">
        <f t="shared" si="4"/>
        <v>₹42,831.86</v>
      </c>
      <c r="I3303" s="51" t="str">
        <f>124060.01-H3303</f>
        <v>₹81,228.15</v>
      </c>
    </row>
    <row r="3304" ht="15.75" customHeight="1">
      <c r="A3304" s="53" t="s">
        <v>3383</v>
      </c>
      <c r="B3304" s="53" t="s">
        <v>51</v>
      </c>
      <c r="C3304" s="53" t="s">
        <v>18</v>
      </c>
      <c r="D3304" s="54">
        <v>142796.05</v>
      </c>
      <c r="E3304" s="54" t="str">
        <f t="shared" si="1"/>
        <v>₹1,713,552.60</v>
      </c>
      <c r="F3304" s="55" t="str">
        <f t="shared" si="2"/>
        <v>30.0%</v>
      </c>
      <c r="G3304" s="54" t="str">
        <f t="shared" si="3"/>
        <v>₹514,065.78</v>
      </c>
      <c r="H3304" s="54" t="str">
        <f t="shared" si="4"/>
        <v>₹42,838.82</v>
      </c>
      <c r="I3304" s="54" t="str">
        <f>124079.78-H3304</f>
        <v>₹81,240.97</v>
      </c>
    </row>
    <row r="3305" ht="15.75" customHeight="1">
      <c r="A3305" s="50" t="s">
        <v>3384</v>
      </c>
      <c r="B3305" s="50" t="s">
        <v>13</v>
      </c>
      <c r="C3305" s="50" t="s">
        <v>33</v>
      </c>
      <c r="D3305" s="51">
        <v>142819.23</v>
      </c>
      <c r="E3305" s="51" t="str">
        <f t="shared" si="1"/>
        <v>₹1,713,830.76</v>
      </c>
      <c r="F3305" s="52" t="str">
        <f t="shared" si="2"/>
        <v>30.0%</v>
      </c>
      <c r="G3305" s="51" t="str">
        <f t="shared" si="3"/>
        <v>₹514,149.23</v>
      </c>
      <c r="H3305" s="51" t="str">
        <f t="shared" si="4"/>
        <v>₹42,845.77</v>
      </c>
      <c r="I3305" s="51" t="str">
        <f>124099.56-H3305</f>
        <v>₹81,253.79</v>
      </c>
    </row>
    <row r="3306" ht="15.75" customHeight="1">
      <c r="A3306" s="53" t="s">
        <v>3385</v>
      </c>
      <c r="B3306" s="53" t="s">
        <v>13</v>
      </c>
      <c r="C3306" s="53" t="s">
        <v>37</v>
      </c>
      <c r="D3306" s="54">
        <v>142842.41</v>
      </c>
      <c r="E3306" s="54" t="str">
        <f t="shared" si="1"/>
        <v>₹1,714,108.92</v>
      </c>
      <c r="F3306" s="55" t="str">
        <f t="shared" si="2"/>
        <v>30.0%</v>
      </c>
      <c r="G3306" s="54" t="str">
        <f t="shared" si="3"/>
        <v>₹514,232.68</v>
      </c>
      <c r="H3306" s="54" t="str">
        <f t="shared" si="4"/>
        <v>₹42,852.72</v>
      </c>
      <c r="I3306" s="54" t="str">
        <f>124119.35-H3306</f>
        <v>₹81,266.63</v>
      </c>
    </row>
    <row r="3307" ht="15.75" customHeight="1">
      <c r="A3307" s="50" t="s">
        <v>3386</v>
      </c>
      <c r="B3307" s="50" t="s">
        <v>17</v>
      </c>
      <c r="C3307" s="50" t="s">
        <v>14</v>
      </c>
      <c r="D3307" s="51">
        <v>142865.59</v>
      </c>
      <c r="E3307" s="51" t="str">
        <f t="shared" si="1"/>
        <v>₹1,714,387.08</v>
      </c>
      <c r="F3307" s="52" t="str">
        <f t="shared" si="2"/>
        <v>30.0%</v>
      </c>
      <c r="G3307" s="51" t="str">
        <f t="shared" si="3"/>
        <v>₹514,316.12</v>
      </c>
      <c r="H3307" s="51" t="str">
        <f t="shared" si="4"/>
        <v>₹42,859.68</v>
      </c>
      <c r="I3307" s="51" t="str">
        <f>124139.13-H3307</f>
        <v>₹81,279.45</v>
      </c>
    </row>
    <row r="3308" ht="15.75" customHeight="1">
      <c r="A3308" s="53" t="s">
        <v>3387</v>
      </c>
      <c r="B3308" s="53" t="s">
        <v>25</v>
      </c>
      <c r="C3308" s="53" t="s">
        <v>30</v>
      </c>
      <c r="D3308" s="54">
        <v>142888.76</v>
      </c>
      <c r="E3308" s="54" t="str">
        <f t="shared" si="1"/>
        <v>₹1,714,665.12</v>
      </c>
      <c r="F3308" s="55" t="str">
        <f t="shared" si="2"/>
        <v>30.0%</v>
      </c>
      <c r="G3308" s="54" t="str">
        <f t="shared" si="3"/>
        <v>₹514,399.54</v>
      </c>
      <c r="H3308" s="54" t="str">
        <f t="shared" si="4"/>
        <v>₹42,866.63</v>
      </c>
      <c r="I3308" s="54" t="str">
        <f>124158.9-H3308</f>
        <v>₹81,292.27</v>
      </c>
    </row>
    <row r="3309" ht="15.75" customHeight="1">
      <c r="A3309" s="50" t="s">
        <v>3388</v>
      </c>
      <c r="B3309" s="50" t="s">
        <v>51</v>
      </c>
      <c r="C3309" s="50" t="s">
        <v>33</v>
      </c>
      <c r="D3309" s="51">
        <v>142911.94</v>
      </c>
      <c r="E3309" s="51" t="str">
        <f t="shared" si="1"/>
        <v>₹1,714,943.28</v>
      </c>
      <c r="F3309" s="52" t="str">
        <f t="shared" si="2"/>
        <v>30.0%</v>
      </c>
      <c r="G3309" s="51" t="str">
        <f t="shared" si="3"/>
        <v>₹514,482.98</v>
      </c>
      <c r="H3309" s="51" t="str">
        <f t="shared" si="4"/>
        <v>₹42,873.58</v>
      </c>
      <c r="I3309" s="51" t="str">
        <f>124178.68-H3309</f>
        <v>₹81,305.10</v>
      </c>
    </row>
    <row r="3310" ht="15.75" customHeight="1">
      <c r="A3310" s="53" t="s">
        <v>3389</v>
      </c>
      <c r="B3310" s="53" t="s">
        <v>51</v>
      </c>
      <c r="C3310" s="53" t="s">
        <v>26</v>
      </c>
      <c r="D3310" s="54">
        <v>142935.12</v>
      </c>
      <c r="E3310" s="54" t="str">
        <f t="shared" si="1"/>
        <v>₹1,715,221.44</v>
      </c>
      <c r="F3310" s="55" t="str">
        <f t="shared" si="2"/>
        <v>30.0%</v>
      </c>
      <c r="G3310" s="54" t="str">
        <f t="shared" si="3"/>
        <v>₹514,566.43</v>
      </c>
      <c r="H3310" s="54" t="str">
        <f t="shared" si="4"/>
        <v>₹42,880.54</v>
      </c>
      <c r="I3310" s="54" t="str">
        <f>124198.47-H3310</f>
        <v>₹81,317.93</v>
      </c>
    </row>
    <row r="3311" ht="15.75" customHeight="1">
      <c r="A3311" s="50" t="s">
        <v>3390</v>
      </c>
      <c r="B3311" s="50" t="s">
        <v>13</v>
      </c>
      <c r="C3311" s="50" t="s">
        <v>18</v>
      </c>
      <c r="D3311" s="51">
        <v>128628.8</v>
      </c>
      <c r="E3311" s="51" t="str">
        <f t="shared" si="1"/>
        <v>₹1,543,545.60</v>
      </c>
      <c r="F3311" s="52" t="str">
        <f t="shared" si="2"/>
        <v>30.0%</v>
      </c>
      <c r="G3311" s="51" t="str">
        <f t="shared" si="3"/>
        <v>₹463,063.68</v>
      </c>
      <c r="H3311" s="51" t="str">
        <f t="shared" si="4"/>
        <v>₹38,588.64</v>
      </c>
      <c r="I3311" s="51" t="str">
        <f>109888.75-H3311</f>
        <v>₹71,300.11</v>
      </c>
    </row>
    <row r="3312" ht="15.75" customHeight="1">
      <c r="A3312" s="53" t="s">
        <v>3391</v>
      </c>
      <c r="B3312" s="53" t="s">
        <v>53</v>
      </c>
      <c r="C3312" s="53" t="s">
        <v>33</v>
      </c>
      <c r="D3312" s="54">
        <v>142981.47</v>
      </c>
      <c r="E3312" s="54" t="str">
        <f t="shared" si="1"/>
        <v>₹1,715,777.64</v>
      </c>
      <c r="F3312" s="55" t="str">
        <f t="shared" si="2"/>
        <v>30.0%</v>
      </c>
      <c r="G3312" s="54" t="str">
        <f t="shared" si="3"/>
        <v>₹514,733.29</v>
      </c>
      <c r="H3312" s="54" t="str">
        <f t="shared" si="4"/>
        <v>₹42,894.44</v>
      </c>
      <c r="I3312" s="54" t="str">
        <f>124238.02-H3312</f>
        <v>₹81,343.58</v>
      </c>
    </row>
    <row r="3313" ht="15.75" customHeight="1">
      <c r="A3313" s="50" t="s">
        <v>3392</v>
      </c>
      <c r="B3313" s="50" t="s">
        <v>13</v>
      </c>
      <c r="C3313" s="50" t="s">
        <v>18</v>
      </c>
      <c r="D3313" s="51">
        <v>143004.65</v>
      </c>
      <c r="E3313" s="51" t="str">
        <f t="shared" si="1"/>
        <v>₹1,716,055.80</v>
      </c>
      <c r="F3313" s="52" t="str">
        <f t="shared" si="2"/>
        <v>30.0%</v>
      </c>
      <c r="G3313" s="51" t="str">
        <f t="shared" si="3"/>
        <v>₹514,816.74</v>
      </c>
      <c r="H3313" s="51" t="str">
        <f t="shared" si="4"/>
        <v>₹42,901.40</v>
      </c>
      <c r="I3313" s="51" t="str">
        <f>124257.8-H3313</f>
        <v>₹81,356.41</v>
      </c>
    </row>
    <row r="3314" ht="15.75" customHeight="1">
      <c r="A3314" s="53" t="s">
        <v>3393</v>
      </c>
      <c r="B3314" s="53" t="s">
        <v>17</v>
      </c>
      <c r="C3314" s="53" t="s">
        <v>18</v>
      </c>
      <c r="D3314" s="54">
        <v>143027.83</v>
      </c>
      <c r="E3314" s="54" t="str">
        <f t="shared" si="1"/>
        <v>₹1,716,333.96</v>
      </c>
      <c r="F3314" s="55" t="str">
        <f t="shared" si="2"/>
        <v>30.0%</v>
      </c>
      <c r="G3314" s="54" t="str">
        <f t="shared" si="3"/>
        <v>₹514,900.19</v>
      </c>
      <c r="H3314" s="54" t="str">
        <f t="shared" si="4"/>
        <v>₹42,908.35</v>
      </c>
      <c r="I3314" s="54" t="str">
        <f>124277.59-H3314</f>
        <v>₹81,369.24</v>
      </c>
    </row>
    <row r="3315" ht="15.75" customHeight="1">
      <c r="A3315" s="50" t="s">
        <v>3394</v>
      </c>
      <c r="B3315" s="50" t="s">
        <v>53</v>
      </c>
      <c r="C3315" s="50" t="s">
        <v>54</v>
      </c>
      <c r="D3315" s="51">
        <v>143051.01</v>
      </c>
      <c r="E3315" s="51" t="str">
        <f t="shared" si="1"/>
        <v>₹1,716,612.12</v>
      </c>
      <c r="F3315" s="52" t="str">
        <f t="shared" si="2"/>
        <v>30.0%</v>
      </c>
      <c r="G3315" s="51" t="str">
        <f t="shared" si="3"/>
        <v>₹514,983.64</v>
      </c>
      <c r="H3315" s="51" t="str">
        <f t="shared" si="4"/>
        <v>₹42,915.30</v>
      </c>
      <c r="I3315" s="51" t="str">
        <f>124297.37-H3315</f>
        <v>₹81,382.07</v>
      </c>
    </row>
    <row r="3316" ht="15.75" customHeight="1">
      <c r="A3316" s="53" t="s">
        <v>3395</v>
      </c>
      <c r="B3316" s="53" t="s">
        <v>53</v>
      </c>
      <c r="C3316" s="53" t="s">
        <v>33</v>
      </c>
      <c r="D3316" s="54">
        <v>143074.19</v>
      </c>
      <c r="E3316" s="54" t="str">
        <f t="shared" si="1"/>
        <v>₹1,716,890.28</v>
      </c>
      <c r="F3316" s="55" t="str">
        <f t="shared" si="2"/>
        <v>30.0%</v>
      </c>
      <c r="G3316" s="54" t="str">
        <f t="shared" si="3"/>
        <v>₹515,067.08</v>
      </c>
      <c r="H3316" s="54" t="str">
        <f t="shared" si="4"/>
        <v>₹42,922.26</v>
      </c>
      <c r="I3316" s="54" t="str">
        <f>124317.15-H3316</f>
        <v>₹81,394.89</v>
      </c>
    </row>
    <row r="3317" ht="15.75" customHeight="1">
      <c r="A3317" s="50" t="s">
        <v>3396</v>
      </c>
      <c r="B3317" s="50" t="s">
        <v>25</v>
      </c>
      <c r="C3317" s="50" t="s">
        <v>33</v>
      </c>
      <c r="D3317" s="51">
        <v>143097.36</v>
      </c>
      <c r="E3317" s="51" t="str">
        <f t="shared" si="1"/>
        <v>₹1,717,168.32</v>
      </c>
      <c r="F3317" s="52" t="str">
        <f t="shared" si="2"/>
        <v>30.0%</v>
      </c>
      <c r="G3317" s="51" t="str">
        <f t="shared" si="3"/>
        <v>₹515,150.50</v>
      </c>
      <c r="H3317" s="51" t="str">
        <f t="shared" si="4"/>
        <v>₹42,929.21</v>
      </c>
      <c r="I3317" s="51" t="str">
        <f>124336.92-H3317</f>
        <v>₹81,407.71</v>
      </c>
    </row>
    <row r="3318" ht="15.75" customHeight="1">
      <c r="A3318" s="53" t="s">
        <v>3397</v>
      </c>
      <c r="B3318" s="53" t="s">
        <v>17</v>
      </c>
      <c r="C3318" s="53" t="s">
        <v>18</v>
      </c>
      <c r="D3318" s="54">
        <v>143120.54</v>
      </c>
      <c r="E3318" s="54" t="str">
        <f t="shared" si="1"/>
        <v>₹1,717,446.48</v>
      </c>
      <c r="F3318" s="55" t="str">
        <f t="shared" si="2"/>
        <v>30.0%</v>
      </c>
      <c r="G3318" s="54" t="str">
        <f t="shared" si="3"/>
        <v>₹515,233.94</v>
      </c>
      <c r="H3318" s="54" t="str">
        <f t="shared" si="4"/>
        <v>₹42,936.16</v>
      </c>
      <c r="I3318" s="54" t="str">
        <f>124356.71-H3318</f>
        <v>₹81,420.55</v>
      </c>
    </row>
    <row r="3319" ht="15.75" customHeight="1">
      <c r="A3319" s="50" t="s">
        <v>3398</v>
      </c>
      <c r="B3319" s="50" t="s">
        <v>25</v>
      </c>
      <c r="C3319" s="50" t="s">
        <v>26</v>
      </c>
      <c r="D3319" s="51">
        <v>143143.72</v>
      </c>
      <c r="E3319" s="51" t="str">
        <f t="shared" si="1"/>
        <v>₹1,717,724.64</v>
      </c>
      <c r="F3319" s="52" t="str">
        <f t="shared" si="2"/>
        <v>30.0%</v>
      </c>
      <c r="G3319" s="51" t="str">
        <f t="shared" si="3"/>
        <v>₹515,317.39</v>
      </c>
      <c r="H3319" s="51" t="str">
        <f t="shared" si="4"/>
        <v>₹42,943.12</v>
      </c>
      <c r="I3319" s="51" t="str">
        <f>124376.49-H3319</f>
        <v>₹81,433.37</v>
      </c>
    </row>
    <row r="3320" ht="15.75" customHeight="1">
      <c r="A3320" s="53" t="s">
        <v>3399</v>
      </c>
      <c r="B3320" s="53" t="s">
        <v>53</v>
      </c>
      <c r="C3320" s="53" t="s">
        <v>18</v>
      </c>
      <c r="D3320" s="54">
        <v>143166.9</v>
      </c>
      <c r="E3320" s="54" t="str">
        <f t="shared" si="1"/>
        <v>₹1,718,002.80</v>
      </c>
      <c r="F3320" s="55" t="str">
        <f t="shared" si="2"/>
        <v>30.0%</v>
      </c>
      <c r="G3320" s="54" t="str">
        <f t="shared" si="3"/>
        <v>₹515,400.84</v>
      </c>
      <c r="H3320" s="54" t="str">
        <f t="shared" si="4"/>
        <v>₹42,950.07</v>
      </c>
      <c r="I3320" s="54" t="str">
        <f>124396.27-H3320</f>
        <v>₹81,446.20</v>
      </c>
    </row>
    <row r="3321" ht="15.75" customHeight="1">
      <c r="A3321" s="50" t="s">
        <v>3400</v>
      </c>
      <c r="B3321" s="50" t="s">
        <v>36</v>
      </c>
      <c r="C3321" s="50" t="s">
        <v>18</v>
      </c>
      <c r="D3321" s="51">
        <v>143190.07</v>
      </c>
      <c r="E3321" s="51" t="str">
        <f t="shared" si="1"/>
        <v>₹1,718,280.84</v>
      </c>
      <c r="F3321" s="52" t="str">
        <f t="shared" si="2"/>
        <v>30.0%</v>
      </c>
      <c r="G3321" s="51" t="str">
        <f t="shared" si="3"/>
        <v>₹515,484.25</v>
      </c>
      <c r="H3321" s="51" t="str">
        <f t="shared" si="4"/>
        <v>₹42,957.02</v>
      </c>
      <c r="I3321" s="51" t="str">
        <f>124416.04-H3321</f>
        <v>₹81,459.02</v>
      </c>
    </row>
    <row r="3322" ht="15.75" customHeight="1">
      <c r="A3322" s="53" t="s">
        <v>3401</v>
      </c>
      <c r="B3322" s="53" t="s">
        <v>25</v>
      </c>
      <c r="C3322" s="53" t="s">
        <v>30</v>
      </c>
      <c r="D3322" s="54">
        <v>143213.25</v>
      </c>
      <c r="E3322" s="54" t="str">
        <f t="shared" si="1"/>
        <v>₹1,718,559.00</v>
      </c>
      <c r="F3322" s="55" t="str">
        <f t="shared" si="2"/>
        <v>30.0%</v>
      </c>
      <c r="G3322" s="54" t="str">
        <f t="shared" si="3"/>
        <v>₹515,567.70</v>
      </c>
      <c r="H3322" s="54" t="str">
        <f t="shared" si="4"/>
        <v>₹42,963.98</v>
      </c>
      <c r="I3322" s="54" t="str">
        <f>124435.83-H3322</f>
        <v>₹81,471.86</v>
      </c>
    </row>
    <row r="3323" ht="15.75" customHeight="1">
      <c r="A3323" s="50" t="s">
        <v>3402</v>
      </c>
      <c r="B3323" s="50" t="s">
        <v>13</v>
      </c>
      <c r="C3323" s="50" t="s">
        <v>30</v>
      </c>
      <c r="D3323" s="51">
        <v>143236.43</v>
      </c>
      <c r="E3323" s="51" t="str">
        <f t="shared" si="1"/>
        <v>₹1,718,837.16</v>
      </c>
      <c r="F3323" s="52" t="str">
        <f t="shared" si="2"/>
        <v>30.0%</v>
      </c>
      <c r="G3323" s="51" t="str">
        <f t="shared" si="3"/>
        <v>₹515,651.15</v>
      </c>
      <c r="H3323" s="51" t="str">
        <f t="shared" si="4"/>
        <v>₹42,970.93</v>
      </c>
      <c r="I3323" s="51" t="str">
        <f>124455.61-H3323</f>
        <v>₹81,484.68</v>
      </c>
    </row>
    <row r="3324" ht="15.75" customHeight="1">
      <c r="A3324" s="53" t="s">
        <v>3403</v>
      </c>
      <c r="B3324" s="53" t="s">
        <v>17</v>
      </c>
      <c r="C3324" s="53" t="s">
        <v>26</v>
      </c>
      <c r="D3324" s="54">
        <v>143259.61</v>
      </c>
      <c r="E3324" s="54" t="str">
        <f t="shared" si="1"/>
        <v>₹1,719,115.32</v>
      </c>
      <c r="F3324" s="55" t="str">
        <f t="shared" si="2"/>
        <v>30.0%</v>
      </c>
      <c r="G3324" s="54" t="str">
        <f t="shared" si="3"/>
        <v>₹515,734.60</v>
      </c>
      <c r="H3324" s="54" t="str">
        <f t="shared" si="4"/>
        <v>₹42,977.88</v>
      </c>
      <c r="I3324" s="54" t="str">
        <f>124475.39-H3324</f>
        <v>₹81,497.51</v>
      </c>
    </row>
    <row r="3325" ht="15.75" customHeight="1">
      <c r="A3325" s="50" t="s">
        <v>3404</v>
      </c>
      <c r="B3325" s="50" t="s">
        <v>51</v>
      </c>
      <c r="C3325" s="50" t="s">
        <v>26</v>
      </c>
      <c r="D3325" s="51">
        <v>143282.78</v>
      </c>
      <c r="E3325" s="51" t="str">
        <f t="shared" si="1"/>
        <v>₹1,719,393.36</v>
      </c>
      <c r="F3325" s="52" t="str">
        <f t="shared" si="2"/>
        <v>30.0%</v>
      </c>
      <c r="G3325" s="51" t="str">
        <f t="shared" si="3"/>
        <v>₹515,818.01</v>
      </c>
      <c r="H3325" s="51" t="str">
        <f t="shared" si="4"/>
        <v>₹42,984.83</v>
      </c>
      <c r="I3325" s="51" t="str">
        <f>124495.16-H3325</f>
        <v>₹81,510.33</v>
      </c>
    </row>
    <row r="3326" ht="15.75" customHeight="1">
      <c r="A3326" s="53" t="s">
        <v>3405</v>
      </c>
      <c r="B3326" s="53" t="s">
        <v>53</v>
      </c>
      <c r="C3326" s="53" t="s">
        <v>14</v>
      </c>
      <c r="D3326" s="54">
        <v>143329.14</v>
      </c>
      <c r="E3326" s="54" t="str">
        <f t="shared" si="1"/>
        <v>₹1,719,949.68</v>
      </c>
      <c r="F3326" s="55" t="str">
        <f t="shared" si="2"/>
        <v>30.0%</v>
      </c>
      <c r="G3326" s="54" t="str">
        <f t="shared" si="3"/>
        <v>₹515,984.90</v>
      </c>
      <c r="H3326" s="54" t="str">
        <f t="shared" si="4"/>
        <v>₹42,998.74</v>
      </c>
      <c r="I3326" s="54" t="str">
        <f>124534.73-H3326</f>
        <v>₹81,535.99</v>
      </c>
    </row>
    <row r="3327" ht="15.75" customHeight="1">
      <c r="A3327" s="50" t="s">
        <v>3406</v>
      </c>
      <c r="B3327" s="50" t="s">
        <v>53</v>
      </c>
      <c r="C3327" s="50" t="s">
        <v>18</v>
      </c>
      <c r="D3327" s="51">
        <v>143352.32</v>
      </c>
      <c r="E3327" s="51" t="str">
        <f t="shared" si="1"/>
        <v>₹1,720,227.84</v>
      </c>
      <c r="F3327" s="52" t="str">
        <f t="shared" si="2"/>
        <v>30.0%</v>
      </c>
      <c r="G3327" s="51" t="str">
        <f t="shared" si="3"/>
        <v>₹516,068.35</v>
      </c>
      <c r="H3327" s="51" t="str">
        <f t="shared" si="4"/>
        <v>₹43,005.70</v>
      </c>
      <c r="I3327" s="51" t="str">
        <f>124554.51-H3327</f>
        <v>₹81,548.81</v>
      </c>
    </row>
    <row r="3328" ht="15.75" customHeight="1">
      <c r="A3328" s="53" t="s">
        <v>3407</v>
      </c>
      <c r="B3328" s="53" t="s">
        <v>36</v>
      </c>
      <c r="C3328" s="53" t="s">
        <v>37</v>
      </c>
      <c r="D3328" s="54">
        <v>143398.67</v>
      </c>
      <c r="E3328" s="54" t="str">
        <f t="shared" si="1"/>
        <v>₹1,720,784.04</v>
      </c>
      <c r="F3328" s="55" t="str">
        <f t="shared" si="2"/>
        <v>30.0%</v>
      </c>
      <c r="G3328" s="54" t="str">
        <f t="shared" si="3"/>
        <v>₹516,235.21</v>
      </c>
      <c r="H3328" s="54" t="str">
        <f t="shared" si="4"/>
        <v>₹43,019.60</v>
      </c>
      <c r="I3328" s="54" t="str">
        <f>124594.07-H3328</f>
        <v>₹81,574.47</v>
      </c>
    </row>
    <row r="3329" ht="15.75" customHeight="1">
      <c r="A3329" s="50" t="s">
        <v>3408</v>
      </c>
      <c r="B3329" s="50" t="s">
        <v>53</v>
      </c>
      <c r="C3329" s="50" t="s">
        <v>18</v>
      </c>
      <c r="D3329" s="51">
        <v>143421.85</v>
      </c>
      <c r="E3329" s="51" t="str">
        <f t="shared" si="1"/>
        <v>₹1,721,062.20</v>
      </c>
      <c r="F3329" s="52" t="str">
        <f t="shared" si="2"/>
        <v>30.0%</v>
      </c>
      <c r="G3329" s="51" t="str">
        <f t="shared" si="3"/>
        <v>₹516,318.66</v>
      </c>
      <c r="H3329" s="51" t="str">
        <f t="shared" si="4"/>
        <v>₹43,026.56</v>
      </c>
      <c r="I3329" s="51" t="str">
        <f>124613.85-H3329</f>
        <v>₹81,587.30</v>
      </c>
    </row>
    <row r="3330" ht="15.75" customHeight="1">
      <c r="A3330" s="53" t="s">
        <v>3409</v>
      </c>
      <c r="B3330" s="53" t="s">
        <v>25</v>
      </c>
      <c r="C3330" s="53" t="s">
        <v>14</v>
      </c>
      <c r="D3330" s="54">
        <v>143445.03</v>
      </c>
      <c r="E3330" s="54" t="str">
        <f t="shared" si="1"/>
        <v>₹1,721,340.36</v>
      </c>
      <c r="F3330" s="55" t="str">
        <f t="shared" si="2"/>
        <v>30.0%</v>
      </c>
      <c r="G3330" s="54" t="str">
        <f t="shared" si="3"/>
        <v>₹516,402.11</v>
      </c>
      <c r="H3330" s="54" t="str">
        <f t="shared" si="4"/>
        <v>₹43,033.51</v>
      </c>
      <c r="I3330" s="54" t="str">
        <f>124633.63-H3330</f>
        <v>₹81,600.12</v>
      </c>
    </row>
    <row r="3331" ht="15.75" customHeight="1">
      <c r="A3331" s="50" t="s">
        <v>3410</v>
      </c>
      <c r="B3331" s="50" t="s">
        <v>13</v>
      </c>
      <c r="C3331" s="50" t="s">
        <v>18</v>
      </c>
      <c r="D3331" s="51">
        <v>143468.21</v>
      </c>
      <c r="E3331" s="51" t="str">
        <f t="shared" si="1"/>
        <v>₹1,721,618.52</v>
      </c>
      <c r="F3331" s="52" t="str">
        <f t="shared" si="2"/>
        <v>30.0%</v>
      </c>
      <c r="G3331" s="51" t="str">
        <f t="shared" si="3"/>
        <v>₹516,485.56</v>
      </c>
      <c r="H3331" s="51" t="str">
        <f t="shared" si="4"/>
        <v>₹43,040.46</v>
      </c>
      <c r="I3331" s="51" t="str">
        <f>124653.41-H3331</f>
        <v>₹81,612.95</v>
      </c>
    </row>
    <row r="3332" ht="15.75" customHeight="1">
      <c r="A3332" s="53" t="s">
        <v>3411</v>
      </c>
      <c r="B3332" s="53" t="s">
        <v>53</v>
      </c>
      <c r="C3332" s="53" t="s">
        <v>18</v>
      </c>
      <c r="D3332" s="54">
        <v>143491.38</v>
      </c>
      <c r="E3332" s="54" t="str">
        <f t="shared" si="1"/>
        <v>₹1,721,896.56</v>
      </c>
      <c r="F3332" s="55" t="str">
        <f t="shared" si="2"/>
        <v>30.0%</v>
      </c>
      <c r="G3332" s="54" t="str">
        <f t="shared" si="3"/>
        <v>₹516,568.97</v>
      </c>
      <c r="H3332" s="54" t="str">
        <f t="shared" si="4"/>
        <v>₹43,047.41</v>
      </c>
      <c r="I3332" s="54" t="str">
        <f>124673.19-H3332</f>
        <v>₹81,625.78</v>
      </c>
    </row>
    <row r="3333" ht="15.75" customHeight="1">
      <c r="A3333" s="50" t="s">
        <v>3412</v>
      </c>
      <c r="B3333" s="50" t="s">
        <v>53</v>
      </c>
      <c r="C3333" s="50" t="s">
        <v>54</v>
      </c>
      <c r="D3333" s="51">
        <v>143514.56</v>
      </c>
      <c r="E3333" s="51" t="str">
        <f t="shared" si="1"/>
        <v>₹1,722,174.72</v>
      </c>
      <c r="F3333" s="52" t="str">
        <f t="shared" si="2"/>
        <v>30.0%</v>
      </c>
      <c r="G3333" s="51" t="str">
        <f t="shared" si="3"/>
        <v>₹516,652.42</v>
      </c>
      <c r="H3333" s="51" t="str">
        <f t="shared" si="4"/>
        <v>₹43,054.37</v>
      </c>
      <c r="I3333" s="51" t="str">
        <f>124692.97-H3333</f>
        <v>₹81,638.60</v>
      </c>
    </row>
    <row r="3334" ht="15.75" customHeight="1">
      <c r="A3334" s="53" t="s">
        <v>3413</v>
      </c>
      <c r="B3334" s="53" t="s">
        <v>17</v>
      </c>
      <c r="C3334" s="53" t="s">
        <v>54</v>
      </c>
      <c r="D3334" s="54">
        <v>143537.74</v>
      </c>
      <c r="E3334" s="54" t="str">
        <f t="shared" si="1"/>
        <v>₹1,722,452.88</v>
      </c>
      <c r="F3334" s="55" t="str">
        <f t="shared" si="2"/>
        <v>30.0%</v>
      </c>
      <c r="G3334" s="54" t="str">
        <f t="shared" si="3"/>
        <v>₹516,735.86</v>
      </c>
      <c r="H3334" s="54" t="str">
        <f t="shared" si="4"/>
        <v>₹43,061.32</v>
      </c>
      <c r="I3334" s="54" t="str">
        <f>124712.75-H3334</f>
        <v>₹81,651.43</v>
      </c>
    </row>
    <row r="3335" ht="15.75" customHeight="1">
      <c r="A3335" s="50" t="s">
        <v>3414</v>
      </c>
      <c r="B3335" s="50" t="s">
        <v>13</v>
      </c>
      <c r="C3335" s="50" t="s">
        <v>37</v>
      </c>
      <c r="D3335" s="51">
        <v>143560.92</v>
      </c>
      <c r="E3335" s="51" t="str">
        <f t="shared" si="1"/>
        <v>₹1,722,731.04</v>
      </c>
      <c r="F3335" s="52" t="str">
        <f t="shared" si="2"/>
        <v>30.0%</v>
      </c>
      <c r="G3335" s="51" t="str">
        <f t="shared" si="3"/>
        <v>₹516,819.31</v>
      </c>
      <c r="H3335" s="51" t="str">
        <f t="shared" si="4"/>
        <v>₹43,068.28</v>
      </c>
      <c r="I3335" s="51" t="str">
        <f>124732.53-H3335</f>
        <v>₹81,664.25</v>
      </c>
    </row>
    <row r="3336" ht="15.75" customHeight="1">
      <c r="A3336" s="53" t="s">
        <v>3415</v>
      </c>
      <c r="B3336" s="53" t="s">
        <v>36</v>
      </c>
      <c r="C3336" s="53" t="s">
        <v>14</v>
      </c>
      <c r="D3336" s="54">
        <v>143584.09</v>
      </c>
      <c r="E3336" s="54" t="str">
        <f t="shared" si="1"/>
        <v>₹1,723,009.08</v>
      </c>
      <c r="F3336" s="55" t="str">
        <f t="shared" si="2"/>
        <v>30.0%</v>
      </c>
      <c r="G3336" s="54" t="str">
        <f t="shared" si="3"/>
        <v>₹516,902.72</v>
      </c>
      <c r="H3336" s="54" t="str">
        <f t="shared" si="4"/>
        <v>₹43,075.23</v>
      </c>
      <c r="I3336" s="54" t="str">
        <f>124752.31-H3336</f>
        <v>₹81,677.08</v>
      </c>
    </row>
    <row r="3337" ht="15.75" customHeight="1">
      <c r="A3337" s="50" t="s">
        <v>3416</v>
      </c>
      <c r="B3337" s="50" t="s">
        <v>53</v>
      </c>
      <c r="C3337" s="50" t="s">
        <v>18</v>
      </c>
      <c r="D3337" s="51">
        <v>143607.27</v>
      </c>
      <c r="E3337" s="51" t="str">
        <f t="shared" si="1"/>
        <v>₹1,723,287.24</v>
      </c>
      <c r="F3337" s="52" t="str">
        <f t="shared" si="2"/>
        <v>30.0%</v>
      </c>
      <c r="G3337" s="51" t="str">
        <f t="shared" si="3"/>
        <v>₹516,986.17</v>
      </c>
      <c r="H3337" s="51" t="str">
        <f t="shared" si="4"/>
        <v>₹43,082.18</v>
      </c>
      <c r="I3337" s="51" t="str">
        <f>124772.09-H3337</f>
        <v>₹81,689.91</v>
      </c>
    </row>
    <row r="3338" ht="15.75" customHeight="1">
      <c r="A3338" s="53" t="s">
        <v>3417</v>
      </c>
      <c r="B3338" s="53" t="s">
        <v>29</v>
      </c>
      <c r="C3338" s="53" t="s">
        <v>26</v>
      </c>
      <c r="D3338" s="54">
        <v>143630.45</v>
      </c>
      <c r="E3338" s="54" t="str">
        <f t="shared" si="1"/>
        <v>₹1,723,565.40</v>
      </c>
      <c r="F3338" s="55" t="str">
        <f t="shared" si="2"/>
        <v>30.0%</v>
      </c>
      <c r="G3338" s="54" t="str">
        <f t="shared" si="3"/>
        <v>₹517,069.62</v>
      </c>
      <c r="H3338" s="54" t="str">
        <f t="shared" si="4"/>
        <v>₹43,089.14</v>
      </c>
      <c r="I3338" s="54" t="str">
        <f>124791.87-H3338</f>
        <v>₹81,702.74</v>
      </c>
    </row>
    <row r="3339" ht="15.75" customHeight="1">
      <c r="A3339" s="50" t="s">
        <v>3418</v>
      </c>
      <c r="B3339" s="50" t="s">
        <v>13</v>
      </c>
      <c r="C3339" s="50" t="s">
        <v>30</v>
      </c>
      <c r="D3339" s="51">
        <v>143653.63</v>
      </c>
      <c r="E3339" s="51" t="str">
        <f t="shared" si="1"/>
        <v>₹1,723,843.56</v>
      </c>
      <c r="F3339" s="52" t="str">
        <f t="shared" si="2"/>
        <v>30.0%</v>
      </c>
      <c r="G3339" s="51" t="str">
        <f t="shared" si="3"/>
        <v>₹517,153.07</v>
      </c>
      <c r="H3339" s="51" t="str">
        <f t="shared" si="4"/>
        <v>₹43,096.09</v>
      </c>
      <c r="I3339" s="51" t="str">
        <f>124811.65-H3339</f>
        <v>₹81,715.56</v>
      </c>
    </row>
    <row r="3340" ht="15.75" customHeight="1">
      <c r="A3340" s="53" t="s">
        <v>3419</v>
      </c>
      <c r="B3340" s="53" t="s">
        <v>13</v>
      </c>
      <c r="C3340" s="53" t="s">
        <v>33</v>
      </c>
      <c r="D3340" s="54">
        <v>143676.81</v>
      </c>
      <c r="E3340" s="54" t="str">
        <f t="shared" si="1"/>
        <v>₹1,724,121.72</v>
      </c>
      <c r="F3340" s="55" t="str">
        <f t="shared" si="2"/>
        <v>30.0%</v>
      </c>
      <c r="G3340" s="54" t="str">
        <f t="shared" si="3"/>
        <v>₹517,236.52</v>
      </c>
      <c r="H3340" s="54" t="str">
        <f t="shared" si="4"/>
        <v>₹43,103.04</v>
      </c>
      <c r="I3340" s="54" t="str">
        <f>124831.44-H3340</f>
        <v>₹81,728.40</v>
      </c>
    </row>
    <row r="3341" ht="15.75" customHeight="1">
      <c r="A3341" s="50" t="s">
        <v>3420</v>
      </c>
      <c r="B3341" s="50" t="s">
        <v>13</v>
      </c>
      <c r="C3341" s="50" t="s">
        <v>30</v>
      </c>
      <c r="D3341" s="51">
        <v>143699.98</v>
      </c>
      <c r="E3341" s="51" t="str">
        <f t="shared" si="1"/>
        <v>₹1,724,399.76</v>
      </c>
      <c r="F3341" s="52" t="str">
        <f t="shared" si="2"/>
        <v>30.0%</v>
      </c>
      <c r="G3341" s="51" t="str">
        <f t="shared" si="3"/>
        <v>₹517,319.93</v>
      </c>
      <c r="H3341" s="51" t="str">
        <f t="shared" si="4"/>
        <v>₹43,109.99</v>
      </c>
      <c r="I3341" s="51" t="str">
        <f>124851.21-H3341</f>
        <v>₹81,741.22</v>
      </c>
    </row>
    <row r="3342" ht="15.75" customHeight="1">
      <c r="A3342" s="53" t="s">
        <v>3421</v>
      </c>
      <c r="B3342" s="53" t="s">
        <v>13</v>
      </c>
      <c r="C3342" s="53" t="s">
        <v>26</v>
      </c>
      <c r="D3342" s="54">
        <v>143723.16</v>
      </c>
      <c r="E3342" s="54" t="str">
        <f t="shared" si="1"/>
        <v>₹1,724,677.92</v>
      </c>
      <c r="F3342" s="55" t="str">
        <f t="shared" si="2"/>
        <v>30.0%</v>
      </c>
      <c r="G3342" s="54" t="str">
        <f t="shared" si="3"/>
        <v>₹517,403.38</v>
      </c>
      <c r="H3342" s="54" t="str">
        <f t="shared" si="4"/>
        <v>₹43,116.95</v>
      </c>
      <c r="I3342" s="54" t="str">
        <f>124870.99-H3342</f>
        <v>₹81,754.04</v>
      </c>
    </row>
    <row r="3343" ht="15.75" customHeight="1">
      <c r="A3343" s="50" t="s">
        <v>3422</v>
      </c>
      <c r="B3343" s="50" t="s">
        <v>17</v>
      </c>
      <c r="C3343" s="50" t="s">
        <v>18</v>
      </c>
      <c r="D3343" s="51">
        <v>143746.34</v>
      </c>
      <c r="E3343" s="51" t="str">
        <f t="shared" si="1"/>
        <v>₹1,724,956.08</v>
      </c>
      <c r="F3343" s="52" t="str">
        <f t="shared" si="2"/>
        <v>30.0%</v>
      </c>
      <c r="G3343" s="51" t="str">
        <f t="shared" si="3"/>
        <v>₹517,486.82</v>
      </c>
      <c r="H3343" s="51" t="str">
        <f t="shared" si="4"/>
        <v>₹43,123.90</v>
      </c>
      <c r="I3343" s="51" t="str">
        <f>124890.77-H3343</f>
        <v>₹81,766.87</v>
      </c>
    </row>
    <row r="3344" ht="15.75" customHeight="1">
      <c r="A3344" s="53" t="s">
        <v>3423</v>
      </c>
      <c r="B3344" s="53" t="s">
        <v>25</v>
      </c>
      <c r="C3344" s="53" t="s">
        <v>33</v>
      </c>
      <c r="D3344" s="54">
        <v>143769.52</v>
      </c>
      <c r="E3344" s="54" t="str">
        <f t="shared" si="1"/>
        <v>₹1,725,234.24</v>
      </c>
      <c r="F3344" s="55" t="str">
        <f t="shared" si="2"/>
        <v>30.0%</v>
      </c>
      <c r="G3344" s="54" t="str">
        <f t="shared" si="3"/>
        <v>₹517,570.27</v>
      </c>
      <c r="H3344" s="54" t="str">
        <f t="shared" si="4"/>
        <v>₹43,130.86</v>
      </c>
      <c r="I3344" s="54" t="str">
        <f>124910.56-H3344</f>
        <v>₹81,779.70</v>
      </c>
    </row>
    <row r="3345" ht="15.75" customHeight="1">
      <c r="A3345" s="50" t="s">
        <v>3425</v>
      </c>
      <c r="B3345" s="50" t="s">
        <v>29</v>
      </c>
      <c r="C3345" s="50" t="s">
        <v>18</v>
      </c>
      <c r="D3345" s="51">
        <v>143792.69</v>
      </c>
      <c r="E3345" s="51" t="str">
        <f t="shared" si="1"/>
        <v>₹1,725,512.28</v>
      </c>
      <c r="F3345" s="52" t="str">
        <f t="shared" si="2"/>
        <v>30.0%</v>
      </c>
      <c r="G3345" s="51" t="str">
        <f t="shared" si="3"/>
        <v>₹517,653.68</v>
      </c>
      <c r="H3345" s="51" t="str">
        <f t="shared" si="4"/>
        <v>₹43,137.81</v>
      </c>
      <c r="I3345" s="51" t="str">
        <f>124930.33-H3345</f>
        <v>₹81,792.52</v>
      </c>
    </row>
    <row r="3346" ht="15.75" customHeight="1">
      <c r="A3346" s="53" t="s">
        <v>3426</v>
      </c>
      <c r="B3346" s="53" t="s">
        <v>51</v>
      </c>
      <c r="C3346" s="53" t="s">
        <v>14</v>
      </c>
      <c r="D3346" s="54">
        <v>143815.87</v>
      </c>
      <c r="E3346" s="54" t="str">
        <f t="shared" si="1"/>
        <v>₹1,725,790.44</v>
      </c>
      <c r="F3346" s="55" t="str">
        <f t="shared" si="2"/>
        <v>30.0%</v>
      </c>
      <c r="G3346" s="54" t="str">
        <f t="shared" si="3"/>
        <v>₹517,737.13</v>
      </c>
      <c r="H3346" s="54" t="str">
        <f t="shared" si="4"/>
        <v>₹43,144.76</v>
      </c>
      <c r="I3346" s="54" t="str">
        <f>124950.11-H3346</f>
        <v>₹81,805.35</v>
      </c>
    </row>
    <row r="3347" ht="15.75" customHeight="1">
      <c r="A3347" s="50" t="s">
        <v>3427</v>
      </c>
      <c r="B3347" s="50" t="s">
        <v>13</v>
      </c>
      <c r="C3347" s="50" t="s">
        <v>54</v>
      </c>
      <c r="D3347" s="51">
        <v>143839.05</v>
      </c>
      <c r="E3347" s="51" t="str">
        <f t="shared" si="1"/>
        <v>₹1,726,068.60</v>
      </c>
      <c r="F3347" s="52" t="str">
        <f t="shared" si="2"/>
        <v>30.0%</v>
      </c>
      <c r="G3347" s="51" t="str">
        <f t="shared" si="3"/>
        <v>₹517,820.58</v>
      </c>
      <c r="H3347" s="51" t="str">
        <f t="shared" si="4"/>
        <v>₹43,151.72</v>
      </c>
      <c r="I3347" s="51" t="str">
        <f>124969.89-H3347</f>
        <v>₹81,818.18</v>
      </c>
    </row>
    <row r="3348" ht="15.75" customHeight="1">
      <c r="A3348" s="53" t="s">
        <v>3428</v>
      </c>
      <c r="B3348" s="53" t="s">
        <v>51</v>
      </c>
      <c r="C3348" s="53" t="s">
        <v>30</v>
      </c>
      <c r="D3348" s="54">
        <v>143862.23</v>
      </c>
      <c r="E3348" s="54" t="str">
        <f t="shared" si="1"/>
        <v>₹1,726,346.76</v>
      </c>
      <c r="F3348" s="55" t="str">
        <f t="shared" si="2"/>
        <v>30.0%</v>
      </c>
      <c r="G3348" s="54" t="str">
        <f t="shared" si="3"/>
        <v>₹517,904.03</v>
      </c>
      <c r="H3348" s="54" t="str">
        <f t="shared" si="4"/>
        <v>₹43,158.67</v>
      </c>
      <c r="I3348" s="54" t="str">
        <f>124989.68-H3348</f>
        <v>₹81,831.01</v>
      </c>
    </row>
    <row r="3349" ht="15.75" customHeight="1">
      <c r="A3349" s="50" t="s">
        <v>3429</v>
      </c>
      <c r="B3349" s="50" t="s">
        <v>25</v>
      </c>
      <c r="C3349" s="50" t="s">
        <v>33</v>
      </c>
      <c r="D3349" s="51">
        <v>143885.4</v>
      </c>
      <c r="E3349" s="51" t="str">
        <f t="shared" si="1"/>
        <v>₹1,726,624.80</v>
      </c>
      <c r="F3349" s="52" t="str">
        <f t="shared" si="2"/>
        <v>30.0%</v>
      </c>
      <c r="G3349" s="51" t="str">
        <f t="shared" si="3"/>
        <v>₹517,987.44</v>
      </c>
      <c r="H3349" s="51" t="str">
        <f t="shared" si="4"/>
        <v>₹43,165.62</v>
      </c>
      <c r="I3349" s="51" t="str">
        <f>125009.45-H3349</f>
        <v>₹81,843.83</v>
      </c>
    </row>
    <row r="3350" ht="15.75" customHeight="1">
      <c r="A3350" s="53" t="s">
        <v>3430</v>
      </c>
      <c r="B3350" s="53" t="s">
        <v>17</v>
      </c>
      <c r="C3350" s="53" t="s">
        <v>54</v>
      </c>
      <c r="D3350" s="54">
        <v>143908.58</v>
      </c>
      <c r="E3350" s="54" t="str">
        <f t="shared" si="1"/>
        <v>₹1,726,902.96</v>
      </c>
      <c r="F3350" s="55" t="str">
        <f t="shared" si="2"/>
        <v>30.0%</v>
      </c>
      <c r="G3350" s="54" t="str">
        <f t="shared" si="3"/>
        <v>₹518,070.89</v>
      </c>
      <c r="H3350" s="54" t="str">
        <f t="shared" si="4"/>
        <v>₹43,172.57</v>
      </c>
      <c r="I3350" s="54" t="str">
        <f>125029.23-H3350</f>
        <v>₹81,856.66</v>
      </c>
    </row>
    <row r="3351" ht="15.75" customHeight="1">
      <c r="A3351" s="50" t="s">
        <v>3431</v>
      </c>
      <c r="B3351" s="50" t="s">
        <v>29</v>
      </c>
      <c r="C3351" s="50" t="s">
        <v>37</v>
      </c>
      <c r="D3351" s="51">
        <v>143931.76</v>
      </c>
      <c r="E3351" s="51" t="str">
        <f t="shared" si="1"/>
        <v>₹1,727,181.12</v>
      </c>
      <c r="F3351" s="52" t="str">
        <f t="shared" si="2"/>
        <v>30.0%</v>
      </c>
      <c r="G3351" s="51" t="str">
        <f t="shared" si="3"/>
        <v>₹518,154.34</v>
      </c>
      <c r="H3351" s="51" t="str">
        <f t="shared" si="4"/>
        <v>₹43,179.53</v>
      </c>
      <c r="I3351" s="51" t="str">
        <f>125049.01-H3351</f>
        <v>₹81,869.48</v>
      </c>
    </row>
    <row r="3352" ht="15.75" customHeight="1">
      <c r="A3352" s="53" t="s">
        <v>3432</v>
      </c>
      <c r="B3352" s="53" t="s">
        <v>36</v>
      </c>
      <c r="C3352" s="53" t="s">
        <v>33</v>
      </c>
      <c r="D3352" s="54">
        <v>143954.94</v>
      </c>
      <c r="E3352" s="54" t="str">
        <f t="shared" si="1"/>
        <v>₹1,727,459.28</v>
      </c>
      <c r="F3352" s="55" t="str">
        <f t="shared" si="2"/>
        <v>30.0%</v>
      </c>
      <c r="G3352" s="54" t="str">
        <f t="shared" si="3"/>
        <v>₹518,237.78</v>
      </c>
      <c r="H3352" s="54" t="str">
        <f t="shared" si="4"/>
        <v>₹43,186.48</v>
      </c>
      <c r="I3352" s="54" t="str">
        <f>125068.79-H3352</f>
        <v>₹81,882.31</v>
      </c>
    </row>
    <row r="3353" ht="15.75" customHeight="1">
      <c r="A3353" s="50" t="s">
        <v>3433</v>
      </c>
      <c r="B3353" s="50" t="s">
        <v>36</v>
      </c>
      <c r="C3353" s="50" t="s">
        <v>33</v>
      </c>
      <c r="D3353" s="51">
        <v>143978.12</v>
      </c>
      <c r="E3353" s="51" t="str">
        <f t="shared" si="1"/>
        <v>₹1,727,737.44</v>
      </c>
      <c r="F3353" s="52" t="str">
        <f t="shared" si="2"/>
        <v>30.0%</v>
      </c>
      <c r="G3353" s="51" t="str">
        <f t="shared" si="3"/>
        <v>₹518,321.23</v>
      </c>
      <c r="H3353" s="51" t="str">
        <f t="shared" si="4"/>
        <v>₹43,193.44</v>
      </c>
      <c r="I3353" s="51" t="str">
        <f>125088.58-H3353</f>
        <v>₹81,895.14</v>
      </c>
    </row>
    <row r="3354" ht="15.75" customHeight="1">
      <c r="A3354" s="53" t="s">
        <v>3434</v>
      </c>
      <c r="B3354" s="53" t="s">
        <v>36</v>
      </c>
      <c r="C3354" s="53" t="s">
        <v>14</v>
      </c>
      <c r="D3354" s="54">
        <v>144001.29</v>
      </c>
      <c r="E3354" s="54" t="str">
        <f t="shared" si="1"/>
        <v>₹1,728,015.48</v>
      </c>
      <c r="F3354" s="55" t="str">
        <f t="shared" si="2"/>
        <v>30.0%</v>
      </c>
      <c r="G3354" s="54" t="str">
        <f t="shared" si="3"/>
        <v>₹518,404.64</v>
      </c>
      <c r="H3354" s="54" t="str">
        <f t="shared" si="4"/>
        <v>₹43,200.39</v>
      </c>
      <c r="I3354" s="54" t="str">
        <f>125108.35-H3354</f>
        <v>₹81,907.96</v>
      </c>
    </row>
    <row r="3355" ht="15.75" customHeight="1">
      <c r="A3355" s="50" t="s">
        <v>3435</v>
      </c>
      <c r="B3355" s="50" t="s">
        <v>53</v>
      </c>
      <c r="C3355" s="50" t="s">
        <v>26</v>
      </c>
      <c r="D3355" s="51">
        <v>144024.47</v>
      </c>
      <c r="E3355" s="51" t="str">
        <f t="shared" si="1"/>
        <v>₹1,728,293.64</v>
      </c>
      <c r="F3355" s="52" t="str">
        <f t="shared" si="2"/>
        <v>30.0%</v>
      </c>
      <c r="G3355" s="51" t="str">
        <f t="shared" si="3"/>
        <v>₹518,488.09</v>
      </c>
      <c r="H3355" s="51" t="str">
        <f t="shared" si="4"/>
        <v>₹43,207.34</v>
      </c>
      <c r="I3355" s="51" t="str">
        <f>125128.13-H3355</f>
        <v>₹81,920.79</v>
      </c>
    </row>
    <row r="3356" ht="15.75" customHeight="1">
      <c r="A3356" s="53" t="s">
        <v>3436</v>
      </c>
      <c r="B3356" s="53" t="s">
        <v>36</v>
      </c>
      <c r="C3356" s="53" t="s">
        <v>18</v>
      </c>
      <c r="D3356" s="54">
        <v>144070.83</v>
      </c>
      <c r="E3356" s="54" t="str">
        <f t="shared" si="1"/>
        <v>₹1,728,849.96</v>
      </c>
      <c r="F3356" s="55" t="str">
        <f t="shared" si="2"/>
        <v>30.0%</v>
      </c>
      <c r="G3356" s="54" t="str">
        <f t="shared" si="3"/>
        <v>₹518,654.99</v>
      </c>
      <c r="H3356" s="54" t="str">
        <f t="shared" si="4"/>
        <v>₹43,221.25</v>
      </c>
      <c r="I3356" s="54" t="str">
        <f>125167.7-H3356</f>
        <v>₹81,946.45</v>
      </c>
    </row>
    <row r="3357" ht="15.75" customHeight="1">
      <c r="A3357" s="50" t="s">
        <v>3437</v>
      </c>
      <c r="B3357" s="50" t="s">
        <v>29</v>
      </c>
      <c r="C3357" s="50" t="s">
        <v>37</v>
      </c>
      <c r="D3357" s="51">
        <v>144094.0</v>
      </c>
      <c r="E3357" s="51" t="str">
        <f t="shared" si="1"/>
        <v>₹1,729,128.00</v>
      </c>
      <c r="F3357" s="52" t="str">
        <f t="shared" si="2"/>
        <v>30.0%</v>
      </c>
      <c r="G3357" s="51" t="str">
        <f t="shared" si="3"/>
        <v>₹518,738.40</v>
      </c>
      <c r="H3357" s="51" t="str">
        <f t="shared" si="4"/>
        <v>₹43,228.20</v>
      </c>
      <c r="I3357" s="51" t="str">
        <f>125187.47-H3357</f>
        <v>₹81,959.27</v>
      </c>
    </row>
    <row r="3358" ht="15.75" customHeight="1">
      <c r="A3358" s="53" t="s">
        <v>3438</v>
      </c>
      <c r="B3358" s="53" t="s">
        <v>13</v>
      </c>
      <c r="C3358" s="53" t="s">
        <v>26</v>
      </c>
      <c r="D3358" s="54">
        <v>129243.54</v>
      </c>
      <c r="E3358" s="54" t="str">
        <f t="shared" si="1"/>
        <v>₹1,550,922.48</v>
      </c>
      <c r="F3358" s="55" t="str">
        <f t="shared" si="2"/>
        <v>30.0%</v>
      </c>
      <c r="G3358" s="54" t="str">
        <f t="shared" si="3"/>
        <v>₹465,276.74</v>
      </c>
      <c r="H3358" s="54" t="str">
        <f t="shared" si="4"/>
        <v>₹38,773.06</v>
      </c>
      <c r="I3358" s="54" t="str">
        <f>110333.61-H3358</f>
        <v>₹71,560.55</v>
      </c>
    </row>
    <row r="3359" ht="15.75" customHeight="1">
      <c r="A3359" s="50" t="s">
        <v>3439</v>
      </c>
      <c r="B3359" s="50" t="s">
        <v>36</v>
      </c>
      <c r="C3359" s="50" t="s">
        <v>54</v>
      </c>
      <c r="D3359" s="51">
        <v>144140.36</v>
      </c>
      <c r="E3359" s="51" t="str">
        <f t="shared" si="1"/>
        <v>₹1,729,684.32</v>
      </c>
      <c r="F3359" s="52" t="str">
        <f t="shared" si="2"/>
        <v>30.0%</v>
      </c>
      <c r="G3359" s="51" t="str">
        <f t="shared" si="3"/>
        <v>₹518,905.30</v>
      </c>
      <c r="H3359" s="51" t="str">
        <f t="shared" si="4"/>
        <v>₹43,242.11</v>
      </c>
      <c r="I3359" s="51" t="str">
        <f>125227.03-H3359</f>
        <v>₹81,984.92</v>
      </c>
    </row>
    <row r="3360" ht="15.75" customHeight="1">
      <c r="A3360" s="53" t="s">
        <v>3440</v>
      </c>
      <c r="B3360" s="53" t="s">
        <v>53</v>
      </c>
      <c r="C3360" s="53" t="s">
        <v>18</v>
      </c>
      <c r="D3360" s="54">
        <v>144163.54</v>
      </c>
      <c r="E3360" s="54" t="str">
        <f t="shared" si="1"/>
        <v>₹1,729,962.48</v>
      </c>
      <c r="F3360" s="55" t="str">
        <f t="shared" si="2"/>
        <v>30.0%</v>
      </c>
      <c r="G3360" s="54" t="str">
        <f t="shared" si="3"/>
        <v>₹518,988.74</v>
      </c>
      <c r="H3360" s="54" t="str">
        <f t="shared" si="4"/>
        <v>₹43,249.06</v>
      </c>
      <c r="I3360" s="54" t="str">
        <f>125246.82-H3360</f>
        <v>₹81,997.76</v>
      </c>
    </row>
    <row r="3361" ht="15.75" customHeight="1">
      <c r="A3361" s="50" t="s">
        <v>3441</v>
      </c>
      <c r="B3361" s="50" t="s">
        <v>13</v>
      </c>
      <c r="C3361" s="50" t="s">
        <v>14</v>
      </c>
      <c r="D3361" s="51">
        <v>144186.71</v>
      </c>
      <c r="E3361" s="51" t="str">
        <f t="shared" si="1"/>
        <v>₹1,730,240.52</v>
      </c>
      <c r="F3361" s="52" t="str">
        <f t="shared" si="2"/>
        <v>30.0%</v>
      </c>
      <c r="G3361" s="51" t="str">
        <f t="shared" si="3"/>
        <v>₹519,072.16</v>
      </c>
      <c r="H3361" s="51" t="str">
        <f t="shared" si="4"/>
        <v>₹43,256.01</v>
      </c>
      <c r="I3361" s="51" t="str">
        <f>125266.59-H3361</f>
        <v>₹82,010.58</v>
      </c>
    </row>
    <row r="3362" ht="15.75" customHeight="1">
      <c r="A3362" s="53" t="s">
        <v>3442</v>
      </c>
      <c r="B3362" s="53" t="s">
        <v>51</v>
      </c>
      <c r="C3362" s="53" t="s">
        <v>14</v>
      </c>
      <c r="D3362" s="54">
        <v>144209.89</v>
      </c>
      <c r="E3362" s="54" t="str">
        <f t="shared" si="1"/>
        <v>₹1,730,518.68</v>
      </c>
      <c r="F3362" s="55" t="str">
        <f t="shared" si="2"/>
        <v>30.0%</v>
      </c>
      <c r="G3362" s="54" t="str">
        <f t="shared" si="3"/>
        <v>₹519,155.60</v>
      </c>
      <c r="H3362" s="54" t="str">
        <f t="shared" si="4"/>
        <v>₹43,262.97</v>
      </c>
      <c r="I3362" s="54" t="str">
        <f>125286.37-H3362</f>
        <v>₹82,023.40</v>
      </c>
    </row>
    <row r="3363" ht="15.75" customHeight="1">
      <c r="A3363" s="50" t="s">
        <v>3443</v>
      </c>
      <c r="B3363" s="50" t="s">
        <v>13</v>
      </c>
      <c r="C3363" s="50" t="s">
        <v>18</v>
      </c>
      <c r="D3363" s="51">
        <v>144233.07</v>
      </c>
      <c r="E3363" s="51" t="str">
        <f t="shared" si="1"/>
        <v>₹1,730,796.84</v>
      </c>
      <c r="F3363" s="52" t="str">
        <f t="shared" si="2"/>
        <v>30.0%</v>
      </c>
      <c r="G3363" s="51" t="str">
        <f t="shared" si="3"/>
        <v>₹519,239.05</v>
      </c>
      <c r="H3363" s="51" t="str">
        <f t="shared" si="4"/>
        <v>₹43,269.92</v>
      </c>
      <c r="I3363" s="51" t="str">
        <f>125306.15-H3363</f>
        <v>₹82,036.23</v>
      </c>
    </row>
    <row r="3364" ht="15.75" customHeight="1">
      <c r="A3364" s="53" t="s">
        <v>3444</v>
      </c>
      <c r="B3364" s="53" t="s">
        <v>53</v>
      </c>
      <c r="C3364" s="53" t="s">
        <v>54</v>
      </c>
      <c r="D3364" s="54">
        <v>144256.25</v>
      </c>
      <c r="E3364" s="54" t="str">
        <f t="shared" si="1"/>
        <v>₹1,731,075.00</v>
      </c>
      <c r="F3364" s="55" t="str">
        <f t="shared" si="2"/>
        <v>30.0%</v>
      </c>
      <c r="G3364" s="54" t="str">
        <f t="shared" si="3"/>
        <v>₹519,322.50</v>
      </c>
      <c r="H3364" s="54" t="str">
        <f t="shared" si="4"/>
        <v>₹43,276.88</v>
      </c>
      <c r="I3364" s="54" t="str">
        <f>125325.94-H3364</f>
        <v>₹82,049.07</v>
      </c>
    </row>
    <row r="3365" ht="15.75" customHeight="1">
      <c r="A3365" s="50" t="s">
        <v>3445</v>
      </c>
      <c r="B3365" s="50" t="s">
        <v>53</v>
      </c>
      <c r="C3365" s="50" t="s">
        <v>37</v>
      </c>
      <c r="D3365" s="51">
        <v>144279.43</v>
      </c>
      <c r="E3365" s="51" t="str">
        <f t="shared" si="1"/>
        <v>₹1,731,353.16</v>
      </c>
      <c r="F3365" s="52" t="str">
        <f t="shared" si="2"/>
        <v>30.0%</v>
      </c>
      <c r="G3365" s="51" t="str">
        <f t="shared" si="3"/>
        <v>₹519,405.95</v>
      </c>
      <c r="H3365" s="51" t="str">
        <f t="shared" si="4"/>
        <v>₹43,283.83</v>
      </c>
      <c r="I3365" s="51" t="str">
        <f>125345.72-H3365</f>
        <v>₹82,061.89</v>
      </c>
    </row>
    <row r="3366" ht="15.75" customHeight="1">
      <c r="A3366" s="53" t="s">
        <v>3446</v>
      </c>
      <c r="B3366" s="53" t="s">
        <v>51</v>
      </c>
      <c r="C3366" s="53" t="s">
        <v>18</v>
      </c>
      <c r="D3366" s="54">
        <v>144302.6</v>
      </c>
      <c r="E3366" s="54" t="str">
        <f t="shared" si="1"/>
        <v>₹1,731,631.20</v>
      </c>
      <c r="F3366" s="55" t="str">
        <f t="shared" si="2"/>
        <v>30.0%</v>
      </c>
      <c r="G3366" s="54" t="str">
        <f t="shared" si="3"/>
        <v>₹519,489.36</v>
      </c>
      <c r="H3366" s="54" t="str">
        <f t="shared" si="4"/>
        <v>₹43,290.78</v>
      </c>
      <c r="I3366" s="54" t="str">
        <f>125365.49-H3366</f>
        <v>₹82,074.71</v>
      </c>
    </row>
    <row r="3367" ht="15.75" customHeight="1">
      <c r="A3367" s="50" t="s">
        <v>3447</v>
      </c>
      <c r="B3367" s="50" t="s">
        <v>13</v>
      </c>
      <c r="C3367" s="50" t="s">
        <v>54</v>
      </c>
      <c r="D3367" s="51">
        <v>144325.78</v>
      </c>
      <c r="E3367" s="51" t="str">
        <f t="shared" si="1"/>
        <v>₹1,731,909.36</v>
      </c>
      <c r="F3367" s="52" t="str">
        <f t="shared" si="2"/>
        <v>30.0%</v>
      </c>
      <c r="G3367" s="51" t="str">
        <f t="shared" si="3"/>
        <v>₹519,572.81</v>
      </c>
      <c r="H3367" s="51" t="str">
        <f t="shared" si="4"/>
        <v>₹43,297.73</v>
      </c>
      <c r="I3367" s="51" t="str">
        <f>125385.27-H3367</f>
        <v>₹82,087.54</v>
      </c>
    </row>
    <row r="3368" ht="15.75" customHeight="1">
      <c r="A3368" s="53" t="s">
        <v>3448</v>
      </c>
      <c r="B3368" s="53" t="s">
        <v>25</v>
      </c>
      <c r="C3368" s="53" t="s">
        <v>33</v>
      </c>
      <c r="D3368" s="54">
        <v>144348.96</v>
      </c>
      <c r="E3368" s="54" t="str">
        <f t="shared" si="1"/>
        <v>₹1,732,187.52</v>
      </c>
      <c r="F3368" s="55" t="str">
        <f t="shared" si="2"/>
        <v>30.0%</v>
      </c>
      <c r="G3368" s="54" t="str">
        <f t="shared" si="3"/>
        <v>₹519,656.26</v>
      </c>
      <c r="H3368" s="54" t="str">
        <f t="shared" si="4"/>
        <v>₹43,304.69</v>
      </c>
      <c r="I3368" s="54" t="str">
        <f>125405.06-H3368</f>
        <v>₹82,100.37</v>
      </c>
    </row>
    <row r="3369" ht="15.75" customHeight="1">
      <c r="A3369" s="50" t="s">
        <v>3449</v>
      </c>
      <c r="B3369" s="50" t="s">
        <v>53</v>
      </c>
      <c r="C3369" s="50" t="s">
        <v>30</v>
      </c>
      <c r="D3369" s="51">
        <v>144372.14</v>
      </c>
      <c r="E3369" s="51" t="str">
        <f t="shared" si="1"/>
        <v>₹1,732,465.68</v>
      </c>
      <c r="F3369" s="52" t="str">
        <f t="shared" si="2"/>
        <v>30.0%</v>
      </c>
      <c r="G3369" s="51" t="str">
        <f t="shared" si="3"/>
        <v>₹519,739.70</v>
      </c>
      <c r="H3369" s="51" t="str">
        <f t="shared" si="4"/>
        <v>₹43,311.64</v>
      </c>
      <c r="I3369" s="51" t="str">
        <f>125424.84-H3369</f>
        <v>₹82,113.20</v>
      </c>
    </row>
    <row r="3370" ht="15.75" customHeight="1">
      <c r="A3370" s="53" t="s">
        <v>3450</v>
      </c>
      <c r="B3370" s="53" t="s">
        <v>51</v>
      </c>
      <c r="C3370" s="53" t="s">
        <v>26</v>
      </c>
      <c r="D3370" s="54">
        <v>144395.31</v>
      </c>
      <c r="E3370" s="54" t="str">
        <f t="shared" si="1"/>
        <v>₹1,732,743.72</v>
      </c>
      <c r="F3370" s="55" t="str">
        <f t="shared" si="2"/>
        <v>30.0%</v>
      </c>
      <c r="G3370" s="54" t="str">
        <f t="shared" si="3"/>
        <v>₹519,823.12</v>
      </c>
      <c r="H3370" s="54" t="str">
        <f t="shared" si="4"/>
        <v>₹43,318.59</v>
      </c>
      <c r="I3370" s="54" t="str">
        <f>125444.61-H3370</f>
        <v>₹82,126.02</v>
      </c>
    </row>
    <row r="3371" ht="15.75" customHeight="1">
      <c r="A3371" s="50" t="s">
        <v>3451</v>
      </c>
      <c r="B3371" s="50" t="s">
        <v>13</v>
      </c>
      <c r="C3371" s="50" t="s">
        <v>18</v>
      </c>
      <c r="D3371" s="51">
        <v>144418.49</v>
      </c>
      <c r="E3371" s="51" t="str">
        <f t="shared" si="1"/>
        <v>₹1,733,021.88</v>
      </c>
      <c r="F3371" s="52" t="str">
        <f t="shared" si="2"/>
        <v>30.0%</v>
      </c>
      <c r="G3371" s="51" t="str">
        <f t="shared" si="3"/>
        <v>₹519,906.56</v>
      </c>
      <c r="H3371" s="51" t="str">
        <f t="shared" si="4"/>
        <v>₹43,325.55</v>
      </c>
      <c r="I3371" s="51" t="str">
        <f>125464.39-H3371</f>
        <v>₹82,138.84</v>
      </c>
    </row>
    <row r="3372" ht="15.75" customHeight="1">
      <c r="A3372" s="53" t="s">
        <v>3452</v>
      </c>
      <c r="B3372" s="53" t="s">
        <v>53</v>
      </c>
      <c r="C3372" s="53" t="s">
        <v>37</v>
      </c>
      <c r="D3372" s="54">
        <v>144441.67</v>
      </c>
      <c r="E3372" s="54" t="str">
        <f t="shared" si="1"/>
        <v>₹1,733,300.04</v>
      </c>
      <c r="F3372" s="55" t="str">
        <f t="shared" si="2"/>
        <v>30.0%</v>
      </c>
      <c r="G3372" s="54" t="str">
        <f t="shared" si="3"/>
        <v>₹519,990.01</v>
      </c>
      <c r="H3372" s="54" t="str">
        <f t="shared" si="4"/>
        <v>₹43,332.50</v>
      </c>
      <c r="I3372" s="54" t="str">
        <f>129676.36-H3372</f>
        <v>₹86,343.86</v>
      </c>
    </row>
    <row r="3373" ht="15.75" customHeight="1">
      <c r="A3373" s="50" t="s">
        <v>3453</v>
      </c>
      <c r="B3373" s="50" t="s">
        <v>25</v>
      </c>
      <c r="C3373" s="50" t="s">
        <v>54</v>
      </c>
      <c r="D3373" s="51">
        <v>144464.85</v>
      </c>
      <c r="E3373" s="51" t="str">
        <f t="shared" si="1"/>
        <v>₹1,733,578.20</v>
      </c>
      <c r="F3373" s="52" t="str">
        <f t="shared" si="2"/>
        <v>30.0%</v>
      </c>
      <c r="G3373" s="51" t="str">
        <f t="shared" si="3"/>
        <v>₹520,073.46</v>
      </c>
      <c r="H3373" s="51" t="str">
        <f t="shared" si="4"/>
        <v>₹43,339.46</v>
      </c>
      <c r="I3373" s="51" t="str">
        <f>125503.96-H3373</f>
        <v>₹82,164.51</v>
      </c>
    </row>
    <row r="3374" ht="15.75" customHeight="1">
      <c r="A3374" s="53" t="s">
        <v>3454</v>
      </c>
      <c r="B3374" s="53" t="s">
        <v>13</v>
      </c>
      <c r="C3374" s="53" t="s">
        <v>37</v>
      </c>
      <c r="D3374" s="54">
        <v>144488.02</v>
      </c>
      <c r="E3374" s="54" t="str">
        <f t="shared" si="1"/>
        <v>₹1,733,856.24</v>
      </c>
      <c r="F3374" s="55" t="str">
        <f t="shared" si="2"/>
        <v>30.0%</v>
      </c>
      <c r="G3374" s="54" t="str">
        <f t="shared" si="3"/>
        <v>₹520,156.87</v>
      </c>
      <c r="H3374" s="54" t="str">
        <f t="shared" si="4"/>
        <v>₹43,346.41</v>
      </c>
      <c r="I3374" s="54" t="str">
        <f>125523.73-H3374</f>
        <v>₹82,177.32</v>
      </c>
    </row>
    <row r="3375" ht="15.75" customHeight="1">
      <c r="A3375" s="50" t="s">
        <v>3455</v>
      </c>
      <c r="B3375" s="50" t="s">
        <v>29</v>
      </c>
      <c r="C3375" s="50" t="s">
        <v>33</v>
      </c>
      <c r="D3375" s="51">
        <v>144511.2</v>
      </c>
      <c r="E3375" s="51" t="str">
        <f t="shared" si="1"/>
        <v>₹1,734,134.40</v>
      </c>
      <c r="F3375" s="52" t="str">
        <f t="shared" si="2"/>
        <v>30.0%</v>
      </c>
      <c r="G3375" s="51" t="str">
        <f t="shared" si="3"/>
        <v>₹520,240.32</v>
      </c>
      <c r="H3375" s="51" t="str">
        <f t="shared" si="4"/>
        <v>₹43,353.36</v>
      </c>
      <c r="I3375" s="51" t="str">
        <f>125543.51-H3375</f>
        <v>₹82,190.15</v>
      </c>
    </row>
    <row r="3376" ht="15.75" customHeight="1">
      <c r="A3376" s="53" t="s">
        <v>3456</v>
      </c>
      <c r="B3376" s="53" t="s">
        <v>51</v>
      </c>
      <c r="C3376" s="53" t="s">
        <v>14</v>
      </c>
      <c r="D3376" s="54">
        <v>144534.38</v>
      </c>
      <c r="E3376" s="54" t="str">
        <f t="shared" si="1"/>
        <v>₹1,734,412.56</v>
      </c>
      <c r="F3376" s="55" t="str">
        <f t="shared" si="2"/>
        <v>30.0%</v>
      </c>
      <c r="G3376" s="54" t="str">
        <f t="shared" si="3"/>
        <v>₹520,323.77</v>
      </c>
      <c r="H3376" s="54" t="str">
        <f t="shared" si="4"/>
        <v>₹43,360.31</v>
      </c>
      <c r="I3376" s="54" t="str">
        <f>125563.3-H3376</f>
        <v>₹82,202.99</v>
      </c>
    </row>
    <row r="3377" ht="15.75" customHeight="1">
      <c r="A3377" s="50" t="s">
        <v>3457</v>
      </c>
      <c r="B3377" s="50" t="s">
        <v>13</v>
      </c>
      <c r="C3377" s="50" t="s">
        <v>14</v>
      </c>
      <c r="D3377" s="51">
        <v>144557.56</v>
      </c>
      <c r="E3377" s="51" t="str">
        <f t="shared" si="1"/>
        <v>₹1,734,690.72</v>
      </c>
      <c r="F3377" s="52" t="str">
        <f t="shared" si="2"/>
        <v>30.0%</v>
      </c>
      <c r="G3377" s="51" t="str">
        <f t="shared" si="3"/>
        <v>₹520,407.22</v>
      </c>
      <c r="H3377" s="51" t="str">
        <f t="shared" si="4"/>
        <v>₹43,367.27</v>
      </c>
      <c r="I3377" s="51" t="str">
        <f>125583.08-H3377</f>
        <v>₹82,215.81</v>
      </c>
    </row>
    <row r="3378" ht="15.75" customHeight="1">
      <c r="A3378" s="53" t="s">
        <v>3458</v>
      </c>
      <c r="B3378" s="53" t="s">
        <v>29</v>
      </c>
      <c r="C3378" s="53" t="s">
        <v>30</v>
      </c>
      <c r="D3378" s="54">
        <v>144580.74</v>
      </c>
      <c r="E3378" s="54" t="str">
        <f t="shared" si="1"/>
        <v>₹1,734,968.88</v>
      </c>
      <c r="F3378" s="55" t="str">
        <f t="shared" si="2"/>
        <v>30.0%</v>
      </c>
      <c r="G3378" s="54" t="str">
        <f t="shared" si="3"/>
        <v>₹520,490.66</v>
      </c>
      <c r="H3378" s="54" t="str">
        <f t="shared" si="4"/>
        <v>₹43,374.22</v>
      </c>
      <c r="I3378" s="54" t="str">
        <f>125602.86-H3378</f>
        <v>₹82,228.64</v>
      </c>
    </row>
    <row r="3379" ht="15.75" customHeight="1">
      <c r="A3379" s="50" t="s">
        <v>3459</v>
      </c>
      <c r="B3379" s="50" t="s">
        <v>53</v>
      </c>
      <c r="C3379" s="50" t="s">
        <v>14</v>
      </c>
      <c r="D3379" s="51">
        <v>144627.09</v>
      </c>
      <c r="E3379" s="51" t="str">
        <f t="shared" si="1"/>
        <v>₹1,735,525.08</v>
      </c>
      <c r="F3379" s="52" t="str">
        <f t="shared" si="2"/>
        <v>30.0%</v>
      </c>
      <c r="G3379" s="51" t="str">
        <f t="shared" si="3"/>
        <v>₹520,657.52</v>
      </c>
      <c r="H3379" s="51" t="str">
        <f t="shared" si="4"/>
        <v>₹43,388.13</v>
      </c>
      <c r="I3379" s="51" t="str">
        <f>125642.42-H3379</f>
        <v>₹82,254.29</v>
      </c>
    </row>
    <row r="3380" ht="15.75" customHeight="1">
      <c r="A3380" s="53" t="s">
        <v>3460</v>
      </c>
      <c r="B3380" s="53" t="s">
        <v>29</v>
      </c>
      <c r="C3380" s="53" t="s">
        <v>30</v>
      </c>
      <c r="D3380" s="54">
        <v>144650.27</v>
      </c>
      <c r="E3380" s="54" t="str">
        <f t="shared" si="1"/>
        <v>₹1,735,803.24</v>
      </c>
      <c r="F3380" s="55" t="str">
        <f t="shared" si="2"/>
        <v>30.0%</v>
      </c>
      <c r="G3380" s="54" t="str">
        <f t="shared" si="3"/>
        <v>₹520,740.97</v>
      </c>
      <c r="H3380" s="54" t="str">
        <f t="shared" si="4"/>
        <v>₹43,395.08</v>
      </c>
      <c r="I3380" s="54" t="str">
        <f>125662.2-H3380</f>
        <v>₹82,267.12</v>
      </c>
    </row>
    <row r="3381" ht="15.75" customHeight="1">
      <c r="A3381" s="50" t="s">
        <v>3461</v>
      </c>
      <c r="B3381" s="50" t="s">
        <v>51</v>
      </c>
      <c r="C3381" s="50" t="s">
        <v>37</v>
      </c>
      <c r="D3381" s="51">
        <v>144673.45</v>
      </c>
      <c r="E3381" s="51" t="str">
        <f t="shared" si="1"/>
        <v>₹1,736,081.40</v>
      </c>
      <c r="F3381" s="52" t="str">
        <f t="shared" si="2"/>
        <v>30.0%</v>
      </c>
      <c r="G3381" s="51" t="str">
        <f t="shared" si="3"/>
        <v>₹520,824.42</v>
      </c>
      <c r="H3381" s="51" t="str">
        <f t="shared" si="4"/>
        <v>₹43,402.04</v>
      </c>
      <c r="I3381" s="51" t="str">
        <f>125681.98-H3381</f>
        <v>₹82,279.95</v>
      </c>
    </row>
    <row r="3382" ht="15.75" customHeight="1">
      <c r="A3382" s="53" t="s">
        <v>3462</v>
      </c>
      <c r="B3382" s="53" t="s">
        <v>13</v>
      </c>
      <c r="C3382" s="53" t="s">
        <v>33</v>
      </c>
      <c r="D3382" s="54">
        <v>144696.62</v>
      </c>
      <c r="E3382" s="54" t="str">
        <f t="shared" si="1"/>
        <v>₹1,736,359.44</v>
      </c>
      <c r="F3382" s="55" t="str">
        <f t="shared" si="2"/>
        <v>30.0%</v>
      </c>
      <c r="G3382" s="54" t="str">
        <f t="shared" si="3"/>
        <v>₹520,907.83</v>
      </c>
      <c r="H3382" s="54" t="str">
        <f t="shared" si="4"/>
        <v>₹43,408.99</v>
      </c>
      <c r="I3382" s="54" t="str">
        <f>125701.75-H3382</f>
        <v>₹82,292.76</v>
      </c>
    </row>
    <row r="3383" ht="15.75" customHeight="1">
      <c r="A3383" s="50" t="s">
        <v>3463</v>
      </c>
      <c r="B3383" s="50" t="s">
        <v>29</v>
      </c>
      <c r="C3383" s="50" t="s">
        <v>54</v>
      </c>
      <c r="D3383" s="51">
        <v>144719.8</v>
      </c>
      <c r="E3383" s="51" t="str">
        <f t="shared" si="1"/>
        <v>₹1,736,637.60</v>
      </c>
      <c r="F3383" s="52" t="str">
        <f t="shared" si="2"/>
        <v>30.0%</v>
      </c>
      <c r="G3383" s="51" t="str">
        <f t="shared" si="3"/>
        <v>₹520,991.28</v>
      </c>
      <c r="H3383" s="51" t="str">
        <f t="shared" si="4"/>
        <v>₹43,415.94</v>
      </c>
      <c r="I3383" s="51" t="str">
        <f>125721.54-H3383</f>
        <v>₹82,305.60</v>
      </c>
    </row>
    <row r="3384" ht="15.75" customHeight="1">
      <c r="A3384" s="53" t="s">
        <v>3464</v>
      </c>
      <c r="B3384" s="53" t="s">
        <v>25</v>
      </c>
      <c r="C3384" s="53" t="s">
        <v>14</v>
      </c>
      <c r="D3384" s="54">
        <v>144742.98</v>
      </c>
      <c r="E3384" s="54" t="str">
        <f t="shared" si="1"/>
        <v>₹1,736,915.76</v>
      </c>
      <c r="F3384" s="55" t="str">
        <f t="shared" si="2"/>
        <v>30.0%</v>
      </c>
      <c r="G3384" s="54" t="str">
        <f t="shared" si="3"/>
        <v>₹521,074.73</v>
      </c>
      <c r="H3384" s="54" t="str">
        <f t="shared" si="4"/>
        <v>₹43,422.89</v>
      </c>
      <c r="I3384" s="54" t="str">
        <f>125741.32-H3384</f>
        <v>₹82,318.43</v>
      </c>
    </row>
    <row r="3385" ht="15.75" customHeight="1">
      <c r="A3385" s="50" t="s">
        <v>3465</v>
      </c>
      <c r="B3385" s="50" t="s">
        <v>36</v>
      </c>
      <c r="C3385" s="50" t="s">
        <v>18</v>
      </c>
      <c r="D3385" s="51">
        <v>144766.16</v>
      </c>
      <c r="E3385" s="51" t="str">
        <f t="shared" si="1"/>
        <v>₹1,737,193.92</v>
      </c>
      <c r="F3385" s="52" t="str">
        <f t="shared" si="2"/>
        <v>30.0%</v>
      </c>
      <c r="G3385" s="51" t="str">
        <f t="shared" si="3"/>
        <v>₹521,158.18</v>
      </c>
      <c r="H3385" s="51" t="str">
        <f t="shared" si="4"/>
        <v>₹43,429.85</v>
      </c>
      <c r="I3385" s="51" t="str">
        <f>125761.1-H3385</f>
        <v>₹82,331.25</v>
      </c>
    </row>
    <row r="3386" ht="15.75" customHeight="1">
      <c r="A3386" s="53" t="s">
        <v>3466</v>
      </c>
      <c r="B3386" s="53" t="s">
        <v>36</v>
      </c>
      <c r="C3386" s="53" t="s">
        <v>54</v>
      </c>
      <c r="D3386" s="54">
        <v>144789.33</v>
      </c>
      <c r="E3386" s="54" t="str">
        <f t="shared" si="1"/>
        <v>₹1,737,471.96</v>
      </c>
      <c r="F3386" s="55" t="str">
        <f t="shared" si="2"/>
        <v>30.0%</v>
      </c>
      <c r="G3386" s="54" t="str">
        <f t="shared" si="3"/>
        <v>₹521,241.59</v>
      </c>
      <c r="H3386" s="54" t="str">
        <f t="shared" si="4"/>
        <v>₹43,436.80</v>
      </c>
      <c r="I3386" s="54" t="str">
        <f>125780.87-H3386</f>
        <v>₹82,344.07</v>
      </c>
    </row>
    <row r="3387" ht="15.75" customHeight="1">
      <c r="A3387" s="50" t="s">
        <v>3467</v>
      </c>
      <c r="B3387" s="50" t="s">
        <v>36</v>
      </c>
      <c r="C3387" s="50" t="s">
        <v>26</v>
      </c>
      <c r="D3387" s="51">
        <v>144812.51</v>
      </c>
      <c r="E3387" s="51" t="str">
        <f t="shared" si="1"/>
        <v>₹1,737,750.12</v>
      </c>
      <c r="F3387" s="52" t="str">
        <f t="shared" si="2"/>
        <v>30.0%</v>
      </c>
      <c r="G3387" s="51" t="str">
        <f t="shared" si="3"/>
        <v>₹521,325.04</v>
      </c>
      <c r="H3387" s="51" t="str">
        <f t="shared" si="4"/>
        <v>₹43,443.75</v>
      </c>
      <c r="I3387" s="51" t="str">
        <f>125800.66-H3387</f>
        <v>₹82,356.91</v>
      </c>
    </row>
    <row r="3388" ht="15.75" customHeight="1">
      <c r="A3388" s="53" t="s">
        <v>3468</v>
      </c>
      <c r="B3388" s="53" t="s">
        <v>25</v>
      </c>
      <c r="C3388" s="53" t="s">
        <v>14</v>
      </c>
      <c r="D3388" s="54">
        <v>144835.69</v>
      </c>
      <c r="E3388" s="54" t="str">
        <f t="shared" si="1"/>
        <v>₹1,738,028.28</v>
      </c>
      <c r="F3388" s="55" t="str">
        <f t="shared" si="2"/>
        <v>30.0%</v>
      </c>
      <c r="G3388" s="54" t="str">
        <f t="shared" si="3"/>
        <v>₹521,408.48</v>
      </c>
      <c r="H3388" s="54" t="str">
        <f t="shared" si="4"/>
        <v>₹43,450.71</v>
      </c>
      <c r="I3388" s="54" t="str">
        <f>125820.44-H3388</f>
        <v>₹82,369.73</v>
      </c>
    </row>
    <row r="3389" ht="15.75" customHeight="1">
      <c r="A3389" s="50" t="s">
        <v>3469</v>
      </c>
      <c r="B3389" s="50" t="s">
        <v>53</v>
      </c>
      <c r="C3389" s="50" t="s">
        <v>37</v>
      </c>
      <c r="D3389" s="51">
        <v>144858.87</v>
      </c>
      <c r="E3389" s="51" t="str">
        <f t="shared" si="1"/>
        <v>₹1,738,306.44</v>
      </c>
      <c r="F3389" s="52" t="str">
        <f t="shared" si="2"/>
        <v>30.0%</v>
      </c>
      <c r="G3389" s="51" t="str">
        <f t="shared" si="3"/>
        <v>₹521,491.93</v>
      </c>
      <c r="H3389" s="51" t="str">
        <f t="shared" si="4"/>
        <v>₹43,457.66</v>
      </c>
      <c r="I3389" s="51" t="str">
        <f>125840.22-H3389</f>
        <v>₹82,382.56</v>
      </c>
    </row>
    <row r="3390" ht="15.75" customHeight="1">
      <c r="A3390" s="53" t="s">
        <v>3470</v>
      </c>
      <c r="B3390" s="53" t="s">
        <v>13</v>
      </c>
      <c r="C3390" s="53" t="s">
        <v>37</v>
      </c>
      <c r="D3390" s="54">
        <v>144882.05</v>
      </c>
      <c r="E3390" s="54" t="str">
        <f t="shared" si="1"/>
        <v>₹1,738,584.60</v>
      </c>
      <c r="F3390" s="55" t="str">
        <f t="shared" si="2"/>
        <v>30.0%</v>
      </c>
      <c r="G3390" s="54" t="str">
        <f t="shared" si="3"/>
        <v>₹521,575.38</v>
      </c>
      <c r="H3390" s="54" t="str">
        <f t="shared" si="4"/>
        <v>₹43,464.62</v>
      </c>
      <c r="I3390" s="54" t="str">
        <f>125860-H3390</f>
        <v>₹82,395.39</v>
      </c>
    </row>
    <row r="3391" ht="15.75" customHeight="1">
      <c r="A3391" s="50" t="s">
        <v>3471</v>
      </c>
      <c r="B3391" s="50" t="s">
        <v>36</v>
      </c>
      <c r="C3391" s="50" t="s">
        <v>26</v>
      </c>
      <c r="D3391" s="51">
        <v>144905.22</v>
      </c>
      <c r="E3391" s="51" t="str">
        <f t="shared" si="1"/>
        <v>₹1,738,862.64</v>
      </c>
      <c r="F3391" s="52" t="str">
        <f t="shared" si="2"/>
        <v>30.0%</v>
      </c>
      <c r="G3391" s="51" t="str">
        <f t="shared" si="3"/>
        <v>₹521,658.79</v>
      </c>
      <c r="H3391" s="51" t="str">
        <f t="shared" si="4"/>
        <v>₹43,471.57</v>
      </c>
      <c r="I3391" s="51" t="str">
        <f>125879.78-H3391</f>
        <v>₹82,408.21</v>
      </c>
    </row>
    <row r="3392" ht="15.75" customHeight="1">
      <c r="A3392" s="53" t="s">
        <v>3472</v>
      </c>
      <c r="B3392" s="53" t="s">
        <v>17</v>
      </c>
      <c r="C3392" s="53" t="s">
        <v>14</v>
      </c>
      <c r="D3392" s="54">
        <v>144928.4</v>
      </c>
      <c r="E3392" s="54" t="str">
        <f t="shared" si="1"/>
        <v>₹1,739,140.80</v>
      </c>
      <c r="F3392" s="55" t="str">
        <f t="shared" si="2"/>
        <v>30.0%</v>
      </c>
      <c r="G3392" s="54" t="str">
        <f t="shared" si="3"/>
        <v>₹521,742.24</v>
      </c>
      <c r="H3392" s="54" t="str">
        <f t="shared" si="4"/>
        <v>₹43,478.52</v>
      </c>
      <c r="I3392" s="54" t="str">
        <f>125899.56-H3392</f>
        <v>₹82,421.04</v>
      </c>
    </row>
    <row r="3393" ht="15.75" customHeight="1">
      <c r="A3393" s="50" t="s">
        <v>3473</v>
      </c>
      <c r="B3393" s="50" t="s">
        <v>51</v>
      </c>
      <c r="C3393" s="50" t="s">
        <v>26</v>
      </c>
      <c r="D3393" s="51">
        <v>144951.58</v>
      </c>
      <c r="E3393" s="51" t="str">
        <f t="shared" si="1"/>
        <v>₹1,739,418.96</v>
      </c>
      <c r="F3393" s="52" t="str">
        <f t="shared" si="2"/>
        <v>30.0%</v>
      </c>
      <c r="G3393" s="51" t="str">
        <f t="shared" si="3"/>
        <v>₹521,825.69</v>
      </c>
      <c r="H3393" s="51" t="str">
        <f t="shared" si="4"/>
        <v>₹43,485.47</v>
      </c>
      <c r="I3393" s="51" t="str">
        <f>125919.34-H3393</f>
        <v>₹82,433.87</v>
      </c>
    </row>
    <row r="3394" ht="15.75" customHeight="1">
      <c r="A3394" s="53" t="s">
        <v>3474</v>
      </c>
      <c r="B3394" s="53" t="s">
        <v>17</v>
      </c>
      <c r="C3394" s="53" t="s">
        <v>37</v>
      </c>
      <c r="D3394" s="54">
        <v>144974.76</v>
      </c>
      <c r="E3394" s="54" t="str">
        <f t="shared" si="1"/>
        <v>₹1,739,697.12</v>
      </c>
      <c r="F3394" s="55" t="str">
        <f t="shared" si="2"/>
        <v>30.0%</v>
      </c>
      <c r="G3394" s="54" t="str">
        <f t="shared" si="3"/>
        <v>₹521,909.14</v>
      </c>
      <c r="H3394" s="54" t="str">
        <f t="shared" si="4"/>
        <v>₹43,492.43</v>
      </c>
      <c r="I3394" s="54" t="str">
        <f>125939.12-H3394</f>
        <v>₹82,446.69</v>
      </c>
    </row>
    <row r="3395" ht="15.75" customHeight="1">
      <c r="A3395" s="50" t="s">
        <v>3475</v>
      </c>
      <c r="B3395" s="50" t="s">
        <v>17</v>
      </c>
      <c r="C3395" s="50" t="s">
        <v>18</v>
      </c>
      <c r="D3395" s="51">
        <v>144997.93</v>
      </c>
      <c r="E3395" s="51" t="str">
        <f t="shared" si="1"/>
        <v>₹1,739,975.16</v>
      </c>
      <c r="F3395" s="52" t="str">
        <f t="shared" si="2"/>
        <v>30.0%</v>
      </c>
      <c r="G3395" s="51" t="str">
        <f t="shared" si="3"/>
        <v>₹521,992.55</v>
      </c>
      <c r="H3395" s="51" t="str">
        <f t="shared" si="4"/>
        <v>₹43,499.38</v>
      </c>
      <c r="I3395" s="51" t="str">
        <f>125958.9-H3395</f>
        <v>₹82,459.52</v>
      </c>
    </row>
    <row r="3396" ht="15.75" customHeight="1">
      <c r="A3396" s="53" t="s">
        <v>3476</v>
      </c>
      <c r="B3396" s="53" t="s">
        <v>36</v>
      </c>
      <c r="C3396" s="53" t="s">
        <v>18</v>
      </c>
      <c r="D3396" s="54">
        <v>145044.29</v>
      </c>
      <c r="E3396" s="54" t="str">
        <f t="shared" si="1"/>
        <v>₹1,740,531.48</v>
      </c>
      <c r="F3396" s="55" t="str">
        <f t="shared" si="2"/>
        <v>30.0%</v>
      </c>
      <c r="G3396" s="54" t="str">
        <f t="shared" si="3"/>
        <v>₹522,159.44</v>
      </c>
      <c r="H3396" s="54" t="str">
        <f t="shared" si="4"/>
        <v>₹43,513.29</v>
      </c>
      <c r="I3396" s="54" t="str">
        <f>125998.46-H3396</f>
        <v>₹82,485.17</v>
      </c>
    </row>
    <row r="3397" ht="15.75" customHeight="1">
      <c r="A3397" s="50" t="s">
        <v>3477</v>
      </c>
      <c r="B3397" s="50" t="s">
        <v>25</v>
      </c>
      <c r="C3397" s="50" t="s">
        <v>37</v>
      </c>
      <c r="D3397" s="51">
        <v>145067.47</v>
      </c>
      <c r="E3397" s="51" t="str">
        <f t="shared" si="1"/>
        <v>₹1,740,809.64</v>
      </c>
      <c r="F3397" s="52" t="str">
        <f t="shared" si="2"/>
        <v>30.0%</v>
      </c>
      <c r="G3397" s="51" t="str">
        <f t="shared" si="3"/>
        <v>₹522,242.89</v>
      </c>
      <c r="H3397" s="51" t="str">
        <f t="shared" si="4"/>
        <v>₹43,520.24</v>
      </c>
      <c r="I3397" s="51" t="str">
        <f>126018.24-H3397</f>
        <v>₹82,498.00</v>
      </c>
    </row>
    <row r="3398" ht="15.75" customHeight="1">
      <c r="A3398" s="53" t="s">
        <v>3478</v>
      </c>
      <c r="B3398" s="53" t="s">
        <v>25</v>
      </c>
      <c r="C3398" s="53" t="s">
        <v>26</v>
      </c>
      <c r="D3398" s="54">
        <v>145090.64</v>
      </c>
      <c r="E3398" s="54" t="str">
        <f t="shared" si="1"/>
        <v>₹1,741,087.68</v>
      </c>
      <c r="F3398" s="55" t="str">
        <f t="shared" si="2"/>
        <v>30.0%</v>
      </c>
      <c r="G3398" s="54" t="str">
        <f t="shared" si="3"/>
        <v>₹522,326.30</v>
      </c>
      <c r="H3398" s="54" t="str">
        <f t="shared" si="4"/>
        <v>₹43,527.19</v>
      </c>
      <c r="I3398" s="54" t="str">
        <f>126038.01-H3398</f>
        <v>₹82,510.82</v>
      </c>
    </row>
    <row r="3399" ht="15.75" customHeight="1">
      <c r="A3399" s="50" t="s">
        <v>3479</v>
      </c>
      <c r="B3399" s="50" t="s">
        <v>25</v>
      </c>
      <c r="C3399" s="50" t="s">
        <v>26</v>
      </c>
      <c r="D3399" s="51">
        <v>145113.82</v>
      </c>
      <c r="E3399" s="51" t="str">
        <f t="shared" si="1"/>
        <v>₹1,741,365.84</v>
      </c>
      <c r="F3399" s="52" t="str">
        <f t="shared" si="2"/>
        <v>30.0%</v>
      </c>
      <c r="G3399" s="51" t="str">
        <f t="shared" si="3"/>
        <v>₹522,409.75</v>
      </c>
      <c r="H3399" s="51" t="str">
        <f t="shared" si="4"/>
        <v>₹43,534.15</v>
      </c>
      <c r="I3399" s="51" t="str">
        <f>126057.8-H3399</f>
        <v>₹82,523.65</v>
      </c>
    </row>
    <row r="3400" ht="15.75" customHeight="1">
      <c r="A3400" s="53" t="s">
        <v>3480</v>
      </c>
      <c r="B3400" s="53" t="s">
        <v>51</v>
      </c>
      <c r="C3400" s="53" t="s">
        <v>14</v>
      </c>
      <c r="D3400" s="54">
        <v>145137.0</v>
      </c>
      <c r="E3400" s="54" t="str">
        <f t="shared" si="1"/>
        <v>₹1,741,644.00</v>
      </c>
      <c r="F3400" s="55" t="str">
        <f t="shared" si="2"/>
        <v>30.0%</v>
      </c>
      <c r="G3400" s="54" t="str">
        <f t="shared" si="3"/>
        <v>₹522,493.20</v>
      </c>
      <c r="H3400" s="54" t="str">
        <f t="shared" si="4"/>
        <v>₹43,541.10</v>
      </c>
      <c r="I3400" s="54" t="str">
        <f>126077.58-H3400</f>
        <v>₹82,536.48</v>
      </c>
    </row>
    <row r="3401" ht="15.75" customHeight="1">
      <c r="A3401" s="50" t="s">
        <v>3481</v>
      </c>
      <c r="B3401" s="50" t="s">
        <v>29</v>
      </c>
      <c r="C3401" s="50" t="s">
        <v>30</v>
      </c>
      <c r="D3401" s="51">
        <v>145160.18</v>
      </c>
      <c r="E3401" s="51" t="str">
        <f t="shared" si="1"/>
        <v>₹1,741,922.16</v>
      </c>
      <c r="F3401" s="52" t="str">
        <f t="shared" si="2"/>
        <v>30.0%</v>
      </c>
      <c r="G3401" s="51" t="str">
        <f t="shared" si="3"/>
        <v>₹522,576.65</v>
      </c>
      <c r="H3401" s="51" t="str">
        <f t="shared" si="4"/>
        <v>₹43,548.05</v>
      </c>
      <c r="I3401" s="51" t="str">
        <f>126097.36-H3401</f>
        <v>₹82,549.31</v>
      </c>
    </row>
    <row r="3402" ht="15.75" customHeight="1">
      <c r="A3402" s="53" t="s">
        <v>3482</v>
      </c>
      <c r="B3402" s="53" t="s">
        <v>53</v>
      </c>
      <c r="C3402" s="53" t="s">
        <v>54</v>
      </c>
      <c r="D3402" s="54">
        <v>145183.36</v>
      </c>
      <c r="E3402" s="54" t="str">
        <f t="shared" si="1"/>
        <v>₹1,742,200.32</v>
      </c>
      <c r="F3402" s="55" t="str">
        <f t="shared" si="2"/>
        <v>30.0%</v>
      </c>
      <c r="G3402" s="54" t="str">
        <f t="shared" si="3"/>
        <v>₹522,660.10</v>
      </c>
      <c r="H3402" s="54" t="str">
        <f t="shared" si="4"/>
        <v>₹43,555.01</v>
      </c>
      <c r="I3402" s="54" t="str">
        <f>126117.14-H3402</f>
        <v>₹82,562.13</v>
      </c>
    </row>
    <row r="3403" ht="15.75" customHeight="1">
      <c r="A3403" s="50" t="s">
        <v>3483</v>
      </c>
      <c r="B3403" s="50" t="s">
        <v>17</v>
      </c>
      <c r="C3403" s="50" t="s">
        <v>33</v>
      </c>
      <c r="D3403" s="51">
        <v>145206.53</v>
      </c>
      <c r="E3403" s="51" t="str">
        <f t="shared" si="1"/>
        <v>₹1,742,478.36</v>
      </c>
      <c r="F3403" s="52" t="str">
        <f t="shared" si="2"/>
        <v>30.0%</v>
      </c>
      <c r="G3403" s="51" t="str">
        <f t="shared" si="3"/>
        <v>₹522,743.51</v>
      </c>
      <c r="H3403" s="51" t="str">
        <f t="shared" si="4"/>
        <v>₹43,561.96</v>
      </c>
      <c r="I3403" s="51" t="str">
        <f>126136.92-H3403</f>
        <v>₹82,574.96</v>
      </c>
    </row>
    <row r="3404" ht="15.75" customHeight="1">
      <c r="A3404" s="53" t="s">
        <v>3484</v>
      </c>
      <c r="B3404" s="53" t="s">
        <v>53</v>
      </c>
      <c r="C3404" s="53" t="s">
        <v>54</v>
      </c>
      <c r="D3404" s="54">
        <v>145252.89</v>
      </c>
      <c r="E3404" s="54" t="str">
        <f t="shared" si="1"/>
        <v>₹1,743,034.68</v>
      </c>
      <c r="F3404" s="55" t="str">
        <f t="shared" si="2"/>
        <v>30.0%</v>
      </c>
      <c r="G3404" s="54" t="str">
        <f t="shared" si="3"/>
        <v>₹522,910.40</v>
      </c>
      <c r="H3404" s="54" t="str">
        <f t="shared" si="4"/>
        <v>₹43,575.87</v>
      </c>
      <c r="I3404" s="54" t="str">
        <f>126176.48-H3404</f>
        <v>₹82,600.61</v>
      </c>
    </row>
    <row r="3405" ht="15.75" customHeight="1">
      <c r="A3405" s="50" t="s">
        <v>3485</v>
      </c>
      <c r="B3405" s="50" t="s">
        <v>25</v>
      </c>
      <c r="C3405" s="50" t="s">
        <v>30</v>
      </c>
      <c r="D3405" s="51">
        <v>145276.07</v>
      </c>
      <c r="E3405" s="51" t="str">
        <f t="shared" si="1"/>
        <v>₹1,743,312.84</v>
      </c>
      <c r="F3405" s="52" t="str">
        <f t="shared" si="2"/>
        <v>30.0%</v>
      </c>
      <c r="G3405" s="51" t="str">
        <f t="shared" si="3"/>
        <v>₹522,993.85</v>
      </c>
      <c r="H3405" s="51" t="str">
        <f t="shared" si="4"/>
        <v>₹43,582.82</v>
      </c>
      <c r="I3405" s="51" t="str">
        <f>126196.26-H3405</f>
        <v>₹82,613.44</v>
      </c>
    </row>
    <row r="3406" ht="15.75" customHeight="1">
      <c r="A3406" s="53" t="s">
        <v>3486</v>
      </c>
      <c r="B3406" s="53" t="s">
        <v>53</v>
      </c>
      <c r="C3406" s="53" t="s">
        <v>37</v>
      </c>
      <c r="D3406" s="54">
        <v>145322.42</v>
      </c>
      <c r="E3406" s="54" t="str">
        <f t="shared" si="1"/>
        <v>₹1,743,869.04</v>
      </c>
      <c r="F3406" s="55" t="str">
        <f t="shared" si="2"/>
        <v>30.0%</v>
      </c>
      <c r="G3406" s="54" t="str">
        <f t="shared" si="3"/>
        <v>₹523,160.71</v>
      </c>
      <c r="H3406" s="54" t="str">
        <f t="shared" si="4"/>
        <v>₹43,596.73</v>
      </c>
      <c r="I3406" s="54" t="str">
        <f>126235.82-H3406</f>
        <v>₹82,639.09</v>
      </c>
    </row>
    <row r="3407" ht="15.75" customHeight="1">
      <c r="A3407" s="50" t="s">
        <v>3487</v>
      </c>
      <c r="B3407" s="50" t="s">
        <v>53</v>
      </c>
      <c r="C3407" s="50" t="s">
        <v>37</v>
      </c>
      <c r="D3407" s="51">
        <v>145345.6</v>
      </c>
      <c r="E3407" s="51" t="str">
        <f t="shared" si="1"/>
        <v>₹1,744,147.20</v>
      </c>
      <c r="F3407" s="52" t="str">
        <f t="shared" si="2"/>
        <v>30.0%</v>
      </c>
      <c r="G3407" s="51" t="str">
        <f t="shared" si="3"/>
        <v>₹523,244.16</v>
      </c>
      <c r="H3407" s="51" t="str">
        <f t="shared" si="4"/>
        <v>₹43,603.68</v>
      </c>
      <c r="I3407" s="51" t="str">
        <f>126255.6-H3407</f>
        <v>₹82,651.92</v>
      </c>
    </row>
    <row r="3408" ht="15.75" customHeight="1">
      <c r="A3408" s="53" t="s">
        <v>3488</v>
      </c>
      <c r="B3408" s="53" t="s">
        <v>13</v>
      </c>
      <c r="C3408" s="53" t="s">
        <v>33</v>
      </c>
      <c r="D3408" s="54">
        <v>145391.95</v>
      </c>
      <c r="E3408" s="54" t="str">
        <f t="shared" si="1"/>
        <v>₹1,744,703.40</v>
      </c>
      <c r="F3408" s="55" t="str">
        <f t="shared" si="2"/>
        <v>30.0%</v>
      </c>
      <c r="G3408" s="54" t="str">
        <f t="shared" si="3"/>
        <v>₹523,411.02</v>
      </c>
      <c r="H3408" s="54" t="str">
        <f t="shared" si="4"/>
        <v>₹43,617.59</v>
      </c>
      <c r="I3408" s="54" t="str">
        <f>126295.16-H3408</f>
        <v>₹82,677.58</v>
      </c>
    </row>
    <row r="3409" ht="15.75" customHeight="1">
      <c r="A3409" s="50" t="s">
        <v>3489</v>
      </c>
      <c r="B3409" s="50" t="s">
        <v>51</v>
      </c>
      <c r="C3409" s="50" t="s">
        <v>14</v>
      </c>
      <c r="D3409" s="51">
        <v>145415.13</v>
      </c>
      <c r="E3409" s="51" t="str">
        <f t="shared" si="1"/>
        <v>₹1,744,981.56</v>
      </c>
      <c r="F3409" s="52" t="str">
        <f t="shared" si="2"/>
        <v>30.0%</v>
      </c>
      <c r="G3409" s="51" t="str">
        <f t="shared" si="3"/>
        <v>₹523,494.47</v>
      </c>
      <c r="H3409" s="51" t="str">
        <f t="shared" si="4"/>
        <v>₹43,624.54</v>
      </c>
      <c r="I3409" s="51" t="str">
        <f>126314.94-H3409</f>
        <v>₹82,690.40</v>
      </c>
    </row>
    <row r="3410" ht="15.75" customHeight="1">
      <c r="A3410" s="53" t="s">
        <v>3490</v>
      </c>
      <c r="B3410" s="53" t="s">
        <v>25</v>
      </c>
      <c r="C3410" s="53" t="s">
        <v>33</v>
      </c>
      <c r="D3410" s="54">
        <v>145438.31</v>
      </c>
      <c r="E3410" s="54" t="str">
        <f t="shared" si="1"/>
        <v>₹1,745,259.72</v>
      </c>
      <c r="F3410" s="55" t="str">
        <f t="shared" si="2"/>
        <v>30.0%</v>
      </c>
      <c r="G3410" s="54" t="str">
        <f t="shared" si="3"/>
        <v>₹523,577.92</v>
      </c>
      <c r="H3410" s="54" t="str">
        <f t="shared" si="4"/>
        <v>₹43,631.49</v>
      </c>
      <c r="I3410" s="54" t="str">
        <f>126334.72-H3410</f>
        <v>₹82,703.23</v>
      </c>
    </row>
    <row r="3411" ht="15.75" customHeight="1">
      <c r="A3411" s="50" t="s">
        <v>3491</v>
      </c>
      <c r="B3411" s="50" t="s">
        <v>51</v>
      </c>
      <c r="C3411" s="50" t="s">
        <v>54</v>
      </c>
      <c r="D3411" s="51">
        <v>145461.49</v>
      </c>
      <c r="E3411" s="51" t="str">
        <f t="shared" si="1"/>
        <v>₹1,745,537.88</v>
      </c>
      <c r="F3411" s="52" t="str">
        <f t="shared" si="2"/>
        <v>30.0%</v>
      </c>
      <c r="G3411" s="51" t="str">
        <f t="shared" si="3"/>
        <v>₹523,661.36</v>
      </c>
      <c r="H3411" s="51" t="str">
        <f t="shared" si="4"/>
        <v>₹43,638.45</v>
      </c>
      <c r="I3411" s="51" t="str">
        <f>126354.5-H3411</f>
        <v>₹82,716.05</v>
      </c>
    </row>
    <row r="3412" ht="15.75" customHeight="1">
      <c r="A3412" s="53" t="s">
        <v>3492</v>
      </c>
      <c r="B3412" s="53" t="s">
        <v>17</v>
      </c>
      <c r="C3412" s="53" t="s">
        <v>30</v>
      </c>
      <c r="D3412" s="54">
        <v>145484.67</v>
      </c>
      <c r="E3412" s="54" t="str">
        <f t="shared" si="1"/>
        <v>₹1,745,816.04</v>
      </c>
      <c r="F3412" s="55" t="str">
        <f t="shared" si="2"/>
        <v>30.0%</v>
      </c>
      <c r="G3412" s="54" t="str">
        <f t="shared" si="3"/>
        <v>₹523,744.81</v>
      </c>
      <c r="H3412" s="54" t="str">
        <f t="shared" si="4"/>
        <v>₹43,645.40</v>
      </c>
      <c r="I3412" s="54" t="str">
        <f>126374.29-H3412</f>
        <v>₹82,728.89</v>
      </c>
    </row>
    <row r="3413" ht="15.75" customHeight="1">
      <c r="A3413" s="50" t="s">
        <v>3493</v>
      </c>
      <c r="B3413" s="50" t="s">
        <v>13</v>
      </c>
      <c r="C3413" s="50" t="s">
        <v>33</v>
      </c>
      <c r="D3413" s="51">
        <v>145507.84</v>
      </c>
      <c r="E3413" s="51" t="str">
        <f t="shared" si="1"/>
        <v>₹1,746,094.08</v>
      </c>
      <c r="F3413" s="52" t="str">
        <f t="shared" si="2"/>
        <v>30.0%</v>
      </c>
      <c r="G3413" s="51" t="str">
        <f t="shared" si="3"/>
        <v>₹523,828.22</v>
      </c>
      <c r="H3413" s="51" t="str">
        <f t="shared" si="4"/>
        <v>₹43,652.35</v>
      </c>
      <c r="I3413" s="51" t="str">
        <f>126394.06-H3413</f>
        <v>₹82,741.71</v>
      </c>
    </row>
    <row r="3414" ht="15.75" customHeight="1">
      <c r="A3414" s="53" t="s">
        <v>3494</v>
      </c>
      <c r="B3414" s="53" t="s">
        <v>13</v>
      </c>
      <c r="C3414" s="53" t="s">
        <v>37</v>
      </c>
      <c r="D3414" s="54">
        <v>129993.51</v>
      </c>
      <c r="E3414" s="54" t="str">
        <f t="shared" si="1"/>
        <v>₹1,559,922.12</v>
      </c>
      <c r="F3414" s="55" t="str">
        <f t="shared" si="2"/>
        <v>30.0%</v>
      </c>
      <c r="G3414" s="54" t="str">
        <f t="shared" si="3"/>
        <v>₹467,976.64</v>
      </c>
      <c r="H3414" s="54" t="str">
        <f t="shared" si="4"/>
        <v>₹38,998.05</v>
      </c>
      <c r="I3414" s="54" t="str">
        <f>110876.33-H3414</f>
        <v>₹71,878.28</v>
      </c>
    </row>
    <row r="3415" ht="15.75" customHeight="1">
      <c r="A3415" s="50" t="s">
        <v>3495</v>
      </c>
      <c r="B3415" s="50" t="s">
        <v>13</v>
      </c>
      <c r="C3415" s="50" t="s">
        <v>14</v>
      </c>
      <c r="D3415" s="51">
        <v>145554.2</v>
      </c>
      <c r="E3415" s="51" t="str">
        <f t="shared" si="1"/>
        <v>₹1,746,650.40</v>
      </c>
      <c r="F3415" s="52" t="str">
        <f t="shared" si="2"/>
        <v>30.0%</v>
      </c>
      <c r="G3415" s="51" t="str">
        <f t="shared" si="3"/>
        <v>₹523,995.12</v>
      </c>
      <c r="H3415" s="51" t="str">
        <f t="shared" si="4"/>
        <v>₹43,666.26</v>
      </c>
      <c r="I3415" s="51" t="str">
        <f>126433.62-H3415</f>
        <v>₹82,767.36</v>
      </c>
    </row>
    <row r="3416" ht="15.75" customHeight="1">
      <c r="A3416" s="53" t="s">
        <v>3496</v>
      </c>
      <c r="B3416" s="53" t="s">
        <v>51</v>
      </c>
      <c r="C3416" s="53" t="s">
        <v>14</v>
      </c>
      <c r="D3416" s="54">
        <v>145577.38</v>
      </c>
      <c r="E3416" s="54" t="str">
        <f t="shared" si="1"/>
        <v>₹1,746,928.56</v>
      </c>
      <c r="F3416" s="55" t="str">
        <f t="shared" si="2"/>
        <v>30.0%</v>
      </c>
      <c r="G3416" s="54" t="str">
        <f t="shared" si="3"/>
        <v>₹524,078.57</v>
      </c>
      <c r="H3416" s="54" t="str">
        <f t="shared" si="4"/>
        <v>₹43,673.21</v>
      </c>
      <c r="I3416" s="54" t="str">
        <f>126453.41-H3416</f>
        <v>₹82,780.20</v>
      </c>
    </row>
    <row r="3417" ht="15.75" customHeight="1">
      <c r="A3417" s="50" t="s">
        <v>3497</v>
      </c>
      <c r="B3417" s="50" t="s">
        <v>51</v>
      </c>
      <c r="C3417" s="50" t="s">
        <v>14</v>
      </c>
      <c r="D3417" s="51">
        <v>145600.55</v>
      </c>
      <c r="E3417" s="51" t="str">
        <f t="shared" si="1"/>
        <v>₹1,747,206.60</v>
      </c>
      <c r="F3417" s="52" t="str">
        <f t="shared" si="2"/>
        <v>30.0%</v>
      </c>
      <c r="G3417" s="51" t="str">
        <f t="shared" si="3"/>
        <v>₹524,161.98</v>
      </c>
      <c r="H3417" s="51" t="str">
        <f t="shared" si="4"/>
        <v>₹43,680.17</v>
      </c>
      <c r="I3417" s="51" t="str">
        <f>126473.18-H3417</f>
        <v>₹82,793.02</v>
      </c>
    </row>
    <row r="3418" ht="15.75" customHeight="1">
      <c r="A3418" s="53" t="s">
        <v>3498</v>
      </c>
      <c r="B3418" s="53" t="s">
        <v>36</v>
      </c>
      <c r="C3418" s="53" t="s">
        <v>26</v>
      </c>
      <c r="D3418" s="54">
        <v>145623.73</v>
      </c>
      <c r="E3418" s="54" t="str">
        <f t="shared" si="1"/>
        <v>₹1,747,484.76</v>
      </c>
      <c r="F3418" s="55" t="str">
        <f t="shared" si="2"/>
        <v>30.0%</v>
      </c>
      <c r="G3418" s="54" t="str">
        <f t="shared" si="3"/>
        <v>₹524,245.43</v>
      </c>
      <c r="H3418" s="54" t="str">
        <f t="shared" si="4"/>
        <v>₹43,687.12</v>
      </c>
      <c r="I3418" s="54" t="str">
        <f>126492.96-H3418</f>
        <v>₹82,805.84</v>
      </c>
    </row>
    <row r="3419" ht="15.75" customHeight="1">
      <c r="A3419" s="50" t="s">
        <v>3499</v>
      </c>
      <c r="B3419" s="50" t="s">
        <v>51</v>
      </c>
      <c r="C3419" s="50" t="s">
        <v>18</v>
      </c>
      <c r="D3419" s="51">
        <v>145646.91</v>
      </c>
      <c r="E3419" s="51" t="str">
        <f t="shared" si="1"/>
        <v>₹1,747,762.92</v>
      </c>
      <c r="F3419" s="52" t="str">
        <f t="shared" si="2"/>
        <v>30.0%</v>
      </c>
      <c r="G3419" s="51" t="str">
        <f t="shared" si="3"/>
        <v>₹524,328.88</v>
      </c>
      <c r="H3419" s="51" t="str">
        <f t="shared" si="4"/>
        <v>₹43,694.07</v>
      </c>
      <c r="I3419" s="51" t="str">
        <f>126512.74-H3419</f>
        <v>₹82,818.67</v>
      </c>
    </row>
    <row r="3420" ht="15.75" customHeight="1">
      <c r="A3420" s="53" t="s">
        <v>3500</v>
      </c>
      <c r="B3420" s="53" t="s">
        <v>51</v>
      </c>
      <c r="C3420" s="53" t="s">
        <v>14</v>
      </c>
      <c r="D3420" s="54">
        <v>145670.09</v>
      </c>
      <c r="E3420" s="54" t="str">
        <f t="shared" si="1"/>
        <v>₹1,748,041.08</v>
      </c>
      <c r="F3420" s="55" t="str">
        <f t="shared" si="2"/>
        <v>30.0%</v>
      </c>
      <c r="G3420" s="54" t="str">
        <f t="shared" si="3"/>
        <v>₹524,412.32</v>
      </c>
      <c r="H3420" s="54" t="str">
        <f t="shared" si="4"/>
        <v>₹43,701.03</v>
      </c>
      <c r="I3420" s="54" t="str">
        <f>126532.53-H3420</f>
        <v>₹82,831.50</v>
      </c>
    </row>
    <row r="3421" ht="15.75" customHeight="1">
      <c r="A3421" s="50" t="s">
        <v>3501</v>
      </c>
      <c r="B3421" s="50" t="s">
        <v>13</v>
      </c>
      <c r="C3421" s="50" t="s">
        <v>26</v>
      </c>
      <c r="D3421" s="51">
        <v>145693.26</v>
      </c>
      <c r="E3421" s="51" t="str">
        <f t="shared" si="1"/>
        <v>₹1,748,319.12</v>
      </c>
      <c r="F3421" s="52" t="str">
        <f t="shared" si="2"/>
        <v>30.0%</v>
      </c>
      <c r="G3421" s="51" t="str">
        <f t="shared" si="3"/>
        <v>₹524,495.74</v>
      </c>
      <c r="H3421" s="51" t="str">
        <f t="shared" si="4"/>
        <v>₹43,707.98</v>
      </c>
      <c r="I3421" s="51" t="str">
        <f>126552.3-H3421</f>
        <v>₹82,844.32</v>
      </c>
    </row>
    <row r="3422" ht="15.75" customHeight="1">
      <c r="A3422" s="53" t="s">
        <v>3502</v>
      </c>
      <c r="B3422" s="53" t="s">
        <v>29</v>
      </c>
      <c r="C3422" s="53" t="s">
        <v>26</v>
      </c>
      <c r="D3422" s="54">
        <v>145716.44</v>
      </c>
      <c r="E3422" s="54" t="str">
        <f t="shared" si="1"/>
        <v>₹1,748,597.28</v>
      </c>
      <c r="F3422" s="55" t="str">
        <f t="shared" si="2"/>
        <v>30.0%</v>
      </c>
      <c r="G3422" s="54" t="str">
        <f t="shared" si="3"/>
        <v>₹524,579.18</v>
      </c>
      <c r="H3422" s="54" t="str">
        <f t="shared" si="4"/>
        <v>₹43,714.93</v>
      </c>
      <c r="I3422" s="54" t="str">
        <f>126572.08-H3422</f>
        <v>₹82,857.15</v>
      </c>
    </row>
    <row r="3423" ht="15.75" customHeight="1">
      <c r="A3423" s="50" t="s">
        <v>3503</v>
      </c>
      <c r="B3423" s="50" t="s">
        <v>17</v>
      </c>
      <c r="C3423" s="50" t="s">
        <v>26</v>
      </c>
      <c r="D3423" s="51">
        <v>145739.62</v>
      </c>
      <c r="E3423" s="51" t="str">
        <f t="shared" si="1"/>
        <v>₹1,748,875.44</v>
      </c>
      <c r="F3423" s="52" t="str">
        <f t="shared" si="2"/>
        <v>30.0%</v>
      </c>
      <c r="G3423" s="51" t="str">
        <f t="shared" si="3"/>
        <v>₹524,662.63</v>
      </c>
      <c r="H3423" s="51" t="str">
        <f t="shared" si="4"/>
        <v>₹43,721.89</v>
      </c>
      <c r="I3423" s="51" t="str">
        <f>126591.86-H3423</f>
        <v>₹82,869.97</v>
      </c>
    </row>
    <row r="3424" ht="15.75" customHeight="1">
      <c r="A3424" s="53" t="s">
        <v>3504</v>
      </c>
      <c r="B3424" s="53" t="s">
        <v>53</v>
      </c>
      <c r="C3424" s="53" t="s">
        <v>30</v>
      </c>
      <c r="D3424" s="54">
        <v>145762.8</v>
      </c>
      <c r="E3424" s="54" t="str">
        <f t="shared" si="1"/>
        <v>₹1,749,153.60</v>
      </c>
      <c r="F3424" s="55" t="str">
        <f t="shared" si="2"/>
        <v>30.0%</v>
      </c>
      <c r="G3424" s="54" t="str">
        <f t="shared" si="3"/>
        <v>₹524,746.08</v>
      </c>
      <c r="H3424" s="54" t="str">
        <f t="shared" si="4"/>
        <v>₹43,728.84</v>
      </c>
      <c r="I3424" s="54" t="str">
        <f>126611.65-H3424</f>
        <v>₹82,882.81</v>
      </c>
    </row>
    <row r="3425" ht="15.75" customHeight="1">
      <c r="A3425" s="50" t="s">
        <v>3505</v>
      </c>
      <c r="B3425" s="50" t="s">
        <v>53</v>
      </c>
      <c r="C3425" s="50" t="s">
        <v>54</v>
      </c>
      <c r="D3425" s="51">
        <v>145785.98</v>
      </c>
      <c r="E3425" s="51" t="str">
        <f t="shared" si="1"/>
        <v>₹1,749,431.76</v>
      </c>
      <c r="F3425" s="52" t="str">
        <f t="shared" si="2"/>
        <v>30.0%</v>
      </c>
      <c r="G3425" s="51" t="str">
        <f t="shared" si="3"/>
        <v>₹524,829.53</v>
      </c>
      <c r="H3425" s="51" t="str">
        <f t="shared" si="4"/>
        <v>₹43,735.79</v>
      </c>
      <c r="I3425" s="51" t="str">
        <f>126631.43-H3425</f>
        <v>₹82,895.64</v>
      </c>
    </row>
    <row r="3426" ht="15.75" customHeight="1">
      <c r="A3426" s="53" t="s">
        <v>3506</v>
      </c>
      <c r="B3426" s="53" t="s">
        <v>53</v>
      </c>
      <c r="C3426" s="53" t="s">
        <v>33</v>
      </c>
      <c r="D3426" s="54">
        <v>145809.15</v>
      </c>
      <c r="E3426" s="54" t="str">
        <f t="shared" si="1"/>
        <v>₹1,749,709.80</v>
      </c>
      <c r="F3426" s="55" t="str">
        <f t="shared" si="2"/>
        <v>30.0%</v>
      </c>
      <c r="G3426" s="54" t="str">
        <f t="shared" si="3"/>
        <v>₹524,912.94</v>
      </c>
      <c r="H3426" s="54" t="str">
        <f t="shared" si="4"/>
        <v>₹43,742.75</v>
      </c>
      <c r="I3426" s="54" t="str">
        <f>126651.2-H3426</f>
        <v>₹82,908.46</v>
      </c>
    </row>
    <row r="3427" ht="15.75" customHeight="1">
      <c r="A3427" s="50" t="s">
        <v>3507</v>
      </c>
      <c r="B3427" s="50" t="s">
        <v>36</v>
      </c>
      <c r="C3427" s="50" t="s">
        <v>14</v>
      </c>
      <c r="D3427" s="51">
        <v>145832.33</v>
      </c>
      <c r="E3427" s="51" t="str">
        <f t="shared" si="1"/>
        <v>₹1,749,987.96</v>
      </c>
      <c r="F3427" s="52" t="str">
        <f t="shared" si="2"/>
        <v>30.0%</v>
      </c>
      <c r="G3427" s="51" t="str">
        <f t="shared" si="3"/>
        <v>₹524,996.39</v>
      </c>
      <c r="H3427" s="51" t="str">
        <f t="shared" si="4"/>
        <v>₹43,749.70</v>
      </c>
      <c r="I3427" s="51" t="str">
        <f>126670.98-H3427</f>
        <v>₹82,921.28</v>
      </c>
    </row>
    <row r="3428" ht="15.75" customHeight="1">
      <c r="A3428" s="53" t="s">
        <v>3508</v>
      </c>
      <c r="B3428" s="53" t="s">
        <v>17</v>
      </c>
      <c r="C3428" s="53" t="s">
        <v>33</v>
      </c>
      <c r="D3428" s="54">
        <v>145855.51</v>
      </c>
      <c r="E3428" s="54" t="str">
        <f t="shared" si="1"/>
        <v>₹1,750,266.12</v>
      </c>
      <c r="F3428" s="55" t="str">
        <f t="shared" si="2"/>
        <v>30.0%</v>
      </c>
      <c r="G3428" s="54" t="str">
        <f t="shared" si="3"/>
        <v>₹525,079.84</v>
      </c>
      <c r="H3428" s="54" t="str">
        <f t="shared" si="4"/>
        <v>₹43,756.65</v>
      </c>
      <c r="I3428" s="54" t="str">
        <f>126690.77-H3428</f>
        <v>₹82,934.12</v>
      </c>
    </row>
    <row r="3429" ht="15.75" customHeight="1">
      <c r="A3429" s="50" t="s">
        <v>3509</v>
      </c>
      <c r="B3429" s="50" t="s">
        <v>36</v>
      </c>
      <c r="C3429" s="50" t="s">
        <v>26</v>
      </c>
      <c r="D3429" s="51">
        <v>145878.69</v>
      </c>
      <c r="E3429" s="51" t="str">
        <f t="shared" si="1"/>
        <v>₹1,750,544.28</v>
      </c>
      <c r="F3429" s="52" t="str">
        <f t="shared" si="2"/>
        <v>30.0%</v>
      </c>
      <c r="G3429" s="51" t="str">
        <f t="shared" si="3"/>
        <v>₹525,163.28</v>
      </c>
      <c r="H3429" s="51" t="str">
        <f t="shared" si="4"/>
        <v>₹43,763.61</v>
      </c>
      <c r="I3429" s="51" t="str">
        <f>126710.55-H3429</f>
        <v>₹82,946.94</v>
      </c>
    </row>
    <row r="3430" ht="15.75" customHeight="1">
      <c r="A3430" s="53" t="s">
        <v>3510</v>
      </c>
      <c r="B3430" s="53" t="s">
        <v>53</v>
      </c>
      <c r="C3430" s="53" t="s">
        <v>33</v>
      </c>
      <c r="D3430" s="54">
        <v>145901.86</v>
      </c>
      <c r="E3430" s="54" t="str">
        <f t="shared" si="1"/>
        <v>₹1,750,822.32</v>
      </c>
      <c r="F3430" s="55" t="str">
        <f t="shared" si="2"/>
        <v>30.0%</v>
      </c>
      <c r="G3430" s="54" t="str">
        <f t="shared" si="3"/>
        <v>₹525,246.70</v>
      </c>
      <c r="H3430" s="54" t="str">
        <f t="shared" si="4"/>
        <v>₹43,770.56</v>
      </c>
      <c r="I3430" s="54" t="str">
        <f>126730.32-H3430</f>
        <v>₹82,959.76</v>
      </c>
    </row>
    <row r="3431" ht="15.75" customHeight="1">
      <c r="A3431" s="50" t="s">
        <v>3511</v>
      </c>
      <c r="B3431" s="50" t="s">
        <v>25</v>
      </c>
      <c r="C3431" s="50" t="s">
        <v>37</v>
      </c>
      <c r="D3431" s="51">
        <v>145925.04</v>
      </c>
      <c r="E3431" s="51" t="str">
        <f t="shared" si="1"/>
        <v>₹1,751,100.48</v>
      </c>
      <c r="F3431" s="52" t="str">
        <f t="shared" si="2"/>
        <v>30.0%</v>
      </c>
      <c r="G3431" s="51" t="str">
        <f t="shared" si="3"/>
        <v>₹525,330.14</v>
      </c>
      <c r="H3431" s="51" t="str">
        <f t="shared" si="4"/>
        <v>₹43,777.51</v>
      </c>
      <c r="I3431" s="51" t="str">
        <f>126750.1-H3431</f>
        <v>₹82,972.59</v>
      </c>
    </row>
    <row r="3432" ht="15.75" customHeight="1">
      <c r="A3432" s="53" t="s">
        <v>3512</v>
      </c>
      <c r="B3432" s="53" t="s">
        <v>51</v>
      </c>
      <c r="C3432" s="53" t="s">
        <v>18</v>
      </c>
      <c r="D3432" s="54">
        <v>145948.22</v>
      </c>
      <c r="E3432" s="54" t="str">
        <f t="shared" si="1"/>
        <v>₹1,751,378.64</v>
      </c>
      <c r="F3432" s="55" t="str">
        <f t="shared" si="2"/>
        <v>30.0%</v>
      </c>
      <c r="G3432" s="54" t="str">
        <f t="shared" si="3"/>
        <v>₹525,413.59</v>
      </c>
      <c r="H3432" s="54" t="str">
        <f t="shared" si="4"/>
        <v>₹43,784.47</v>
      </c>
      <c r="I3432" s="54" t="str">
        <f>126769.89-H3432</f>
        <v>₹82,985.42</v>
      </c>
    </row>
    <row r="3433" ht="15.75" customHeight="1">
      <c r="A3433" s="50" t="s">
        <v>3513</v>
      </c>
      <c r="B3433" s="50" t="s">
        <v>17</v>
      </c>
      <c r="C3433" s="50" t="s">
        <v>26</v>
      </c>
      <c r="D3433" s="51">
        <v>145971.4</v>
      </c>
      <c r="E3433" s="51" t="str">
        <f t="shared" si="1"/>
        <v>₹1,751,656.80</v>
      </c>
      <c r="F3433" s="52" t="str">
        <f t="shared" si="2"/>
        <v>30.0%</v>
      </c>
      <c r="G3433" s="51" t="str">
        <f t="shared" si="3"/>
        <v>₹525,497.04</v>
      </c>
      <c r="H3433" s="51" t="str">
        <f t="shared" si="4"/>
        <v>₹43,791.42</v>
      </c>
      <c r="I3433" s="51" t="str">
        <f>126789.67-H3433</f>
        <v>₹82,998.25</v>
      </c>
    </row>
    <row r="3434" ht="15.75" customHeight="1">
      <c r="A3434" s="53" t="s">
        <v>3514</v>
      </c>
      <c r="B3434" s="53" t="s">
        <v>17</v>
      </c>
      <c r="C3434" s="53" t="s">
        <v>26</v>
      </c>
      <c r="D3434" s="54">
        <v>145994.57</v>
      </c>
      <c r="E3434" s="54" t="str">
        <f t="shared" si="1"/>
        <v>₹1,751,934.84</v>
      </c>
      <c r="F3434" s="55" t="str">
        <f t="shared" si="2"/>
        <v>30.0%</v>
      </c>
      <c r="G3434" s="54" t="str">
        <f t="shared" si="3"/>
        <v>₹525,580.45</v>
      </c>
      <c r="H3434" s="54" t="str">
        <f t="shared" si="4"/>
        <v>₹43,798.37</v>
      </c>
      <c r="I3434" s="54" t="str">
        <f>126809.44-H3434</f>
        <v>₹83,011.07</v>
      </c>
    </row>
    <row r="3435" ht="15.75" customHeight="1">
      <c r="A3435" s="50" t="s">
        <v>3515</v>
      </c>
      <c r="B3435" s="50" t="s">
        <v>17</v>
      </c>
      <c r="C3435" s="50" t="s">
        <v>26</v>
      </c>
      <c r="D3435" s="51">
        <v>146017.75</v>
      </c>
      <c r="E3435" s="51" t="str">
        <f t="shared" si="1"/>
        <v>₹1,752,213.00</v>
      </c>
      <c r="F3435" s="52" t="str">
        <f t="shared" si="2"/>
        <v>30.0%</v>
      </c>
      <c r="G3435" s="51" t="str">
        <f t="shared" si="3"/>
        <v>₹525,663.90</v>
      </c>
      <c r="H3435" s="51" t="str">
        <f t="shared" si="4"/>
        <v>₹43,805.33</v>
      </c>
      <c r="I3435" s="51" t="str">
        <f>126829.22-H3435</f>
        <v>₹83,023.90</v>
      </c>
    </row>
    <row r="3436" ht="15.75" customHeight="1">
      <c r="A3436" s="53" t="s">
        <v>3516</v>
      </c>
      <c r="B3436" s="53" t="s">
        <v>17</v>
      </c>
      <c r="C3436" s="53" t="s">
        <v>33</v>
      </c>
      <c r="D3436" s="54">
        <v>146040.93</v>
      </c>
      <c r="E3436" s="54" t="str">
        <f t="shared" si="1"/>
        <v>₹1,752,491.16</v>
      </c>
      <c r="F3436" s="55" t="str">
        <f t="shared" si="2"/>
        <v>30.0%</v>
      </c>
      <c r="G3436" s="54" t="str">
        <f t="shared" si="3"/>
        <v>₹525,747.35</v>
      </c>
      <c r="H3436" s="54" t="str">
        <f t="shared" si="4"/>
        <v>₹43,812.28</v>
      </c>
      <c r="I3436" s="54" t="str">
        <f>126849.01-H3436</f>
        <v>₹83,036.73</v>
      </c>
    </row>
    <row r="3437" ht="15.75" customHeight="1">
      <c r="A3437" s="50" t="s">
        <v>3517</v>
      </c>
      <c r="B3437" s="50" t="s">
        <v>13</v>
      </c>
      <c r="C3437" s="50" t="s">
        <v>33</v>
      </c>
      <c r="D3437" s="51">
        <v>146064.11</v>
      </c>
      <c r="E3437" s="51" t="str">
        <f t="shared" si="1"/>
        <v>₹1,752,769.32</v>
      </c>
      <c r="F3437" s="52" t="str">
        <f t="shared" si="2"/>
        <v>30.0%</v>
      </c>
      <c r="G3437" s="51" t="str">
        <f t="shared" si="3"/>
        <v>₹525,830.80</v>
      </c>
      <c r="H3437" s="51" t="str">
        <f t="shared" si="4"/>
        <v>₹43,819.23</v>
      </c>
      <c r="I3437" s="51" t="str">
        <f>126868.79-H3437</f>
        <v>₹83,049.56</v>
      </c>
    </row>
    <row r="3438" ht="15.75" customHeight="1">
      <c r="A3438" s="53" t="s">
        <v>3518</v>
      </c>
      <c r="B3438" s="53" t="s">
        <v>17</v>
      </c>
      <c r="C3438" s="53" t="s">
        <v>54</v>
      </c>
      <c r="D3438" s="54">
        <v>146087.29</v>
      </c>
      <c r="E3438" s="54" t="str">
        <f t="shared" si="1"/>
        <v>₹1,753,047.48</v>
      </c>
      <c r="F3438" s="55" t="str">
        <f t="shared" si="2"/>
        <v>30.0%</v>
      </c>
      <c r="G3438" s="54" t="str">
        <f t="shared" si="3"/>
        <v>₹525,914.24</v>
      </c>
      <c r="H3438" s="54" t="str">
        <f t="shared" si="4"/>
        <v>₹43,826.19</v>
      </c>
      <c r="I3438" s="54" t="str">
        <f>126888.57-H3438</f>
        <v>₹83,062.38</v>
      </c>
    </row>
    <row r="3439" ht="15.75" customHeight="1">
      <c r="A3439" s="50" t="s">
        <v>3519</v>
      </c>
      <c r="B3439" s="50" t="s">
        <v>17</v>
      </c>
      <c r="C3439" s="50" t="s">
        <v>30</v>
      </c>
      <c r="D3439" s="51">
        <v>146110.46</v>
      </c>
      <c r="E3439" s="51" t="str">
        <f t="shared" si="1"/>
        <v>₹1,753,325.52</v>
      </c>
      <c r="F3439" s="52" t="str">
        <f t="shared" si="2"/>
        <v>30.0%</v>
      </c>
      <c r="G3439" s="51" t="str">
        <f t="shared" si="3"/>
        <v>₹525,997.66</v>
      </c>
      <c r="H3439" s="51" t="str">
        <f t="shared" si="4"/>
        <v>₹43,833.14</v>
      </c>
      <c r="I3439" s="51" t="str">
        <f>126908.34-H3439</f>
        <v>₹83,075.20</v>
      </c>
    </row>
    <row r="3440" ht="15.75" customHeight="1">
      <c r="A3440" s="53" t="s">
        <v>3520</v>
      </c>
      <c r="B3440" s="53" t="s">
        <v>13</v>
      </c>
      <c r="C3440" s="53" t="s">
        <v>33</v>
      </c>
      <c r="D3440" s="54">
        <v>146133.64</v>
      </c>
      <c r="E3440" s="54" t="str">
        <f t="shared" si="1"/>
        <v>₹1,753,603.68</v>
      </c>
      <c r="F3440" s="55" t="str">
        <f t="shared" si="2"/>
        <v>30.0%</v>
      </c>
      <c r="G3440" s="54" t="str">
        <f t="shared" si="3"/>
        <v>₹526,081.10</v>
      </c>
      <c r="H3440" s="54" t="str">
        <f t="shared" si="4"/>
        <v>₹43,840.09</v>
      </c>
      <c r="I3440" s="54" t="str">
        <f>126928.13-H3440</f>
        <v>₹83,088.04</v>
      </c>
    </row>
    <row r="3441" ht="15.75" customHeight="1">
      <c r="A3441" s="50" t="s">
        <v>3521</v>
      </c>
      <c r="B3441" s="50" t="s">
        <v>25</v>
      </c>
      <c r="C3441" s="50" t="s">
        <v>30</v>
      </c>
      <c r="D3441" s="51">
        <v>146156.82</v>
      </c>
      <c r="E3441" s="51" t="str">
        <f t="shared" si="1"/>
        <v>₹1,753,881.84</v>
      </c>
      <c r="F3441" s="52" t="str">
        <f t="shared" si="2"/>
        <v>30.0%</v>
      </c>
      <c r="G3441" s="51" t="str">
        <f t="shared" si="3"/>
        <v>₹526,164.55</v>
      </c>
      <c r="H3441" s="51" t="str">
        <f t="shared" si="4"/>
        <v>₹43,847.05</v>
      </c>
      <c r="I3441" s="51" t="str">
        <f>126947.91-H3441</f>
        <v>₹83,100.86</v>
      </c>
    </row>
    <row r="3442" ht="15.75" customHeight="1">
      <c r="A3442" s="53" t="s">
        <v>3522</v>
      </c>
      <c r="B3442" s="53" t="s">
        <v>29</v>
      </c>
      <c r="C3442" s="53" t="s">
        <v>14</v>
      </c>
      <c r="D3442" s="54">
        <v>146180.0</v>
      </c>
      <c r="E3442" s="54" t="str">
        <f t="shared" si="1"/>
        <v>₹1,754,160.00</v>
      </c>
      <c r="F3442" s="55" t="str">
        <f t="shared" si="2"/>
        <v>30.0%</v>
      </c>
      <c r="G3442" s="54" t="str">
        <f t="shared" si="3"/>
        <v>₹526,248.00</v>
      </c>
      <c r="H3442" s="54" t="str">
        <f t="shared" si="4"/>
        <v>₹43,854.00</v>
      </c>
      <c r="I3442" s="54" t="str">
        <f>126967.69-H3442</f>
        <v>₹83,113.69</v>
      </c>
    </row>
    <row r="3443" ht="15.75" customHeight="1">
      <c r="A3443" s="50" t="s">
        <v>3523</v>
      </c>
      <c r="B3443" s="50" t="s">
        <v>36</v>
      </c>
      <c r="C3443" s="50" t="s">
        <v>18</v>
      </c>
      <c r="D3443" s="51">
        <v>146226.35</v>
      </c>
      <c r="E3443" s="51" t="str">
        <f t="shared" si="1"/>
        <v>₹1,754,716.20</v>
      </c>
      <c r="F3443" s="52" t="str">
        <f t="shared" si="2"/>
        <v>30.0%</v>
      </c>
      <c r="G3443" s="51" t="str">
        <f t="shared" si="3"/>
        <v>₹526,414.86</v>
      </c>
      <c r="H3443" s="51" t="str">
        <f t="shared" si="4"/>
        <v>₹43,867.91</v>
      </c>
      <c r="I3443" s="51" t="str">
        <f>127007.24-H3443</f>
        <v>₹83,139.34</v>
      </c>
    </row>
    <row r="3444" ht="15.75" customHeight="1">
      <c r="A3444" s="53" t="s">
        <v>3524</v>
      </c>
      <c r="B3444" s="53" t="s">
        <v>25</v>
      </c>
      <c r="C3444" s="53" t="s">
        <v>14</v>
      </c>
      <c r="D3444" s="54">
        <v>146249.53</v>
      </c>
      <c r="E3444" s="54" t="str">
        <f t="shared" si="1"/>
        <v>₹1,754,994.36</v>
      </c>
      <c r="F3444" s="55" t="str">
        <f t="shared" si="2"/>
        <v>30.0%</v>
      </c>
      <c r="G3444" s="54" t="str">
        <f t="shared" si="3"/>
        <v>₹526,498.31</v>
      </c>
      <c r="H3444" s="54" t="str">
        <f t="shared" si="4"/>
        <v>₹43,874.86</v>
      </c>
      <c r="I3444" s="54" t="str">
        <f>127027.03-H3444</f>
        <v>₹83,152.17</v>
      </c>
    </row>
    <row r="3445" ht="15.75" customHeight="1">
      <c r="A3445" s="50" t="s">
        <v>3525</v>
      </c>
      <c r="B3445" s="50" t="s">
        <v>17</v>
      </c>
      <c r="C3445" s="50" t="s">
        <v>33</v>
      </c>
      <c r="D3445" s="51">
        <v>146272.71</v>
      </c>
      <c r="E3445" s="51" t="str">
        <f t="shared" si="1"/>
        <v>₹1,755,272.52</v>
      </c>
      <c r="F3445" s="52" t="str">
        <f t="shared" si="2"/>
        <v>30.0%</v>
      </c>
      <c r="G3445" s="51" t="str">
        <f t="shared" si="3"/>
        <v>₹526,581.76</v>
      </c>
      <c r="H3445" s="51" t="str">
        <f t="shared" si="4"/>
        <v>₹43,881.81</v>
      </c>
      <c r="I3445" s="51" t="str">
        <f>127046.81-H3445</f>
        <v>₹83,165.00</v>
      </c>
    </row>
    <row r="3446" ht="15.75" customHeight="1">
      <c r="A3446" s="53" t="s">
        <v>3526</v>
      </c>
      <c r="B3446" s="53" t="s">
        <v>25</v>
      </c>
      <c r="C3446" s="53" t="s">
        <v>37</v>
      </c>
      <c r="D3446" s="54">
        <v>79242.54</v>
      </c>
      <c r="E3446" s="54" t="str">
        <f t="shared" si="1"/>
        <v>₹950,910.48</v>
      </c>
      <c r="F3446" s="55" t="str">
        <f t="shared" si="2"/>
        <v>20.0%</v>
      </c>
      <c r="G3446" s="54" t="str">
        <f t="shared" si="3"/>
        <v>₹190,182.10</v>
      </c>
      <c r="H3446" s="54" t="str">
        <f t="shared" si="4"/>
        <v>₹15,848.51</v>
      </c>
      <c r="I3446" s="54" t="str">
        <f>60013.24-H3446</f>
        <v>₹44,164.73</v>
      </c>
    </row>
    <row r="3447" ht="15.75" customHeight="1">
      <c r="A3447" s="50" t="s">
        <v>3527</v>
      </c>
      <c r="B3447" s="50" t="s">
        <v>29</v>
      </c>
      <c r="C3447" s="50" t="s">
        <v>54</v>
      </c>
      <c r="D3447" s="51">
        <v>79754.84</v>
      </c>
      <c r="E3447" s="51" t="str">
        <f t="shared" si="1"/>
        <v>₹957,058.08</v>
      </c>
      <c r="F3447" s="52" t="str">
        <f t="shared" si="2"/>
        <v>20.0%</v>
      </c>
      <c r="G3447" s="51" t="str">
        <f t="shared" si="3"/>
        <v>₹191,411.62</v>
      </c>
      <c r="H3447" s="51" t="str">
        <f t="shared" si="4"/>
        <v>₹15,950.97</v>
      </c>
      <c r="I3447" s="51" t="str">
        <f>60522.14-H3447</f>
        <v>₹44,571.17</v>
      </c>
    </row>
    <row r="3448" ht="15.75" customHeight="1">
      <c r="A3448" s="53" t="s">
        <v>3528</v>
      </c>
      <c r="B3448" s="53" t="s">
        <v>17</v>
      </c>
      <c r="C3448" s="53" t="s">
        <v>33</v>
      </c>
      <c r="D3448" s="54">
        <v>80267.13</v>
      </c>
      <c r="E3448" s="54" t="str">
        <f t="shared" si="1"/>
        <v>₹963,205.56</v>
      </c>
      <c r="F3448" s="55" t="str">
        <f t="shared" si="2"/>
        <v>20.0%</v>
      </c>
      <c r="G3448" s="54" t="str">
        <f t="shared" si="3"/>
        <v>₹192,641.11</v>
      </c>
      <c r="H3448" s="54" t="str">
        <f t="shared" si="4"/>
        <v>₹16,053.43</v>
      </c>
      <c r="I3448" s="54" t="str">
        <f>61031.04-H3448</f>
        <v>₹44,977.61</v>
      </c>
    </row>
    <row r="3449" ht="15.75" customHeight="1">
      <c r="A3449" s="50" t="s">
        <v>3529</v>
      </c>
      <c r="B3449" s="50" t="s">
        <v>29</v>
      </c>
      <c r="C3449" s="50" t="s">
        <v>37</v>
      </c>
      <c r="D3449" s="51">
        <v>226391.72</v>
      </c>
      <c r="E3449" s="51" t="str">
        <f t="shared" si="1"/>
        <v>₹2,716,700.64</v>
      </c>
      <c r="F3449" s="52" t="str">
        <f t="shared" si="2"/>
        <v>30.0%</v>
      </c>
      <c r="G3449" s="51" t="str">
        <f t="shared" si="3"/>
        <v>₹815,010.19</v>
      </c>
      <c r="H3449" s="51" t="str">
        <f t="shared" si="4"/>
        <v>₹67,917.52</v>
      </c>
      <c r="I3449" s="51" t="str">
        <f>207148.83-H3449</f>
        <v>₹139,231.31</v>
      </c>
    </row>
    <row r="3450" ht="15.75" customHeight="1">
      <c r="A3450" s="53" t="s">
        <v>3530</v>
      </c>
      <c r="B3450" s="53" t="s">
        <v>36</v>
      </c>
      <c r="C3450" s="53" t="s">
        <v>30</v>
      </c>
      <c r="D3450" s="54">
        <v>146357.36</v>
      </c>
      <c r="E3450" s="54" t="str">
        <f t="shared" si="1"/>
        <v>₹1,756,288.32</v>
      </c>
      <c r="F3450" s="55" t="str">
        <f t="shared" si="2"/>
        <v>30.0%</v>
      </c>
      <c r="G3450" s="54" t="str">
        <f t="shared" si="3"/>
        <v>₹526,886.50</v>
      </c>
      <c r="H3450" s="54" t="str">
        <f t="shared" si="4"/>
        <v>₹43,907.21</v>
      </c>
      <c r="I3450" s="54" t="str">
        <f>127111.07-H3450</f>
        <v>₹83,203.86</v>
      </c>
    </row>
    <row r="3451" ht="15.75" customHeight="1">
      <c r="A3451" s="50" t="s">
        <v>3531</v>
      </c>
      <c r="B3451" s="50" t="s">
        <v>29</v>
      </c>
      <c r="C3451" s="50" t="s">
        <v>26</v>
      </c>
      <c r="D3451" s="51">
        <v>146380.54</v>
      </c>
      <c r="E3451" s="51" t="str">
        <f t="shared" si="1"/>
        <v>₹1,756,566.48</v>
      </c>
      <c r="F3451" s="52" t="str">
        <f t="shared" si="2"/>
        <v>30.0%</v>
      </c>
      <c r="G3451" s="51" t="str">
        <f t="shared" si="3"/>
        <v>₹526,969.94</v>
      </c>
      <c r="H3451" s="51" t="str">
        <f t="shared" si="4"/>
        <v>₹43,914.16</v>
      </c>
      <c r="I3451" s="51" t="str">
        <f>127130.86-H3451</f>
        <v>₹83,216.70</v>
      </c>
    </row>
    <row r="3452" ht="15.75" customHeight="1">
      <c r="A3452" s="53" t="s">
        <v>3532</v>
      </c>
      <c r="B3452" s="53" t="s">
        <v>51</v>
      </c>
      <c r="C3452" s="53" t="s">
        <v>18</v>
      </c>
      <c r="D3452" s="54">
        <v>146403.71</v>
      </c>
      <c r="E3452" s="54" t="str">
        <f t="shared" si="1"/>
        <v>₹1,756,844.52</v>
      </c>
      <c r="F3452" s="55" t="str">
        <f t="shared" si="2"/>
        <v>30.0%</v>
      </c>
      <c r="G3452" s="54" t="str">
        <f t="shared" si="3"/>
        <v>₹527,053.36</v>
      </c>
      <c r="H3452" s="54" t="str">
        <f t="shared" si="4"/>
        <v>₹43,921.11</v>
      </c>
      <c r="I3452" s="54" t="str">
        <f>127150.63-H3452</f>
        <v>₹83,229.52</v>
      </c>
    </row>
    <row r="3453" ht="15.75" customHeight="1">
      <c r="A3453" s="50" t="s">
        <v>3533</v>
      </c>
      <c r="B3453" s="50" t="s">
        <v>53</v>
      </c>
      <c r="C3453" s="50" t="s">
        <v>37</v>
      </c>
      <c r="D3453" s="51">
        <v>146426.89</v>
      </c>
      <c r="E3453" s="51" t="str">
        <f t="shared" si="1"/>
        <v>₹1,757,122.68</v>
      </c>
      <c r="F3453" s="52" t="str">
        <f t="shared" si="2"/>
        <v>30.0%</v>
      </c>
      <c r="G3453" s="51" t="str">
        <f t="shared" si="3"/>
        <v>₹527,136.80</v>
      </c>
      <c r="H3453" s="51" t="str">
        <f t="shared" si="4"/>
        <v>₹43,928.07</v>
      </c>
      <c r="I3453" s="51" t="str">
        <f>127170.41-H3453</f>
        <v>₹83,242.34</v>
      </c>
    </row>
    <row r="3454" ht="15.75" customHeight="1">
      <c r="A3454" s="53" t="s">
        <v>3534</v>
      </c>
      <c r="B3454" s="53" t="s">
        <v>53</v>
      </c>
      <c r="C3454" s="53" t="s">
        <v>26</v>
      </c>
      <c r="D3454" s="54">
        <v>146450.07</v>
      </c>
      <c r="E3454" s="54" t="str">
        <f t="shared" si="1"/>
        <v>₹1,757,400.84</v>
      </c>
      <c r="F3454" s="55" t="str">
        <f t="shared" si="2"/>
        <v>30.0%</v>
      </c>
      <c r="G3454" s="54" t="str">
        <f t="shared" si="3"/>
        <v>₹527,220.25</v>
      </c>
      <c r="H3454" s="54" t="str">
        <f t="shared" si="4"/>
        <v>₹43,935.02</v>
      </c>
      <c r="I3454" s="54" t="str">
        <f>127190.19-H3454</f>
        <v>₹83,255.17</v>
      </c>
    </row>
    <row r="3455" ht="15.75" customHeight="1">
      <c r="A3455" s="50" t="s">
        <v>3535</v>
      </c>
      <c r="B3455" s="50" t="s">
        <v>51</v>
      </c>
      <c r="C3455" s="50" t="s">
        <v>18</v>
      </c>
      <c r="D3455" s="51">
        <v>146473.25</v>
      </c>
      <c r="E3455" s="51" t="str">
        <f t="shared" si="1"/>
        <v>₹1,757,679.00</v>
      </c>
      <c r="F3455" s="52" t="str">
        <f t="shared" si="2"/>
        <v>30.0%</v>
      </c>
      <c r="G3455" s="51" t="str">
        <f t="shared" si="3"/>
        <v>₹527,303.70</v>
      </c>
      <c r="H3455" s="51" t="str">
        <f t="shared" si="4"/>
        <v>₹43,941.98</v>
      </c>
      <c r="I3455" s="51" t="str">
        <f>127209.98-H3455</f>
        <v>₹83,268.01</v>
      </c>
    </row>
    <row r="3456" ht="15.75" customHeight="1">
      <c r="A3456" s="53" t="s">
        <v>3536</v>
      </c>
      <c r="B3456" s="53" t="s">
        <v>36</v>
      </c>
      <c r="C3456" s="53" t="s">
        <v>37</v>
      </c>
      <c r="D3456" s="54">
        <v>146496.42</v>
      </c>
      <c r="E3456" s="54" t="str">
        <f t="shared" si="1"/>
        <v>₹1,757,957.04</v>
      </c>
      <c r="F3456" s="55" t="str">
        <f t="shared" si="2"/>
        <v>30.0%</v>
      </c>
      <c r="G3456" s="54" t="str">
        <f t="shared" si="3"/>
        <v>₹527,387.11</v>
      </c>
      <c r="H3456" s="54" t="str">
        <f t="shared" si="4"/>
        <v>₹43,948.93</v>
      </c>
      <c r="I3456" s="54" t="str">
        <f>127229.75-H3456</f>
        <v>₹83,280.82</v>
      </c>
    </row>
    <row r="3457" ht="15.75" customHeight="1">
      <c r="A3457" s="50" t="s">
        <v>3537</v>
      </c>
      <c r="B3457" s="50" t="s">
        <v>13</v>
      </c>
      <c r="C3457" s="50" t="s">
        <v>33</v>
      </c>
      <c r="D3457" s="51">
        <v>146519.6</v>
      </c>
      <c r="E3457" s="51" t="str">
        <f t="shared" si="1"/>
        <v>₹1,758,235.20</v>
      </c>
      <c r="F3457" s="52" t="str">
        <f t="shared" si="2"/>
        <v>30.0%</v>
      </c>
      <c r="G3457" s="51" t="str">
        <f t="shared" si="3"/>
        <v>₹527,470.56</v>
      </c>
      <c r="H3457" s="51" t="str">
        <f t="shared" si="4"/>
        <v>₹43,955.88</v>
      </c>
      <c r="I3457" s="51" t="str">
        <f>127249.53-H3457</f>
        <v>₹83,293.65</v>
      </c>
    </row>
    <row r="3458" ht="15.75" customHeight="1">
      <c r="A3458" s="53" t="s">
        <v>3538</v>
      </c>
      <c r="B3458" s="53" t="s">
        <v>29</v>
      </c>
      <c r="C3458" s="53" t="s">
        <v>14</v>
      </c>
      <c r="D3458" s="54">
        <v>146542.78</v>
      </c>
      <c r="E3458" s="54" t="str">
        <f t="shared" si="1"/>
        <v>₹1,758,513.36</v>
      </c>
      <c r="F3458" s="55" t="str">
        <f t="shared" si="2"/>
        <v>30.0%</v>
      </c>
      <c r="G3458" s="54" t="str">
        <f t="shared" si="3"/>
        <v>₹527,554.01</v>
      </c>
      <c r="H3458" s="54" t="str">
        <f t="shared" si="4"/>
        <v>₹43,962.83</v>
      </c>
      <c r="I3458" s="54" t="str">
        <f>127269.31-H3458</f>
        <v>₹83,306.48</v>
      </c>
    </row>
    <row r="3459" ht="15.75" customHeight="1">
      <c r="A3459" s="50" t="s">
        <v>3540</v>
      </c>
      <c r="B3459" s="50" t="s">
        <v>13</v>
      </c>
      <c r="C3459" s="50" t="s">
        <v>33</v>
      </c>
      <c r="D3459" s="51">
        <v>146565.96</v>
      </c>
      <c r="E3459" s="51" t="str">
        <f t="shared" si="1"/>
        <v>₹1,758,791.52</v>
      </c>
      <c r="F3459" s="52" t="str">
        <f t="shared" si="2"/>
        <v>30.0%</v>
      </c>
      <c r="G3459" s="51" t="str">
        <f t="shared" si="3"/>
        <v>₹527,637.46</v>
      </c>
      <c r="H3459" s="51" t="str">
        <f t="shared" si="4"/>
        <v>₹43,969.79</v>
      </c>
      <c r="I3459" s="51" t="str">
        <f>127289.1-H3459</f>
        <v>₹83,319.31</v>
      </c>
    </row>
    <row r="3460" ht="15.75" customHeight="1">
      <c r="A3460" s="53" t="s">
        <v>3541</v>
      </c>
      <c r="B3460" s="53" t="s">
        <v>25</v>
      </c>
      <c r="C3460" s="53" t="s">
        <v>33</v>
      </c>
      <c r="D3460" s="54">
        <v>146589.14</v>
      </c>
      <c r="E3460" s="54" t="str">
        <f t="shared" si="1"/>
        <v>₹1,759,069.68</v>
      </c>
      <c r="F3460" s="55" t="str">
        <f t="shared" si="2"/>
        <v>30.0%</v>
      </c>
      <c r="G3460" s="54" t="str">
        <f t="shared" si="3"/>
        <v>₹527,720.90</v>
      </c>
      <c r="H3460" s="54" t="str">
        <f t="shared" si="4"/>
        <v>₹43,976.74</v>
      </c>
      <c r="I3460" s="54" t="str">
        <f>127308.88-H3460</f>
        <v>₹83,332.14</v>
      </c>
    </row>
    <row r="3461" ht="15.75" customHeight="1">
      <c r="A3461" s="50" t="s">
        <v>3542</v>
      </c>
      <c r="B3461" s="50" t="s">
        <v>29</v>
      </c>
      <c r="C3461" s="50" t="s">
        <v>33</v>
      </c>
      <c r="D3461" s="51">
        <v>146612.31</v>
      </c>
      <c r="E3461" s="51" t="str">
        <f t="shared" si="1"/>
        <v>₹1,759,347.72</v>
      </c>
      <c r="F3461" s="52" t="str">
        <f t="shared" si="2"/>
        <v>30.0%</v>
      </c>
      <c r="G3461" s="51" t="str">
        <f t="shared" si="3"/>
        <v>₹527,804.32</v>
      </c>
      <c r="H3461" s="51" t="str">
        <f t="shared" si="4"/>
        <v>₹43,983.69</v>
      </c>
      <c r="I3461" s="51" t="str">
        <f>127328.65-H3461</f>
        <v>₹83,344.96</v>
      </c>
    </row>
    <row r="3462" ht="15.75" customHeight="1">
      <c r="A3462" s="53" t="s">
        <v>3543</v>
      </c>
      <c r="B3462" s="53" t="s">
        <v>53</v>
      </c>
      <c r="C3462" s="53" t="s">
        <v>14</v>
      </c>
      <c r="D3462" s="54">
        <v>146635.49</v>
      </c>
      <c r="E3462" s="54" t="str">
        <f t="shared" si="1"/>
        <v>₹1,759,625.88</v>
      </c>
      <c r="F3462" s="55" t="str">
        <f t="shared" si="2"/>
        <v>30.0%</v>
      </c>
      <c r="G3462" s="54" t="str">
        <f t="shared" si="3"/>
        <v>₹527,887.76</v>
      </c>
      <c r="H3462" s="54" t="str">
        <f t="shared" si="4"/>
        <v>₹43,990.65</v>
      </c>
      <c r="I3462" s="54" t="str">
        <f>127348.43-H3462</f>
        <v>₹83,357.78</v>
      </c>
    </row>
    <row r="3463" ht="15.75" customHeight="1">
      <c r="A3463" s="50" t="s">
        <v>3544</v>
      </c>
      <c r="B3463" s="50" t="s">
        <v>36</v>
      </c>
      <c r="C3463" s="50" t="s">
        <v>30</v>
      </c>
      <c r="D3463" s="51">
        <v>146681.85</v>
      </c>
      <c r="E3463" s="51" t="str">
        <f t="shared" si="1"/>
        <v>₹1,760,182.20</v>
      </c>
      <c r="F3463" s="52" t="str">
        <f t="shared" si="2"/>
        <v>30.0%</v>
      </c>
      <c r="G3463" s="51" t="str">
        <f t="shared" si="3"/>
        <v>₹528,054.66</v>
      </c>
      <c r="H3463" s="51" t="str">
        <f t="shared" si="4"/>
        <v>₹44,004.56</v>
      </c>
      <c r="I3463" s="51" t="str">
        <f>127388-H3463</f>
        <v>₹83,383.45</v>
      </c>
    </row>
    <row r="3464" ht="15.75" customHeight="1">
      <c r="A3464" s="53" t="s">
        <v>3545</v>
      </c>
      <c r="B3464" s="53" t="s">
        <v>13</v>
      </c>
      <c r="C3464" s="53" t="s">
        <v>14</v>
      </c>
      <c r="D3464" s="54">
        <v>146705.02</v>
      </c>
      <c r="E3464" s="54" t="str">
        <f t="shared" si="1"/>
        <v>₹1,760,460.24</v>
      </c>
      <c r="F3464" s="55" t="str">
        <f t="shared" si="2"/>
        <v>30.0%</v>
      </c>
      <c r="G3464" s="54" t="str">
        <f t="shared" si="3"/>
        <v>₹528,138.07</v>
      </c>
      <c r="H3464" s="54" t="str">
        <f t="shared" si="4"/>
        <v>₹44,011.51</v>
      </c>
      <c r="I3464" s="54" t="str">
        <f>127407.77-H3464</f>
        <v>₹83,396.26</v>
      </c>
    </row>
    <row r="3465" ht="15.75" customHeight="1">
      <c r="A3465" s="50" t="s">
        <v>3546</v>
      </c>
      <c r="B3465" s="50" t="s">
        <v>36</v>
      </c>
      <c r="C3465" s="50" t="s">
        <v>37</v>
      </c>
      <c r="D3465" s="51">
        <v>146728.2</v>
      </c>
      <c r="E3465" s="51" t="str">
        <f t="shared" si="1"/>
        <v>₹1,760,738.40</v>
      </c>
      <c r="F3465" s="52" t="str">
        <f t="shared" si="2"/>
        <v>30.0%</v>
      </c>
      <c r="G3465" s="51" t="str">
        <f t="shared" si="3"/>
        <v>₹528,221.52</v>
      </c>
      <c r="H3465" s="51" t="str">
        <f t="shared" si="4"/>
        <v>₹44,018.46</v>
      </c>
      <c r="I3465" s="51" t="str">
        <f>127427.55-H3465</f>
        <v>₹83,409.09</v>
      </c>
    </row>
    <row r="3466" ht="15.75" customHeight="1">
      <c r="A3466" s="53" t="s">
        <v>3547</v>
      </c>
      <c r="B3466" s="53" t="s">
        <v>29</v>
      </c>
      <c r="C3466" s="53" t="s">
        <v>54</v>
      </c>
      <c r="D3466" s="54">
        <v>146751.38</v>
      </c>
      <c r="E3466" s="54" t="str">
        <f t="shared" si="1"/>
        <v>₹1,761,016.56</v>
      </c>
      <c r="F3466" s="55" t="str">
        <f t="shared" si="2"/>
        <v>30.0%</v>
      </c>
      <c r="G3466" s="54" t="str">
        <f t="shared" si="3"/>
        <v>₹528,304.97</v>
      </c>
      <c r="H3466" s="54" t="str">
        <f t="shared" si="4"/>
        <v>₹44,025.41</v>
      </c>
      <c r="I3466" s="54" t="str">
        <f>127447.34-H3466</f>
        <v>₹83,421.93</v>
      </c>
    </row>
    <row r="3467" ht="15.75" customHeight="1">
      <c r="A3467" s="50" t="s">
        <v>3548</v>
      </c>
      <c r="B3467" s="50" t="s">
        <v>36</v>
      </c>
      <c r="C3467" s="50" t="s">
        <v>18</v>
      </c>
      <c r="D3467" s="51">
        <v>146774.56</v>
      </c>
      <c r="E3467" s="51" t="str">
        <f t="shared" si="1"/>
        <v>₹1,761,294.72</v>
      </c>
      <c r="F3467" s="52" t="str">
        <f t="shared" si="2"/>
        <v>30.0%</v>
      </c>
      <c r="G3467" s="51" t="str">
        <f t="shared" si="3"/>
        <v>₹528,388.42</v>
      </c>
      <c r="H3467" s="51" t="str">
        <f t="shared" si="4"/>
        <v>₹44,032.37</v>
      </c>
      <c r="I3467" s="51" t="str">
        <f>127467.12-H3467</f>
        <v>₹83,434.75</v>
      </c>
    </row>
    <row r="3468" ht="15.75" customHeight="1">
      <c r="A3468" s="53" t="s">
        <v>3549</v>
      </c>
      <c r="B3468" s="53" t="s">
        <v>51</v>
      </c>
      <c r="C3468" s="53" t="s">
        <v>37</v>
      </c>
      <c r="D3468" s="54">
        <v>146797.73</v>
      </c>
      <c r="E3468" s="54" t="str">
        <f t="shared" si="1"/>
        <v>₹1,761,572.76</v>
      </c>
      <c r="F3468" s="55" t="str">
        <f t="shared" si="2"/>
        <v>30.0%</v>
      </c>
      <c r="G3468" s="54" t="str">
        <f t="shared" si="3"/>
        <v>₹528,471.83</v>
      </c>
      <c r="H3468" s="54" t="str">
        <f t="shared" si="4"/>
        <v>₹44,039.32</v>
      </c>
      <c r="I3468" s="54" t="str">
        <f>127486.89-H3468</f>
        <v>₹83,447.57</v>
      </c>
    </row>
    <row r="3469" ht="15.75" customHeight="1">
      <c r="A3469" s="50" t="s">
        <v>3550</v>
      </c>
      <c r="B3469" s="50" t="s">
        <v>17</v>
      </c>
      <c r="C3469" s="50" t="s">
        <v>26</v>
      </c>
      <c r="D3469" s="51">
        <v>146820.91</v>
      </c>
      <c r="E3469" s="51" t="str">
        <f t="shared" si="1"/>
        <v>₹1,761,850.92</v>
      </c>
      <c r="F3469" s="52" t="str">
        <f t="shared" si="2"/>
        <v>30.0%</v>
      </c>
      <c r="G3469" s="51" t="str">
        <f t="shared" si="3"/>
        <v>₹528,555.28</v>
      </c>
      <c r="H3469" s="51" t="str">
        <f t="shared" si="4"/>
        <v>₹44,046.27</v>
      </c>
      <c r="I3469" s="51" t="str">
        <f>127506.67-H3469</f>
        <v>₹83,460.40</v>
      </c>
    </row>
    <row r="3470" ht="15.75" customHeight="1">
      <c r="A3470" s="53" t="s">
        <v>3551</v>
      </c>
      <c r="B3470" s="53" t="s">
        <v>36</v>
      </c>
      <c r="C3470" s="53" t="s">
        <v>30</v>
      </c>
      <c r="D3470" s="54">
        <v>146844.09</v>
      </c>
      <c r="E3470" s="54" t="str">
        <f t="shared" si="1"/>
        <v>₹1,762,129.08</v>
      </c>
      <c r="F3470" s="55" t="str">
        <f t="shared" si="2"/>
        <v>30.0%</v>
      </c>
      <c r="G3470" s="54" t="str">
        <f t="shared" si="3"/>
        <v>₹528,638.72</v>
      </c>
      <c r="H3470" s="54" t="str">
        <f t="shared" si="4"/>
        <v>₹44,053.23</v>
      </c>
      <c r="I3470" s="54" t="str">
        <f>127526.46-H3470</f>
        <v>₹83,473.23</v>
      </c>
    </row>
    <row r="3471" ht="15.75" customHeight="1">
      <c r="A3471" s="50" t="s">
        <v>3552</v>
      </c>
      <c r="B3471" s="50" t="s">
        <v>36</v>
      </c>
      <c r="C3471" s="50" t="s">
        <v>33</v>
      </c>
      <c r="D3471" s="51">
        <v>146867.27</v>
      </c>
      <c r="E3471" s="51" t="str">
        <f t="shared" si="1"/>
        <v>₹1,762,407.24</v>
      </c>
      <c r="F3471" s="52" t="str">
        <f t="shared" si="2"/>
        <v>30.0%</v>
      </c>
      <c r="G3471" s="51" t="str">
        <f t="shared" si="3"/>
        <v>₹528,722.17</v>
      </c>
      <c r="H3471" s="51" t="str">
        <f t="shared" si="4"/>
        <v>₹44,060.18</v>
      </c>
      <c r="I3471" s="51" t="str">
        <f>127546.24-H3471</f>
        <v>₹83,486.06</v>
      </c>
    </row>
    <row r="3472" ht="15.75" customHeight="1">
      <c r="A3472" s="53" t="s">
        <v>3553</v>
      </c>
      <c r="B3472" s="53" t="s">
        <v>13</v>
      </c>
      <c r="C3472" s="53" t="s">
        <v>14</v>
      </c>
      <c r="D3472" s="54">
        <v>146890.45</v>
      </c>
      <c r="E3472" s="54" t="str">
        <f t="shared" si="1"/>
        <v>₹1,762,685.40</v>
      </c>
      <c r="F3472" s="55" t="str">
        <f t="shared" si="2"/>
        <v>30.0%</v>
      </c>
      <c r="G3472" s="54" t="str">
        <f t="shared" si="3"/>
        <v>₹528,805.62</v>
      </c>
      <c r="H3472" s="54" t="str">
        <f t="shared" si="4"/>
        <v>₹44,067.14</v>
      </c>
      <c r="I3472" s="54" t="str">
        <f>127566.02-H3472</f>
        <v>₹83,498.89</v>
      </c>
    </row>
    <row r="3473" ht="15.75" customHeight="1">
      <c r="A3473" s="50" t="s">
        <v>3554</v>
      </c>
      <c r="B3473" s="50" t="s">
        <v>25</v>
      </c>
      <c r="C3473" s="50" t="s">
        <v>30</v>
      </c>
      <c r="D3473" s="51">
        <v>146936.8</v>
      </c>
      <c r="E3473" s="51" t="str">
        <f t="shared" si="1"/>
        <v>₹1,763,241.60</v>
      </c>
      <c r="F3473" s="52" t="str">
        <f t="shared" si="2"/>
        <v>30.0%</v>
      </c>
      <c r="G3473" s="51" t="str">
        <f t="shared" si="3"/>
        <v>₹528,972.48</v>
      </c>
      <c r="H3473" s="51" t="str">
        <f t="shared" si="4"/>
        <v>₹44,081.04</v>
      </c>
      <c r="I3473" s="51" t="str">
        <f>127605.58-H3473</f>
        <v>₹83,524.54</v>
      </c>
    </row>
    <row r="3474" ht="15.75" customHeight="1">
      <c r="A3474" s="53" t="s">
        <v>3555</v>
      </c>
      <c r="B3474" s="53" t="s">
        <v>36</v>
      </c>
      <c r="C3474" s="53" t="s">
        <v>37</v>
      </c>
      <c r="D3474" s="54">
        <v>146959.98</v>
      </c>
      <c r="E3474" s="54" t="str">
        <f t="shared" si="1"/>
        <v>₹1,763,519.76</v>
      </c>
      <c r="F3474" s="55" t="str">
        <f t="shared" si="2"/>
        <v>30.0%</v>
      </c>
      <c r="G3474" s="54" t="str">
        <f t="shared" si="3"/>
        <v>₹529,055.93</v>
      </c>
      <c r="H3474" s="54" t="str">
        <f t="shared" si="4"/>
        <v>₹44,087.99</v>
      </c>
      <c r="I3474" s="54" t="str">
        <f>127625.36-H3474</f>
        <v>₹83,537.37</v>
      </c>
    </row>
    <row r="3475" ht="15.75" customHeight="1">
      <c r="A3475" s="50" t="s">
        <v>3556</v>
      </c>
      <c r="B3475" s="50" t="s">
        <v>25</v>
      </c>
      <c r="C3475" s="50" t="s">
        <v>26</v>
      </c>
      <c r="D3475" s="51">
        <v>146983.16</v>
      </c>
      <c r="E3475" s="51" t="str">
        <f t="shared" si="1"/>
        <v>₹1,763,797.92</v>
      </c>
      <c r="F3475" s="52" t="str">
        <f t="shared" si="2"/>
        <v>30.0%</v>
      </c>
      <c r="G3475" s="51" t="str">
        <f t="shared" si="3"/>
        <v>₹529,139.38</v>
      </c>
      <c r="H3475" s="51" t="str">
        <f t="shared" si="4"/>
        <v>₹44,094.95</v>
      </c>
      <c r="I3475" s="51" t="str">
        <f>127645.14-H3475</f>
        <v>₹83,550.19</v>
      </c>
    </row>
    <row r="3476" ht="15.75" customHeight="1">
      <c r="A3476" s="53" t="s">
        <v>3557</v>
      </c>
      <c r="B3476" s="53" t="s">
        <v>25</v>
      </c>
      <c r="C3476" s="53" t="s">
        <v>33</v>
      </c>
      <c r="D3476" s="54">
        <v>147006.33</v>
      </c>
      <c r="E3476" s="54" t="str">
        <f t="shared" si="1"/>
        <v>₹1,764,075.96</v>
      </c>
      <c r="F3476" s="55" t="str">
        <f t="shared" si="2"/>
        <v>30.0%</v>
      </c>
      <c r="G3476" s="54" t="str">
        <f t="shared" si="3"/>
        <v>₹529,222.79</v>
      </c>
      <c r="H3476" s="54" t="str">
        <f t="shared" si="4"/>
        <v>₹44,101.90</v>
      </c>
      <c r="I3476" s="54" t="str">
        <f>127664.91-H3476</f>
        <v>₹83,563.01</v>
      </c>
    </row>
    <row r="3477" ht="15.75" customHeight="1">
      <c r="A3477" s="50" t="s">
        <v>3558</v>
      </c>
      <c r="B3477" s="50" t="s">
        <v>36</v>
      </c>
      <c r="C3477" s="50" t="s">
        <v>54</v>
      </c>
      <c r="D3477" s="51">
        <v>147029.51</v>
      </c>
      <c r="E3477" s="51" t="str">
        <f t="shared" si="1"/>
        <v>₹1,764,354.12</v>
      </c>
      <c r="F3477" s="52" t="str">
        <f t="shared" si="2"/>
        <v>30.0%</v>
      </c>
      <c r="G3477" s="51" t="str">
        <f t="shared" si="3"/>
        <v>₹529,306.24</v>
      </c>
      <c r="H3477" s="51" t="str">
        <f t="shared" si="4"/>
        <v>₹44,108.85</v>
      </c>
      <c r="I3477" s="51" t="str">
        <f>127684.7-H3477</f>
        <v>₹83,575.85</v>
      </c>
    </row>
    <row r="3478" ht="15.75" customHeight="1">
      <c r="A3478" s="53" t="s">
        <v>3559</v>
      </c>
      <c r="B3478" s="53" t="s">
        <v>36</v>
      </c>
      <c r="C3478" s="53" t="s">
        <v>30</v>
      </c>
      <c r="D3478" s="54">
        <v>147052.69</v>
      </c>
      <c r="E3478" s="54" t="str">
        <f t="shared" si="1"/>
        <v>₹1,764,632.28</v>
      </c>
      <c r="F3478" s="55" t="str">
        <f t="shared" si="2"/>
        <v>30.0%</v>
      </c>
      <c r="G3478" s="54" t="str">
        <f t="shared" si="3"/>
        <v>₹529,389.68</v>
      </c>
      <c r="H3478" s="54" t="str">
        <f t="shared" si="4"/>
        <v>₹44,115.81</v>
      </c>
      <c r="I3478" s="54" t="str">
        <f>127704.48-H3478</f>
        <v>₹83,588.67</v>
      </c>
    </row>
    <row r="3479" ht="15.75" customHeight="1">
      <c r="A3479" s="50" t="s">
        <v>3560</v>
      </c>
      <c r="B3479" s="50" t="s">
        <v>29</v>
      </c>
      <c r="C3479" s="50" t="s">
        <v>37</v>
      </c>
      <c r="D3479" s="51">
        <v>147075.87</v>
      </c>
      <c r="E3479" s="51" t="str">
        <f t="shared" si="1"/>
        <v>₹1,764,910.44</v>
      </c>
      <c r="F3479" s="52" t="str">
        <f t="shared" si="2"/>
        <v>30.0%</v>
      </c>
      <c r="G3479" s="51" t="str">
        <f t="shared" si="3"/>
        <v>₹529,473.13</v>
      </c>
      <c r="H3479" s="51" t="str">
        <f t="shared" si="4"/>
        <v>₹44,122.76</v>
      </c>
      <c r="I3479" s="51" t="str">
        <f>127724.26-H3479</f>
        <v>₹83,601.50</v>
      </c>
    </row>
    <row r="3480" ht="15.75" customHeight="1">
      <c r="A3480" s="53" t="s">
        <v>3561</v>
      </c>
      <c r="B3480" s="53" t="s">
        <v>13</v>
      </c>
      <c r="C3480" s="53" t="s">
        <v>37</v>
      </c>
      <c r="D3480" s="54">
        <v>147099.04</v>
      </c>
      <c r="E3480" s="54" t="str">
        <f t="shared" si="1"/>
        <v>₹1,765,188.48</v>
      </c>
      <c r="F3480" s="55" t="str">
        <f t="shared" si="2"/>
        <v>30.0%</v>
      </c>
      <c r="G3480" s="54" t="str">
        <f t="shared" si="3"/>
        <v>₹529,556.54</v>
      </c>
      <c r="H3480" s="54" t="str">
        <f t="shared" si="4"/>
        <v>₹44,129.71</v>
      </c>
      <c r="I3480" s="54" t="str">
        <f>127744.03-H3480</f>
        <v>₹83,614.32</v>
      </c>
    </row>
    <row r="3481" ht="15.75" customHeight="1">
      <c r="A3481" s="50" t="s">
        <v>3562</v>
      </c>
      <c r="B3481" s="50" t="s">
        <v>13</v>
      </c>
      <c r="C3481" s="50" t="s">
        <v>30</v>
      </c>
      <c r="D3481" s="51">
        <v>147122.22</v>
      </c>
      <c r="E3481" s="51" t="str">
        <f t="shared" si="1"/>
        <v>₹1,765,466.64</v>
      </c>
      <c r="F3481" s="52" t="str">
        <f t="shared" si="2"/>
        <v>30.0%</v>
      </c>
      <c r="G3481" s="51" t="str">
        <f t="shared" si="3"/>
        <v>₹529,639.99</v>
      </c>
      <c r="H3481" s="51" t="str">
        <f t="shared" si="4"/>
        <v>₹44,136.67</v>
      </c>
      <c r="I3481" s="51" t="str">
        <f>127763.82-H3481</f>
        <v>₹83,627.15</v>
      </c>
    </row>
    <row r="3482" ht="15.75" customHeight="1">
      <c r="A3482" s="53" t="s">
        <v>3563</v>
      </c>
      <c r="B3482" s="53" t="s">
        <v>53</v>
      </c>
      <c r="C3482" s="53" t="s">
        <v>26</v>
      </c>
      <c r="D3482" s="54">
        <v>147145.4</v>
      </c>
      <c r="E3482" s="54" t="str">
        <f t="shared" si="1"/>
        <v>₹1,765,744.80</v>
      </c>
      <c r="F3482" s="55" t="str">
        <f t="shared" si="2"/>
        <v>30.0%</v>
      </c>
      <c r="G3482" s="54" t="str">
        <f t="shared" si="3"/>
        <v>₹529,723.44</v>
      </c>
      <c r="H3482" s="54" t="str">
        <f t="shared" si="4"/>
        <v>₹44,143.62</v>
      </c>
      <c r="I3482" s="54" t="str">
        <f>127783.6-H3482</f>
        <v>₹83,639.98</v>
      </c>
    </row>
    <row r="3483" ht="15.75" customHeight="1">
      <c r="A3483" s="50" t="s">
        <v>3564</v>
      </c>
      <c r="B3483" s="50" t="s">
        <v>17</v>
      </c>
      <c r="C3483" s="50" t="s">
        <v>37</v>
      </c>
      <c r="D3483" s="51">
        <v>147168.58</v>
      </c>
      <c r="E3483" s="51" t="str">
        <f t="shared" si="1"/>
        <v>₹1,766,022.96</v>
      </c>
      <c r="F3483" s="52" t="str">
        <f t="shared" si="2"/>
        <v>30.0%</v>
      </c>
      <c r="G3483" s="51" t="str">
        <f t="shared" si="3"/>
        <v>₹529,806.89</v>
      </c>
      <c r="H3483" s="51" t="str">
        <f t="shared" si="4"/>
        <v>₹44,150.57</v>
      </c>
      <c r="I3483" s="51" t="str">
        <f>127803.38-H3483</f>
        <v>₹83,652.81</v>
      </c>
    </row>
    <row r="3484" ht="15.75" customHeight="1">
      <c r="A3484" s="53" t="s">
        <v>3566</v>
      </c>
      <c r="B3484" s="53" t="s">
        <v>51</v>
      </c>
      <c r="C3484" s="53" t="s">
        <v>54</v>
      </c>
      <c r="D3484" s="54">
        <v>147191.76</v>
      </c>
      <c r="E3484" s="54" t="str">
        <f t="shared" si="1"/>
        <v>₹1,766,301.12</v>
      </c>
      <c r="F3484" s="55" t="str">
        <f t="shared" si="2"/>
        <v>30.0%</v>
      </c>
      <c r="G3484" s="54" t="str">
        <f t="shared" si="3"/>
        <v>₹529,890.34</v>
      </c>
      <c r="H3484" s="54" t="str">
        <f t="shared" si="4"/>
        <v>₹44,157.53</v>
      </c>
      <c r="I3484" s="54" t="str">
        <f>127823.16-H3484</f>
        <v>₹83,665.63</v>
      </c>
    </row>
    <row r="3485" ht="15.75" customHeight="1">
      <c r="A3485" s="50" t="s">
        <v>3567</v>
      </c>
      <c r="B3485" s="50" t="s">
        <v>53</v>
      </c>
      <c r="C3485" s="50" t="s">
        <v>18</v>
      </c>
      <c r="D3485" s="51">
        <v>147214.93</v>
      </c>
      <c r="E3485" s="51" t="str">
        <f t="shared" si="1"/>
        <v>₹1,766,579.16</v>
      </c>
      <c r="F3485" s="52" t="str">
        <f t="shared" si="2"/>
        <v>30.0%</v>
      </c>
      <c r="G3485" s="51" t="str">
        <f t="shared" si="3"/>
        <v>₹529,973.75</v>
      </c>
      <c r="H3485" s="51" t="str">
        <f t="shared" si="4"/>
        <v>₹44,164.48</v>
      </c>
      <c r="I3485" s="51" t="str">
        <f>127842.94-H3485</f>
        <v>₹83,678.46</v>
      </c>
    </row>
    <row r="3486" ht="15.75" customHeight="1">
      <c r="A3486" s="53" t="s">
        <v>3568</v>
      </c>
      <c r="B3486" s="53" t="s">
        <v>51</v>
      </c>
      <c r="C3486" s="53" t="s">
        <v>37</v>
      </c>
      <c r="D3486" s="54">
        <v>147238.11</v>
      </c>
      <c r="E3486" s="54" t="str">
        <f t="shared" si="1"/>
        <v>₹1,766,857.32</v>
      </c>
      <c r="F3486" s="55" t="str">
        <f t="shared" si="2"/>
        <v>30.0%</v>
      </c>
      <c r="G3486" s="54" t="str">
        <f t="shared" si="3"/>
        <v>₹530,057.20</v>
      </c>
      <c r="H3486" s="54" t="str">
        <f t="shared" si="4"/>
        <v>₹44,171.43</v>
      </c>
      <c r="I3486" s="54" t="str">
        <f>127862.72-H3486</f>
        <v>₹83,691.29</v>
      </c>
    </row>
    <row r="3487" ht="15.75" customHeight="1">
      <c r="A3487" s="50" t="s">
        <v>3569</v>
      </c>
      <c r="B3487" s="50" t="s">
        <v>25</v>
      </c>
      <c r="C3487" s="50" t="s">
        <v>30</v>
      </c>
      <c r="D3487" s="51">
        <v>147261.29</v>
      </c>
      <c r="E3487" s="51" t="str">
        <f t="shared" si="1"/>
        <v>₹1,767,135.48</v>
      </c>
      <c r="F3487" s="52" t="str">
        <f t="shared" si="2"/>
        <v>30.0%</v>
      </c>
      <c r="G3487" s="51" t="str">
        <f t="shared" si="3"/>
        <v>₹530,140.64</v>
      </c>
      <c r="H3487" s="51" t="str">
        <f t="shared" si="4"/>
        <v>₹44,178.39</v>
      </c>
      <c r="I3487" s="51" t="str">
        <f>127882.5-H3487</f>
        <v>₹83,704.11</v>
      </c>
    </row>
    <row r="3488" ht="15.75" customHeight="1">
      <c r="A3488" s="53" t="s">
        <v>3570</v>
      </c>
      <c r="B3488" s="53" t="s">
        <v>17</v>
      </c>
      <c r="C3488" s="53" t="s">
        <v>18</v>
      </c>
      <c r="D3488" s="54">
        <v>147284.47</v>
      </c>
      <c r="E3488" s="54" t="str">
        <f t="shared" si="1"/>
        <v>₹1,767,413.64</v>
      </c>
      <c r="F3488" s="55" t="str">
        <f t="shared" si="2"/>
        <v>30.0%</v>
      </c>
      <c r="G3488" s="54" t="str">
        <f t="shared" si="3"/>
        <v>₹530,224.09</v>
      </c>
      <c r="H3488" s="54" t="str">
        <f t="shared" si="4"/>
        <v>₹44,185.34</v>
      </c>
      <c r="I3488" s="54" t="str">
        <f>127902.28-H3488</f>
        <v>₹83,716.94</v>
      </c>
    </row>
    <row r="3489" ht="15.75" customHeight="1">
      <c r="A3489" s="50" t="s">
        <v>3571</v>
      </c>
      <c r="B3489" s="50" t="s">
        <v>51</v>
      </c>
      <c r="C3489" s="50" t="s">
        <v>26</v>
      </c>
      <c r="D3489" s="51">
        <v>147307.64</v>
      </c>
      <c r="E3489" s="51" t="str">
        <f t="shared" si="1"/>
        <v>₹1,767,691.68</v>
      </c>
      <c r="F3489" s="52" t="str">
        <f t="shared" si="2"/>
        <v>30.0%</v>
      </c>
      <c r="G3489" s="51" t="str">
        <f t="shared" si="3"/>
        <v>₹530,307.50</v>
      </c>
      <c r="H3489" s="51" t="str">
        <f t="shared" si="4"/>
        <v>₹44,192.29</v>
      </c>
      <c r="I3489" s="51" t="str">
        <f>127922.05-H3489</f>
        <v>₹83,729.76</v>
      </c>
    </row>
    <row r="3490" ht="15.75" customHeight="1">
      <c r="A3490" s="53" t="s">
        <v>3572</v>
      </c>
      <c r="B3490" s="53" t="s">
        <v>53</v>
      </c>
      <c r="C3490" s="53" t="s">
        <v>18</v>
      </c>
      <c r="D3490" s="54">
        <v>147330.82</v>
      </c>
      <c r="E3490" s="54" t="str">
        <f t="shared" si="1"/>
        <v>₹1,767,969.84</v>
      </c>
      <c r="F3490" s="55" t="str">
        <f t="shared" si="2"/>
        <v>30.0%</v>
      </c>
      <c r="G3490" s="54" t="str">
        <f t="shared" si="3"/>
        <v>₹530,390.95</v>
      </c>
      <c r="H3490" s="54" t="str">
        <f t="shared" si="4"/>
        <v>₹44,199.25</v>
      </c>
      <c r="I3490" s="54" t="str">
        <f>127941.84-H3490</f>
        <v>₹83,742.59</v>
      </c>
    </row>
    <row r="3491" ht="15.75" customHeight="1">
      <c r="A3491" s="50" t="s">
        <v>3573</v>
      </c>
      <c r="B3491" s="50" t="s">
        <v>13</v>
      </c>
      <c r="C3491" s="50" t="s">
        <v>30</v>
      </c>
      <c r="D3491" s="51">
        <v>131001.68</v>
      </c>
      <c r="E3491" s="51" t="str">
        <f t="shared" si="1"/>
        <v>₹1,572,020.16</v>
      </c>
      <c r="F3491" s="52" t="str">
        <f t="shared" si="2"/>
        <v>30.0%</v>
      </c>
      <c r="G3491" s="51" t="str">
        <f t="shared" si="3"/>
        <v>₹471,606.05</v>
      </c>
      <c r="H3491" s="51" t="str">
        <f t="shared" si="4"/>
        <v>₹39,300.50</v>
      </c>
      <c r="I3491" s="51" t="str">
        <f>111605.9-H3491</f>
        <v>₹72,305.40</v>
      </c>
    </row>
    <row r="3492" ht="15.75" customHeight="1">
      <c r="A3492" s="53" t="s">
        <v>3574</v>
      </c>
      <c r="B3492" s="53" t="s">
        <v>51</v>
      </c>
      <c r="C3492" s="53" t="s">
        <v>37</v>
      </c>
      <c r="D3492" s="54">
        <v>147400.35</v>
      </c>
      <c r="E3492" s="54" t="str">
        <f t="shared" si="1"/>
        <v>₹1,768,804.20</v>
      </c>
      <c r="F3492" s="55" t="str">
        <f t="shared" si="2"/>
        <v>30.0%</v>
      </c>
      <c r="G3492" s="54" t="str">
        <f t="shared" si="3"/>
        <v>₹530,641.26</v>
      </c>
      <c r="H3492" s="54" t="str">
        <f t="shared" si="4"/>
        <v>₹44,220.11</v>
      </c>
      <c r="I3492" s="54" t="str">
        <f>128001.17-H3492</f>
        <v>₹83,781.07</v>
      </c>
    </row>
    <row r="3493" ht="15.75" customHeight="1">
      <c r="A3493" s="50" t="s">
        <v>3575</v>
      </c>
      <c r="B3493" s="50" t="s">
        <v>17</v>
      </c>
      <c r="C3493" s="50" t="s">
        <v>54</v>
      </c>
      <c r="D3493" s="51">
        <v>147423.53</v>
      </c>
      <c r="E3493" s="51" t="str">
        <f t="shared" si="1"/>
        <v>₹1,769,082.36</v>
      </c>
      <c r="F3493" s="52" t="str">
        <f t="shared" si="2"/>
        <v>30.0%</v>
      </c>
      <c r="G3493" s="51" t="str">
        <f t="shared" si="3"/>
        <v>₹530,724.71</v>
      </c>
      <c r="H3493" s="51" t="str">
        <f t="shared" si="4"/>
        <v>₹44,227.06</v>
      </c>
      <c r="I3493" s="51" t="str">
        <f>128020.96-H3493</f>
        <v>₹83,793.90</v>
      </c>
    </row>
    <row r="3494" ht="15.75" customHeight="1">
      <c r="A3494" s="53" t="s">
        <v>3576</v>
      </c>
      <c r="B3494" s="53" t="s">
        <v>13</v>
      </c>
      <c r="C3494" s="53" t="s">
        <v>54</v>
      </c>
      <c r="D3494" s="54">
        <v>147446.71</v>
      </c>
      <c r="E3494" s="54" t="str">
        <f t="shared" si="1"/>
        <v>₹1,769,360.52</v>
      </c>
      <c r="F3494" s="55" t="str">
        <f t="shared" si="2"/>
        <v>30.0%</v>
      </c>
      <c r="G3494" s="54" t="str">
        <f t="shared" si="3"/>
        <v>₹530,808.16</v>
      </c>
      <c r="H3494" s="54" t="str">
        <f t="shared" si="4"/>
        <v>₹44,234.01</v>
      </c>
      <c r="I3494" s="54" t="str">
        <f>128040.74-H3494</f>
        <v>₹83,806.73</v>
      </c>
    </row>
    <row r="3495" ht="15.75" customHeight="1">
      <c r="A3495" s="50" t="s">
        <v>3577</v>
      </c>
      <c r="B3495" s="50" t="s">
        <v>17</v>
      </c>
      <c r="C3495" s="50" t="s">
        <v>26</v>
      </c>
      <c r="D3495" s="51">
        <v>147469.89</v>
      </c>
      <c r="E3495" s="51" t="str">
        <f t="shared" si="1"/>
        <v>₹1,769,638.68</v>
      </c>
      <c r="F3495" s="52" t="str">
        <f t="shared" si="2"/>
        <v>30.0%</v>
      </c>
      <c r="G3495" s="51" t="str">
        <f t="shared" si="3"/>
        <v>₹530,891.60</v>
      </c>
      <c r="H3495" s="51" t="str">
        <f t="shared" si="4"/>
        <v>₹44,240.97</v>
      </c>
      <c r="I3495" s="51" t="str">
        <f>128060.52-H3495</f>
        <v>₹83,819.55</v>
      </c>
    </row>
    <row r="3496" ht="15.75" customHeight="1">
      <c r="A3496" s="53" t="s">
        <v>3578</v>
      </c>
      <c r="B3496" s="53" t="s">
        <v>17</v>
      </c>
      <c r="C3496" s="53" t="s">
        <v>37</v>
      </c>
      <c r="D3496" s="54">
        <v>147493.07</v>
      </c>
      <c r="E3496" s="54" t="str">
        <f t="shared" si="1"/>
        <v>₹1,769,916.84</v>
      </c>
      <c r="F3496" s="55" t="str">
        <f t="shared" si="2"/>
        <v>30.0%</v>
      </c>
      <c r="G3496" s="54" t="str">
        <f t="shared" si="3"/>
        <v>₹530,975.05</v>
      </c>
      <c r="H3496" s="54" t="str">
        <f t="shared" si="4"/>
        <v>₹44,247.92</v>
      </c>
      <c r="I3496" s="54" t="str">
        <f>128080.3-H3496</f>
        <v>₹83,832.38</v>
      </c>
    </row>
    <row r="3497" ht="15.75" customHeight="1">
      <c r="A3497" s="50" t="s">
        <v>3579</v>
      </c>
      <c r="B3497" s="50" t="s">
        <v>29</v>
      </c>
      <c r="C3497" s="50" t="s">
        <v>54</v>
      </c>
      <c r="D3497" s="51">
        <v>147516.24</v>
      </c>
      <c r="E3497" s="51" t="str">
        <f t="shared" si="1"/>
        <v>₹1,770,194.88</v>
      </c>
      <c r="F3497" s="52" t="str">
        <f t="shared" si="2"/>
        <v>30.0%</v>
      </c>
      <c r="G3497" s="51" t="str">
        <f t="shared" si="3"/>
        <v>₹531,058.46</v>
      </c>
      <c r="H3497" s="51" t="str">
        <f t="shared" si="4"/>
        <v>₹44,254.87</v>
      </c>
      <c r="I3497" s="51" t="str">
        <f>128100.08-H3497</f>
        <v>₹83,845.21</v>
      </c>
    </row>
    <row r="3498" ht="15.75" customHeight="1">
      <c r="A3498" s="53" t="s">
        <v>3580</v>
      </c>
      <c r="B3498" s="53" t="s">
        <v>51</v>
      </c>
      <c r="C3498" s="53" t="s">
        <v>54</v>
      </c>
      <c r="D3498" s="54">
        <v>147539.42</v>
      </c>
      <c r="E3498" s="54" t="str">
        <f t="shared" si="1"/>
        <v>₹1,770,473.04</v>
      </c>
      <c r="F3498" s="55" t="str">
        <f t="shared" si="2"/>
        <v>30.0%</v>
      </c>
      <c r="G3498" s="54" t="str">
        <f t="shared" si="3"/>
        <v>₹531,141.91</v>
      </c>
      <c r="H3498" s="54" t="str">
        <f t="shared" si="4"/>
        <v>₹44,261.83</v>
      </c>
      <c r="I3498" s="54" t="str">
        <f>128119.86-H3498</f>
        <v>₹83,858.03</v>
      </c>
    </row>
    <row r="3499" ht="15.75" customHeight="1">
      <c r="A3499" s="50" t="s">
        <v>3581</v>
      </c>
      <c r="B3499" s="50" t="s">
        <v>53</v>
      </c>
      <c r="C3499" s="50" t="s">
        <v>14</v>
      </c>
      <c r="D3499" s="51">
        <v>147562.6</v>
      </c>
      <c r="E3499" s="51" t="str">
        <f t="shared" si="1"/>
        <v>₹1,770,751.20</v>
      </c>
      <c r="F3499" s="52" t="str">
        <f t="shared" si="2"/>
        <v>30.0%</v>
      </c>
      <c r="G3499" s="51" t="str">
        <f t="shared" si="3"/>
        <v>₹531,225.36</v>
      </c>
      <c r="H3499" s="51" t="str">
        <f t="shared" si="4"/>
        <v>₹44,268.78</v>
      </c>
      <c r="I3499" s="51" t="str">
        <f>128139.64-H3499</f>
        <v>₹83,870.86</v>
      </c>
    </row>
    <row r="3500" ht="15.75" customHeight="1">
      <c r="A3500" s="53" t="s">
        <v>3582</v>
      </c>
      <c r="B3500" s="53" t="s">
        <v>36</v>
      </c>
      <c r="C3500" s="53" t="s">
        <v>54</v>
      </c>
      <c r="D3500" s="54">
        <v>147585.78</v>
      </c>
      <c r="E3500" s="54" t="str">
        <f t="shared" si="1"/>
        <v>₹1,771,029.36</v>
      </c>
      <c r="F3500" s="55" t="str">
        <f t="shared" si="2"/>
        <v>30.0%</v>
      </c>
      <c r="G3500" s="54" t="str">
        <f t="shared" si="3"/>
        <v>₹531,308.81</v>
      </c>
      <c r="H3500" s="54" t="str">
        <f t="shared" si="4"/>
        <v>₹44,275.73</v>
      </c>
      <c r="I3500" s="54" t="str">
        <f>128159.42-H3500</f>
        <v>₹83,883.69</v>
      </c>
    </row>
    <row r="3501" ht="15.75" customHeight="1">
      <c r="A3501" s="50" t="s">
        <v>3583</v>
      </c>
      <c r="B3501" s="50" t="s">
        <v>25</v>
      </c>
      <c r="C3501" s="50" t="s">
        <v>37</v>
      </c>
      <c r="D3501" s="51">
        <v>147608.95</v>
      </c>
      <c r="E3501" s="51" t="str">
        <f t="shared" si="1"/>
        <v>₹1,771,307.40</v>
      </c>
      <c r="F3501" s="52" t="str">
        <f t="shared" si="2"/>
        <v>30.0%</v>
      </c>
      <c r="G3501" s="51" t="str">
        <f t="shared" si="3"/>
        <v>₹531,392.22</v>
      </c>
      <c r="H3501" s="51" t="str">
        <f t="shared" si="4"/>
        <v>₹44,282.69</v>
      </c>
      <c r="I3501" s="51" t="str">
        <f>128179.2-H3501</f>
        <v>₹83,896.52</v>
      </c>
    </row>
    <row r="3502" ht="15.75" customHeight="1">
      <c r="A3502" s="53" t="s">
        <v>3584</v>
      </c>
      <c r="B3502" s="53" t="s">
        <v>17</v>
      </c>
      <c r="C3502" s="53" t="s">
        <v>54</v>
      </c>
      <c r="D3502" s="54">
        <v>147632.13</v>
      </c>
      <c r="E3502" s="54" t="str">
        <f t="shared" si="1"/>
        <v>₹1,771,585.56</v>
      </c>
      <c r="F3502" s="55" t="str">
        <f t="shared" si="2"/>
        <v>30.0%</v>
      </c>
      <c r="G3502" s="54" t="str">
        <f t="shared" si="3"/>
        <v>₹531,475.67</v>
      </c>
      <c r="H3502" s="54" t="str">
        <f t="shared" si="4"/>
        <v>₹44,289.64</v>
      </c>
      <c r="I3502" s="54" t="str">
        <f>128198.98-H3502</f>
        <v>₹83,909.34</v>
      </c>
    </row>
    <row r="3503" ht="15.75" customHeight="1">
      <c r="A3503" s="50" t="s">
        <v>3585</v>
      </c>
      <c r="B3503" s="50" t="s">
        <v>29</v>
      </c>
      <c r="C3503" s="50" t="s">
        <v>33</v>
      </c>
      <c r="D3503" s="51">
        <v>147655.31</v>
      </c>
      <c r="E3503" s="51" t="str">
        <f t="shared" si="1"/>
        <v>₹1,771,863.72</v>
      </c>
      <c r="F3503" s="52" t="str">
        <f t="shared" si="2"/>
        <v>30.0%</v>
      </c>
      <c r="G3503" s="51" t="str">
        <f t="shared" si="3"/>
        <v>₹531,559.12</v>
      </c>
      <c r="H3503" s="51" t="str">
        <f t="shared" si="4"/>
        <v>₹44,296.59</v>
      </c>
      <c r="I3503" s="51" t="str">
        <f>128218.76-H3503</f>
        <v>₹83,922.17</v>
      </c>
    </row>
    <row r="3504" ht="15.75" customHeight="1">
      <c r="A3504" s="53" t="s">
        <v>3586</v>
      </c>
      <c r="B3504" s="53" t="s">
        <v>51</v>
      </c>
      <c r="C3504" s="53" t="s">
        <v>26</v>
      </c>
      <c r="D3504" s="54">
        <v>131407.48</v>
      </c>
      <c r="E3504" s="54" t="str">
        <f t="shared" si="1"/>
        <v>₹1,576,889.76</v>
      </c>
      <c r="F3504" s="55" t="str">
        <f t="shared" si="2"/>
        <v>30.0%</v>
      </c>
      <c r="G3504" s="54" t="str">
        <f t="shared" si="3"/>
        <v>₹473,066.93</v>
      </c>
      <c r="H3504" s="54" t="str">
        <f t="shared" si="4"/>
        <v>₹39,422.24</v>
      </c>
      <c r="I3504" s="54" t="str">
        <f>111967.53-H3504</f>
        <v>₹72,545.29</v>
      </c>
    </row>
    <row r="3505" ht="15.75" customHeight="1">
      <c r="A3505" s="50" t="s">
        <v>3587</v>
      </c>
      <c r="B3505" s="50" t="s">
        <v>29</v>
      </c>
      <c r="C3505" s="50" t="s">
        <v>30</v>
      </c>
      <c r="D3505" s="51">
        <v>147701.66</v>
      </c>
      <c r="E3505" s="51" t="str">
        <f t="shared" si="1"/>
        <v>₹1,772,419.92</v>
      </c>
      <c r="F3505" s="52" t="str">
        <f t="shared" si="2"/>
        <v>30.0%</v>
      </c>
      <c r="G3505" s="51" t="str">
        <f t="shared" si="3"/>
        <v>₹531,725.98</v>
      </c>
      <c r="H3505" s="51" t="str">
        <f t="shared" si="4"/>
        <v>₹44,310.50</v>
      </c>
      <c r="I3505" s="51" t="str">
        <f>128258.32-H3505</f>
        <v>₹83,947.82</v>
      </c>
    </row>
    <row r="3506" ht="15.75" customHeight="1">
      <c r="A3506" s="53" t="s">
        <v>3588</v>
      </c>
      <c r="B3506" s="53" t="s">
        <v>17</v>
      </c>
      <c r="C3506" s="53" t="s">
        <v>54</v>
      </c>
      <c r="D3506" s="54">
        <v>147724.84</v>
      </c>
      <c r="E3506" s="54" t="str">
        <f t="shared" si="1"/>
        <v>₹1,772,698.08</v>
      </c>
      <c r="F3506" s="55" t="str">
        <f t="shared" si="2"/>
        <v>30.0%</v>
      </c>
      <c r="G3506" s="54" t="str">
        <f t="shared" si="3"/>
        <v>₹531,809.42</v>
      </c>
      <c r="H3506" s="54" t="str">
        <f t="shared" si="4"/>
        <v>₹44,317.45</v>
      </c>
      <c r="I3506" s="54" t="str">
        <f>128278.1-H3506</f>
        <v>₹83,960.65</v>
      </c>
    </row>
    <row r="3507" ht="15.75" customHeight="1">
      <c r="A3507" s="50" t="s">
        <v>3589</v>
      </c>
      <c r="B3507" s="50" t="s">
        <v>17</v>
      </c>
      <c r="C3507" s="50" t="s">
        <v>14</v>
      </c>
      <c r="D3507" s="51">
        <v>147748.02</v>
      </c>
      <c r="E3507" s="51" t="str">
        <f t="shared" si="1"/>
        <v>₹1,772,976.24</v>
      </c>
      <c r="F3507" s="52" t="str">
        <f t="shared" si="2"/>
        <v>30.0%</v>
      </c>
      <c r="G3507" s="51" t="str">
        <f t="shared" si="3"/>
        <v>₹531,892.87</v>
      </c>
      <c r="H3507" s="51" t="str">
        <f t="shared" si="4"/>
        <v>₹44,324.41</v>
      </c>
      <c r="I3507" s="51" t="str">
        <f>128297.88-H3507</f>
        <v>₹83,973.47</v>
      </c>
    </row>
    <row r="3508" ht="15.75" customHeight="1">
      <c r="A3508" s="53" t="s">
        <v>3590</v>
      </c>
      <c r="B3508" s="53" t="s">
        <v>53</v>
      </c>
      <c r="C3508" s="53" t="s">
        <v>54</v>
      </c>
      <c r="D3508" s="54">
        <v>147771.2</v>
      </c>
      <c r="E3508" s="54" t="str">
        <f t="shared" si="1"/>
        <v>₹1,773,254.40</v>
      </c>
      <c r="F3508" s="55" t="str">
        <f t="shared" si="2"/>
        <v>30.0%</v>
      </c>
      <c r="G3508" s="54" t="str">
        <f t="shared" si="3"/>
        <v>₹531,976.32</v>
      </c>
      <c r="H3508" s="54" t="str">
        <f t="shared" si="4"/>
        <v>₹44,331.36</v>
      </c>
      <c r="I3508" s="54" t="str">
        <f>128317.66-H3508</f>
        <v>₹83,986.30</v>
      </c>
    </row>
    <row r="3509" ht="15.75" customHeight="1">
      <c r="A3509" s="50" t="s">
        <v>3591</v>
      </c>
      <c r="B3509" s="50" t="s">
        <v>13</v>
      </c>
      <c r="C3509" s="50" t="s">
        <v>33</v>
      </c>
      <c r="D3509" s="51">
        <v>131222.99</v>
      </c>
      <c r="E3509" s="51" t="str">
        <f t="shared" si="1"/>
        <v>₹1,574,675.88</v>
      </c>
      <c r="F3509" s="52" t="str">
        <f t="shared" si="2"/>
        <v>30.0%</v>
      </c>
      <c r="G3509" s="51" t="str">
        <f t="shared" si="3"/>
        <v>₹472,402.76</v>
      </c>
      <c r="H3509" s="51" t="str">
        <f t="shared" si="4"/>
        <v>₹39,366.90</v>
      </c>
      <c r="I3509" s="51" t="str">
        <f>111766.06-H3509</f>
        <v>₹72,399.16</v>
      </c>
    </row>
    <row r="3510" ht="15.75" customHeight="1">
      <c r="A3510" s="53" t="s">
        <v>3592</v>
      </c>
      <c r="B3510" s="53" t="s">
        <v>13</v>
      </c>
      <c r="C3510" s="53" t="s">
        <v>30</v>
      </c>
      <c r="D3510" s="54">
        <v>147817.55</v>
      </c>
      <c r="E3510" s="54" t="str">
        <f t="shared" si="1"/>
        <v>₹1,773,810.60</v>
      </c>
      <c r="F3510" s="55" t="str">
        <f t="shared" si="2"/>
        <v>30.0%</v>
      </c>
      <c r="G3510" s="54" t="str">
        <f t="shared" si="3"/>
        <v>₹532,143.18</v>
      </c>
      <c r="H3510" s="54" t="str">
        <f t="shared" si="4"/>
        <v>₹44,345.27</v>
      </c>
      <c r="I3510" s="54" t="str">
        <f>128357.22-H3510</f>
        <v>₹84,011.96</v>
      </c>
    </row>
    <row r="3511" ht="15.75" customHeight="1">
      <c r="A3511" s="50" t="s">
        <v>3593</v>
      </c>
      <c r="B3511" s="50" t="s">
        <v>29</v>
      </c>
      <c r="C3511" s="50" t="s">
        <v>33</v>
      </c>
      <c r="D3511" s="51">
        <v>147840.73</v>
      </c>
      <c r="E3511" s="51" t="str">
        <f t="shared" si="1"/>
        <v>₹1,774,088.76</v>
      </c>
      <c r="F3511" s="52" t="str">
        <f t="shared" si="2"/>
        <v>30.0%</v>
      </c>
      <c r="G3511" s="51" t="str">
        <f t="shared" si="3"/>
        <v>₹532,226.63</v>
      </c>
      <c r="H3511" s="51" t="str">
        <f t="shared" si="4"/>
        <v>₹44,352.22</v>
      </c>
      <c r="I3511" s="51" t="str">
        <f>128377-H3511</f>
        <v>₹84,024.78</v>
      </c>
    </row>
    <row r="3512" ht="15.75" customHeight="1">
      <c r="A3512" s="53" t="s">
        <v>3594</v>
      </c>
      <c r="B3512" s="53" t="s">
        <v>53</v>
      </c>
      <c r="C3512" s="53" t="s">
        <v>18</v>
      </c>
      <c r="D3512" s="54">
        <v>147863.91</v>
      </c>
      <c r="E3512" s="54" t="str">
        <f t="shared" si="1"/>
        <v>₹1,774,366.92</v>
      </c>
      <c r="F3512" s="55" t="str">
        <f t="shared" si="2"/>
        <v>30.0%</v>
      </c>
      <c r="G3512" s="54" t="str">
        <f t="shared" si="3"/>
        <v>₹532,310.08</v>
      </c>
      <c r="H3512" s="54" t="str">
        <f t="shared" si="4"/>
        <v>₹44,359.17</v>
      </c>
      <c r="I3512" s="54" t="str">
        <f>128396.78-H3512</f>
        <v>₹84,037.61</v>
      </c>
    </row>
    <row r="3513" ht="15.75" customHeight="1">
      <c r="A3513" s="50" t="s">
        <v>3595</v>
      </c>
      <c r="B3513" s="50" t="s">
        <v>51</v>
      </c>
      <c r="C3513" s="50" t="s">
        <v>26</v>
      </c>
      <c r="D3513" s="51">
        <v>147887.09</v>
      </c>
      <c r="E3513" s="51" t="str">
        <f t="shared" si="1"/>
        <v>₹1,774,645.08</v>
      </c>
      <c r="F3513" s="52" t="str">
        <f t="shared" si="2"/>
        <v>30.0%</v>
      </c>
      <c r="G3513" s="51" t="str">
        <f t="shared" si="3"/>
        <v>₹532,393.52</v>
      </c>
      <c r="H3513" s="51" t="str">
        <f t="shared" si="4"/>
        <v>₹44,366.13</v>
      </c>
      <c r="I3513" s="51" t="str">
        <f>128416.57-H3513</f>
        <v>₹84,050.44</v>
      </c>
    </row>
    <row r="3514" ht="15.75" customHeight="1">
      <c r="A3514" s="53" t="s">
        <v>3596</v>
      </c>
      <c r="B3514" s="53" t="s">
        <v>53</v>
      </c>
      <c r="C3514" s="53" t="s">
        <v>14</v>
      </c>
      <c r="D3514" s="54">
        <v>147910.26</v>
      </c>
      <c r="E3514" s="54" t="str">
        <f t="shared" si="1"/>
        <v>₹1,774,923.12</v>
      </c>
      <c r="F3514" s="55" t="str">
        <f t="shared" si="2"/>
        <v>30.0%</v>
      </c>
      <c r="G3514" s="54" t="str">
        <f t="shared" si="3"/>
        <v>₹532,476.94</v>
      </c>
      <c r="H3514" s="54" t="str">
        <f t="shared" si="4"/>
        <v>₹44,373.08</v>
      </c>
      <c r="I3514" s="54" t="str">
        <f>128436.34-H3514</f>
        <v>₹84,063.26</v>
      </c>
    </row>
    <row r="3515" ht="15.75" customHeight="1">
      <c r="A3515" s="50" t="s">
        <v>3597</v>
      </c>
      <c r="B3515" s="50" t="s">
        <v>51</v>
      </c>
      <c r="C3515" s="50" t="s">
        <v>30</v>
      </c>
      <c r="D3515" s="51">
        <v>147933.44</v>
      </c>
      <c r="E3515" s="51" t="str">
        <f t="shared" si="1"/>
        <v>₹1,775,201.28</v>
      </c>
      <c r="F3515" s="52" t="str">
        <f t="shared" si="2"/>
        <v>30.0%</v>
      </c>
      <c r="G3515" s="51" t="str">
        <f t="shared" si="3"/>
        <v>₹532,560.38</v>
      </c>
      <c r="H3515" s="51" t="str">
        <f t="shared" si="4"/>
        <v>₹44,380.03</v>
      </c>
      <c r="I3515" s="51" t="str">
        <f>128456.12-H3515</f>
        <v>₹84,076.09</v>
      </c>
    </row>
    <row r="3516" ht="15.75" customHeight="1">
      <c r="A3516" s="53" t="s">
        <v>3598</v>
      </c>
      <c r="B3516" s="53" t="s">
        <v>36</v>
      </c>
      <c r="C3516" s="53" t="s">
        <v>18</v>
      </c>
      <c r="D3516" s="54">
        <v>147956.62</v>
      </c>
      <c r="E3516" s="54" t="str">
        <f t="shared" si="1"/>
        <v>₹1,775,479.44</v>
      </c>
      <c r="F3516" s="55" t="str">
        <f t="shared" si="2"/>
        <v>30.0%</v>
      </c>
      <c r="G3516" s="54" t="str">
        <f t="shared" si="3"/>
        <v>₹532,643.83</v>
      </c>
      <c r="H3516" s="54" t="str">
        <f t="shared" si="4"/>
        <v>₹44,386.99</v>
      </c>
      <c r="I3516" s="54" t="str">
        <f>128475.9-H3516</f>
        <v>₹84,088.91</v>
      </c>
    </row>
    <row r="3517" ht="15.75" customHeight="1">
      <c r="A3517" s="50" t="s">
        <v>3599</v>
      </c>
      <c r="B3517" s="50" t="s">
        <v>51</v>
      </c>
      <c r="C3517" s="50" t="s">
        <v>30</v>
      </c>
      <c r="D3517" s="51">
        <v>147979.8</v>
      </c>
      <c r="E3517" s="51" t="str">
        <f t="shared" si="1"/>
        <v>₹1,775,757.60</v>
      </c>
      <c r="F3517" s="52" t="str">
        <f t="shared" si="2"/>
        <v>30.0%</v>
      </c>
      <c r="G3517" s="51" t="str">
        <f t="shared" si="3"/>
        <v>₹532,727.28</v>
      </c>
      <c r="H3517" s="51" t="str">
        <f t="shared" si="4"/>
        <v>₹44,393.94</v>
      </c>
      <c r="I3517" s="51" t="str">
        <f>128495.69-H3517</f>
        <v>₹84,101.75</v>
      </c>
    </row>
    <row r="3518" ht="15.75" customHeight="1">
      <c r="A3518" s="53" t="s">
        <v>3600</v>
      </c>
      <c r="B3518" s="53" t="s">
        <v>17</v>
      </c>
      <c r="C3518" s="53" t="s">
        <v>26</v>
      </c>
      <c r="D3518" s="54">
        <v>148002.97</v>
      </c>
      <c r="E3518" s="54" t="str">
        <f t="shared" si="1"/>
        <v>₹1,776,035.64</v>
      </c>
      <c r="F3518" s="55" t="str">
        <f t="shared" si="2"/>
        <v>30.0%</v>
      </c>
      <c r="G3518" s="54" t="str">
        <f t="shared" si="3"/>
        <v>₹532,810.69</v>
      </c>
      <c r="H3518" s="54" t="str">
        <f t="shared" si="4"/>
        <v>₹44,400.89</v>
      </c>
      <c r="I3518" s="54" t="str">
        <f>128515.46-H3518</f>
        <v>₹84,114.57</v>
      </c>
    </row>
    <row r="3519" ht="15.75" customHeight="1">
      <c r="A3519" s="50" t="s">
        <v>3601</v>
      </c>
      <c r="B3519" s="50" t="s">
        <v>51</v>
      </c>
      <c r="C3519" s="50" t="s">
        <v>30</v>
      </c>
      <c r="D3519" s="51">
        <v>148026.15</v>
      </c>
      <c r="E3519" s="51" t="str">
        <f t="shared" si="1"/>
        <v>₹1,776,313.80</v>
      </c>
      <c r="F3519" s="52" t="str">
        <f t="shared" si="2"/>
        <v>30.0%</v>
      </c>
      <c r="G3519" s="51" t="str">
        <f t="shared" si="3"/>
        <v>₹532,894.14</v>
      </c>
      <c r="H3519" s="51" t="str">
        <f t="shared" si="4"/>
        <v>₹44,407.85</v>
      </c>
      <c r="I3519" s="51" t="str">
        <f>128535.24-H3519</f>
        <v>₹84,127.40</v>
      </c>
    </row>
    <row r="3520" ht="15.75" customHeight="1">
      <c r="A3520" s="53" t="s">
        <v>3602</v>
      </c>
      <c r="B3520" s="53" t="s">
        <v>36</v>
      </c>
      <c r="C3520" s="53" t="s">
        <v>14</v>
      </c>
      <c r="D3520" s="54">
        <v>148049.33</v>
      </c>
      <c r="E3520" s="54" t="str">
        <f t="shared" si="1"/>
        <v>₹1,776,591.96</v>
      </c>
      <c r="F3520" s="55" t="str">
        <f t="shared" si="2"/>
        <v>30.0%</v>
      </c>
      <c r="G3520" s="54" t="str">
        <f t="shared" si="3"/>
        <v>₹532,977.59</v>
      </c>
      <c r="H3520" s="54" t="str">
        <f t="shared" si="4"/>
        <v>₹44,414.80</v>
      </c>
      <c r="I3520" s="54" t="str">
        <f>128555.02-H3520</f>
        <v>₹84,140.22</v>
      </c>
    </row>
    <row r="3521" ht="15.75" customHeight="1">
      <c r="A3521" s="50" t="s">
        <v>3603</v>
      </c>
      <c r="B3521" s="50" t="s">
        <v>36</v>
      </c>
      <c r="C3521" s="50" t="s">
        <v>54</v>
      </c>
      <c r="D3521" s="51">
        <v>148072.51</v>
      </c>
      <c r="E3521" s="51" t="str">
        <f t="shared" si="1"/>
        <v>₹1,776,870.12</v>
      </c>
      <c r="F3521" s="52" t="str">
        <f t="shared" si="2"/>
        <v>30.0%</v>
      </c>
      <c r="G3521" s="51" t="str">
        <f t="shared" si="3"/>
        <v>₹533,061.04</v>
      </c>
      <c r="H3521" s="51" t="str">
        <f t="shared" si="4"/>
        <v>₹44,421.75</v>
      </c>
      <c r="I3521" s="51" t="str">
        <f>128574.81-H3521</f>
        <v>₹84,153.06</v>
      </c>
    </row>
    <row r="3522" ht="15.75" customHeight="1">
      <c r="A3522" s="53" t="s">
        <v>3604</v>
      </c>
      <c r="B3522" s="53" t="s">
        <v>25</v>
      </c>
      <c r="C3522" s="53" t="s">
        <v>54</v>
      </c>
      <c r="D3522" s="54">
        <v>148095.69</v>
      </c>
      <c r="E3522" s="54" t="str">
        <f t="shared" si="1"/>
        <v>₹1,777,148.28</v>
      </c>
      <c r="F3522" s="55" t="str">
        <f t="shared" si="2"/>
        <v>30.0%</v>
      </c>
      <c r="G3522" s="54" t="str">
        <f t="shared" si="3"/>
        <v>₹533,144.48</v>
      </c>
      <c r="H3522" s="54" t="str">
        <f t="shared" si="4"/>
        <v>₹44,428.71</v>
      </c>
      <c r="I3522" s="54" t="str">
        <f>128594.59-H3522</f>
        <v>₹84,165.88</v>
      </c>
    </row>
    <row r="3523" ht="15.75" customHeight="1">
      <c r="A3523" s="50" t="s">
        <v>3605</v>
      </c>
      <c r="B3523" s="50" t="s">
        <v>17</v>
      </c>
      <c r="C3523" s="50" t="s">
        <v>14</v>
      </c>
      <c r="D3523" s="51">
        <v>148118.86</v>
      </c>
      <c r="E3523" s="51" t="str">
        <f t="shared" si="1"/>
        <v>₹1,777,426.32</v>
      </c>
      <c r="F3523" s="52" t="str">
        <f t="shared" si="2"/>
        <v>30.0%</v>
      </c>
      <c r="G3523" s="51" t="str">
        <f t="shared" si="3"/>
        <v>₹533,227.90</v>
      </c>
      <c r="H3523" s="51" t="str">
        <f t="shared" si="4"/>
        <v>₹44,435.66</v>
      </c>
      <c r="I3523" s="51" t="str">
        <f>128614.36-H3523</f>
        <v>₹84,178.70</v>
      </c>
    </row>
    <row r="3524" ht="15.75" customHeight="1">
      <c r="A3524" s="53" t="s">
        <v>3606</v>
      </c>
      <c r="B3524" s="53" t="s">
        <v>13</v>
      </c>
      <c r="C3524" s="53" t="s">
        <v>33</v>
      </c>
      <c r="D3524" s="54">
        <v>148142.04</v>
      </c>
      <c r="E3524" s="54" t="str">
        <f t="shared" si="1"/>
        <v>₹1,777,704.48</v>
      </c>
      <c r="F3524" s="55" t="str">
        <f t="shared" si="2"/>
        <v>30.0%</v>
      </c>
      <c r="G3524" s="54" t="str">
        <f t="shared" si="3"/>
        <v>₹533,311.34</v>
      </c>
      <c r="H3524" s="54" t="str">
        <f t="shared" si="4"/>
        <v>₹44,442.61</v>
      </c>
      <c r="I3524" s="54" t="str">
        <f>128634.14-H3524</f>
        <v>₹84,191.53</v>
      </c>
    </row>
    <row r="3525" ht="15.75" customHeight="1">
      <c r="A3525" s="50" t="s">
        <v>3607</v>
      </c>
      <c r="B3525" s="50" t="s">
        <v>53</v>
      </c>
      <c r="C3525" s="50" t="s">
        <v>30</v>
      </c>
      <c r="D3525" s="51">
        <v>148165.22</v>
      </c>
      <c r="E3525" s="51" t="str">
        <f t="shared" si="1"/>
        <v>₹1,777,982.64</v>
      </c>
      <c r="F3525" s="52" t="str">
        <f t="shared" si="2"/>
        <v>30.0%</v>
      </c>
      <c r="G3525" s="51" t="str">
        <f t="shared" si="3"/>
        <v>₹533,394.79</v>
      </c>
      <c r="H3525" s="51" t="str">
        <f t="shared" si="4"/>
        <v>₹44,449.57</v>
      </c>
      <c r="I3525" s="51" t="str">
        <f>128653.93-H3525</f>
        <v>₹84,204.36</v>
      </c>
    </row>
    <row r="3526" ht="15.75" customHeight="1">
      <c r="A3526" s="53" t="s">
        <v>3608</v>
      </c>
      <c r="B3526" s="53" t="s">
        <v>36</v>
      </c>
      <c r="C3526" s="53" t="s">
        <v>18</v>
      </c>
      <c r="D3526" s="54">
        <v>148188.4</v>
      </c>
      <c r="E3526" s="54" t="str">
        <f t="shared" si="1"/>
        <v>₹1,778,260.80</v>
      </c>
      <c r="F3526" s="55" t="str">
        <f t="shared" si="2"/>
        <v>30.0%</v>
      </c>
      <c r="G3526" s="54" t="str">
        <f t="shared" si="3"/>
        <v>₹533,478.24</v>
      </c>
      <c r="H3526" s="54" t="str">
        <f t="shared" si="4"/>
        <v>₹44,456.52</v>
      </c>
      <c r="I3526" s="54" t="str">
        <f>128673.71-H3526</f>
        <v>₹84,217.19</v>
      </c>
    </row>
    <row r="3527" ht="15.75" customHeight="1">
      <c r="A3527" s="50" t="s">
        <v>3609</v>
      </c>
      <c r="B3527" s="50" t="s">
        <v>29</v>
      </c>
      <c r="C3527" s="50" t="s">
        <v>26</v>
      </c>
      <c r="D3527" s="51">
        <v>148234.75</v>
      </c>
      <c r="E3527" s="51" t="str">
        <f t="shared" si="1"/>
        <v>₹1,778,817.00</v>
      </c>
      <c r="F3527" s="52" t="str">
        <f t="shared" si="2"/>
        <v>30.0%</v>
      </c>
      <c r="G3527" s="51" t="str">
        <f t="shared" si="3"/>
        <v>₹533,645.10</v>
      </c>
      <c r="H3527" s="51" t="str">
        <f t="shared" si="4"/>
        <v>₹44,470.43</v>
      </c>
      <c r="I3527" s="51" t="str">
        <f>128713.26-H3527</f>
        <v>₹84,242.84</v>
      </c>
    </row>
    <row r="3528" ht="15.75" customHeight="1">
      <c r="A3528" s="53" t="s">
        <v>3610</v>
      </c>
      <c r="B3528" s="53" t="s">
        <v>53</v>
      </c>
      <c r="C3528" s="53" t="s">
        <v>30</v>
      </c>
      <c r="D3528" s="54">
        <v>148257.93</v>
      </c>
      <c r="E3528" s="54" t="str">
        <f t="shared" si="1"/>
        <v>₹1,779,095.16</v>
      </c>
      <c r="F3528" s="55" t="str">
        <f t="shared" si="2"/>
        <v>30.0%</v>
      </c>
      <c r="G3528" s="54" t="str">
        <f t="shared" si="3"/>
        <v>₹533,728.55</v>
      </c>
      <c r="H3528" s="54" t="str">
        <f t="shared" si="4"/>
        <v>₹44,477.38</v>
      </c>
      <c r="I3528" s="54" t="str">
        <f>128733.05-H3528</f>
        <v>₹84,255.67</v>
      </c>
    </row>
    <row r="3529" ht="15.75" customHeight="1">
      <c r="A3529" s="50" t="s">
        <v>3611</v>
      </c>
      <c r="B3529" s="50" t="s">
        <v>51</v>
      </c>
      <c r="C3529" s="50" t="s">
        <v>26</v>
      </c>
      <c r="D3529" s="51">
        <v>148281.11</v>
      </c>
      <c r="E3529" s="51" t="str">
        <f t="shared" si="1"/>
        <v>₹1,779,373.32</v>
      </c>
      <c r="F3529" s="52" t="str">
        <f t="shared" si="2"/>
        <v>30.0%</v>
      </c>
      <c r="G3529" s="51" t="str">
        <f t="shared" si="3"/>
        <v>₹533,812.00</v>
      </c>
      <c r="H3529" s="51" t="str">
        <f t="shared" si="4"/>
        <v>₹44,484.33</v>
      </c>
      <c r="I3529" s="51" t="str">
        <f>128752.83-H3529</f>
        <v>₹84,268.50</v>
      </c>
    </row>
    <row r="3530" ht="15.75" customHeight="1">
      <c r="A3530" s="53" t="s">
        <v>3612</v>
      </c>
      <c r="B3530" s="53" t="s">
        <v>51</v>
      </c>
      <c r="C3530" s="53" t="s">
        <v>30</v>
      </c>
      <c r="D3530" s="54">
        <v>148304.28</v>
      </c>
      <c r="E3530" s="54" t="str">
        <f t="shared" si="1"/>
        <v>₹1,779,651.36</v>
      </c>
      <c r="F3530" s="55" t="str">
        <f t="shared" si="2"/>
        <v>30.0%</v>
      </c>
      <c r="G3530" s="54" t="str">
        <f t="shared" si="3"/>
        <v>₹533,895.41</v>
      </c>
      <c r="H3530" s="54" t="str">
        <f t="shared" si="4"/>
        <v>₹44,491.28</v>
      </c>
      <c r="I3530" s="54" t="str">
        <f>128772.6-H3530</f>
        <v>₹84,281.32</v>
      </c>
    </row>
    <row r="3531" ht="15.75" customHeight="1">
      <c r="A3531" s="50" t="s">
        <v>3613</v>
      </c>
      <c r="B3531" s="50" t="s">
        <v>17</v>
      </c>
      <c r="C3531" s="50" t="s">
        <v>26</v>
      </c>
      <c r="D3531" s="51">
        <v>148327.46</v>
      </c>
      <c r="E3531" s="51" t="str">
        <f t="shared" si="1"/>
        <v>₹1,779,929.52</v>
      </c>
      <c r="F3531" s="52" t="str">
        <f t="shared" si="2"/>
        <v>30.0%</v>
      </c>
      <c r="G3531" s="51" t="str">
        <f t="shared" si="3"/>
        <v>₹533,978.86</v>
      </c>
      <c r="H3531" s="51" t="str">
        <f t="shared" si="4"/>
        <v>₹44,498.24</v>
      </c>
      <c r="I3531" s="51" t="str">
        <f>128792.38-H3531</f>
        <v>₹84,294.14</v>
      </c>
    </row>
    <row r="3532" ht="15.75" customHeight="1">
      <c r="A3532" s="53" t="s">
        <v>3614</v>
      </c>
      <c r="B3532" s="53" t="s">
        <v>29</v>
      </c>
      <c r="C3532" s="53" t="s">
        <v>33</v>
      </c>
      <c r="D3532" s="54">
        <v>148350.64</v>
      </c>
      <c r="E3532" s="54" t="str">
        <f t="shared" si="1"/>
        <v>₹1,780,207.68</v>
      </c>
      <c r="F3532" s="55" t="str">
        <f t="shared" si="2"/>
        <v>30.0%</v>
      </c>
      <c r="G3532" s="54" t="str">
        <f t="shared" si="3"/>
        <v>₹534,062.30</v>
      </c>
      <c r="H3532" s="54" t="str">
        <f t="shared" si="4"/>
        <v>₹44,505.19</v>
      </c>
      <c r="I3532" s="54" t="str">
        <f>128812.17-H3532</f>
        <v>₹84,306.98</v>
      </c>
    </row>
    <row r="3533" ht="15.75" customHeight="1">
      <c r="A3533" s="50" t="s">
        <v>3615</v>
      </c>
      <c r="B3533" s="50" t="s">
        <v>13</v>
      </c>
      <c r="C3533" s="50" t="s">
        <v>54</v>
      </c>
      <c r="D3533" s="51">
        <v>148373.82</v>
      </c>
      <c r="E3533" s="51" t="str">
        <f t="shared" si="1"/>
        <v>₹1,780,485.84</v>
      </c>
      <c r="F3533" s="52" t="str">
        <f t="shared" si="2"/>
        <v>30.0%</v>
      </c>
      <c r="G3533" s="51" t="str">
        <f t="shared" si="3"/>
        <v>₹534,145.75</v>
      </c>
      <c r="H3533" s="51" t="str">
        <f t="shared" si="4"/>
        <v>₹44,512.15</v>
      </c>
      <c r="I3533" s="51" t="str">
        <f>128831.95-H3533</f>
        <v>₹84,319.80</v>
      </c>
    </row>
    <row r="3534" ht="15.75" customHeight="1">
      <c r="A3534" s="53" t="s">
        <v>3616</v>
      </c>
      <c r="B3534" s="53" t="s">
        <v>29</v>
      </c>
      <c r="C3534" s="53" t="s">
        <v>18</v>
      </c>
      <c r="D3534" s="54">
        <v>148397.0</v>
      </c>
      <c r="E3534" s="54" t="str">
        <f t="shared" si="1"/>
        <v>₹1,780,764.00</v>
      </c>
      <c r="F3534" s="55" t="str">
        <f t="shared" si="2"/>
        <v>30.0%</v>
      </c>
      <c r="G3534" s="54" t="str">
        <f t="shared" si="3"/>
        <v>₹534,229.20</v>
      </c>
      <c r="H3534" s="54" t="str">
        <f t="shared" si="4"/>
        <v>₹44,519.10</v>
      </c>
      <c r="I3534" s="54" t="str">
        <f>128851.73-H3534</f>
        <v>₹84,332.63</v>
      </c>
    </row>
    <row r="3535" ht="15.75" customHeight="1">
      <c r="A3535" s="50" t="s">
        <v>3617</v>
      </c>
      <c r="B3535" s="50" t="s">
        <v>13</v>
      </c>
      <c r="C3535" s="50" t="s">
        <v>18</v>
      </c>
      <c r="D3535" s="51">
        <v>148420.17</v>
      </c>
      <c r="E3535" s="51" t="str">
        <f t="shared" si="1"/>
        <v>₹1,781,042.04</v>
      </c>
      <c r="F3535" s="52" t="str">
        <f t="shared" si="2"/>
        <v>30.0%</v>
      </c>
      <c r="G3535" s="51" t="str">
        <f t="shared" si="3"/>
        <v>₹534,312.61</v>
      </c>
      <c r="H3535" s="51" t="str">
        <f t="shared" si="4"/>
        <v>₹44,526.05</v>
      </c>
      <c r="I3535" s="51" t="str">
        <f>128871.5-H3535</f>
        <v>₹84,345.45</v>
      </c>
    </row>
    <row r="3536" ht="15.75" customHeight="1">
      <c r="A3536" s="53" t="s">
        <v>3618</v>
      </c>
      <c r="B3536" s="53" t="s">
        <v>17</v>
      </c>
      <c r="C3536" s="53" t="s">
        <v>33</v>
      </c>
      <c r="D3536" s="54">
        <v>148443.35</v>
      </c>
      <c r="E3536" s="54" t="str">
        <f t="shared" si="1"/>
        <v>₹1,781,320.20</v>
      </c>
      <c r="F3536" s="55" t="str">
        <f t="shared" si="2"/>
        <v>30.0%</v>
      </c>
      <c r="G3536" s="54" t="str">
        <f t="shared" si="3"/>
        <v>₹534,396.06</v>
      </c>
      <c r="H3536" s="54" t="str">
        <f t="shared" si="4"/>
        <v>₹44,533.01</v>
      </c>
      <c r="I3536" s="54" t="str">
        <f>128891.29-H3536</f>
        <v>₹84,358.29</v>
      </c>
    </row>
    <row r="3537" ht="15.75" customHeight="1">
      <c r="A3537" s="50" t="s">
        <v>3619</v>
      </c>
      <c r="B3537" s="50" t="s">
        <v>51</v>
      </c>
      <c r="C3537" s="50" t="s">
        <v>26</v>
      </c>
      <c r="D3537" s="51">
        <v>148466.53</v>
      </c>
      <c r="E3537" s="51" t="str">
        <f t="shared" si="1"/>
        <v>₹1,781,598.36</v>
      </c>
      <c r="F3537" s="52" t="str">
        <f t="shared" si="2"/>
        <v>30.0%</v>
      </c>
      <c r="G3537" s="51" t="str">
        <f t="shared" si="3"/>
        <v>₹534,479.51</v>
      </c>
      <c r="H3537" s="51" t="str">
        <f t="shared" si="4"/>
        <v>₹44,539.96</v>
      </c>
      <c r="I3537" s="51" t="str">
        <f>128911.07-H3537</f>
        <v>₹84,371.11</v>
      </c>
    </row>
    <row r="3538" ht="15.75" customHeight="1">
      <c r="A3538" s="53" t="s">
        <v>3620</v>
      </c>
      <c r="B3538" s="53" t="s">
        <v>36</v>
      </c>
      <c r="C3538" s="53" t="s">
        <v>54</v>
      </c>
      <c r="D3538" s="54">
        <v>148489.71</v>
      </c>
      <c r="E3538" s="54" t="str">
        <f t="shared" si="1"/>
        <v>₹1,781,876.52</v>
      </c>
      <c r="F3538" s="55" t="str">
        <f t="shared" si="2"/>
        <v>30.0%</v>
      </c>
      <c r="G3538" s="54" t="str">
        <f t="shared" si="3"/>
        <v>₹534,562.96</v>
      </c>
      <c r="H3538" s="54" t="str">
        <f t="shared" si="4"/>
        <v>₹44,546.91</v>
      </c>
      <c r="I3538" s="54" t="str">
        <f>128930.85-H3538</f>
        <v>₹84,383.94</v>
      </c>
    </row>
    <row r="3539" ht="15.75" customHeight="1">
      <c r="A3539" s="50" t="s">
        <v>3621</v>
      </c>
      <c r="B3539" s="50" t="s">
        <v>29</v>
      </c>
      <c r="C3539" s="50" t="s">
        <v>18</v>
      </c>
      <c r="D3539" s="51">
        <v>148512.88</v>
      </c>
      <c r="E3539" s="51" t="str">
        <f t="shared" si="1"/>
        <v>₹1,782,154.56</v>
      </c>
      <c r="F3539" s="52" t="str">
        <f t="shared" si="2"/>
        <v>30.0%</v>
      </c>
      <c r="G3539" s="51" t="str">
        <f t="shared" si="3"/>
        <v>₹534,646.37</v>
      </c>
      <c r="H3539" s="51" t="str">
        <f t="shared" si="4"/>
        <v>₹44,553.86</v>
      </c>
      <c r="I3539" s="51" t="str">
        <f>128950.62-H3539</f>
        <v>₹84,396.76</v>
      </c>
    </row>
    <row r="3540" ht="15.75" customHeight="1">
      <c r="A3540" s="53" t="s">
        <v>3622</v>
      </c>
      <c r="B3540" s="53" t="s">
        <v>51</v>
      </c>
      <c r="C3540" s="53" t="s">
        <v>26</v>
      </c>
      <c r="D3540" s="54">
        <v>148536.06</v>
      </c>
      <c r="E3540" s="54" t="str">
        <f t="shared" si="1"/>
        <v>₹1,782,432.72</v>
      </c>
      <c r="F3540" s="55" t="str">
        <f t="shared" si="2"/>
        <v>30.0%</v>
      </c>
      <c r="G3540" s="54" t="str">
        <f t="shared" si="3"/>
        <v>₹534,729.82</v>
      </c>
      <c r="H3540" s="54" t="str">
        <f t="shared" si="4"/>
        <v>₹44,560.82</v>
      </c>
      <c r="I3540" s="54" t="str">
        <f>128970.4-H3540</f>
        <v>₹84,409.58</v>
      </c>
    </row>
    <row r="3541" ht="15.75" customHeight="1">
      <c r="A3541" s="50" t="s">
        <v>3623</v>
      </c>
      <c r="B3541" s="50" t="s">
        <v>51</v>
      </c>
      <c r="C3541" s="50" t="s">
        <v>26</v>
      </c>
      <c r="D3541" s="51">
        <v>148559.24</v>
      </c>
      <c r="E3541" s="51" t="str">
        <f t="shared" si="1"/>
        <v>₹1,782,710.88</v>
      </c>
      <c r="F3541" s="52" t="str">
        <f t="shared" si="2"/>
        <v>30.0%</v>
      </c>
      <c r="G3541" s="51" t="str">
        <f t="shared" si="3"/>
        <v>₹534,813.26</v>
      </c>
      <c r="H3541" s="51" t="str">
        <f t="shared" si="4"/>
        <v>₹44,567.77</v>
      </c>
      <c r="I3541" s="51" t="str">
        <f>128990.19-H3541</f>
        <v>₹84,422.42</v>
      </c>
    </row>
    <row r="3542" ht="15.75" customHeight="1">
      <c r="A3542" s="53" t="s">
        <v>3624</v>
      </c>
      <c r="B3542" s="53" t="s">
        <v>13</v>
      </c>
      <c r="C3542" s="53" t="s">
        <v>30</v>
      </c>
      <c r="D3542" s="54">
        <v>148582.42</v>
      </c>
      <c r="E3542" s="54" t="str">
        <f t="shared" si="1"/>
        <v>₹1,782,989.04</v>
      </c>
      <c r="F3542" s="55" t="str">
        <f t="shared" si="2"/>
        <v>30.0%</v>
      </c>
      <c r="G3542" s="54" t="str">
        <f t="shared" si="3"/>
        <v>₹534,896.71</v>
      </c>
      <c r="H3542" s="54" t="str">
        <f t="shared" si="4"/>
        <v>₹44,574.73</v>
      </c>
      <c r="I3542" s="54" t="str">
        <f>129009.97-H3542</f>
        <v>₹84,435.24</v>
      </c>
    </row>
    <row r="3543" ht="15.75" customHeight="1">
      <c r="A3543" s="50" t="s">
        <v>3625</v>
      </c>
      <c r="B3543" s="50" t="s">
        <v>29</v>
      </c>
      <c r="C3543" s="50" t="s">
        <v>18</v>
      </c>
      <c r="D3543" s="51">
        <v>132219.76</v>
      </c>
      <c r="E3543" s="51" t="str">
        <f t="shared" si="1"/>
        <v>₹1,586,637.12</v>
      </c>
      <c r="F3543" s="52" t="str">
        <f t="shared" si="2"/>
        <v>30.0%</v>
      </c>
      <c r="G3543" s="51" t="str">
        <f t="shared" si="3"/>
        <v>₹475,991.14</v>
      </c>
      <c r="H3543" s="51" t="str">
        <f t="shared" si="4"/>
        <v>₹39,665.93</v>
      </c>
      <c r="I3543" s="51" t="str">
        <f>112640.51-H3543</f>
        <v>₹72,974.58</v>
      </c>
    </row>
    <row r="3544" ht="15.75" customHeight="1">
      <c r="A3544" s="53" t="s">
        <v>3626</v>
      </c>
      <c r="B3544" s="53" t="s">
        <v>36</v>
      </c>
      <c r="C3544" s="53" t="s">
        <v>26</v>
      </c>
      <c r="D3544" s="54">
        <v>148651.95</v>
      </c>
      <c r="E3544" s="54" t="str">
        <f t="shared" si="1"/>
        <v>₹1,783,823.40</v>
      </c>
      <c r="F3544" s="55" t="str">
        <f t="shared" si="2"/>
        <v>30.0%</v>
      </c>
      <c r="G3544" s="54" t="str">
        <f t="shared" si="3"/>
        <v>₹535,147.02</v>
      </c>
      <c r="H3544" s="54" t="str">
        <f t="shared" si="4"/>
        <v>₹44,595.59</v>
      </c>
      <c r="I3544" s="54" t="str">
        <f>129069.31-H3544</f>
        <v>₹84,473.73</v>
      </c>
    </row>
    <row r="3545" ht="15.75" customHeight="1">
      <c r="A3545" s="50" t="s">
        <v>3627</v>
      </c>
      <c r="B3545" s="50" t="s">
        <v>17</v>
      </c>
      <c r="C3545" s="50" t="s">
        <v>33</v>
      </c>
      <c r="D3545" s="51">
        <v>148675.13</v>
      </c>
      <c r="E3545" s="51" t="str">
        <f t="shared" si="1"/>
        <v>₹1,784,101.56</v>
      </c>
      <c r="F3545" s="52" t="str">
        <f t="shared" si="2"/>
        <v>30.0%</v>
      </c>
      <c r="G3545" s="51" t="str">
        <f t="shared" si="3"/>
        <v>₹535,230.47</v>
      </c>
      <c r="H3545" s="51" t="str">
        <f t="shared" si="4"/>
        <v>₹44,602.54</v>
      </c>
      <c r="I3545" s="51" t="str">
        <f>129089.09-H3545</f>
        <v>₹84,486.55</v>
      </c>
    </row>
    <row r="3546" ht="15.75" customHeight="1">
      <c r="A3546" s="53" t="s">
        <v>3628</v>
      </c>
      <c r="B3546" s="53" t="s">
        <v>17</v>
      </c>
      <c r="C3546" s="53" t="s">
        <v>37</v>
      </c>
      <c r="D3546" s="54">
        <v>148721.48</v>
      </c>
      <c r="E3546" s="54" t="str">
        <f t="shared" si="1"/>
        <v>₹1,784,657.76</v>
      </c>
      <c r="F3546" s="55" t="str">
        <f t="shared" si="2"/>
        <v>30.0%</v>
      </c>
      <c r="G3546" s="54" t="str">
        <f t="shared" si="3"/>
        <v>₹535,397.33</v>
      </c>
      <c r="H3546" s="54" t="str">
        <f t="shared" si="4"/>
        <v>₹44,616.44</v>
      </c>
      <c r="I3546" s="54" t="str">
        <f>129128.64-H3546</f>
        <v>₹84,512.20</v>
      </c>
    </row>
    <row r="3547" ht="15.75" customHeight="1">
      <c r="A3547" s="50" t="s">
        <v>3629</v>
      </c>
      <c r="B3547" s="50" t="s">
        <v>17</v>
      </c>
      <c r="C3547" s="50" t="s">
        <v>37</v>
      </c>
      <c r="D3547" s="51">
        <v>148744.66</v>
      </c>
      <c r="E3547" s="51" t="str">
        <f t="shared" si="1"/>
        <v>₹1,784,935.92</v>
      </c>
      <c r="F3547" s="52" t="str">
        <f t="shared" si="2"/>
        <v>30.0%</v>
      </c>
      <c r="G3547" s="51" t="str">
        <f t="shared" si="3"/>
        <v>₹535,480.78</v>
      </c>
      <c r="H3547" s="51" t="str">
        <f t="shared" si="4"/>
        <v>₹44,623.40</v>
      </c>
      <c r="I3547" s="51" t="str">
        <f>129148.43-H3547</f>
        <v>₹84,525.03</v>
      </c>
    </row>
    <row r="3548" ht="15.75" customHeight="1">
      <c r="A3548" s="53" t="s">
        <v>3630</v>
      </c>
      <c r="B3548" s="53" t="s">
        <v>51</v>
      </c>
      <c r="C3548" s="53" t="s">
        <v>37</v>
      </c>
      <c r="D3548" s="54">
        <v>148767.84</v>
      </c>
      <c r="E3548" s="54" t="str">
        <f t="shared" si="1"/>
        <v>₹1,785,214.08</v>
      </c>
      <c r="F3548" s="55" t="str">
        <f t="shared" si="2"/>
        <v>30.0%</v>
      </c>
      <c r="G3548" s="54" t="str">
        <f t="shared" si="3"/>
        <v>₹535,564.22</v>
      </c>
      <c r="H3548" s="54" t="str">
        <f t="shared" si="4"/>
        <v>₹44,630.35</v>
      </c>
      <c r="I3548" s="54" t="str">
        <f>129168.21-H3548</f>
        <v>₹84,537.86</v>
      </c>
    </row>
    <row r="3549" ht="15.75" customHeight="1">
      <c r="A3549" s="50" t="s">
        <v>3631</v>
      </c>
      <c r="B3549" s="50" t="s">
        <v>25</v>
      </c>
      <c r="C3549" s="50" t="s">
        <v>33</v>
      </c>
      <c r="D3549" s="51">
        <v>148791.02</v>
      </c>
      <c r="E3549" s="51" t="str">
        <f t="shared" si="1"/>
        <v>₹1,785,492.24</v>
      </c>
      <c r="F3549" s="52" t="str">
        <f t="shared" si="2"/>
        <v>30.0%</v>
      </c>
      <c r="G3549" s="51" t="str">
        <f t="shared" si="3"/>
        <v>₹535,647.67</v>
      </c>
      <c r="H3549" s="51" t="str">
        <f t="shared" si="4"/>
        <v>₹44,637.31</v>
      </c>
      <c r="I3549" s="51" t="str">
        <f>129187.99-H3549</f>
        <v>₹84,550.68</v>
      </c>
    </row>
    <row r="3550" ht="15.75" customHeight="1">
      <c r="A3550" s="53" t="s">
        <v>3632</v>
      </c>
      <c r="B3550" s="53" t="s">
        <v>29</v>
      </c>
      <c r="C3550" s="53" t="s">
        <v>54</v>
      </c>
      <c r="D3550" s="54">
        <v>148814.19</v>
      </c>
      <c r="E3550" s="54" t="str">
        <f t="shared" si="1"/>
        <v>₹1,785,770.28</v>
      </c>
      <c r="F3550" s="55" t="str">
        <f t="shared" si="2"/>
        <v>30.0%</v>
      </c>
      <c r="G3550" s="54" t="str">
        <f t="shared" si="3"/>
        <v>₹535,731.08</v>
      </c>
      <c r="H3550" s="54" t="str">
        <f t="shared" si="4"/>
        <v>₹44,644.26</v>
      </c>
      <c r="I3550" s="54" t="str">
        <f>129207.76-H3550</f>
        <v>₹84,563.50</v>
      </c>
    </row>
    <row r="3551" ht="15.75" customHeight="1">
      <c r="A3551" s="50" t="s">
        <v>3633</v>
      </c>
      <c r="B3551" s="50" t="s">
        <v>51</v>
      </c>
      <c r="C3551" s="50" t="s">
        <v>54</v>
      </c>
      <c r="D3551" s="51">
        <v>148837.37</v>
      </c>
      <c r="E3551" s="51" t="str">
        <f t="shared" si="1"/>
        <v>₹1,786,048.44</v>
      </c>
      <c r="F3551" s="52" t="str">
        <f t="shared" si="2"/>
        <v>30.0%</v>
      </c>
      <c r="G3551" s="51" t="str">
        <f t="shared" si="3"/>
        <v>₹535,814.53</v>
      </c>
      <c r="H3551" s="51" t="str">
        <f t="shared" si="4"/>
        <v>₹44,651.21</v>
      </c>
      <c r="I3551" s="51" t="str">
        <f>134319.46-H3551</f>
        <v>₹89,668.25</v>
      </c>
    </row>
    <row r="3552" ht="15.75" customHeight="1">
      <c r="A3552" s="53" t="s">
        <v>3634</v>
      </c>
      <c r="B3552" s="53" t="s">
        <v>36</v>
      </c>
      <c r="C3552" s="53" t="s">
        <v>14</v>
      </c>
      <c r="D3552" s="54">
        <v>148860.55</v>
      </c>
      <c r="E3552" s="54" t="str">
        <f t="shared" si="1"/>
        <v>₹1,786,326.60</v>
      </c>
      <c r="F3552" s="55" t="str">
        <f t="shared" si="2"/>
        <v>30.0%</v>
      </c>
      <c r="G3552" s="54" t="str">
        <f t="shared" si="3"/>
        <v>₹535,897.98</v>
      </c>
      <c r="H3552" s="54" t="str">
        <f t="shared" si="4"/>
        <v>₹44,658.17</v>
      </c>
      <c r="I3552" s="54" t="str">
        <f>129247.33-H3552</f>
        <v>₹84,589.17</v>
      </c>
    </row>
    <row r="3553" ht="15.75" customHeight="1">
      <c r="A3553" s="50" t="s">
        <v>3635</v>
      </c>
      <c r="B3553" s="50" t="s">
        <v>29</v>
      </c>
      <c r="C3553" s="50" t="s">
        <v>14</v>
      </c>
      <c r="D3553" s="51">
        <v>148883.73</v>
      </c>
      <c r="E3553" s="51" t="str">
        <f t="shared" si="1"/>
        <v>₹1,786,604.76</v>
      </c>
      <c r="F3553" s="52" t="str">
        <f t="shared" si="2"/>
        <v>30.0%</v>
      </c>
      <c r="G3553" s="51" t="str">
        <f t="shared" si="3"/>
        <v>₹535,981.43</v>
      </c>
      <c r="H3553" s="51" t="str">
        <f t="shared" si="4"/>
        <v>₹44,665.12</v>
      </c>
      <c r="I3553" s="51" t="str">
        <f>129267.11-H3553</f>
        <v>₹84,601.99</v>
      </c>
    </row>
    <row r="3554" ht="15.75" customHeight="1">
      <c r="A3554" s="53" t="s">
        <v>3636</v>
      </c>
      <c r="B3554" s="53" t="s">
        <v>53</v>
      </c>
      <c r="C3554" s="53" t="s">
        <v>14</v>
      </c>
      <c r="D3554" s="54">
        <v>148906.9</v>
      </c>
      <c r="E3554" s="54" t="str">
        <f t="shared" si="1"/>
        <v>₹1,786,882.80</v>
      </c>
      <c r="F3554" s="55" t="str">
        <f t="shared" si="2"/>
        <v>30.0%</v>
      </c>
      <c r="G3554" s="54" t="str">
        <f t="shared" si="3"/>
        <v>₹536,064.84</v>
      </c>
      <c r="H3554" s="54" t="str">
        <f t="shared" si="4"/>
        <v>₹44,672.07</v>
      </c>
      <c r="I3554" s="54" t="str">
        <f>129286.88-H3554</f>
        <v>₹84,614.81</v>
      </c>
    </row>
    <row r="3555" ht="15.75" customHeight="1">
      <c r="A3555" s="50" t="s">
        <v>3637</v>
      </c>
      <c r="B3555" s="50" t="s">
        <v>29</v>
      </c>
      <c r="C3555" s="50" t="s">
        <v>54</v>
      </c>
      <c r="D3555" s="51">
        <v>148953.26</v>
      </c>
      <c r="E3555" s="51" t="str">
        <f t="shared" si="1"/>
        <v>₹1,787,439.12</v>
      </c>
      <c r="F3555" s="52" t="str">
        <f t="shared" si="2"/>
        <v>30.0%</v>
      </c>
      <c r="G3555" s="51" t="str">
        <f t="shared" si="3"/>
        <v>₹536,231.74</v>
      </c>
      <c r="H3555" s="51" t="str">
        <f t="shared" si="4"/>
        <v>₹44,685.98</v>
      </c>
      <c r="I3555" s="51" t="str">
        <f>129326.45-H3555</f>
        <v>₹84,640.47</v>
      </c>
    </row>
    <row r="3556" ht="15.75" customHeight="1">
      <c r="A3556" s="53" t="s">
        <v>3638</v>
      </c>
      <c r="B3556" s="53" t="s">
        <v>36</v>
      </c>
      <c r="C3556" s="53" t="s">
        <v>37</v>
      </c>
      <c r="D3556" s="54">
        <v>148976.44</v>
      </c>
      <c r="E3556" s="54" t="str">
        <f t="shared" si="1"/>
        <v>₹1,787,717.28</v>
      </c>
      <c r="F3556" s="55" t="str">
        <f t="shared" si="2"/>
        <v>30.0%</v>
      </c>
      <c r="G3556" s="54" t="str">
        <f t="shared" si="3"/>
        <v>₹536,315.18</v>
      </c>
      <c r="H3556" s="54" t="str">
        <f t="shared" si="4"/>
        <v>₹44,692.93</v>
      </c>
      <c r="I3556" s="54" t="str">
        <f>129346.23-H3556</f>
        <v>₹84,653.30</v>
      </c>
    </row>
    <row r="3557" ht="15.75" customHeight="1">
      <c r="A3557" s="50" t="s">
        <v>3639</v>
      </c>
      <c r="B3557" s="50" t="s">
        <v>29</v>
      </c>
      <c r="C3557" s="50" t="s">
        <v>14</v>
      </c>
      <c r="D3557" s="51">
        <v>148999.62</v>
      </c>
      <c r="E3557" s="51" t="str">
        <f t="shared" si="1"/>
        <v>₹1,787,995.44</v>
      </c>
      <c r="F3557" s="52" t="str">
        <f t="shared" si="2"/>
        <v>30.0%</v>
      </c>
      <c r="G3557" s="51" t="str">
        <f t="shared" si="3"/>
        <v>₹536,398.63</v>
      </c>
      <c r="H3557" s="51" t="str">
        <f t="shared" si="4"/>
        <v>₹44,699.89</v>
      </c>
      <c r="I3557" s="51" t="str">
        <f>129366.01-H3557</f>
        <v>₹84,666.12</v>
      </c>
    </row>
    <row r="3558" ht="15.75" customHeight="1">
      <c r="A3558" s="53" t="s">
        <v>3640</v>
      </c>
      <c r="B3558" s="53" t="s">
        <v>51</v>
      </c>
      <c r="C3558" s="53" t="s">
        <v>33</v>
      </c>
      <c r="D3558" s="54">
        <v>149022.79</v>
      </c>
      <c r="E3558" s="54" t="str">
        <f t="shared" si="1"/>
        <v>₹1,788,273.48</v>
      </c>
      <c r="F3558" s="55" t="str">
        <f t="shared" si="2"/>
        <v>30.0%</v>
      </c>
      <c r="G3558" s="54" t="str">
        <f t="shared" si="3"/>
        <v>₹536,482.04</v>
      </c>
      <c r="H3558" s="54" t="str">
        <f t="shared" si="4"/>
        <v>₹44,706.84</v>
      </c>
      <c r="I3558" s="54" t="str">
        <f>129385.79-H3558</f>
        <v>₹84,678.95</v>
      </c>
    </row>
    <row r="3559" ht="15.75" customHeight="1">
      <c r="A3559" s="50" t="s">
        <v>3641</v>
      </c>
      <c r="B3559" s="50" t="s">
        <v>51</v>
      </c>
      <c r="C3559" s="50" t="s">
        <v>37</v>
      </c>
      <c r="D3559" s="51">
        <v>149045.97</v>
      </c>
      <c r="E3559" s="51" t="str">
        <f t="shared" si="1"/>
        <v>₹1,788,551.64</v>
      </c>
      <c r="F3559" s="52" t="str">
        <f t="shared" si="2"/>
        <v>30.0%</v>
      </c>
      <c r="G3559" s="51" t="str">
        <f t="shared" si="3"/>
        <v>₹536,565.49</v>
      </c>
      <c r="H3559" s="51" t="str">
        <f t="shared" si="4"/>
        <v>₹44,713.79</v>
      </c>
      <c r="I3559" s="51" t="str">
        <f>129405.57-H3559</f>
        <v>₹84,691.78</v>
      </c>
    </row>
    <row r="3560" ht="15.75" customHeight="1">
      <c r="A3560" s="53" t="s">
        <v>3642</v>
      </c>
      <c r="B3560" s="53" t="s">
        <v>53</v>
      </c>
      <c r="C3560" s="53" t="s">
        <v>26</v>
      </c>
      <c r="D3560" s="54">
        <v>149069.15</v>
      </c>
      <c r="E3560" s="54" t="str">
        <f t="shared" si="1"/>
        <v>₹1,788,829.80</v>
      </c>
      <c r="F3560" s="55" t="str">
        <f t="shared" si="2"/>
        <v>30.0%</v>
      </c>
      <c r="G3560" s="54" t="str">
        <f t="shared" si="3"/>
        <v>₹536,648.94</v>
      </c>
      <c r="H3560" s="54" t="str">
        <f t="shared" si="4"/>
        <v>₹44,720.75</v>
      </c>
      <c r="I3560" s="54" t="str">
        <f>129425.35-H3560</f>
        <v>₹84,704.61</v>
      </c>
    </row>
    <row r="3561" ht="15.75" customHeight="1">
      <c r="A3561" s="50" t="s">
        <v>3643</v>
      </c>
      <c r="B3561" s="50" t="s">
        <v>51</v>
      </c>
      <c r="C3561" s="50" t="s">
        <v>54</v>
      </c>
      <c r="D3561" s="51">
        <v>149092.33</v>
      </c>
      <c r="E3561" s="51" t="str">
        <f t="shared" si="1"/>
        <v>₹1,789,107.96</v>
      </c>
      <c r="F3561" s="52" t="str">
        <f t="shared" si="2"/>
        <v>30.0%</v>
      </c>
      <c r="G3561" s="51" t="str">
        <f t="shared" si="3"/>
        <v>₹536,732.39</v>
      </c>
      <c r="H3561" s="51" t="str">
        <f t="shared" si="4"/>
        <v>₹44,727.70</v>
      </c>
      <c r="I3561" s="51" t="str">
        <f>129445.13-H3561</f>
        <v>₹84,717.43</v>
      </c>
    </row>
    <row r="3562" ht="15.75" customHeight="1">
      <c r="A3562" s="53" t="s">
        <v>3644</v>
      </c>
      <c r="B3562" s="53" t="s">
        <v>53</v>
      </c>
      <c r="C3562" s="53" t="s">
        <v>54</v>
      </c>
      <c r="D3562" s="54">
        <v>149115.5</v>
      </c>
      <c r="E3562" s="54" t="str">
        <f t="shared" si="1"/>
        <v>₹1,789,386.00</v>
      </c>
      <c r="F3562" s="55" t="str">
        <f t="shared" si="2"/>
        <v>30.0%</v>
      </c>
      <c r="G3562" s="54" t="str">
        <f t="shared" si="3"/>
        <v>₹536,815.80</v>
      </c>
      <c r="H3562" s="54" t="str">
        <f t="shared" si="4"/>
        <v>₹44,734.65</v>
      </c>
      <c r="I3562" s="54" t="str">
        <f>129464.91-H3562</f>
        <v>₹84,730.26</v>
      </c>
    </row>
    <row r="3563" ht="15.75" customHeight="1">
      <c r="A3563" s="50" t="s">
        <v>3645</v>
      </c>
      <c r="B3563" s="50" t="s">
        <v>17</v>
      </c>
      <c r="C3563" s="50" t="s">
        <v>14</v>
      </c>
      <c r="D3563" s="51">
        <v>149138.68</v>
      </c>
      <c r="E3563" s="51" t="str">
        <f t="shared" si="1"/>
        <v>₹1,789,664.16</v>
      </c>
      <c r="F3563" s="52" t="str">
        <f t="shared" si="2"/>
        <v>30.0%</v>
      </c>
      <c r="G3563" s="51" t="str">
        <f t="shared" si="3"/>
        <v>₹536,899.25</v>
      </c>
      <c r="H3563" s="51" t="str">
        <f t="shared" si="4"/>
        <v>₹44,741.60</v>
      </c>
      <c r="I3563" s="51" t="str">
        <f>129484.69-H3563</f>
        <v>₹84,743.09</v>
      </c>
    </row>
    <row r="3564" ht="15.75" customHeight="1">
      <c r="A3564" s="53" t="s">
        <v>3646</v>
      </c>
      <c r="B3564" s="53" t="s">
        <v>51</v>
      </c>
      <c r="C3564" s="53" t="s">
        <v>33</v>
      </c>
      <c r="D3564" s="54">
        <v>149161.86</v>
      </c>
      <c r="E3564" s="54" t="str">
        <f t="shared" si="1"/>
        <v>₹1,789,942.32</v>
      </c>
      <c r="F3564" s="55" t="str">
        <f t="shared" si="2"/>
        <v>30.0%</v>
      </c>
      <c r="G3564" s="54" t="str">
        <f t="shared" si="3"/>
        <v>₹536,982.70</v>
      </c>
      <c r="H3564" s="54" t="str">
        <f t="shared" si="4"/>
        <v>₹44,748.56</v>
      </c>
      <c r="I3564" s="54" t="str">
        <f>134643.95-H3564</f>
        <v>₹89,895.39</v>
      </c>
    </row>
    <row r="3565" ht="15.75" customHeight="1">
      <c r="A3565" s="50" t="s">
        <v>3647</v>
      </c>
      <c r="B3565" s="50" t="s">
        <v>36</v>
      </c>
      <c r="C3565" s="50" t="s">
        <v>18</v>
      </c>
      <c r="D3565" s="51">
        <v>149185.04</v>
      </c>
      <c r="E3565" s="51" t="str">
        <f t="shared" si="1"/>
        <v>₹1,790,220.48</v>
      </c>
      <c r="F3565" s="52" t="str">
        <f t="shared" si="2"/>
        <v>30.0%</v>
      </c>
      <c r="G3565" s="51" t="str">
        <f t="shared" si="3"/>
        <v>₹537,066.14</v>
      </c>
      <c r="H3565" s="51" t="str">
        <f t="shared" si="4"/>
        <v>₹44,755.51</v>
      </c>
      <c r="I3565" s="51" t="str">
        <f>129524.25-H3565</f>
        <v>₹84,768.74</v>
      </c>
    </row>
    <row r="3566" ht="15.75" customHeight="1">
      <c r="A3566" s="53" t="s">
        <v>3648</v>
      </c>
      <c r="B3566" s="53" t="s">
        <v>25</v>
      </c>
      <c r="C3566" s="53" t="s">
        <v>30</v>
      </c>
      <c r="D3566" s="54">
        <v>149208.21</v>
      </c>
      <c r="E3566" s="54" t="str">
        <f t="shared" si="1"/>
        <v>₹1,790,498.52</v>
      </c>
      <c r="F3566" s="55" t="str">
        <f t="shared" si="2"/>
        <v>30.0%</v>
      </c>
      <c r="G3566" s="54" t="str">
        <f t="shared" si="3"/>
        <v>₹537,149.56</v>
      </c>
      <c r="H3566" s="54" t="str">
        <f t="shared" si="4"/>
        <v>₹44,762.46</v>
      </c>
      <c r="I3566" s="54" t="str">
        <f>129544.03-H3566</f>
        <v>₹84,781.57</v>
      </c>
    </row>
    <row r="3567" ht="15.75" customHeight="1">
      <c r="A3567" s="50" t="s">
        <v>3649</v>
      </c>
      <c r="B3567" s="50" t="s">
        <v>25</v>
      </c>
      <c r="C3567" s="50" t="s">
        <v>30</v>
      </c>
      <c r="D3567" s="51">
        <v>149231.39</v>
      </c>
      <c r="E3567" s="51" t="str">
        <f t="shared" si="1"/>
        <v>₹1,790,776.68</v>
      </c>
      <c r="F3567" s="52" t="str">
        <f t="shared" si="2"/>
        <v>30.0%</v>
      </c>
      <c r="G3567" s="51" t="str">
        <f t="shared" si="3"/>
        <v>₹537,233.00</v>
      </c>
      <c r="H3567" s="51" t="str">
        <f t="shared" si="4"/>
        <v>₹44,769.42</v>
      </c>
      <c r="I3567" s="51" t="str">
        <f>129563.81-H3567</f>
        <v>₹84,794.39</v>
      </c>
    </row>
    <row r="3568" ht="15.75" customHeight="1">
      <c r="A3568" s="53" t="s">
        <v>3650</v>
      </c>
      <c r="B3568" s="53" t="s">
        <v>36</v>
      </c>
      <c r="C3568" s="53" t="s">
        <v>33</v>
      </c>
      <c r="D3568" s="54">
        <v>149254.57</v>
      </c>
      <c r="E3568" s="54" t="str">
        <f t="shared" si="1"/>
        <v>₹1,791,054.84</v>
      </c>
      <c r="F3568" s="55" t="str">
        <f t="shared" si="2"/>
        <v>30.0%</v>
      </c>
      <c r="G3568" s="54" t="str">
        <f t="shared" si="3"/>
        <v>₹537,316.45</v>
      </c>
      <c r="H3568" s="54" t="str">
        <f t="shared" si="4"/>
        <v>₹44,776.37</v>
      </c>
      <c r="I3568" s="54" t="str">
        <f>129583.59-H3568</f>
        <v>₹84,807.22</v>
      </c>
    </row>
    <row r="3569" ht="15.75" customHeight="1">
      <c r="A3569" s="50" t="s">
        <v>3651</v>
      </c>
      <c r="B3569" s="50" t="s">
        <v>29</v>
      </c>
      <c r="C3569" s="50" t="s">
        <v>14</v>
      </c>
      <c r="D3569" s="51">
        <v>149277.75</v>
      </c>
      <c r="E3569" s="51" t="str">
        <f t="shared" si="1"/>
        <v>₹1,791,333.00</v>
      </c>
      <c r="F3569" s="52" t="str">
        <f t="shared" si="2"/>
        <v>30.0%</v>
      </c>
      <c r="G3569" s="51" t="str">
        <f t="shared" si="3"/>
        <v>₹537,399.90</v>
      </c>
      <c r="H3569" s="51" t="str">
        <f t="shared" si="4"/>
        <v>₹44,783.33</v>
      </c>
      <c r="I3569" s="51" t="str">
        <f>129603.37-H3569</f>
        <v>₹84,820.05</v>
      </c>
    </row>
    <row r="3570" ht="15.75" customHeight="1">
      <c r="A3570" s="53" t="s">
        <v>3652</v>
      </c>
      <c r="B3570" s="53" t="s">
        <v>13</v>
      </c>
      <c r="C3570" s="53" t="s">
        <v>26</v>
      </c>
      <c r="D3570" s="54">
        <v>149300.93</v>
      </c>
      <c r="E3570" s="54" t="str">
        <f t="shared" si="1"/>
        <v>₹1,791,611.16</v>
      </c>
      <c r="F3570" s="55" t="str">
        <f t="shared" si="2"/>
        <v>30.0%</v>
      </c>
      <c r="G3570" s="54" t="str">
        <f t="shared" si="3"/>
        <v>₹537,483.35</v>
      </c>
      <c r="H3570" s="54" t="str">
        <f t="shared" si="4"/>
        <v>₹44,790.28</v>
      </c>
      <c r="I3570" s="54" t="str">
        <f>129623.16-H3570</f>
        <v>₹84,832.88</v>
      </c>
    </row>
    <row r="3571" ht="15.75" customHeight="1">
      <c r="A3571" s="50" t="s">
        <v>3653</v>
      </c>
      <c r="B3571" s="50" t="s">
        <v>17</v>
      </c>
      <c r="C3571" s="50" t="s">
        <v>26</v>
      </c>
      <c r="D3571" s="51">
        <v>149324.1</v>
      </c>
      <c r="E3571" s="51" t="str">
        <f t="shared" si="1"/>
        <v>₹1,791,889.20</v>
      </c>
      <c r="F3571" s="52" t="str">
        <f t="shared" si="2"/>
        <v>30.0%</v>
      </c>
      <c r="G3571" s="51" t="str">
        <f t="shared" si="3"/>
        <v>₹537,566.76</v>
      </c>
      <c r="H3571" s="51" t="str">
        <f t="shared" si="4"/>
        <v>₹44,797.23</v>
      </c>
      <c r="I3571" s="51" t="str">
        <f>129642.93-H3571</f>
        <v>₹84,845.70</v>
      </c>
    </row>
    <row r="3572" ht="15.75" customHeight="1">
      <c r="A3572" s="53" t="s">
        <v>3654</v>
      </c>
      <c r="B3572" s="53" t="s">
        <v>17</v>
      </c>
      <c r="C3572" s="53" t="s">
        <v>30</v>
      </c>
      <c r="D3572" s="54">
        <v>149347.28</v>
      </c>
      <c r="E3572" s="54" t="str">
        <f t="shared" si="1"/>
        <v>₹1,792,167.36</v>
      </c>
      <c r="F3572" s="55" t="str">
        <f t="shared" si="2"/>
        <v>30.0%</v>
      </c>
      <c r="G3572" s="54" t="str">
        <f t="shared" si="3"/>
        <v>₹537,650.21</v>
      </c>
      <c r="H3572" s="54" t="str">
        <f t="shared" si="4"/>
        <v>₹44,804.18</v>
      </c>
      <c r="I3572" s="54" t="str">
        <f>129662.71-H3572</f>
        <v>₹84,858.53</v>
      </c>
    </row>
    <row r="3573" ht="15.75" customHeight="1">
      <c r="A3573" s="50" t="s">
        <v>3655</v>
      </c>
      <c r="B3573" s="50" t="s">
        <v>13</v>
      </c>
      <c r="C3573" s="50" t="s">
        <v>18</v>
      </c>
      <c r="D3573" s="51">
        <v>149370.46</v>
      </c>
      <c r="E3573" s="51" t="str">
        <f t="shared" si="1"/>
        <v>₹1,792,445.52</v>
      </c>
      <c r="F3573" s="52" t="str">
        <f t="shared" si="2"/>
        <v>30.0%</v>
      </c>
      <c r="G3573" s="51" t="str">
        <f t="shared" si="3"/>
        <v>₹537,733.66</v>
      </c>
      <c r="H3573" s="51" t="str">
        <f t="shared" si="4"/>
        <v>₹44,811.14</v>
      </c>
      <c r="I3573" s="51" t="str">
        <f>129682.49-H3573</f>
        <v>₹84,871.35</v>
      </c>
    </row>
    <row r="3574" ht="15.75" customHeight="1">
      <c r="A3574" s="53" t="s">
        <v>3656</v>
      </c>
      <c r="B3574" s="53" t="s">
        <v>25</v>
      </c>
      <c r="C3574" s="53" t="s">
        <v>14</v>
      </c>
      <c r="D3574" s="54">
        <v>149393.64</v>
      </c>
      <c r="E3574" s="54" t="str">
        <f t="shared" si="1"/>
        <v>₹1,792,723.68</v>
      </c>
      <c r="F3574" s="55" t="str">
        <f t="shared" si="2"/>
        <v>30.0%</v>
      </c>
      <c r="G3574" s="54" t="str">
        <f t="shared" si="3"/>
        <v>₹537,817.10</v>
      </c>
      <c r="H3574" s="54" t="str">
        <f t="shared" si="4"/>
        <v>₹44,818.09</v>
      </c>
      <c r="I3574" s="54" t="str">
        <f>129702.28-H3574</f>
        <v>₹84,884.19</v>
      </c>
    </row>
    <row r="3575" ht="15.75" customHeight="1">
      <c r="A3575" s="50" t="s">
        <v>3657</v>
      </c>
      <c r="B3575" s="50" t="s">
        <v>25</v>
      </c>
      <c r="C3575" s="50" t="s">
        <v>18</v>
      </c>
      <c r="D3575" s="51">
        <v>149416.81</v>
      </c>
      <c r="E3575" s="51" t="str">
        <f t="shared" si="1"/>
        <v>₹1,793,001.72</v>
      </c>
      <c r="F3575" s="52" t="str">
        <f t="shared" si="2"/>
        <v>30.0%</v>
      </c>
      <c r="G3575" s="51" t="str">
        <f t="shared" si="3"/>
        <v>₹537,900.52</v>
      </c>
      <c r="H3575" s="51" t="str">
        <f t="shared" si="4"/>
        <v>₹44,825.04</v>
      </c>
      <c r="I3575" s="51" t="str">
        <f>129722.05-H3575</f>
        <v>₹84,897.01</v>
      </c>
    </row>
    <row r="3576" ht="15.75" customHeight="1">
      <c r="A3576" s="53" t="s">
        <v>3658</v>
      </c>
      <c r="B3576" s="53" t="s">
        <v>25</v>
      </c>
      <c r="C3576" s="53" t="s">
        <v>33</v>
      </c>
      <c r="D3576" s="54">
        <v>149439.99</v>
      </c>
      <c r="E3576" s="54" t="str">
        <f t="shared" si="1"/>
        <v>₹1,793,279.88</v>
      </c>
      <c r="F3576" s="55" t="str">
        <f t="shared" si="2"/>
        <v>30.0%</v>
      </c>
      <c r="G3576" s="54" t="str">
        <f t="shared" si="3"/>
        <v>₹537,983.96</v>
      </c>
      <c r="H3576" s="54" t="str">
        <f t="shared" si="4"/>
        <v>₹44,832.00</v>
      </c>
      <c r="I3576" s="54" t="str">
        <f>129741.83-H3576</f>
        <v>₹84,909.83</v>
      </c>
    </row>
    <row r="3577" ht="15.75" customHeight="1">
      <c r="A3577" s="50" t="s">
        <v>3659</v>
      </c>
      <c r="B3577" s="50" t="s">
        <v>13</v>
      </c>
      <c r="C3577" s="50" t="s">
        <v>37</v>
      </c>
      <c r="D3577" s="51">
        <v>149463.17</v>
      </c>
      <c r="E3577" s="51" t="str">
        <f t="shared" si="1"/>
        <v>₹1,793,558.04</v>
      </c>
      <c r="F3577" s="52" t="str">
        <f t="shared" si="2"/>
        <v>30.0%</v>
      </c>
      <c r="G3577" s="51" t="str">
        <f t="shared" si="3"/>
        <v>₹538,067.41</v>
      </c>
      <c r="H3577" s="51" t="str">
        <f t="shared" si="4"/>
        <v>₹44,838.95</v>
      </c>
      <c r="I3577" s="51" t="str">
        <f>129761.61-H3577</f>
        <v>₹84,922.66</v>
      </c>
    </row>
    <row r="3578" ht="15.75" customHeight="1">
      <c r="A3578" s="53" t="s">
        <v>3660</v>
      </c>
      <c r="B3578" s="53" t="s">
        <v>53</v>
      </c>
      <c r="C3578" s="53" t="s">
        <v>14</v>
      </c>
      <c r="D3578" s="54">
        <v>149486.35</v>
      </c>
      <c r="E3578" s="54" t="str">
        <f t="shared" si="1"/>
        <v>₹1,793,836.20</v>
      </c>
      <c r="F3578" s="55" t="str">
        <f t="shared" si="2"/>
        <v>30.0%</v>
      </c>
      <c r="G3578" s="54" t="str">
        <f t="shared" si="3"/>
        <v>₹538,150.86</v>
      </c>
      <c r="H3578" s="54" t="str">
        <f t="shared" si="4"/>
        <v>₹44,845.91</v>
      </c>
      <c r="I3578" s="54" t="str">
        <f>129781.4-H3578</f>
        <v>₹84,935.50</v>
      </c>
    </row>
    <row r="3579" ht="15.75" customHeight="1">
      <c r="A3579" s="50" t="s">
        <v>3661</v>
      </c>
      <c r="B3579" s="50" t="s">
        <v>17</v>
      </c>
      <c r="C3579" s="50" t="s">
        <v>54</v>
      </c>
      <c r="D3579" s="51">
        <v>149509.52</v>
      </c>
      <c r="E3579" s="51" t="str">
        <f t="shared" si="1"/>
        <v>₹1,794,114.24</v>
      </c>
      <c r="F3579" s="52" t="str">
        <f t="shared" si="2"/>
        <v>30.0%</v>
      </c>
      <c r="G3579" s="51" t="str">
        <f t="shared" si="3"/>
        <v>₹538,234.27</v>
      </c>
      <c r="H3579" s="51" t="str">
        <f t="shared" si="4"/>
        <v>₹44,852.86</v>
      </c>
      <c r="I3579" s="51" t="str">
        <f>129801.17-H3579</f>
        <v>₹84,948.31</v>
      </c>
    </row>
    <row r="3580" ht="15.75" customHeight="1">
      <c r="A3580" s="53" t="s">
        <v>3662</v>
      </c>
      <c r="B3580" s="53" t="s">
        <v>25</v>
      </c>
      <c r="C3580" s="53" t="s">
        <v>37</v>
      </c>
      <c r="D3580" s="54">
        <v>149532.7</v>
      </c>
      <c r="E3580" s="54" t="str">
        <f t="shared" si="1"/>
        <v>₹1,794,392.40</v>
      </c>
      <c r="F3580" s="55" t="str">
        <f t="shared" si="2"/>
        <v>30.0%</v>
      </c>
      <c r="G3580" s="54" t="str">
        <f t="shared" si="3"/>
        <v>₹538,317.72</v>
      </c>
      <c r="H3580" s="54" t="str">
        <f t="shared" si="4"/>
        <v>₹44,859.81</v>
      </c>
      <c r="I3580" s="54" t="str">
        <f>129820.95-H3580</f>
        <v>₹84,961.14</v>
      </c>
    </row>
    <row r="3581" ht="15.75" customHeight="1">
      <c r="A3581" s="50" t="s">
        <v>3663</v>
      </c>
      <c r="B3581" s="50" t="s">
        <v>36</v>
      </c>
      <c r="C3581" s="50" t="s">
        <v>54</v>
      </c>
      <c r="D3581" s="51">
        <v>149555.88</v>
      </c>
      <c r="E3581" s="51" t="str">
        <f t="shared" si="1"/>
        <v>₹1,794,670.56</v>
      </c>
      <c r="F3581" s="52" t="str">
        <f t="shared" si="2"/>
        <v>30.0%</v>
      </c>
      <c r="G3581" s="51" t="str">
        <f t="shared" si="3"/>
        <v>₹538,401.17</v>
      </c>
      <c r="H3581" s="51" t="str">
        <f t="shared" si="4"/>
        <v>₹44,866.76</v>
      </c>
      <c r="I3581" s="51" t="str">
        <f>129840.73-H3581</f>
        <v>₹84,973.97</v>
      </c>
    </row>
    <row r="3582" ht="15.75" customHeight="1">
      <c r="A3582" s="53" t="s">
        <v>3664</v>
      </c>
      <c r="B3582" s="53" t="s">
        <v>36</v>
      </c>
      <c r="C3582" s="53" t="s">
        <v>26</v>
      </c>
      <c r="D3582" s="54">
        <v>149579.06</v>
      </c>
      <c r="E3582" s="54" t="str">
        <f t="shared" si="1"/>
        <v>₹1,794,948.72</v>
      </c>
      <c r="F3582" s="55" t="str">
        <f t="shared" si="2"/>
        <v>30.0%</v>
      </c>
      <c r="G3582" s="54" t="str">
        <f t="shared" si="3"/>
        <v>₹538,484.62</v>
      </c>
      <c r="H3582" s="54" t="str">
        <f t="shared" si="4"/>
        <v>₹44,873.72</v>
      </c>
      <c r="I3582" s="54" t="str">
        <f>129860.52-H3582</f>
        <v>₹84,986.80</v>
      </c>
    </row>
    <row r="3583" ht="15.75" customHeight="1">
      <c r="A3583" s="50" t="s">
        <v>3665</v>
      </c>
      <c r="B3583" s="50" t="s">
        <v>29</v>
      </c>
      <c r="C3583" s="50" t="s">
        <v>37</v>
      </c>
      <c r="D3583" s="51">
        <v>149602.24</v>
      </c>
      <c r="E3583" s="51" t="str">
        <f t="shared" si="1"/>
        <v>₹1,795,226.88</v>
      </c>
      <c r="F3583" s="52" t="str">
        <f t="shared" si="2"/>
        <v>30.0%</v>
      </c>
      <c r="G3583" s="51" t="str">
        <f t="shared" si="3"/>
        <v>₹538,568.06</v>
      </c>
      <c r="H3583" s="51" t="str">
        <f t="shared" si="4"/>
        <v>₹44,880.67</v>
      </c>
      <c r="I3583" s="51" t="str">
        <f>129880.3-H3583</f>
        <v>₹84,999.63</v>
      </c>
    </row>
    <row r="3584" ht="15.75" customHeight="1">
      <c r="A3584" s="53" t="s">
        <v>3666</v>
      </c>
      <c r="B3584" s="53" t="s">
        <v>36</v>
      </c>
      <c r="C3584" s="53" t="s">
        <v>33</v>
      </c>
      <c r="D3584" s="54">
        <v>149625.41</v>
      </c>
      <c r="E3584" s="54" t="str">
        <f t="shared" si="1"/>
        <v>₹1,795,504.92</v>
      </c>
      <c r="F3584" s="55" t="str">
        <f t="shared" si="2"/>
        <v>30.0%</v>
      </c>
      <c r="G3584" s="54" t="str">
        <f t="shared" si="3"/>
        <v>₹538,651.48</v>
      </c>
      <c r="H3584" s="54" t="str">
        <f t="shared" si="4"/>
        <v>₹44,887.62</v>
      </c>
      <c r="I3584" s="54" t="str">
        <f>129900.07-H3584</f>
        <v>₹85,012.45</v>
      </c>
    </row>
    <row r="3585" ht="15.75" customHeight="1">
      <c r="A3585" s="50" t="s">
        <v>3667</v>
      </c>
      <c r="B3585" s="50" t="s">
        <v>36</v>
      </c>
      <c r="C3585" s="50" t="s">
        <v>54</v>
      </c>
      <c r="D3585" s="51">
        <v>149648.59</v>
      </c>
      <c r="E3585" s="51" t="str">
        <f t="shared" si="1"/>
        <v>₹1,795,783.08</v>
      </c>
      <c r="F3585" s="52" t="str">
        <f t="shared" si="2"/>
        <v>30.0%</v>
      </c>
      <c r="G3585" s="51" t="str">
        <f t="shared" si="3"/>
        <v>₹538,734.92</v>
      </c>
      <c r="H3585" s="51" t="str">
        <f t="shared" si="4"/>
        <v>₹44,894.58</v>
      </c>
      <c r="I3585" s="51" t="str">
        <f>129919.85-H3585</f>
        <v>₹85,025.27</v>
      </c>
    </row>
    <row r="3586" ht="15.75" customHeight="1">
      <c r="A3586" s="53" t="s">
        <v>3668</v>
      </c>
      <c r="B3586" s="53" t="s">
        <v>25</v>
      </c>
      <c r="C3586" s="53" t="s">
        <v>33</v>
      </c>
      <c r="D3586" s="54">
        <v>149671.77</v>
      </c>
      <c r="E3586" s="54" t="str">
        <f t="shared" si="1"/>
        <v>₹1,796,061.24</v>
      </c>
      <c r="F3586" s="55" t="str">
        <f t="shared" si="2"/>
        <v>30.0%</v>
      </c>
      <c r="G3586" s="54" t="str">
        <f t="shared" si="3"/>
        <v>₹538,818.37</v>
      </c>
      <c r="H3586" s="54" t="str">
        <f t="shared" si="4"/>
        <v>₹44,901.53</v>
      </c>
      <c r="I3586" s="54" t="str">
        <f>129939.63-H3586</f>
        <v>₹85,038.10</v>
      </c>
    </row>
    <row r="3587" ht="15.75" customHeight="1">
      <c r="A3587" s="50" t="s">
        <v>3669</v>
      </c>
      <c r="B3587" s="50" t="s">
        <v>36</v>
      </c>
      <c r="C3587" s="50" t="s">
        <v>33</v>
      </c>
      <c r="D3587" s="51">
        <v>149694.95</v>
      </c>
      <c r="E3587" s="51" t="str">
        <f t="shared" si="1"/>
        <v>₹1,796,339.40</v>
      </c>
      <c r="F3587" s="52" t="str">
        <f t="shared" si="2"/>
        <v>30.0%</v>
      </c>
      <c r="G3587" s="51" t="str">
        <f t="shared" si="3"/>
        <v>₹538,901.82</v>
      </c>
      <c r="H3587" s="51" t="str">
        <f t="shared" si="4"/>
        <v>₹44,908.49</v>
      </c>
      <c r="I3587" s="51" t="str">
        <f>129959.42-H3587</f>
        <v>₹85,050.94</v>
      </c>
    </row>
    <row r="3588" ht="15.75" customHeight="1">
      <c r="A3588" s="53" t="s">
        <v>3670</v>
      </c>
      <c r="B3588" s="53" t="s">
        <v>36</v>
      </c>
      <c r="C3588" s="53" t="s">
        <v>37</v>
      </c>
      <c r="D3588" s="54">
        <v>149741.3</v>
      </c>
      <c r="E3588" s="54" t="str">
        <f t="shared" si="1"/>
        <v>₹1,796,895.60</v>
      </c>
      <c r="F3588" s="55" t="str">
        <f t="shared" si="2"/>
        <v>30.0%</v>
      </c>
      <c r="G3588" s="54" t="str">
        <f t="shared" si="3"/>
        <v>₹539,068.68</v>
      </c>
      <c r="H3588" s="54" t="str">
        <f t="shared" si="4"/>
        <v>₹44,922.39</v>
      </c>
      <c r="I3588" s="54" t="str">
        <f>129998.97-H3588</f>
        <v>₹85,076.58</v>
      </c>
    </row>
    <row r="3589" ht="15.75" customHeight="1">
      <c r="A3589" s="50" t="s">
        <v>3671</v>
      </c>
      <c r="B3589" s="50" t="s">
        <v>13</v>
      </c>
      <c r="C3589" s="50" t="s">
        <v>18</v>
      </c>
      <c r="D3589" s="51">
        <v>149764.48</v>
      </c>
      <c r="E3589" s="51" t="str">
        <f t="shared" si="1"/>
        <v>₹1,797,173.76</v>
      </c>
      <c r="F3589" s="52" t="str">
        <f t="shared" si="2"/>
        <v>30.0%</v>
      </c>
      <c r="G3589" s="51" t="str">
        <f t="shared" si="3"/>
        <v>₹539,152.13</v>
      </c>
      <c r="H3589" s="51" t="str">
        <f t="shared" si="4"/>
        <v>₹44,929.34</v>
      </c>
      <c r="I3589" s="51" t="str">
        <f>130018.75-H3589</f>
        <v>₹85,089.41</v>
      </c>
    </row>
    <row r="3590" ht="15.75" customHeight="1">
      <c r="A3590" s="53" t="s">
        <v>3672</v>
      </c>
      <c r="B3590" s="53" t="s">
        <v>25</v>
      </c>
      <c r="C3590" s="53" t="s">
        <v>18</v>
      </c>
      <c r="D3590" s="54">
        <v>149787.66</v>
      </c>
      <c r="E3590" s="54" t="str">
        <f t="shared" si="1"/>
        <v>₹1,797,451.92</v>
      </c>
      <c r="F3590" s="55" t="str">
        <f t="shared" si="2"/>
        <v>30.0%</v>
      </c>
      <c r="G3590" s="54" t="str">
        <f t="shared" si="3"/>
        <v>₹539,235.58</v>
      </c>
      <c r="H3590" s="54" t="str">
        <f t="shared" si="4"/>
        <v>₹44,936.30</v>
      </c>
      <c r="I3590" s="54" t="str">
        <f>130038.54-H3590</f>
        <v>₹85,102.24</v>
      </c>
    </row>
    <row r="3591" ht="15.75" customHeight="1">
      <c r="A3591" s="50" t="s">
        <v>3673</v>
      </c>
      <c r="B3591" s="50" t="s">
        <v>13</v>
      </c>
      <c r="C3591" s="50" t="s">
        <v>30</v>
      </c>
      <c r="D3591" s="51">
        <v>149810.83</v>
      </c>
      <c r="E3591" s="51" t="str">
        <f t="shared" si="1"/>
        <v>₹1,797,729.96</v>
      </c>
      <c r="F3591" s="52" t="str">
        <f t="shared" si="2"/>
        <v>30.0%</v>
      </c>
      <c r="G3591" s="51" t="str">
        <f t="shared" si="3"/>
        <v>₹539,318.99</v>
      </c>
      <c r="H3591" s="51" t="str">
        <f t="shared" si="4"/>
        <v>₹44,943.25</v>
      </c>
      <c r="I3591" s="51" t="str">
        <f>130058.31-H3591</f>
        <v>₹85,115.06</v>
      </c>
    </row>
    <row r="3592" ht="15.75" customHeight="1">
      <c r="A3592" s="53" t="s">
        <v>3674</v>
      </c>
      <c r="B3592" s="53" t="s">
        <v>13</v>
      </c>
      <c r="C3592" s="53" t="s">
        <v>37</v>
      </c>
      <c r="D3592" s="54">
        <v>149857.19</v>
      </c>
      <c r="E3592" s="54" t="str">
        <f t="shared" si="1"/>
        <v>₹1,798,286.28</v>
      </c>
      <c r="F3592" s="55" t="str">
        <f t="shared" si="2"/>
        <v>30.0%</v>
      </c>
      <c r="G3592" s="54" t="str">
        <f t="shared" si="3"/>
        <v>₹539,485.88</v>
      </c>
      <c r="H3592" s="54" t="str">
        <f t="shared" si="4"/>
        <v>₹44,957.16</v>
      </c>
      <c r="I3592" s="54" t="str">
        <f>130097.87-H3592</f>
        <v>₹85,140.71</v>
      </c>
    </row>
    <row r="3593" ht="15.75" customHeight="1">
      <c r="A3593" s="50" t="s">
        <v>3675</v>
      </c>
      <c r="B3593" s="50" t="s">
        <v>29</v>
      </c>
      <c r="C3593" s="50" t="s">
        <v>26</v>
      </c>
      <c r="D3593" s="51">
        <v>149880.37</v>
      </c>
      <c r="E3593" s="51" t="str">
        <f t="shared" si="1"/>
        <v>₹1,798,564.44</v>
      </c>
      <c r="F3593" s="52" t="str">
        <f t="shared" si="2"/>
        <v>30.0%</v>
      </c>
      <c r="G3593" s="51" t="str">
        <f t="shared" si="3"/>
        <v>₹539,569.33</v>
      </c>
      <c r="H3593" s="51" t="str">
        <f t="shared" si="4"/>
        <v>₹44,964.11</v>
      </c>
      <c r="I3593" s="51" t="str">
        <f>130117.66-H3593</f>
        <v>₹85,153.55</v>
      </c>
    </row>
    <row r="3594" ht="15.75" customHeight="1">
      <c r="A3594" s="53" t="s">
        <v>3676</v>
      </c>
      <c r="B3594" s="53" t="s">
        <v>53</v>
      </c>
      <c r="C3594" s="53" t="s">
        <v>37</v>
      </c>
      <c r="D3594" s="54">
        <v>149926.72</v>
      </c>
      <c r="E3594" s="54" t="str">
        <f t="shared" si="1"/>
        <v>₹1,799,120.64</v>
      </c>
      <c r="F3594" s="55" t="str">
        <f t="shared" si="2"/>
        <v>30.0%</v>
      </c>
      <c r="G3594" s="54" t="str">
        <f t="shared" si="3"/>
        <v>₹539,736.19</v>
      </c>
      <c r="H3594" s="54" t="str">
        <f t="shared" si="4"/>
        <v>₹44,978.02</v>
      </c>
      <c r="I3594" s="54" t="str">
        <f>130157.21-H3594</f>
        <v>₹85,179.19</v>
      </c>
    </row>
    <row r="3595" ht="15.75" customHeight="1">
      <c r="A3595" s="50" t="s">
        <v>3677</v>
      </c>
      <c r="B3595" s="50" t="s">
        <v>25</v>
      </c>
      <c r="C3595" s="50" t="s">
        <v>37</v>
      </c>
      <c r="D3595" s="51">
        <v>149973.08</v>
      </c>
      <c r="E3595" s="51" t="str">
        <f t="shared" si="1"/>
        <v>₹1,799,676.96</v>
      </c>
      <c r="F3595" s="52" t="str">
        <f t="shared" si="2"/>
        <v>30.0%</v>
      </c>
      <c r="G3595" s="51" t="str">
        <f t="shared" si="3"/>
        <v>₹539,903.09</v>
      </c>
      <c r="H3595" s="51" t="str">
        <f t="shared" si="4"/>
        <v>₹44,991.92</v>
      </c>
      <c r="I3595" s="51" t="str">
        <f>130196.78-H3595</f>
        <v>₹85,204.86</v>
      </c>
    </row>
    <row r="3596" ht="15.75" customHeight="1">
      <c r="A3596" s="53" t="s">
        <v>3678</v>
      </c>
      <c r="B3596" s="53" t="s">
        <v>36</v>
      </c>
      <c r="C3596" s="53" t="s">
        <v>33</v>
      </c>
      <c r="D3596" s="54">
        <v>149996.26</v>
      </c>
      <c r="E3596" s="54" t="str">
        <f t="shared" si="1"/>
        <v>₹1,799,955.12</v>
      </c>
      <c r="F3596" s="55" t="str">
        <f t="shared" si="2"/>
        <v>30.0%</v>
      </c>
      <c r="G3596" s="54" t="str">
        <f t="shared" si="3"/>
        <v>₹539,986.54</v>
      </c>
      <c r="H3596" s="54" t="str">
        <f t="shared" si="4"/>
        <v>₹44,998.88</v>
      </c>
      <c r="I3596" s="54" t="str">
        <f>130216.56-H3596</f>
        <v>₹85,217.68</v>
      </c>
    </row>
    <row r="3597" ht="15.75" customHeight="1">
      <c r="A3597" s="50" t="s">
        <v>3679</v>
      </c>
      <c r="B3597" s="50" t="s">
        <v>51</v>
      </c>
      <c r="C3597" s="50" t="s">
        <v>33</v>
      </c>
      <c r="D3597" s="51">
        <v>150019.43</v>
      </c>
      <c r="E3597" s="51" t="str">
        <f t="shared" si="1"/>
        <v>₹1,800,233.16</v>
      </c>
      <c r="F3597" s="52" t="str">
        <f t="shared" si="2"/>
        <v>30.0%</v>
      </c>
      <c r="G3597" s="51" t="str">
        <f t="shared" si="3"/>
        <v>₹540,069.95</v>
      </c>
      <c r="H3597" s="51" t="str">
        <f t="shared" si="4"/>
        <v>₹45,005.83</v>
      </c>
      <c r="I3597" s="51" t="str">
        <f>130236.33-H3597</f>
        <v>₹85,230.50</v>
      </c>
    </row>
    <row r="3598" ht="15.75" customHeight="1">
      <c r="A3598" s="53" t="s">
        <v>3680</v>
      </c>
      <c r="B3598" s="53" t="s">
        <v>17</v>
      </c>
      <c r="C3598" s="53" t="s">
        <v>26</v>
      </c>
      <c r="D3598" s="54">
        <v>150042.61</v>
      </c>
      <c r="E3598" s="54" t="str">
        <f t="shared" si="1"/>
        <v>₹1,800,511.32</v>
      </c>
      <c r="F3598" s="55" t="str">
        <f t="shared" si="2"/>
        <v>30.0%</v>
      </c>
      <c r="G3598" s="54" t="str">
        <f t="shared" si="3"/>
        <v>₹540,153.40</v>
      </c>
      <c r="H3598" s="54" t="str">
        <f t="shared" si="4"/>
        <v>₹45,012.78</v>
      </c>
      <c r="I3598" s="54" t="str">
        <f>130256.11-H3598</f>
        <v>₹85,243.33</v>
      </c>
    </row>
    <row r="3599" ht="15.75" customHeight="1">
      <c r="A3599" s="50" t="s">
        <v>3681</v>
      </c>
      <c r="B3599" s="50" t="s">
        <v>51</v>
      </c>
      <c r="C3599" s="50" t="s">
        <v>30</v>
      </c>
      <c r="D3599" s="51">
        <v>150065.79</v>
      </c>
      <c r="E3599" s="51" t="str">
        <f t="shared" si="1"/>
        <v>₹1,800,789.48</v>
      </c>
      <c r="F3599" s="52" t="str">
        <f t="shared" si="2"/>
        <v>30.0%</v>
      </c>
      <c r="G3599" s="51" t="str">
        <f t="shared" si="3"/>
        <v>₹540,236.84</v>
      </c>
      <c r="H3599" s="51" t="str">
        <f t="shared" si="4"/>
        <v>₹45,019.74</v>
      </c>
      <c r="I3599" s="51" t="str">
        <f>130275.9-H3599</f>
        <v>₹85,256.16</v>
      </c>
    </row>
    <row r="3600" ht="15.75" customHeight="1">
      <c r="A3600" s="53" t="s">
        <v>3682</v>
      </c>
      <c r="B3600" s="53" t="s">
        <v>36</v>
      </c>
      <c r="C3600" s="53" t="s">
        <v>26</v>
      </c>
      <c r="D3600" s="54">
        <v>150112.14</v>
      </c>
      <c r="E3600" s="54" t="str">
        <f t="shared" si="1"/>
        <v>₹1,801,345.68</v>
      </c>
      <c r="F3600" s="55" t="str">
        <f t="shared" si="2"/>
        <v>30.0%</v>
      </c>
      <c r="G3600" s="54" t="str">
        <f t="shared" si="3"/>
        <v>₹540,403.70</v>
      </c>
      <c r="H3600" s="54" t="str">
        <f t="shared" si="4"/>
        <v>₹45,033.64</v>
      </c>
      <c r="I3600" s="54" t="str">
        <f>130315.45-H3600</f>
        <v>₹85,281.81</v>
      </c>
    </row>
    <row r="3601" ht="15.75" customHeight="1">
      <c r="A3601" s="50" t="s">
        <v>3683</v>
      </c>
      <c r="B3601" s="50" t="s">
        <v>13</v>
      </c>
      <c r="C3601" s="50" t="s">
        <v>26</v>
      </c>
      <c r="D3601" s="51">
        <v>150158.5</v>
      </c>
      <c r="E3601" s="51" t="str">
        <f t="shared" si="1"/>
        <v>₹1,801,902.00</v>
      </c>
      <c r="F3601" s="52" t="str">
        <f t="shared" si="2"/>
        <v>30.0%</v>
      </c>
      <c r="G3601" s="51" t="str">
        <f t="shared" si="3"/>
        <v>₹540,570.60</v>
      </c>
      <c r="H3601" s="51" t="str">
        <f t="shared" si="4"/>
        <v>₹45,047.55</v>
      </c>
      <c r="I3601" s="51" t="str">
        <f>130355.02-H3601</f>
        <v>₹85,307.47</v>
      </c>
    </row>
    <row r="3602" ht="15.75" customHeight="1">
      <c r="A3602" s="53" t="s">
        <v>3684</v>
      </c>
      <c r="B3602" s="53" t="s">
        <v>36</v>
      </c>
      <c r="C3602" s="53" t="s">
        <v>14</v>
      </c>
      <c r="D3602" s="54">
        <v>150181.68</v>
      </c>
      <c r="E3602" s="54" t="str">
        <f t="shared" si="1"/>
        <v>₹1,802,180.16</v>
      </c>
      <c r="F3602" s="55" t="str">
        <f t="shared" si="2"/>
        <v>30.0%</v>
      </c>
      <c r="G3602" s="54" t="str">
        <f t="shared" si="3"/>
        <v>₹540,654.05</v>
      </c>
      <c r="H3602" s="54" t="str">
        <f t="shared" si="4"/>
        <v>₹45,054.50</v>
      </c>
      <c r="I3602" s="54" t="str">
        <f>130374.8-H3602</f>
        <v>₹85,320.30</v>
      </c>
    </row>
    <row r="3603" ht="15.75" customHeight="1">
      <c r="A3603" s="50" t="s">
        <v>3685</v>
      </c>
      <c r="B3603" s="50" t="s">
        <v>29</v>
      </c>
      <c r="C3603" s="50" t="s">
        <v>14</v>
      </c>
      <c r="D3603" s="51">
        <v>150204.86</v>
      </c>
      <c r="E3603" s="51" t="str">
        <f t="shared" si="1"/>
        <v>₹1,802,458.32</v>
      </c>
      <c r="F3603" s="52" t="str">
        <f t="shared" si="2"/>
        <v>30.0%</v>
      </c>
      <c r="G3603" s="51" t="str">
        <f t="shared" si="3"/>
        <v>₹540,737.50</v>
      </c>
      <c r="H3603" s="51" t="str">
        <f t="shared" si="4"/>
        <v>₹45,061.46</v>
      </c>
      <c r="I3603" s="51" t="str">
        <f>130394.58-H3603</f>
        <v>₹85,333.12</v>
      </c>
    </row>
    <row r="3604" ht="15.75" customHeight="1">
      <c r="A3604" s="53" t="s">
        <v>3686</v>
      </c>
      <c r="B3604" s="53" t="s">
        <v>13</v>
      </c>
      <c r="C3604" s="53" t="s">
        <v>14</v>
      </c>
      <c r="D3604" s="54">
        <v>150228.03</v>
      </c>
      <c r="E3604" s="54" t="str">
        <f t="shared" si="1"/>
        <v>₹1,802,736.36</v>
      </c>
      <c r="F3604" s="55" t="str">
        <f t="shared" si="2"/>
        <v>30.0%</v>
      </c>
      <c r="G3604" s="54" t="str">
        <f t="shared" si="3"/>
        <v>₹540,820.91</v>
      </c>
      <c r="H3604" s="54" t="str">
        <f t="shared" si="4"/>
        <v>₹45,068.41</v>
      </c>
      <c r="I3604" s="54" t="str">
        <f>130414.35-H3604</f>
        <v>₹85,345.94</v>
      </c>
    </row>
    <row r="3605" ht="15.75" customHeight="1">
      <c r="A3605" s="50" t="s">
        <v>3687</v>
      </c>
      <c r="B3605" s="50" t="s">
        <v>53</v>
      </c>
      <c r="C3605" s="50" t="s">
        <v>14</v>
      </c>
      <c r="D3605" s="51">
        <v>150251.21</v>
      </c>
      <c r="E3605" s="51" t="str">
        <f t="shared" si="1"/>
        <v>₹1,803,014.52</v>
      </c>
      <c r="F3605" s="52" t="str">
        <f t="shared" si="2"/>
        <v>30.0%</v>
      </c>
      <c r="G3605" s="51" t="str">
        <f t="shared" si="3"/>
        <v>₹540,904.36</v>
      </c>
      <c r="H3605" s="51" t="str">
        <f t="shared" si="4"/>
        <v>₹45,075.36</v>
      </c>
      <c r="I3605" s="51" t="str">
        <f>130434.14-H3605</f>
        <v>₹85,358.78</v>
      </c>
    </row>
    <row r="3606" ht="15.75" customHeight="1">
      <c r="A3606" s="53" t="s">
        <v>3688</v>
      </c>
      <c r="B3606" s="53" t="s">
        <v>13</v>
      </c>
      <c r="C3606" s="53" t="s">
        <v>37</v>
      </c>
      <c r="D3606" s="54">
        <v>150274.39</v>
      </c>
      <c r="E3606" s="54" t="str">
        <f t="shared" si="1"/>
        <v>₹1,803,292.68</v>
      </c>
      <c r="F3606" s="55" t="str">
        <f t="shared" si="2"/>
        <v>30.0%</v>
      </c>
      <c r="G3606" s="54" t="str">
        <f t="shared" si="3"/>
        <v>₹540,987.80</v>
      </c>
      <c r="H3606" s="54" t="str">
        <f t="shared" si="4"/>
        <v>₹45,082.32</v>
      </c>
      <c r="I3606" s="54" t="str">
        <f>130453.92-H3606</f>
        <v>₹85,371.60</v>
      </c>
    </row>
    <row r="3607" ht="15.75" customHeight="1">
      <c r="A3607" s="50" t="s">
        <v>3689</v>
      </c>
      <c r="B3607" s="50" t="s">
        <v>29</v>
      </c>
      <c r="C3607" s="50" t="s">
        <v>54</v>
      </c>
      <c r="D3607" s="51">
        <v>133104.98</v>
      </c>
      <c r="E3607" s="51" t="str">
        <f t="shared" si="1"/>
        <v>₹1,597,259.76</v>
      </c>
      <c r="F3607" s="52" t="str">
        <f t="shared" si="2"/>
        <v>30.0%</v>
      </c>
      <c r="G3607" s="51" t="str">
        <f t="shared" si="3"/>
        <v>₹479,177.93</v>
      </c>
      <c r="H3607" s="51" t="str">
        <f t="shared" si="4"/>
        <v>₹39,931.49</v>
      </c>
      <c r="I3607" s="51" t="str">
        <f>113281.11-H3607</f>
        <v>₹73,349.62</v>
      </c>
    </row>
    <row r="3608" ht="15.75" customHeight="1">
      <c r="A3608" s="53" t="s">
        <v>3690</v>
      </c>
      <c r="B3608" s="53" t="s">
        <v>29</v>
      </c>
      <c r="C3608" s="53" t="s">
        <v>37</v>
      </c>
      <c r="D3608" s="54">
        <v>150320.74</v>
      </c>
      <c r="E3608" s="54" t="str">
        <f t="shared" si="1"/>
        <v>₹1,803,848.88</v>
      </c>
      <c r="F3608" s="55" t="str">
        <f t="shared" si="2"/>
        <v>30.0%</v>
      </c>
      <c r="G3608" s="54" t="str">
        <f t="shared" si="3"/>
        <v>₹541,154.66</v>
      </c>
      <c r="H3608" s="54" t="str">
        <f t="shared" si="4"/>
        <v>₹45,096.22</v>
      </c>
      <c r="I3608" s="54" t="str">
        <f>130493.47-H3608</f>
        <v>₹85,397.25</v>
      </c>
    </row>
    <row r="3609" ht="15.75" customHeight="1">
      <c r="A3609" s="50" t="s">
        <v>3691</v>
      </c>
      <c r="B3609" s="50" t="s">
        <v>51</v>
      </c>
      <c r="C3609" s="50" t="s">
        <v>30</v>
      </c>
      <c r="D3609" s="51">
        <v>150343.92</v>
      </c>
      <c r="E3609" s="51" t="str">
        <f t="shared" si="1"/>
        <v>₹1,804,127.04</v>
      </c>
      <c r="F3609" s="52" t="str">
        <f t="shared" si="2"/>
        <v>30.0%</v>
      </c>
      <c r="G3609" s="51" t="str">
        <f t="shared" si="3"/>
        <v>₹541,238.11</v>
      </c>
      <c r="H3609" s="51" t="str">
        <f t="shared" si="4"/>
        <v>₹45,103.18</v>
      </c>
      <c r="I3609" s="51" t="str">
        <f>130513.26-H3609</f>
        <v>₹85,410.08</v>
      </c>
    </row>
    <row r="3610" ht="15.75" customHeight="1">
      <c r="A3610" s="53" t="s">
        <v>3692</v>
      </c>
      <c r="B3610" s="53" t="s">
        <v>53</v>
      </c>
      <c r="C3610" s="53" t="s">
        <v>37</v>
      </c>
      <c r="D3610" s="54">
        <v>150367.1</v>
      </c>
      <c r="E3610" s="54" t="str">
        <f t="shared" si="1"/>
        <v>₹1,804,405.20</v>
      </c>
      <c r="F3610" s="55" t="str">
        <f t="shared" si="2"/>
        <v>30.0%</v>
      </c>
      <c r="G3610" s="54" t="str">
        <f t="shared" si="3"/>
        <v>₹541,321.56</v>
      </c>
      <c r="H3610" s="54" t="str">
        <f t="shared" si="4"/>
        <v>₹45,110.13</v>
      </c>
      <c r="I3610" s="54" t="str">
        <f>130533.04-H3610</f>
        <v>₹85,422.91</v>
      </c>
    </row>
    <row r="3611" ht="15.75" customHeight="1">
      <c r="A3611" s="50" t="s">
        <v>3693</v>
      </c>
      <c r="B3611" s="50" t="s">
        <v>36</v>
      </c>
      <c r="C3611" s="50" t="s">
        <v>30</v>
      </c>
      <c r="D3611" s="51">
        <v>150390.28</v>
      </c>
      <c r="E3611" s="51" t="str">
        <f t="shared" si="1"/>
        <v>₹1,804,683.36</v>
      </c>
      <c r="F3611" s="52" t="str">
        <f t="shared" si="2"/>
        <v>30.0%</v>
      </c>
      <c r="G3611" s="51" t="str">
        <f t="shared" si="3"/>
        <v>₹541,405.01</v>
      </c>
      <c r="H3611" s="51" t="str">
        <f t="shared" si="4"/>
        <v>₹45,117.08</v>
      </c>
      <c r="I3611" s="51" t="str">
        <f>130552.82-H3611</f>
        <v>₹85,435.74</v>
      </c>
    </row>
    <row r="3612" ht="15.75" customHeight="1">
      <c r="A3612" s="53" t="s">
        <v>3694</v>
      </c>
      <c r="B3612" s="53" t="s">
        <v>53</v>
      </c>
      <c r="C3612" s="53" t="s">
        <v>54</v>
      </c>
      <c r="D3612" s="54">
        <v>150413.45</v>
      </c>
      <c r="E3612" s="54" t="str">
        <f t="shared" si="1"/>
        <v>₹1,804,961.40</v>
      </c>
      <c r="F3612" s="55" t="str">
        <f t="shared" si="2"/>
        <v>30.0%</v>
      </c>
      <c r="G3612" s="54" t="str">
        <f t="shared" si="3"/>
        <v>₹541,488.42</v>
      </c>
      <c r="H3612" s="54" t="str">
        <f t="shared" si="4"/>
        <v>₹45,124.04</v>
      </c>
      <c r="I3612" s="54" t="str">
        <f>130572.59-H3612</f>
        <v>₹85,448.56</v>
      </c>
    </row>
    <row r="3613" ht="15.75" customHeight="1">
      <c r="A3613" s="50" t="s">
        <v>3695</v>
      </c>
      <c r="B3613" s="50" t="s">
        <v>53</v>
      </c>
      <c r="C3613" s="50" t="s">
        <v>30</v>
      </c>
      <c r="D3613" s="51">
        <v>150436.63</v>
      </c>
      <c r="E3613" s="51" t="str">
        <f t="shared" si="1"/>
        <v>₹1,805,239.56</v>
      </c>
      <c r="F3613" s="52" t="str">
        <f t="shared" si="2"/>
        <v>30.0%</v>
      </c>
      <c r="G3613" s="51" t="str">
        <f t="shared" si="3"/>
        <v>₹541,571.87</v>
      </c>
      <c r="H3613" s="51" t="str">
        <f t="shared" si="4"/>
        <v>₹45,130.99</v>
      </c>
      <c r="I3613" s="51" t="str">
        <f>130592.38-H3613</f>
        <v>₹85,461.39</v>
      </c>
    </row>
    <row r="3614" ht="15.75" customHeight="1">
      <c r="A3614" s="53" t="s">
        <v>3696</v>
      </c>
      <c r="B3614" s="53" t="s">
        <v>25</v>
      </c>
      <c r="C3614" s="53" t="s">
        <v>18</v>
      </c>
      <c r="D3614" s="54">
        <v>150459.81</v>
      </c>
      <c r="E3614" s="54" t="str">
        <f t="shared" si="1"/>
        <v>₹1,805,517.72</v>
      </c>
      <c r="F3614" s="55" t="str">
        <f t="shared" si="2"/>
        <v>30.0%</v>
      </c>
      <c r="G3614" s="54" t="str">
        <f t="shared" si="3"/>
        <v>₹541,655.32</v>
      </c>
      <c r="H3614" s="54" t="str">
        <f t="shared" si="4"/>
        <v>₹45,137.94</v>
      </c>
      <c r="I3614" s="54" t="str">
        <f>130612.16-H3614</f>
        <v>₹85,474.22</v>
      </c>
    </row>
    <row r="3615" ht="15.75" customHeight="1">
      <c r="A3615" s="50" t="s">
        <v>3697</v>
      </c>
      <c r="B3615" s="50" t="s">
        <v>13</v>
      </c>
      <c r="C3615" s="50" t="s">
        <v>37</v>
      </c>
      <c r="D3615" s="51">
        <v>150482.99</v>
      </c>
      <c r="E3615" s="51" t="str">
        <f t="shared" si="1"/>
        <v>₹1,805,795.88</v>
      </c>
      <c r="F3615" s="52" t="str">
        <f t="shared" si="2"/>
        <v>30.0%</v>
      </c>
      <c r="G3615" s="51" t="str">
        <f t="shared" si="3"/>
        <v>₹541,738.76</v>
      </c>
      <c r="H3615" s="51" t="str">
        <f t="shared" si="4"/>
        <v>₹45,144.90</v>
      </c>
      <c r="I3615" s="51" t="str">
        <f>130631.94-H3615</f>
        <v>₹85,487.04</v>
      </c>
    </row>
    <row r="3616" ht="15.75" customHeight="1">
      <c r="A3616" s="53" t="s">
        <v>3698</v>
      </c>
      <c r="B3616" s="53" t="s">
        <v>13</v>
      </c>
      <c r="C3616" s="53" t="s">
        <v>37</v>
      </c>
      <c r="D3616" s="54">
        <v>150506.17</v>
      </c>
      <c r="E3616" s="54" t="str">
        <f t="shared" si="1"/>
        <v>₹1,806,074.04</v>
      </c>
      <c r="F3616" s="55" t="str">
        <f t="shared" si="2"/>
        <v>30.0%</v>
      </c>
      <c r="G3616" s="54" t="str">
        <f t="shared" si="3"/>
        <v>₹541,822.21</v>
      </c>
      <c r="H3616" s="54" t="str">
        <f t="shared" si="4"/>
        <v>₹45,151.85</v>
      </c>
      <c r="I3616" s="54" t="str">
        <f>136178.79-H3616</f>
        <v>₹91,026.94</v>
      </c>
    </row>
    <row r="3617" ht="15.75" customHeight="1">
      <c r="A3617" s="50" t="s">
        <v>3699</v>
      </c>
      <c r="B3617" s="50" t="s">
        <v>51</v>
      </c>
      <c r="C3617" s="50" t="s">
        <v>37</v>
      </c>
      <c r="D3617" s="51">
        <v>150529.34</v>
      </c>
      <c r="E3617" s="51" t="str">
        <f t="shared" si="1"/>
        <v>₹1,806,352.08</v>
      </c>
      <c r="F3617" s="52" t="str">
        <f t="shared" si="2"/>
        <v>30.0%</v>
      </c>
      <c r="G3617" s="51" t="str">
        <f t="shared" si="3"/>
        <v>₹541,905.62</v>
      </c>
      <c r="H3617" s="51" t="str">
        <f t="shared" si="4"/>
        <v>₹45,158.80</v>
      </c>
      <c r="I3617" s="51" t="str">
        <f>130671.5-H3617</f>
        <v>₹85,512.70</v>
      </c>
    </row>
    <row r="3618" ht="15.75" customHeight="1">
      <c r="A3618" s="53" t="s">
        <v>3700</v>
      </c>
      <c r="B3618" s="53" t="s">
        <v>29</v>
      </c>
      <c r="C3618" s="53" t="s">
        <v>26</v>
      </c>
      <c r="D3618" s="54">
        <v>150552.52</v>
      </c>
      <c r="E3618" s="54" t="str">
        <f t="shared" si="1"/>
        <v>₹1,806,630.24</v>
      </c>
      <c r="F3618" s="55" t="str">
        <f t="shared" si="2"/>
        <v>30.0%</v>
      </c>
      <c r="G3618" s="54" t="str">
        <f t="shared" si="3"/>
        <v>₹541,989.07</v>
      </c>
      <c r="H3618" s="54" t="str">
        <f t="shared" si="4"/>
        <v>₹45,165.76</v>
      </c>
      <c r="I3618" s="54" t="str">
        <f>130691.28-H3618</f>
        <v>₹85,525.52</v>
      </c>
    </row>
    <row r="3619" ht="15.75" customHeight="1">
      <c r="A3619" s="50" t="s">
        <v>3701</v>
      </c>
      <c r="B3619" s="50" t="s">
        <v>13</v>
      </c>
      <c r="C3619" s="50" t="s">
        <v>14</v>
      </c>
      <c r="D3619" s="51">
        <v>150575.7</v>
      </c>
      <c r="E3619" s="51" t="str">
        <f t="shared" si="1"/>
        <v>₹1,806,908.40</v>
      </c>
      <c r="F3619" s="52" t="str">
        <f t="shared" si="2"/>
        <v>30.0%</v>
      </c>
      <c r="G3619" s="51" t="str">
        <f t="shared" si="3"/>
        <v>₹542,072.52</v>
      </c>
      <c r="H3619" s="51" t="str">
        <f t="shared" si="4"/>
        <v>₹45,172.71</v>
      </c>
      <c r="I3619" s="51" t="str">
        <f>130711.06-H3619</f>
        <v>₹85,538.35</v>
      </c>
    </row>
    <row r="3620" ht="15.75" customHeight="1">
      <c r="A3620" s="53" t="s">
        <v>3702</v>
      </c>
      <c r="B3620" s="53" t="s">
        <v>25</v>
      </c>
      <c r="C3620" s="53" t="s">
        <v>33</v>
      </c>
      <c r="D3620" s="54">
        <v>150598.88</v>
      </c>
      <c r="E3620" s="54" t="str">
        <f t="shared" si="1"/>
        <v>₹1,807,186.56</v>
      </c>
      <c r="F3620" s="55" t="str">
        <f t="shared" si="2"/>
        <v>30.0%</v>
      </c>
      <c r="G3620" s="54" t="str">
        <f t="shared" si="3"/>
        <v>₹542,155.97</v>
      </c>
      <c r="H3620" s="54" t="str">
        <f t="shared" si="4"/>
        <v>₹45,179.66</v>
      </c>
      <c r="I3620" s="54" t="str">
        <f>130730.84-H3620</f>
        <v>₹85,551.18</v>
      </c>
    </row>
    <row r="3621" ht="15.75" customHeight="1">
      <c r="A3621" s="50" t="s">
        <v>3703</v>
      </c>
      <c r="B3621" s="50" t="s">
        <v>29</v>
      </c>
      <c r="C3621" s="50" t="s">
        <v>26</v>
      </c>
      <c r="D3621" s="51">
        <v>150622.05</v>
      </c>
      <c r="E3621" s="51" t="str">
        <f t="shared" si="1"/>
        <v>₹1,807,464.60</v>
      </c>
      <c r="F3621" s="52" t="str">
        <f t="shared" si="2"/>
        <v>30.0%</v>
      </c>
      <c r="G3621" s="51" t="str">
        <f t="shared" si="3"/>
        <v>₹542,239.38</v>
      </c>
      <c r="H3621" s="51" t="str">
        <f t="shared" si="4"/>
        <v>₹45,186.62</v>
      </c>
      <c r="I3621" s="51" t="str">
        <f>130750.62-H3621</f>
        <v>₹85,564.01</v>
      </c>
    </row>
    <row r="3622" ht="15.75" customHeight="1">
      <c r="A3622" s="53" t="s">
        <v>3704</v>
      </c>
      <c r="B3622" s="53" t="s">
        <v>29</v>
      </c>
      <c r="C3622" s="53" t="s">
        <v>18</v>
      </c>
      <c r="D3622" s="54">
        <v>150645.23</v>
      </c>
      <c r="E3622" s="54" t="str">
        <f t="shared" si="1"/>
        <v>₹1,807,742.76</v>
      </c>
      <c r="F3622" s="55" t="str">
        <f t="shared" si="2"/>
        <v>30.0%</v>
      </c>
      <c r="G3622" s="54" t="str">
        <f t="shared" si="3"/>
        <v>₹542,322.83</v>
      </c>
      <c r="H3622" s="54" t="str">
        <f t="shared" si="4"/>
        <v>₹45,193.57</v>
      </c>
      <c r="I3622" s="54" t="str">
        <f>130770.4-H3622</f>
        <v>₹85,576.83</v>
      </c>
    </row>
    <row r="3623" ht="15.75" customHeight="1">
      <c r="A3623" s="50" t="s">
        <v>3705</v>
      </c>
      <c r="B3623" s="50" t="s">
        <v>29</v>
      </c>
      <c r="C3623" s="50" t="s">
        <v>30</v>
      </c>
      <c r="D3623" s="51">
        <v>150691.59</v>
      </c>
      <c r="E3623" s="51" t="str">
        <f t="shared" si="1"/>
        <v>₹1,808,299.08</v>
      </c>
      <c r="F3623" s="52" t="str">
        <f t="shared" si="2"/>
        <v>30.0%</v>
      </c>
      <c r="G3623" s="51" t="str">
        <f t="shared" si="3"/>
        <v>₹542,489.72</v>
      </c>
      <c r="H3623" s="51" t="str">
        <f t="shared" si="4"/>
        <v>₹45,207.48</v>
      </c>
      <c r="I3623" s="51" t="str">
        <f>130809.96-H3623</f>
        <v>₹85,602.48</v>
      </c>
    </row>
    <row r="3624" ht="15.75" customHeight="1">
      <c r="A3624" s="53" t="s">
        <v>3706</v>
      </c>
      <c r="B3624" s="53" t="s">
        <v>29</v>
      </c>
      <c r="C3624" s="53" t="s">
        <v>37</v>
      </c>
      <c r="D3624" s="54">
        <v>150714.76</v>
      </c>
      <c r="E3624" s="54" t="str">
        <f t="shared" si="1"/>
        <v>₹1,808,577.12</v>
      </c>
      <c r="F3624" s="55" t="str">
        <f t="shared" si="2"/>
        <v>30.0%</v>
      </c>
      <c r="G3624" s="54" t="str">
        <f t="shared" si="3"/>
        <v>₹542,573.14</v>
      </c>
      <c r="H3624" s="54" t="str">
        <f t="shared" si="4"/>
        <v>₹45,214.43</v>
      </c>
      <c r="I3624" s="54" t="str">
        <f>130829.74-H3624</f>
        <v>₹85,615.31</v>
      </c>
    </row>
    <row r="3625" ht="15.75" customHeight="1">
      <c r="A3625" s="50" t="s">
        <v>3707</v>
      </c>
      <c r="B3625" s="50" t="s">
        <v>36</v>
      </c>
      <c r="C3625" s="50" t="s">
        <v>33</v>
      </c>
      <c r="D3625" s="51">
        <v>150737.94</v>
      </c>
      <c r="E3625" s="51" t="str">
        <f t="shared" si="1"/>
        <v>₹1,808,855.28</v>
      </c>
      <c r="F3625" s="52" t="str">
        <f t="shared" si="2"/>
        <v>30.0%</v>
      </c>
      <c r="G3625" s="51" t="str">
        <f t="shared" si="3"/>
        <v>₹542,656.58</v>
      </c>
      <c r="H3625" s="51" t="str">
        <f t="shared" si="4"/>
        <v>₹45,221.38</v>
      </c>
      <c r="I3625" s="51" t="str">
        <f>130849.52-H3625</f>
        <v>₹85,628.14</v>
      </c>
    </row>
    <row r="3626" ht="15.75" customHeight="1">
      <c r="A3626" s="53" t="s">
        <v>3708</v>
      </c>
      <c r="B3626" s="53" t="s">
        <v>29</v>
      </c>
      <c r="C3626" s="53" t="s">
        <v>18</v>
      </c>
      <c r="D3626" s="54">
        <v>150761.12</v>
      </c>
      <c r="E3626" s="54" t="str">
        <f t="shared" si="1"/>
        <v>₹1,809,133.44</v>
      </c>
      <c r="F3626" s="55" t="str">
        <f t="shared" si="2"/>
        <v>30.0%</v>
      </c>
      <c r="G3626" s="54" t="str">
        <f t="shared" si="3"/>
        <v>₹542,740.03</v>
      </c>
      <c r="H3626" s="54" t="str">
        <f t="shared" si="4"/>
        <v>₹45,228.34</v>
      </c>
      <c r="I3626" s="54" t="str">
        <f>130869.3-H3626</f>
        <v>₹85,640.96</v>
      </c>
    </row>
    <row r="3627" ht="15.75" customHeight="1">
      <c r="A3627" s="50" t="s">
        <v>3709</v>
      </c>
      <c r="B3627" s="50" t="s">
        <v>13</v>
      </c>
      <c r="C3627" s="50" t="s">
        <v>30</v>
      </c>
      <c r="D3627" s="51">
        <v>150784.3</v>
      </c>
      <c r="E3627" s="51" t="str">
        <f t="shared" si="1"/>
        <v>₹1,809,411.60</v>
      </c>
      <c r="F3627" s="52" t="str">
        <f t="shared" si="2"/>
        <v>30.0%</v>
      </c>
      <c r="G3627" s="51" t="str">
        <f t="shared" si="3"/>
        <v>₹542,823.48</v>
      </c>
      <c r="H3627" s="51" t="str">
        <f t="shared" si="4"/>
        <v>₹45,235.29</v>
      </c>
      <c r="I3627" s="51" t="str">
        <f>130889.08-H3627</f>
        <v>₹85,653.79</v>
      </c>
    </row>
    <row r="3628" ht="15.75" customHeight="1">
      <c r="A3628" s="53" t="s">
        <v>3710</v>
      </c>
      <c r="B3628" s="53" t="s">
        <v>53</v>
      </c>
      <c r="C3628" s="53" t="s">
        <v>18</v>
      </c>
      <c r="D3628" s="54">
        <v>150807.48</v>
      </c>
      <c r="E3628" s="54" t="str">
        <f t="shared" si="1"/>
        <v>₹1,809,689.76</v>
      </c>
      <c r="F3628" s="55" t="str">
        <f t="shared" si="2"/>
        <v>30.0%</v>
      </c>
      <c r="G3628" s="54" t="str">
        <f t="shared" si="3"/>
        <v>₹542,906.93</v>
      </c>
      <c r="H3628" s="54" t="str">
        <f t="shared" si="4"/>
        <v>₹45,242.24</v>
      </c>
      <c r="I3628" s="54" t="str">
        <f>130908.86-H3628</f>
        <v>₹85,666.62</v>
      </c>
    </row>
    <row r="3629" ht="15.75" customHeight="1">
      <c r="A3629" s="50" t="s">
        <v>3711</v>
      </c>
      <c r="B3629" s="50" t="s">
        <v>36</v>
      </c>
      <c r="C3629" s="50" t="s">
        <v>18</v>
      </c>
      <c r="D3629" s="51">
        <v>150830.65</v>
      </c>
      <c r="E3629" s="51" t="str">
        <f t="shared" si="1"/>
        <v>₹1,809,967.80</v>
      </c>
      <c r="F3629" s="52" t="str">
        <f t="shared" si="2"/>
        <v>30.0%</v>
      </c>
      <c r="G3629" s="51" t="str">
        <f t="shared" si="3"/>
        <v>₹542,990.34</v>
      </c>
      <c r="H3629" s="51" t="str">
        <f t="shared" si="4"/>
        <v>₹45,249.20</v>
      </c>
      <c r="I3629" s="51" t="str">
        <f>130928.64-H3629</f>
        <v>₹85,679.45</v>
      </c>
    </row>
    <row r="3630" ht="15.75" customHeight="1">
      <c r="A3630" s="53" t="s">
        <v>3712</v>
      </c>
      <c r="B3630" s="53" t="s">
        <v>29</v>
      </c>
      <c r="C3630" s="53" t="s">
        <v>14</v>
      </c>
      <c r="D3630" s="54">
        <v>150853.83</v>
      </c>
      <c r="E3630" s="54" t="str">
        <f t="shared" si="1"/>
        <v>₹1,810,245.96</v>
      </c>
      <c r="F3630" s="55" t="str">
        <f t="shared" si="2"/>
        <v>30.0%</v>
      </c>
      <c r="G3630" s="54" t="str">
        <f t="shared" si="3"/>
        <v>₹543,073.79</v>
      </c>
      <c r="H3630" s="54" t="str">
        <f t="shared" si="4"/>
        <v>₹45,256.15</v>
      </c>
      <c r="I3630" s="54" t="str">
        <f>130948.42-H3630</f>
        <v>₹85,692.27</v>
      </c>
    </row>
    <row r="3631" ht="15.75" customHeight="1">
      <c r="A3631" s="50" t="s">
        <v>3713</v>
      </c>
      <c r="B3631" s="50" t="s">
        <v>51</v>
      </c>
      <c r="C3631" s="50" t="s">
        <v>18</v>
      </c>
      <c r="D3631" s="51">
        <v>150877.01</v>
      </c>
      <c r="E3631" s="51" t="str">
        <f t="shared" si="1"/>
        <v>₹1,810,524.12</v>
      </c>
      <c r="F3631" s="52" t="str">
        <f t="shared" si="2"/>
        <v>30.0%</v>
      </c>
      <c r="G3631" s="51" t="str">
        <f t="shared" si="3"/>
        <v>₹543,157.24</v>
      </c>
      <c r="H3631" s="51" t="str">
        <f t="shared" si="4"/>
        <v>₹45,263.10</v>
      </c>
      <c r="I3631" s="51" t="str">
        <f>130968.2-H3631</f>
        <v>₹85,705.10</v>
      </c>
    </row>
    <row r="3632" ht="15.75" customHeight="1">
      <c r="A3632" s="53" t="s">
        <v>3714</v>
      </c>
      <c r="B3632" s="53" t="s">
        <v>13</v>
      </c>
      <c r="C3632" s="53" t="s">
        <v>54</v>
      </c>
      <c r="D3632" s="54">
        <v>150900.19</v>
      </c>
      <c r="E3632" s="54" t="str">
        <f t="shared" si="1"/>
        <v>₹1,810,802.28</v>
      </c>
      <c r="F3632" s="55" t="str">
        <f t="shared" si="2"/>
        <v>30.0%</v>
      </c>
      <c r="G3632" s="54" t="str">
        <f t="shared" si="3"/>
        <v>₹543,240.68</v>
      </c>
      <c r="H3632" s="54" t="str">
        <f t="shared" si="4"/>
        <v>₹45,270.06</v>
      </c>
      <c r="I3632" s="54" t="str">
        <f>130987.98-H3632</f>
        <v>₹85,717.92</v>
      </c>
    </row>
    <row r="3633" ht="15.75" customHeight="1">
      <c r="A3633" s="50" t="s">
        <v>3715</v>
      </c>
      <c r="B3633" s="50" t="s">
        <v>51</v>
      </c>
      <c r="C3633" s="50" t="s">
        <v>37</v>
      </c>
      <c r="D3633" s="51">
        <v>150923.36</v>
      </c>
      <c r="E3633" s="51" t="str">
        <f t="shared" si="1"/>
        <v>₹1,811,080.32</v>
      </c>
      <c r="F3633" s="52" t="str">
        <f t="shared" si="2"/>
        <v>30.0%</v>
      </c>
      <c r="G3633" s="51" t="str">
        <f t="shared" si="3"/>
        <v>₹543,324.10</v>
      </c>
      <c r="H3633" s="51" t="str">
        <f t="shared" si="4"/>
        <v>₹45,277.01</v>
      </c>
      <c r="I3633" s="51" t="str">
        <f>136405.45-H3633</f>
        <v>₹91,128.44</v>
      </c>
    </row>
    <row r="3634" ht="15.75" customHeight="1">
      <c r="A3634" s="53" t="s">
        <v>3716</v>
      </c>
      <c r="B3634" s="53" t="s">
        <v>53</v>
      </c>
      <c r="C3634" s="53" t="s">
        <v>26</v>
      </c>
      <c r="D3634" s="54">
        <v>150946.54</v>
      </c>
      <c r="E3634" s="54" t="str">
        <f t="shared" si="1"/>
        <v>₹1,811,358.48</v>
      </c>
      <c r="F3634" s="55" t="str">
        <f t="shared" si="2"/>
        <v>30.0%</v>
      </c>
      <c r="G3634" s="54" t="str">
        <f t="shared" si="3"/>
        <v>₹543,407.54</v>
      </c>
      <c r="H3634" s="54" t="str">
        <f t="shared" si="4"/>
        <v>₹45,283.96</v>
      </c>
      <c r="I3634" s="54" t="str">
        <f>131027.54-H3634</f>
        <v>₹85,743.58</v>
      </c>
    </row>
    <row r="3635" ht="15.75" customHeight="1">
      <c r="A3635" s="50" t="s">
        <v>3717</v>
      </c>
      <c r="B3635" s="50" t="s">
        <v>17</v>
      </c>
      <c r="C3635" s="50" t="s">
        <v>14</v>
      </c>
      <c r="D3635" s="51">
        <v>150969.72</v>
      </c>
      <c r="E3635" s="51" t="str">
        <f t="shared" si="1"/>
        <v>₹1,811,636.64</v>
      </c>
      <c r="F3635" s="52" t="str">
        <f t="shared" si="2"/>
        <v>30.0%</v>
      </c>
      <c r="G3635" s="51" t="str">
        <f t="shared" si="3"/>
        <v>₹543,490.99</v>
      </c>
      <c r="H3635" s="51" t="str">
        <f t="shared" si="4"/>
        <v>₹45,290.92</v>
      </c>
      <c r="I3635" s="51" t="str">
        <f>131047.32-H3635</f>
        <v>₹85,756.40</v>
      </c>
    </row>
    <row r="3636" ht="15.75" customHeight="1">
      <c r="A3636" s="53" t="s">
        <v>3718</v>
      </c>
      <c r="B3636" s="53" t="s">
        <v>25</v>
      </c>
      <c r="C3636" s="53" t="s">
        <v>18</v>
      </c>
      <c r="D3636" s="54">
        <v>150992.9</v>
      </c>
      <c r="E3636" s="54" t="str">
        <f t="shared" si="1"/>
        <v>₹1,811,914.80</v>
      </c>
      <c r="F3636" s="55" t="str">
        <f t="shared" si="2"/>
        <v>30.0%</v>
      </c>
      <c r="G3636" s="54" t="str">
        <f t="shared" si="3"/>
        <v>₹543,574.44</v>
      </c>
      <c r="H3636" s="54" t="str">
        <f t="shared" si="4"/>
        <v>₹45,297.87</v>
      </c>
      <c r="I3636" s="54" t="str">
        <f>131067.1-H3636</f>
        <v>₹85,769.23</v>
      </c>
    </row>
    <row r="3637" ht="15.75" customHeight="1">
      <c r="A3637" s="50" t="s">
        <v>3719</v>
      </c>
      <c r="B3637" s="50" t="s">
        <v>51</v>
      </c>
      <c r="C3637" s="50" t="s">
        <v>14</v>
      </c>
      <c r="D3637" s="51">
        <v>151039.25</v>
      </c>
      <c r="E3637" s="51" t="str">
        <f t="shared" si="1"/>
        <v>₹1,812,471.00</v>
      </c>
      <c r="F3637" s="52" t="str">
        <f t="shared" si="2"/>
        <v>30.0%</v>
      </c>
      <c r="G3637" s="51" t="str">
        <f t="shared" si="3"/>
        <v>₹543,741.30</v>
      </c>
      <c r="H3637" s="51" t="str">
        <f t="shared" si="4"/>
        <v>₹45,311.78</v>
      </c>
      <c r="I3637" s="51" t="str">
        <f>131106.66-H3637</f>
        <v>₹85,794.89</v>
      </c>
    </row>
    <row r="3638" ht="15.75" customHeight="1">
      <c r="A3638" s="53" t="s">
        <v>3720</v>
      </c>
      <c r="B3638" s="53" t="s">
        <v>25</v>
      </c>
      <c r="C3638" s="53" t="s">
        <v>18</v>
      </c>
      <c r="D3638" s="54">
        <v>151062.43</v>
      </c>
      <c r="E3638" s="54" t="str">
        <f t="shared" si="1"/>
        <v>₹1,812,749.16</v>
      </c>
      <c r="F3638" s="55" t="str">
        <f t="shared" si="2"/>
        <v>30.0%</v>
      </c>
      <c r="G3638" s="54" t="str">
        <f t="shared" si="3"/>
        <v>₹543,824.75</v>
      </c>
      <c r="H3638" s="54" t="str">
        <f t="shared" si="4"/>
        <v>₹45,318.73</v>
      </c>
      <c r="I3638" s="54" t="str">
        <f>131126.44-H3638</f>
        <v>₹85,807.71</v>
      </c>
    </row>
    <row r="3639" ht="15.75" customHeight="1">
      <c r="A3639" s="50" t="s">
        <v>3721</v>
      </c>
      <c r="B3639" s="50" t="s">
        <v>17</v>
      </c>
      <c r="C3639" s="50" t="s">
        <v>37</v>
      </c>
      <c r="D3639" s="51">
        <v>151085.61</v>
      </c>
      <c r="E3639" s="51" t="str">
        <f t="shared" si="1"/>
        <v>₹1,813,027.32</v>
      </c>
      <c r="F3639" s="52" t="str">
        <f t="shared" si="2"/>
        <v>30.0%</v>
      </c>
      <c r="G3639" s="51" t="str">
        <f t="shared" si="3"/>
        <v>₹543,908.20</v>
      </c>
      <c r="H3639" s="51" t="str">
        <f t="shared" si="4"/>
        <v>₹45,325.68</v>
      </c>
      <c r="I3639" s="51" t="str">
        <f>131146.22-H3639</f>
        <v>₹85,820.54</v>
      </c>
    </row>
    <row r="3640" ht="15.75" customHeight="1">
      <c r="A3640" s="53" t="s">
        <v>3722</v>
      </c>
      <c r="B3640" s="53" t="s">
        <v>13</v>
      </c>
      <c r="C3640" s="53" t="s">
        <v>26</v>
      </c>
      <c r="D3640" s="54">
        <v>151108.79</v>
      </c>
      <c r="E3640" s="54" t="str">
        <f t="shared" si="1"/>
        <v>₹1,813,305.48</v>
      </c>
      <c r="F3640" s="55" t="str">
        <f t="shared" si="2"/>
        <v>30.0%</v>
      </c>
      <c r="G3640" s="54" t="str">
        <f t="shared" si="3"/>
        <v>₹543,991.64</v>
      </c>
      <c r="H3640" s="54" t="str">
        <f t="shared" si="4"/>
        <v>₹45,332.64</v>
      </c>
      <c r="I3640" s="54" t="str">
        <f>131166.01-H3640</f>
        <v>₹85,833.37</v>
      </c>
    </row>
    <row r="3641" ht="15.75" customHeight="1">
      <c r="A3641" s="50" t="s">
        <v>3723</v>
      </c>
      <c r="B3641" s="50" t="s">
        <v>17</v>
      </c>
      <c r="C3641" s="50" t="s">
        <v>30</v>
      </c>
      <c r="D3641" s="51">
        <v>151131.96</v>
      </c>
      <c r="E3641" s="51" t="str">
        <f t="shared" si="1"/>
        <v>₹1,813,583.52</v>
      </c>
      <c r="F3641" s="52" t="str">
        <f t="shared" si="2"/>
        <v>30.0%</v>
      </c>
      <c r="G3641" s="51" t="str">
        <f t="shared" si="3"/>
        <v>₹544,075.06</v>
      </c>
      <c r="H3641" s="51" t="str">
        <f t="shared" si="4"/>
        <v>₹45,339.59</v>
      </c>
      <c r="I3641" s="51" t="str">
        <f>131185.78-H3641</f>
        <v>₹85,846.19</v>
      </c>
    </row>
    <row r="3642" ht="15.75" customHeight="1">
      <c r="A3642" s="53" t="s">
        <v>3724</v>
      </c>
      <c r="B3642" s="53" t="s">
        <v>53</v>
      </c>
      <c r="C3642" s="53" t="s">
        <v>33</v>
      </c>
      <c r="D3642" s="54">
        <v>151155.14</v>
      </c>
      <c r="E3642" s="54" t="str">
        <f t="shared" si="1"/>
        <v>₹1,813,861.68</v>
      </c>
      <c r="F3642" s="55" t="str">
        <f t="shared" si="2"/>
        <v>30.0%</v>
      </c>
      <c r="G3642" s="54" t="str">
        <f t="shared" si="3"/>
        <v>₹544,158.50</v>
      </c>
      <c r="H3642" s="54" t="str">
        <f t="shared" si="4"/>
        <v>₹45,346.54</v>
      </c>
      <c r="I3642" s="54" t="str">
        <f>131205.56-H3642</f>
        <v>₹85,859.02</v>
      </c>
    </row>
    <row r="3643" ht="15.75" customHeight="1">
      <c r="A3643" s="50" t="s">
        <v>3725</v>
      </c>
      <c r="B3643" s="50" t="s">
        <v>13</v>
      </c>
      <c r="C3643" s="50" t="s">
        <v>18</v>
      </c>
      <c r="D3643" s="51">
        <v>151178.32</v>
      </c>
      <c r="E3643" s="51" t="str">
        <f t="shared" si="1"/>
        <v>₹1,814,139.84</v>
      </c>
      <c r="F3643" s="52" t="str">
        <f t="shared" si="2"/>
        <v>30.0%</v>
      </c>
      <c r="G3643" s="51" t="str">
        <f t="shared" si="3"/>
        <v>₹544,241.95</v>
      </c>
      <c r="H3643" s="51" t="str">
        <f t="shared" si="4"/>
        <v>₹45,353.50</v>
      </c>
      <c r="I3643" s="51" t="str">
        <f>131225.34-H3643</f>
        <v>₹85,871.84</v>
      </c>
    </row>
    <row r="3644" ht="15.75" customHeight="1">
      <c r="A3644" s="53" t="s">
        <v>3726</v>
      </c>
      <c r="B3644" s="53" t="s">
        <v>53</v>
      </c>
      <c r="C3644" s="53" t="s">
        <v>54</v>
      </c>
      <c r="D3644" s="54">
        <v>151201.5</v>
      </c>
      <c r="E3644" s="54" t="str">
        <f t="shared" si="1"/>
        <v>₹1,814,418.00</v>
      </c>
      <c r="F3644" s="55" t="str">
        <f t="shared" si="2"/>
        <v>30.0%</v>
      </c>
      <c r="G3644" s="54" t="str">
        <f t="shared" si="3"/>
        <v>₹544,325.40</v>
      </c>
      <c r="H3644" s="54" t="str">
        <f t="shared" si="4"/>
        <v>₹45,360.45</v>
      </c>
      <c r="I3644" s="54" t="str">
        <f>131245.13-H3644</f>
        <v>₹85,884.68</v>
      </c>
    </row>
    <row r="3645" ht="15.75" customHeight="1">
      <c r="A3645" s="50" t="s">
        <v>3727</v>
      </c>
      <c r="B3645" s="50" t="s">
        <v>36</v>
      </c>
      <c r="C3645" s="50" t="s">
        <v>18</v>
      </c>
      <c r="D3645" s="51">
        <v>151224.67</v>
      </c>
      <c r="E3645" s="51" t="str">
        <f t="shared" si="1"/>
        <v>₹1,814,696.04</v>
      </c>
      <c r="F3645" s="52" t="str">
        <f t="shared" si="2"/>
        <v>30.0%</v>
      </c>
      <c r="G3645" s="51" t="str">
        <f t="shared" si="3"/>
        <v>₹544,408.81</v>
      </c>
      <c r="H3645" s="51" t="str">
        <f t="shared" si="4"/>
        <v>₹45,367.40</v>
      </c>
      <c r="I3645" s="51" t="str">
        <f>131264.9-H3645</f>
        <v>₹85,897.50</v>
      </c>
    </row>
    <row r="3646" ht="15.75" customHeight="1">
      <c r="A3646" s="53" t="s">
        <v>3728</v>
      </c>
      <c r="B3646" s="53" t="s">
        <v>36</v>
      </c>
      <c r="C3646" s="53" t="s">
        <v>14</v>
      </c>
      <c r="D3646" s="54">
        <v>151247.85</v>
      </c>
      <c r="E3646" s="54" t="str">
        <f t="shared" si="1"/>
        <v>₹1,814,974.20</v>
      </c>
      <c r="F3646" s="55" t="str">
        <f t="shared" si="2"/>
        <v>30.0%</v>
      </c>
      <c r="G3646" s="54" t="str">
        <f t="shared" si="3"/>
        <v>₹544,492.26</v>
      </c>
      <c r="H3646" s="54" t="str">
        <f t="shared" si="4"/>
        <v>₹45,374.36</v>
      </c>
      <c r="I3646" s="54" t="str">
        <f>131284.68-H3646</f>
        <v>₹85,910.33</v>
      </c>
    </row>
    <row r="3647" ht="15.75" customHeight="1">
      <c r="A3647" s="50" t="s">
        <v>3729</v>
      </c>
      <c r="B3647" s="50" t="s">
        <v>36</v>
      </c>
      <c r="C3647" s="50" t="s">
        <v>30</v>
      </c>
      <c r="D3647" s="51">
        <v>151271.03</v>
      </c>
      <c r="E3647" s="51" t="str">
        <f t="shared" si="1"/>
        <v>₹1,815,252.36</v>
      </c>
      <c r="F3647" s="52" t="str">
        <f t="shared" si="2"/>
        <v>30.0%</v>
      </c>
      <c r="G3647" s="51" t="str">
        <f t="shared" si="3"/>
        <v>₹544,575.71</v>
      </c>
      <c r="H3647" s="51" t="str">
        <f t="shared" si="4"/>
        <v>₹45,381.31</v>
      </c>
      <c r="I3647" s="51" t="str">
        <f>131304.46-H3647</f>
        <v>₹85,923.15</v>
      </c>
    </row>
    <row r="3648" ht="15.75" customHeight="1">
      <c r="A3648" s="53" t="s">
        <v>3730</v>
      </c>
      <c r="B3648" s="53" t="s">
        <v>17</v>
      </c>
      <c r="C3648" s="53" t="s">
        <v>18</v>
      </c>
      <c r="D3648" s="54">
        <v>151294.21</v>
      </c>
      <c r="E3648" s="54" t="str">
        <f t="shared" si="1"/>
        <v>₹1,815,530.52</v>
      </c>
      <c r="F3648" s="55" t="str">
        <f t="shared" si="2"/>
        <v>30.0%</v>
      </c>
      <c r="G3648" s="54" t="str">
        <f t="shared" si="3"/>
        <v>₹544,659.16</v>
      </c>
      <c r="H3648" s="54" t="str">
        <f t="shared" si="4"/>
        <v>₹45,388.26</v>
      </c>
      <c r="I3648" s="54" t="str">
        <f>131324.25-H3648</f>
        <v>₹85,935.99</v>
      </c>
    </row>
    <row r="3649" ht="15.75" customHeight="1">
      <c r="A3649" s="50" t="s">
        <v>3731</v>
      </c>
      <c r="B3649" s="50" t="s">
        <v>29</v>
      </c>
      <c r="C3649" s="50" t="s">
        <v>14</v>
      </c>
      <c r="D3649" s="51">
        <v>151340.56</v>
      </c>
      <c r="E3649" s="51" t="str">
        <f t="shared" si="1"/>
        <v>₹1,816,086.72</v>
      </c>
      <c r="F3649" s="52" t="str">
        <f t="shared" si="2"/>
        <v>30.0%</v>
      </c>
      <c r="G3649" s="51" t="str">
        <f t="shared" si="3"/>
        <v>₹544,826.02</v>
      </c>
      <c r="H3649" s="51" t="str">
        <f t="shared" si="4"/>
        <v>₹45,402.17</v>
      </c>
      <c r="I3649" s="51" t="str">
        <f>131363.8-H3649</f>
        <v>₹85,961.63</v>
      </c>
    </row>
    <row r="3650" ht="15.75" customHeight="1">
      <c r="A3650" s="53" t="s">
        <v>3732</v>
      </c>
      <c r="B3650" s="53" t="s">
        <v>25</v>
      </c>
      <c r="C3650" s="53" t="s">
        <v>30</v>
      </c>
      <c r="D3650" s="54">
        <v>151363.74</v>
      </c>
      <c r="E3650" s="54" t="str">
        <f t="shared" si="1"/>
        <v>₹1,816,364.88</v>
      </c>
      <c r="F3650" s="55" t="str">
        <f t="shared" si="2"/>
        <v>30.0%</v>
      </c>
      <c r="G3650" s="54" t="str">
        <f t="shared" si="3"/>
        <v>₹544,909.46</v>
      </c>
      <c r="H3650" s="54" t="str">
        <f t="shared" si="4"/>
        <v>₹45,409.12</v>
      </c>
      <c r="I3650" s="54" t="str">
        <f>131383.58-H3650</f>
        <v>₹85,974.46</v>
      </c>
    </row>
    <row r="3651" ht="15.75" customHeight="1">
      <c r="A3651" s="50" t="s">
        <v>3733</v>
      </c>
      <c r="B3651" s="50" t="s">
        <v>53</v>
      </c>
      <c r="C3651" s="50" t="s">
        <v>33</v>
      </c>
      <c r="D3651" s="51">
        <v>151386.92</v>
      </c>
      <c r="E3651" s="51" t="str">
        <f t="shared" si="1"/>
        <v>₹1,816,643.04</v>
      </c>
      <c r="F3651" s="52" t="str">
        <f t="shared" si="2"/>
        <v>30.0%</v>
      </c>
      <c r="G3651" s="51" t="str">
        <f t="shared" si="3"/>
        <v>₹544,992.91</v>
      </c>
      <c r="H3651" s="51" t="str">
        <f t="shared" si="4"/>
        <v>₹45,416.08</v>
      </c>
      <c r="I3651" s="51" t="str">
        <f>131403.37-H3651</f>
        <v>₹85,987.29</v>
      </c>
    </row>
    <row r="3652" ht="15.75" customHeight="1">
      <c r="A3652" s="53" t="s">
        <v>3734</v>
      </c>
      <c r="B3652" s="53" t="s">
        <v>29</v>
      </c>
      <c r="C3652" s="53" t="s">
        <v>18</v>
      </c>
      <c r="D3652" s="54">
        <v>151410.1</v>
      </c>
      <c r="E3652" s="54" t="str">
        <f t="shared" si="1"/>
        <v>₹1,816,921.20</v>
      </c>
      <c r="F3652" s="55" t="str">
        <f t="shared" si="2"/>
        <v>30.0%</v>
      </c>
      <c r="G3652" s="54" t="str">
        <f t="shared" si="3"/>
        <v>₹545,076.36</v>
      </c>
      <c r="H3652" s="54" t="str">
        <f t="shared" si="4"/>
        <v>₹45,423.03</v>
      </c>
      <c r="I3652" s="54" t="str">
        <f>131423.15-H3652</f>
        <v>₹86,000.12</v>
      </c>
    </row>
    <row r="3653" ht="15.75" customHeight="1">
      <c r="A3653" s="50" t="s">
        <v>3735</v>
      </c>
      <c r="B3653" s="50" t="s">
        <v>25</v>
      </c>
      <c r="C3653" s="50" t="s">
        <v>37</v>
      </c>
      <c r="D3653" s="51">
        <v>151433.27</v>
      </c>
      <c r="E3653" s="51" t="str">
        <f t="shared" si="1"/>
        <v>₹1,817,199.24</v>
      </c>
      <c r="F3653" s="52" t="str">
        <f t="shared" si="2"/>
        <v>30.0%</v>
      </c>
      <c r="G3653" s="51" t="str">
        <f t="shared" si="3"/>
        <v>₹545,159.77</v>
      </c>
      <c r="H3653" s="51" t="str">
        <f t="shared" si="4"/>
        <v>₹45,429.98</v>
      </c>
      <c r="I3653" s="51" t="str">
        <f>131442.92-H3653</f>
        <v>₹86,012.94</v>
      </c>
    </row>
    <row r="3654" ht="15.75" customHeight="1">
      <c r="A3654" s="53" t="s">
        <v>3736</v>
      </c>
      <c r="B3654" s="53" t="s">
        <v>13</v>
      </c>
      <c r="C3654" s="53" t="s">
        <v>54</v>
      </c>
      <c r="D3654" s="54">
        <v>151456.45</v>
      </c>
      <c r="E3654" s="54" t="str">
        <f t="shared" si="1"/>
        <v>₹1,817,477.40</v>
      </c>
      <c r="F3654" s="55" t="str">
        <f t="shared" si="2"/>
        <v>30.0%</v>
      </c>
      <c r="G3654" s="54" t="str">
        <f t="shared" si="3"/>
        <v>₹545,243.22</v>
      </c>
      <c r="H3654" s="54" t="str">
        <f t="shared" si="4"/>
        <v>₹45,436.94</v>
      </c>
      <c r="I3654" s="54" t="str">
        <f>131462.7-H3654</f>
        <v>₹86,025.77</v>
      </c>
    </row>
    <row r="3655" ht="15.75" customHeight="1">
      <c r="A3655" s="50" t="s">
        <v>3737</v>
      </c>
      <c r="B3655" s="50" t="s">
        <v>29</v>
      </c>
      <c r="C3655" s="50" t="s">
        <v>18</v>
      </c>
      <c r="D3655" s="51">
        <v>151479.63</v>
      </c>
      <c r="E3655" s="51" t="str">
        <f t="shared" si="1"/>
        <v>₹1,817,755.56</v>
      </c>
      <c r="F3655" s="52" t="str">
        <f t="shared" si="2"/>
        <v>30.0%</v>
      </c>
      <c r="G3655" s="51" t="str">
        <f t="shared" si="3"/>
        <v>₹545,326.67</v>
      </c>
      <c r="H3655" s="51" t="str">
        <f t="shared" si="4"/>
        <v>₹45,443.89</v>
      </c>
      <c r="I3655" s="51" t="str">
        <f>131482.49-H3655</f>
        <v>₹86,038.60</v>
      </c>
    </row>
    <row r="3656" ht="15.75" customHeight="1">
      <c r="A3656" s="53" t="s">
        <v>3738</v>
      </c>
      <c r="B3656" s="53" t="s">
        <v>29</v>
      </c>
      <c r="C3656" s="53" t="s">
        <v>14</v>
      </c>
      <c r="D3656" s="54">
        <v>151502.81</v>
      </c>
      <c r="E3656" s="54" t="str">
        <f t="shared" si="1"/>
        <v>₹1,818,033.72</v>
      </c>
      <c r="F3656" s="55" t="str">
        <f t="shared" si="2"/>
        <v>30.0%</v>
      </c>
      <c r="G3656" s="54" t="str">
        <f t="shared" si="3"/>
        <v>₹545,410.12</v>
      </c>
      <c r="H3656" s="54" t="str">
        <f t="shared" si="4"/>
        <v>₹45,450.84</v>
      </c>
      <c r="I3656" s="54" t="str">
        <f>131502.27-H3656</f>
        <v>₹86,051.43</v>
      </c>
    </row>
    <row r="3657" ht="15.75" customHeight="1">
      <c r="A3657" s="50" t="s">
        <v>3739</v>
      </c>
      <c r="B3657" s="50" t="s">
        <v>51</v>
      </c>
      <c r="C3657" s="50" t="s">
        <v>33</v>
      </c>
      <c r="D3657" s="51">
        <v>151525.98</v>
      </c>
      <c r="E3657" s="51" t="str">
        <f t="shared" si="1"/>
        <v>₹1,818,311.76</v>
      </c>
      <c r="F3657" s="52" t="str">
        <f t="shared" si="2"/>
        <v>30.0%</v>
      </c>
      <c r="G3657" s="51" t="str">
        <f t="shared" si="3"/>
        <v>₹545,493.53</v>
      </c>
      <c r="H3657" s="51" t="str">
        <f t="shared" si="4"/>
        <v>₹45,457.79</v>
      </c>
      <c r="I3657" s="51" t="str">
        <f>131522.04-H3657</f>
        <v>₹86,064.25</v>
      </c>
    </row>
    <row r="3658" ht="15.75" customHeight="1">
      <c r="A3658" s="53" t="s">
        <v>3740</v>
      </c>
      <c r="B3658" s="53" t="s">
        <v>36</v>
      </c>
      <c r="C3658" s="53" t="s">
        <v>14</v>
      </c>
      <c r="D3658" s="54">
        <v>151549.16</v>
      </c>
      <c r="E3658" s="54" t="str">
        <f t="shared" si="1"/>
        <v>₹1,818,589.92</v>
      </c>
      <c r="F3658" s="55" t="str">
        <f t="shared" si="2"/>
        <v>30.0%</v>
      </c>
      <c r="G3658" s="54" t="str">
        <f t="shared" si="3"/>
        <v>₹545,576.98</v>
      </c>
      <c r="H3658" s="54" t="str">
        <f t="shared" si="4"/>
        <v>₹45,464.75</v>
      </c>
      <c r="I3658" s="54" t="str">
        <f>131541.82-H3658</f>
        <v>₹86,077.07</v>
      </c>
    </row>
    <row r="3659" ht="15.75" customHeight="1">
      <c r="A3659" s="50" t="s">
        <v>3741</v>
      </c>
      <c r="B3659" s="50" t="s">
        <v>25</v>
      </c>
      <c r="C3659" s="50" t="s">
        <v>30</v>
      </c>
      <c r="D3659" s="51">
        <v>151572.34</v>
      </c>
      <c r="E3659" s="51" t="str">
        <f t="shared" si="1"/>
        <v>₹1,818,868.08</v>
      </c>
      <c r="F3659" s="52" t="str">
        <f t="shared" si="2"/>
        <v>30.0%</v>
      </c>
      <c r="G3659" s="51" t="str">
        <f t="shared" si="3"/>
        <v>₹545,660.42</v>
      </c>
      <c r="H3659" s="51" t="str">
        <f t="shared" si="4"/>
        <v>₹45,471.70</v>
      </c>
      <c r="I3659" s="51" t="str">
        <f>131561.61-H3659</f>
        <v>₹86,089.91</v>
      </c>
    </row>
    <row r="3660" ht="15.75" customHeight="1">
      <c r="A3660" s="53" t="s">
        <v>3742</v>
      </c>
      <c r="B3660" s="53" t="s">
        <v>17</v>
      </c>
      <c r="C3660" s="53" t="s">
        <v>33</v>
      </c>
      <c r="D3660" s="54">
        <v>151595.52</v>
      </c>
      <c r="E3660" s="54" t="str">
        <f t="shared" si="1"/>
        <v>₹1,819,146.24</v>
      </c>
      <c r="F3660" s="55" t="str">
        <f t="shared" si="2"/>
        <v>30.0%</v>
      </c>
      <c r="G3660" s="54" t="str">
        <f t="shared" si="3"/>
        <v>₹545,743.87</v>
      </c>
      <c r="H3660" s="54" t="str">
        <f t="shared" si="4"/>
        <v>₹45,478.66</v>
      </c>
      <c r="I3660" s="54" t="str">
        <f>131581.39-H3660</f>
        <v>₹86,102.73</v>
      </c>
    </row>
    <row r="3661" ht="15.75" customHeight="1">
      <c r="A3661" s="50" t="s">
        <v>3743</v>
      </c>
      <c r="B3661" s="50" t="s">
        <v>17</v>
      </c>
      <c r="C3661" s="50" t="s">
        <v>26</v>
      </c>
      <c r="D3661" s="51">
        <v>151641.87</v>
      </c>
      <c r="E3661" s="51" t="str">
        <f t="shared" si="1"/>
        <v>₹1,819,702.44</v>
      </c>
      <c r="F3661" s="52" t="str">
        <f t="shared" si="2"/>
        <v>30.0%</v>
      </c>
      <c r="G3661" s="51" t="str">
        <f t="shared" si="3"/>
        <v>₹545,910.73</v>
      </c>
      <c r="H3661" s="51" t="str">
        <f t="shared" si="4"/>
        <v>₹45,492.56</v>
      </c>
      <c r="I3661" s="51" t="str">
        <f>131620.94-H3661</f>
        <v>₹86,128.38</v>
      </c>
    </row>
    <row r="3662" ht="15.75" customHeight="1">
      <c r="A3662" s="53" t="s">
        <v>3744</v>
      </c>
      <c r="B3662" s="53" t="s">
        <v>17</v>
      </c>
      <c r="C3662" s="53" t="s">
        <v>26</v>
      </c>
      <c r="D3662" s="54">
        <v>151665.05</v>
      </c>
      <c r="E3662" s="54" t="str">
        <f t="shared" si="1"/>
        <v>₹1,819,980.60</v>
      </c>
      <c r="F3662" s="55" t="str">
        <f t="shared" si="2"/>
        <v>30.0%</v>
      </c>
      <c r="G3662" s="54" t="str">
        <f t="shared" si="3"/>
        <v>₹545,994.18</v>
      </c>
      <c r="H3662" s="54" t="str">
        <f t="shared" si="4"/>
        <v>₹45,499.52</v>
      </c>
      <c r="I3662" s="54" t="str">
        <f>131640.73-H3662</f>
        <v>₹86,141.22</v>
      </c>
    </row>
    <row r="3663" ht="15.75" customHeight="1">
      <c r="A3663" s="50" t="s">
        <v>3745</v>
      </c>
      <c r="B3663" s="50" t="s">
        <v>51</v>
      </c>
      <c r="C3663" s="50" t="s">
        <v>26</v>
      </c>
      <c r="D3663" s="51">
        <v>151688.23</v>
      </c>
      <c r="E3663" s="51" t="str">
        <f t="shared" si="1"/>
        <v>₹1,820,258.76</v>
      </c>
      <c r="F3663" s="52" t="str">
        <f t="shared" si="2"/>
        <v>30.0%</v>
      </c>
      <c r="G3663" s="51" t="str">
        <f t="shared" si="3"/>
        <v>₹546,077.63</v>
      </c>
      <c r="H3663" s="51" t="str">
        <f t="shared" si="4"/>
        <v>₹45,506.47</v>
      </c>
      <c r="I3663" s="51" t="str">
        <f>131660.51-H3663</f>
        <v>₹86,154.04</v>
      </c>
    </row>
    <row r="3664" ht="15.75" customHeight="1">
      <c r="A3664" s="53" t="s">
        <v>3746</v>
      </c>
      <c r="B3664" s="53" t="s">
        <v>36</v>
      </c>
      <c r="C3664" s="53" t="s">
        <v>14</v>
      </c>
      <c r="D3664" s="54">
        <v>151711.41</v>
      </c>
      <c r="E3664" s="54" t="str">
        <f t="shared" si="1"/>
        <v>₹1,820,536.92</v>
      </c>
      <c r="F3664" s="55" t="str">
        <f t="shared" si="2"/>
        <v>30.0%</v>
      </c>
      <c r="G3664" s="54" t="str">
        <f t="shared" si="3"/>
        <v>₹546,161.08</v>
      </c>
      <c r="H3664" s="54" t="str">
        <f t="shared" si="4"/>
        <v>₹45,513.42</v>
      </c>
      <c r="I3664" s="54" t="str">
        <f>131680.29-H3664</f>
        <v>₹86,166.87</v>
      </c>
    </row>
    <row r="3665" ht="15.75" customHeight="1">
      <c r="A3665" s="50" t="s">
        <v>3747</v>
      </c>
      <c r="B3665" s="50" t="s">
        <v>53</v>
      </c>
      <c r="C3665" s="50" t="s">
        <v>33</v>
      </c>
      <c r="D3665" s="51">
        <v>151734.58</v>
      </c>
      <c r="E3665" s="51" t="str">
        <f t="shared" si="1"/>
        <v>₹1,820,814.96</v>
      </c>
      <c r="F3665" s="52" t="str">
        <f t="shared" si="2"/>
        <v>30.0%</v>
      </c>
      <c r="G3665" s="51" t="str">
        <f t="shared" si="3"/>
        <v>₹546,244.49</v>
      </c>
      <c r="H3665" s="51" t="str">
        <f t="shared" si="4"/>
        <v>₹45,520.37</v>
      </c>
      <c r="I3665" s="51" t="str">
        <f>131700.06-H3665</f>
        <v>₹86,179.69</v>
      </c>
    </row>
    <row r="3666" ht="15.75" customHeight="1">
      <c r="A3666" s="53" t="s">
        <v>3748</v>
      </c>
      <c r="B3666" s="53" t="s">
        <v>36</v>
      </c>
      <c r="C3666" s="53" t="s">
        <v>14</v>
      </c>
      <c r="D3666" s="54">
        <v>151780.94</v>
      </c>
      <c r="E3666" s="54" t="str">
        <f t="shared" si="1"/>
        <v>₹1,821,371.28</v>
      </c>
      <c r="F3666" s="55" t="str">
        <f t="shared" si="2"/>
        <v>30.0%</v>
      </c>
      <c r="G3666" s="54" t="str">
        <f t="shared" si="3"/>
        <v>₹546,411.38</v>
      </c>
      <c r="H3666" s="54" t="str">
        <f t="shared" si="4"/>
        <v>₹45,534.28</v>
      </c>
      <c r="I3666" s="54" t="str">
        <f>131739.63-H3666</f>
        <v>₹86,205.35</v>
      </c>
    </row>
    <row r="3667" ht="15.75" customHeight="1">
      <c r="A3667" s="50" t="s">
        <v>3749</v>
      </c>
      <c r="B3667" s="50" t="s">
        <v>17</v>
      </c>
      <c r="C3667" s="50" t="s">
        <v>26</v>
      </c>
      <c r="D3667" s="51">
        <v>151804.12</v>
      </c>
      <c r="E3667" s="51" t="str">
        <f t="shared" si="1"/>
        <v>₹1,821,649.44</v>
      </c>
      <c r="F3667" s="52" t="str">
        <f t="shared" si="2"/>
        <v>30.0%</v>
      </c>
      <c r="G3667" s="51" t="str">
        <f t="shared" si="3"/>
        <v>₹546,494.83</v>
      </c>
      <c r="H3667" s="51" t="str">
        <f t="shared" si="4"/>
        <v>₹45,541.24</v>
      </c>
      <c r="I3667" s="51" t="str">
        <f>131759.41-H3667</f>
        <v>₹86,218.17</v>
      </c>
    </row>
    <row r="3668" ht="15.75" customHeight="1">
      <c r="A3668" s="53" t="s">
        <v>3750</v>
      </c>
      <c r="B3668" s="53" t="s">
        <v>29</v>
      </c>
      <c r="C3668" s="53" t="s">
        <v>54</v>
      </c>
      <c r="D3668" s="54">
        <v>133916.44</v>
      </c>
      <c r="E3668" s="54" t="str">
        <f t="shared" si="1"/>
        <v>₹1,606,997.28</v>
      </c>
      <c r="F3668" s="55" t="str">
        <f t="shared" si="2"/>
        <v>30.0%</v>
      </c>
      <c r="G3668" s="54" t="str">
        <f t="shared" si="3"/>
        <v>₹482,099.18</v>
      </c>
      <c r="H3668" s="54" t="str">
        <f t="shared" si="4"/>
        <v>₹40,174.93</v>
      </c>
      <c r="I3668" s="54" t="str">
        <f>113868.33-H3668</f>
        <v>₹73,693.40</v>
      </c>
    </row>
    <row r="3669" ht="15.75" customHeight="1">
      <c r="A3669" s="50" t="s">
        <v>3751</v>
      </c>
      <c r="B3669" s="50" t="s">
        <v>53</v>
      </c>
      <c r="C3669" s="50" t="s">
        <v>14</v>
      </c>
      <c r="D3669" s="51">
        <v>151850.47</v>
      </c>
      <c r="E3669" s="51" t="str">
        <f t="shared" si="1"/>
        <v>₹1,822,205.64</v>
      </c>
      <c r="F3669" s="52" t="str">
        <f t="shared" si="2"/>
        <v>30.0%</v>
      </c>
      <c r="G3669" s="51" t="str">
        <f t="shared" si="3"/>
        <v>₹546,661.69</v>
      </c>
      <c r="H3669" s="51" t="str">
        <f t="shared" si="4"/>
        <v>₹45,555.14</v>
      </c>
      <c r="I3669" s="51" t="str">
        <f>131798.97-H3669</f>
        <v>₹86,243.83</v>
      </c>
    </row>
    <row r="3670" ht="15.75" customHeight="1">
      <c r="A3670" s="53" t="s">
        <v>3752</v>
      </c>
      <c r="B3670" s="53" t="s">
        <v>25</v>
      </c>
      <c r="C3670" s="53" t="s">
        <v>54</v>
      </c>
      <c r="D3670" s="54">
        <v>151873.65</v>
      </c>
      <c r="E3670" s="54" t="str">
        <f t="shared" si="1"/>
        <v>₹1,822,483.80</v>
      </c>
      <c r="F3670" s="55" t="str">
        <f t="shared" si="2"/>
        <v>30.0%</v>
      </c>
      <c r="G3670" s="54" t="str">
        <f t="shared" si="3"/>
        <v>₹546,745.14</v>
      </c>
      <c r="H3670" s="54" t="str">
        <f t="shared" si="4"/>
        <v>₹45,562.10</v>
      </c>
      <c r="I3670" s="54" t="str">
        <f>131818.75-H3670</f>
        <v>₹86,256.66</v>
      </c>
    </row>
    <row r="3671" ht="15.75" customHeight="1">
      <c r="A3671" s="50" t="s">
        <v>3753</v>
      </c>
      <c r="B3671" s="50" t="s">
        <v>25</v>
      </c>
      <c r="C3671" s="50" t="s">
        <v>14</v>
      </c>
      <c r="D3671" s="51">
        <v>151896.83</v>
      </c>
      <c r="E3671" s="51" t="str">
        <f t="shared" si="1"/>
        <v>₹1,822,761.96</v>
      </c>
      <c r="F3671" s="52" t="str">
        <f t="shared" si="2"/>
        <v>30.0%</v>
      </c>
      <c r="G3671" s="51" t="str">
        <f t="shared" si="3"/>
        <v>₹546,828.59</v>
      </c>
      <c r="H3671" s="51" t="str">
        <f t="shared" si="4"/>
        <v>₹45,569.05</v>
      </c>
      <c r="I3671" s="51" t="str">
        <f>131838.53-H3671</f>
        <v>₹86,269.48</v>
      </c>
    </row>
    <row r="3672" ht="15.75" customHeight="1">
      <c r="A3672" s="53" t="s">
        <v>3754</v>
      </c>
      <c r="B3672" s="53" t="s">
        <v>51</v>
      </c>
      <c r="C3672" s="53" t="s">
        <v>33</v>
      </c>
      <c r="D3672" s="54">
        <v>151920.0</v>
      </c>
      <c r="E3672" s="54" t="str">
        <f t="shared" si="1"/>
        <v>₹1,823,040.00</v>
      </c>
      <c r="F3672" s="55" t="str">
        <f t="shared" si="2"/>
        <v>30.0%</v>
      </c>
      <c r="G3672" s="54" t="str">
        <f t="shared" si="3"/>
        <v>₹546,912.00</v>
      </c>
      <c r="H3672" s="54" t="str">
        <f t="shared" si="4"/>
        <v>₹45,576.00</v>
      </c>
      <c r="I3672" s="54" t="str">
        <f>131858.3-H3672</f>
        <v>₹86,282.30</v>
      </c>
    </row>
    <row r="3673" ht="15.75" customHeight="1">
      <c r="A3673" s="50" t="s">
        <v>3755</v>
      </c>
      <c r="B3673" s="50" t="s">
        <v>17</v>
      </c>
      <c r="C3673" s="50" t="s">
        <v>26</v>
      </c>
      <c r="D3673" s="51">
        <v>151943.18</v>
      </c>
      <c r="E3673" s="51" t="str">
        <f t="shared" si="1"/>
        <v>₹1,823,318.16</v>
      </c>
      <c r="F3673" s="52" t="str">
        <f t="shared" si="2"/>
        <v>30.0%</v>
      </c>
      <c r="G3673" s="51" t="str">
        <f t="shared" si="3"/>
        <v>₹546,995.45</v>
      </c>
      <c r="H3673" s="51" t="str">
        <f t="shared" si="4"/>
        <v>₹45,582.95</v>
      </c>
      <c r="I3673" s="51" t="str">
        <f>131878.08-H3673</f>
        <v>₹86,295.13</v>
      </c>
    </row>
    <row r="3674" ht="15.75" customHeight="1">
      <c r="A3674" s="53" t="s">
        <v>3756</v>
      </c>
      <c r="B3674" s="53" t="s">
        <v>25</v>
      </c>
      <c r="C3674" s="53" t="s">
        <v>14</v>
      </c>
      <c r="D3674" s="54">
        <v>151966.36</v>
      </c>
      <c r="E3674" s="54" t="str">
        <f t="shared" si="1"/>
        <v>₹1,823,596.32</v>
      </c>
      <c r="F3674" s="55" t="str">
        <f t="shared" si="2"/>
        <v>30.0%</v>
      </c>
      <c r="G3674" s="54" t="str">
        <f t="shared" si="3"/>
        <v>₹547,078.90</v>
      </c>
      <c r="H3674" s="54" t="str">
        <f t="shared" si="4"/>
        <v>₹45,589.91</v>
      </c>
      <c r="I3674" s="54" t="str">
        <f>131897.87-H3674</f>
        <v>₹86,307.96</v>
      </c>
    </row>
    <row r="3675" ht="15.75" customHeight="1">
      <c r="A3675" s="50" t="s">
        <v>3757</v>
      </c>
      <c r="B3675" s="50" t="s">
        <v>53</v>
      </c>
      <c r="C3675" s="50" t="s">
        <v>18</v>
      </c>
      <c r="D3675" s="51">
        <v>151989.54</v>
      </c>
      <c r="E3675" s="51" t="str">
        <f t="shared" si="1"/>
        <v>₹1,823,874.48</v>
      </c>
      <c r="F3675" s="52" t="str">
        <f t="shared" si="2"/>
        <v>30.0%</v>
      </c>
      <c r="G3675" s="51" t="str">
        <f t="shared" si="3"/>
        <v>₹547,162.34</v>
      </c>
      <c r="H3675" s="51" t="str">
        <f t="shared" si="4"/>
        <v>₹45,596.86</v>
      </c>
      <c r="I3675" s="51" t="str">
        <f>131917.65-H3675</f>
        <v>₹86,320.79</v>
      </c>
    </row>
    <row r="3676" ht="15.75" customHeight="1">
      <c r="A3676" s="53" t="s">
        <v>3758</v>
      </c>
      <c r="B3676" s="53" t="s">
        <v>36</v>
      </c>
      <c r="C3676" s="53" t="s">
        <v>26</v>
      </c>
      <c r="D3676" s="54">
        <v>152012.72</v>
      </c>
      <c r="E3676" s="54" t="str">
        <f t="shared" si="1"/>
        <v>₹1,824,152.64</v>
      </c>
      <c r="F3676" s="55" t="str">
        <f t="shared" si="2"/>
        <v>30.0%</v>
      </c>
      <c r="G3676" s="54" t="str">
        <f t="shared" si="3"/>
        <v>₹547,245.79</v>
      </c>
      <c r="H3676" s="54" t="str">
        <f t="shared" si="4"/>
        <v>₹45,603.82</v>
      </c>
      <c r="I3676" s="54" t="str">
        <f>131937.43-H3676</f>
        <v>₹86,333.61</v>
      </c>
    </row>
    <row r="3677" ht="15.75" customHeight="1">
      <c r="A3677" s="50" t="s">
        <v>3759</v>
      </c>
      <c r="B3677" s="50" t="s">
        <v>53</v>
      </c>
      <c r="C3677" s="50" t="s">
        <v>54</v>
      </c>
      <c r="D3677" s="51">
        <v>152035.89</v>
      </c>
      <c r="E3677" s="51" t="str">
        <f t="shared" si="1"/>
        <v>₹1,824,430.68</v>
      </c>
      <c r="F3677" s="52" t="str">
        <f t="shared" si="2"/>
        <v>30.0%</v>
      </c>
      <c r="G3677" s="51" t="str">
        <f t="shared" si="3"/>
        <v>₹547,329.20</v>
      </c>
      <c r="H3677" s="51" t="str">
        <f t="shared" si="4"/>
        <v>₹45,610.77</v>
      </c>
      <c r="I3677" s="51" t="str">
        <f>131957.2-H3677</f>
        <v>₹86,346.43</v>
      </c>
    </row>
    <row r="3678" ht="15.75" customHeight="1">
      <c r="A3678" s="53" t="s">
        <v>3760</v>
      </c>
      <c r="B3678" s="53" t="s">
        <v>17</v>
      </c>
      <c r="C3678" s="53" t="s">
        <v>14</v>
      </c>
      <c r="D3678" s="54">
        <v>152059.07</v>
      </c>
      <c r="E3678" s="54" t="str">
        <f t="shared" si="1"/>
        <v>₹1,824,708.84</v>
      </c>
      <c r="F3678" s="55" t="str">
        <f t="shared" si="2"/>
        <v>30.0%</v>
      </c>
      <c r="G3678" s="54" t="str">
        <f t="shared" si="3"/>
        <v>₹547,412.65</v>
      </c>
      <c r="H3678" s="54" t="str">
        <f t="shared" si="4"/>
        <v>₹45,617.72</v>
      </c>
      <c r="I3678" s="54" t="str">
        <f>131976.99-H3678</f>
        <v>₹86,359.27</v>
      </c>
    </row>
    <row r="3679" ht="15.75" customHeight="1">
      <c r="A3679" s="50" t="s">
        <v>3761</v>
      </c>
      <c r="B3679" s="50" t="s">
        <v>36</v>
      </c>
      <c r="C3679" s="50" t="s">
        <v>54</v>
      </c>
      <c r="D3679" s="51">
        <v>152082.25</v>
      </c>
      <c r="E3679" s="51" t="str">
        <f t="shared" si="1"/>
        <v>₹1,824,987.00</v>
      </c>
      <c r="F3679" s="52" t="str">
        <f t="shared" si="2"/>
        <v>30.0%</v>
      </c>
      <c r="G3679" s="51" t="str">
        <f t="shared" si="3"/>
        <v>₹547,496.10</v>
      </c>
      <c r="H3679" s="51" t="str">
        <f t="shared" si="4"/>
        <v>₹45,624.68</v>
      </c>
      <c r="I3679" s="51" t="str">
        <f>131996.77-H3679</f>
        <v>₹86,372.10</v>
      </c>
    </row>
    <row r="3680" ht="15.75" customHeight="1">
      <c r="A3680" s="53" t="s">
        <v>3762</v>
      </c>
      <c r="B3680" s="53" t="s">
        <v>51</v>
      </c>
      <c r="C3680" s="53" t="s">
        <v>30</v>
      </c>
      <c r="D3680" s="54">
        <v>152128.6</v>
      </c>
      <c r="E3680" s="54" t="str">
        <f t="shared" si="1"/>
        <v>₹1,825,543.20</v>
      </c>
      <c r="F3680" s="55" t="str">
        <f t="shared" si="2"/>
        <v>30.0%</v>
      </c>
      <c r="G3680" s="54" t="str">
        <f t="shared" si="3"/>
        <v>₹547,662.96</v>
      </c>
      <c r="H3680" s="54" t="str">
        <f t="shared" si="4"/>
        <v>₹45,638.58</v>
      </c>
      <c r="I3680" s="54" t="str">
        <f>132036.32-H3680</f>
        <v>₹86,397.74</v>
      </c>
    </row>
    <row r="3681" ht="15.75" customHeight="1">
      <c r="A3681" s="50" t="s">
        <v>3763</v>
      </c>
      <c r="B3681" s="50" t="s">
        <v>17</v>
      </c>
      <c r="C3681" s="50" t="s">
        <v>26</v>
      </c>
      <c r="D3681" s="51">
        <v>152151.78</v>
      </c>
      <c r="E3681" s="51" t="str">
        <f t="shared" si="1"/>
        <v>₹1,825,821.36</v>
      </c>
      <c r="F3681" s="52" t="str">
        <f t="shared" si="2"/>
        <v>30.0%</v>
      </c>
      <c r="G3681" s="51" t="str">
        <f t="shared" si="3"/>
        <v>₹547,746.41</v>
      </c>
      <c r="H3681" s="51" t="str">
        <f t="shared" si="4"/>
        <v>₹45,645.53</v>
      </c>
      <c r="I3681" s="51" t="str">
        <f>132056.11-H3681</f>
        <v>₹86,410.58</v>
      </c>
    </row>
    <row r="3682" ht="15.75" customHeight="1">
      <c r="A3682" s="53" t="s">
        <v>3764</v>
      </c>
      <c r="B3682" s="53" t="s">
        <v>53</v>
      </c>
      <c r="C3682" s="53" t="s">
        <v>30</v>
      </c>
      <c r="D3682" s="54">
        <v>152174.96</v>
      </c>
      <c r="E3682" s="54" t="str">
        <f t="shared" si="1"/>
        <v>₹1,826,099.52</v>
      </c>
      <c r="F3682" s="55" t="str">
        <f t="shared" si="2"/>
        <v>30.0%</v>
      </c>
      <c r="G3682" s="54" t="str">
        <f t="shared" si="3"/>
        <v>₹547,829.86</v>
      </c>
      <c r="H3682" s="54" t="str">
        <f t="shared" si="4"/>
        <v>₹45,652.49</v>
      </c>
      <c r="I3682" s="54" t="str">
        <f>132075.89-H3682</f>
        <v>₹86,423.40</v>
      </c>
    </row>
    <row r="3683" ht="15.75" customHeight="1">
      <c r="A3683" s="50" t="s">
        <v>3765</v>
      </c>
      <c r="B3683" s="50" t="s">
        <v>36</v>
      </c>
      <c r="C3683" s="50" t="s">
        <v>54</v>
      </c>
      <c r="D3683" s="51">
        <v>152198.14</v>
      </c>
      <c r="E3683" s="51" t="str">
        <f t="shared" si="1"/>
        <v>₹1,826,377.68</v>
      </c>
      <c r="F3683" s="52" t="str">
        <f t="shared" si="2"/>
        <v>30.0%</v>
      </c>
      <c r="G3683" s="51" t="str">
        <f t="shared" si="3"/>
        <v>₹547,913.30</v>
      </c>
      <c r="H3683" s="51" t="str">
        <f t="shared" si="4"/>
        <v>₹45,659.44</v>
      </c>
      <c r="I3683" s="51" t="str">
        <f>132095.67-H3683</f>
        <v>₹86,436.23</v>
      </c>
    </row>
    <row r="3684" ht="15.75" customHeight="1">
      <c r="A3684" s="53" t="s">
        <v>3766</v>
      </c>
      <c r="B3684" s="53" t="s">
        <v>29</v>
      </c>
      <c r="C3684" s="53" t="s">
        <v>33</v>
      </c>
      <c r="D3684" s="54">
        <v>152221.31</v>
      </c>
      <c r="E3684" s="54" t="str">
        <f t="shared" si="1"/>
        <v>₹1,826,655.72</v>
      </c>
      <c r="F3684" s="55" t="str">
        <f t="shared" si="2"/>
        <v>30.0%</v>
      </c>
      <c r="G3684" s="54" t="str">
        <f t="shared" si="3"/>
        <v>₹547,996.72</v>
      </c>
      <c r="H3684" s="54" t="str">
        <f t="shared" si="4"/>
        <v>₹45,666.39</v>
      </c>
      <c r="I3684" s="54" t="str">
        <f>132115.44-H3684</f>
        <v>₹86,449.05</v>
      </c>
    </row>
    <row r="3685" ht="15.75" customHeight="1">
      <c r="A3685" s="50" t="s">
        <v>3767</v>
      </c>
      <c r="B3685" s="50" t="s">
        <v>13</v>
      </c>
      <c r="C3685" s="50" t="s">
        <v>26</v>
      </c>
      <c r="D3685" s="51">
        <v>152244.49</v>
      </c>
      <c r="E3685" s="51" t="str">
        <f t="shared" si="1"/>
        <v>₹1,826,933.88</v>
      </c>
      <c r="F3685" s="52" t="str">
        <f t="shared" si="2"/>
        <v>30.0%</v>
      </c>
      <c r="G3685" s="51" t="str">
        <f t="shared" si="3"/>
        <v>₹548,080.16</v>
      </c>
      <c r="H3685" s="51" t="str">
        <f t="shared" si="4"/>
        <v>₹45,673.35</v>
      </c>
      <c r="I3685" s="51" t="str">
        <f>132135.23-H3685</f>
        <v>₹86,461.88</v>
      </c>
    </row>
    <row r="3686" ht="15.75" customHeight="1">
      <c r="A3686" s="53" t="s">
        <v>3768</v>
      </c>
      <c r="B3686" s="53" t="s">
        <v>17</v>
      </c>
      <c r="C3686" s="53" t="s">
        <v>14</v>
      </c>
      <c r="D3686" s="54">
        <v>152267.67</v>
      </c>
      <c r="E3686" s="54" t="str">
        <f t="shared" si="1"/>
        <v>₹1,827,212.04</v>
      </c>
      <c r="F3686" s="55" t="str">
        <f t="shared" si="2"/>
        <v>30.0%</v>
      </c>
      <c r="G3686" s="54" t="str">
        <f t="shared" si="3"/>
        <v>₹548,163.61</v>
      </c>
      <c r="H3686" s="54" t="str">
        <f t="shared" si="4"/>
        <v>₹45,680.30</v>
      </c>
      <c r="I3686" s="54" t="str">
        <f>132155.01-H3686</f>
        <v>₹86,474.71</v>
      </c>
    </row>
    <row r="3687" ht="15.75" customHeight="1">
      <c r="A3687" s="50" t="s">
        <v>3769</v>
      </c>
      <c r="B3687" s="50" t="s">
        <v>13</v>
      </c>
      <c r="C3687" s="50" t="s">
        <v>33</v>
      </c>
      <c r="D3687" s="51">
        <v>152290.85</v>
      </c>
      <c r="E3687" s="51" t="str">
        <f t="shared" si="1"/>
        <v>₹1,827,490.20</v>
      </c>
      <c r="F3687" s="52" t="str">
        <f t="shared" si="2"/>
        <v>30.0%</v>
      </c>
      <c r="G3687" s="51" t="str">
        <f t="shared" si="3"/>
        <v>₹548,247.06</v>
      </c>
      <c r="H3687" s="51" t="str">
        <f t="shared" si="4"/>
        <v>₹45,687.26</v>
      </c>
      <c r="I3687" s="51" t="str">
        <f>132174.79-H3687</f>
        <v>₹86,487.54</v>
      </c>
    </row>
    <row r="3688" ht="15.75" customHeight="1">
      <c r="A3688" s="53" t="s">
        <v>3770</v>
      </c>
      <c r="B3688" s="53" t="s">
        <v>53</v>
      </c>
      <c r="C3688" s="53" t="s">
        <v>54</v>
      </c>
      <c r="D3688" s="54">
        <v>152314.03</v>
      </c>
      <c r="E3688" s="54" t="str">
        <f t="shared" si="1"/>
        <v>₹1,827,768.36</v>
      </c>
      <c r="F3688" s="55" t="str">
        <f t="shared" si="2"/>
        <v>30.0%</v>
      </c>
      <c r="G3688" s="54" t="str">
        <f t="shared" si="3"/>
        <v>₹548,330.51</v>
      </c>
      <c r="H3688" s="54" t="str">
        <f t="shared" si="4"/>
        <v>₹45,694.21</v>
      </c>
      <c r="I3688" s="54" t="str">
        <f>132194.57-H3688</f>
        <v>₹86,500.36</v>
      </c>
    </row>
    <row r="3689" ht="15.75" customHeight="1">
      <c r="A3689" s="50" t="s">
        <v>3771</v>
      </c>
      <c r="B3689" s="50" t="s">
        <v>25</v>
      </c>
      <c r="C3689" s="50" t="s">
        <v>26</v>
      </c>
      <c r="D3689" s="51">
        <v>152337.2</v>
      </c>
      <c r="E3689" s="51" t="str">
        <f t="shared" si="1"/>
        <v>₹1,828,046.40</v>
      </c>
      <c r="F3689" s="52" t="str">
        <f t="shared" si="2"/>
        <v>30.0%</v>
      </c>
      <c r="G3689" s="51" t="str">
        <f t="shared" si="3"/>
        <v>₹548,413.92</v>
      </c>
      <c r="H3689" s="51" t="str">
        <f t="shared" si="4"/>
        <v>₹45,701.16</v>
      </c>
      <c r="I3689" s="51" t="str">
        <f>132214.35-H3689</f>
        <v>₹86,513.19</v>
      </c>
    </row>
    <row r="3690" ht="15.75" customHeight="1">
      <c r="A3690" s="53" t="s">
        <v>3772</v>
      </c>
      <c r="B3690" s="53" t="s">
        <v>36</v>
      </c>
      <c r="C3690" s="53" t="s">
        <v>30</v>
      </c>
      <c r="D3690" s="54">
        <v>152360.38</v>
      </c>
      <c r="E3690" s="54" t="str">
        <f t="shared" si="1"/>
        <v>₹1,828,324.56</v>
      </c>
      <c r="F3690" s="55" t="str">
        <f t="shared" si="2"/>
        <v>30.0%</v>
      </c>
      <c r="G3690" s="54" t="str">
        <f t="shared" si="3"/>
        <v>₹548,497.37</v>
      </c>
      <c r="H3690" s="54" t="str">
        <f t="shared" si="4"/>
        <v>₹45,708.11</v>
      </c>
      <c r="I3690" s="54" t="str">
        <f>132234.13-H3690</f>
        <v>₹86,526.02</v>
      </c>
    </row>
    <row r="3691" ht="15.75" customHeight="1">
      <c r="A3691" s="50" t="s">
        <v>3773</v>
      </c>
      <c r="B3691" s="50" t="s">
        <v>29</v>
      </c>
      <c r="C3691" s="50" t="s">
        <v>37</v>
      </c>
      <c r="D3691" s="51">
        <v>152383.56</v>
      </c>
      <c r="E3691" s="51" t="str">
        <f t="shared" si="1"/>
        <v>₹1,828,602.72</v>
      </c>
      <c r="F3691" s="52" t="str">
        <f t="shared" si="2"/>
        <v>30.0%</v>
      </c>
      <c r="G3691" s="51" t="str">
        <f t="shared" si="3"/>
        <v>₹548,580.82</v>
      </c>
      <c r="H3691" s="51" t="str">
        <f t="shared" si="4"/>
        <v>₹45,715.07</v>
      </c>
      <c r="I3691" s="51" t="str">
        <f>132253.91-H3691</f>
        <v>₹86,538.84</v>
      </c>
    </row>
    <row r="3692" ht="15.75" customHeight="1">
      <c r="A3692" s="53" t="s">
        <v>3774</v>
      </c>
      <c r="B3692" s="53" t="s">
        <v>53</v>
      </c>
      <c r="C3692" s="53" t="s">
        <v>14</v>
      </c>
      <c r="D3692" s="54">
        <v>152429.91</v>
      </c>
      <c r="E3692" s="54" t="str">
        <f t="shared" si="1"/>
        <v>₹1,829,158.92</v>
      </c>
      <c r="F3692" s="55" t="str">
        <f t="shared" si="2"/>
        <v>30.0%</v>
      </c>
      <c r="G3692" s="54" t="str">
        <f t="shared" si="3"/>
        <v>₹548,747.68</v>
      </c>
      <c r="H3692" s="54" t="str">
        <f t="shared" si="4"/>
        <v>₹45,728.97</v>
      </c>
      <c r="I3692" s="54" t="str">
        <f>132293.47-H3692</f>
        <v>₹86,564.50</v>
      </c>
    </row>
    <row r="3693" ht="15.75" customHeight="1">
      <c r="A3693" s="50" t="s">
        <v>3775</v>
      </c>
      <c r="B3693" s="50" t="s">
        <v>36</v>
      </c>
      <c r="C3693" s="50" t="s">
        <v>18</v>
      </c>
      <c r="D3693" s="51">
        <v>152453.09</v>
      </c>
      <c r="E3693" s="51" t="str">
        <f t="shared" si="1"/>
        <v>₹1,829,437.08</v>
      </c>
      <c r="F3693" s="52" t="str">
        <f t="shared" si="2"/>
        <v>30.0%</v>
      </c>
      <c r="G3693" s="51" t="str">
        <f t="shared" si="3"/>
        <v>₹548,831.12</v>
      </c>
      <c r="H3693" s="51" t="str">
        <f t="shared" si="4"/>
        <v>₹45,735.93</v>
      </c>
      <c r="I3693" s="51" t="str">
        <f>132313.25-H3693</f>
        <v>₹86,577.32</v>
      </c>
    </row>
    <row r="3694" ht="15.75" customHeight="1">
      <c r="A3694" s="53" t="s">
        <v>3776</v>
      </c>
      <c r="B3694" s="53" t="s">
        <v>13</v>
      </c>
      <c r="C3694" s="53" t="s">
        <v>30</v>
      </c>
      <c r="D3694" s="54">
        <v>152476.27</v>
      </c>
      <c r="E3694" s="54" t="str">
        <f t="shared" si="1"/>
        <v>₹1,829,715.24</v>
      </c>
      <c r="F3694" s="55" t="str">
        <f t="shared" si="2"/>
        <v>30.0%</v>
      </c>
      <c r="G3694" s="54" t="str">
        <f t="shared" si="3"/>
        <v>₹548,914.57</v>
      </c>
      <c r="H3694" s="54" t="str">
        <f t="shared" si="4"/>
        <v>₹45,742.88</v>
      </c>
      <c r="I3694" s="54" t="str">
        <f>132333.03-H3694</f>
        <v>₹86,590.15</v>
      </c>
    </row>
    <row r="3695" ht="15.75" customHeight="1">
      <c r="A3695" s="50" t="s">
        <v>3777</v>
      </c>
      <c r="B3695" s="50" t="s">
        <v>53</v>
      </c>
      <c r="C3695" s="50" t="s">
        <v>37</v>
      </c>
      <c r="D3695" s="51">
        <v>152499.45</v>
      </c>
      <c r="E3695" s="51" t="str">
        <f t="shared" si="1"/>
        <v>₹1,829,993.40</v>
      </c>
      <c r="F3695" s="52" t="str">
        <f t="shared" si="2"/>
        <v>30.0%</v>
      </c>
      <c r="G3695" s="51" t="str">
        <f t="shared" si="3"/>
        <v>₹548,998.02</v>
      </c>
      <c r="H3695" s="51" t="str">
        <f t="shared" si="4"/>
        <v>₹45,749.84</v>
      </c>
      <c r="I3695" s="51" t="str">
        <f>132352.81-H3695</f>
        <v>₹86,602.98</v>
      </c>
    </row>
    <row r="3696" ht="15.75" customHeight="1">
      <c r="A3696" s="53" t="s">
        <v>3778</v>
      </c>
      <c r="B3696" s="53" t="s">
        <v>29</v>
      </c>
      <c r="C3696" s="53" t="s">
        <v>54</v>
      </c>
      <c r="D3696" s="54">
        <v>152522.62</v>
      </c>
      <c r="E3696" s="54" t="str">
        <f t="shared" si="1"/>
        <v>₹1,830,271.44</v>
      </c>
      <c r="F3696" s="55" t="str">
        <f t="shared" si="2"/>
        <v>30.0%</v>
      </c>
      <c r="G3696" s="54" t="str">
        <f t="shared" si="3"/>
        <v>₹549,081.43</v>
      </c>
      <c r="H3696" s="54" t="str">
        <f t="shared" si="4"/>
        <v>₹45,756.79</v>
      </c>
      <c r="I3696" s="54" t="str">
        <f>132372.59-H3696</f>
        <v>₹86,615.80</v>
      </c>
    </row>
    <row r="3697" ht="15.75" customHeight="1">
      <c r="A3697" s="50" t="s">
        <v>3779</v>
      </c>
      <c r="B3697" s="50" t="s">
        <v>53</v>
      </c>
      <c r="C3697" s="50" t="s">
        <v>26</v>
      </c>
      <c r="D3697" s="51">
        <v>152545.8</v>
      </c>
      <c r="E3697" s="51" t="str">
        <f t="shared" si="1"/>
        <v>₹1,830,549.60</v>
      </c>
      <c r="F3697" s="52" t="str">
        <f t="shared" si="2"/>
        <v>30.0%</v>
      </c>
      <c r="G3697" s="51" t="str">
        <f t="shared" si="3"/>
        <v>₹549,164.88</v>
      </c>
      <c r="H3697" s="51" t="str">
        <f t="shared" si="4"/>
        <v>₹45,763.74</v>
      </c>
      <c r="I3697" s="51" t="str">
        <f>132392.37-H3697</f>
        <v>₹86,628.63</v>
      </c>
    </row>
    <row r="3698" ht="15.75" customHeight="1">
      <c r="A3698" s="53" t="s">
        <v>3780</v>
      </c>
      <c r="B3698" s="53" t="s">
        <v>36</v>
      </c>
      <c r="C3698" s="53" t="s">
        <v>26</v>
      </c>
      <c r="D3698" s="54">
        <v>152568.98</v>
      </c>
      <c r="E3698" s="54" t="str">
        <f t="shared" si="1"/>
        <v>₹1,830,827.76</v>
      </c>
      <c r="F3698" s="55" t="str">
        <f t="shared" si="2"/>
        <v>30.0%</v>
      </c>
      <c r="G3698" s="54" t="str">
        <f t="shared" si="3"/>
        <v>₹549,248.33</v>
      </c>
      <c r="H3698" s="54" t="str">
        <f t="shared" si="4"/>
        <v>₹45,770.69</v>
      </c>
      <c r="I3698" s="54" t="str">
        <f>138374.62-H3698</f>
        <v>₹92,603.93</v>
      </c>
    </row>
    <row r="3699" ht="15.75" customHeight="1">
      <c r="A3699" s="50" t="s">
        <v>3781</v>
      </c>
      <c r="B3699" s="50" t="s">
        <v>17</v>
      </c>
      <c r="C3699" s="50" t="s">
        <v>37</v>
      </c>
      <c r="D3699" s="51">
        <v>152592.16</v>
      </c>
      <c r="E3699" s="51" t="str">
        <f t="shared" si="1"/>
        <v>₹1,831,105.92</v>
      </c>
      <c r="F3699" s="52" t="str">
        <f t="shared" si="2"/>
        <v>30.0%</v>
      </c>
      <c r="G3699" s="51" t="str">
        <f t="shared" si="3"/>
        <v>₹549,331.78</v>
      </c>
      <c r="H3699" s="51" t="str">
        <f t="shared" si="4"/>
        <v>₹45,777.65</v>
      </c>
      <c r="I3699" s="51" t="str">
        <f>132431.93-H3699</f>
        <v>₹86,654.28</v>
      </c>
    </row>
    <row r="3700" ht="15.75" customHeight="1">
      <c r="A3700" s="53" t="s">
        <v>3782</v>
      </c>
      <c r="B3700" s="53" t="s">
        <v>25</v>
      </c>
      <c r="C3700" s="53" t="s">
        <v>14</v>
      </c>
      <c r="D3700" s="54">
        <v>152615.34</v>
      </c>
      <c r="E3700" s="54" t="str">
        <f t="shared" si="1"/>
        <v>₹1,831,384.08</v>
      </c>
      <c r="F3700" s="55" t="str">
        <f t="shared" si="2"/>
        <v>30.0%</v>
      </c>
      <c r="G3700" s="54" t="str">
        <f t="shared" si="3"/>
        <v>₹549,415.22</v>
      </c>
      <c r="H3700" s="54" t="str">
        <f t="shared" si="4"/>
        <v>₹45,784.60</v>
      </c>
      <c r="I3700" s="54" t="str">
        <f>137980.9-H3700</f>
        <v>₹92,196.30</v>
      </c>
    </row>
    <row r="3701" ht="15.75" customHeight="1">
      <c r="A3701" s="50" t="s">
        <v>3783</v>
      </c>
      <c r="B3701" s="50" t="s">
        <v>25</v>
      </c>
      <c r="C3701" s="50" t="s">
        <v>18</v>
      </c>
      <c r="D3701" s="51">
        <v>152661.69</v>
      </c>
      <c r="E3701" s="51" t="str">
        <f t="shared" si="1"/>
        <v>₹1,831,940.28</v>
      </c>
      <c r="F3701" s="52" t="str">
        <f t="shared" si="2"/>
        <v>30.0%</v>
      </c>
      <c r="G3701" s="51" t="str">
        <f t="shared" si="3"/>
        <v>₹549,582.08</v>
      </c>
      <c r="H3701" s="51" t="str">
        <f t="shared" si="4"/>
        <v>₹45,798.51</v>
      </c>
      <c r="I3701" s="51" t="str">
        <f>132491.27-H3701</f>
        <v>₹86,692.76</v>
      </c>
    </row>
    <row r="3702" ht="15.75" customHeight="1">
      <c r="A3702" s="53" t="s">
        <v>3784</v>
      </c>
      <c r="B3702" s="53" t="s">
        <v>53</v>
      </c>
      <c r="C3702" s="53" t="s">
        <v>26</v>
      </c>
      <c r="D3702" s="54">
        <v>152684.87</v>
      </c>
      <c r="E3702" s="54" t="str">
        <f t="shared" si="1"/>
        <v>₹1,832,218.44</v>
      </c>
      <c r="F3702" s="55" t="str">
        <f t="shared" si="2"/>
        <v>30.0%</v>
      </c>
      <c r="G3702" s="54" t="str">
        <f t="shared" si="3"/>
        <v>₹549,665.53</v>
      </c>
      <c r="H3702" s="54" t="str">
        <f t="shared" si="4"/>
        <v>₹45,805.46</v>
      </c>
      <c r="I3702" s="54" t="str">
        <f>132511.05-H3702</f>
        <v>₹86,705.59</v>
      </c>
    </row>
    <row r="3703" ht="15.75" customHeight="1">
      <c r="A3703" s="50" t="s">
        <v>3785</v>
      </c>
      <c r="B3703" s="50" t="s">
        <v>29</v>
      </c>
      <c r="C3703" s="50" t="s">
        <v>26</v>
      </c>
      <c r="D3703" s="51">
        <v>152708.05</v>
      </c>
      <c r="E3703" s="51" t="str">
        <f t="shared" si="1"/>
        <v>₹1,832,496.60</v>
      </c>
      <c r="F3703" s="52" t="str">
        <f t="shared" si="2"/>
        <v>30.0%</v>
      </c>
      <c r="G3703" s="51" t="str">
        <f t="shared" si="3"/>
        <v>₹549,748.98</v>
      </c>
      <c r="H3703" s="51" t="str">
        <f t="shared" si="4"/>
        <v>₹45,812.42</v>
      </c>
      <c r="I3703" s="51" t="str">
        <f>132530.84-H3703</f>
        <v>₹86,718.43</v>
      </c>
    </row>
    <row r="3704" ht="15.75" customHeight="1">
      <c r="A3704" s="53" t="s">
        <v>3786</v>
      </c>
      <c r="B3704" s="53" t="s">
        <v>17</v>
      </c>
      <c r="C3704" s="53" t="s">
        <v>18</v>
      </c>
      <c r="D3704" s="54">
        <v>152731.22</v>
      </c>
      <c r="E3704" s="54" t="str">
        <f t="shared" si="1"/>
        <v>₹1,832,774.64</v>
      </c>
      <c r="F3704" s="55" t="str">
        <f t="shared" si="2"/>
        <v>30.0%</v>
      </c>
      <c r="G3704" s="54" t="str">
        <f t="shared" si="3"/>
        <v>₹549,832.39</v>
      </c>
      <c r="H3704" s="54" t="str">
        <f t="shared" si="4"/>
        <v>₹45,819.37</v>
      </c>
      <c r="I3704" s="54" t="str">
        <f>132550.61-H3704</f>
        <v>₹86,731.24</v>
      </c>
    </row>
    <row r="3705" ht="15.75" customHeight="1">
      <c r="A3705" s="50" t="s">
        <v>3787</v>
      </c>
      <c r="B3705" s="50" t="s">
        <v>36</v>
      </c>
      <c r="C3705" s="50" t="s">
        <v>37</v>
      </c>
      <c r="D3705" s="51">
        <v>152754.4</v>
      </c>
      <c r="E3705" s="51" t="str">
        <f t="shared" si="1"/>
        <v>₹1,833,052.80</v>
      </c>
      <c r="F3705" s="52" t="str">
        <f t="shared" si="2"/>
        <v>30.0%</v>
      </c>
      <c r="G3705" s="51" t="str">
        <f t="shared" si="3"/>
        <v>₹549,915.84</v>
      </c>
      <c r="H3705" s="51" t="str">
        <f t="shared" si="4"/>
        <v>₹45,826.32</v>
      </c>
      <c r="I3705" s="51" t="str">
        <f>132570.39-H3705</f>
        <v>₹86,744.07</v>
      </c>
    </row>
    <row r="3706" ht="15.75" customHeight="1">
      <c r="A3706" s="53" t="s">
        <v>3788</v>
      </c>
      <c r="B3706" s="53" t="s">
        <v>25</v>
      </c>
      <c r="C3706" s="53" t="s">
        <v>33</v>
      </c>
      <c r="D3706" s="54">
        <v>152777.58</v>
      </c>
      <c r="E3706" s="54" t="str">
        <f t="shared" si="1"/>
        <v>₹1,833,330.96</v>
      </c>
      <c r="F3706" s="55" t="str">
        <f t="shared" si="2"/>
        <v>30.0%</v>
      </c>
      <c r="G3706" s="54" t="str">
        <f t="shared" si="3"/>
        <v>₹549,999.29</v>
      </c>
      <c r="H3706" s="54" t="str">
        <f t="shared" si="4"/>
        <v>₹45,833.27</v>
      </c>
      <c r="I3706" s="54" t="str">
        <f>132590.17-H3706</f>
        <v>₹86,756.90</v>
      </c>
    </row>
    <row r="3707" ht="15.75" customHeight="1">
      <c r="A3707" s="50" t="s">
        <v>3789</v>
      </c>
      <c r="B3707" s="50" t="s">
        <v>25</v>
      </c>
      <c r="C3707" s="50" t="s">
        <v>14</v>
      </c>
      <c r="D3707" s="51">
        <v>152800.76</v>
      </c>
      <c r="E3707" s="51" t="str">
        <f t="shared" si="1"/>
        <v>₹1,833,609.12</v>
      </c>
      <c r="F3707" s="52" t="str">
        <f t="shared" si="2"/>
        <v>30.0%</v>
      </c>
      <c r="G3707" s="51" t="str">
        <f t="shared" si="3"/>
        <v>₹550,082.74</v>
      </c>
      <c r="H3707" s="51" t="str">
        <f t="shared" si="4"/>
        <v>₹45,840.23</v>
      </c>
      <c r="I3707" s="51" t="str">
        <f>132609.96-H3707</f>
        <v>₹86,769.73</v>
      </c>
    </row>
    <row r="3708" ht="15.75" customHeight="1">
      <c r="A3708" s="53" t="s">
        <v>3790</v>
      </c>
      <c r="B3708" s="53" t="s">
        <v>25</v>
      </c>
      <c r="C3708" s="53" t="s">
        <v>30</v>
      </c>
      <c r="D3708" s="54">
        <v>152823.93</v>
      </c>
      <c r="E3708" s="54" t="str">
        <f t="shared" si="1"/>
        <v>₹1,833,887.16</v>
      </c>
      <c r="F3708" s="55" t="str">
        <f t="shared" si="2"/>
        <v>30.0%</v>
      </c>
      <c r="G3708" s="54" t="str">
        <f t="shared" si="3"/>
        <v>₹550,166.15</v>
      </c>
      <c r="H3708" s="54" t="str">
        <f t="shared" si="4"/>
        <v>₹45,847.18</v>
      </c>
      <c r="I3708" s="54" t="str">
        <f>132629.73-H3708</f>
        <v>₹86,782.55</v>
      </c>
    </row>
    <row r="3709" ht="15.75" customHeight="1">
      <c r="A3709" s="50" t="s">
        <v>3791</v>
      </c>
      <c r="B3709" s="50" t="s">
        <v>53</v>
      </c>
      <c r="C3709" s="50" t="s">
        <v>14</v>
      </c>
      <c r="D3709" s="51">
        <v>152847.11</v>
      </c>
      <c r="E3709" s="51" t="str">
        <f t="shared" si="1"/>
        <v>₹1,834,165.32</v>
      </c>
      <c r="F3709" s="52" t="str">
        <f t="shared" si="2"/>
        <v>30.0%</v>
      </c>
      <c r="G3709" s="51" t="str">
        <f t="shared" si="3"/>
        <v>₹550,249.60</v>
      </c>
      <c r="H3709" s="51" t="str">
        <f t="shared" si="4"/>
        <v>₹45,854.13</v>
      </c>
      <c r="I3709" s="51" t="str">
        <f>132649.51-H3709</f>
        <v>₹86,795.38</v>
      </c>
    </row>
    <row r="3710" ht="15.75" customHeight="1">
      <c r="A3710" s="53" t="s">
        <v>3792</v>
      </c>
      <c r="B3710" s="53" t="s">
        <v>13</v>
      </c>
      <c r="C3710" s="53" t="s">
        <v>37</v>
      </c>
      <c r="D3710" s="54">
        <v>152893.47</v>
      </c>
      <c r="E3710" s="54" t="str">
        <f t="shared" si="1"/>
        <v>₹1,834,721.64</v>
      </c>
      <c r="F3710" s="55" t="str">
        <f t="shared" si="2"/>
        <v>30.0%</v>
      </c>
      <c r="G3710" s="54" t="str">
        <f t="shared" si="3"/>
        <v>₹550,416.49</v>
      </c>
      <c r="H3710" s="54" t="str">
        <f t="shared" si="4"/>
        <v>₹45,868.04</v>
      </c>
      <c r="I3710" s="54" t="str">
        <f>132689.08-H3710</f>
        <v>₹86,821.04</v>
      </c>
    </row>
    <row r="3711" ht="15.75" customHeight="1">
      <c r="A3711" s="50" t="s">
        <v>3793</v>
      </c>
      <c r="B3711" s="50" t="s">
        <v>53</v>
      </c>
      <c r="C3711" s="50" t="s">
        <v>54</v>
      </c>
      <c r="D3711" s="51">
        <v>152916.65</v>
      </c>
      <c r="E3711" s="51" t="str">
        <f t="shared" si="1"/>
        <v>₹1,834,999.80</v>
      </c>
      <c r="F3711" s="52" t="str">
        <f t="shared" si="2"/>
        <v>30.0%</v>
      </c>
      <c r="G3711" s="51" t="str">
        <f t="shared" si="3"/>
        <v>₹550,499.94</v>
      </c>
      <c r="H3711" s="51" t="str">
        <f t="shared" si="4"/>
        <v>₹45,875.00</v>
      </c>
      <c r="I3711" s="51" t="str">
        <f>132708.86-H3711</f>
        <v>₹86,833.87</v>
      </c>
    </row>
    <row r="3712" ht="15.75" customHeight="1">
      <c r="A3712" s="53" t="s">
        <v>3794</v>
      </c>
      <c r="B3712" s="53" t="s">
        <v>17</v>
      </c>
      <c r="C3712" s="53" t="s">
        <v>37</v>
      </c>
      <c r="D3712" s="54">
        <v>152939.82</v>
      </c>
      <c r="E3712" s="54" t="str">
        <f t="shared" si="1"/>
        <v>₹1,835,277.84</v>
      </c>
      <c r="F3712" s="55" t="str">
        <f t="shared" si="2"/>
        <v>30.0%</v>
      </c>
      <c r="G3712" s="54" t="str">
        <f t="shared" si="3"/>
        <v>₹550,583.35</v>
      </c>
      <c r="H3712" s="54" t="str">
        <f t="shared" si="4"/>
        <v>₹45,881.95</v>
      </c>
      <c r="I3712" s="54" t="str">
        <f>132728.63-H3712</f>
        <v>₹86,846.68</v>
      </c>
    </row>
    <row r="3713" ht="15.75" customHeight="1">
      <c r="A3713" s="50" t="s">
        <v>3795</v>
      </c>
      <c r="B3713" s="50" t="s">
        <v>25</v>
      </c>
      <c r="C3713" s="50" t="s">
        <v>37</v>
      </c>
      <c r="D3713" s="51">
        <v>152963.0</v>
      </c>
      <c r="E3713" s="51" t="str">
        <f t="shared" si="1"/>
        <v>₹1,835,556.00</v>
      </c>
      <c r="F3713" s="52" t="str">
        <f t="shared" si="2"/>
        <v>30.0%</v>
      </c>
      <c r="G3713" s="51" t="str">
        <f t="shared" si="3"/>
        <v>₹550,666.80</v>
      </c>
      <c r="H3713" s="51" t="str">
        <f t="shared" si="4"/>
        <v>₹45,888.90</v>
      </c>
      <c r="I3713" s="51" t="str">
        <f>132748.41-H3713</f>
        <v>₹86,859.51</v>
      </c>
    </row>
    <row r="3714" ht="15.75" customHeight="1">
      <c r="A3714" s="53" t="s">
        <v>3796</v>
      </c>
      <c r="B3714" s="53" t="s">
        <v>13</v>
      </c>
      <c r="C3714" s="53" t="s">
        <v>30</v>
      </c>
      <c r="D3714" s="54">
        <v>152986.18</v>
      </c>
      <c r="E3714" s="54" t="str">
        <f t="shared" si="1"/>
        <v>₹1,835,834.16</v>
      </c>
      <c r="F3714" s="55" t="str">
        <f t="shared" si="2"/>
        <v>30.0%</v>
      </c>
      <c r="G3714" s="54" t="str">
        <f t="shared" si="3"/>
        <v>₹550,750.25</v>
      </c>
      <c r="H3714" s="54" t="str">
        <f t="shared" si="4"/>
        <v>₹45,895.85</v>
      </c>
      <c r="I3714" s="54" t="str">
        <f>138658.8-H3714</f>
        <v>₹92,762.95</v>
      </c>
    </row>
    <row r="3715" ht="15.75" customHeight="1">
      <c r="A3715" s="50" t="s">
        <v>3797</v>
      </c>
      <c r="B3715" s="50" t="s">
        <v>51</v>
      </c>
      <c r="C3715" s="50" t="s">
        <v>26</v>
      </c>
      <c r="D3715" s="51">
        <v>153009.36</v>
      </c>
      <c r="E3715" s="51" t="str">
        <f t="shared" si="1"/>
        <v>₹1,836,112.32</v>
      </c>
      <c r="F3715" s="52" t="str">
        <f t="shared" si="2"/>
        <v>30.0%</v>
      </c>
      <c r="G3715" s="51" t="str">
        <f t="shared" si="3"/>
        <v>₹550,833.70</v>
      </c>
      <c r="H3715" s="51" t="str">
        <f t="shared" si="4"/>
        <v>₹45,902.81</v>
      </c>
      <c r="I3715" s="51" t="str">
        <f>132787.98-H3715</f>
        <v>₹86,885.17</v>
      </c>
    </row>
    <row r="3716" ht="15.75" customHeight="1">
      <c r="A3716" s="53" t="s">
        <v>3798</v>
      </c>
      <c r="B3716" s="53" t="s">
        <v>51</v>
      </c>
      <c r="C3716" s="53" t="s">
        <v>18</v>
      </c>
      <c r="D3716" s="54">
        <v>153032.53</v>
      </c>
      <c r="E3716" s="54" t="str">
        <f t="shared" si="1"/>
        <v>₹1,836,390.36</v>
      </c>
      <c r="F3716" s="55" t="str">
        <f t="shared" si="2"/>
        <v>30.0%</v>
      </c>
      <c r="G3716" s="54" t="str">
        <f t="shared" si="3"/>
        <v>₹550,917.11</v>
      </c>
      <c r="H3716" s="54" t="str">
        <f t="shared" si="4"/>
        <v>₹45,909.76</v>
      </c>
      <c r="I3716" s="54" t="str">
        <f>132807.75-H3716</f>
        <v>₹86,897.99</v>
      </c>
    </row>
    <row r="3717" ht="15.75" customHeight="1">
      <c r="A3717" s="50" t="s">
        <v>3799</v>
      </c>
      <c r="B3717" s="50" t="s">
        <v>29</v>
      </c>
      <c r="C3717" s="50" t="s">
        <v>30</v>
      </c>
      <c r="D3717" s="51">
        <v>153055.71</v>
      </c>
      <c r="E3717" s="51" t="str">
        <f t="shared" si="1"/>
        <v>₹1,836,668.52</v>
      </c>
      <c r="F3717" s="52" t="str">
        <f t="shared" si="2"/>
        <v>30.0%</v>
      </c>
      <c r="G3717" s="51" t="str">
        <f t="shared" si="3"/>
        <v>₹551,000.56</v>
      </c>
      <c r="H3717" s="51" t="str">
        <f t="shared" si="4"/>
        <v>₹45,916.71</v>
      </c>
      <c r="I3717" s="51" t="str">
        <f>132827.53-H3717</f>
        <v>₹86,910.82</v>
      </c>
    </row>
    <row r="3718" ht="15.75" customHeight="1">
      <c r="A3718" s="53" t="s">
        <v>3800</v>
      </c>
      <c r="B3718" s="53" t="s">
        <v>53</v>
      </c>
      <c r="C3718" s="53" t="s">
        <v>18</v>
      </c>
      <c r="D3718" s="54">
        <v>153078.89</v>
      </c>
      <c r="E3718" s="54" t="str">
        <f t="shared" si="1"/>
        <v>₹1,836,946.68</v>
      </c>
      <c r="F3718" s="55" t="str">
        <f t="shared" si="2"/>
        <v>30.0%</v>
      </c>
      <c r="G3718" s="54" t="str">
        <f t="shared" si="3"/>
        <v>₹551,084.00</v>
      </c>
      <c r="H3718" s="54" t="str">
        <f t="shared" si="4"/>
        <v>₹45,923.67</v>
      </c>
      <c r="I3718" s="54" t="str">
        <f>132847.31-H3718</f>
        <v>₹86,923.64</v>
      </c>
    </row>
    <row r="3719" ht="15.75" customHeight="1">
      <c r="A3719" s="50" t="s">
        <v>3801</v>
      </c>
      <c r="B3719" s="50" t="s">
        <v>51</v>
      </c>
      <c r="C3719" s="50" t="s">
        <v>30</v>
      </c>
      <c r="D3719" s="51">
        <v>153102.07</v>
      </c>
      <c r="E3719" s="51" t="str">
        <f t="shared" si="1"/>
        <v>₹1,837,224.84</v>
      </c>
      <c r="F3719" s="52" t="str">
        <f t="shared" si="2"/>
        <v>30.0%</v>
      </c>
      <c r="G3719" s="51" t="str">
        <f t="shared" si="3"/>
        <v>₹551,167.45</v>
      </c>
      <c r="H3719" s="51" t="str">
        <f t="shared" si="4"/>
        <v>₹45,930.62</v>
      </c>
      <c r="I3719" s="51" t="str">
        <f>132867.1-H3719</f>
        <v>₹86,936.48</v>
      </c>
    </row>
    <row r="3720" ht="15.75" customHeight="1">
      <c r="A3720" s="53" t="s">
        <v>3802</v>
      </c>
      <c r="B3720" s="53" t="s">
        <v>29</v>
      </c>
      <c r="C3720" s="53" t="s">
        <v>14</v>
      </c>
      <c r="D3720" s="54">
        <v>153125.24</v>
      </c>
      <c r="E3720" s="54" t="str">
        <f t="shared" si="1"/>
        <v>₹1,837,502.88</v>
      </c>
      <c r="F3720" s="55" t="str">
        <f t="shared" si="2"/>
        <v>30.0%</v>
      </c>
      <c r="G3720" s="54" t="str">
        <f t="shared" si="3"/>
        <v>₹551,250.86</v>
      </c>
      <c r="H3720" s="54" t="str">
        <f t="shared" si="4"/>
        <v>₹45,937.57</v>
      </c>
      <c r="I3720" s="54" t="str">
        <f>132886.87-H3720</f>
        <v>₹86,949.30</v>
      </c>
    </row>
    <row r="3721" ht="15.75" customHeight="1">
      <c r="A3721" s="50" t="s">
        <v>3803</v>
      </c>
      <c r="B3721" s="50" t="s">
        <v>36</v>
      </c>
      <c r="C3721" s="50" t="s">
        <v>54</v>
      </c>
      <c r="D3721" s="51">
        <v>153148.42</v>
      </c>
      <c r="E3721" s="51" t="str">
        <f t="shared" si="1"/>
        <v>₹1,837,781.04</v>
      </c>
      <c r="F3721" s="52" t="str">
        <f t="shared" si="2"/>
        <v>30.0%</v>
      </c>
      <c r="G3721" s="51" t="str">
        <f t="shared" si="3"/>
        <v>₹551,334.31</v>
      </c>
      <c r="H3721" s="51" t="str">
        <f t="shared" si="4"/>
        <v>₹45,944.53</v>
      </c>
      <c r="I3721" s="51" t="str">
        <f>132906.65-H3721</f>
        <v>₹86,962.12</v>
      </c>
    </row>
    <row r="3722" ht="15.75" customHeight="1">
      <c r="A3722" s="53" t="s">
        <v>3804</v>
      </c>
      <c r="B3722" s="53" t="s">
        <v>29</v>
      </c>
      <c r="C3722" s="53" t="s">
        <v>26</v>
      </c>
      <c r="D3722" s="54">
        <v>153171.6</v>
      </c>
      <c r="E3722" s="54" t="str">
        <f t="shared" si="1"/>
        <v>₹1,838,059.20</v>
      </c>
      <c r="F3722" s="55" t="str">
        <f t="shared" si="2"/>
        <v>30.0%</v>
      </c>
      <c r="G3722" s="54" t="str">
        <f t="shared" si="3"/>
        <v>₹551,417.76</v>
      </c>
      <c r="H3722" s="54" t="str">
        <f t="shared" si="4"/>
        <v>₹45,951.48</v>
      </c>
      <c r="I3722" s="54" t="str">
        <f>132926.43-H3722</f>
        <v>₹86,974.95</v>
      </c>
    </row>
    <row r="3723" ht="15.75" customHeight="1">
      <c r="A3723" s="50" t="s">
        <v>3805</v>
      </c>
      <c r="B3723" s="50" t="s">
        <v>53</v>
      </c>
      <c r="C3723" s="50" t="s">
        <v>26</v>
      </c>
      <c r="D3723" s="51">
        <v>153194.78</v>
      </c>
      <c r="E3723" s="51" t="str">
        <f t="shared" si="1"/>
        <v>₹1,838,337.36</v>
      </c>
      <c r="F3723" s="52" t="str">
        <f t="shared" si="2"/>
        <v>30.0%</v>
      </c>
      <c r="G3723" s="51" t="str">
        <f t="shared" si="3"/>
        <v>₹551,501.21</v>
      </c>
      <c r="H3723" s="51" t="str">
        <f t="shared" si="4"/>
        <v>₹45,958.43</v>
      </c>
      <c r="I3723" s="51" t="str">
        <f>132946.22-H3723</f>
        <v>₹86,987.79</v>
      </c>
    </row>
    <row r="3724" ht="15.75" customHeight="1">
      <c r="A3724" s="53" t="s">
        <v>3806</v>
      </c>
      <c r="B3724" s="53" t="s">
        <v>17</v>
      </c>
      <c r="C3724" s="53" t="s">
        <v>33</v>
      </c>
      <c r="D3724" s="54">
        <v>153241.13</v>
      </c>
      <c r="E3724" s="54" t="str">
        <f t="shared" si="1"/>
        <v>₹1,838,893.56</v>
      </c>
      <c r="F3724" s="55" t="str">
        <f t="shared" si="2"/>
        <v>30.0%</v>
      </c>
      <c r="G3724" s="54" t="str">
        <f t="shared" si="3"/>
        <v>₹551,668.07</v>
      </c>
      <c r="H3724" s="54" t="str">
        <f t="shared" si="4"/>
        <v>₹45,972.34</v>
      </c>
      <c r="I3724" s="54" t="str">
        <f>132985.77-H3724</f>
        <v>₹87,013.43</v>
      </c>
    </row>
    <row r="3725" ht="15.75" customHeight="1">
      <c r="A3725" s="50" t="s">
        <v>3807</v>
      </c>
      <c r="B3725" s="50" t="s">
        <v>53</v>
      </c>
      <c r="C3725" s="50" t="s">
        <v>30</v>
      </c>
      <c r="D3725" s="51">
        <v>153287.49</v>
      </c>
      <c r="E3725" s="51" t="str">
        <f t="shared" si="1"/>
        <v>₹1,839,449.88</v>
      </c>
      <c r="F3725" s="52" t="str">
        <f t="shared" si="2"/>
        <v>30.0%</v>
      </c>
      <c r="G3725" s="51" t="str">
        <f t="shared" si="3"/>
        <v>₹551,834.96</v>
      </c>
      <c r="H3725" s="51" t="str">
        <f t="shared" si="4"/>
        <v>₹45,986.25</v>
      </c>
      <c r="I3725" s="51" t="str">
        <f>133025.34-H3725</f>
        <v>₹87,039.09</v>
      </c>
    </row>
    <row r="3726" ht="15.75" customHeight="1">
      <c r="A3726" s="53" t="s">
        <v>3808</v>
      </c>
      <c r="B3726" s="53" t="s">
        <v>13</v>
      </c>
      <c r="C3726" s="53" t="s">
        <v>33</v>
      </c>
      <c r="D3726" s="54">
        <v>153310.67</v>
      </c>
      <c r="E3726" s="54" t="str">
        <f t="shared" si="1"/>
        <v>₹1,839,728.04</v>
      </c>
      <c r="F3726" s="55" t="str">
        <f t="shared" si="2"/>
        <v>30.0%</v>
      </c>
      <c r="G3726" s="54" t="str">
        <f t="shared" si="3"/>
        <v>₹551,918.41</v>
      </c>
      <c r="H3726" s="54" t="str">
        <f t="shared" si="4"/>
        <v>₹45,993.20</v>
      </c>
      <c r="I3726" s="54" t="str">
        <f>133045.12-H3726</f>
        <v>₹87,051.92</v>
      </c>
    </row>
    <row r="3727" ht="15.75" customHeight="1">
      <c r="A3727" s="50" t="s">
        <v>3809</v>
      </c>
      <c r="B3727" s="50" t="s">
        <v>29</v>
      </c>
      <c r="C3727" s="50" t="s">
        <v>37</v>
      </c>
      <c r="D3727" s="51">
        <v>153333.84</v>
      </c>
      <c r="E3727" s="51" t="str">
        <f t="shared" si="1"/>
        <v>₹1,840,006.08</v>
      </c>
      <c r="F3727" s="52" t="str">
        <f t="shared" si="2"/>
        <v>30.0%</v>
      </c>
      <c r="G3727" s="51" t="str">
        <f t="shared" si="3"/>
        <v>₹552,001.82</v>
      </c>
      <c r="H3727" s="51" t="str">
        <f t="shared" si="4"/>
        <v>₹46,000.15</v>
      </c>
      <c r="I3727" s="51" t="str">
        <f>133064.89-H3727</f>
        <v>₹87,064.74</v>
      </c>
    </row>
    <row r="3728" ht="15.75" customHeight="1">
      <c r="A3728" s="53" t="s">
        <v>3810</v>
      </c>
      <c r="B3728" s="53" t="s">
        <v>36</v>
      </c>
      <c r="C3728" s="53" t="s">
        <v>33</v>
      </c>
      <c r="D3728" s="54">
        <v>153357.02</v>
      </c>
      <c r="E3728" s="54" t="str">
        <f t="shared" si="1"/>
        <v>₹1,840,284.24</v>
      </c>
      <c r="F3728" s="55" t="str">
        <f t="shared" si="2"/>
        <v>30.0%</v>
      </c>
      <c r="G3728" s="54" t="str">
        <f t="shared" si="3"/>
        <v>₹552,085.27</v>
      </c>
      <c r="H3728" s="54" t="str">
        <f t="shared" si="4"/>
        <v>₹46,007.11</v>
      </c>
      <c r="I3728" s="54" t="str">
        <f>133084.67-H3728</f>
        <v>₹87,077.56</v>
      </c>
    </row>
    <row r="3729" ht="15.75" customHeight="1">
      <c r="A3729" s="50" t="s">
        <v>3811</v>
      </c>
      <c r="B3729" s="50" t="s">
        <v>29</v>
      </c>
      <c r="C3729" s="50" t="s">
        <v>30</v>
      </c>
      <c r="D3729" s="51">
        <v>153380.2</v>
      </c>
      <c r="E3729" s="51" t="str">
        <f t="shared" si="1"/>
        <v>₹1,840,562.40</v>
      </c>
      <c r="F3729" s="52" t="str">
        <f t="shared" si="2"/>
        <v>30.0%</v>
      </c>
      <c r="G3729" s="51" t="str">
        <f t="shared" si="3"/>
        <v>₹552,168.72</v>
      </c>
      <c r="H3729" s="51" t="str">
        <f t="shared" si="4"/>
        <v>₹46,014.06</v>
      </c>
      <c r="I3729" s="51" t="str">
        <f>133104.46-H3729</f>
        <v>₹87,090.40</v>
      </c>
    </row>
    <row r="3730" ht="15.75" customHeight="1">
      <c r="A3730" s="53" t="s">
        <v>3812</v>
      </c>
      <c r="B3730" s="53" t="s">
        <v>13</v>
      </c>
      <c r="C3730" s="53" t="s">
        <v>26</v>
      </c>
      <c r="D3730" s="54">
        <v>153403.38</v>
      </c>
      <c r="E3730" s="54" t="str">
        <f t="shared" si="1"/>
        <v>₹1,840,840.56</v>
      </c>
      <c r="F3730" s="55" t="str">
        <f t="shared" si="2"/>
        <v>30.0%</v>
      </c>
      <c r="G3730" s="54" t="str">
        <f t="shared" si="3"/>
        <v>₹552,252.17</v>
      </c>
      <c r="H3730" s="54" t="str">
        <f t="shared" si="4"/>
        <v>₹46,021.01</v>
      </c>
      <c r="I3730" s="54" t="str">
        <f>133124.24-H3730</f>
        <v>₹87,103.23</v>
      </c>
    </row>
    <row r="3731" ht="15.75" customHeight="1">
      <c r="A3731" s="50" t="s">
        <v>3813</v>
      </c>
      <c r="B3731" s="50" t="s">
        <v>25</v>
      </c>
      <c r="C3731" s="50" t="s">
        <v>37</v>
      </c>
      <c r="D3731" s="51">
        <v>153426.55</v>
      </c>
      <c r="E3731" s="51" t="str">
        <f t="shared" si="1"/>
        <v>₹1,841,118.60</v>
      </c>
      <c r="F3731" s="52" t="str">
        <f t="shared" si="2"/>
        <v>30.0%</v>
      </c>
      <c r="G3731" s="51" t="str">
        <f t="shared" si="3"/>
        <v>₹552,335.58</v>
      </c>
      <c r="H3731" s="51" t="str">
        <f t="shared" si="4"/>
        <v>₹46,027.97</v>
      </c>
      <c r="I3731" s="51" t="str">
        <f>133144.01-H3731</f>
        <v>₹87,116.05</v>
      </c>
    </row>
    <row r="3732" ht="15.75" customHeight="1">
      <c r="A3732" s="53" t="s">
        <v>3814</v>
      </c>
      <c r="B3732" s="53" t="s">
        <v>36</v>
      </c>
      <c r="C3732" s="53" t="s">
        <v>14</v>
      </c>
      <c r="D3732" s="54">
        <v>153449.73</v>
      </c>
      <c r="E3732" s="54" t="str">
        <f t="shared" si="1"/>
        <v>₹1,841,396.76</v>
      </c>
      <c r="F3732" s="55" t="str">
        <f t="shared" si="2"/>
        <v>30.0%</v>
      </c>
      <c r="G3732" s="54" t="str">
        <f t="shared" si="3"/>
        <v>₹552,419.03</v>
      </c>
      <c r="H3732" s="54" t="str">
        <f t="shared" si="4"/>
        <v>₹46,034.92</v>
      </c>
      <c r="I3732" s="54" t="str">
        <f>133163.79-H3732</f>
        <v>₹87,128.87</v>
      </c>
    </row>
    <row r="3733" ht="15.75" customHeight="1">
      <c r="A3733" s="50" t="s">
        <v>3815</v>
      </c>
      <c r="B3733" s="50" t="s">
        <v>36</v>
      </c>
      <c r="C3733" s="50" t="s">
        <v>14</v>
      </c>
      <c r="D3733" s="51">
        <v>153472.91</v>
      </c>
      <c r="E3733" s="51" t="str">
        <f t="shared" si="1"/>
        <v>₹1,841,674.92</v>
      </c>
      <c r="F3733" s="52" t="str">
        <f t="shared" si="2"/>
        <v>30.0%</v>
      </c>
      <c r="G3733" s="51" t="str">
        <f t="shared" si="3"/>
        <v>₹552,502.48</v>
      </c>
      <c r="H3733" s="51" t="str">
        <f t="shared" si="4"/>
        <v>₹46,041.87</v>
      </c>
      <c r="I3733" s="51" t="str">
        <f>133183.58-H3733</f>
        <v>₹87,141.71</v>
      </c>
    </row>
    <row r="3734" ht="15.75" customHeight="1">
      <c r="A3734" s="53" t="s">
        <v>3816</v>
      </c>
      <c r="B3734" s="53" t="s">
        <v>29</v>
      </c>
      <c r="C3734" s="53" t="s">
        <v>26</v>
      </c>
      <c r="D3734" s="54">
        <v>153496.09</v>
      </c>
      <c r="E3734" s="54" t="str">
        <f t="shared" si="1"/>
        <v>₹1,841,953.08</v>
      </c>
      <c r="F3734" s="55" t="str">
        <f t="shared" si="2"/>
        <v>30.0%</v>
      </c>
      <c r="G3734" s="54" t="str">
        <f t="shared" si="3"/>
        <v>₹552,585.92</v>
      </c>
      <c r="H3734" s="54" t="str">
        <f t="shared" si="4"/>
        <v>₹46,048.83</v>
      </c>
      <c r="I3734" s="54" t="str">
        <f>133203.36-H3734</f>
        <v>₹87,154.53</v>
      </c>
    </row>
    <row r="3735" ht="15.75" customHeight="1">
      <c r="A3735" s="50" t="s">
        <v>3817</v>
      </c>
      <c r="B3735" s="50" t="s">
        <v>13</v>
      </c>
      <c r="C3735" s="50" t="s">
        <v>26</v>
      </c>
      <c r="D3735" s="51">
        <v>153519.27</v>
      </c>
      <c r="E3735" s="51" t="str">
        <f t="shared" si="1"/>
        <v>₹1,842,231.24</v>
      </c>
      <c r="F3735" s="52" t="str">
        <f t="shared" si="2"/>
        <v>30.0%</v>
      </c>
      <c r="G3735" s="51" t="str">
        <f t="shared" si="3"/>
        <v>₹552,669.37</v>
      </c>
      <c r="H3735" s="51" t="str">
        <f t="shared" si="4"/>
        <v>₹46,055.78</v>
      </c>
      <c r="I3735" s="51" t="str">
        <f>133223.14-H3735</f>
        <v>₹87,167.36</v>
      </c>
    </row>
    <row r="3736" ht="15.75" customHeight="1">
      <c r="A3736" s="53" t="s">
        <v>3818</v>
      </c>
      <c r="B3736" s="53" t="s">
        <v>51</v>
      </c>
      <c r="C3736" s="53" t="s">
        <v>54</v>
      </c>
      <c r="D3736" s="54">
        <v>153542.44</v>
      </c>
      <c r="E3736" s="54" t="str">
        <f t="shared" si="1"/>
        <v>₹1,842,509.28</v>
      </c>
      <c r="F3736" s="55" t="str">
        <f t="shared" si="2"/>
        <v>30.0%</v>
      </c>
      <c r="G3736" s="54" t="str">
        <f t="shared" si="3"/>
        <v>₹552,752.78</v>
      </c>
      <c r="H3736" s="54" t="str">
        <f t="shared" si="4"/>
        <v>₹46,062.73</v>
      </c>
      <c r="I3736" s="54" t="str">
        <f>133242.91-H3736</f>
        <v>₹87,180.18</v>
      </c>
    </row>
    <row r="3737" ht="15.75" customHeight="1">
      <c r="A3737" s="50" t="s">
        <v>3819</v>
      </c>
      <c r="B3737" s="50" t="s">
        <v>17</v>
      </c>
      <c r="C3737" s="50" t="s">
        <v>18</v>
      </c>
      <c r="D3737" s="51">
        <v>153565.62</v>
      </c>
      <c r="E3737" s="51" t="str">
        <f t="shared" si="1"/>
        <v>₹1,842,787.44</v>
      </c>
      <c r="F3737" s="52" t="str">
        <f t="shared" si="2"/>
        <v>30.0%</v>
      </c>
      <c r="G3737" s="51" t="str">
        <f t="shared" si="3"/>
        <v>₹552,836.23</v>
      </c>
      <c r="H3737" s="51" t="str">
        <f t="shared" si="4"/>
        <v>₹46,069.69</v>
      </c>
      <c r="I3737" s="51" t="str">
        <f>133262.7-H3737</f>
        <v>₹87,193.01</v>
      </c>
    </row>
    <row r="3738" ht="15.75" customHeight="1">
      <c r="A3738" s="53" t="s">
        <v>3820</v>
      </c>
      <c r="B3738" s="53" t="s">
        <v>51</v>
      </c>
      <c r="C3738" s="53" t="s">
        <v>37</v>
      </c>
      <c r="D3738" s="54">
        <v>153588.8</v>
      </c>
      <c r="E3738" s="54" t="str">
        <f t="shared" si="1"/>
        <v>₹1,843,065.60</v>
      </c>
      <c r="F3738" s="55" t="str">
        <f t="shared" si="2"/>
        <v>30.0%</v>
      </c>
      <c r="G3738" s="54" t="str">
        <f t="shared" si="3"/>
        <v>₹552,919.68</v>
      </c>
      <c r="H3738" s="54" t="str">
        <f t="shared" si="4"/>
        <v>₹46,076.64</v>
      </c>
      <c r="I3738" s="54" t="str">
        <f>133282.48-H3738</f>
        <v>₹87,205.84</v>
      </c>
    </row>
    <row r="3739" ht="15.75" customHeight="1">
      <c r="A3739" s="50" t="s">
        <v>3821</v>
      </c>
      <c r="B3739" s="50" t="s">
        <v>13</v>
      </c>
      <c r="C3739" s="50" t="s">
        <v>26</v>
      </c>
      <c r="D3739" s="51">
        <v>153611.98</v>
      </c>
      <c r="E3739" s="51" t="str">
        <f t="shared" si="1"/>
        <v>₹1,843,343.76</v>
      </c>
      <c r="F3739" s="52" t="str">
        <f t="shared" si="2"/>
        <v>30.0%</v>
      </c>
      <c r="G3739" s="51" t="str">
        <f t="shared" si="3"/>
        <v>₹553,003.13</v>
      </c>
      <c r="H3739" s="51" t="str">
        <f t="shared" si="4"/>
        <v>₹46,083.59</v>
      </c>
      <c r="I3739" s="51" t="str">
        <f>133302.26-H3739</f>
        <v>₹87,218.67</v>
      </c>
    </row>
    <row r="3740" ht="15.75" customHeight="1">
      <c r="A3740" s="53" t="s">
        <v>3822</v>
      </c>
      <c r="B3740" s="53" t="s">
        <v>51</v>
      </c>
      <c r="C3740" s="53" t="s">
        <v>30</v>
      </c>
      <c r="D3740" s="54">
        <v>134567.22</v>
      </c>
      <c r="E3740" s="54" t="str">
        <f t="shared" si="1"/>
        <v>₹1,614,806.64</v>
      </c>
      <c r="F3740" s="55" t="str">
        <f t="shared" si="2"/>
        <v>30.0%</v>
      </c>
      <c r="G3740" s="54" t="str">
        <f t="shared" si="3"/>
        <v>₹484,441.99</v>
      </c>
      <c r="H3740" s="54" t="str">
        <f t="shared" si="4"/>
        <v>₹40,370.17</v>
      </c>
      <c r="I3740" s="54" t="str">
        <f>114254.1-H3740</f>
        <v>₹73,883.93</v>
      </c>
    </row>
    <row r="3741" ht="15.75" customHeight="1">
      <c r="A3741" s="50" t="s">
        <v>3823</v>
      </c>
      <c r="B3741" s="50" t="s">
        <v>51</v>
      </c>
      <c r="C3741" s="50" t="s">
        <v>18</v>
      </c>
      <c r="D3741" s="51">
        <v>153658.33</v>
      </c>
      <c r="E3741" s="51" t="str">
        <f t="shared" si="1"/>
        <v>₹1,843,899.96</v>
      </c>
      <c r="F3741" s="52" t="str">
        <f t="shared" si="2"/>
        <v>30.0%</v>
      </c>
      <c r="G3741" s="51" t="str">
        <f t="shared" si="3"/>
        <v>₹553,169.99</v>
      </c>
      <c r="H3741" s="51" t="str">
        <f t="shared" si="4"/>
        <v>₹46,097.50</v>
      </c>
      <c r="I3741" s="51" t="str">
        <f>133341.82-H3741</f>
        <v>₹87,244.32</v>
      </c>
    </row>
    <row r="3742" ht="15.75" customHeight="1">
      <c r="A3742" s="53" t="s">
        <v>3824</v>
      </c>
      <c r="B3742" s="53" t="s">
        <v>36</v>
      </c>
      <c r="C3742" s="53" t="s">
        <v>33</v>
      </c>
      <c r="D3742" s="54">
        <v>153681.51</v>
      </c>
      <c r="E3742" s="54" t="str">
        <f t="shared" si="1"/>
        <v>₹1,844,178.12</v>
      </c>
      <c r="F3742" s="55" t="str">
        <f t="shared" si="2"/>
        <v>30.0%</v>
      </c>
      <c r="G3742" s="54" t="str">
        <f t="shared" si="3"/>
        <v>₹553,253.44</v>
      </c>
      <c r="H3742" s="54" t="str">
        <f t="shared" si="4"/>
        <v>₹46,104.45</v>
      </c>
      <c r="I3742" s="54" t="str">
        <f>133361.6-H3742</f>
        <v>₹87,257.15</v>
      </c>
    </row>
    <row r="3743" ht="15.75" customHeight="1">
      <c r="A3743" s="50" t="s">
        <v>3825</v>
      </c>
      <c r="B3743" s="50" t="s">
        <v>29</v>
      </c>
      <c r="C3743" s="50" t="s">
        <v>18</v>
      </c>
      <c r="D3743" s="51">
        <v>153704.69</v>
      </c>
      <c r="E3743" s="51" t="str">
        <f t="shared" si="1"/>
        <v>₹1,844,456.28</v>
      </c>
      <c r="F3743" s="52" t="str">
        <f t="shared" si="2"/>
        <v>30.0%</v>
      </c>
      <c r="G3743" s="51" t="str">
        <f t="shared" si="3"/>
        <v>₹553,336.88</v>
      </c>
      <c r="H3743" s="51" t="str">
        <f t="shared" si="4"/>
        <v>₹46,111.41</v>
      </c>
      <c r="I3743" s="51" t="str">
        <f>133381.38-H3743</f>
        <v>₹87,269.97</v>
      </c>
    </row>
    <row r="3744" ht="15.75" customHeight="1">
      <c r="A3744" s="53" t="s">
        <v>3826</v>
      </c>
      <c r="B3744" s="53" t="s">
        <v>29</v>
      </c>
      <c r="C3744" s="53" t="s">
        <v>30</v>
      </c>
      <c r="D3744" s="54">
        <v>153727.86</v>
      </c>
      <c r="E3744" s="54" t="str">
        <f t="shared" si="1"/>
        <v>₹1,844,734.32</v>
      </c>
      <c r="F3744" s="55" t="str">
        <f t="shared" si="2"/>
        <v>30.0%</v>
      </c>
      <c r="G3744" s="54" t="str">
        <f t="shared" si="3"/>
        <v>₹553,420.30</v>
      </c>
      <c r="H3744" s="54" t="str">
        <f t="shared" si="4"/>
        <v>₹46,118.36</v>
      </c>
      <c r="I3744" s="54" t="str">
        <f>133401.15-H3744</f>
        <v>₹87,282.79</v>
      </c>
    </row>
    <row r="3745" ht="15.75" customHeight="1">
      <c r="A3745" s="50" t="s">
        <v>3827</v>
      </c>
      <c r="B3745" s="50" t="s">
        <v>51</v>
      </c>
      <c r="C3745" s="50" t="s">
        <v>37</v>
      </c>
      <c r="D3745" s="51">
        <v>153751.04</v>
      </c>
      <c r="E3745" s="51" t="str">
        <f t="shared" si="1"/>
        <v>₹1,845,012.48</v>
      </c>
      <c r="F3745" s="52" t="str">
        <f t="shared" si="2"/>
        <v>30.0%</v>
      </c>
      <c r="G3745" s="51" t="str">
        <f t="shared" si="3"/>
        <v>₹553,503.74</v>
      </c>
      <c r="H3745" s="51" t="str">
        <f t="shared" si="4"/>
        <v>₹46,125.31</v>
      </c>
      <c r="I3745" s="51" t="str">
        <f>133420.94-H3745</f>
        <v>₹87,295.63</v>
      </c>
    </row>
    <row r="3746" ht="15.75" customHeight="1">
      <c r="A3746" s="53" t="s">
        <v>3828</v>
      </c>
      <c r="B3746" s="53" t="s">
        <v>53</v>
      </c>
      <c r="C3746" s="53" t="s">
        <v>33</v>
      </c>
      <c r="D3746" s="54">
        <v>153774.22</v>
      </c>
      <c r="E3746" s="54" t="str">
        <f t="shared" si="1"/>
        <v>₹1,845,290.64</v>
      </c>
      <c r="F3746" s="55" t="str">
        <f t="shared" si="2"/>
        <v>30.0%</v>
      </c>
      <c r="G3746" s="54" t="str">
        <f t="shared" si="3"/>
        <v>₹553,587.19</v>
      </c>
      <c r="H3746" s="54" t="str">
        <f t="shared" si="4"/>
        <v>₹46,132.27</v>
      </c>
      <c r="I3746" s="54" t="str">
        <f>133440.72-H3746</f>
        <v>₹87,308.45</v>
      </c>
    </row>
    <row r="3747" ht="15.75" customHeight="1">
      <c r="A3747" s="50" t="s">
        <v>3829</v>
      </c>
      <c r="B3747" s="50" t="s">
        <v>29</v>
      </c>
      <c r="C3747" s="50" t="s">
        <v>33</v>
      </c>
      <c r="D3747" s="51">
        <v>153797.4</v>
      </c>
      <c r="E3747" s="51" t="str">
        <f t="shared" si="1"/>
        <v>₹1,845,568.80</v>
      </c>
      <c r="F3747" s="52" t="str">
        <f t="shared" si="2"/>
        <v>30.0%</v>
      </c>
      <c r="G3747" s="51" t="str">
        <f t="shared" si="3"/>
        <v>₹553,670.64</v>
      </c>
      <c r="H3747" s="51" t="str">
        <f t="shared" si="4"/>
        <v>₹46,139.22</v>
      </c>
      <c r="I3747" s="51" t="str">
        <f>133460.5-H3747</f>
        <v>₹87,321.28</v>
      </c>
    </row>
    <row r="3748" ht="15.75" customHeight="1">
      <c r="A3748" s="53" t="s">
        <v>3830</v>
      </c>
      <c r="B3748" s="53" t="s">
        <v>17</v>
      </c>
      <c r="C3748" s="53" t="s">
        <v>54</v>
      </c>
      <c r="D3748" s="54">
        <v>153820.58</v>
      </c>
      <c r="E3748" s="54" t="str">
        <f t="shared" si="1"/>
        <v>₹1,845,846.96</v>
      </c>
      <c r="F3748" s="55" t="str">
        <f t="shared" si="2"/>
        <v>30.0%</v>
      </c>
      <c r="G3748" s="54" t="str">
        <f t="shared" si="3"/>
        <v>₹553,754.09</v>
      </c>
      <c r="H3748" s="54" t="str">
        <f t="shared" si="4"/>
        <v>₹46,146.17</v>
      </c>
      <c r="I3748" s="54" t="str">
        <f>139085.06-H3748</f>
        <v>₹92,938.89</v>
      </c>
    </row>
    <row r="3749" ht="15.75" customHeight="1">
      <c r="A3749" s="50" t="s">
        <v>3831</v>
      </c>
      <c r="B3749" s="50" t="s">
        <v>36</v>
      </c>
      <c r="C3749" s="50" t="s">
        <v>33</v>
      </c>
      <c r="D3749" s="51">
        <v>153843.75</v>
      </c>
      <c r="E3749" s="51" t="str">
        <f t="shared" si="1"/>
        <v>₹1,846,125.00</v>
      </c>
      <c r="F3749" s="52" t="str">
        <f t="shared" si="2"/>
        <v>30.0%</v>
      </c>
      <c r="G3749" s="51" t="str">
        <f t="shared" si="3"/>
        <v>₹553,837.50</v>
      </c>
      <c r="H3749" s="51" t="str">
        <f t="shared" si="4"/>
        <v>₹46,153.13</v>
      </c>
      <c r="I3749" s="51" t="str">
        <f>133500.06-H3749</f>
        <v>₹87,346.94</v>
      </c>
    </row>
    <row r="3750" ht="15.75" customHeight="1">
      <c r="A3750" s="53" t="s">
        <v>3832</v>
      </c>
      <c r="B3750" s="53" t="s">
        <v>13</v>
      </c>
      <c r="C3750" s="53" t="s">
        <v>33</v>
      </c>
      <c r="D3750" s="54">
        <v>153866.93</v>
      </c>
      <c r="E3750" s="54" t="str">
        <f t="shared" si="1"/>
        <v>₹1,846,403.16</v>
      </c>
      <c r="F3750" s="55" t="str">
        <f t="shared" si="2"/>
        <v>30.0%</v>
      </c>
      <c r="G3750" s="54" t="str">
        <f t="shared" si="3"/>
        <v>₹553,920.95</v>
      </c>
      <c r="H3750" s="54" t="str">
        <f t="shared" si="4"/>
        <v>₹46,160.08</v>
      </c>
      <c r="I3750" s="54" t="str">
        <f>133519.84-H3750</f>
        <v>₹87,359.76</v>
      </c>
    </row>
    <row r="3751" ht="15.75" customHeight="1">
      <c r="A3751" s="50" t="s">
        <v>3833</v>
      </c>
      <c r="B3751" s="50" t="s">
        <v>36</v>
      </c>
      <c r="C3751" s="50" t="s">
        <v>33</v>
      </c>
      <c r="D3751" s="51">
        <v>153890.11</v>
      </c>
      <c r="E3751" s="51" t="str">
        <f t="shared" si="1"/>
        <v>₹1,846,681.32</v>
      </c>
      <c r="F3751" s="52" t="str">
        <f t="shared" si="2"/>
        <v>30.0%</v>
      </c>
      <c r="G3751" s="51" t="str">
        <f t="shared" si="3"/>
        <v>₹554,004.40</v>
      </c>
      <c r="H3751" s="51" t="str">
        <f t="shared" si="4"/>
        <v>₹46,167.03</v>
      </c>
      <c r="I3751" s="51" t="str">
        <f>133539.62-H3751</f>
        <v>₹87,372.59</v>
      </c>
    </row>
    <row r="3752" ht="15.75" customHeight="1">
      <c r="A3752" s="53" t="s">
        <v>3834</v>
      </c>
      <c r="B3752" s="53" t="s">
        <v>51</v>
      </c>
      <c r="C3752" s="53" t="s">
        <v>54</v>
      </c>
      <c r="D3752" s="54">
        <v>153913.29</v>
      </c>
      <c r="E3752" s="54" t="str">
        <f t="shared" si="1"/>
        <v>₹1,846,959.48</v>
      </c>
      <c r="F3752" s="55" t="str">
        <f t="shared" si="2"/>
        <v>30.0%</v>
      </c>
      <c r="G3752" s="54" t="str">
        <f t="shared" si="3"/>
        <v>₹554,087.84</v>
      </c>
      <c r="H3752" s="54" t="str">
        <f t="shared" si="4"/>
        <v>₹46,173.99</v>
      </c>
      <c r="I3752" s="54" t="str">
        <f>133559.4-H3752</f>
        <v>₹87,385.41</v>
      </c>
    </row>
    <row r="3753" ht="15.75" customHeight="1">
      <c r="A3753" s="50" t="s">
        <v>3835</v>
      </c>
      <c r="B3753" s="50" t="s">
        <v>17</v>
      </c>
      <c r="C3753" s="50" t="s">
        <v>30</v>
      </c>
      <c r="D3753" s="51">
        <v>153959.64</v>
      </c>
      <c r="E3753" s="51" t="str">
        <f t="shared" si="1"/>
        <v>₹1,847,515.68</v>
      </c>
      <c r="F3753" s="52" t="str">
        <f t="shared" si="2"/>
        <v>30.0%</v>
      </c>
      <c r="G3753" s="51" t="str">
        <f t="shared" si="3"/>
        <v>₹554,254.70</v>
      </c>
      <c r="H3753" s="51" t="str">
        <f t="shared" si="4"/>
        <v>₹46,187.89</v>
      </c>
      <c r="I3753" s="51" t="str">
        <f>133598.96-H3753</f>
        <v>₹87,411.07</v>
      </c>
    </row>
    <row r="3754" ht="15.75" customHeight="1">
      <c r="A3754" s="53" t="s">
        <v>3836</v>
      </c>
      <c r="B3754" s="53" t="s">
        <v>17</v>
      </c>
      <c r="C3754" s="53" t="s">
        <v>14</v>
      </c>
      <c r="D3754" s="54">
        <v>153982.82</v>
      </c>
      <c r="E3754" s="54" t="str">
        <f t="shared" si="1"/>
        <v>₹1,847,793.84</v>
      </c>
      <c r="F3754" s="55" t="str">
        <f t="shared" si="2"/>
        <v>30.0%</v>
      </c>
      <c r="G3754" s="54" t="str">
        <f t="shared" si="3"/>
        <v>₹554,338.15</v>
      </c>
      <c r="H3754" s="54" t="str">
        <f t="shared" si="4"/>
        <v>₹46,194.85</v>
      </c>
      <c r="I3754" s="54" t="str">
        <f>133618.74-H3754</f>
        <v>₹87,423.89</v>
      </c>
    </row>
    <row r="3755" ht="15.75" customHeight="1">
      <c r="A3755" s="50" t="s">
        <v>3837</v>
      </c>
      <c r="B3755" s="50" t="s">
        <v>25</v>
      </c>
      <c r="C3755" s="50" t="s">
        <v>14</v>
      </c>
      <c r="D3755" s="51">
        <v>154006.0</v>
      </c>
      <c r="E3755" s="51" t="str">
        <f t="shared" si="1"/>
        <v>₹1,848,072.00</v>
      </c>
      <c r="F3755" s="52" t="str">
        <f t="shared" si="2"/>
        <v>30.0%</v>
      </c>
      <c r="G3755" s="51" t="str">
        <f t="shared" si="3"/>
        <v>₹554,421.60</v>
      </c>
      <c r="H3755" s="51" t="str">
        <f t="shared" si="4"/>
        <v>₹46,201.80</v>
      </c>
      <c r="I3755" s="51" t="str">
        <f>133638.52-H3755</f>
        <v>₹87,436.72</v>
      </c>
    </row>
    <row r="3756" ht="15.75" customHeight="1">
      <c r="A3756" s="53" t="s">
        <v>3838</v>
      </c>
      <c r="B3756" s="53" t="s">
        <v>25</v>
      </c>
      <c r="C3756" s="53" t="s">
        <v>26</v>
      </c>
      <c r="D3756" s="54">
        <v>154029.17</v>
      </c>
      <c r="E3756" s="54" t="str">
        <f t="shared" si="1"/>
        <v>₹1,848,350.04</v>
      </c>
      <c r="F3756" s="55" t="str">
        <f t="shared" si="2"/>
        <v>30.0%</v>
      </c>
      <c r="G3756" s="54" t="str">
        <f t="shared" si="3"/>
        <v>₹554,505.01</v>
      </c>
      <c r="H3756" s="54" t="str">
        <f t="shared" si="4"/>
        <v>₹46,208.75</v>
      </c>
      <c r="I3756" s="54" t="str">
        <f>133658.3-H3756</f>
        <v>₹87,449.55</v>
      </c>
    </row>
    <row r="3757" ht="15.75" customHeight="1">
      <c r="A3757" s="50" t="s">
        <v>3839</v>
      </c>
      <c r="B3757" s="50" t="s">
        <v>36</v>
      </c>
      <c r="C3757" s="50" t="s">
        <v>30</v>
      </c>
      <c r="D3757" s="51">
        <v>154052.35</v>
      </c>
      <c r="E3757" s="51" t="str">
        <f t="shared" si="1"/>
        <v>₹1,848,628.20</v>
      </c>
      <c r="F3757" s="52" t="str">
        <f t="shared" si="2"/>
        <v>30.0%</v>
      </c>
      <c r="G3757" s="51" t="str">
        <f t="shared" si="3"/>
        <v>₹554,588.46</v>
      </c>
      <c r="H3757" s="51" t="str">
        <f t="shared" si="4"/>
        <v>₹46,215.71</v>
      </c>
      <c r="I3757" s="51" t="str">
        <f>133678.08-H3757</f>
        <v>₹87,462.38</v>
      </c>
    </row>
    <row r="3758" ht="15.75" customHeight="1">
      <c r="A3758" s="53" t="s">
        <v>3840</v>
      </c>
      <c r="B3758" s="53" t="s">
        <v>51</v>
      </c>
      <c r="C3758" s="53" t="s">
        <v>37</v>
      </c>
      <c r="D3758" s="54">
        <v>154075.53</v>
      </c>
      <c r="E3758" s="54" t="str">
        <f t="shared" si="1"/>
        <v>₹1,848,906.36</v>
      </c>
      <c r="F3758" s="55" t="str">
        <f t="shared" si="2"/>
        <v>30.0%</v>
      </c>
      <c r="G3758" s="54" t="str">
        <f t="shared" si="3"/>
        <v>₹554,671.91</v>
      </c>
      <c r="H3758" s="54" t="str">
        <f t="shared" si="4"/>
        <v>₹46,222.66</v>
      </c>
      <c r="I3758" s="54" t="str">
        <f>133697.86-H3758</f>
        <v>₹87,475.20</v>
      </c>
    </row>
    <row r="3759" ht="15.75" customHeight="1">
      <c r="A3759" s="50" t="s">
        <v>3841</v>
      </c>
      <c r="B3759" s="50" t="s">
        <v>13</v>
      </c>
      <c r="C3759" s="50" t="s">
        <v>18</v>
      </c>
      <c r="D3759" s="51">
        <v>154098.71</v>
      </c>
      <c r="E3759" s="51" t="str">
        <f t="shared" si="1"/>
        <v>₹1,849,184.52</v>
      </c>
      <c r="F3759" s="52" t="str">
        <f t="shared" si="2"/>
        <v>30.0%</v>
      </c>
      <c r="G3759" s="51" t="str">
        <f t="shared" si="3"/>
        <v>₹554,755.36</v>
      </c>
      <c r="H3759" s="51" t="str">
        <f t="shared" si="4"/>
        <v>₹46,229.61</v>
      </c>
      <c r="I3759" s="51" t="str">
        <f>133717.64-H3759</f>
        <v>₹87,488.03</v>
      </c>
    </row>
    <row r="3760" ht="15.75" customHeight="1">
      <c r="A3760" s="53" t="s">
        <v>3842</v>
      </c>
      <c r="B3760" s="53" t="s">
        <v>29</v>
      </c>
      <c r="C3760" s="53" t="s">
        <v>30</v>
      </c>
      <c r="D3760" s="54">
        <v>154121.89</v>
      </c>
      <c r="E3760" s="54" t="str">
        <f t="shared" si="1"/>
        <v>₹1,849,462.68</v>
      </c>
      <c r="F3760" s="55" t="str">
        <f t="shared" si="2"/>
        <v>30.0%</v>
      </c>
      <c r="G3760" s="54" t="str">
        <f t="shared" si="3"/>
        <v>₹554,838.80</v>
      </c>
      <c r="H3760" s="54" t="str">
        <f t="shared" si="4"/>
        <v>₹46,236.57</v>
      </c>
      <c r="I3760" s="54" t="str">
        <f>133737.43-H3760</f>
        <v>₹87,500.86</v>
      </c>
    </row>
    <row r="3761" ht="15.75" customHeight="1">
      <c r="A3761" s="50" t="s">
        <v>3843</v>
      </c>
      <c r="B3761" s="50" t="s">
        <v>53</v>
      </c>
      <c r="C3761" s="50" t="s">
        <v>54</v>
      </c>
      <c r="D3761" s="51">
        <v>154145.06</v>
      </c>
      <c r="E3761" s="51" t="str">
        <f t="shared" si="1"/>
        <v>₹1,849,740.72</v>
      </c>
      <c r="F3761" s="52" t="str">
        <f t="shared" si="2"/>
        <v>30.0%</v>
      </c>
      <c r="G3761" s="51" t="str">
        <f t="shared" si="3"/>
        <v>₹554,922.22</v>
      </c>
      <c r="H3761" s="51" t="str">
        <f t="shared" si="4"/>
        <v>₹46,243.52</v>
      </c>
      <c r="I3761" s="51" t="str">
        <f>133757.2-H3761</f>
        <v>₹87,513.68</v>
      </c>
    </row>
    <row r="3762" ht="15.75" customHeight="1">
      <c r="A3762" s="53" t="s">
        <v>3844</v>
      </c>
      <c r="B3762" s="53" t="s">
        <v>36</v>
      </c>
      <c r="C3762" s="53" t="s">
        <v>54</v>
      </c>
      <c r="D3762" s="54">
        <v>154168.24</v>
      </c>
      <c r="E3762" s="54" t="str">
        <f t="shared" si="1"/>
        <v>₹1,850,018.88</v>
      </c>
      <c r="F3762" s="55" t="str">
        <f t="shared" si="2"/>
        <v>30.0%</v>
      </c>
      <c r="G3762" s="54" t="str">
        <f t="shared" si="3"/>
        <v>₹555,005.66</v>
      </c>
      <c r="H3762" s="54" t="str">
        <f t="shared" si="4"/>
        <v>₹46,250.47</v>
      </c>
      <c r="I3762" s="54" t="str">
        <f>133776.98-H3762</f>
        <v>₹87,526.51</v>
      </c>
    </row>
    <row r="3763" ht="15.75" customHeight="1">
      <c r="A3763" s="50" t="s">
        <v>3845</v>
      </c>
      <c r="B3763" s="50" t="s">
        <v>17</v>
      </c>
      <c r="C3763" s="50" t="s">
        <v>33</v>
      </c>
      <c r="D3763" s="51">
        <v>154191.42</v>
      </c>
      <c r="E3763" s="51" t="str">
        <f t="shared" si="1"/>
        <v>₹1,850,297.04</v>
      </c>
      <c r="F3763" s="52" t="str">
        <f t="shared" si="2"/>
        <v>30.0%</v>
      </c>
      <c r="G3763" s="51" t="str">
        <f t="shared" si="3"/>
        <v>₹555,089.11</v>
      </c>
      <c r="H3763" s="51" t="str">
        <f t="shared" si="4"/>
        <v>₹46,257.43</v>
      </c>
      <c r="I3763" s="51" t="str">
        <f>133796.76-H3763</f>
        <v>₹87,539.33</v>
      </c>
    </row>
    <row r="3764" ht="15.75" customHeight="1">
      <c r="A3764" s="53" t="s">
        <v>3846</v>
      </c>
      <c r="B3764" s="53" t="s">
        <v>53</v>
      </c>
      <c r="C3764" s="53" t="s">
        <v>33</v>
      </c>
      <c r="D3764" s="54">
        <v>135131.87</v>
      </c>
      <c r="E3764" s="54" t="str">
        <f t="shared" si="1"/>
        <v>₹1,621,582.44</v>
      </c>
      <c r="F3764" s="55" t="str">
        <f t="shared" si="2"/>
        <v>30.0%</v>
      </c>
      <c r="G3764" s="54" t="str">
        <f t="shared" si="3"/>
        <v>₹486,474.73</v>
      </c>
      <c r="H3764" s="54" t="str">
        <f t="shared" si="4"/>
        <v>₹40,539.56</v>
      </c>
      <c r="I3764" s="54" t="str">
        <f>114733.81-H3764</f>
        <v>₹74,194.25</v>
      </c>
    </row>
    <row r="3765" ht="15.75" customHeight="1">
      <c r="A3765" s="50" t="s">
        <v>3847</v>
      </c>
      <c r="B3765" s="50" t="s">
        <v>17</v>
      </c>
      <c r="C3765" s="50" t="s">
        <v>54</v>
      </c>
      <c r="D3765" s="51">
        <v>154237.77</v>
      </c>
      <c r="E3765" s="51" t="str">
        <f t="shared" si="1"/>
        <v>₹1,850,853.24</v>
      </c>
      <c r="F3765" s="52" t="str">
        <f t="shared" si="2"/>
        <v>30.0%</v>
      </c>
      <c r="G3765" s="51" t="str">
        <f t="shared" si="3"/>
        <v>₹555,255.97</v>
      </c>
      <c r="H3765" s="51" t="str">
        <f t="shared" si="4"/>
        <v>₹46,271.33</v>
      </c>
      <c r="I3765" s="51" t="str">
        <f>133836.32-H3765</f>
        <v>₹87,564.99</v>
      </c>
    </row>
    <row r="3766" ht="15.75" customHeight="1">
      <c r="A3766" s="53" t="s">
        <v>3848</v>
      </c>
      <c r="B3766" s="53" t="s">
        <v>36</v>
      </c>
      <c r="C3766" s="53" t="s">
        <v>14</v>
      </c>
      <c r="D3766" s="54">
        <v>154260.95</v>
      </c>
      <c r="E3766" s="54" t="str">
        <f t="shared" si="1"/>
        <v>₹1,851,131.40</v>
      </c>
      <c r="F3766" s="55" t="str">
        <f t="shared" si="2"/>
        <v>30.0%</v>
      </c>
      <c r="G3766" s="54" t="str">
        <f t="shared" si="3"/>
        <v>₹555,339.42</v>
      </c>
      <c r="H3766" s="54" t="str">
        <f t="shared" si="4"/>
        <v>₹46,278.29</v>
      </c>
      <c r="I3766" s="54" t="str">
        <f>133856.1-H3766</f>
        <v>₹87,577.82</v>
      </c>
    </row>
    <row r="3767" ht="15.75" customHeight="1">
      <c r="A3767" s="50" t="s">
        <v>3849</v>
      </c>
      <c r="B3767" s="50" t="s">
        <v>29</v>
      </c>
      <c r="C3767" s="50" t="s">
        <v>18</v>
      </c>
      <c r="D3767" s="51">
        <v>154284.13</v>
      </c>
      <c r="E3767" s="51" t="str">
        <f t="shared" si="1"/>
        <v>₹1,851,409.56</v>
      </c>
      <c r="F3767" s="52" t="str">
        <f t="shared" si="2"/>
        <v>30.0%</v>
      </c>
      <c r="G3767" s="51" t="str">
        <f t="shared" si="3"/>
        <v>₹555,422.87</v>
      </c>
      <c r="H3767" s="51" t="str">
        <f t="shared" si="4"/>
        <v>₹46,285.24</v>
      </c>
      <c r="I3767" s="51" t="str">
        <f>133875.88-H3767</f>
        <v>₹87,590.64</v>
      </c>
    </row>
    <row r="3768" ht="15.75" customHeight="1">
      <c r="A3768" s="53" t="s">
        <v>3850</v>
      </c>
      <c r="B3768" s="53" t="s">
        <v>29</v>
      </c>
      <c r="C3768" s="53" t="s">
        <v>33</v>
      </c>
      <c r="D3768" s="54">
        <v>154307.31</v>
      </c>
      <c r="E3768" s="54" t="str">
        <f t="shared" si="1"/>
        <v>₹1,851,687.72</v>
      </c>
      <c r="F3768" s="55" t="str">
        <f t="shared" si="2"/>
        <v>30.0%</v>
      </c>
      <c r="G3768" s="54" t="str">
        <f t="shared" si="3"/>
        <v>₹555,506.32</v>
      </c>
      <c r="H3768" s="54" t="str">
        <f t="shared" si="4"/>
        <v>₹46,292.19</v>
      </c>
      <c r="I3768" s="54" t="str">
        <f>133895.66-H3768</f>
        <v>₹87,603.47</v>
      </c>
    </row>
    <row r="3769" ht="15.75" customHeight="1">
      <c r="A3769" s="50" t="s">
        <v>3851</v>
      </c>
      <c r="B3769" s="50" t="s">
        <v>36</v>
      </c>
      <c r="C3769" s="50" t="s">
        <v>18</v>
      </c>
      <c r="D3769" s="51">
        <v>154330.48</v>
      </c>
      <c r="E3769" s="51" t="str">
        <f t="shared" si="1"/>
        <v>₹1,851,965.76</v>
      </c>
      <c r="F3769" s="52" t="str">
        <f t="shared" si="2"/>
        <v>30.0%</v>
      </c>
      <c r="G3769" s="51" t="str">
        <f t="shared" si="3"/>
        <v>₹555,589.73</v>
      </c>
      <c r="H3769" s="51" t="str">
        <f t="shared" si="4"/>
        <v>₹46,299.14</v>
      </c>
      <c r="I3769" s="51" t="str">
        <f>133915.44-H3769</f>
        <v>₹87,616.30</v>
      </c>
    </row>
    <row r="3770" ht="15.75" customHeight="1">
      <c r="A3770" s="53" t="s">
        <v>3852</v>
      </c>
      <c r="B3770" s="53" t="s">
        <v>53</v>
      </c>
      <c r="C3770" s="53" t="s">
        <v>30</v>
      </c>
      <c r="D3770" s="54">
        <v>154353.66</v>
      </c>
      <c r="E3770" s="54" t="str">
        <f t="shared" si="1"/>
        <v>₹1,852,243.92</v>
      </c>
      <c r="F3770" s="55" t="str">
        <f t="shared" si="2"/>
        <v>30.0%</v>
      </c>
      <c r="G3770" s="54" t="str">
        <f t="shared" si="3"/>
        <v>₹555,673.18</v>
      </c>
      <c r="H3770" s="54" t="str">
        <f t="shared" si="4"/>
        <v>₹46,306.10</v>
      </c>
      <c r="I3770" s="54" t="str">
        <f>133935.22-H3770</f>
        <v>₹87,629.12</v>
      </c>
    </row>
    <row r="3771" ht="15.75" customHeight="1">
      <c r="A3771" s="50" t="s">
        <v>3853</v>
      </c>
      <c r="B3771" s="50" t="s">
        <v>53</v>
      </c>
      <c r="C3771" s="50" t="s">
        <v>18</v>
      </c>
      <c r="D3771" s="51">
        <v>154376.84</v>
      </c>
      <c r="E3771" s="51" t="str">
        <f t="shared" si="1"/>
        <v>₹1,852,522.08</v>
      </c>
      <c r="F3771" s="52" t="str">
        <f t="shared" si="2"/>
        <v>30.0%</v>
      </c>
      <c r="G3771" s="51" t="str">
        <f t="shared" si="3"/>
        <v>₹555,756.62</v>
      </c>
      <c r="H3771" s="51" t="str">
        <f t="shared" si="4"/>
        <v>₹46,313.05</v>
      </c>
      <c r="I3771" s="51" t="str">
        <f>133955-H3771</f>
        <v>₹87,641.95</v>
      </c>
    </row>
    <row r="3772" ht="15.75" customHeight="1">
      <c r="A3772" s="53" t="s">
        <v>3854</v>
      </c>
      <c r="B3772" s="53" t="s">
        <v>53</v>
      </c>
      <c r="C3772" s="53" t="s">
        <v>33</v>
      </c>
      <c r="D3772" s="54">
        <v>154400.02</v>
      </c>
      <c r="E3772" s="54" t="str">
        <f t="shared" si="1"/>
        <v>₹1,852,800.24</v>
      </c>
      <c r="F3772" s="55" t="str">
        <f t="shared" si="2"/>
        <v>30.0%</v>
      </c>
      <c r="G3772" s="54" t="str">
        <f t="shared" si="3"/>
        <v>₹555,840.07</v>
      </c>
      <c r="H3772" s="54" t="str">
        <f t="shared" si="4"/>
        <v>₹46,320.01</v>
      </c>
      <c r="I3772" s="54" t="str">
        <f>133974.78-H3772</f>
        <v>₹87,654.77</v>
      </c>
    </row>
    <row r="3773" ht="15.75" customHeight="1">
      <c r="A3773" s="50" t="s">
        <v>3855</v>
      </c>
      <c r="B3773" s="50" t="s">
        <v>13</v>
      </c>
      <c r="C3773" s="50" t="s">
        <v>37</v>
      </c>
      <c r="D3773" s="51">
        <v>154423.2</v>
      </c>
      <c r="E3773" s="51" t="str">
        <f t="shared" si="1"/>
        <v>₹1,853,078.40</v>
      </c>
      <c r="F3773" s="52" t="str">
        <f t="shared" si="2"/>
        <v>30.0%</v>
      </c>
      <c r="G3773" s="51" t="str">
        <f t="shared" si="3"/>
        <v>₹555,923.52</v>
      </c>
      <c r="H3773" s="51" t="str">
        <f t="shared" si="4"/>
        <v>₹46,326.96</v>
      </c>
      <c r="I3773" s="51" t="str">
        <f>133994.57-H3773</f>
        <v>₹87,667.61</v>
      </c>
    </row>
    <row r="3774" ht="15.75" customHeight="1">
      <c r="A3774" s="53" t="s">
        <v>3856</v>
      </c>
      <c r="B3774" s="53" t="s">
        <v>17</v>
      </c>
      <c r="C3774" s="53" t="s">
        <v>18</v>
      </c>
      <c r="D3774" s="54">
        <v>154446.37</v>
      </c>
      <c r="E3774" s="54" t="str">
        <f t="shared" si="1"/>
        <v>₹1,853,356.44</v>
      </c>
      <c r="F3774" s="55" t="str">
        <f t="shared" si="2"/>
        <v>30.0%</v>
      </c>
      <c r="G3774" s="54" t="str">
        <f t="shared" si="3"/>
        <v>₹556,006.93</v>
      </c>
      <c r="H3774" s="54" t="str">
        <f t="shared" si="4"/>
        <v>₹46,333.91</v>
      </c>
      <c r="I3774" s="54" t="str">
        <f>134014.34-H3774</f>
        <v>₹87,680.43</v>
      </c>
    </row>
    <row r="3775" ht="15.75" customHeight="1">
      <c r="A3775" s="50" t="s">
        <v>3857</v>
      </c>
      <c r="B3775" s="50" t="s">
        <v>36</v>
      </c>
      <c r="C3775" s="50" t="s">
        <v>26</v>
      </c>
      <c r="D3775" s="51">
        <v>154469.55</v>
      </c>
      <c r="E3775" s="51" t="str">
        <f t="shared" si="1"/>
        <v>₹1,853,634.60</v>
      </c>
      <c r="F3775" s="52" t="str">
        <f t="shared" si="2"/>
        <v>30.0%</v>
      </c>
      <c r="G3775" s="51" t="str">
        <f t="shared" si="3"/>
        <v>₹556,090.38</v>
      </c>
      <c r="H3775" s="51" t="str">
        <f t="shared" si="4"/>
        <v>₹46,340.87</v>
      </c>
      <c r="I3775" s="51" t="str">
        <f>134034.12-H3775</f>
        <v>₹87,693.26</v>
      </c>
    </row>
    <row r="3776" ht="15.75" customHeight="1">
      <c r="A3776" s="53" t="s">
        <v>3858</v>
      </c>
      <c r="B3776" s="53" t="s">
        <v>36</v>
      </c>
      <c r="C3776" s="53" t="s">
        <v>54</v>
      </c>
      <c r="D3776" s="54">
        <v>154492.73</v>
      </c>
      <c r="E3776" s="54" t="str">
        <f t="shared" si="1"/>
        <v>₹1,853,912.76</v>
      </c>
      <c r="F3776" s="55" t="str">
        <f t="shared" si="2"/>
        <v>30.0%</v>
      </c>
      <c r="G3776" s="54" t="str">
        <f t="shared" si="3"/>
        <v>₹556,173.83</v>
      </c>
      <c r="H3776" s="54" t="str">
        <f t="shared" si="4"/>
        <v>₹46,347.82</v>
      </c>
      <c r="I3776" s="54" t="str">
        <f>134053.9-H3776</f>
        <v>₹87,706.08</v>
      </c>
    </row>
    <row r="3777" ht="15.75" customHeight="1">
      <c r="A3777" s="50" t="s">
        <v>3859</v>
      </c>
      <c r="B3777" s="50" t="s">
        <v>51</v>
      </c>
      <c r="C3777" s="50" t="s">
        <v>33</v>
      </c>
      <c r="D3777" s="51">
        <v>135034.42</v>
      </c>
      <c r="E3777" s="51" t="str">
        <f t="shared" si="1"/>
        <v>₹1,620,413.04</v>
      </c>
      <c r="F3777" s="52" t="str">
        <f t="shared" si="2"/>
        <v>30.0%</v>
      </c>
      <c r="G3777" s="51" t="str">
        <f t="shared" si="3"/>
        <v>₹486,123.91</v>
      </c>
      <c r="H3777" s="51" t="str">
        <f t="shared" si="4"/>
        <v>₹40,510.33</v>
      </c>
      <c r="I3777" s="51" t="str">
        <f>114592.2-H3777</f>
        <v>₹74,081.87</v>
      </c>
    </row>
    <row r="3778" ht="15.75" customHeight="1">
      <c r="A3778" s="53" t="s">
        <v>3860</v>
      </c>
      <c r="B3778" s="53" t="s">
        <v>51</v>
      </c>
      <c r="C3778" s="53" t="s">
        <v>26</v>
      </c>
      <c r="D3778" s="54">
        <v>154539.08</v>
      </c>
      <c r="E3778" s="54" t="str">
        <f t="shared" si="1"/>
        <v>₹1,854,468.96</v>
      </c>
      <c r="F3778" s="55" t="str">
        <f t="shared" si="2"/>
        <v>30.0%</v>
      </c>
      <c r="G3778" s="54" t="str">
        <f t="shared" si="3"/>
        <v>₹556,340.69</v>
      </c>
      <c r="H3778" s="54" t="str">
        <f t="shared" si="4"/>
        <v>₹46,361.72</v>
      </c>
      <c r="I3778" s="54" t="str">
        <f>134093.46-H3778</f>
        <v>₹87,731.74</v>
      </c>
    </row>
    <row r="3779" ht="15.75" customHeight="1">
      <c r="A3779" s="50" t="s">
        <v>3861</v>
      </c>
      <c r="B3779" s="50" t="s">
        <v>13</v>
      </c>
      <c r="C3779" s="50" t="s">
        <v>14</v>
      </c>
      <c r="D3779" s="51">
        <v>154562.26</v>
      </c>
      <c r="E3779" s="51" t="str">
        <f t="shared" si="1"/>
        <v>₹1,854,747.12</v>
      </c>
      <c r="F3779" s="52" t="str">
        <f t="shared" si="2"/>
        <v>30.0%</v>
      </c>
      <c r="G3779" s="51" t="str">
        <f t="shared" si="3"/>
        <v>₹556,424.14</v>
      </c>
      <c r="H3779" s="51" t="str">
        <f t="shared" si="4"/>
        <v>₹46,368.68</v>
      </c>
      <c r="I3779" s="51" t="str">
        <f>134113.24-H3779</f>
        <v>₹87,744.56</v>
      </c>
    </row>
    <row r="3780" ht="15.75" customHeight="1">
      <c r="A3780" s="53" t="s">
        <v>3862</v>
      </c>
      <c r="B3780" s="53" t="s">
        <v>29</v>
      </c>
      <c r="C3780" s="53" t="s">
        <v>54</v>
      </c>
      <c r="D3780" s="54">
        <v>154585.44</v>
      </c>
      <c r="E3780" s="54" t="str">
        <f t="shared" si="1"/>
        <v>₹1,855,025.28</v>
      </c>
      <c r="F3780" s="55" t="str">
        <f t="shared" si="2"/>
        <v>30.0%</v>
      </c>
      <c r="G3780" s="54" t="str">
        <f t="shared" si="3"/>
        <v>₹556,507.58</v>
      </c>
      <c r="H3780" s="54" t="str">
        <f t="shared" si="4"/>
        <v>₹46,375.63</v>
      </c>
      <c r="I3780" s="54" t="str">
        <f>134133.02-H3780</f>
        <v>₹87,757.39</v>
      </c>
    </row>
    <row r="3781" ht="15.75" customHeight="1">
      <c r="A3781" s="50" t="s">
        <v>3863</v>
      </c>
      <c r="B3781" s="50" t="s">
        <v>13</v>
      </c>
      <c r="C3781" s="50" t="s">
        <v>33</v>
      </c>
      <c r="D3781" s="51">
        <v>154608.62</v>
      </c>
      <c r="E3781" s="51" t="str">
        <f t="shared" si="1"/>
        <v>₹1,855,303.44</v>
      </c>
      <c r="F3781" s="52" t="str">
        <f t="shared" si="2"/>
        <v>30.0%</v>
      </c>
      <c r="G3781" s="51" t="str">
        <f t="shared" si="3"/>
        <v>₹556,591.03</v>
      </c>
      <c r="H3781" s="51" t="str">
        <f t="shared" si="4"/>
        <v>₹46,382.59</v>
      </c>
      <c r="I3781" s="51" t="str">
        <f>134152.81-H3781</f>
        <v>₹87,770.22</v>
      </c>
    </row>
    <row r="3782" ht="15.75" customHeight="1">
      <c r="A3782" s="53" t="s">
        <v>3864</v>
      </c>
      <c r="B3782" s="53" t="s">
        <v>25</v>
      </c>
      <c r="C3782" s="53" t="s">
        <v>54</v>
      </c>
      <c r="D3782" s="54">
        <v>154631.79</v>
      </c>
      <c r="E3782" s="54" t="str">
        <f t="shared" si="1"/>
        <v>₹1,855,581.48</v>
      </c>
      <c r="F3782" s="55" t="str">
        <f t="shared" si="2"/>
        <v>30.0%</v>
      </c>
      <c r="G3782" s="54" t="str">
        <f t="shared" si="3"/>
        <v>₹556,674.44</v>
      </c>
      <c r="H3782" s="54" t="str">
        <f t="shared" si="4"/>
        <v>₹46,389.54</v>
      </c>
      <c r="I3782" s="54" t="str">
        <f>134172.58-H3782</f>
        <v>₹87,783.04</v>
      </c>
    </row>
    <row r="3783" ht="15.75" customHeight="1">
      <c r="A3783" s="50" t="s">
        <v>3865</v>
      </c>
      <c r="B3783" s="50" t="s">
        <v>36</v>
      </c>
      <c r="C3783" s="50" t="s">
        <v>26</v>
      </c>
      <c r="D3783" s="51">
        <v>154654.97</v>
      </c>
      <c r="E3783" s="51" t="str">
        <f t="shared" si="1"/>
        <v>₹1,855,859.64</v>
      </c>
      <c r="F3783" s="52" t="str">
        <f t="shared" si="2"/>
        <v>30.0%</v>
      </c>
      <c r="G3783" s="51" t="str">
        <f t="shared" si="3"/>
        <v>₹556,757.89</v>
      </c>
      <c r="H3783" s="51" t="str">
        <f t="shared" si="4"/>
        <v>₹46,396.49</v>
      </c>
      <c r="I3783" s="51" t="str">
        <f>134192.36-H3783</f>
        <v>₹87,795.87</v>
      </c>
    </row>
    <row r="3784" ht="15.75" customHeight="1">
      <c r="A3784" s="53" t="s">
        <v>3866</v>
      </c>
      <c r="B3784" s="53" t="s">
        <v>29</v>
      </c>
      <c r="C3784" s="53" t="s">
        <v>33</v>
      </c>
      <c r="D3784" s="54">
        <v>154678.15</v>
      </c>
      <c r="E3784" s="54" t="str">
        <f t="shared" si="1"/>
        <v>₹1,856,137.80</v>
      </c>
      <c r="F3784" s="55" t="str">
        <f t="shared" si="2"/>
        <v>30.0%</v>
      </c>
      <c r="G3784" s="54" t="str">
        <f t="shared" si="3"/>
        <v>₹556,841.34</v>
      </c>
      <c r="H3784" s="54" t="str">
        <f t="shared" si="4"/>
        <v>₹46,403.45</v>
      </c>
      <c r="I3784" s="54" t="str">
        <f>134212.14-H3784</f>
        <v>₹87,808.70</v>
      </c>
    </row>
    <row r="3785" ht="15.75" customHeight="1">
      <c r="A3785" s="50" t="s">
        <v>3867</v>
      </c>
      <c r="B3785" s="50" t="s">
        <v>36</v>
      </c>
      <c r="C3785" s="50" t="s">
        <v>26</v>
      </c>
      <c r="D3785" s="51">
        <v>154701.33</v>
      </c>
      <c r="E3785" s="51" t="str">
        <f t="shared" si="1"/>
        <v>₹1,856,415.96</v>
      </c>
      <c r="F3785" s="52" t="str">
        <f t="shared" si="2"/>
        <v>30.0%</v>
      </c>
      <c r="G3785" s="51" t="str">
        <f t="shared" si="3"/>
        <v>₹556,924.79</v>
      </c>
      <c r="H3785" s="51" t="str">
        <f t="shared" si="4"/>
        <v>₹46,410.40</v>
      </c>
      <c r="I3785" s="51" t="str">
        <f>134231.93-H3785</f>
        <v>₹87,821.53</v>
      </c>
    </row>
    <row r="3786" ht="15.75" customHeight="1">
      <c r="A3786" s="53" t="s">
        <v>3868</v>
      </c>
      <c r="B3786" s="53" t="s">
        <v>29</v>
      </c>
      <c r="C3786" s="53" t="s">
        <v>54</v>
      </c>
      <c r="D3786" s="54">
        <v>154724.51</v>
      </c>
      <c r="E3786" s="54" t="str">
        <f t="shared" si="1"/>
        <v>₹1,856,694.12</v>
      </c>
      <c r="F3786" s="55" t="str">
        <f t="shared" si="2"/>
        <v>30.0%</v>
      </c>
      <c r="G3786" s="54" t="str">
        <f t="shared" si="3"/>
        <v>₹557,008.24</v>
      </c>
      <c r="H3786" s="54" t="str">
        <f t="shared" si="4"/>
        <v>₹46,417.35</v>
      </c>
      <c r="I3786" s="54" t="str">
        <f>134251.71-H3786</f>
        <v>₹87,834.36</v>
      </c>
    </row>
    <row r="3787" ht="15.75" customHeight="1">
      <c r="A3787" s="50" t="s">
        <v>3869</v>
      </c>
      <c r="B3787" s="50" t="s">
        <v>13</v>
      </c>
      <c r="C3787" s="50" t="s">
        <v>14</v>
      </c>
      <c r="D3787" s="51">
        <v>154747.68</v>
      </c>
      <c r="E3787" s="51" t="str">
        <f t="shared" si="1"/>
        <v>₹1,856,972.16</v>
      </c>
      <c r="F3787" s="52" t="str">
        <f t="shared" si="2"/>
        <v>30.0%</v>
      </c>
      <c r="G3787" s="51" t="str">
        <f t="shared" si="3"/>
        <v>₹557,091.65</v>
      </c>
      <c r="H3787" s="51" t="str">
        <f t="shared" si="4"/>
        <v>₹46,424.30</v>
      </c>
      <c r="I3787" s="51" t="str">
        <f>134271.48-H3787</f>
        <v>₹87,847.18</v>
      </c>
    </row>
    <row r="3788" ht="15.75" customHeight="1">
      <c r="A3788" s="53" t="s">
        <v>3870</v>
      </c>
      <c r="B3788" s="53" t="s">
        <v>13</v>
      </c>
      <c r="C3788" s="53" t="s">
        <v>26</v>
      </c>
      <c r="D3788" s="54">
        <v>154770.86</v>
      </c>
      <c r="E3788" s="54" t="str">
        <f t="shared" si="1"/>
        <v>₹1,857,250.32</v>
      </c>
      <c r="F3788" s="55" t="str">
        <f t="shared" si="2"/>
        <v>30.0%</v>
      </c>
      <c r="G3788" s="54" t="str">
        <f t="shared" si="3"/>
        <v>₹557,175.10</v>
      </c>
      <c r="H3788" s="54" t="str">
        <f t="shared" si="4"/>
        <v>₹46,431.26</v>
      </c>
      <c r="I3788" s="54" t="str">
        <f>134291.26-H3788</f>
        <v>₹87,860.00</v>
      </c>
    </row>
    <row r="3789" ht="15.75" customHeight="1">
      <c r="A3789" s="50" t="s">
        <v>3871</v>
      </c>
      <c r="B3789" s="50" t="s">
        <v>51</v>
      </c>
      <c r="C3789" s="50" t="s">
        <v>30</v>
      </c>
      <c r="D3789" s="51">
        <v>154794.04</v>
      </c>
      <c r="E3789" s="51" t="str">
        <f t="shared" si="1"/>
        <v>₹1,857,528.48</v>
      </c>
      <c r="F3789" s="52" t="str">
        <f t="shared" si="2"/>
        <v>30.0%</v>
      </c>
      <c r="G3789" s="51" t="str">
        <f t="shared" si="3"/>
        <v>₹557,258.54</v>
      </c>
      <c r="H3789" s="51" t="str">
        <f t="shared" si="4"/>
        <v>₹46,438.21</v>
      </c>
      <c r="I3789" s="51" t="str">
        <f>134311.05-H3789</f>
        <v>₹87,872.84</v>
      </c>
    </row>
    <row r="3790" ht="15.75" customHeight="1">
      <c r="A3790" s="53" t="s">
        <v>3872</v>
      </c>
      <c r="B3790" s="53" t="s">
        <v>51</v>
      </c>
      <c r="C3790" s="53" t="s">
        <v>37</v>
      </c>
      <c r="D3790" s="54">
        <v>154817.22</v>
      </c>
      <c r="E3790" s="54" t="str">
        <f t="shared" si="1"/>
        <v>₹1,857,806.64</v>
      </c>
      <c r="F3790" s="55" t="str">
        <f t="shared" si="2"/>
        <v>30.0%</v>
      </c>
      <c r="G3790" s="54" t="str">
        <f t="shared" si="3"/>
        <v>₹557,341.99</v>
      </c>
      <c r="H3790" s="54" t="str">
        <f t="shared" si="4"/>
        <v>₹46,445.17</v>
      </c>
      <c r="I3790" s="54" t="str">
        <f>134330.83-H3790</f>
        <v>₹87,885.66</v>
      </c>
    </row>
    <row r="3791" ht="15.75" customHeight="1">
      <c r="A3791" s="50" t="s">
        <v>3873</v>
      </c>
      <c r="B3791" s="50" t="s">
        <v>51</v>
      </c>
      <c r="C3791" s="50" t="s">
        <v>33</v>
      </c>
      <c r="D3791" s="51">
        <v>154863.57</v>
      </c>
      <c r="E3791" s="51" t="str">
        <f t="shared" si="1"/>
        <v>₹1,858,362.84</v>
      </c>
      <c r="F3791" s="52" t="str">
        <f t="shared" si="2"/>
        <v>30.0%</v>
      </c>
      <c r="G3791" s="51" t="str">
        <f t="shared" si="3"/>
        <v>₹557,508.85</v>
      </c>
      <c r="H3791" s="51" t="str">
        <f t="shared" si="4"/>
        <v>₹46,459.07</v>
      </c>
      <c r="I3791" s="51" t="str">
        <f>134370.38-H3791</f>
        <v>₹87,911.31</v>
      </c>
    </row>
    <row r="3792" ht="15.75" customHeight="1">
      <c r="A3792" s="53" t="s">
        <v>3874</v>
      </c>
      <c r="B3792" s="53" t="s">
        <v>25</v>
      </c>
      <c r="C3792" s="53" t="s">
        <v>54</v>
      </c>
      <c r="D3792" s="54">
        <v>154886.75</v>
      </c>
      <c r="E3792" s="54" t="str">
        <f t="shared" si="1"/>
        <v>₹1,858,641.00</v>
      </c>
      <c r="F3792" s="55" t="str">
        <f t="shared" si="2"/>
        <v>30.0%</v>
      </c>
      <c r="G3792" s="54" t="str">
        <f t="shared" si="3"/>
        <v>₹557,592.30</v>
      </c>
      <c r="H3792" s="54" t="str">
        <f t="shared" si="4"/>
        <v>₹46,466.03</v>
      </c>
      <c r="I3792" s="54" t="str">
        <f>134390.17-H3792</f>
        <v>₹87,924.15</v>
      </c>
    </row>
    <row r="3793" ht="15.75" customHeight="1">
      <c r="A3793" s="50" t="s">
        <v>3875</v>
      </c>
      <c r="B3793" s="50" t="s">
        <v>29</v>
      </c>
      <c r="C3793" s="50" t="s">
        <v>14</v>
      </c>
      <c r="D3793" s="51">
        <v>154933.1</v>
      </c>
      <c r="E3793" s="51" t="str">
        <f t="shared" si="1"/>
        <v>₹1,859,197.20</v>
      </c>
      <c r="F3793" s="52" t="str">
        <f t="shared" si="2"/>
        <v>30.0%</v>
      </c>
      <c r="G3793" s="51" t="str">
        <f t="shared" si="3"/>
        <v>₹557,759.16</v>
      </c>
      <c r="H3793" s="51" t="str">
        <f t="shared" si="4"/>
        <v>₹46,479.93</v>
      </c>
      <c r="I3793" s="51" t="str">
        <f>134429.72-H3793</f>
        <v>₹87,949.79</v>
      </c>
    </row>
    <row r="3794" ht="15.75" customHeight="1">
      <c r="A3794" s="53" t="s">
        <v>3876</v>
      </c>
      <c r="B3794" s="53" t="s">
        <v>25</v>
      </c>
      <c r="C3794" s="53" t="s">
        <v>37</v>
      </c>
      <c r="D3794" s="54">
        <v>154956.28</v>
      </c>
      <c r="E3794" s="54" t="str">
        <f t="shared" si="1"/>
        <v>₹1,859,475.36</v>
      </c>
      <c r="F3794" s="55" t="str">
        <f t="shared" si="2"/>
        <v>30.0%</v>
      </c>
      <c r="G3794" s="54" t="str">
        <f t="shared" si="3"/>
        <v>₹557,842.61</v>
      </c>
      <c r="H3794" s="54" t="str">
        <f t="shared" si="4"/>
        <v>₹46,486.88</v>
      </c>
      <c r="I3794" s="54" t="str">
        <f>134449.5-H3794</f>
        <v>₹87,962.62</v>
      </c>
    </row>
    <row r="3795" ht="15.75" customHeight="1">
      <c r="A3795" s="50" t="s">
        <v>3877</v>
      </c>
      <c r="B3795" s="50" t="s">
        <v>13</v>
      </c>
      <c r="C3795" s="50" t="s">
        <v>18</v>
      </c>
      <c r="D3795" s="51">
        <v>154979.46</v>
      </c>
      <c r="E3795" s="51" t="str">
        <f t="shared" si="1"/>
        <v>₹1,859,753.52</v>
      </c>
      <c r="F3795" s="52" t="str">
        <f t="shared" si="2"/>
        <v>30.0%</v>
      </c>
      <c r="G3795" s="51" t="str">
        <f t="shared" si="3"/>
        <v>₹557,926.06</v>
      </c>
      <c r="H3795" s="51" t="str">
        <f t="shared" si="4"/>
        <v>₹46,493.84</v>
      </c>
      <c r="I3795" s="51" t="str">
        <f>134469.29-H3795</f>
        <v>₹87,975.45</v>
      </c>
    </row>
    <row r="3796" ht="15.75" customHeight="1">
      <c r="A3796" s="53" t="s">
        <v>3878</v>
      </c>
      <c r="B3796" s="53" t="s">
        <v>25</v>
      </c>
      <c r="C3796" s="53" t="s">
        <v>18</v>
      </c>
      <c r="D3796" s="54">
        <v>155002.64</v>
      </c>
      <c r="E3796" s="54" t="str">
        <f t="shared" si="1"/>
        <v>₹1,860,031.68</v>
      </c>
      <c r="F3796" s="55" t="str">
        <f t="shared" si="2"/>
        <v>30.0%</v>
      </c>
      <c r="G3796" s="54" t="str">
        <f t="shared" si="3"/>
        <v>₹558,009.50</v>
      </c>
      <c r="H3796" s="54" t="str">
        <f t="shared" si="4"/>
        <v>₹46,500.79</v>
      </c>
      <c r="I3796" s="54" t="str">
        <f>134489.07-H3796</f>
        <v>₹87,988.28</v>
      </c>
    </row>
    <row r="3797" ht="15.75" customHeight="1">
      <c r="A3797" s="50" t="s">
        <v>3879</v>
      </c>
      <c r="B3797" s="50" t="s">
        <v>36</v>
      </c>
      <c r="C3797" s="50" t="s">
        <v>18</v>
      </c>
      <c r="D3797" s="51">
        <v>155025.82</v>
      </c>
      <c r="E3797" s="51" t="str">
        <f t="shared" si="1"/>
        <v>₹1,860,309.84</v>
      </c>
      <c r="F3797" s="52" t="str">
        <f t="shared" si="2"/>
        <v>30.0%</v>
      </c>
      <c r="G3797" s="51" t="str">
        <f t="shared" si="3"/>
        <v>₹558,092.95</v>
      </c>
      <c r="H3797" s="51" t="str">
        <f t="shared" si="4"/>
        <v>₹46,507.75</v>
      </c>
      <c r="I3797" s="51" t="str">
        <f>134508.85-H3797</f>
        <v>₹88,001.10</v>
      </c>
    </row>
    <row r="3798" ht="15.75" customHeight="1">
      <c r="A3798" s="53" t="s">
        <v>3880</v>
      </c>
      <c r="B3798" s="53" t="s">
        <v>51</v>
      </c>
      <c r="C3798" s="53" t="s">
        <v>54</v>
      </c>
      <c r="D3798" s="54">
        <v>155048.99</v>
      </c>
      <c r="E3798" s="54" t="str">
        <f t="shared" si="1"/>
        <v>₹1,860,587.88</v>
      </c>
      <c r="F3798" s="55" t="str">
        <f t="shared" si="2"/>
        <v>30.0%</v>
      </c>
      <c r="G3798" s="54" t="str">
        <f t="shared" si="3"/>
        <v>₹558,176.36</v>
      </c>
      <c r="H3798" s="54" t="str">
        <f t="shared" si="4"/>
        <v>₹46,514.70</v>
      </c>
      <c r="I3798" s="54" t="str">
        <f>134528.62-H3798</f>
        <v>₹88,013.92</v>
      </c>
    </row>
    <row r="3799" ht="15.75" customHeight="1">
      <c r="A3799" s="50" t="s">
        <v>3881</v>
      </c>
      <c r="B3799" s="50" t="s">
        <v>51</v>
      </c>
      <c r="C3799" s="50" t="s">
        <v>14</v>
      </c>
      <c r="D3799" s="51">
        <v>155072.17</v>
      </c>
      <c r="E3799" s="51" t="str">
        <f t="shared" si="1"/>
        <v>₹1,860,866.04</v>
      </c>
      <c r="F3799" s="52" t="str">
        <f t="shared" si="2"/>
        <v>30.0%</v>
      </c>
      <c r="G3799" s="51" t="str">
        <f t="shared" si="3"/>
        <v>₹558,259.81</v>
      </c>
      <c r="H3799" s="51" t="str">
        <f t="shared" si="4"/>
        <v>₹46,521.65</v>
      </c>
      <c r="I3799" s="51" t="str">
        <f>134548.41-H3799</f>
        <v>₹88,026.76</v>
      </c>
    </row>
    <row r="3800" ht="15.75" customHeight="1">
      <c r="A3800" s="53" t="s">
        <v>3882</v>
      </c>
      <c r="B3800" s="53" t="s">
        <v>53</v>
      </c>
      <c r="C3800" s="53" t="s">
        <v>37</v>
      </c>
      <c r="D3800" s="54">
        <v>155095.35</v>
      </c>
      <c r="E3800" s="54" t="str">
        <f t="shared" si="1"/>
        <v>₹1,861,144.20</v>
      </c>
      <c r="F3800" s="55" t="str">
        <f t="shared" si="2"/>
        <v>30.0%</v>
      </c>
      <c r="G3800" s="54" t="str">
        <f t="shared" si="3"/>
        <v>₹558,343.26</v>
      </c>
      <c r="H3800" s="54" t="str">
        <f t="shared" si="4"/>
        <v>₹46,528.61</v>
      </c>
      <c r="I3800" s="54" t="str">
        <f>134568.19-H3800</f>
        <v>₹88,039.59</v>
      </c>
    </row>
    <row r="3801" ht="15.75" customHeight="1">
      <c r="A3801" s="50" t="s">
        <v>3883</v>
      </c>
      <c r="B3801" s="50" t="s">
        <v>17</v>
      </c>
      <c r="C3801" s="50" t="s">
        <v>37</v>
      </c>
      <c r="D3801" s="51">
        <v>155118.53</v>
      </c>
      <c r="E3801" s="51" t="str">
        <f t="shared" si="1"/>
        <v>₹1,861,422.36</v>
      </c>
      <c r="F3801" s="52" t="str">
        <f t="shared" si="2"/>
        <v>30.0%</v>
      </c>
      <c r="G3801" s="51" t="str">
        <f t="shared" si="3"/>
        <v>₹558,426.71</v>
      </c>
      <c r="H3801" s="51" t="str">
        <f t="shared" si="4"/>
        <v>₹46,535.56</v>
      </c>
      <c r="I3801" s="51" t="str">
        <f>134587.97-H3801</f>
        <v>₹88,052.41</v>
      </c>
    </row>
    <row r="3802" ht="15.75" customHeight="1">
      <c r="A3802" s="53" t="s">
        <v>3884</v>
      </c>
      <c r="B3802" s="53" t="s">
        <v>25</v>
      </c>
      <c r="C3802" s="53" t="s">
        <v>14</v>
      </c>
      <c r="D3802" s="54">
        <v>155141.7</v>
      </c>
      <c r="E3802" s="54" t="str">
        <f t="shared" si="1"/>
        <v>₹1,861,700.40</v>
      </c>
      <c r="F3802" s="55" t="str">
        <f t="shared" si="2"/>
        <v>30.0%</v>
      </c>
      <c r="G3802" s="54" t="str">
        <f t="shared" si="3"/>
        <v>₹558,510.12</v>
      </c>
      <c r="H3802" s="54" t="str">
        <f t="shared" si="4"/>
        <v>₹46,542.51</v>
      </c>
      <c r="I3802" s="54" t="str">
        <f>134607.74-H3802</f>
        <v>₹88,065.23</v>
      </c>
    </row>
    <row r="3803" ht="15.75" customHeight="1">
      <c r="A3803" s="50" t="s">
        <v>3885</v>
      </c>
      <c r="B3803" s="50" t="s">
        <v>53</v>
      </c>
      <c r="C3803" s="50" t="s">
        <v>54</v>
      </c>
      <c r="D3803" s="51">
        <v>155164.88</v>
      </c>
      <c r="E3803" s="51" t="str">
        <f t="shared" si="1"/>
        <v>₹1,861,978.56</v>
      </c>
      <c r="F3803" s="52" t="str">
        <f t="shared" si="2"/>
        <v>30.0%</v>
      </c>
      <c r="G3803" s="51" t="str">
        <f t="shared" si="3"/>
        <v>₹558,593.57</v>
      </c>
      <c r="H3803" s="51" t="str">
        <f t="shared" si="4"/>
        <v>₹46,549.46</v>
      </c>
      <c r="I3803" s="51" t="str">
        <f>134627.53-H3803</f>
        <v>₹88,078.07</v>
      </c>
    </row>
    <row r="3804" ht="15.75" customHeight="1">
      <c r="A3804" s="53" t="s">
        <v>3886</v>
      </c>
      <c r="B3804" s="53" t="s">
        <v>53</v>
      </c>
      <c r="C3804" s="53" t="s">
        <v>14</v>
      </c>
      <c r="D3804" s="54">
        <v>155188.06</v>
      </c>
      <c r="E3804" s="54" t="str">
        <f t="shared" si="1"/>
        <v>₹1,862,256.72</v>
      </c>
      <c r="F3804" s="55" t="str">
        <f t="shared" si="2"/>
        <v>30.0%</v>
      </c>
      <c r="G3804" s="54" t="str">
        <f t="shared" si="3"/>
        <v>₹558,677.02</v>
      </c>
      <c r="H3804" s="54" t="str">
        <f t="shared" si="4"/>
        <v>₹46,556.42</v>
      </c>
      <c r="I3804" s="54" t="str">
        <f>134647.31-H3804</f>
        <v>₹88,090.89</v>
      </c>
    </row>
    <row r="3805" ht="15.75" customHeight="1">
      <c r="A3805" s="50" t="s">
        <v>3887</v>
      </c>
      <c r="B3805" s="50" t="s">
        <v>25</v>
      </c>
      <c r="C3805" s="50" t="s">
        <v>54</v>
      </c>
      <c r="D3805" s="51">
        <v>155211.24</v>
      </c>
      <c r="E3805" s="51" t="str">
        <f t="shared" si="1"/>
        <v>₹1,862,534.88</v>
      </c>
      <c r="F3805" s="52" t="str">
        <f t="shared" si="2"/>
        <v>30.0%</v>
      </c>
      <c r="G3805" s="51" t="str">
        <f t="shared" si="3"/>
        <v>₹558,760.46</v>
      </c>
      <c r="H3805" s="51" t="str">
        <f t="shared" si="4"/>
        <v>₹46,563.37</v>
      </c>
      <c r="I3805" s="51" t="str">
        <f>134667.09-H3805</f>
        <v>₹88,103.72</v>
      </c>
    </row>
    <row r="3806" ht="15.75" customHeight="1">
      <c r="A3806" s="53" t="s">
        <v>3888</v>
      </c>
      <c r="B3806" s="53" t="s">
        <v>25</v>
      </c>
      <c r="C3806" s="53" t="s">
        <v>26</v>
      </c>
      <c r="D3806" s="54">
        <v>155234.41</v>
      </c>
      <c r="E3806" s="54" t="str">
        <f t="shared" si="1"/>
        <v>₹1,862,812.92</v>
      </c>
      <c r="F3806" s="55" t="str">
        <f t="shared" si="2"/>
        <v>30.0%</v>
      </c>
      <c r="G3806" s="54" t="str">
        <f t="shared" si="3"/>
        <v>₹558,843.88</v>
      </c>
      <c r="H3806" s="54" t="str">
        <f t="shared" si="4"/>
        <v>₹46,570.32</v>
      </c>
      <c r="I3806" s="54" t="str">
        <f>134686.86-H3806</f>
        <v>₹88,116.54</v>
      </c>
    </row>
    <row r="3807" ht="15.75" customHeight="1">
      <c r="A3807" s="50" t="s">
        <v>3889</v>
      </c>
      <c r="B3807" s="50" t="s">
        <v>53</v>
      </c>
      <c r="C3807" s="50" t="s">
        <v>26</v>
      </c>
      <c r="D3807" s="51">
        <v>155257.59</v>
      </c>
      <c r="E3807" s="51" t="str">
        <f t="shared" si="1"/>
        <v>₹1,863,091.08</v>
      </c>
      <c r="F3807" s="52" t="str">
        <f t="shared" si="2"/>
        <v>30.0%</v>
      </c>
      <c r="G3807" s="51" t="str">
        <f t="shared" si="3"/>
        <v>₹558,927.32</v>
      </c>
      <c r="H3807" s="51" t="str">
        <f t="shared" si="4"/>
        <v>₹46,577.28</v>
      </c>
      <c r="I3807" s="51" t="str">
        <f>134706.65-H3807</f>
        <v>₹88,129.37</v>
      </c>
    </row>
    <row r="3808" ht="15.75" customHeight="1">
      <c r="A3808" s="53" t="s">
        <v>3890</v>
      </c>
      <c r="B3808" s="53" t="s">
        <v>53</v>
      </c>
      <c r="C3808" s="53" t="s">
        <v>33</v>
      </c>
      <c r="D3808" s="54">
        <v>155280.77</v>
      </c>
      <c r="E3808" s="54" t="str">
        <f t="shared" si="1"/>
        <v>₹1,863,369.24</v>
      </c>
      <c r="F3808" s="55" t="str">
        <f t="shared" si="2"/>
        <v>30.0%</v>
      </c>
      <c r="G3808" s="54" t="str">
        <f t="shared" si="3"/>
        <v>₹559,010.77</v>
      </c>
      <c r="H3808" s="54" t="str">
        <f t="shared" si="4"/>
        <v>₹46,584.23</v>
      </c>
      <c r="I3808" s="54" t="str">
        <f>134726.43-H3808</f>
        <v>₹88,142.20</v>
      </c>
    </row>
    <row r="3809" ht="15.75" customHeight="1">
      <c r="A3809" s="50" t="s">
        <v>3891</v>
      </c>
      <c r="B3809" s="50" t="s">
        <v>51</v>
      </c>
      <c r="C3809" s="50" t="s">
        <v>54</v>
      </c>
      <c r="D3809" s="51">
        <v>155303.95</v>
      </c>
      <c r="E3809" s="51" t="str">
        <f t="shared" si="1"/>
        <v>₹1,863,647.40</v>
      </c>
      <c r="F3809" s="52" t="str">
        <f t="shared" si="2"/>
        <v>30.0%</v>
      </c>
      <c r="G3809" s="51" t="str">
        <f t="shared" si="3"/>
        <v>₹559,094.22</v>
      </c>
      <c r="H3809" s="51" t="str">
        <f t="shared" si="4"/>
        <v>₹46,591.19</v>
      </c>
      <c r="I3809" s="51" t="str">
        <f>134746.21-H3809</f>
        <v>₹88,155.03</v>
      </c>
    </row>
    <row r="3810" ht="15.75" customHeight="1">
      <c r="A3810" s="53" t="s">
        <v>3892</v>
      </c>
      <c r="B3810" s="53" t="s">
        <v>36</v>
      </c>
      <c r="C3810" s="53" t="s">
        <v>54</v>
      </c>
      <c r="D3810" s="54">
        <v>155327.13</v>
      </c>
      <c r="E3810" s="54" t="str">
        <f t="shared" si="1"/>
        <v>₹1,863,925.56</v>
      </c>
      <c r="F3810" s="55" t="str">
        <f t="shared" si="2"/>
        <v>30.0%</v>
      </c>
      <c r="G3810" s="54" t="str">
        <f t="shared" si="3"/>
        <v>₹559,177.67</v>
      </c>
      <c r="H3810" s="54" t="str">
        <f t="shared" si="4"/>
        <v>₹46,598.14</v>
      </c>
      <c r="I3810" s="54" t="str">
        <f>141132.77-H3810</f>
        <v>₹94,534.63</v>
      </c>
    </row>
    <row r="3811" ht="15.75" customHeight="1">
      <c r="A3811" s="50" t="s">
        <v>3893</v>
      </c>
      <c r="B3811" s="50" t="s">
        <v>13</v>
      </c>
      <c r="C3811" s="50" t="s">
        <v>18</v>
      </c>
      <c r="D3811" s="51">
        <v>155350.3</v>
      </c>
      <c r="E3811" s="51" t="str">
        <f t="shared" si="1"/>
        <v>₹1,864,203.60</v>
      </c>
      <c r="F3811" s="52" t="str">
        <f t="shared" si="2"/>
        <v>30.0%</v>
      </c>
      <c r="G3811" s="51" t="str">
        <f t="shared" si="3"/>
        <v>₹559,261.08</v>
      </c>
      <c r="H3811" s="51" t="str">
        <f t="shared" si="4"/>
        <v>₹46,605.09</v>
      </c>
      <c r="I3811" s="51" t="str">
        <f>134785.76-H3811</f>
        <v>₹88,180.67</v>
      </c>
    </row>
    <row r="3812" ht="15.75" customHeight="1">
      <c r="A3812" s="53" t="s">
        <v>3894</v>
      </c>
      <c r="B3812" s="53" t="s">
        <v>29</v>
      </c>
      <c r="C3812" s="53" t="s">
        <v>54</v>
      </c>
      <c r="D3812" s="54">
        <v>155419.84</v>
      </c>
      <c r="E3812" s="54" t="str">
        <f t="shared" si="1"/>
        <v>₹1,865,038.08</v>
      </c>
      <c r="F3812" s="55" t="str">
        <f t="shared" si="2"/>
        <v>30.0%</v>
      </c>
      <c r="G3812" s="54" t="str">
        <f t="shared" si="3"/>
        <v>₹559,511.42</v>
      </c>
      <c r="H3812" s="54" t="str">
        <f t="shared" si="4"/>
        <v>₹46,625.95</v>
      </c>
      <c r="I3812" s="54" t="str">
        <f>134845.11-H3812</f>
        <v>₹88,219.16</v>
      </c>
    </row>
    <row r="3813" ht="15.75" customHeight="1">
      <c r="A3813" s="50" t="s">
        <v>3895</v>
      </c>
      <c r="B3813" s="50" t="s">
        <v>13</v>
      </c>
      <c r="C3813" s="50" t="s">
        <v>33</v>
      </c>
      <c r="D3813" s="51">
        <v>155443.01</v>
      </c>
      <c r="E3813" s="51" t="str">
        <f t="shared" si="1"/>
        <v>₹1,865,316.12</v>
      </c>
      <c r="F3813" s="52" t="str">
        <f t="shared" si="2"/>
        <v>30.0%</v>
      </c>
      <c r="G3813" s="51" t="str">
        <f t="shared" si="3"/>
        <v>₹559,594.84</v>
      </c>
      <c r="H3813" s="51" t="str">
        <f t="shared" si="4"/>
        <v>₹46,632.90</v>
      </c>
      <c r="I3813" s="51" t="str">
        <f>134864.88-H3813</f>
        <v>₹88,231.98</v>
      </c>
    </row>
    <row r="3814" ht="15.75" customHeight="1">
      <c r="A3814" s="53" t="s">
        <v>3896</v>
      </c>
      <c r="B3814" s="53" t="s">
        <v>25</v>
      </c>
      <c r="C3814" s="53" t="s">
        <v>33</v>
      </c>
      <c r="D3814" s="54">
        <v>155489.37</v>
      </c>
      <c r="E3814" s="54" t="str">
        <f t="shared" si="1"/>
        <v>₹1,865,872.44</v>
      </c>
      <c r="F3814" s="55" t="str">
        <f t="shared" si="2"/>
        <v>30.0%</v>
      </c>
      <c r="G3814" s="54" t="str">
        <f t="shared" si="3"/>
        <v>₹559,761.73</v>
      </c>
      <c r="H3814" s="54" t="str">
        <f t="shared" si="4"/>
        <v>₹46,646.81</v>
      </c>
      <c r="I3814" s="54" t="str">
        <f>134904.45-H3814</f>
        <v>₹88,257.64</v>
      </c>
    </row>
    <row r="3815" ht="15.75" customHeight="1">
      <c r="A3815" s="50" t="s">
        <v>3897</v>
      </c>
      <c r="B3815" s="50" t="s">
        <v>13</v>
      </c>
      <c r="C3815" s="50" t="s">
        <v>18</v>
      </c>
      <c r="D3815" s="51">
        <v>155512.55</v>
      </c>
      <c r="E3815" s="51" t="str">
        <f t="shared" si="1"/>
        <v>₹1,866,150.60</v>
      </c>
      <c r="F3815" s="52" t="str">
        <f t="shared" si="2"/>
        <v>30.0%</v>
      </c>
      <c r="G3815" s="51" t="str">
        <f t="shared" si="3"/>
        <v>₹559,845.18</v>
      </c>
      <c r="H3815" s="51" t="str">
        <f t="shared" si="4"/>
        <v>₹46,653.77</v>
      </c>
      <c r="I3815" s="51" t="str">
        <f>134924.23-H3815</f>
        <v>₹88,270.47</v>
      </c>
    </row>
    <row r="3816" ht="15.75" customHeight="1">
      <c r="A3816" s="53" t="s">
        <v>3898</v>
      </c>
      <c r="B3816" s="53" t="s">
        <v>13</v>
      </c>
      <c r="C3816" s="53" t="s">
        <v>26</v>
      </c>
      <c r="D3816" s="54">
        <v>155535.72</v>
      </c>
      <c r="E3816" s="54" t="str">
        <f t="shared" si="1"/>
        <v>₹1,866,428.64</v>
      </c>
      <c r="F3816" s="55" t="str">
        <f t="shared" si="2"/>
        <v>30.0%</v>
      </c>
      <c r="G3816" s="54" t="str">
        <f t="shared" si="3"/>
        <v>₹559,928.59</v>
      </c>
      <c r="H3816" s="54" t="str">
        <f t="shared" si="4"/>
        <v>₹46,660.72</v>
      </c>
      <c r="I3816" s="54" t="str">
        <f>134944-H3816</f>
        <v>₹88,283.28</v>
      </c>
    </row>
    <row r="3817" ht="15.75" customHeight="1">
      <c r="A3817" s="50" t="s">
        <v>3899</v>
      </c>
      <c r="B3817" s="50" t="s">
        <v>36</v>
      </c>
      <c r="C3817" s="50" t="s">
        <v>30</v>
      </c>
      <c r="D3817" s="51">
        <v>155558.9</v>
      </c>
      <c r="E3817" s="51" t="str">
        <f t="shared" si="1"/>
        <v>₹1,866,706.80</v>
      </c>
      <c r="F3817" s="52" t="str">
        <f t="shared" si="2"/>
        <v>30.0%</v>
      </c>
      <c r="G3817" s="51" t="str">
        <f t="shared" si="3"/>
        <v>₹560,012.04</v>
      </c>
      <c r="H3817" s="51" t="str">
        <f t="shared" si="4"/>
        <v>₹46,667.67</v>
      </c>
      <c r="I3817" s="51" t="str">
        <f>134963.79-H3817</f>
        <v>₹88,296.12</v>
      </c>
    </row>
    <row r="3818" ht="15.75" customHeight="1">
      <c r="A3818" s="53" t="s">
        <v>3900</v>
      </c>
      <c r="B3818" s="53" t="s">
        <v>17</v>
      </c>
      <c r="C3818" s="53" t="s">
        <v>26</v>
      </c>
      <c r="D3818" s="54">
        <v>155582.08</v>
      </c>
      <c r="E3818" s="54" t="str">
        <f t="shared" si="1"/>
        <v>₹1,866,984.96</v>
      </c>
      <c r="F3818" s="55" t="str">
        <f t="shared" si="2"/>
        <v>30.0%</v>
      </c>
      <c r="G3818" s="54" t="str">
        <f t="shared" si="3"/>
        <v>₹560,095.49</v>
      </c>
      <c r="H3818" s="54" t="str">
        <f t="shared" si="4"/>
        <v>₹46,674.62</v>
      </c>
      <c r="I3818" s="54" t="str">
        <f>134983.57-H3818</f>
        <v>₹88,308.95</v>
      </c>
    </row>
    <row r="3819" ht="15.75" customHeight="1">
      <c r="A3819" s="50" t="s">
        <v>3901</v>
      </c>
      <c r="B3819" s="50" t="s">
        <v>51</v>
      </c>
      <c r="C3819" s="50" t="s">
        <v>30</v>
      </c>
      <c r="D3819" s="51">
        <v>155605.26</v>
      </c>
      <c r="E3819" s="51" t="str">
        <f t="shared" si="1"/>
        <v>₹1,867,263.12</v>
      </c>
      <c r="F3819" s="52" t="str">
        <f t="shared" si="2"/>
        <v>30.0%</v>
      </c>
      <c r="G3819" s="51" t="str">
        <f t="shared" si="3"/>
        <v>₹560,178.94</v>
      </c>
      <c r="H3819" s="51" t="str">
        <f t="shared" si="4"/>
        <v>₹46,681.58</v>
      </c>
      <c r="I3819" s="51" t="str">
        <f>135003.35-H3819</f>
        <v>₹88,321.77</v>
      </c>
    </row>
    <row r="3820" ht="15.75" customHeight="1">
      <c r="A3820" s="53" t="s">
        <v>3902</v>
      </c>
      <c r="B3820" s="53" t="s">
        <v>13</v>
      </c>
      <c r="C3820" s="53" t="s">
        <v>54</v>
      </c>
      <c r="D3820" s="54">
        <v>155628.44</v>
      </c>
      <c r="E3820" s="54" t="str">
        <f t="shared" si="1"/>
        <v>₹1,867,541.28</v>
      </c>
      <c r="F3820" s="55" t="str">
        <f t="shared" si="2"/>
        <v>30.0%</v>
      </c>
      <c r="G3820" s="54" t="str">
        <f t="shared" si="3"/>
        <v>₹560,262.38</v>
      </c>
      <c r="H3820" s="54" t="str">
        <f t="shared" si="4"/>
        <v>₹46,688.53</v>
      </c>
      <c r="I3820" s="54" t="str">
        <f>135023.13-H3820</f>
        <v>₹88,334.60</v>
      </c>
    </row>
    <row r="3821" ht="15.75" customHeight="1">
      <c r="A3821" s="50" t="s">
        <v>3903</v>
      </c>
      <c r="B3821" s="50" t="s">
        <v>53</v>
      </c>
      <c r="C3821" s="50" t="s">
        <v>14</v>
      </c>
      <c r="D3821" s="51">
        <v>155651.61</v>
      </c>
      <c r="E3821" s="51" t="str">
        <f t="shared" si="1"/>
        <v>₹1,867,819.32</v>
      </c>
      <c r="F3821" s="52" t="str">
        <f t="shared" si="2"/>
        <v>30.0%</v>
      </c>
      <c r="G3821" s="51" t="str">
        <f t="shared" si="3"/>
        <v>₹560,345.80</v>
      </c>
      <c r="H3821" s="51" t="str">
        <f t="shared" si="4"/>
        <v>₹46,695.48</v>
      </c>
      <c r="I3821" s="51" t="str">
        <f>135042.91-H3821</f>
        <v>₹88,347.43</v>
      </c>
    </row>
    <row r="3822" ht="15.75" customHeight="1">
      <c r="A3822" s="53" t="s">
        <v>3904</v>
      </c>
      <c r="B3822" s="53" t="s">
        <v>51</v>
      </c>
      <c r="C3822" s="53" t="s">
        <v>14</v>
      </c>
      <c r="D3822" s="54">
        <v>155674.79</v>
      </c>
      <c r="E3822" s="54" t="str">
        <f t="shared" si="1"/>
        <v>₹1,868,097.48</v>
      </c>
      <c r="F3822" s="55" t="str">
        <f t="shared" si="2"/>
        <v>30.0%</v>
      </c>
      <c r="G3822" s="54" t="str">
        <f t="shared" si="3"/>
        <v>₹560,429.24</v>
      </c>
      <c r="H3822" s="54" t="str">
        <f t="shared" si="4"/>
        <v>₹46,702.44</v>
      </c>
      <c r="I3822" s="54" t="str">
        <f>135062.69-H3822</f>
        <v>₹88,360.25</v>
      </c>
    </row>
    <row r="3823" ht="15.75" customHeight="1">
      <c r="A3823" s="50" t="s">
        <v>3905</v>
      </c>
      <c r="B3823" s="50" t="s">
        <v>25</v>
      </c>
      <c r="C3823" s="50" t="s">
        <v>18</v>
      </c>
      <c r="D3823" s="51">
        <v>155697.97</v>
      </c>
      <c r="E3823" s="51" t="str">
        <f t="shared" si="1"/>
        <v>₹1,868,375.64</v>
      </c>
      <c r="F3823" s="52" t="str">
        <f t="shared" si="2"/>
        <v>30.0%</v>
      </c>
      <c r="G3823" s="51" t="str">
        <f t="shared" si="3"/>
        <v>₹560,512.69</v>
      </c>
      <c r="H3823" s="51" t="str">
        <f t="shared" si="4"/>
        <v>₹46,709.39</v>
      </c>
      <c r="I3823" s="51" t="str">
        <f>135082.47-H3823</f>
        <v>₹88,373.08</v>
      </c>
    </row>
    <row r="3824" ht="15.75" customHeight="1">
      <c r="A3824" s="53" t="s">
        <v>3906</v>
      </c>
      <c r="B3824" s="53" t="s">
        <v>51</v>
      </c>
      <c r="C3824" s="53" t="s">
        <v>37</v>
      </c>
      <c r="D3824" s="54">
        <v>135686.04</v>
      </c>
      <c r="E3824" s="54" t="str">
        <f t="shared" si="1"/>
        <v>₹1,628,232.48</v>
      </c>
      <c r="F3824" s="55" t="str">
        <f t="shared" si="2"/>
        <v>30.0%</v>
      </c>
      <c r="G3824" s="54" t="str">
        <f t="shared" si="3"/>
        <v>₹488,469.74</v>
      </c>
      <c r="H3824" s="54" t="str">
        <f t="shared" si="4"/>
        <v>₹40,705.81</v>
      </c>
      <c r="I3824" s="54" t="str">
        <f>115063.75-H3824</f>
        <v>₹74,357.94</v>
      </c>
    </row>
    <row r="3825" ht="15.75" customHeight="1">
      <c r="A3825" s="50" t="s">
        <v>3907</v>
      </c>
      <c r="B3825" s="50" t="s">
        <v>13</v>
      </c>
      <c r="C3825" s="50" t="s">
        <v>54</v>
      </c>
      <c r="D3825" s="51">
        <v>155767.5</v>
      </c>
      <c r="E3825" s="51" t="str">
        <f t="shared" si="1"/>
        <v>₹1,869,210.00</v>
      </c>
      <c r="F3825" s="52" t="str">
        <f t="shared" si="2"/>
        <v>30.0%</v>
      </c>
      <c r="G3825" s="51" t="str">
        <f t="shared" si="3"/>
        <v>₹560,763.00</v>
      </c>
      <c r="H3825" s="51" t="str">
        <f t="shared" si="4"/>
        <v>₹46,730.25</v>
      </c>
      <c r="I3825" s="51" t="str">
        <f>135141.81-H3825</f>
        <v>₹88,411.56</v>
      </c>
    </row>
    <row r="3826" ht="15.75" customHeight="1">
      <c r="A3826" s="53" t="s">
        <v>3908</v>
      </c>
      <c r="B3826" s="53" t="s">
        <v>51</v>
      </c>
      <c r="C3826" s="53" t="s">
        <v>26</v>
      </c>
      <c r="D3826" s="54">
        <v>155790.68</v>
      </c>
      <c r="E3826" s="54" t="str">
        <f t="shared" si="1"/>
        <v>₹1,869,488.16</v>
      </c>
      <c r="F3826" s="55" t="str">
        <f t="shared" si="2"/>
        <v>30.0%</v>
      </c>
      <c r="G3826" s="54" t="str">
        <f t="shared" si="3"/>
        <v>₹560,846.45</v>
      </c>
      <c r="H3826" s="54" t="str">
        <f t="shared" si="4"/>
        <v>₹46,737.20</v>
      </c>
      <c r="I3826" s="54" t="str">
        <f>135161.59-H3826</f>
        <v>₹88,424.39</v>
      </c>
    </row>
    <row r="3827" ht="15.75" customHeight="1">
      <c r="A3827" s="50" t="s">
        <v>3909</v>
      </c>
      <c r="B3827" s="50" t="s">
        <v>29</v>
      </c>
      <c r="C3827" s="50" t="s">
        <v>14</v>
      </c>
      <c r="D3827" s="51">
        <v>155813.86</v>
      </c>
      <c r="E3827" s="51" t="str">
        <f t="shared" si="1"/>
        <v>₹1,869,766.32</v>
      </c>
      <c r="F3827" s="52" t="str">
        <f t="shared" si="2"/>
        <v>30.0%</v>
      </c>
      <c r="G3827" s="51" t="str">
        <f t="shared" si="3"/>
        <v>₹560,929.90</v>
      </c>
      <c r="H3827" s="51" t="str">
        <f t="shared" si="4"/>
        <v>₹46,744.16</v>
      </c>
      <c r="I3827" s="51" t="str">
        <f>135181.37-H3827</f>
        <v>₹88,437.21</v>
      </c>
    </row>
    <row r="3828" ht="15.75" customHeight="1">
      <c r="A3828" s="53" t="s">
        <v>3910</v>
      </c>
      <c r="B3828" s="53" t="s">
        <v>36</v>
      </c>
      <c r="C3828" s="53" t="s">
        <v>18</v>
      </c>
      <c r="D3828" s="54">
        <v>155837.03</v>
      </c>
      <c r="E3828" s="54" t="str">
        <f t="shared" si="1"/>
        <v>₹1,870,044.36</v>
      </c>
      <c r="F3828" s="55" t="str">
        <f t="shared" si="2"/>
        <v>30.0%</v>
      </c>
      <c r="G3828" s="54" t="str">
        <f t="shared" si="3"/>
        <v>₹561,013.31</v>
      </c>
      <c r="H3828" s="54" t="str">
        <f t="shared" si="4"/>
        <v>₹46,751.11</v>
      </c>
      <c r="I3828" s="54" t="str">
        <f>135201.15-H3828</f>
        <v>₹88,450.04</v>
      </c>
    </row>
    <row r="3829" ht="15.75" customHeight="1">
      <c r="A3829" s="50" t="s">
        <v>3911</v>
      </c>
      <c r="B3829" s="50" t="s">
        <v>29</v>
      </c>
      <c r="C3829" s="50" t="s">
        <v>54</v>
      </c>
      <c r="D3829" s="51">
        <v>136055.72</v>
      </c>
      <c r="E3829" s="51" t="str">
        <f t="shared" si="1"/>
        <v>₹1,632,668.64</v>
      </c>
      <c r="F3829" s="52" t="str">
        <f t="shared" si="2"/>
        <v>30.0%</v>
      </c>
      <c r="G3829" s="51" t="str">
        <f t="shared" si="3"/>
        <v>₹489,800.59</v>
      </c>
      <c r="H3829" s="51" t="str">
        <f t="shared" si="4"/>
        <v>₹40,816.72</v>
      </c>
      <c r="I3829" s="51" t="str">
        <f>115416.44-H3829</f>
        <v>₹74,599.72</v>
      </c>
    </row>
    <row r="3830" ht="15.75" customHeight="1">
      <c r="A3830" s="53" t="s">
        <v>3912</v>
      </c>
      <c r="B3830" s="53" t="s">
        <v>13</v>
      </c>
      <c r="C3830" s="53" t="s">
        <v>26</v>
      </c>
      <c r="D3830" s="54">
        <v>155883.39</v>
      </c>
      <c r="E3830" s="54" t="str">
        <f t="shared" si="1"/>
        <v>₹1,870,600.68</v>
      </c>
      <c r="F3830" s="55" t="str">
        <f t="shared" si="2"/>
        <v>30.0%</v>
      </c>
      <c r="G3830" s="54" t="str">
        <f t="shared" si="3"/>
        <v>₹561,180.20</v>
      </c>
      <c r="H3830" s="54" t="str">
        <f t="shared" si="4"/>
        <v>₹46,765.02</v>
      </c>
      <c r="I3830" s="54" t="str">
        <f>135240.71-H3830</f>
        <v>₹88,475.69</v>
      </c>
    </row>
    <row r="3831" ht="15.75" customHeight="1">
      <c r="A3831" s="50" t="s">
        <v>3913</v>
      </c>
      <c r="B3831" s="50" t="s">
        <v>17</v>
      </c>
      <c r="C3831" s="50" t="s">
        <v>26</v>
      </c>
      <c r="D3831" s="51">
        <v>155906.57</v>
      </c>
      <c r="E3831" s="51" t="str">
        <f t="shared" si="1"/>
        <v>₹1,870,878.84</v>
      </c>
      <c r="F3831" s="52" t="str">
        <f t="shared" si="2"/>
        <v>30.0%</v>
      </c>
      <c r="G3831" s="51" t="str">
        <f t="shared" si="3"/>
        <v>₹561,263.65</v>
      </c>
      <c r="H3831" s="51" t="str">
        <f t="shared" si="4"/>
        <v>₹46,771.97</v>
      </c>
      <c r="I3831" s="51" t="str">
        <f>135260.49-H3831</f>
        <v>₹88,488.52</v>
      </c>
    </row>
    <row r="3832" ht="15.75" customHeight="1">
      <c r="A3832" s="53" t="s">
        <v>3914</v>
      </c>
      <c r="B3832" s="53" t="s">
        <v>53</v>
      </c>
      <c r="C3832" s="53" t="s">
        <v>54</v>
      </c>
      <c r="D3832" s="54">
        <v>155929.75</v>
      </c>
      <c r="E3832" s="54" t="str">
        <f t="shared" si="1"/>
        <v>₹1,871,157.00</v>
      </c>
      <c r="F3832" s="55" t="str">
        <f t="shared" si="2"/>
        <v>30.0%</v>
      </c>
      <c r="G3832" s="54" t="str">
        <f t="shared" si="3"/>
        <v>₹561,347.10</v>
      </c>
      <c r="H3832" s="54" t="str">
        <f t="shared" si="4"/>
        <v>₹46,778.93</v>
      </c>
      <c r="I3832" s="54" t="str">
        <f>135280.28-H3832</f>
        <v>₹88,501.36</v>
      </c>
    </row>
    <row r="3833" ht="15.75" customHeight="1">
      <c r="A3833" s="50" t="s">
        <v>3915</v>
      </c>
      <c r="B3833" s="50" t="s">
        <v>51</v>
      </c>
      <c r="C3833" s="50" t="s">
        <v>37</v>
      </c>
      <c r="D3833" s="51">
        <v>155952.92</v>
      </c>
      <c r="E3833" s="51" t="str">
        <f t="shared" si="1"/>
        <v>₹1,871,435.04</v>
      </c>
      <c r="F3833" s="52" t="str">
        <f t="shared" si="2"/>
        <v>30.0%</v>
      </c>
      <c r="G3833" s="51" t="str">
        <f t="shared" si="3"/>
        <v>₹561,430.51</v>
      </c>
      <c r="H3833" s="51" t="str">
        <f t="shared" si="4"/>
        <v>₹46,785.88</v>
      </c>
      <c r="I3833" s="51" t="str">
        <f>135300.05-H3833</f>
        <v>₹88,514.17</v>
      </c>
    </row>
    <row r="3834" ht="15.75" customHeight="1">
      <c r="A3834" s="53" t="s">
        <v>3916</v>
      </c>
      <c r="B3834" s="53" t="s">
        <v>51</v>
      </c>
      <c r="C3834" s="53" t="s">
        <v>37</v>
      </c>
      <c r="D3834" s="54">
        <v>155976.1</v>
      </c>
      <c r="E3834" s="54" t="str">
        <f t="shared" si="1"/>
        <v>₹1,871,713.20</v>
      </c>
      <c r="F3834" s="55" t="str">
        <f t="shared" si="2"/>
        <v>30.0%</v>
      </c>
      <c r="G3834" s="54" t="str">
        <f t="shared" si="3"/>
        <v>₹561,513.96</v>
      </c>
      <c r="H3834" s="54" t="str">
        <f t="shared" si="4"/>
        <v>₹46,792.83</v>
      </c>
      <c r="I3834" s="54" t="str">
        <f>135319.83-H3834</f>
        <v>₹88,527.00</v>
      </c>
    </row>
    <row r="3835" ht="15.75" customHeight="1">
      <c r="A3835" s="50" t="s">
        <v>3917</v>
      </c>
      <c r="B3835" s="50" t="s">
        <v>29</v>
      </c>
      <c r="C3835" s="50" t="s">
        <v>37</v>
      </c>
      <c r="D3835" s="51">
        <v>155999.28</v>
      </c>
      <c r="E3835" s="51" t="str">
        <f t="shared" si="1"/>
        <v>₹1,871,991.36</v>
      </c>
      <c r="F3835" s="52" t="str">
        <f t="shared" si="2"/>
        <v>30.0%</v>
      </c>
      <c r="G3835" s="51" t="str">
        <f t="shared" si="3"/>
        <v>₹561,597.41</v>
      </c>
      <c r="H3835" s="51" t="str">
        <f t="shared" si="4"/>
        <v>₹46,799.78</v>
      </c>
      <c r="I3835" s="51" t="str">
        <f>135339.61-H3835</f>
        <v>₹88,539.83</v>
      </c>
    </row>
    <row r="3836" ht="15.75" customHeight="1">
      <c r="A3836" s="53" t="s">
        <v>3918</v>
      </c>
      <c r="B3836" s="53" t="s">
        <v>29</v>
      </c>
      <c r="C3836" s="53" t="s">
        <v>26</v>
      </c>
      <c r="D3836" s="54">
        <v>156022.46</v>
      </c>
      <c r="E3836" s="54" t="str">
        <f t="shared" si="1"/>
        <v>₹1,872,269.52</v>
      </c>
      <c r="F3836" s="55" t="str">
        <f t="shared" si="2"/>
        <v>30.0%</v>
      </c>
      <c r="G3836" s="54" t="str">
        <f t="shared" si="3"/>
        <v>₹561,680.86</v>
      </c>
      <c r="H3836" s="54" t="str">
        <f t="shared" si="4"/>
        <v>₹46,806.74</v>
      </c>
      <c r="I3836" s="54" t="str">
        <f>135359.4-H3836</f>
        <v>₹88,552.66</v>
      </c>
    </row>
    <row r="3837" ht="15.75" customHeight="1">
      <c r="A3837" s="50" t="s">
        <v>3919</v>
      </c>
      <c r="B3837" s="50" t="s">
        <v>36</v>
      </c>
      <c r="C3837" s="50" t="s">
        <v>26</v>
      </c>
      <c r="D3837" s="51">
        <v>156045.63</v>
      </c>
      <c r="E3837" s="51" t="str">
        <f t="shared" si="1"/>
        <v>₹1,872,547.56</v>
      </c>
      <c r="F3837" s="52" t="str">
        <f t="shared" si="2"/>
        <v>30.0%</v>
      </c>
      <c r="G3837" s="51" t="str">
        <f t="shared" si="3"/>
        <v>₹561,764.27</v>
      </c>
      <c r="H3837" s="51" t="str">
        <f t="shared" si="4"/>
        <v>₹46,813.69</v>
      </c>
      <c r="I3837" s="51" t="str">
        <f>135379.17-H3837</f>
        <v>₹88,565.48</v>
      </c>
    </row>
    <row r="3838" ht="15.75" customHeight="1">
      <c r="A3838" s="53" t="s">
        <v>3920</v>
      </c>
      <c r="B3838" s="53" t="s">
        <v>17</v>
      </c>
      <c r="C3838" s="53" t="s">
        <v>33</v>
      </c>
      <c r="D3838" s="54">
        <v>156068.81</v>
      </c>
      <c r="E3838" s="54" t="str">
        <f t="shared" si="1"/>
        <v>₹1,872,825.72</v>
      </c>
      <c r="F3838" s="55" t="str">
        <f t="shared" si="2"/>
        <v>30.0%</v>
      </c>
      <c r="G3838" s="54" t="str">
        <f t="shared" si="3"/>
        <v>₹561,847.72</v>
      </c>
      <c r="H3838" s="54" t="str">
        <f t="shared" si="4"/>
        <v>₹46,820.64</v>
      </c>
      <c r="I3838" s="54" t="str">
        <f>135398.95-H3838</f>
        <v>₹88,578.31</v>
      </c>
    </row>
    <row r="3839" ht="15.75" customHeight="1">
      <c r="A3839" s="50" t="s">
        <v>3921</v>
      </c>
      <c r="B3839" s="50" t="s">
        <v>53</v>
      </c>
      <c r="C3839" s="50" t="s">
        <v>18</v>
      </c>
      <c r="D3839" s="51">
        <v>156091.99</v>
      </c>
      <c r="E3839" s="51" t="str">
        <f t="shared" si="1"/>
        <v>₹1,873,103.88</v>
      </c>
      <c r="F3839" s="52" t="str">
        <f t="shared" si="2"/>
        <v>30.0%</v>
      </c>
      <c r="G3839" s="51" t="str">
        <f t="shared" si="3"/>
        <v>₹561,931.16</v>
      </c>
      <c r="H3839" s="51" t="str">
        <f t="shared" si="4"/>
        <v>₹46,827.60</v>
      </c>
      <c r="I3839" s="51" t="str">
        <f>135418.73-H3839</f>
        <v>₹88,591.13</v>
      </c>
    </row>
    <row r="3840" ht="15.75" customHeight="1">
      <c r="A3840" s="53" t="s">
        <v>3922</v>
      </c>
      <c r="B3840" s="53" t="s">
        <v>36</v>
      </c>
      <c r="C3840" s="53" t="s">
        <v>18</v>
      </c>
      <c r="D3840" s="54">
        <v>156115.17</v>
      </c>
      <c r="E3840" s="54" t="str">
        <f t="shared" si="1"/>
        <v>₹1,873,382.04</v>
      </c>
      <c r="F3840" s="55" t="str">
        <f t="shared" si="2"/>
        <v>30.0%</v>
      </c>
      <c r="G3840" s="54" t="str">
        <f t="shared" si="3"/>
        <v>₹562,014.61</v>
      </c>
      <c r="H3840" s="54" t="str">
        <f t="shared" si="4"/>
        <v>₹46,834.55</v>
      </c>
      <c r="I3840" s="54" t="str">
        <f>135438.52-H3840</f>
        <v>₹88,603.97</v>
      </c>
    </row>
    <row r="3841" ht="15.75" customHeight="1">
      <c r="A3841" s="50" t="s">
        <v>3923</v>
      </c>
      <c r="B3841" s="50" t="s">
        <v>29</v>
      </c>
      <c r="C3841" s="50" t="s">
        <v>37</v>
      </c>
      <c r="D3841" s="51">
        <v>156138.34</v>
      </c>
      <c r="E3841" s="51" t="str">
        <f t="shared" si="1"/>
        <v>₹1,873,660.08</v>
      </c>
      <c r="F3841" s="52" t="str">
        <f t="shared" si="2"/>
        <v>30.0%</v>
      </c>
      <c r="G3841" s="51" t="str">
        <f t="shared" si="3"/>
        <v>₹562,098.02</v>
      </c>
      <c r="H3841" s="51" t="str">
        <f t="shared" si="4"/>
        <v>₹46,841.50</v>
      </c>
      <c r="I3841" s="51" t="str">
        <f>135458.29-H3841</f>
        <v>₹88,616.79</v>
      </c>
    </row>
    <row r="3842" ht="15.75" customHeight="1">
      <c r="A3842" s="53" t="s">
        <v>3924</v>
      </c>
      <c r="B3842" s="53" t="s">
        <v>36</v>
      </c>
      <c r="C3842" s="53" t="s">
        <v>54</v>
      </c>
      <c r="D3842" s="54">
        <v>156161.52</v>
      </c>
      <c r="E3842" s="54" t="str">
        <f t="shared" si="1"/>
        <v>₹1,873,938.24</v>
      </c>
      <c r="F3842" s="55" t="str">
        <f t="shared" si="2"/>
        <v>30.0%</v>
      </c>
      <c r="G3842" s="54" t="str">
        <f t="shared" si="3"/>
        <v>₹562,181.47</v>
      </c>
      <c r="H3842" s="54" t="str">
        <f t="shared" si="4"/>
        <v>₹46,848.46</v>
      </c>
      <c r="I3842" s="54" t="str">
        <f>135478.07-H3842</f>
        <v>₹88,629.61</v>
      </c>
    </row>
    <row r="3843" ht="15.75" customHeight="1">
      <c r="A3843" s="50" t="s">
        <v>3925</v>
      </c>
      <c r="B3843" s="50" t="s">
        <v>53</v>
      </c>
      <c r="C3843" s="50" t="s">
        <v>26</v>
      </c>
      <c r="D3843" s="51">
        <v>156184.7</v>
      </c>
      <c r="E3843" s="51" t="str">
        <f t="shared" si="1"/>
        <v>₹1,874,216.40</v>
      </c>
      <c r="F3843" s="52" t="str">
        <f t="shared" si="2"/>
        <v>30.0%</v>
      </c>
      <c r="G3843" s="51" t="str">
        <f t="shared" si="3"/>
        <v>₹562,264.92</v>
      </c>
      <c r="H3843" s="51" t="str">
        <f t="shared" si="4"/>
        <v>₹46,855.41</v>
      </c>
      <c r="I3843" s="51" t="str">
        <f>135497.85-H3843</f>
        <v>₹88,642.44</v>
      </c>
    </row>
    <row r="3844" ht="15.75" customHeight="1">
      <c r="A3844" s="53" t="s">
        <v>3926</v>
      </c>
      <c r="B3844" s="53" t="s">
        <v>36</v>
      </c>
      <c r="C3844" s="53" t="s">
        <v>14</v>
      </c>
      <c r="D3844" s="54">
        <v>156207.88</v>
      </c>
      <c r="E3844" s="54" t="str">
        <f t="shared" si="1"/>
        <v>₹1,874,494.56</v>
      </c>
      <c r="F3844" s="55" t="str">
        <f t="shared" si="2"/>
        <v>30.0%</v>
      </c>
      <c r="G3844" s="54" t="str">
        <f t="shared" si="3"/>
        <v>₹562,348.37</v>
      </c>
      <c r="H3844" s="54" t="str">
        <f t="shared" si="4"/>
        <v>₹46,862.36</v>
      </c>
      <c r="I3844" s="54" t="str">
        <f>135517.64-H3844</f>
        <v>₹88,655.28</v>
      </c>
    </row>
    <row r="3845" ht="15.75" customHeight="1">
      <c r="A3845" s="50" t="s">
        <v>3927</v>
      </c>
      <c r="B3845" s="50" t="s">
        <v>25</v>
      </c>
      <c r="C3845" s="50" t="s">
        <v>26</v>
      </c>
      <c r="D3845" s="51">
        <v>156231.06</v>
      </c>
      <c r="E3845" s="51" t="str">
        <f t="shared" si="1"/>
        <v>₹1,874,772.72</v>
      </c>
      <c r="F3845" s="52" t="str">
        <f t="shared" si="2"/>
        <v>30.0%</v>
      </c>
      <c r="G3845" s="51" t="str">
        <f t="shared" si="3"/>
        <v>₹562,431.82</v>
      </c>
      <c r="H3845" s="51" t="str">
        <f t="shared" si="4"/>
        <v>₹46,869.32</v>
      </c>
      <c r="I3845" s="51" t="str">
        <f>135537.42-H3845</f>
        <v>₹88,668.10</v>
      </c>
    </row>
    <row r="3846" ht="15.75" customHeight="1">
      <c r="A3846" s="53" t="s">
        <v>3928</v>
      </c>
      <c r="B3846" s="53" t="s">
        <v>51</v>
      </c>
      <c r="C3846" s="53" t="s">
        <v>14</v>
      </c>
      <c r="D3846" s="54">
        <v>156254.23</v>
      </c>
      <c r="E3846" s="54" t="str">
        <f t="shared" si="1"/>
        <v>₹1,875,050.76</v>
      </c>
      <c r="F3846" s="55" t="str">
        <f t="shared" si="2"/>
        <v>30.0%</v>
      </c>
      <c r="G3846" s="54" t="str">
        <f t="shared" si="3"/>
        <v>₹562,515.23</v>
      </c>
      <c r="H3846" s="54" t="str">
        <f t="shared" si="4"/>
        <v>₹46,876.27</v>
      </c>
      <c r="I3846" s="54" t="str">
        <f>135557.19-H3846</f>
        <v>₹88,680.92</v>
      </c>
    </row>
    <row r="3847" ht="15.75" customHeight="1">
      <c r="A3847" s="50" t="s">
        <v>3929</v>
      </c>
      <c r="B3847" s="50" t="s">
        <v>13</v>
      </c>
      <c r="C3847" s="50" t="s">
        <v>26</v>
      </c>
      <c r="D3847" s="51">
        <v>156277.41</v>
      </c>
      <c r="E3847" s="51" t="str">
        <f t="shared" si="1"/>
        <v>₹1,875,328.92</v>
      </c>
      <c r="F3847" s="52" t="str">
        <f t="shared" si="2"/>
        <v>30.0%</v>
      </c>
      <c r="G3847" s="51" t="str">
        <f t="shared" si="3"/>
        <v>₹562,598.68</v>
      </c>
      <c r="H3847" s="51" t="str">
        <f t="shared" si="4"/>
        <v>₹46,883.22</v>
      </c>
      <c r="I3847" s="51" t="str">
        <f>135576.97-H3847</f>
        <v>₹88,693.75</v>
      </c>
    </row>
    <row r="3848" ht="15.75" customHeight="1">
      <c r="A3848" s="53" t="s">
        <v>3930</v>
      </c>
      <c r="B3848" s="53" t="s">
        <v>53</v>
      </c>
      <c r="C3848" s="53" t="s">
        <v>30</v>
      </c>
      <c r="D3848" s="54">
        <v>156300.59</v>
      </c>
      <c r="E3848" s="54" t="str">
        <f t="shared" si="1"/>
        <v>₹1,875,607.08</v>
      </c>
      <c r="F3848" s="55" t="str">
        <f t="shared" si="2"/>
        <v>30.0%</v>
      </c>
      <c r="G3848" s="54" t="str">
        <f t="shared" si="3"/>
        <v>₹562,682.12</v>
      </c>
      <c r="H3848" s="54" t="str">
        <f t="shared" si="4"/>
        <v>₹46,890.18</v>
      </c>
      <c r="I3848" s="54" t="str">
        <f>135596.76-H3848</f>
        <v>₹88,706.58</v>
      </c>
    </row>
    <row r="3849" ht="15.75" customHeight="1">
      <c r="A3849" s="50" t="s">
        <v>3931</v>
      </c>
      <c r="B3849" s="50" t="s">
        <v>17</v>
      </c>
      <c r="C3849" s="50" t="s">
        <v>18</v>
      </c>
      <c r="D3849" s="51">
        <v>156323.77</v>
      </c>
      <c r="E3849" s="51" t="str">
        <f t="shared" si="1"/>
        <v>₹1,875,885.24</v>
      </c>
      <c r="F3849" s="52" t="str">
        <f t="shared" si="2"/>
        <v>30.0%</v>
      </c>
      <c r="G3849" s="51" t="str">
        <f t="shared" si="3"/>
        <v>₹562,765.57</v>
      </c>
      <c r="H3849" s="51" t="str">
        <f t="shared" si="4"/>
        <v>₹46,897.13</v>
      </c>
      <c r="I3849" s="51" t="str">
        <f>135616.54-H3849</f>
        <v>₹88,719.41</v>
      </c>
    </row>
    <row r="3850" ht="15.75" customHeight="1">
      <c r="A3850" s="53" t="s">
        <v>3932</v>
      </c>
      <c r="B3850" s="53" t="s">
        <v>17</v>
      </c>
      <c r="C3850" s="53" t="s">
        <v>37</v>
      </c>
      <c r="D3850" s="54">
        <v>156346.94</v>
      </c>
      <c r="E3850" s="54" t="str">
        <f t="shared" si="1"/>
        <v>₹1,876,163.28</v>
      </c>
      <c r="F3850" s="55" t="str">
        <f t="shared" si="2"/>
        <v>30.0%</v>
      </c>
      <c r="G3850" s="54" t="str">
        <f t="shared" si="3"/>
        <v>₹562,848.98</v>
      </c>
      <c r="H3850" s="54" t="str">
        <f t="shared" si="4"/>
        <v>₹46,904.08</v>
      </c>
      <c r="I3850" s="54" t="str">
        <f>135636.31-H3850</f>
        <v>₹88,732.23</v>
      </c>
    </row>
    <row r="3851" ht="15.75" customHeight="1">
      <c r="A3851" s="50" t="s">
        <v>3933</v>
      </c>
      <c r="B3851" s="50" t="s">
        <v>25</v>
      </c>
      <c r="C3851" s="50" t="s">
        <v>30</v>
      </c>
      <c r="D3851" s="51">
        <v>156370.12</v>
      </c>
      <c r="E3851" s="51" t="str">
        <f t="shared" si="1"/>
        <v>₹1,876,441.44</v>
      </c>
      <c r="F3851" s="52" t="str">
        <f t="shared" si="2"/>
        <v>30.0%</v>
      </c>
      <c r="G3851" s="51" t="str">
        <f t="shared" si="3"/>
        <v>₹562,932.43</v>
      </c>
      <c r="H3851" s="51" t="str">
        <f t="shared" si="4"/>
        <v>₹46,911.04</v>
      </c>
      <c r="I3851" s="51" t="str">
        <f>135656.09-H3851</f>
        <v>₹88,745.05</v>
      </c>
    </row>
    <row r="3852" ht="15.75" customHeight="1">
      <c r="A3852" s="53" t="s">
        <v>3934</v>
      </c>
      <c r="B3852" s="53" t="s">
        <v>36</v>
      </c>
      <c r="C3852" s="53" t="s">
        <v>18</v>
      </c>
      <c r="D3852" s="54">
        <v>156393.3</v>
      </c>
      <c r="E3852" s="54" t="str">
        <f t="shared" si="1"/>
        <v>₹1,876,719.60</v>
      </c>
      <c r="F3852" s="55" t="str">
        <f t="shared" si="2"/>
        <v>30.0%</v>
      </c>
      <c r="G3852" s="54" t="str">
        <f t="shared" si="3"/>
        <v>₹563,015.88</v>
      </c>
      <c r="H3852" s="54" t="str">
        <f t="shared" si="4"/>
        <v>₹46,917.99</v>
      </c>
      <c r="I3852" s="54" t="str">
        <f>135675.88-H3852</f>
        <v>₹88,757.89</v>
      </c>
    </row>
    <row r="3853" ht="15.75" customHeight="1">
      <c r="A3853" s="50" t="s">
        <v>3935</v>
      </c>
      <c r="B3853" s="50" t="s">
        <v>13</v>
      </c>
      <c r="C3853" s="50" t="s">
        <v>30</v>
      </c>
      <c r="D3853" s="51">
        <v>156416.48</v>
      </c>
      <c r="E3853" s="51" t="str">
        <f t="shared" si="1"/>
        <v>₹1,876,997.76</v>
      </c>
      <c r="F3853" s="52" t="str">
        <f t="shared" si="2"/>
        <v>30.0%</v>
      </c>
      <c r="G3853" s="51" t="str">
        <f t="shared" si="3"/>
        <v>₹563,099.33</v>
      </c>
      <c r="H3853" s="51" t="str">
        <f t="shared" si="4"/>
        <v>₹46,924.94</v>
      </c>
      <c r="I3853" s="51" t="str">
        <f>135695.66-H3853</f>
        <v>₹88,770.72</v>
      </c>
    </row>
    <row r="3854" ht="15.75" customHeight="1">
      <c r="A3854" s="53" t="s">
        <v>3936</v>
      </c>
      <c r="B3854" s="53" t="s">
        <v>53</v>
      </c>
      <c r="C3854" s="53" t="s">
        <v>14</v>
      </c>
      <c r="D3854" s="54">
        <v>156439.65</v>
      </c>
      <c r="E3854" s="54" t="str">
        <f t="shared" si="1"/>
        <v>₹1,877,275.80</v>
      </c>
      <c r="F3854" s="55" t="str">
        <f t="shared" si="2"/>
        <v>30.0%</v>
      </c>
      <c r="G3854" s="54" t="str">
        <f t="shared" si="3"/>
        <v>₹563,182.74</v>
      </c>
      <c r="H3854" s="54" t="str">
        <f t="shared" si="4"/>
        <v>₹46,931.90</v>
      </c>
      <c r="I3854" s="54" t="str">
        <f>135715.43-H3854</f>
        <v>₹88,783.54</v>
      </c>
    </row>
    <row r="3855" ht="15.75" customHeight="1">
      <c r="A3855" s="50" t="s">
        <v>3937</v>
      </c>
      <c r="B3855" s="50" t="s">
        <v>25</v>
      </c>
      <c r="C3855" s="50" t="s">
        <v>37</v>
      </c>
      <c r="D3855" s="51">
        <v>156462.83</v>
      </c>
      <c r="E3855" s="51" t="str">
        <f t="shared" si="1"/>
        <v>₹1,877,553.96</v>
      </c>
      <c r="F3855" s="52" t="str">
        <f t="shared" si="2"/>
        <v>30.0%</v>
      </c>
      <c r="G3855" s="51" t="str">
        <f t="shared" si="3"/>
        <v>₹563,266.19</v>
      </c>
      <c r="H3855" s="51" t="str">
        <f t="shared" si="4"/>
        <v>₹46,938.85</v>
      </c>
      <c r="I3855" s="51" t="str">
        <f>135735.21-H3855</f>
        <v>₹88,796.36</v>
      </c>
    </row>
    <row r="3856" ht="15.75" customHeight="1">
      <c r="A3856" s="53" t="s">
        <v>3938</v>
      </c>
      <c r="B3856" s="53" t="s">
        <v>53</v>
      </c>
      <c r="C3856" s="53" t="s">
        <v>30</v>
      </c>
      <c r="D3856" s="54">
        <v>156486.01</v>
      </c>
      <c r="E3856" s="54" t="str">
        <f t="shared" si="1"/>
        <v>₹1,877,832.12</v>
      </c>
      <c r="F3856" s="55" t="str">
        <f t="shared" si="2"/>
        <v>30.0%</v>
      </c>
      <c r="G3856" s="54" t="str">
        <f t="shared" si="3"/>
        <v>₹563,349.64</v>
      </c>
      <c r="H3856" s="54" t="str">
        <f t="shared" si="4"/>
        <v>₹46,945.80</v>
      </c>
      <c r="I3856" s="54" t="str">
        <f>135754.99-H3856</f>
        <v>₹88,809.19</v>
      </c>
    </row>
    <row r="3857" ht="15.75" customHeight="1">
      <c r="A3857" s="50" t="s">
        <v>3939</v>
      </c>
      <c r="B3857" s="50" t="s">
        <v>36</v>
      </c>
      <c r="C3857" s="50" t="s">
        <v>26</v>
      </c>
      <c r="D3857" s="51">
        <v>156509.19</v>
      </c>
      <c r="E3857" s="51" t="str">
        <f t="shared" si="1"/>
        <v>₹1,878,110.28</v>
      </c>
      <c r="F3857" s="52" t="str">
        <f t="shared" si="2"/>
        <v>30.0%</v>
      </c>
      <c r="G3857" s="51" t="str">
        <f t="shared" si="3"/>
        <v>₹563,433.08</v>
      </c>
      <c r="H3857" s="51" t="str">
        <f t="shared" si="4"/>
        <v>₹46,952.76</v>
      </c>
      <c r="I3857" s="51" t="str">
        <f>142314.83-H3857</f>
        <v>₹95,362.07</v>
      </c>
    </row>
    <row r="3858" ht="15.75" customHeight="1">
      <c r="A3858" s="53" t="s">
        <v>3940</v>
      </c>
      <c r="B3858" s="53" t="s">
        <v>53</v>
      </c>
      <c r="C3858" s="53" t="s">
        <v>26</v>
      </c>
      <c r="D3858" s="54">
        <v>156532.37</v>
      </c>
      <c r="E3858" s="54" t="str">
        <f t="shared" si="1"/>
        <v>₹1,878,388.44</v>
      </c>
      <c r="F3858" s="55" t="str">
        <f t="shared" si="2"/>
        <v>30.0%</v>
      </c>
      <c r="G3858" s="54" t="str">
        <f t="shared" si="3"/>
        <v>₹563,516.53</v>
      </c>
      <c r="H3858" s="54" t="str">
        <f t="shared" si="4"/>
        <v>₹46,959.71</v>
      </c>
      <c r="I3858" s="54" t="str">
        <f>141767.06-H3858</f>
        <v>₹94,807.35</v>
      </c>
    </row>
    <row r="3859" ht="15.75" customHeight="1">
      <c r="A3859" s="50" t="s">
        <v>3941</v>
      </c>
      <c r="B3859" s="50" t="s">
        <v>53</v>
      </c>
      <c r="C3859" s="50" t="s">
        <v>26</v>
      </c>
      <c r="D3859" s="51">
        <v>156555.54</v>
      </c>
      <c r="E3859" s="51" t="str">
        <f t="shared" si="1"/>
        <v>₹1,878,666.48</v>
      </c>
      <c r="F3859" s="52" t="str">
        <f t="shared" si="2"/>
        <v>30.0%</v>
      </c>
      <c r="G3859" s="51" t="str">
        <f t="shared" si="3"/>
        <v>₹563,599.94</v>
      </c>
      <c r="H3859" s="51" t="str">
        <f t="shared" si="4"/>
        <v>₹46,966.66</v>
      </c>
      <c r="I3859" s="51" t="str">
        <f>135814.33-H3859</f>
        <v>₹88,847.67</v>
      </c>
    </row>
    <row r="3860" ht="15.75" customHeight="1">
      <c r="A3860" s="53" t="s">
        <v>3942</v>
      </c>
      <c r="B3860" s="53" t="s">
        <v>53</v>
      </c>
      <c r="C3860" s="53" t="s">
        <v>26</v>
      </c>
      <c r="D3860" s="54">
        <v>156601.9</v>
      </c>
      <c r="E3860" s="54" t="str">
        <f t="shared" si="1"/>
        <v>₹1,879,222.80</v>
      </c>
      <c r="F3860" s="55" t="str">
        <f t="shared" si="2"/>
        <v>30.0%</v>
      </c>
      <c r="G3860" s="54" t="str">
        <f t="shared" si="3"/>
        <v>₹563,766.84</v>
      </c>
      <c r="H3860" s="54" t="str">
        <f t="shared" si="4"/>
        <v>₹46,980.57</v>
      </c>
      <c r="I3860" s="54" t="str">
        <f>135853.9-H3860</f>
        <v>₹88,873.33</v>
      </c>
    </row>
    <row r="3861" ht="15.75" customHeight="1">
      <c r="A3861" s="50" t="s">
        <v>3943</v>
      </c>
      <c r="B3861" s="50" t="s">
        <v>13</v>
      </c>
      <c r="C3861" s="50" t="s">
        <v>14</v>
      </c>
      <c r="D3861" s="51">
        <v>156625.08</v>
      </c>
      <c r="E3861" s="51" t="str">
        <f t="shared" si="1"/>
        <v>₹1,879,500.96</v>
      </c>
      <c r="F3861" s="52" t="str">
        <f t="shared" si="2"/>
        <v>30.0%</v>
      </c>
      <c r="G3861" s="51" t="str">
        <f t="shared" si="3"/>
        <v>₹563,850.29</v>
      </c>
      <c r="H3861" s="51" t="str">
        <f t="shared" si="4"/>
        <v>₹46,987.52</v>
      </c>
      <c r="I3861" s="51" t="str">
        <f>135873.68-H3861</f>
        <v>₹88,886.16</v>
      </c>
    </row>
    <row r="3862" ht="15.75" customHeight="1">
      <c r="A3862" s="53" t="s">
        <v>3944</v>
      </c>
      <c r="B3862" s="53" t="s">
        <v>51</v>
      </c>
      <c r="C3862" s="53" t="s">
        <v>30</v>
      </c>
      <c r="D3862" s="54">
        <v>156648.25</v>
      </c>
      <c r="E3862" s="54" t="str">
        <f t="shared" si="1"/>
        <v>₹1,879,779.00</v>
      </c>
      <c r="F3862" s="55" t="str">
        <f t="shared" si="2"/>
        <v>30.0%</v>
      </c>
      <c r="G3862" s="54" t="str">
        <f t="shared" si="3"/>
        <v>₹563,933.70</v>
      </c>
      <c r="H3862" s="54" t="str">
        <f t="shared" si="4"/>
        <v>₹46,994.48</v>
      </c>
      <c r="I3862" s="54" t="str">
        <f>135893.45-H3862</f>
        <v>₹88,898.98</v>
      </c>
    </row>
    <row r="3863" ht="15.75" customHeight="1">
      <c r="A3863" s="50" t="s">
        <v>3945</v>
      </c>
      <c r="B3863" s="50" t="s">
        <v>36</v>
      </c>
      <c r="C3863" s="50" t="s">
        <v>33</v>
      </c>
      <c r="D3863" s="51">
        <v>156671.43</v>
      </c>
      <c r="E3863" s="51" t="str">
        <f t="shared" si="1"/>
        <v>₹1,880,057.16</v>
      </c>
      <c r="F3863" s="52" t="str">
        <f t="shared" si="2"/>
        <v>30.0%</v>
      </c>
      <c r="G3863" s="51" t="str">
        <f t="shared" si="3"/>
        <v>₹564,017.15</v>
      </c>
      <c r="H3863" s="51" t="str">
        <f t="shared" si="4"/>
        <v>₹47,001.43</v>
      </c>
      <c r="I3863" s="51" t="str">
        <f>135913.23-H3863</f>
        <v>₹88,911.80</v>
      </c>
    </row>
    <row r="3864" ht="15.75" customHeight="1">
      <c r="A3864" s="53" t="s">
        <v>3946</v>
      </c>
      <c r="B3864" s="53" t="s">
        <v>36</v>
      </c>
      <c r="C3864" s="53" t="s">
        <v>26</v>
      </c>
      <c r="D3864" s="54">
        <v>156694.61</v>
      </c>
      <c r="E3864" s="54" t="str">
        <f t="shared" si="1"/>
        <v>₹1,880,335.32</v>
      </c>
      <c r="F3864" s="55" t="str">
        <f t="shared" si="2"/>
        <v>30.0%</v>
      </c>
      <c r="G3864" s="54" t="str">
        <f t="shared" si="3"/>
        <v>₹564,100.60</v>
      </c>
      <c r="H3864" s="54" t="str">
        <f t="shared" si="4"/>
        <v>₹47,008.38</v>
      </c>
      <c r="I3864" s="54" t="str">
        <f>135933.02-H3864</f>
        <v>₹88,924.64</v>
      </c>
    </row>
    <row r="3865" ht="15.75" customHeight="1">
      <c r="A3865" s="50" t="s">
        <v>3947</v>
      </c>
      <c r="B3865" s="50" t="s">
        <v>53</v>
      </c>
      <c r="C3865" s="50" t="s">
        <v>33</v>
      </c>
      <c r="D3865" s="51">
        <v>156717.79</v>
      </c>
      <c r="E3865" s="51" t="str">
        <f t="shared" si="1"/>
        <v>₹1,880,613.48</v>
      </c>
      <c r="F3865" s="52" t="str">
        <f t="shared" si="2"/>
        <v>30.0%</v>
      </c>
      <c r="G3865" s="51" t="str">
        <f t="shared" si="3"/>
        <v>₹564,184.04</v>
      </c>
      <c r="H3865" s="51" t="str">
        <f t="shared" si="4"/>
        <v>₹47,015.34</v>
      </c>
      <c r="I3865" s="51" t="str">
        <f>135952.8-H3865</f>
        <v>₹88,937.46</v>
      </c>
    </row>
    <row r="3866" ht="15.75" customHeight="1">
      <c r="A3866" s="53" t="s">
        <v>3948</v>
      </c>
      <c r="B3866" s="53" t="s">
        <v>51</v>
      </c>
      <c r="C3866" s="53" t="s">
        <v>18</v>
      </c>
      <c r="D3866" s="54">
        <v>156764.14</v>
      </c>
      <c r="E3866" s="54" t="str">
        <f t="shared" si="1"/>
        <v>₹1,881,169.68</v>
      </c>
      <c r="F3866" s="55" t="str">
        <f t="shared" si="2"/>
        <v>30.0%</v>
      </c>
      <c r="G3866" s="54" t="str">
        <f t="shared" si="3"/>
        <v>₹564,350.90</v>
      </c>
      <c r="H3866" s="54" t="str">
        <f t="shared" si="4"/>
        <v>₹47,029.24</v>
      </c>
      <c r="I3866" s="54" t="str">
        <f>135992.35-H3866</f>
        <v>₹88,963.11</v>
      </c>
    </row>
    <row r="3867" ht="15.75" customHeight="1">
      <c r="A3867" s="50" t="s">
        <v>3949</v>
      </c>
      <c r="B3867" s="50" t="s">
        <v>36</v>
      </c>
      <c r="C3867" s="50" t="s">
        <v>26</v>
      </c>
      <c r="D3867" s="51">
        <v>156787.32</v>
      </c>
      <c r="E3867" s="51" t="str">
        <f t="shared" si="1"/>
        <v>₹1,881,447.84</v>
      </c>
      <c r="F3867" s="52" t="str">
        <f t="shared" si="2"/>
        <v>30.0%</v>
      </c>
      <c r="G3867" s="51" t="str">
        <f t="shared" si="3"/>
        <v>₹564,434.35</v>
      </c>
      <c r="H3867" s="51" t="str">
        <f t="shared" si="4"/>
        <v>₹47,036.20</v>
      </c>
      <c r="I3867" s="51" t="str">
        <f>136012.14-H3867</f>
        <v>₹88,975.94</v>
      </c>
    </row>
    <row r="3868" ht="15.75" customHeight="1">
      <c r="A3868" s="53" t="s">
        <v>3950</v>
      </c>
      <c r="B3868" s="53" t="s">
        <v>36</v>
      </c>
      <c r="C3868" s="53" t="s">
        <v>14</v>
      </c>
      <c r="D3868" s="54">
        <v>156810.5</v>
      </c>
      <c r="E3868" s="54" t="str">
        <f t="shared" si="1"/>
        <v>₹1,881,726.00</v>
      </c>
      <c r="F3868" s="55" t="str">
        <f t="shared" si="2"/>
        <v>30.0%</v>
      </c>
      <c r="G3868" s="54" t="str">
        <f t="shared" si="3"/>
        <v>₹564,517.80</v>
      </c>
      <c r="H3868" s="54" t="str">
        <f t="shared" si="4"/>
        <v>₹47,043.15</v>
      </c>
      <c r="I3868" s="54" t="str">
        <f>142616.14-H3868</f>
        <v>₹95,572.99</v>
      </c>
    </row>
    <row r="3869" ht="15.75" customHeight="1">
      <c r="A3869" s="50" t="s">
        <v>3951</v>
      </c>
      <c r="B3869" s="50" t="s">
        <v>53</v>
      </c>
      <c r="C3869" s="50" t="s">
        <v>26</v>
      </c>
      <c r="D3869" s="51">
        <v>156833.68</v>
      </c>
      <c r="E3869" s="51" t="str">
        <f t="shared" si="1"/>
        <v>₹1,882,004.16</v>
      </c>
      <c r="F3869" s="52" t="str">
        <f t="shared" si="2"/>
        <v>30.0%</v>
      </c>
      <c r="G3869" s="51" t="str">
        <f t="shared" si="3"/>
        <v>₹564,601.25</v>
      </c>
      <c r="H3869" s="51" t="str">
        <f t="shared" si="4"/>
        <v>₹47,050.10</v>
      </c>
      <c r="I3869" s="51" t="str">
        <f>136051.7-H3869</f>
        <v>₹89,001.60</v>
      </c>
    </row>
    <row r="3870" ht="15.75" customHeight="1">
      <c r="A3870" s="53" t="s">
        <v>3952</v>
      </c>
      <c r="B3870" s="53" t="s">
        <v>29</v>
      </c>
      <c r="C3870" s="53" t="s">
        <v>54</v>
      </c>
      <c r="D3870" s="54">
        <v>156856.85</v>
      </c>
      <c r="E3870" s="54" t="str">
        <f t="shared" si="1"/>
        <v>₹1,882,282.20</v>
      </c>
      <c r="F3870" s="55" t="str">
        <f t="shared" si="2"/>
        <v>30.0%</v>
      </c>
      <c r="G3870" s="54" t="str">
        <f t="shared" si="3"/>
        <v>₹564,684.66</v>
      </c>
      <c r="H3870" s="54" t="str">
        <f t="shared" si="4"/>
        <v>₹47,057.06</v>
      </c>
      <c r="I3870" s="54" t="str">
        <f>136071.47-H3870</f>
        <v>₹89,014.42</v>
      </c>
    </row>
    <row r="3871" ht="15.75" customHeight="1">
      <c r="A3871" s="50" t="s">
        <v>3953</v>
      </c>
      <c r="B3871" s="50" t="s">
        <v>53</v>
      </c>
      <c r="C3871" s="50" t="s">
        <v>14</v>
      </c>
      <c r="D3871" s="51">
        <v>156880.03</v>
      </c>
      <c r="E3871" s="51" t="str">
        <f t="shared" si="1"/>
        <v>₹1,882,560.36</v>
      </c>
      <c r="F3871" s="52" t="str">
        <f t="shared" si="2"/>
        <v>30.0%</v>
      </c>
      <c r="G3871" s="51" t="str">
        <f t="shared" si="3"/>
        <v>₹564,768.11</v>
      </c>
      <c r="H3871" s="51" t="str">
        <f t="shared" si="4"/>
        <v>₹47,064.01</v>
      </c>
      <c r="I3871" s="51" t="str">
        <f>136091.26-H3871</f>
        <v>₹89,027.25</v>
      </c>
    </row>
    <row r="3872" ht="15.75" customHeight="1">
      <c r="A3872" s="53" t="s">
        <v>3954</v>
      </c>
      <c r="B3872" s="53" t="s">
        <v>29</v>
      </c>
      <c r="C3872" s="53" t="s">
        <v>14</v>
      </c>
      <c r="D3872" s="54">
        <v>156903.21</v>
      </c>
      <c r="E3872" s="54" t="str">
        <f t="shared" si="1"/>
        <v>₹1,882,838.52</v>
      </c>
      <c r="F3872" s="55" t="str">
        <f t="shared" si="2"/>
        <v>30.0%</v>
      </c>
      <c r="G3872" s="54" t="str">
        <f t="shared" si="3"/>
        <v>₹564,851.56</v>
      </c>
      <c r="H3872" s="54" t="str">
        <f t="shared" si="4"/>
        <v>₹47,070.96</v>
      </c>
      <c r="I3872" s="54" t="str">
        <f>136111.04-H3872</f>
        <v>₹89,040.08</v>
      </c>
    </row>
    <row r="3873" ht="15.75" customHeight="1">
      <c r="A3873" s="50" t="s">
        <v>3955</v>
      </c>
      <c r="B3873" s="50" t="s">
        <v>36</v>
      </c>
      <c r="C3873" s="50" t="s">
        <v>26</v>
      </c>
      <c r="D3873" s="51">
        <v>156926.39</v>
      </c>
      <c r="E3873" s="51" t="str">
        <f t="shared" si="1"/>
        <v>₹1,883,116.68</v>
      </c>
      <c r="F3873" s="52" t="str">
        <f t="shared" si="2"/>
        <v>30.0%</v>
      </c>
      <c r="G3873" s="51" t="str">
        <f t="shared" si="3"/>
        <v>₹564,935.00</v>
      </c>
      <c r="H3873" s="51" t="str">
        <f t="shared" si="4"/>
        <v>₹47,077.92</v>
      </c>
      <c r="I3873" s="51" t="str">
        <f>136130.82-H3873</f>
        <v>₹89,052.90</v>
      </c>
    </row>
    <row r="3874" ht="15.75" customHeight="1">
      <c r="A3874" s="53" t="s">
        <v>3956</v>
      </c>
      <c r="B3874" s="53" t="s">
        <v>36</v>
      </c>
      <c r="C3874" s="53" t="s">
        <v>54</v>
      </c>
      <c r="D3874" s="54">
        <v>156949.56</v>
      </c>
      <c r="E3874" s="54" t="str">
        <f t="shared" si="1"/>
        <v>₹1,883,394.72</v>
      </c>
      <c r="F3874" s="55" t="str">
        <f t="shared" si="2"/>
        <v>30.0%</v>
      </c>
      <c r="G3874" s="54" t="str">
        <f t="shared" si="3"/>
        <v>₹565,018.42</v>
      </c>
      <c r="H3874" s="54" t="str">
        <f t="shared" si="4"/>
        <v>₹47,084.87</v>
      </c>
      <c r="I3874" s="54" t="str">
        <f>136150.59-H3874</f>
        <v>₹89,065.72</v>
      </c>
    </row>
    <row r="3875" ht="15.75" customHeight="1">
      <c r="A3875" s="50" t="s">
        <v>3957</v>
      </c>
      <c r="B3875" s="50" t="s">
        <v>36</v>
      </c>
      <c r="C3875" s="50" t="s">
        <v>18</v>
      </c>
      <c r="D3875" s="51">
        <v>156972.74</v>
      </c>
      <c r="E3875" s="51" t="str">
        <f t="shared" si="1"/>
        <v>₹1,883,672.88</v>
      </c>
      <c r="F3875" s="52" t="str">
        <f t="shared" si="2"/>
        <v>30.0%</v>
      </c>
      <c r="G3875" s="51" t="str">
        <f t="shared" si="3"/>
        <v>₹565,101.86</v>
      </c>
      <c r="H3875" s="51" t="str">
        <f t="shared" si="4"/>
        <v>₹47,091.82</v>
      </c>
      <c r="I3875" s="51" t="str">
        <f>136170.38-H3875</f>
        <v>₹89,078.56</v>
      </c>
    </row>
    <row r="3876" ht="15.75" customHeight="1">
      <c r="A3876" s="53" t="s">
        <v>3958</v>
      </c>
      <c r="B3876" s="53" t="s">
        <v>29</v>
      </c>
      <c r="C3876" s="53" t="s">
        <v>33</v>
      </c>
      <c r="D3876" s="54">
        <v>156995.92</v>
      </c>
      <c r="E3876" s="54" t="str">
        <f t="shared" si="1"/>
        <v>₹1,883,951.04</v>
      </c>
      <c r="F3876" s="55" t="str">
        <f t="shared" si="2"/>
        <v>30.0%</v>
      </c>
      <c r="G3876" s="54" t="str">
        <f t="shared" si="3"/>
        <v>₹565,185.31</v>
      </c>
      <c r="H3876" s="54" t="str">
        <f t="shared" si="4"/>
        <v>₹47,098.78</v>
      </c>
      <c r="I3876" s="54" t="str">
        <f>136190.16-H3876</f>
        <v>₹89,091.38</v>
      </c>
    </row>
    <row r="3877" ht="15.75" customHeight="1">
      <c r="A3877" s="50" t="s">
        <v>3959</v>
      </c>
      <c r="B3877" s="50" t="s">
        <v>29</v>
      </c>
      <c r="C3877" s="50" t="s">
        <v>33</v>
      </c>
      <c r="D3877" s="51">
        <v>157019.1</v>
      </c>
      <c r="E3877" s="51" t="str">
        <f t="shared" si="1"/>
        <v>₹1,884,229.20</v>
      </c>
      <c r="F3877" s="52" t="str">
        <f t="shared" si="2"/>
        <v>30.0%</v>
      </c>
      <c r="G3877" s="51" t="str">
        <f t="shared" si="3"/>
        <v>₹565,268.76</v>
      </c>
      <c r="H3877" s="51" t="str">
        <f t="shared" si="4"/>
        <v>₹47,105.73</v>
      </c>
      <c r="I3877" s="51" t="str">
        <f>136209.94-H3877</f>
        <v>₹89,104.21</v>
      </c>
    </row>
    <row r="3878" ht="15.75" customHeight="1">
      <c r="A3878" s="53" t="s">
        <v>3960</v>
      </c>
      <c r="B3878" s="53" t="s">
        <v>36</v>
      </c>
      <c r="C3878" s="53" t="s">
        <v>14</v>
      </c>
      <c r="D3878" s="54">
        <v>157042.27</v>
      </c>
      <c r="E3878" s="54" t="str">
        <f t="shared" si="1"/>
        <v>₹1,884,507.24</v>
      </c>
      <c r="F3878" s="55" t="str">
        <f t="shared" si="2"/>
        <v>30.0%</v>
      </c>
      <c r="G3878" s="54" t="str">
        <f t="shared" si="3"/>
        <v>₹565,352.17</v>
      </c>
      <c r="H3878" s="54" t="str">
        <f t="shared" si="4"/>
        <v>₹47,112.68</v>
      </c>
      <c r="I3878" s="54" t="str">
        <f>136229.71-H3878</f>
        <v>₹89,117.03</v>
      </c>
    </row>
    <row r="3879" ht="15.75" customHeight="1">
      <c r="A3879" s="50" t="s">
        <v>3961</v>
      </c>
      <c r="B3879" s="50" t="s">
        <v>25</v>
      </c>
      <c r="C3879" s="50" t="s">
        <v>30</v>
      </c>
      <c r="D3879" s="51">
        <v>157065.45</v>
      </c>
      <c r="E3879" s="51" t="str">
        <f t="shared" si="1"/>
        <v>₹1,884,785.40</v>
      </c>
      <c r="F3879" s="52" t="str">
        <f t="shared" si="2"/>
        <v>30.0%</v>
      </c>
      <c r="G3879" s="51" t="str">
        <f t="shared" si="3"/>
        <v>₹565,435.62</v>
      </c>
      <c r="H3879" s="51" t="str">
        <f t="shared" si="4"/>
        <v>₹47,119.64</v>
      </c>
      <c r="I3879" s="51" t="str">
        <f>136249.5-H3879</f>
        <v>₹89,129.87</v>
      </c>
    </row>
    <row r="3880" ht="15.75" customHeight="1">
      <c r="A3880" s="53" t="s">
        <v>3962</v>
      </c>
      <c r="B3880" s="53" t="s">
        <v>17</v>
      </c>
      <c r="C3880" s="53" t="s">
        <v>26</v>
      </c>
      <c r="D3880" s="54">
        <v>157088.63</v>
      </c>
      <c r="E3880" s="54" t="str">
        <f t="shared" si="1"/>
        <v>₹1,885,063.56</v>
      </c>
      <c r="F3880" s="55" t="str">
        <f t="shared" si="2"/>
        <v>30.0%</v>
      </c>
      <c r="G3880" s="54" t="str">
        <f t="shared" si="3"/>
        <v>₹565,519.07</v>
      </c>
      <c r="H3880" s="54" t="str">
        <f t="shared" si="4"/>
        <v>₹47,126.59</v>
      </c>
      <c r="I3880" s="54" t="str">
        <f>136269.28-H3880</f>
        <v>₹89,142.69</v>
      </c>
    </row>
    <row r="3881" ht="15.75" customHeight="1">
      <c r="A3881" s="50" t="s">
        <v>3963</v>
      </c>
      <c r="B3881" s="50" t="s">
        <v>17</v>
      </c>
      <c r="C3881" s="50" t="s">
        <v>14</v>
      </c>
      <c r="D3881" s="51">
        <v>157111.81</v>
      </c>
      <c r="E3881" s="51" t="str">
        <f t="shared" si="1"/>
        <v>₹1,885,341.72</v>
      </c>
      <c r="F3881" s="52" t="str">
        <f t="shared" si="2"/>
        <v>30.0%</v>
      </c>
      <c r="G3881" s="51" t="str">
        <f t="shared" si="3"/>
        <v>₹565,602.52</v>
      </c>
      <c r="H3881" s="51" t="str">
        <f t="shared" si="4"/>
        <v>₹47,133.54</v>
      </c>
      <c r="I3881" s="51" t="str">
        <f>136289.06-H3881</f>
        <v>₹89,155.52</v>
      </c>
    </row>
    <row r="3882" ht="15.75" customHeight="1">
      <c r="A3882" s="53" t="s">
        <v>3964</v>
      </c>
      <c r="B3882" s="53" t="s">
        <v>25</v>
      </c>
      <c r="C3882" s="53" t="s">
        <v>18</v>
      </c>
      <c r="D3882" s="54">
        <v>157134.99</v>
      </c>
      <c r="E3882" s="54" t="str">
        <f t="shared" si="1"/>
        <v>₹1,885,619.88</v>
      </c>
      <c r="F3882" s="55" t="str">
        <f t="shared" si="2"/>
        <v>30.0%</v>
      </c>
      <c r="G3882" s="54" t="str">
        <f t="shared" si="3"/>
        <v>₹565,685.96</v>
      </c>
      <c r="H3882" s="54" t="str">
        <f t="shared" si="4"/>
        <v>₹47,140.50</v>
      </c>
      <c r="I3882" s="54" t="str">
        <f>136308.84-H3882</f>
        <v>₹89,168.34</v>
      </c>
    </row>
    <row r="3883" ht="15.75" customHeight="1">
      <c r="A3883" s="50" t="s">
        <v>3965</v>
      </c>
      <c r="B3883" s="50" t="s">
        <v>36</v>
      </c>
      <c r="C3883" s="50" t="s">
        <v>18</v>
      </c>
      <c r="D3883" s="51">
        <v>157158.16</v>
      </c>
      <c r="E3883" s="51" t="str">
        <f t="shared" si="1"/>
        <v>₹1,885,897.92</v>
      </c>
      <c r="F3883" s="52" t="str">
        <f t="shared" si="2"/>
        <v>30.0%</v>
      </c>
      <c r="G3883" s="51" t="str">
        <f t="shared" si="3"/>
        <v>₹565,769.38</v>
      </c>
      <c r="H3883" s="51" t="str">
        <f t="shared" si="4"/>
        <v>₹47,147.45</v>
      </c>
      <c r="I3883" s="51" t="str">
        <f>136328.62-H3883</f>
        <v>₹89,181.17</v>
      </c>
    </row>
    <row r="3884" ht="15.75" customHeight="1">
      <c r="A3884" s="53" t="s">
        <v>3966</v>
      </c>
      <c r="B3884" s="53" t="s">
        <v>36</v>
      </c>
      <c r="C3884" s="53" t="s">
        <v>30</v>
      </c>
      <c r="D3884" s="54">
        <v>157181.34</v>
      </c>
      <c r="E3884" s="54" t="str">
        <f t="shared" si="1"/>
        <v>₹1,886,176.08</v>
      </c>
      <c r="F3884" s="55" t="str">
        <f t="shared" si="2"/>
        <v>30.0%</v>
      </c>
      <c r="G3884" s="54" t="str">
        <f t="shared" si="3"/>
        <v>₹565,852.82</v>
      </c>
      <c r="H3884" s="54" t="str">
        <f t="shared" si="4"/>
        <v>₹47,154.40</v>
      </c>
      <c r="I3884" s="54" t="str">
        <f>136348.4-H3884</f>
        <v>₹89,194.00</v>
      </c>
    </row>
    <row r="3885" ht="15.75" customHeight="1">
      <c r="A3885" s="50" t="s">
        <v>3967</v>
      </c>
      <c r="B3885" s="50" t="s">
        <v>36</v>
      </c>
      <c r="C3885" s="50" t="s">
        <v>54</v>
      </c>
      <c r="D3885" s="51">
        <v>157204.52</v>
      </c>
      <c r="E3885" s="51" t="str">
        <f t="shared" si="1"/>
        <v>₹1,886,454.24</v>
      </c>
      <c r="F3885" s="52" t="str">
        <f t="shared" si="2"/>
        <v>30.0%</v>
      </c>
      <c r="G3885" s="51" t="str">
        <f t="shared" si="3"/>
        <v>₹565,936.27</v>
      </c>
      <c r="H3885" s="51" t="str">
        <f t="shared" si="4"/>
        <v>₹47,161.36</v>
      </c>
      <c r="I3885" s="51" t="str">
        <f>136368.18-H3885</f>
        <v>₹89,206.82</v>
      </c>
    </row>
    <row r="3886" ht="15.75" customHeight="1">
      <c r="A3886" s="53" t="s">
        <v>3968</v>
      </c>
      <c r="B3886" s="53" t="s">
        <v>17</v>
      </c>
      <c r="C3886" s="53" t="s">
        <v>37</v>
      </c>
      <c r="D3886" s="54">
        <v>157227.7</v>
      </c>
      <c r="E3886" s="54" t="str">
        <f t="shared" si="1"/>
        <v>₹1,886,732.40</v>
      </c>
      <c r="F3886" s="55" t="str">
        <f t="shared" si="2"/>
        <v>30.0%</v>
      </c>
      <c r="G3886" s="54" t="str">
        <f t="shared" si="3"/>
        <v>₹566,019.72</v>
      </c>
      <c r="H3886" s="54" t="str">
        <f t="shared" si="4"/>
        <v>₹47,168.31</v>
      </c>
      <c r="I3886" s="54" t="str">
        <f>136387.96-H3886</f>
        <v>₹89,219.65</v>
      </c>
    </row>
    <row r="3887" ht="15.75" customHeight="1">
      <c r="A3887" s="50" t="s">
        <v>3969</v>
      </c>
      <c r="B3887" s="50" t="s">
        <v>13</v>
      </c>
      <c r="C3887" s="50" t="s">
        <v>30</v>
      </c>
      <c r="D3887" s="51">
        <v>157250.87</v>
      </c>
      <c r="E3887" s="51" t="str">
        <f t="shared" si="1"/>
        <v>₹1,887,010.44</v>
      </c>
      <c r="F3887" s="52" t="str">
        <f t="shared" si="2"/>
        <v>30.0%</v>
      </c>
      <c r="G3887" s="51" t="str">
        <f t="shared" si="3"/>
        <v>₹566,103.13</v>
      </c>
      <c r="H3887" s="51" t="str">
        <f t="shared" si="4"/>
        <v>₹47,175.26</v>
      </c>
      <c r="I3887" s="51" t="str">
        <f>136407.74-H3887</f>
        <v>₹89,232.48</v>
      </c>
    </row>
    <row r="3888" ht="15.75" customHeight="1">
      <c r="A3888" s="53" t="s">
        <v>3970</v>
      </c>
      <c r="B3888" s="53" t="s">
        <v>13</v>
      </c>
      <c r="C3888" s="53" t="s">
        <v>33</v>
      </c>
      <c r="D3888" s="54">
        <v>157274.05</v>
      </c>
      <c r="E3888" s="54" t="str">
        <f t="shared" si="1"/>
        <v>₹1,887,288.60</v>
      </c>
      <c r="F3888" s="55" t="str">
        <f t="shared" si="2"/>
        <v>30.0%</v>
      </c>
      <c r="G3888" s="54" t="str">
        <f t="shared" si="3"/>
        <v>₹566,186.58</v>
      </c>
      <c r="H3888" s="54" t="str">
        <f t="shared" si="4"/>
        <v>₹47,182.22</v>
      </c>
      <c r="I3888" s="54" t="str">
        <f>136427.52-H3888</f>
        <v>₹89,245.31</v>
      </c>
    </row>
    <row r="3889" ht="15.75" customHeight="1">
      <c r="A3889" s="50" t="s">
        <v>3971</v>
      </c>
      <c r="B3889" s="50" t="s">
        <v>25</v>
      </c>
      <c r="C3889" s="50" t="s">
        <v>33</v>
      </c>
      <c r="D3889" s="51">
        <v>157297.23</v>
      </c>
      <c r="E3889" s="51" t="str">
        <f t="shared" si="1"/>
        <v>₹1,887,566.76</v>
      </c>
      <c r="F3889" s="52" t="str">
        <f t="shared" si="2"/>
        <v>30.0%</v>
      </c>
      <c r="G3889" s="51" t="str">
        <f t="shared" si="3"/>
        <v>₹566,270.03</v>
      </c>
      <c r="H3889" s="51" t="str">
        <f t="shared" si="4"/>
        <v>₹47,189.17</v>
      </c>
      <c r="I3889" s="51" t="str">
        <f>136447.3-H3889</f>
        <v>₹89,258.13</v>
      </c>
    </row>
    <row r="3890" ht="15.75" customHeight="1">
      <c r="A3890" s="53" t="s">
        <v>3972</v>
      </c>
      <c r="B3890" s="53" t="s">
        <v>36</v>
      </c>
      <c r="C3890" s="53" t="s">
        <v>33</v>
      </c>
      <c r="D3890" s="54">
        <v>157343.58</v>
      </c>
      <c r="E3890" s="54" t="str">
        <f t="shared" si="1"/>
        <v>₹1,888,122.96</v>
      </c>
      <c r="F3890" s="55" t="str">
        <f t="shared" si="2"/>
        <v>30.0%</v>
      </c>
      <c r="G3890" s="54" t="str">
        <f t="shared" si="3"/>
        <v>₹566,436.89</v>
      </c>
      <c r="H3890" s="54" t="str">
        <f t="shared" si="4"/>
        <v>₹47,203.07</v>
      </c>
      <c r="I3890" s="54" t="str">
        <f>136486.86-H3890</f>
        <v>₹89,283.79</v>
      </c>
    </row>
    <row r="3891" ht="15.75" customHeight="1">
      <c r="A3891" s="50" t="s">
        <v>3973</v>
      </c>
      <c r="B3891" s="50" t="s">
        <v>51</v>
      </c>
      <c r="C3891" s="50" t="s">
        <v>37</v>
      </c>
      <c r="D3891" s="51">
        <v>157366.76</v>
      </c>
      <c r="E3891" s="51" t="str">
        <f t="shared" si="1"/>
        <v>₹1,888,401.12</v>
      </c>
      <c r="F3891" s="52" t="str">
        <f t="shared" si="2"/>
        <v>30.0%</v>
      </c>
      <c r="G3891" s="51" t="str">
        <f t="shared" si="3"/>
        <v>₹566,520.34</v>
      </c>
      <c r="H3891" s="51" t="str">
        <f t="shared" si="4"/>
        <v>₹47,210.03</v>
      </c>
      <c r="I3891" s="51" t="str">
        <f>136506.64-H3891</f>
        <v>₹89,296.61</v>
      </c>
    </row>
    <row r="3892" ht="15.75" customHeight="1">
      <c r="A3892" s="53" t="s">
        <v>3974</v>
      </c>
      <c r="B3892" s="53" t="s">
        <v>17</v>
      </c>
      <c r="C3892" s="53" t="s">
        <v>14</v>
      </c>
      <c r="D3892" s="54">
        <v>157389.94</v>
      </c>
      <c r="E3892" s="54" t="str">
        <f t="shared" si="1"/>
        <v>₹1,888,679.28</v>
      </c>
      <c r="F3892" s="55" t="str">
        <f t="shared" si="2"/>
        <v>30.0%</v>
      </c>
      <c r="G3892" s="54" t="str">
        <f t="shared" si="3"/>
        <v>₹566,603.78</v>
      </c>
      <c r="H3892" s="54" t="str">
        <f t="shared" si="4"/>
        <v>₹47,216.98</v>
      </c>
      <c r="I3892" s="54" t="str">
        <f>136526.42-H3892</f>
        <v>₹89,309.44</v>
      </c>
    </row>
    <row r="3893" ht="15.75" customHeight="1">
      <c r="A3893" s="50" t="s">
        <v>3975</v>
      </c>
      <c r="B3893" s="50" t="s">
        <v>25</v>
      </c>
      <c r="C3893" s="50" t="s">
        <v>26</v>
      </c>
      <c r="D3893" s="51">
        <v>157413.12</v>
      </c>
      <c r="E3893" s="51" t="str">
        <f t="shared" si="1"/>
        <v>₹1,888,957.44</v>
      </c>
      <c r="F3893" s="52" t="str">
        <f t="shared" si="2"/>
        <v>30.0%</v>
      </c>
      <c r="G3893" s="51" t="str">
        <f t="shared" si="3"/>
        <v>₹566,687.23</v>
      </c>
      <c r="H3893" s="51" t="str">
        <f t="shared" si="4"/>
        <v>₹47,223.94</v>
      </c>
      <c r="I3893" s="51" t="str">
        <f>136546.2-H3893</f>
        <v>₹89,322.26</v>
      </c>
    </row>
    <row r="3894" ht="15.75" customHeight="1">
      <c r="A3894" s="53" t="s">
        <v>3976</v>
      </c>
      <c r="B3894" s="53" t="s">
        <v>13</v>
      </c>
      <c r="C3894" s="53" t="s">
        <v>26</v>
      </c>
      <c r="D3894" s="54">
        <v>157436.3</v>
      </c>
      <c r="E3894" s="54" t="str">
        <f t="shared" si="1"/>
        <v>₹1,889,235.60</v>
      </c>
      <c r="F3894" s="55" t="str">
        <f t="shared" si="2"/>
        <v>30.0%</v>
      </c>
      <c r="G3894" s="54" t="str">
        <f t="shared" si="3"/>
        <v>₹566,770.68</v>
      </c>
      <c r="H3894" s="54" t="str">
        <f t="shared" si="4"/>
        <v>₹47,230.89</v>
      </c>
      <c r="I3894" s="54" t="str">
        <f>136565.99-H3894</f>
        <v>₹89,335.10</v>
      </c>
    </row>
    <row r="3895" ht="15.75" customHeight="1">
      <c r="A3895" s="50" t="s">
        <v>3977</v>
      </c>
      <c r="B3895" s="50" t="s">
        <v>17</v>
      </c>
      <c r="C3895" s="50" t="s">
        <v>37</v>
      </c>
      <c r="D3895" s="51">
        <v>157459.47</v>
      </c>
      <c r="E3895" s="51" t="str">
        <f t="shared" si="1"/>
        <v>₹1,889,513.64</v>
      </c>
      <c r="F3895" s="52" t="str">
        <f t="shared" si="2"/>
        <v>30.0%</v>
      </c>
      <c r="G3895" s="51" t="str">
        <f t="shared" si="3"/>
        <v>₹566,854.09</v>
      </c>
      <c r="H3895" s="51" t="str">
        <f t="shared" si="4"/>
        <v>₹47,237.84</v>
      </c>
      <c r="I3895" s="51" t="str">
        <f>136585.76-H3895</f>
        <v>₹89,347.92</v>
      </c>
    </row>
    <row r="3896" ht="15.75" customHeight="1">
      <c r="A3896" s="53" t="s">
        <v>3978</v>
      </c>
      <c r="B3896" s="53" t="s">
        <v>51</v>
      </c>
      <c r="C3896" s="53" t="s">
        <v>30</v>
      </c>
      <c r="D3896" s="54">
        <v>157482.65</v>
      </c>
      <c r="E3896" s="54" t="str">
        <f t="shared" si="1"/>
        <v>₹1,889,791.80</v>
      </c>
      <c r="F3896" s="55" t="str">
        <f t="shared" si="2"/>
        <v>30.0%</v>
      </c>
      <c r="G3896" s="54" t="str">
        <f t="shared" si="3"/>
        <v>₹566,937.54</v>
      </c>
      <c r="H3896" s="54" t="str">
        <f t="shared" si="4"/>
        <v>₹47,244.80</v>
      </c>
      <c r="I3896" s="54" t="str">
        <f>136605.54-H3896</f>
        <v>₹89,360.75</v>
      </c>
    </row>
    <row r="3897" ht="15.75" customHeight="1">
      <c r="A3897" s="50" t="s">
        <v>3979</v>
      </c>
      <c r="B3897" s="50" t="s">
        <v>51</v>
      </c>
      <c r="C3897" s="50" t="s">
        <v>18</v>
      </c>
      <c r="D3897" s="51">
        <v>157505.83</v>
      </c>
      <c r="E3897" s="51" t="str">
        <f t="shared" si="1"/>
        <v>₹1,890,069.96</v>
      </c>
      <c r="F3897" s="52" t="str">
        <f t="shared" si="2"/>
        <v>30.0%</v>
      </c>
      <c r="G3897" s="51" t="str">
        <f t="shared" si="3"/>
        <v>₹567,020.99</v>
      </c>
      <c r="H3897" s="51" t="str">
        <f t="shared" si="4"/>
        <v>₹47,251.75</v>
      </c>
      <c r="I3897" s="51" t="str">
        <f>136625.32-H3897</f>
        <v>₹89,373.57</v>
      </c>
    </row>
    <row r="3898" ht="15.75" customHeight="1">
      <c r="A3898" s="53" t="s">
        <v>3980</v>
      </c>
      <c r="B3898" s="53" t="s">
        <v>36</v>
      </c>
      <c r="C3898" s="53" t="s">
        <v>30</v>
      </c>
      <c r="D3898" s="54">
        <v>157529.01</v>
      </c>
      <c r="E3898" s="54" t="str">
        <f t="shared" si="1"/>
        <v>₹1,890,348.12</v>
      </c>
      <c r="F3898" s="55" t="str">
        <f t="shared" si="2"/>
        <v>30.0%</v>
      </c>
      <c r="G3898" s="54" t="str">
        <f t="shared" si="3"/>
        <v>₹567,104.44</v>
      </c>
      <c r="H3898" s="54" t="str">
        <f t="shared" si="4"/>
        <v>₹47,258.70</v>
      </c>
      <c r="I3898" s="54" t="str">
        <f>136645.11-H3898</f>
        <v>₹89,386.41</v>
      </c>
    </row>
    <row r="3899" ht="15.75" customHeight="1">
      <c r="A3899" s="50" t="s">
        <v>3981</v>
      </c>
      <c r="B3899" s="50" t="s">
        <v>36</v>
      </c>
      <c r="C3899" s="50" t="s">
        <v>18</v>
      </c>
      <c r="D3899" s="51">
        <v>157552.18</v>
      </c>
      <c r="E3899" s="51" t="str">
        <f t="shared" si="1"/>
        <v>₹1,890,626.16</v>
      </c>
      <c r="F3899" s="52" t="str">
        <f t="shared" si="2"/>
        <v>30.0%</v>
      </c>
      <c r="G3899" s="51" t="str">
        <f t="shared" si="3"/>
        <v>₹567,187.85</v>
      </c>
      <c r="H3899" s="51" t="str">
        <f t="shared" si="4"/>
        <v>₹47,265.65</v>
      </c>
      <c r="I3899" s="51" t="str">
        <f>136664.88-H3899</f>
        <v>₹89,399.23</v>
      </c>
    </row>
    <row r="3900" ht="15.75" customHeight="1">
      <c r="A3900" s="53" t="s">
        <v>3982</v>
      </c>
      <c r="B3900" s="53" t="s">
        <v>53</v>
      </c>
      <c r="C3900" s="53" t="s">
        <v>14</v>
      </c>
      <c r="D3900" s="54">
        <v>157575.36</v>
      </c>
      <c r="E3900" s="54" t="str">
        <f t="shared" si="1"/>
        <v>₹1,890,904.32</v>
      </c>
      <c r="F3900" s="55" t="str">
        <f t="shared" si="2"/>
        <v>30.0%</v>
      </c>
      <c r="G3900" s="54" t="str">
        <f t="shared" si="3"/>
        <v>₹567,271.30</v>
      </c>
      <c r="H3900" s="54" t="str">
        <f t="shared" si="4"/>
        <v>₹47,272.61</v>
      </c>
      <c r="I3900" s="54" t="str">
        <f>136684.66-H3900</f>
        <v>₹89,412.05</v>
      </c>
    </row>
    <row r="3901" ht="15.75" customHeight="1">
      <c r="A3901" s="50" t="s">
        <v>3983</v>
      </c>
      <c r="B3901" s="50" t="s">
        <v>36</v>
      </c>
      <c r="C3901" s="50" t="s">
        <v>26</v>
      </c>
      <c r="D3901" s="51">
        <v>157598.54</v>
      </c>
      <c r="E3901" s="51" t="str">
        <f t="shared" si="1"/>
        <v>₹1,891,182.48</v>
      </c>
      <c r="F3901" s="52" t="str">
        <f t="shared" si="2"/>
        <v>30.0%</v>
      </c>
      <c r="G3901" s="51" t="str">
        <f t="shared" si="3"/>
        <v>₹567,354.74</v>
      </c>
      <c r="H3901" s="51" t="str">
        <f t="shared" si="4"/>
        <v>₹47,279.56</v>
      </c>
      <c r="I3901" s="51" t="str">
        <f>136704.44-H3901</f>
        <v>₹89,424.88</v>
      </c>
    </row>
    <row r="3902" ht="15.75" customHeight="1">
      <c r="A3902" s="53" t="s">
        <v>3984</v>
      </c>
      <c r="B3902" s="53" t="s">
        <v>29</v>
      </c>
      <c r="C3902" s="53" t="s">
        <v>54</v>
      </c>
      <c r="D3902" s="54">
        <v>157621.72</v>
      </c>
      <c r="E3902" s="54" t="str">
        <f t="shared" si="1"/>
        <v>₹1,891,460.64</v>
      </c>
      <c r="F3902" s="55" t="str">
        <f t="shared" si="2"/>
        <v>30.0%</v>
      </c>
      <c r="G3902" s="54" t="str">
        <f t="shared" si="3"/>
        <v>₹567,438.19</v>
      </c>
      <c r="H3902" s="54" t="str">
        <f t="shared" si="4"/>
        <v>₹47,286.52</v>
      </c>
      <c r="I3902" s="54" t="str">
        <f>136724.22-H3902</f>
        <v>₹89,437.70</v>
      </c>
    </row>
    <row r="3903" ht="15.75" customHeight="1">
      <c r="A3903" s="50" t="s">
        <v>3985</v>
      </c>
      <c r="B3903" s="50" t="s">
        <v>25</v>
      </c>
      <c r="C3903" s="50" t="s">
        <v>33</v>
      </c>
      <c r="D3903" s="51">
        <v>157644.89</v>
      </c>
      <c r="E3903" s="51" t="str">
        <f t="shared" si="1"/>
        <v>₹1,891,738.68</v>
      </c>
      <c r="F3903" s="52" t="str">
        <f t="shared" si="2"/>
        <v>30.0%</v>
      </c>
      <c r="G3903" s="51" t="str">
        <f t="shared" si="3"/>
        <v>₹567,521.60</v>
      </c>
      <c r="H3903" s="51" t="str">
        <f t="shared" si="4"/>
        <v>₹47,293.47</v>
      </c>
      <c r="I3903" s="51" t="str">
        <f>136744-H3903</f>
        <v>₹89,450.53</v>
      </c>
    </row>
    <row r="3904" ht="15.75" customHeight="1">
      <c r="A3904" s="53" t="s">
        <v>3986</v>
      </c>
      <c r="B3904" s="53" t="s">
        <v>53</v>
      </c>
      <c r="C3904" s="53" t="s">
        <v>26</v>
      </c>
      <c r="D3904" s="54">
        <v>157668.07</v>
      </c>
      <c r="E3904" s="54" t="str">
        <f t="shared" si="1"/>
        <v>₹1,892,016.84</v>
      </c>
      <c r="F3904" s="55" t="str">
        <f t="shared" si="2"/>
        <v>30.0%</v>
      </c>
      <c r="G3904" s="54" t="str">
        <f t="shared" si="3"/>
        <v>₹567,605.05</v>
      </c>
      <c r="H3904" s="54" t="str">
        <f t="shared" si="4"/>
        <v>₹47,300.42</v>
      </c>
      <c r="I3904" s="54" t="str">
        <f>136763.78-H3904</f>
        <v>₹89,463.36</v>
      </c>
    </row>
    <row r="3905" ht="15.75" customHeight="1">
      <c r="A3905" s="50" t="s">
        <v>3987</v>
      </c>
      <c r="B3905" s="50" t="s">
        <v>17</v>
      </c>
      <c r="C3905" s="50" t="s">
        <v>30</v>
      </c>
      <c r="D3905" s="51">
        <v>157691.25</v>
      </c>
      <c r="E3905" s="51" t="str">
        <f t="shared" si="1"/>
        <v>₹1,892,295.00</v>
      </c>
      <c r="F3905" s="52" t="str">
        <f t="shared" si="2"/>
        <v>30.0%</v>
      </c>
      <c r="G3905" s="51" t="str">
        <f t="shared" si="3"/>
        <v>₹567,688.50</v>
      </c>
      <c r="H3905" s="51" t="str">
        <f t="shared" si="4"/>
        <v>₹47,307.38</v>
      </c>
      <c r="I3905" s="51" t="str">
        <f>136783.56-H3905</f>
        <v>₹89,476.19</v>
      </c>
    </row>
    <row r="3906" ht="15.75" customHeight="1">
      <c r="A3906" s="53" t="s">
        <v>3988</v>
      </c>
      <c r="B3906" s="53" t="s">
        <v>51</v>
      </c>
      <c r="C3906" s="53" t="s">
        <v>30</v>
      </c>
      <c r="D3906" s="54">
        <v>157714.43</v>
      </c>
      <c r="E3906" s="54" t="str">
        <f t="shared" si="1"/>
        <v>₹1,892,573.16</v>
      </c>
      <c r="F3906" s="55" t="str">
        <f t="shared" si="2"/>
        <v>30.0%</v>
      </c>
      <c r="G3906" s="54" t="str">
        <f t="shared" si="3"/>
        <v>₹567,771.95</v>
      </c>
      <c r="H3906" s="54" t="str">
        <f t="shared" si="4"/>
        <v>₹47,314.33</v>
      </c>
      <c r="I3906" s="54" t="str">
        <f>136803.34-H3906</f>
        <v>₹89,489.01</v>
      </c>
    </row>
    <row r="3907" ht="15.75" customHeight="1">
      <c r="A3907" s="50" t="s">
        <v>3989</v>
      </c>
      <c r="B3907" s="50" t="s">
        <v>13</v>
      </c>
      <c r="C3907" s="50" t="s">
        <v>30</v>
      </c>
      <c r="D3907" s="51">
        <v>157737.61</v>
      </c>
      <c r="E3907" s="51" t="str">
        <f t="shared" si="1"/>
        <v>₹1,892,851.32</v>
      </c>
      <c r="F3907" s="52" t="str">
        <f t="shared" si="2"/>
        <v>30.0%</v>
      </c>
      <c r="G3907" s="51" t="str">
        <f t="shared" si="3"/>
        <v>₹567,855.40</v>
      </c>
      <c r="H3907" s="51" t="str">
        <f t="shared" si="4"/>
        <v>₹47,321.28</v>
      </c>
      <c r="I3907" s="51" t="str">
        <f>136823.13-H3907</f>
        <v>₹89,501.85</v>
      </c>
    </row>
    <row r="3908" ht="15.75" customHeight="1">
      <c r="A3908" s="53" t="s">
        <v>3990</v>
      </c>
      <c r="B3908" s="53" t="s">
        <v>25</v>
      </c>
      <c r="C3908" s="53" t="s">
        <v>54</v>
      </c>
      <c r="D3908" s="54">
        <v>157760.78</v>
      </c>
      <c r="E3908" s="54" t="str">
        <f t="shared" si="1"/>
        <v>₹1,893,129.36</v>
      </c>
      <c r="F3908" s="55" t="str">
        <f t="shared" si="2"/>
        <v>30.0%</v>
      </c>
      <c r="G3908" s="54" t="str">
        <f t="shared" si="3"/>
        <v>₹567,938.81</v>
      </c>
      <c r="H3908" s="54" t="str">
        <f t="shared" si="4"/>
        <v>₹47,328.23</v>
      </c>
      <c r="I3908" s="54" t="str">
        <f>136842.9-H3908</f>
        <v>₹89,514.67</v>
      </c>
    </row>
    <row r="3909" ht="15.75" customHeight="1">
      <c r="A3909" s="50" t="s">
        <v>3991</v>
      </c>
      <c r="B3909" s="50" t="s">
        <v>51</v>
      </c>
      <c r="C3909" s="50" t="s">
        <v>14</v>
      </c>
      <c r="D3909" s="51">
        <v>157783.96</v>
      </c>
      <c r="E3909" s="51" t="str">
        <f t="shared" si="1"/>
        <v>₹1,893,407.52</v>
      </c>
      <c r="F3909" s="52" t="str">
        <f t="shared" si="2"/>
        <v>30.0%</v>
      </c>
      <c r="G3909" s="51" t="str">
        <f t="shared" si="3"/>
        <v>₹568,022.26</v>
      </c>
      <c r="H3909" s="51" t="str">
        <f t="shared" si="4"/>
        <v>₹47,335.19</v>
      </c>
      <c r="I3909" s="51" t="str">
        <f>136862.68-H3909</f>
        <v>₹89,527.49</v>
      </c>
    </row>
    <row r="3910" ht="15.75" customHeight="1">
      <c r="A3910" s="53" t="s">
        <v>3992</v>
      </c>
      <c r="B3910" s="53" t="s">
        <v>36</v>
      </c>
      <c r="C3910" s="53" t="s">
        <v>37</v>
      </c>
      <c r="D3910" s="54">
        <v>157807.14</v>
      </c>
      <c r="E3910" s="54" t="str">
        <f t="shared" si="1"/>
        <v>₹1,893,685.68</v>
      </c>
      <c r="F3910" s="55" t="str">
        <f t="shared" si="2"/>
        <v>30.0%</v>
      </c>
      <c r="G3910" s="54" t="str">
        <f t="shared" si="3"/>
        <v>₹568,105.70</v>
      </c>
      <c r="H3910" s="54" t="str">
        <f t="shared" si="4"/>
        <v>₹47,342.14</v>
      </c>
      <c r="I3910" s="54" t="str">
        <f>136882.46-H3910</f>
        <v>₹89,540.32</v>
      </c>
    </row>
    <row r="3911" ht="15.75" customHeight="1">
      <c r="A3911" s="50" t="s">
        <v>3993</v>
      </c>
      <c r="B3911" s="50" t="s">
        <v>17</v>
      </c>
      <c r="C3911" s="50" t="s">
        <v>37</v>
      </c>
      <c r="D3911" s="51">
        <v>157830.32</v>
      </c>
      <c r="E3911" s="51" t="str">
        <f t="shared" si="1"/>
        <v>₹1,893,963.84</v>
      </c>
      <c r="F3911" s="52" t="str">
        <f t="shared" si="2"/>
        <v>30.0%</v>
      </c>
      <c r="G3911" s="51" t="str">
        <f t="shared" si="3"/>
        <v>₹568,189.15</v>
      </c>
      <c r="H3911" s="51" t="str">
        <f t="shared" si="4"/>
        <v>₹47,349.10</v>
      </c>
      <c r="I3911" s="51" t="str">
        <f>136902.25-H3911</f>
        <v>₹89,553.15</v>
      </c>
    </row>
    <row r="3912" ht="15.75" customHeight="1">
      <c r="A3912" s="53" t="s">
        <v>3994</v>
      </c>
      <c r="B3912" s="53" t="s">
        <v>51</v>
      </c>
      <c r="C3912" s="53" t="s">
        <v>26</v>
      </c>
      <c r="D3912" s="54">
        <v>157853.49</v>
      </c>
      <c r="E3912" s="54" t="str">
        <f t="shared" si="1"/>
        <v>₹1,894,241.88</v>
      </c>
      <c r="F3912" s="55" t="str">
        <f t="shared" si="2"/>
        <v>30.0%</v>
      </c>
      <c r="G3912" s="54" t="str">
        <f t="shared" si="3"/>
        <v>₹568,272.56</v>
      </c>
      <c r="H3912" s="54" t="str">
        <f t="shared" si="4"/>
        <v>₹47,356.05</v>
      </c>
      <c r="I3912" s="54" t="str">
        <f>136922.02-H3912</f>
        <v>₹89,565.97</v>
      </c>
    </row>
    <row r="3913" ht="15.75" customHeight="1">
      <c r="A3913" s="50" t="s">
        <v>3995</v>
      </c>
      <c r="B3913" s="50" t="s">
        <v>53</v>
      </c>
      <c r="C3913" s="50" t="s">
        <v>54</v>
      </c>
      <c r="D3913" s="51">
        <v>157876.67</v>
      </c>
      <c r="E3913" s="51" t="str">
        <f t="shared" si="1"/>
        <v>₹1,894,520.04</v>
      </c>
      <c r="F3913" s="52" t="str">
        <f t="shared" si="2"/>
        <v>30.0%</v>
      </c>
      <c r="G3913" s="51" t="str">
        <f t="shared" si="3"/>
        <v>₹568,356.01</v>
      </c>
      <c r="H3913" s="51" t="str">
        <f t="shared" si="4"/>
        <v>₹47,363.00</v>
      </c>
      <c r="I3913" s="51" t="str">
        <f>136941.8-H3913</f>
        <v>₹89,578.80</v>
      </c>
    </row>
    <row r="3914" ht="15.75" customHeight="1">
      <c r="A3914" s="53" t="s">
        <v>3996</v>
      </c>
      <c r="B3914" s="53" t="s">
        <v>53</v>
      </c>
      <c r="C3914" s="53" t="s">
        <v>26</v>
      </c>
      <c r="D3914" s="54">
        <v>157899.85</v>
      </c>
      <c r="E3914" s="54" t="str">
        <f t="shared" si="1"/>
        <v>₹1,894,798.20</v>
      </c>
      <c r="F3914" s="55" t="str">
        <f t="shared" si="2"/>
        <v>30.0%</v>
      </c>
      <c r="G3914" s="54" t="str">
        <f t="shared" si="3"/>
        <v>₹568,439.46</v>
      </c>
      <c r="H3914" s="54" t="str">
        <f t="shared" si="4"/>
        <v>₹47,369.96</v>
      </c>
      <c r="I3914" s="54" t="str">
        <f>136961.58-H3914</f>
        <v>₹89,591.63</v>
      </c>
    </row>
    <row r="3915" ht="15.75" customHeight="1">
      <c r="A3915" s="50" t="s">
        <v>3997</v>
      </c>
      <c r="B3915" s="50" t="s">
        <v>36</v>
      </c>
      <c r="C3915" s="50" t="s">
        <v>33</v>
      </c>
      <c r="D3915" s="51">
        <v>157923.03</v>
      </c>
      <c r="E3915" s="51" t="str">
        <f t="shared" si="1"/>
        <v>₹1,895,076.36</v>
      </c>
      <c r="F3915" s="52" t="str">
        <f t="shared" si="2"/>
        <v>30.0%</v>
      </c>
      <c r="G3915" s="51" t="str">
        <f t="shared" si="3"/>
        <v>₹568,522.91</v>
      </c>
      <c r="H3915" s="51" t="str">
        <f t="shared" si="4"/>
        <v>₹47,376.91</v>
      </c>
      <c r="I3915" s="51" t="str">
        <f>136981.37-H3915</f>
        <v>₹89,604.46</v>
      </c>
    </row>
    <row r="3916" ht="15.75" customHeight="1">
      <c r="A3916" s="53" t="s">
        <v>3998</v>
      </c>
      <c r="B3916" s="53" t="s">
        <v>36</v>
      </c>
      <c r="C3916" s="53" t="s">
        <v>30</v>
      </c>
      <c r="D3916" s="54">
        <v>157946.2</v>
      </c>
      <c r="E3916" s="54" t="str">
        <f t="shared" si="1"/>
        <v>₹1,895,354.40</v>
      </c>
      <c r="F3916" s="55" t="str">
        <f t="shared" si="2"/>
        <v>30.0%</v>
      </c>
      <c r="G3916" s="54" t="str">
        <f t="shared" si="3"/>
        <v>₹568,606.32</v>
      </c>
      <c r="H3916" s="54" t="str">
        <f t="shared" si="4"/>
        <v>₹47,383.86</v>
      </c>
      <c r="I3916" s="54" t="str">
        <f>137001.14-H3916</f>
        <v>₹89,617.28</v>
      </c>
    </row>
    <row r="3917" ht="15.75" customHeight="1">
      <c r="A3917" s="50" t="s">
        <v>3999</v>
      </c>
      <c r="B3917" s="50" t="s">
        <v>25</v>
      </c>
      <c r="C3917" s="50" t="s">
        <v>54</v>
      </c>
      <c r="D3917" s="51">
        <v>157969.38</v>
      </c>
      <c r="E3917" s="51" t="str">
        <f t="shared" si="1"/>
        <v>₹1,895,632.56</v>
      </c>
      <c r="F3917" s="52" t="str">
        <f t="shared" si="2"/>
        <v>30.0%</v>
      </c>
      <c r="G3917" s="51" t="str">
        <f t="shared" si="3"/>
        <v>₹568,689.77</v>
      </c>
      <c r="H3917" s="51" t="str">
        <f t="shared" si="4"/>
        <v>₹47,390.81</v>
      </c>
      <c r="I3917" s="51" t="str">
        <f>137020.92-H3917</f>
        <v>₹89,630.11</v>
      </c>
    </row>
    <row r="3918" ht="15.75" customHeight="1">
      <c r="A3918" s="53" t="s">
        <v>4000</v>
      </c>
      <c r="B3918" s="53" t="s">
        <v>25</v>
      </c>
      <c r="C3918" s="53" t="s">
        <v>14</v>
      </c>
      <c r="D3918" s="54">
        <v>157992.56</v>
      </c>
      <c r="E3918" s="54" t="str">
        <f t="shared" si="1"/>
        <v>₹1,895,910.72</v>
      </c>
      <c r="F3918" s="55" t="str">
        <f t="shared" si="2"/>
        <v>30.0%</v>
      </c>
      <c r="G3918" s="54" t="str">
        <f t="shared" si="3"/>
        <v>₹568,773.22</v>
      </c>
      <c r="H3918" s="54" t="str">
        <f t="shared" si="4"/>
        <v>₹47,397.77</v>
      </c>
      <c r="I3918" s="54" t="str">
        <f>137040.7-H3918</f>
        <v>₹89,642.93</v>
      </c>
    </row>
    <row r="3919" ht="15.75" customHeight="1">
      <c r="A3919" s="50" t="s">
        <v>4001</v>
      </c>
      <c r="B3919" s="50" t="s">
        <v>25</v>
      </c>
      <c r="C3919" s="50" t="s">
        <v>18</v>
      </c>
      <c r="D3919" s="51">
        <v>158015.74</v>
      </c>
      <c r="E3919" s="51" t="str">
        <f t="shared" si="1"/>
        <v>₹1,896,188.88</v>
      </c>
      <c r="F3919" s="52" t="str">
        <f t="shared" si="2"/>
        <v>30.0%</v>
      </c>
      <c r="G3919" s="51" t="str">
        <f t="shared" si="3"/>
        <v>₹568,856.66</v>
      </c>
      <c r="H3919" s="51" t="str">
        <f t="shared" si="4"/>
        <v>₹47,404.72</v>
      </c>
      <c r="I3919" s="51" t="str">
        <f>137060.49-H3919</f>
        <v>₹89,655.77</v>
      </c>
    </row>
    <row r="3920" ht="15.75" customHeight="1">
      <c r="A3920" s="53" t="s">
        <v>4002</v>
      </c>
      <c r="B3920" s="53" t="s">
        <v>53</v>
      </c>
      <c r="C3920" s="53" t="s">
        <v>54</v>
      </c>
      <c r="D3920" s="54">
        <v>158038.92</v>
      </c>
      <c r="E3920" s="54" t="str">
        <f t="shared" si="1"/>
        <v>₹1,896,467.04</v>
      </c>
      <c r="F3920" s="55" t="str">
        <f t="shared" si="2"/>
        <v>30.0%</v>
      </c>
      <c r="G3920" s="54" t="str">
        <f t="shared" si="3"/>
        <v>₹568,940.11</v>
      </c>
      <c r="H3920" s="54" t="str">
        <f t="shared" si="4"/>
        <v>₹47,411.68</v>
      </c>
      <c r="I3920" s="54" t="str">
        <f>137080.27-H3920</f>
        <v>₹89,668.59</v>
      </c>
    </row>
    <row r="3921" ht="15.75" customHeight="1">
      <c r="A3921" s="50" t="s">
        <v>4003</v>
      </c>
      <c r="B3921" s="50" t="s">
        <v>25</v>
      </c>
      <c r="C3921" s="50" t="s">
        <v>30</v>
      </c>
      <c r="D3921" s="51">
        <v>158062.09</v>
      </c>
      <c r="E3921" s="51" t="str">
        <f t="shared" si="1"/>
        <v>₹1,896,745.08</v>
      </c>
      <c r="F3921" s="52" t="str">
        <f t="shared" si="2"/>
        <v>30.0%</v>
      </c>
      <c r="G3921" s="51" t="str">
        <f t="shared" si="3"/>
        <v>₹569,023.52</v>
      </c>
      <c r="H3921" s="51" t="str">
        <f t="shared" si="4"/>
        <v>₹47,418.63</v>
      </c>
      <c r="I3921" s="51" t="str">
        <f>137100.04-H3921</f>
        <v>₹89,681.41</v>
      </c>
    </row>
    <row r="3922" ht="15.75" customHeight="1">
      <c r="A3922" s="53" t="s">
        <v>4004</v>
      </c>
      <c r="B3922" s="53" t="s">
        <v>17</v>
      </c>
      <c r="C3922" s="53" t="s">
        <v>26</v>
      </c>
      <c r="D3922" s="54">
        <v>158085.27</v>
      </c>
      <c r="E3922" s="54" t="str">
        <f t="shared" si="1"/>
        <v>₹1,897,023.24</v>
      </c>
      <c r="F3922" s="55" t="str">
        <f t="shared" si="2"/>
        <v>30.0%</v>
      </c>
      <c r="G3922" s="54" t="str">
        <f t="shared" si="3"/>
        <v>₹569,106.97</v>
      </c>
      <c r="H3922" s="54" t="str">
        <f t="shared" si="4"/>
        <v>₹47,425.58</v>
      </c>
      <c r="I3922" s="54" t="str">
        <f>137119.82-H3922</f>
        <v>₹89,694.24</v>
      </c>
    </row>
    <row r="3923" ht="15.75" customHeight="1">
      <c r="A3923" s="50" t="s">
        <v>4005</v>
      </c>
      <c r="B3923" s="50" t="s">
        <v>51</v>
      </c>
      <c r="C3923" s="50" t="s">
        <v>30</v>
      </c>
      <c r="D3923" s="51">
        <v>158108.45</v>
      </c>
      <c r="E3923" s="51" t="str">
        <f t="shared" si="1"/>
        <v>₹1,897,301.40</v>
      </c>
      <c r="F3923" s="52" t="str">
        <f t="shared" si="2"/>
        <v>30.0%</v>
      </c>
      <c r="G3923" s="51" t="str">
        <f t="shared" si="3"/>
        <v>₹569,190.42</v>
      </c>
      <c r="H3923" s="51" t="str">
        <f t="shared" si="4"/>
        <v>₹47,432.54</v>
      </c>
      <c r="I3923" s="51" t="str">
        <f>137139.61-H3923</f>
        <v>₹89,707.08</v>
      </c>
    </row>
    <row r="3924" ht="15.75" customHeight="1">
      <c r="A3924" s="53" t="s">
        <v>4006</v>
      </c>
      <c r="B3924" s="53" t="s">
        <v>36</v>
      </c>
      <c r="C3924" s="53" t="s">
        <v>37</v>
      </c>
      <c r="D3924" s="54">
        <v>158131.63</v>
      </c>
      <c r="E3924" s="54" t="str">
        <f t="shared" si="1"/>
        <v>₹1,897,579.56</v>
      </c>
      <c r="F3924" s="55" t="str">
        <f t="shared" si="2"/>
        <v>30.0%</v>
      </c>
      <c r="G3924" s="54" t="str">
        <f t="shared" si="3"/>
        <v>₹569,273.87</v>
      </c>
      <c r="H3924" s="54" t="str">
        <f t="shared" si="4"/>
        <v>₹47,439.49</v>
      </c>
      <c r="I3924" s="54" t="str">
        <f>137159.39-H3924</f>
        <v>₹89,719.90</v>
      </c>
    </row>
    <row r="3925" ht="15.75" customHeight="1">
      <c r="A3925" s="50" t="s">
        <v>4007</v>
      </c>
      <c r="B3925" s="50" t="s">
        <v>17</v>
      </c>
      <c r="C3925" s="50" t="s">
        <v>26</v>
      </c>
      <c r="D3925" s="51">
        <v>158154.8</v>
      </c>
      <c r="E3925" s="51" t="str">
        <f t="shared" si="1"/>
        <v>₹1,897,857.60</v>
      </c>
      <c r="F3925" s="52" t="str">
        <f t="shared" si="2"/>
        <v>30.0%</v>
      </c>
      <c r="G3925" s="51" t="str">
        <f t="shared" si="3"/>
        <v>₹569,357.28</v>
      </c>
      <c r="H3925" s="51" t="str">
        <f t="shared" si="4"/>
        <v>₹47,446.44</v>
      </c>
      <c r="I3925" s="51" t="str">
        <f>137179.16-H3925</f>
        <v>₹89,732.72</v>
      </c>
    </row>
    <row r="3926" ht="15.75" customHeight="1">
      <c r="A3926" s="53" t="s">
        <v>4008</v>
      </c>
      <c r="B3926" s="53" t="s">
        <v>29</v>
      </c>
      <c r="C3926" s="53" t="s">
        <v>30</v>
      </c>
      <c r="D3926" s="54">
        <v>158177.98</v>
      </c>
      <c r="E3926" s="54" t="str">
        <f t="shared" si="1"/>
        <v>₹1,898,135.76</v>
      </c>
      <c r="F3926" s="55" t="str">
        <f t="shared" si="2"/>
        <v>30.0%</v>
      </c>
      <c r="G3926" s="54" t="str">
        <f t="shared" si="3"/>
        <v>₹569,440.73</v>
      </c>
      <c r="H3926" s="54" t="str">
        <f t="shared" si="4"/>
        <v>₹47,453.39</v>
      </c>
      <c r="I3926" s="54" t="str">
        <f>137198.94-H3926</f>
        <v>₹89,745.55</v>
      </c>
    </row>
    <row r="3927" ht="15.75" customHeight="1">
      <c r="A3927" s="50" t="s">
        <v>4009</v>
      </c>
      <c r="B3927" s="50" t="s">
        <v>53</v>
      </c>
      <c r="C3927" s="50" t="s">
        <v>18</v>
      </c>
      <c r="D3927" s="51">
        <v>158201.16</v>
      </c>
      <c r="E3927" s="51" t="str">
        <f t="shared" si="1"/>
        <v>₹1,898,413.92</v>
      </c>
      <c r="F3927" s="52" t="str">
        <f t="shared" si="2"/>
        <v>30.0%</v>
      </c>
      <c r="G3927" s="51" t="str">
        <f t="shared" si="3"/>
        <v>₹569,524.18</v>
      </c>
      <c r="H3927" s="51" t="str">
        <f t="shared" si="4"/>
        <v>₹47,460.35</v>
      </c>
      <c r="I3927" s="51" t="str">
        <f>137218.73-H3927</f>
        <v>₹89,758.38</v>
      </c>
    </row>
    <row r="3928" ht="15.75" customHeight="1">
      <c r="A3928" s="53" t="s">
        <v>4010</v>
      </c>
      <c r="B3928" s="53" t="s">
        <v>13</v>
      </c>
      <c r="C3928" s="53" t="s">
        <v>37</v>
      </c>
      <c r="D3928" s="54">
        <v>158224.34</v>
      </c>
      <c r="E3928" s="54" t="str">
        <f t="shared" si="1"/>
        <v>₹1,898,692.08</v>
      </c>
      <c r="F3928" s="55" t="str">
        <f t="shared" si="2"/>
        <v>30.0%</v>
      </c>
      <c r="G3928" s="54" t="str">
        <f t="shared" si="3"/>
        <v>₹569,607.62</v>
      </c>
      <c r="H3928" s="54" t="str">
        <f t="shared" si="4"/>
        <v>₹47,467.30</v>
      </c>
      <c r="I3928" s="54" t="str">
        <f>137238.51-H3928</f>
        <v>₹89,771.21</v>
      </c>
    </row>
    <row r="3929" ht="15.75" customHeight="1">
      <c r="A3929" s="50" t="s">
        <v>4011</v>
      </c>
      <c r="B3929" s="50" t="s">
        <v>51</v>
      </c>
      <c r="C3929" s="50" t="s">
        <v>26</v>
      </c>
      <c r="D3929" s="51">
        <v>158247.51</v>
      </c>
      <c r="E3929" s="51" t="str">
        <f t="shared" si="1"/>
        <v>₹1,898,970.12</v>
      </c>
      <c r="F3929" s="52" t="str">
        <f t="shared" si="2"/>
        <v>30.0%</v>
      </c>
      <c r="G3929" s="51" t="str">
        <f t="shared" si="3"/>
        <v>₹569,691.04</v>
      </c>
      <c r="H3929" s="51" t="str">
        <f t="shared" si="4"/>
        <v>₹47,474.25</v>
      </c>
      <c r="I3929" s="51" t="str">
        <f>137258.28-H3929</f>
        <v>₹89,784.03</v>
      </c>
    </row>
    <row r="3930" ht="15.75" customHeight="1">
      <c r="A3930" s="53" t="s">
        <v>4012</v>
      </c>
      <c r="B3930" s="53" t="s">
        <v>29</v>
      </c>
      <c r="C3930" s="53" t="s">
        <v>33</v>
      </c>
      <c r="D3930" s="54">
        <v>158270.69</v>
      </c>
      <c r="E3930" s="54" t="str">
        <f t="shared" si="1"/>
        <v>₹1,899,248.28</v>
      </c>
      <c r="F3930" s="55" t="str">
        <f t="shared" si="2"/>
        <v>30.0%</v>
      </c>
      <c r="G3930" s="54" t="str">
        <f t="shared" si="3"/>
        <v>₹569,774.48</v>
      </c>
      <c r="H3930" s="54" t="str">
        <f t="shared" si="4"/>
        <v>₹47,481.21</v>
      </c>
      <c r="I3930" s="54" t="str">
        <f>137278.06-H3930</f>
        <v>₹89,796.85</v>
      </c>
    </row>
    <row r="3931" ht="15.75" customHeight="1">
      <c r="A3931" s="50" t="s">
        <v>4013</v>
      </c>
      <c r="B3931" s="50" t="s">
        <v>13</v>
      </c>
      <c r="C3931" s="50" t="s">
        <v>26</v>
      </c>
      <c r="D3931" s="51">
        <v>158293.87</v>
      </c>
      <c r="E3931" s="51" t="str">
        <f t="shared" si="1"/>
        <v>₹1,899,526.44</v>
      </c>
      <c r="F3931" s="52" t="str">
        <f t="shared" si="2"/>
        <v>30.0%</v>
      </c>
      <c r="G3931" s="51" t="str">
        <f t="shared" si="3"/>
        <v>₹569,857.93</v>
      </c>
      <c r="H3931" s="51" t="str">
        <f t="shared" si="4"/>
        <v>₹47,488.16</v>
      </c>
      <c r="I3931" s="51" t="str">
        <f>137297.85-H3931</f>
        <v>₹89,809.69</v>
      </c>
    </row>
    <row r="3932" ht="15.75" customHeight="1">
      <c r="A3932" s="53" t="s">
        <v>4014</v>
      </c>
      <c r="B3932" s="53" t="s">
        <v>17</v>
      </c>
      <c r="C3932" s="53" t="s">
        <v>14</v>
      </c>
      <c r="D3932" s="54">
        <v>158317.05</v>
      </c>
      <c r="E3932" s="54" t="str">
        <f t="shared" si="1"/>
        <v>₹1,899,804.60</v>
      </c>
      <c r="F3932" s="55" t="str">
        <f t="shared" si="2"/>
        <v>30.0%</v>
      </c>
      <c r="G3932" s="54" t="str">
        <f t="shared" si="3"/>
        <v>₹569,941.38</v>
      </c>
      <c r="H3932" s="54" t="str">
        <f t="shared" si="4"/>
        <v>₹47,495.12</v>
      </c>
      <c r="I3932" s="54" t="str">
        <f>137317.63-H3932</f>
        <v>₹89,822.52</v>
      </c>
    </row>
    <row r="3933" ht="15.75" customHeight="1">
      <c r="A3933" s="50" t="s">
        <v>4015</v>
      </c>
      <c r="B3933" s="50" t="s">
        <v>51</v>
      </c>
      <c r="C3933" s="50" t="s">
        <v>18</v>
      </c>
      <c r="D3933" s="51">
        <v>158340.22</v>
      </c>
      <c r="E3933" s="51" t="str">
        <f t="shared" si="1"/>
        <v>₹1,900,082.64</v>
      </c>
      <c r="F3933" s="52" t="str">
        <f t="shared" si="2"/>
        <v>30.0%</v>
      </c>
      <c r="G3933" s="51" t="str">
        <f t="shared" si="3"/>
        <v>₹570,024.79</v>
      </c>
      <c r="H3933" s="51" t="str">
        <f t="shared" si="4"/>
        <v>₹47,502.07</v>
      </c>
      <c r="I3933" s="51" t="str">
        <f>137337.4-H3933</f>
        <v>₹89,835.33</v>
      </c>
    </row>
    <row r="3934" ht="15.75" customHeight="1">
      <c r="A3934" s="53" t="s">
        <v>4016</v>
      </c>
      <c r="B3934" s="53" t="s">
        <v>17</v>
      </c>
      <c r="C3934" s="53" t="s">
        <v>26</v>
      </c>
      <c r="D3934" s="54">
        <v>158363.4</v>
      </c>
      <c r="E3934" s="54" t="str">
        <f t="shared" si="1"/>
        <v>₹1,900,360.80</v>
      </c>
      <c r="F3934" s="55" t="str">
        <f t="shared" si="2"/>
        <v>30.0%</v>
      </c>
      <c r="G3934" s="54" t="str">
        <f t="shared" si="3"/>
        <v>₹570,108.24</v>
      </c>
      <c r="H3934" s="54" t="str">
        <f t="shared" si="4"/>
        <v>₹47,509.02</v>
      </c>
      <c r="I3934" s="54" t="str">
        <f>137357.18-H3934</f>
        <v>₹89,848.16</v>
      </c>
    </row>
    <row r="3935" ht="15.75" customHeight="1">
      <c r="A3935" s="50" t="s">
        <v>4017</v>
      </c>
      <c r="B3935" s="50" t="s">
        <v>51</v>
      </c>
      <c r="C3935" s="50" t="s">
        <v>14</v>
      </c>
      <c r="D3935" s="51">
        <v>158386.58</v>
      </c>
      <c r="E3935" s="51" t="str">
        <f t="shared" si="1"/>
        <v>₹1,900,638.96</v>
      </c>
      <c r="F3935" s="52" t="str">
        <f t="shared" si="2"/>
        <v>30.0%</v>
      </c>
      <c r="G3935" s="51" t="str">
        <f t="shared" si="3"/>
        <v>₹570,191.69</v>
      </c>
      <c r="H3935" s="51" t="str">
        <f t="shared" si="4"/>
        <v>₹47,515.97</v>
      </c>
      <c r="I3935" s="51" t="str">
        <f>137376.97-H3935</f>
        <v>₹89,861.00</v>
      </c>
    </row>
    <row r="3936" ht="15.75" customHeight="1">
      <c r="A3936" s="53" t="s">
        <v>4018</v>
      </c>
      <c r="B3936" s="53" t="s">
        <v>36</v>
      </c>
      <c r="C3936" s="53" t="s">
        <v>54</v>
      </c>
      <c r="D3936" s="54">
        <v>158409.76</v>
      </c>
      <c r="E3936" s="54" t="str">
        <f t="shared" si="1"/>
        <v>₹1,900,917.12</v>
      </c>
      <c r="F3936" s="55" t="str">
        <f t="shared" si="2"/>
        <v>30.0%</v>
      </c>
      <c r="G3936" s="54" t="str">
        <f t="shared" si="3"/>
        <v>₹570,275.14</v>
      </c>
      <c r="H3936" s="54" t="str">
        <f t="shared" si="4"/>
        <v>₹47,522.93</v>
      </c>
      <c r="I3936" s="54" t="str">
        <f>137396.75-H3936</f>
        <v>₹89,873.82</v>
      </c>
    </row>
    <row r="3937" ht="15.75" customHeight="1">
      <c r="A3937" s="50" t="s">
        <v>4019</v>
      </c>
      <c r="B3937" s="50" t="s">
        <v>51</v>
      </c>
      <c r="C3937" s="50" t="s">
        <v>26</v>
      </c>
      <c r="D3937" s="51">
        <v>158432.94</v>
      </c>
      <c r="E3937" s="51" t="str">
        <f t="shared" si="1"/>
        <v>₹1,901,195.28</v>
      </c>
      <c r="F3937" s="52" t="str">
        <f t="shared" si="2"/>
        <v>30.0%</v>
      </c>
      <c r="G3937" s="51" t="str">
        <f t="shared" si="3"/>
        <v>₹570,358.58</v>
      </c>
      <c r="H3937" s="51" t="str">
        <f t="shared" si="4"/>
        <v>₹47,529.88</v>
      </c>
      <c r="I3937" s="51" t="str">
        <f>137416.53-H3937</f>
        <v>₹89,886.65</v>
      </c>
    </row>
    <row r="3938" ht="15.75" customHeight="1">
      <c r="A3938" s="53" t="s">
        <v>4020</v>
      </c>
      <c r="B3938" s="53" t="s">
        <v>29</v>
      </c>
      <c r="C3938" s="53" t="s">
        <v>18</v>
      </c>
      <c r="D3938" s="54">
        <v>158456.11</v>
      </c>
      <c r="E3938" s="54" t="str">
        <f t="shared" si="1"/>
        <v>₹1,901,473.32</v>
      </c>
      <c r="F3938" s="55" t="str">
        <f t="shared" si="2"/>
        <v>30.0%</v>
      </c>
      <c r="G3938" s="54" t="str">
        <f t="shared" si="3"/>
        <v>₹570,442.00</v>
      </c>
      <c r="H3938" s="54" t="str">
        <f t="shared" si="4"/>
        <v>₹47,536.83</v>
      </c>
      <c r="I3938" s="54" t="str">
        <f>137436.3-H3938</f>
        <v>₹89,899.47</v>
      </c>
    </row>
    <row r="3939" ht="15.75" customHeight="1">
      <c r="A3939" s="50" t="s">
        <v>4021</v>
      </c>
      <c r="B3939" s="50" t="s">
        <v>17</v>
      </c>
      <c r="C3939" s="50" t="s">
        <v>37</v>
      </c>
      <c r="D3939" s="51">
        <v>158479.29</v>
      </c>
      <c r="E3939" s="51" t="str">
        <f t="shared" si="1"/>
        <v>₹1,901,751.48</v>
      </c>
      <c r="F3939" s="52" t="str">
        <f t="shared" si="2"/>
        <v>30.0%</v>
      </c>
      <c r="G3939" s="51" t="str">
        <f t="shared" si="3"/>
        <v>₹570,525.44</v>
      </c>
      <c r="H3939" s="51" t="str">
        <f t="shared" si="4"/>
        <v>₹47,543.79</v>
      </c>
      <c r="I3939" s="51" t="str">
        <f>137456.09-H3939</f>
        <v>₹89,912.30</v>
      </c>
    </row>
    <row r="3940" ht="15.75" customHeight="1">
      <c r="A3940" s="53" t="s">
        <v>4022</v>
      </c>
      <c r="B3940" s="53" t="s">
        <v>29</v>
      </c>
      <c r="C3940" s="53" t="s">
        <v>18</v>
      </c>
      <c r="D3940" s="54">
        <v>158502.47</v>
      </c>
      <c r="E3940" s="54" t="str">
        <f t="shared" si="1"/>
        <v>₹1,902,029.64</v>
      </c>
      <c r="F3940" s="55" t="str">
        <f t="shared" si="2"/>
        <v>30.0%</v>
      </c>
      <c r="G3940" s="54" t="str">
        <f t="shared" si="3"/>
        <v>₹570,608.89</v>
      </c>
      <c r="H3940" s="54" t="str">
        <f t="shared" si="4"/>
        <v>₹47,550.74</v>
      </c>
      <c r="I3940" s="54" t="str">
        <f>137475.87-H3940</f>
        <v>₹89,925.13</v>
      </c>
    </row>
    <row r="3941" ht="15.75" customHeight="1">
      <c r="A3941" s="50" t="s">
        <v>4023</v>
      </c>
      <c r="B3941" s="50" t="s">
        <v>13</v>
      </c>
      <c r="C3941" s="50" t="s">
        <v>18</v>
      </c>
      <c r="D3941" s="51">
        <v>158525.65</v>
      </c>
      <c r="E3941" s="51" t="str">
        <f t="shared" si="1"/>
        <v>₹1,902,307.80</v>
      </c>
      <c r="F3941" s="52" t="str">
        <f t="shared" si="2"/>
        <v>30.0%</v>
      </c>
      <c r="G3941" s="51" t="str">
        <f t="shared" si="3"/>
        <v>₹570,692.34</v>
      </c>
      <c r="H3941" s="51" t="str">
        <f t="shared" si="4"/>
        <v>₹47,557.70</v>
      </c>
      <c r="I3941" s="51" t="str">
        <f>137495.65-H3941</f>
        <v>₹89,937.96</v>
      </c>
    </row>
    <row r="3942" ht="15.75" customHeight="1">
      <c r="A3942" s="53" t="s">
        <v>4024</v>
      </c>
      <c r="B3942" s="53" t="s">
        <v>51</v>
      </c>
      <c r="C3942" s="53" t="s">
        <v>14</v>
      </c>
      <c r="D3942" s="54">
        <v>158548.82</v>
      </c>
      <c r="E3942" s="54" t="str">
        <f t="shared" si="1"/>
        <v>₹1,902,585.84</v>
      </c>
      <c r="F3942" s="55" t="str">
        <f t="shared" si="2"/>
        <v>30.0%</v>
      </c>
      <c r="G3942" s="54" t="str">
        <f t="shared" si="3"/>
        <v>₹570,775.75</v>
      </c>
      <c r="H3942" s="54" t="str">
        <f t="shared" si="4"/>
        <v>₹47,564.65</v>
      </c>
      <c r="I3942" s="54" t="str">
        <f>137515.42-H3942</f>
        <v>₹89,950.77</v>
      </c>
    </row>
    <row r="3943" ht="15.75" customHeight="1">
      <c r="A3943" s="50" t="s">
        <v>4025</v>
      </c>
      <c r="B3943" s="50" t="s">
        <v>53</v>
      </c>
      <c r="C3943" s="50" t="s">
        <v>33</v>
      </c>
      <c r="D3943" s="51">
        <v>158572.0</v>
      </c>
      <c r="E3943" s="51" t="str">
        <f t="shared" si="1"/>
        <v>₹1,902,864.00</v>
      </c>
      <c r="F3943" s="52" t="str">
        <f t="shared" si="2"/>
        <v>30.0%</v>
      </c>
      <c r="G3943" s="51" t="str">
        <f t="shared" si="3"/>
        <v>₹570,859.20</v>
      </c>
      <c r="H3943" s="51" t="str">
        <f t="shared" si="4"/>
        <v>₹47,571.60</v>
      </c>
      <c r="I3943" s="51" t="str">
        <f>137535.21-H3943</f>
        <v>₹89,963.61</v>
      </c>
    </row>
    <row r="3944" ht="15.75" customHeight="1">
      <c r="A3944" s="53" t="s">
        <v>4026</v>
      </c>
      <c r="B3944" s="53" t="s">
        <v>25</v>
      </c>
      <c r="C3944" s="53" t="s">
        <v>54</v>
      </c>
      <c r="D3944" s="54">
        <v>158595.18</v>
      </c>
      <c r="E3944" s="54" t="str">
        <f t="shared" si="1"/>
        <v>₹1,903,142.16</v>
      </c>
      <c r="F3944" s="55" t="str">
        <f t="shared" si="2"/>
        <v>30.0%</v>
      </c>
      <c r="G3944" s="54" t="str">
        <f t="shared" si="3"/>
        <v>₹570,942.65</v>
      </c>
      <c r="H3944" s="54" t="str">
        <f t="shared" si="4"/>
        <v>₹47,578.55</v>
      </c>
      <c r="I3944" s="54" t="str">
        <f>137554.99-H3944</f>
        <v>₹89,976.44</v>
      </c>
    </row>
    <row r="3945" ht="15.75" customHeight="1">
      <c r="A3945" s="50" t="s">
        <v>4027</v>
      </c>
      <c r="B3945" s="50" t="s">
        <v>25</v>
      </c>
      <c r="C3945" s="50" t="s">
        <v>14</v>
      </c>
      <c r="D3945" s="51">
        <v>158618.36</v>
      </c>
      <c r="E3945" s="51" t="str">
        <f t="shared" si="1"/>
        <v>₹1,903,420.32</v>
      </c>
      <c r="F3945" s="52" t="str">
        <f t="shared" si="2"/>
        <v>30.0%</v>
      </c>
      <c r="G3945" s="51" t="str">
        <f t="shared" si="3"/>
        <v>₹571,026.10</v>
      </c>
      <c r="H3945" s="51" t="str">
        <f t="shared" si="4"/>
        <v>₹47,585.51</v>
      </c>
      <c r="I3945" s="51" t="str">
        <f>137574.77-H3945</f>
        <v>₹89,989.26</v>
      </c>
    </row>
    <row r="3946" ht="15.75" customHeight="1">
      <c r="A3946" s="53" t="s">
        <v>4028</v>
      </c>
      <c r="B3946" s="53" t="s">
        <v>53</v>
      </c>
      <c r="C3946" s="53" t="s">
        <v>37</v>
      </c>
      <c r="D3946" s="54">
        <v>158641.53</v>
      </c>
      <c r="E3946" s="54" t="str">
        <f t="shared" si="1"/>
        <v>₹1,903,698.36</v>
      </c>
      <c r="F3946" s="55" t="str">
        <f t="shared" si="2"/>
        <v>30.0%</v>
      </c>
      <c r="G3946" s="54" t="str">
        <f t="shared" si="3"/>
        <v>₹571,109.51</v>
      </c>
      <c r="H3946" s="54" t="str">
        <f t="shared" si="4"/>
        <v>₹47,592.46</v>
      </c>
      <c r="I3946" s="54" t="str">
        <f>137594.54-H3946</f>
        <v>₹90,002.08</v>
      </c>
    </row>
    <row r="3947" ht="15.75" customHeight="1">
      <c r="A3947" s="50" t="s">
        <v>4029</v>
      </c>
      <c r="B3947" s="50" t="s">
        <v>29</v>
      </c>
      <c r="C3947" s="50" t="s">
        <v>54</v>
      </c>
      <c r="D3947" s="51">
        <v>158664.71</v>
      </c>
      <c r="E3947" s="51" t="str">
        <f t="shared" si="1"/>
        <v>₹1,903,976.52</v>
      </c>
      <c r="F3947" s="52" t="str">
        <f t="shared" si="2"/>
        <v>30.0%</v>
      </c>
      <c r="G3947" s="51" t="str">
        <f t="shared" si="3"/>
        <v>₹571,192.96</v>
      </c>
      <c r="H3947" s="51" t="str">
        <f t="shared" si="4"/>
        <v>₹47,599.41</v>
      </c>
      <c r="I3947" s="51" t="str">
        <f>143834.53-H3947</f>
        <v>₹96,235.12</v>
      </c>
    </row>
    <row r="3948" ht="15.75" customHeight="1">
      <c r="A3948" s="53" t="s">
        <v>4030</v>
      </c>
      <c r="B3948" s="53" t="s">
        <v>13</v>
      </c>
      <c r="C3948" s="53" t="s">
        <v>54</v>
      </c>
      <c r="D3948" s="54">
        <v>158687.89</v>
      </c>
      <c r="E3948" s="54" t="str">
        <f t="shared" si="1"/>
        <v>₹1,904,254.68</v>
      </c>
      <c r="F3948" s="55" t="str">
        <f t="shared" si="2"/>
        <v>30.0%</v>
      </c>
      <c r="G3948" s="54" t="str">
        <f t="shared" si="3"/>
        <v>₹571,276.40</v>
      </c>
      <c r="H3948" s="54" t="str">
        <f t="shared" si="4"/>
        <v>₹47,606.37</v>
      </c>
      <c r="I3948" s="54" t="str">
        <f>137634.11-H3948</f>
        <v>₹90,027.74</v>
      </c>
    </row>
    <row r="3949" ht="15.75" customHeight="1">
      <c r="A3949" s="50" t="s">
        <v>4031</v>
      </c>
      <c r="B3949" s="50" t="s">
        <v>29</v>
      </c>
      <c r="C3949" s="50" t="s">
        <v>33</v>
      </c>
      <c r="D3949" s="51">
        <v>158734.25</v>
      </c>
      <c r="E3949" s="51" t="str">
        <f t="shared" si="1"/>
        <v>₹1,904,811.00</v>
      </c>
      <c r="F3949" s="52" t="str">
        <f t="shared" si="2"/>
        <v>30.0%</v>
      </c>
      <c r="G3949" s="51" t="str">
        <f t="shared" si="3"/>
        <v>₹571,443.30</v>
      </c>
      <c r="H3949" s="51" t="str">
        <f t="shared" si="4"/>
        <v>₹47,620.28</v>
      </c>
      <c r="I3949" s="51" t="str">
        <f>137673.67-H3949</f>
        <v>₹90,053.40</v>
      </c>
    </row>
    <row r="3950" ht="15.75" customHeight="1">
      <c r="A3950" s="53" t="s">
        <v>4032</v>
      </c>
      <c r="B3950" s="53" t="s">
        <v>53</v>
      </c>
      <c r="C3950" s="53" t="s">
        <v>33</v>
      </c>
      <c r="D3950" s="54">
        <v>158757.42</v>
      </c>
      <c r="E3950" s="54" t="str">
        <f t="shared" si="1"/>
        <v>₹1,905,089.04</v>
      </c>
      <c r="F3950" s="55" t="str">
        <f t="shared" si="2"/>
        <v>30.0%</v>
      </c>
      <c r="G3950" s="54" t="str">
        <f t="shared" si="3"/>
        <v>₹571,526.71</v>
      </c>
      <c r="H3950" s="54" t="str">
        <f t="shared" si="4"/>
        <v>₹47,627.23</v>
      </c>
      <c r="I3950" s="54" t="str">
        <f>137693.44-H3950</f>
        <v>₹90,066.21</v>
      </c>
    </row>
    <row r="3951" ht="15.75" customHeight="1">
      <c r="A3951" s="50" t="s">
        <v>4033</v>
      </c>
      <c r="B3951" s="50" t="s">
        <v>17</v>
      </c>
      <c r="C3951" s="50" t="s">
        <v>37</v>
      </c>
      <c r="D3951" s="51">
        <v>158780.6</v>
      </c>
      <c r="E3951" s="51" t="str">
        <f t="shared" si="1"/>
        <v>₹1,905,367.20</v>
      </c>
      <c r="F3951" s="52" t="str">
        <f t="shared" si="2"/>
        <v>30.0%</v>
      </c>
      <c r="G3951" s="51" t="str">
        <f t="shared" si="3"/>
        <v>₹571,610.16</v>
      </c>
      <c r="H3951" s="51" t="str">
        <f t="shared" si="4"/>
        <v>₹47,634.18</v>
      </c>
      <c r="I3951" s="51" t="str">
        <f>137713.23-H3951</f>
        <v>₹90,079.05</v>
      </c>
    </row>
    <row r="3952" ht="15.75" customHeight="1">
      <c r="A3952" s="53" t="s">
        <v>4034</v>
      </c>
      <c r="B3952" s="53" t="s">
        <v>25</v>
      </c>
      <c r="C3952" s="53" t="s">
        <v>30</v>
      </c>
      <c r="D3952" s="54">
        <v>158803.78</v>
      </c>
      <c r="E3952" s="54" t="str">
        <f t="shared" si="1"/>
        <v>₹1,905,645.36</v>
      </c>
      <c r="F3952" s="55" t="str">
        <f t="shared" si="2"/>
        <v>30.0%</v>
      </c>
      <c r="G3952" s="54" t="str">
        <f t="shared" si="3"/>
        <v>₹571,693.61</v>
      </c>
      <c r="H3952" s="54" t="str">
        <f t="shared" si="4"/>
        <v>₹47,641.13</v>
      </c>
      <c r="I3952" s="54" t="str">
        <f>137733.01-H3952</f>
        <v>₹90,091.88</v>
      </c>
    </row>
    <row r="3953" ht="15.75" customHeight="1">
      <c r="A3953" s="50" t="s">
        <v>4035</v>
      </c>
      <c r="B3953" s="50" t="s">
        <v>36</v>
      </c>
      <c r="C3953" s="50" t="s">
        <v>30</v>
      </c>
      <c r="D3953" s="51">
        <v>158826.96</v>
      </c>
      <c r="E3953" s="51" t="str">
        <f t="shared" si="1"/>
        <v>₹1,905,923.52</v>
      </c>
      <c r="F3953" s="52" t="str">
        <f t="shared" si="2"/>
        <v>30.0%</v>
      </c>
      <c r="G3953" s="51" t="str">
        <f t="shared" si="3"/>
        <v>₹571,777.06</v>
      </c>
      <c r="H3953" s="51" t="str">
        <f t="shared" si="4"/>
        <v>₹47,648.09</v>
      </c>
      <c r="I3953" s="51" t="str">
        <f>137752.79-H3953</f>
        <v>₹90,104.70</v>
      </c>
    </row>
    <row r="3954" ht="15.75" customHeight="1">
      <c r="A3954" s="53" t="s">
        <v>4036</v>
      </c>
      <c r="B3954" s="53" t="s">
        <v>29</v>
      </c>
      <c r="C3954" s="53" t="s">
        <v>26</v>
      </c>
      <c r="D3954" s="54">
        <v>158850.13</v>
      </c>
      <c r="E3954" s="54" t="str">
        <f t="shared" si="1"/>
        <v>₹1,906,201.56</v>
      </c>
      <c r="F3954" s="55" t="str">
        <f t="shared" si="2"/>
        <v>30.0%</v>
      </c>
      <c r="G3954" s="54" t="str">
        <f t="shared" si="3"/>
        <v>₹571,860.47</v>
      </c>
      <c r="H3954" s="54" t="str">
        <f t="shared" si="4"/>
        <v>₹47,655.04</v>
      </c>
      <c r="I3954" s="54" t="str">
        <f>137772.56-H3954</f>
        <v>₹90,117.52</v>
      </c>
    </row>
    <row r="3955" ht="15.75" customHeight="1">
      <c r="A3955" s="50" t="s">
        <v>4037</v>
      </c>
      <c r="B3955" s="50" t="s">
        <v>53</v>
      </c>
      <c r="C3955" s="50" t="s">
        <v>14</v>
      </c>
      <c r="D3955" s="51">
        <v>158873.31</v>
      </c>
      <c r="E3955" s="51" t="str">
        <f t="shared" si="1"/>
        <v>₹1,906,479.72</v>
      </c>
      <c r="F3955" s="52" t="str">
        <f t="shared" si="2"/>
        <v>30.0%</v>
      </c>
      <c r="G3955" s="51" t="str">
        <f t="shared" si="3"/>
        <v>₹571,943.92</v>
      </c>
      <c r="H3955" s="51" t="str">
        <f t="shared" si="4"/>
        <v>₹47,661.99</v>
      </c>
      <c r="I3955" s="51" t="str">
        <f>137792.35-H3955</f>
        <v>₹90,130.36</v>
      </c>
    </row>
    <row r="3956" ht="15.75" customHeight="1">
      <c r="A3956" s="53" t="s">
        <v>4038</v>
      </c>
      <c r="B3956" s="53" t="s">
        <v>13</v>
      </c>
      <c r="C3956" s="53" t="s">
        <v>26</v>
      </c>
      <c r="D3956" s="54">
        <v>158896.49</v>
      </c>
      <c r="E3956" s="54" t="str">
        <f t="shared" si="1"/>
        <v>₹1,906,757.88</v>
      </c>
      <c r="F3956" s="55" t="str">
        <f t="shared" si="2"/>
        <v>30.0%</v>
      </c>
      <c r="G3956" s="54" t="str">
        <f t="shared" si="3"/>
        <v>₹572,027.36</v>
      </c>
      <c r="H3956" s="54" t="str">
        <f t="shared" si="4"/>
        <v>₹47,668.95</v>
      </c>
      <c r="I3956" s="54" t="str">
        <f>137812.13-H3956</f>
        <v>₹90,143.18</v>
      </c>
    </row>
    <row r="3957" ht="15.75" customHeight="1">
      <c r="A3957" s="50" t="s">
        <v>4039</v>
      </c>
      <c r="B3957" s="50" t="s">
        <v>17</v>
      </c>
      <c r="C3957" s="50" t="s">
        <v>33</v>
      </c>
      <c r="D3957" s="51">
        <v>158919.67</v>
      </c>
      <c r="E3957" s="51" t="str">
        <f t="shared" si="1"/>
        <v>₹1,907,036.04</v>
      </c>
      <c r="F3957" s="52" t="str">
        <f t="shared" si="2"/>
        <v>30.0%</v>
      </c>
      <c r="G3957" s="51" t="str">
        <f t="shared" si="3"/>
        <v>₹572,110.81</v>
      </c>
      <c r="H3957" s="51" t="str">
        <f t="shared" si="4"/>
        <v>₹47,675.90</v>
      </c>
      <c r="I3957" s="51" t="str">
        <f>137831.91-H3957</f>
        <v>₹90,156.01</v>
      </c>
    </row>
    <row r="3958" ht="15.75" customHeight="1">
      <c r="A3958" s="53" t="s">
        <v>4040</v>
      </c>
      <c r="B3958" s="53" t="s">
        <v>13</v>
      </c>
      <c r="C3958" s="53" t="s">
        <v>37</v>
      </c>
      <c r="D3958" s="54">
        <v>158966.02</v>
      </c>
      <c r="E3958" s="54" t="str">
        <f t="shared" si="1"/>
        <v>₹1,907,592.24</v>
      </c>
      <c r="F3958" s="55" t="str">
        <f t="shared" si="2"/>
        <v>30.0%</v>
      </c>
      <c r="G3958" s="54" t="str">
        <f t="shared" si="3"/>
        <v>₹572,277.67</v>
      </c>
      <c r="H3958" s="54" t="str">
        <f t="shared" si="4"/>
        <v>₹47,689.81</v>
      </c>
      <c r="I3958" s="54" t="str">
        <f>137871.47-H3958</f>
        <v>₹90,181.66</v>
      </c>
    </row>
    <row r="3959" ht="15.75" customHeight="1">
      <c r="A3959" s="50" t="s">
        <v>4041</v>
      </c>
      <c r="B3959" s="50" t="s">
        <v>53</v>
      </c>
      <c r="C3959" s="50" t="s">
        <v>14</v>
      </c>
      <c r="D3959" s="51">
        <v>158989.2</v>
      </c>
      <c r="E3959" s="51" t="str">
        <f t="shared" si="1"/>
        <v>₹1,907,870.40</v>
      </c>
      <c r="F3959" s="52" t="str">
        <f t="shared" si="2"/>
        <v>30.0%</v>
      </c>
      <c r="G3959" s="51" t="str">
        <f t="shared" si="3"/>
        <v>₹572,361.12</v>
      </c>
      <c r="H3959" s="51" t="str">
        <f t="shared" si="4"/>
        <v>₹47,696.76</v>
      </c>
      <c r="I3959" s="51" t="str">
        <f>137891.25-H3959</f>
        <v>₹90,194.49</v>
      </c>
    </row>
    <row r="3960" ht="15.75" customHeight="1">
      <c r="A3960" s="53" t="s">
        <v>4042</v>
      </c>
      <c r="B3960" s="53" t="s">
        <v>25</v>
      </c>
      <c r="C3960" s="53" t="s">
        <v>30</v>
      </c>
      <c r="D3960" s="54">
        <v>159012.38</v>
      </c>
      <c r="E3960" s="54" t="str">
        <f t="shared" si="1"/>
        <v>₹1,908,148.56</v>
      </c>
      <c r="F3960" s="55" t="str">
        <f t="shared" si="2"/>
        <v>30.0%</v>
      </c>
      <c r="G3960" s="54" t="str">
        <f t="shared" si="3"/>
        <v>₹572,444.57</v>
      </c>
      <c r="H3960" s="54" t="str">
        <f t="shared" si="4"/>
        <v>₹47,703.71</v>
      </c>
      <c r="I3960" s="54" t="str">
        <f>137911.03-H3960</f>
        <v>₹90,207.32</v>
      </c>
    </row>
    <row r="3961" ht="15.75" customHeight="1">
      <c r="A3961" s="50" t="s">
        <v>4043</v>
      </c>
      <c r="B3961" s="50" t="s">
        <v>29</v>
      </c>
      <c r="C3961" s="50" t="s">
        <v>37</v>
      </c>
      <c r="D3961" s="51">
        <v>159035.56</v>
      </c>
      <c r="E3961" s="51" t="str">
        <f t="shared" si="1"/>
        <v>₹1,908,426.72</v>
      </c>
      <c r="F3961" s="52" t="str">
        <f t="shared" si="2"/>
        <v>30.0%</v>
      </c>
      <c r="G3961" s="51" t="str">
        <f t="shared" si="3"/>
        <v>₹572,528.02</v>
      </c>
      <c r="H3961" s="51" t="str">
        <f t="shared" si="4"/>
        <v>₹47,710.67</v>
      </c>
      <c r="I3961" s="51" t="str">
        <f>137930.81-H3961</f>
        <v>₹90,220.14</v>
      </c>
    </row>
    <row r="3962" ht="15.75" customHeight="1">
      <c r="A3962" s="53" t="s">
        <v>4044</v>
      </c>
      <c r="B3962" s="53" t="s">
        <v>13</v>
      </c>
      <c r="C3962" s="53" t="s">
        <v>30</v>
      </c>
      <c r="D3962" s="54">
        <v>159058.73</v>
      </c>
      <c r="E3962" s="54" t="str">
        <f t="shared" si="1"/>
        <v>₹1,908,704.76</v>
      </c>
      <c r="F3962" s="55" t="str">
        <f t="shared" si="2"/>
        <v>30.0%</v>
      </c>
      <c r="G3962" s="54" t="str">
        <f t="shared" si="3"/>
        <v>₹572,611.43</v>
      </c>
      <c r="H3962" s="54" t="str">
        <f t="shared" si="4"/>
        <v>₹47,717.62</v>
      </c>
      <c r="I3962" s="54" t="str">
        <f>137950.59-H3962</f>
        <v>₹90,232.97</v>
      </c>
    </row>
    <row r="3963" ht="15.75" customHeight="1">
      <c r="A3963" s="50" t="s">
        <v>4045</v>
      </c>
      <c r="B3963" s="50" t="s">
        <v>51</v>
      </c>
      <c r="C3963" s="50" t="s">
        <v>26</v>
      </c>
      <c r="D3963" s="51">
        <v>159081.91</v>
      </c>
      <c r="E3963" s="51" t="str">
        <f t="shared" si="1"/>
        <v>₹1,908,982.92</v>
      </c>
      <c r="F3963" s="52" t="str">
        <f t="shared" si="2"/>
        <v>30.0%</v>
      </c>
      <c r="G3963" s="51" t="str">
        <f t="shared" si="3"/>
        <v>₹572,694.88</v>
      </c>
      <c r="H3963" s="51" t="str">
        <f t="shared" si="4"/>
        <v>₹47,724.57</v>
      </c>
      <c r="I3963" s="51" t="str">
        <f>137970.37-H3963</f>
        <v>₹90,245.80</v>
      </c>
    </row>
    <row r="3964" ht="15.75" customHeight="1">
      <c r="A3964" s="53" t="s">
        <v>4046</v>
      </c>
      <c r="B3964" s="53" t="s">
        <v>13</v>
      </c>
      <c r="C3964" s="53" t="s">
        <v>30</v>
      </c>
      <c r="D3964" s="54">
        <v>159105.09</v>
      </c>
      <c r="E3964" s="54" t="str">
        <f t="shared" si="1"/>
        <v>₹1,909,261.08</v>
      </c>
      <c r="F3964" s="55" t="str">
        <f t="shared" si="2"/>
        <v>30.0%</v>
      </c>
      <c r="G3964" s="54" t="str">
        <f t="shared" si="3"/>
        <v>₹572,778.32</v>
      </c>
      <c r="H3964" s="54" t="str">
        <f t="shared" si="4"/>
        <v>₹47,731.53</v>
      </c>
      <c r="I3964" s="54" t="str">
        <f>137990.15-H3964</f>
        <v>₹90,258.62</v>
      </c>
    </row>
    <row r="3965" ht="15.75" customHeight="1">
      <c r="A3965" s="50" t="s">
        <v>4047</v>
      </c>
      <c r="B3965" s="50" t="s">
        <v>51</v>
      </c>
      <c r="C3965" s="50" t="s">
        <v>26</v>
      </c>
      <c r="D3965" s="51">
        <v>159128.27</v>
      </c>
      <c r="E3965" s="51" t="str">
        <f t="shared" si="1"/>
        <v>₹1,909,539.24</v>
      </c>
      <c r="F3965" s="52" t="str">
        <f t="shared" si="2"/>
        <v>30.0%</v>
      </c>
      <c r="G3965" s="51" t="str">
        <f t="shared" si="3"/>
        <v>₹572,861.77</v>
      </c>
      <c r="H3965" s="51" t="str">
        <f t="shared" si="4"/>
        <v>₹47,738.48</v>
      </c>
      <c r="I3965" s="51" t="str">
        <f>138009.93-H3965</f>
        <v>₹90,271.45</v>
      </c>
    </row>
    <row r="3966" ht="15.75" customHeight="1">
      <c r="A3966" s="53" t="s">
        <v>4048</v>
      </c>
      <c r="B3966" s="53" t="s">
        <v>53</v>
      </c>
      <c r="C3966" s="53" t="s">
        <v>26</v>
      </c>
      <c r="D3966" s="54">
        <v>159151.44</v>
      </c>
      <c r="E3966" s="54" t="str">
        <f t="shared" si="1"/>
        <v>₹1,909,817.28</v>
      </c>
      <c r="F3966" s="55" t="str">
        <f t="shared" si="2"/>
        <v>30.0%</v>
      </c>
      <c r="G3966" s="54" t="str">
        <f t="shared" si="3"/>
        <v>₹572,945.18</v>
      </c>
      <c r="H3966" s="54" t="str">
        <f t="shared" si="4"/>
        <v>₹47,745.43</v>
      </c>
      <c r="I3966" s="54" t="str">
        <f>138029.71-H3966</f>
        <v>₹90,284.28</v>
      </c>
    </row>
    <row r="3967" ht="15.75" customHeight="1">
      <c r="A3967" s="50" t="s">
        <v>4049</v>
      </c>
      <c r="B3967" s="50" t="s">
        <v>51</v>
      </c>
      <c r="C3967" s="50" t="s">
        <v>37</v>
      </c>
      <c r="D3967" s="51">
        <v>159174.62</v>
      </c>
      <c r="E3967" s="51" t="str">
        <f t="shared" si="1"/>
        <v>₹1,910,095.44</v>
      </c>
      <c r="F3967" s="52" t="str">
        <f t="shared" si="2"/>
        <v>30.0%</v>
      </c>
      <c r="G3967" s="51" t="str">
        <f t="shared" si="3"/>
        <v>₹573,028.63</v>
      </c>
      <c r="H3967" s="51" t="str">
        <f t="shared" si="4"/>
        <v>₹47,752.39</v>
      </c>
      <c r="I3967" s="51" t="str">
        <f>138049.49-H3967</f>
        <v>₹90,297.10</v>
      </c>
    </row>
    <row r="3968" ht="15.75" customHeight="1">
      <c r="A3968" s="53" t="s">
        <v>4050</v>
      </c>
      <c r="B3968" s="53" t="s">
        <v>29</v>
      </c>
      <c r="C3968" s="53" t="s">
        <v>37</v>
      </c>
      <c r="D3968" s="54">
        <v>159197.8</v>
      </c>
      <c r="E3968" s="54" t="str">
        <f t="shared" si="1"/>
        <v>₹1,910,373.60</v>
      </c>
      <c r="F3968" s="55" t="str">
        <f t="shared" si="2"/>
        <v>30.0%</v>
      </c>
      <c r="G3968" s="54" t="str">
        <f t="shared" si="3"/>
        <v>₹573,112.08</v>
      </c>
      <c r="H3968" s="54" t="str">
        <f t="shared" si="4"/>
        <v>₹47,759.34</v>
      </c>
      <c r="I3968" s="54" t="str">
        <f>138069.27-H3968</f>
        <v>₹90,309.93</v>
      </c>
    </row>
    <row r="3969" ht="15.75" customHeight="1">
      <c r="A3969" s="50" t="s">
        <v>4051</v>
      </c>
      <c r="B3969" s="50" t="s">
        <v>17</v>
      </c>
      <c r="C3969" s="50" t="s">
        <v>33</v>
      </c>
      <c r="D3969" s="51">
        <v>159220.98</v>
      </c>
      <c r="E3969" s="51" t="str">
        <f t="shared" si="1"/>
        <v>₹1,910,651.76</v>
      </c>
      <c r="F3969" s="52" t="str">
        <f t="shared" si="2"/>
        <v>30.0%</v>
      </c>
      <c r="G3969" s="51" t="str">
        <f t="shared" si="3"/>
        <v>₹573,195.53</v>
      </c>
      <c r="H3969" s="51" t="str">
        <f t="shared" si="4"/>
        <v>₹47,766.29</v>
      </c>
      <c r="I3969" s="51" t="str">
        <f>138089.05-H3969</f>
        <v>₹90,322.76</v>
      </c>
    </row>
    <row r="3970" ht="15.75" customHeight="1">
      <c r="A3970" s="53" t="s">
        <v>4052</v>
      </c>
      <c r="B3970" s="53" t="s">
        <v>29</v>
      </c>
      <c r="C3970" s="53" t="s">
        <v>14</v>
      </c>
      <c r="D3970" s="54">
        <v>159244.15</v>
      </c>
      <c r="E3970" s="54" t="str">
        <f t="shared" si="1"/>
        <v>₹1,910,929.80</v>
      </c>
      <c r="F3970" s="55" t="str">
        <f t="shared" si="2"/>
        <v>30.0%</v>
      </c>
      <c r="G3970" s="54" t="str">
        <f t="shared" si="3"/>
        <v>₹573,278.94</v>
      </c>
      <c r="H3970" s="54" t="str">
        <f t="shared" si="4"/>
        <v>₹47,773.25</v>
      </c>
      <c r="I3970" s="54" t="str">
        <f>138108.83-H3970</f>
        <v>₹90,335.59</v>
      </c>
    </row>
    <row r="3971" ht="15.75" customHeight="1">
      <c r="A3971" s="50" t="s">
        <v>4053</v>
      </c>
      <c r="B3971" s="50" t="s">
        <v>25</v>
      </c>
      <c r="C3971" s="50" t="s">
        <v>18</v>
      </c>
      <c r="D3971" s="51">
        <v>159267.33</v>
      </c>
      <c r="E3971" s="51" t="str">
        <f t="shared" si="1"/>
        <v>₹1,911,207.96</v>
      </c>
      <c r="F3971" s="52" t="str">
        <f t="shared" si="2"/>
        <v>30.0%</v>
      </c>
      <c r="G3971" s="51" t="str">
        <f t="shared" si="3"/>
        <v>₹573,362.39</v>
      </c>
      <c r="H3971" s="51" t="str">
        <f t="shared" si="4"/>
        <v>₹47,780.20</v>
      </c>
      <c r="I3971" s="51" t="str">
        <f>138128.61-H3971</f>
        <v>₹90,348.41</v>
      </c>
    </row>
    <row r="3972" ht="15.75" customHeight="1">
      <c r="A3972" s="53" t="s">
        <v>4054</v>
      </c>
      <c r="B3972" s="53" t="s">
        <v>51</v>
      </c>
      <c r="C3972" s="53" t="s">
        <v>18</v>
      </c>
      <c r="D3972" s="54">
        <v>159313.69</v>
      </c>
      <c r="E3972" s="54" t="str">
        <f t="shared" si="1"/>
        <v>₹1,911,764.28</v>
      </c>
      <c r="F3972" s="55" t="str">
        <f t="shared" si="2"/>
        <v>30.0%</v>
      </c>
      <c r="G3972" s="54" t="str">
        <f t="shared" si="3"/>
        <v>₹573,529.28</v>
      </c>
      <c r="H3972" s="54" t="str">
        <f t="shared" si="4"/>
        <v>₹47,794.11</v>
      </c>
      <c r="I3972" s="54" t="str">
        <f>138168.17-H3972</f>
        <v>₹90,374.06</v>
      </c>
    </row>
    <row r="3973" ht="15.75" customHeight="1">
      <c r="A3973" s="50" t="s">
        <v>4055</v>
      </c>
      <c r="B3973" s="50" t="s">
        <v>25</v>
      </c>
      <c r="C3973" s="50" t="s">
        <v>26</v>
      </c>
      <c r="D3973" s="51">
        <v>159336.87</v>
      </c>
      <c r="E3973" s="51" t="str">
        <f t="shared" si="1"/>
        <v>₹1,912,042.44</v>
      </c>
      <c r="F3973" s="52" t="str">
        <f t="shared" si="2"/>
        <v>30.0%</v>
      </c>
      <c r="G3973" s="51" t="str">
        <f t="shared" si="3"/>
        <v>₹573,612.73</v>
      </c>
      <c r="H3973" s="51" t="str">
        <f t="shared" si="4"/>
        <v>₹47,801.06</v>
      </c>
      <c r="I3973" s="51" t="str">
        <f>138187.96-H3973</f>
        <v>₹90,386.90</v>
      </c>
    </row>
    <row r="3974" ht="15.75" customHeight="1">
      <c r="A3974" s="53" t="s">
        <v>4056</v>
      </c>
      <c r="B3974" s="53" t="s">
        <v>36</v>
      </c>
      <c r="C3974" s="53" t="s">
        <v>30</v>
      </c>
      <c r="D3974" s="54">
        <v>159360.04</v>
      </c>
      <c r="E3974" s="54" t="str">
        <f t="shared" si="1"/>
        <v>₹1,912,320.48</v>
      </c>
      <c r="F3974" s="55" t="str">
        <f t="shared" si="2"/>
        <v>30.0%</v>
      </c>
      <c r="G3974" s="54" t="str">
        <f t="shared" si="3"/>
        <v>₹573,696.14</v>
      </c>
      <c r="H3974" s="54" t="str">
        <f t="shared" si="4"/>
        <v>₹47,808.01</v>
      </c>
      <c r="I3974" s="54" t="str">
        <f>138207.73-H3974</f>
        <v>₹90,399.72</v>
      </c>
    </row>
    <row r="3975" ht="15.75" customHeight="1">
      <c r="A3975" s="50" t="s">
        <v>4057</v>
      </c>
      <c r="B3975" s="50" t="s">
        <v>36</v>
      </c>
      <c r="C3975" s="50" t="s">
        <v>33</v>
      </c>
      <c r="D3975" s="51">
        <v>159383.22</v>
      </c>
      <c r="E3975" s="51" t="str">
        <f t="shared" si="1"/>
        <v>₹1,912,598.64</v>
      </c>
      <c r="F3975" s="52" t="str">
        <f t="shared" si="2"/>
        <v>30.0%</v>
      </c>
      <c r="G3975" s="51" t="str">
        <f t="shared" si="3"/>
        <v>₹573,779.59</v>
      </c>
      <c r="H3975" s="51" t="str">
        <f t="shared" si="4"/>
        <v>₹47,814.97</v>
      </c>
      <c r="I3975" s="51" t="str">
        <f>138227.51-H3975</f>
        <v>₹90,412.54</v>
      </c>
    </row>
    <row r="3976" ht="15.75" customHeight="1">
      <c r="A3976" s="53" t="s">
        <v>4058</v>
      </c>
      <c r="B3976" s="53" t="s">
        <v>17</v>
      </c>
      <c r="C3976" s="53" t="s">
        <v>37</v>
      </c>
      <c r="D3976" s="54">
        <v>159406.4</v>
      </c>
      <c r="E3976" s="54" t="str">
        <f t="shared" si="1"/>
        <v>₹1,912,876.80</v>
      </c>
      <c r="F3976" s="55" t="str">
        <f t="shared" si="2"/>
        <v>30.0%</v>
      </c>
      <c r="G3976" s="54" t="str">
        <f t="shared" si="3"/>
        <v>₹573,863.04</v>
      </c>
      <c r="H3976" s="54" t="str">
        <f t="shared" si="4"/>
        <v>₹47,821.92</v>
      </c>
      <c r="I3976" s="54" t="str">
        <f>138247.29-H3976</f>
        <v>₹90,425.37</v>
      </c>
    </row>
    <row r="3977" ht="15.75" customHeight="1">
      <c r="A3977" s="50" t="s">
        <v>4059</v>
      </c>
      <c r="B3977" s="50" t="s">
        <v>29</v>
      </c>
      <c r="C3977" s="50" t="s">
        <v>18</v>
      </c>
      <c r="D3977" s="51">
        <v>159429.58</v>
      </c>
      <c r="E3977" s="51" t="str">
        <f t="shared" si="1"/>
        <v>₹1,913,154.96</v>
      </c>
      <c r="F3977" s="52" t="str">
        <f t="shared" si="2"/>
        <v>30.0%</v>
      </c>
      <c r="G3977" s="51" t="str">
        <f t="shared" si="3"/>
        <v>₹573,946.49</v>
      </c>
      <c r="H3977" s="51" t="str">
        <f t="shared" si="4"/>
        <v>₹47,828.87</v>
      </c>
      <c r="I3977" s="51" t="str">
        <f>138267.08-H3977</f>
        <v>₹90,438.21</v>
      </c>
    </row>
    <row r="3978" ht="15.75" customHeight="1">
      <c r="A3978" s="53" t="s">
        <v>4060</v>
      </c>
      <c r="B3978" s="53" t="s">
        <v>13</v>
      </c>
      <c r="C3978" s="53" t="s">
        <v>14</v>
      </c>
      <c r="D3978" s="54">
        <v>159452.75</v>
      </c>
      <c r="E3978" s="54" t="str">
        <f t="shared" si="1"/>
        <v>₹1,913,433.00</v>
      </c>
      <c r="F3978" s="55" t="str">
        <f t="shared" si="2"/>
        <v>30.0%</v>
      </c>
      <c r="G3978" s="54" t="str">
        <f t="shared" si="3"/>
        <v>₹574,029.90</v>
      </c>
      <c r="H3978" s="54" t="str">
        <f t="shared" si="4"/>
        <v>₹47,835.83</v>
      </c>
      <c r="I3978" s="54" t="str">
        <f>138286.85-H3978</f>
        <v>₹90,451.03</v>
      </c>
    </row>
    <row r="3979" ht="15.75" customHeight="1">
      <c r="A3979" s="50" t="s">
        <v>4061</v>
      </c>
      <c r="B3979" s="50" t="s">
        <v>51</v>
      </c>
      <c r="C3979" s="50" t="s">
        <v>14</v>
      </c>
      <c r="D3979" s="51">
        <v>159475.93</v>
      </c>
      <c r="E3979" s="51" t="str">
        <f t="shared" si="1"/>
        <v>₹1,913,711.16</v>
      </c>
      <c r="F3979" s="52" t="str">
        <f t="shared" si="2"/>
        <v>30.0%</v>
      </c>
      <c r="G3979" s="51" t="str">
        <f t="shared" si="3"/>
        <v>₹574,113.35</v>
      </c>
      <c r="H3979" s="51" t="str">
        <f t="shared" si="4"/>
        <v>₹47,842.78</v>
      </c>
      <c r="I3979" s="51" t="str">
        <f>138306.63-H3979</f>
        <v>₹90,463.85</v>
      </c>
    </row>
    <row r="3980" ht="15.75" customHeight="1">
      <c r="A3980" s="53" t="s">
        <v>4062</v>
      </c>
      <c r="B3980" s="53" t="s">
        <v>13</v>
      </c>
      <c r="C3980" s="53" t="s">
        <v>33</v>
      </c>
      <c r="D3980" s="54">
        <v>159499.11</v>
      </c>
      <c r="E3980" s="54" t="str">
        <f t="shared" si="1"/>
        <v>₹1,913,989.32</v>
      </c>
      <c r="F3980" s="55" t="str">
        <f t="shared" si="2"/>
        <v>30.0%</v>
      </c>
      <c r="G3980" s="54" t="str">
        <f t="shared" si="3"/>
        <v>₹574,196.80</v>
      </c>
      <c r="H3980" s="54" t="str">
        <f t="shared" si="4"/>
        <v>₹47,849.73</v>
      </c>
      <c r="I3980" s="54" t="str">
        <f>138326.41-H3980</f>
        <v>₹90,476.68</v>
      </c>
    </row>
    <row r="3981" ht="15.75" customHeight="1">
      <c r="A3981" s="50" t="s">
        <v>4063</v>
      </c>
      <c r="B3981" s="50" t="s">
        <v>51</v>
      </c>
      <c r="C3981" s="50" t="s">
        <v>37</v>
      </c>
      <c r="D3981" s="51">
        <v>159522.29</v>
      </c>
      <c r="E3981" s="51" t="str">
        <f t="shared" si="1"/>
        <v>₹1,914,267.48</v>
      </c>
      <c r="F3981" s="52" t="str">
        <f t="shared" si="2"/>
        <v>30.0%</v>
      </c>
      <c r="G3981" s="51" t="str">
        <f t="shared" si="3"/>
        <v>₹574,280.24</v>
      </c>
      <c r="H3981" s="51" t="str">
        <f t="shared" si="4"/>
        <v>₹47,856.69</v>
      </c>
      <c r="I3981" s="51" t="str">
        <f>138346.2-H3981</f>
        <v>₹90,489.51</v>
      </c>
    </row>
    <row r="3982" ht="15.75" customHeight="1">
      <c r="A3982" s="53" t="s">
        <v>4064</v>
      </c>
      <c r="B3982" s="53" t="s">
        <v>36</v>
      </c>
      <c r="C3982" s="53" t="s">
        <v>33</v>
      </c>
      <c r="D3982" s="54">
        <v>159545.46</v>
      </c>
      <c r="E3982" s="54" t="str">
        <f t="shared" si="1"/>
        <v>₹1,914,545.52</v>
      </c>
      <c r="F3982" s="55" t="str">
        <f t="shared" si="2"/>
        <v>30.0%</v>
      </c>
      <c r="G3982" s="54" t="str">
        <f t="shared" si="3"/>
        <v>₹574,363.66</v>
      </c>
      <c r="H3982" s="54" t="str">
        <f t="shared" si="4"/>
        <v>₹47,863.64</v>
      </c>
      <c r="I3982" s="54" t="str">
        <f>138365.97-H3982</f>
        <v>₹90,502.33</v>
      </c>
    </row>
    <row r="3983" ht="15.75" customHeight="1">
      <c r="A3983" s="50" t="s">
        <v>4065</v>
      </c>
      <c r="B3983" s="50" t="s">
        <v>36</v>
      </c>
      <c r="C3983" s="50" t="s">
        <v>26</v>
      </c>
      <c r="D3983" s="51">
        <v>159568.64</v>
      </c>
      <c r="E3983" s="51" t="str">
        <f t="shared" si="1"/>
        <v>₹1,914,823.68</v>
      </c>
      <c r="F3983" s="52" t="str">
        <f t="shared" si="2"/>
        <v>30.0%</v>
      </c>
      <c r="G3983" s="51" t="str">
        <f t="shared" si="3"/>
        <v>₹574,447.10</v>
      </c>
      <c r="H3983" s="51" t="str">
        <f t="shared" si="4"/>
        <v>₹47,870.59</v>
      </c>
      <c r="I3983" s="51" t="str">
        <f>138385.75-H3983</f>
        <v>₹90,515.16</v>
      </c>
    </row>
    <row r="3984" ht="15.75" customHeight="1">
      <c r="A3984" s="53" t="s">
        <v>4066</v>
      </c>
      <c r="B3984" s="53" t="s">
        <v>29</v>
      </c>
      <c r="C3984" s="53" t="s">
        <v>33</v>
      </c>
      <c r="D3984" s="54">
        <v>159591.82</v>
      </c>
      <c r="E3984" s="54" t="str">
        <f t="shared" si="1"/>
        <v>₹1,915,101.84</v>
      </c>
      <c r="F3984" s="55" t="str">
        <f t="shared" si="2"/>
        <v>30.0%</v>
      </c>
      <c r="G3984" s="54" t="str">
        <f t="shared" si="3"/>
        <v>₹574,530.55</v>
      </c>
      <c r="H3984" s="54" t="str">
        <f t="shared" si="4"/>
        <v>₹47,877.55</v>
      </c>
      <c r="I3984" s="54" t="str">
        <f>138405.53-H3984</f>
        <v>₹90,527.98</v>
      </c>
    </row>
    <row r="3985" ht="15.75" customHeight="1">
      <c r="A3985" s="50" t="s">
        <v>4067</v>
      </c>
      <c r="B3985" s="50" t="s">
        <v>51</v>
      </c>
      <c r="C3985" s="50" t="s">
        <v>30</v>
      </c>
      <c r="D3985" s="51">
        <v>159615.0</v>
      </c>
      <c r="E3985" s="51" t="str">
        <f t="shared" si="1"/>
        <v>₹1,915,380.00</v>
      </c>
      <c r="F3985" s="52" t="str">
        <f t="shared" si="2"/>
        <v>30.0%</v>
      </c>
      <c r="G3985" s="51" t="str">
        <f t="shared" si="3"/>
        <v>₹574,614.00</v>
      </c>
      <c r="H3985" s="51" t="str">
        <f t="shared" si="4"/>
        <v>₹47,884.50</v>
      </c>
      <c r="I3985" s="51" t="str">
        <f>138425.32-H3985</f>
        <v>₹90,540.82</v>
      </c>
    </row>
    <row r="3986" ht="15.75" customHeight="1">
      <c r="A3986" s="53" t="s">
        <v>4068</v>
      </c>
      <c r="B3986" s="53" t="s">
        <v>13</v>
      </c>
      <c r="C3986" s="53" t="s">
        <v>33</v>
      </c>
      <c r="D3986" s="54">
        <v>159638.18</v>
      </c>
      <c r="E3986" s="54" t="str">
        <f t="shared" si="1"/>
        <v>₹1,915,658.16</v>
      </c>
      <c r="F3986" s="55" t="str">
        <f t="shared" si="2"/>
        <v>30.0%</v>
      </c>
      <c r="G3986" s="54" t="str">
        <f t="shared" si="3"/>
        <v>₹574,697.45</v>
      </c>
      <c r="H3986" s="54" t="str">
        <f t="shared" si="4"/>
        <v>₹47,891.45</v>
      </c>
      <c r="I3986" s="54" t="str">
        <f>138445.1-H3986</f>
        <v>₹90,553.65</v>
      </c>
    </row>
    <row r="3987" ht="15.75" customHeight="1">
      <c r="A3987" s="50" t="s">
        <v>4069</v>
      </c>
      <c r="B3987" s="50" t="s">
        <v>25</v>
      </c>
      <c r="C3987" s="50" t="s">
        <v>54</v>
      </c>
      <c r="D3987" s="51">
        <v>159661.35</v>
      </c>
      <c r="E3987" s="51" t="str">
        <f t="shared" si="1"/>
        <v>₹1,915,936.20</v>
      </c>
      <c r="F3987" s="52" t="str">
        <f t="shared" si="2"/>
        <v>30.0%</v>
      </c>
      <c r="G3987" s="51" t="str">
        <f t="shared" si="3"/>
        <v>₹574,780.86</v>
      </c>
      <c r="H3987" s="51" t="str">
        <f t="shared" si="4"/>
        <v>₹47,898.41</v>
      </c>
      <c r="I3987" s="51" t="str">
        <f>138464.87-H3987</f>
        <v>₹90,566.47</v>
      </c>
    </row>
    <row r="3988" ht="15.75" customHeight="1">
      <c r="A3988" s="53" t="s">
        <v>4070</v>
      </c>
      <c r="B3988" s="53" t="s">
        <v>25</v>
      </c>
      <c r="C3988" s="53" t="s">
        <v>54</v>
      </c>
      <c r="D3988" s="54">
        <v>159684.53</v>
      </c>
      <c r="E3988" s="54" t="str">
        <f t="shared" si="1"/>
        <v>₹1,916,214.36</v>
      </c>
      <c r="F3988" s="55" t="str">
        <f t="shared" si="2"/>
        <v>30.0%</v>
      </c>
      <c r="G3988" s="54" t="str">
        <f t="shared" si="3"/>
        <v>₹574,864.31</v>
      </c>
      <c r="H3988" s="54" t="str">
        <f t="shared" si="4"/>
        <v>₹47,905.36</v>
      </c>
      <c r="I3988" s="54" t="str">
        <f>138484.65-H3988</f>
        <v>₹90,579.29</v>
      </c>
    </row>
    <row r="3989" ht="15.75" customHeight="1">
      <c r="A3989" s="50" t="s">
        <v>4071</v>
      </c>
      <c r="B3989" s="50" t="s">
        <v>51</v>
      </c>
      <c r="C3989" s="50" t="s">
        <v>26</v>
      </c>
      <c r="D3989" s="51">
        <v>159707.71</v>
      </c>
      <c r="E3989" s="51" t="str">
        <f t="shared" si="1"/>
        <v>₹1,916,492.52</v>
      </c>
      <c r="F3989" s="52" t="str">
        <f t="shared" si="2"/>
        <v>30.0%</v>
      </c>
      <c r="G3989" s="51" t="str">
        <f t="shared" si="3"/>
        <v>₹574,947.76</v>
      </c>
      <c r="H3989" s="51" t="str">
        <f t="shared" si="4"/>
        <v>₹47,912.31</v>
      </c>
      <c r="I3989" s="51" t="str">
        <f>138504.44-H3989</f>
        <v>₹90,592.13</v>
      </c>
    </row>
    <row r="3990" ht="15.75" customHeight="1">
      <c r="A3990" s="53" t="s">
        <v>4072</v>
      </c>
      <c r="B3990" s="53" t="s">
        <v>17</v>
      </c>
      <c r="C3990" s="53" t="s">
        <v>37</v>
      </c>
      <c r="D3990" s="54">
        <v>159730.89</v>
      </c>
      <c r="E3990" s="54" t="str">
        <f t="shared" si="1"/>
        <v>₹1,916,770.68</v>
      </c>
      <c r="F3990" s="55" t="str">
        <f t="shared" si="2"/>
        <v>30.0%</v>
      </c>
      <c r="G3990" s="54" t="str">
        <f t="shared" si="3"/>
        <v>₹575,031.20</v>
      </c>
      <c r="H3990" s="54" t="str">
        <f t="shared" si="4"/>
        <v>₹47,919.27</v>
      </c>
      <c r="I3990" s="54" t="str">
        <f>138524.22-H3990</f>
        <v>₹90,604.95</v>
      </c>
    </row>
    <row r="3991" ht="15.75" customHeight="1">
      <c r="A3991" s="50" t="s">
        <v>4073</v>
      </c>
      <c r="B3991" s="50" t="s">
        <v>51</v>
      </c>
      <c r="C3991" s="50" t="s">
        <v>14</v>
      </c>
      <c r="D3991" s="51">
        <v>159754.06</v>
      </c>
      <c r="E3991" s="51" t="str">
        <f t="shared" si="1"/>
        <v>₹1,917,048.72</v>
      </c>
      <c r="F3991" s="52" t="str">
        <f t="shared" si="2"/>
        <v>30.0%</v>
      </c>
      <c r="G3991" s="51" t="str">
        <f t="shared" si="3"/>
        <v>₹575,114.62</v>
      </c>
      <c r="H3991" s="51" t="str">
        <f t="shared" si="4"/>
        <v>₹47,926.22</v>
      </c>
      <c r="I3991" s="51" t="str">
        <f>138543.99-H3991</f>
        <v>₹90,617.77</v>
      </c>
    </row>
    <row r="3992" ht="15.75" customHeight="1">
      <c r="A3992" s="53" t="s">
        <v>4074</v>
      </c>
      <c r="B3992" s="53" t="s">
        <v>17</v>
      </c>
      <c r="C3992" s="53" t="s">
        <v>14</v>
      </c>
      <c r="D3992" s="54">
        <v>159777.24</v>
      </c>
      <c r="E3992" s="54" t="str">
        <f t="shared" si="1"/>
        <v>₹1,917,326.88</v>
      </c>
      <c r="F3992" s="55" t="str">
        <f t="shared" si="2"/>
        <v>30.0%</v>
      </c>
      <c r="G3992" s="54" t="str">
        <f t="shared" si="3"/>
        <v>₹575,198.06</v>
      </c>
      <c r="H3992" s="54" t="str">
        <f t="shared" si="4"/>
        <v>₹47,933.17</v>
      </c>
      <c r="I3992" s="54" t="str">
        <f>138563.77-H3992</f>
        <v>₹90,630.60</v>
      </c>
    </row>
    <row r="3993" ht="15.75" customHeight="1">
      <c r="A3993" s="50" t="s">
        <v>4075</v>
      </c>
      <c r="B3993" s="50" t="s">
        <v>25</v>
      </c>
      <c r="C3993" s="50" t="s">
        <v>33</v>
      </c>
      <c r="D3993" s="51">
        <v>159800.42</v>
      </c>
      <c r="E3993" s="51" t="str">
        <f t="shared" si="1"/>
        <v>₹1,917,605.04</v>
      </c>
      <c r="F3993" s="52" t="str">
        <f t="shared" si="2"/>
        <v>30.0%</v>
      </c>
      <c r="G3993" s="51" t="str">
        <f t="shared" si="3"/>
        <v>₹575,281.51</v>
      </c>
      <c r="H3993" s="51" t="str">
        <f t="shared" si="4"/>
        <v>₹47,940.13</v>
      </c>
      <c r="I3993" s="51" t="str">
        <f>145165.98-H3993</f>
        <v>₹97,225.85</v>
      </c>
    </row>
    <row r="3994" ht="15.75" customHeight="1">
      <c r="A3994" s="53" t="s">
        <v>4076</v>
      </c>
      <c r="B3994" s="53" t="s">
        <v>29</v>
      </c>
      <c r="C3994" s="53" t="s">
        <v>18</v>
      </c>
      <c r="D3994" s="54">
        <v>159823.6</v>
      </c>
      <c r="E3994" s="54" t="str">
        <f t="shared" si="1"/>
        <v>₹1,917,883.20</v>
      </c>
      <c r="F3994" s="55" t="str">
        <f t="shared" si="2"/>
        <v>30.0%</v>
      </c>
      <c r="G3994" s="54" t="str">
        <f t="shared" si="3"/>
        <v>₹575,364.96</v>
      </c>
      <c r="H3994" s="54" t="str">
        <f t="shared" si="4"/>
        <v>₹47,947.08</v>
      </c>
      <c r="I3994" s="54" t="str">
        <f>138603.34-H3994</f>
        <v>₹90,656.26</v>
      </c>
    </row>
    <row r="3995" ht="15.75" customHeight="1">
      <c r="A3995" s="50" t="s">
        <v>4077</v>
      </c>
      <c r="B3995" s="50" t="s">
        <v>17</v>
      </c>
      <c r="C3995" s="50" t="s">
        <v>26</v>
      </c>
      <c r="D3995" s="51">
        <v>159846.77</v>
      </c>
      <c r="E3995" s="51" t="str">
        <f t="shared" si="1"/>
        <v>₹1,918,161.24</v>
      </c>
      <c r="F3995" s="52" t="str">
        <f t="shared" si="2"/>
        <v>30.0%</v>
      </c>
      <c r="G3995" s="51" t="str">
        <f t="shared" si="3"/>
        <v>₹575,448.37</v>
      </c>
      <c r="H3995" s="51" t="str">
        <f t="shared" si="4"/>
        <v>₹47,954.03</v>
      </c>
      <c r="I3995" s="51" t="str">
        <f>145111.25-H3995</f>
        <v>₹97,157.22</v>
      </c>
    </row>
    <row r="3996" ht="15.75" customHeight="1">
      <c r="A3996" s="53" t="s">
        <v>4078</v>
      </c>
      <c r="B3996" s="53" t="s">
        <v>53</v>
      </c>
      <c r="C3996" s="53" t="s">
        <v>33</v>
      </c>
      <c r="D3996" s="54">
        <v>159869.95</v>
      </c>
      <c r="E3996" s="54" t="str">
        <f t="shared" si="1"/>
        <v>₹1,918,439.40</v>
      </c>
      <c r="F3996" s="55" t="str">
        <f t="shared" si="2"/>
        <v>30.0%</v>
      </c>
      <c r="G3996" s="54" t="str">
        <f t="shared" si="3"/>
        <v>₹575,531.82</v>
      </c>
      <c r="H3996" s="54" t="str">
        <f t="shared" si="4"/>
        <v>₹47,960.99</v>
      </c>
      <c r="I3996" s="54" t="str">
        <f>138642.89-H3996</f>
        <v>₹90,681.91</v>
      </c>
    </row>
    <row r="3997" ht="15.75" customHeight="1">
      <c r="A3997" s="50" t="s">
        <v>4079</v>
      </c>
      <c r="B3997" s="50" t="s">
        <v>13</v>
      </c>
      <c r="C3997" s="50" t="s">
        <v>14</v>
      </c>
      <c r="D3997" s="51">
        <v>159893.13</v>
      </c>
      <c r="E3997" s="51" t="str">
        <f t="shared" si="1"/>
        <v>₹1,918,717.56</v>
      </c>
      <c r="F3997" s="52" t="str">
        <f t="shared" si="2"/>
        <v>30.0%</v>
      </c>
      <c r="G3997" s="51" t="str">
        <f t="shared" si="3"/>
        <v>₹575,615.27</v>
      </c>
      <c r="H3997" s="51" t="str">
        <f t="shared" si="4"/>
        <v>₹47,967.94</v>
      </c>
      <c r="I3997" s="51" t="str">
        <f>138662.67-H3997</f>
        <v>₹90,694.73</v>
      </c>
    </row>
    <row r="3998" ht="15.75" customHeight="1">
      <c r="A3998" s="53" t="s">
        <v>4080</v>
      </c>
      <c r="B3998" s="53" t="s">
        <v>36</v>
      </c>
      <c r="C3998" s="53" t="s">
        <v>26</v>
      </c>
      <c r="D3998" s="54">
        <v>159916.31</v>
      </c>
      <c r="E3998" s="54" t="str">
        <f t="shared" si="1"/>
        <v>₹1,918,995.72</v>
      </c>
      <c r="F3998" s="55" t="str">
        <f t="shared" si="2"/>
        <v>30.0%</v>
      </c>
      <c r="G3998" s="54" t="str">
        <f t="shared" si="3"/>
        <v>₹575,698.72</v>
      </c>
      <c r="H3998" s="54" t="str">
        <f t="shared" si="4"/>
        <v>₹47,974.89</v>
      </c>
      <c r="I3998" s="54" t="str">
        <f>138682.46-H3998</f>
        <v>₹90,707.57</v>
      </c>
    </row>
    <row r="3999" ht="15.75" customHeight="1">
      <c r="A3999" s="50" t="s">
        <v>4081</v>
      </c>
      <c r="B3999" s="50" t="s">
        <v>53</v>
      </c>
      <c r="C3999" s="50" t="s">
        <v>54</v>
      </c>
      <c r="D3999" s="51">
        <v>138168.67</v>
      </c>
      <c r="E3999" s="51" t="str">
        <f t="shared" si="1"/>
        <v>₹1,658,024.04</v>
      </c>
      <c r="F3999" s="52" t="str">
        <f t="shared" si="2"/>
        <v>30.0%</v>
      </c>
      <c r="G3999" s="51" t="str">
        <f t="shared" si="3"/>
        <v>₹497,407.21</v>
      </c>
      <c r="H3999" s="51" t="str">
        <f t="shared" si="4"/>
        <v>₹41,450.60</v>
      </c>
      <c r="I3999" s="51" t="str">
        <f>116931.42-H3999</f>
        <v>₹75,480.82</v>
      </c>
    </row>
    <row r="4000" ht="15.75" customHeight="1">
      <c r="A4000" s="53" t="s">
        <v>4082</v>
      </c>
      <c r="B4000" s="53" t="s">
        <v>51</v>
      </c>
      <c r="C4000" s="53" t="s">
        <v>30</v>
      </c>
      <c r="D4000" s="54">
        <v>159962.66</v>
      </c>
      <c r="E4000" s="54" t="str">
        <f t="shared" si="1"/>
        <v>₹1,919,551.92</v>
      </c>
      <c r="F4000" s="55" t="str">
        <f t="shared" si="2"/>
        <v>30.0%</v>
      </c>
      <c r="G4000" s="54" t="str">
        <f t="shared" si="3"/>
        <v>₹575,865.58</v>
      </c>
      <c r="H4000" s="54" t="str">
        <f t="shared" si="4"/>
        <v>₹47,988.80</v>
      </c>
      <c r="I4000" s="54" t="str">
        <f>138722.01-H4000</f>
        <v>₹90,733.21</v>
      </c>
    </row>
    <row r="4001" ht="15.75" customHeight="1">
      <c r="A4001" s="50" t="s">
        <v>4083</v>
      </c>
      <c r="B4001" s="50" t="s">
        <v>53</v>
      </c>
      <c r="C4001" s="50" t="s">
        <v>54</v>
      </c>
      <c r="D4001" s="51">
        <v>159985.84</v>
      </c>
      <c r="E4001" s="51" t="str">
        <f t="shared" si="1"/>
        <v>₹1,919,830.08</v>
      </c>
      <c r="F4001" s="52" t="str">
        <f t="shared" si="2"/>
        <v>30.0%</v>
      </c>
      <c r="G4001" s="51" t="str">
        <f t="shared" si="3"/>
        <v>₹575,949.02</v>
      </c>
      <c r="H4001" s="51" t="str">
        <f t="shared" si="4"/>
        <v>₹47,995.75</v>
      </c>
      <c r="I4001" s="51" t="str">
        <f>138741.79-H4001</f>
        <v>₹90,746.04</v>
      </c>
    </row>
    <row r="4002" ht="15.75" customHeight="1">
      <c r="A4002" s="53" t="s">
        <v>4084</v>
      </c>
      <c r="B4002" s="53" t="s">
        <v>51</v>
      </c>
      <c r="C4002" s="53" t="s">
        <v>14</v>
      </c>
      <c r="D4002" s="54">
        <v>160009.02</v>
      </c>
      <c r="E4002" s="54" t="str">
        <f t="shared" si="1"/>
        <v>₹1,920,108.24</v>
      </c>
      <c r="F4002" s="55" t="str">
        <f t="shared" si="2"/>
        <v>30.0%</v>
      </c>
      <c r="G4002" s="54" t="str">
        <f t="shared" si="3"/>
        <v>₹576,032.47</v>
      </c>
      <c r="H4002" s="54" t="str">
        <f t="shared" si="4"/>
        <v>₹48,002.71</v>
      </c>
      <c r="I4002" s="54" t="str">
        <f>138761.58-H4002</f>
        <v>₹90,758.87</v>
      </c>
    </row>
    <row r="4003" ht="15.75" customHeight="1">
      <c r="A4003" s="50" t="s">
        <v>4085</v>
      </c>
      <c r="B4003" s="50" t="s">
        <v>17</v>
      </c>
      <c r="C4003" s="50" t="s">
        <v>37</v>
      </c>
      <c r="D4003" s="51">
        <v>160032.2</v>
      </c>
      <c r="E4003" s="51" t="str">
        <f t="shared" si="1"/>
        <v>₹1,920,386.40</v>
      </c>
      <c r="F4003" s="52" t="str">
        <f t="shared" si="2"/>
        <v>30.0%</v>
      </c>
      <c r="G4003" s="51" t="str">
        <f t="shared" si="3"/>
        <v>₹576,115.92</v>
      </c>
      <c r="H4003" s="51" t="str">
        <f t="shared" si="4"/>
        <v>₹48,009.66</v>
      </c>
      <c r="I4003" s="51" t="str">
        <f>138781.36-H4003</f>
        <v>₹90,771.70</v>
      </c>
    </row>
    <row r="4004" ht="15.75" customHeight="1">
      <c r="A4004" s="53" t="s">
        <v>4086</v>
      </c>
      <c r="B4004" s="53" t="s">
        <v>29</v>
      </c>
      <c r="C4004" s="53" t="s">
        <v>14</v>
      </c>
      <c r="D4004" s="54">
        <v>160055.37</v>
      </c>
      <c r="E4004" s="54" t="str">
        <f t="shared" si="1"/>
        <v>₹1,920,664.44</v>
      </c>
      <c r="F4004" s="55" t="str">
        <f t="shared" si="2"/>
        <v>30.0%</v>
      </c>
      <c r="G4004" s="54" t="str">
        <f t="shared" si="3"/>
        <v>₹576,199.33</v>
      </c>
      <c r="H4004" s="54" t="str">
        <f t="shared" si="4"/>
        <v>₹48,016.61</v>
      </c>
      <c r="I4004" s="54" t="str">
        <f>138801.13-H4004</f>
        <v>₹90,784.52</v>
      </c>
    </row>
    <row r="4005" ht="15.75" customHeight="1">
      <c r="A4005" s="50" t="s">
        <v>4087</v>
      </c>
      <c r="B4005" s="50" t="s">
        <v>25</v>
      </c>
      <c r="C4005" s="50" t="s">
        <v>30</v>
      </c>
      <c r="D4005" s="51">
        <v>160078.55</v>
      </c>
      <c r="E4005" s="51" t="str">
        <f t="shared" si="1"/>
        <v>₹1,920,942.60</v>
      </c>
      <c r="F4005" s="52" t="str">
        <f t="shared" si="2"/>
        <v>30.0%</v>
      </c>
      <c r="G4005" s="51" t="str">
        <f t="shared" si="3"/>
        <v>₹576,282.78</v>
      </c>
      <c r="H4005" s="51" t="str">
        <f t="shared" si="4"/>
        <v>₹48,023.57</v>
      </c>
      <c r="I4005" s="51" t="str">
        <f>138820.91-H4005</f>
        <v>₹90,797.35</v>
      </c>
    </row>
    <row r="4006" ht="15.75" customHeight="1">
      <c r="A4006" s="53" t="s">
        <v>4089</v>
      </c>
      <c r="B4006" s="53" t="s">
        <v>29</v>
      </c>
      <c r="C4006" s="53" t="s">
        <v>30</v>
      </c>
      <c r="D4006" s="54">
        <v>160101.73</v>
      </c>
      <c r="E4006" s="54" t="str">
        <f t="shared" si="1"/>
        <v>₹1,921,220.76</v>
      </c>
      <c r="F4006" s="55" t="str">
        <f t="shared" si="2"/>
        <v>30.0%</v>
      </c>
      <c r="G4006" s="54" t="str">
        <f t="shared" si="3"/>
        <v>₹576,366.23</v>
      </c>
      <c r="H4006" s="54" t="str">
        <f t="shared" si="4"/>
        <v>₹48,030.52</v>
      </c>
      <c r="I4006" s="54" t="str">
        <f>138840.7-H4006</f>
        <v>₹90,810.18</v>
      </c>
    </row>
    <row r="4007" ht="15.75" customHeight="1">
      <c r="A4007" s="50" t="s">
        <v>4090</v>
      </c>
      <c r="B4007" s="50" t="s">
        <v>53</v>
      </c>
      <c r="C4007" s="50" t="s">
        <v>54</v>
      </c>
      <c r="D4007" s="51">
        <v>160124.91</v>
      </c>
      <c r="E4007" s="51" t="str">
        <f t="shared" si="1"/>
        <v>₹1,921,498.92</v>
      </c>
      <c r="F4007" s="52" t="str">
        <f t="shared" si="2"/>
        <v>30.0%</v>
      </c>
      <c r="G4007" s="51" t="str">
        <f t="shared" si="3"/>
        <v>₹576,449.68</v>
      </c>
      <c r="H4007" s="51" t="str">
        <f t="shared" si="4"/>
        <v>₹48,037.47</v>
      </c>
      <c r="I4007" s="51" t="str">
        <f>145359.6-H4007</f>
        <v>₹97,322.13</v>
      </c>
    </row>
    <row r="4008" ht="15.75" customHeight="1">
      <c r="A4008" s="53" t="s">
        <v>4091</v>
      </c>
      <c r="B4008" s="53" t="s">
        <v>51</v>
      </c>
      <c r="C4008" s="53" t="s">
        <v>18</v>
      </c>
      <c r="D4008" s="54">
        <v>160148.08</v>
      </c>
      <c r="E4008" s="54" t="str">
        <f t="shared" si="1"/>
        <v>₹1,921,776.96</v>
      </c>
      <c r="F4008" s="55" t="str">
        <f t="shared" si="2"/>
        <v>30.0%</v>
      </c>
      <c r="G4008" s="54" t="str">
        <f t="shared" si="3"/>
        <v>₹576,533.09</v>
      </c>
      <c r="H4008" s="54" t="str">
        <f t="shared" si="4"/>
        <v>₹48,044.42</v>
      </c>
      <c r="I4008" s="54" t="str">
        <f>138880.25-H4008</f>
        <v>₹90,835.83</v>
      </c>
    </row>
    <row r="4009" ht="15.75" customHeight="1">
      <c r="A4009" s="50" t="s">
        <v>4092</v>
      </c>
      <c r="B4009" s="50" t="s">
        <v>25</v>
      </c>
      <c r="C4009" s="50" t="s">
        <v>26</v>
      </c>
      <c r="D4009" s="51">
        <v>160171.26</v>
      </c>
      <c r="E4009" s="51" t="str">
        <f t="shared" si="1"/>
        <v>₹1,922,055.12</v>
      </c>
      <c r="F4009" s="52" t="str">
        <f t="shared" si="2"/>
        <v>30.0%</v>
      </c>
      <c r="G4009" s="51" t="str">
        <f t="shared" si="3"/>
        <v>₹576,616.54</v>
      </c>
      <c r="H4009" s="51" t="str">
        <f t="shared" si="4"/>
        <v>₹48,051.38</v>
      </c>
      <c r="I4009" s="51" t="str">
        <f>138900.03-H4009</f>
        <v>₹90,848.65</v>
      </c>
    </row>
    <row r="4010" ht="15.75" customHeight="1">
      <c r="A4010" s="53" t="s">
        <v>4093</v>
      </c>
      <c r="B4010" s="53" t="s">
        <v>17</v>
      </c>
      <c r="C4010" s="53" t="s">
        <v>30</v>
      </c>
      <c r="D4010" s="54">
        <v>160194.44</v>
      </c>
      <c r="E4010" s="54" t="str">
        <f t="shared" si="1"/>
        <v>₹1,922,333.28</v>
      </c>
      <c r="F4010" s="55" t="str">
        <f t="shared" si="2"/>
        <v>30.0%</v>
      </c>
      <c r="G4010" s="54" t="str">
        <f t="shared" si="3"/>
        <v>₹576,699.98</v>
      </c>
      <c r="H4010" s="54" t="str">
        <f t="shared" si="4"/>
        <v>₹48,058.33</v>
      </c>
      <c r="I4010" s="54" t="str">
        <f>138919.82-H4010</f>
        <v>₹90,861.49</v>
      </c>
    </row>
    <row r="4011" ht="15.75" customHeight="1">
      <c r="A4011" s="50" t="s">
        <v>4094</v>
      </c>
      <c r="B4011" s="50" t="s">
        <v>25</v>
      </c>
      <c r="C4011" s="50" t="s">
        <v>26</v>
      </c>
      <c r="D4011" s="51">
        <v>160217.62</v>
      </c>
      <c r="E4011" s="51" t="str">
        <f t="shared" si="1"/>
        <v>₹1,922,611.44</v>
      </c>
      <c r="F4011" s="52" t="str">
        <f t="shared" si="2"/>
        <v>30.0%</v>
      </c>
      <c r="G4011" s="51" t="str">
        <f t="shared" si="3"/>
        <v>₹576,783.43</v>
      </c>
      <c r="H4011" s="51" t="str">
        <f t="shared" si="4"/>
        <v>₹48,065.29</v>
      </c>
      <c r="I4011" s="51" t="str">
        <f>138939.6-H4011</f>
        <v>₹90,874.31</v>
      </c>
    </row>
    <row r="4012" ht="15.75" customHeight="1">
      <c r="A4012" s="53" t="s">
        <v>4095</v>
      </c>
      <c r="B4012" s="53" t="s">
        <v>36</v>
      </c>
      <c r="C4012" s="53" t="s">
        <v>14</v>
      </c>
      <c r="D4012" s="54">
        <v>160240.8</v>
      </c>
      <c r="E4012" s="54" t="str">
        <f t="shared" si="1"/>
        <v>₹1,922,889.60</v>
      </c>
      <c r="F4012" s="55" t="str">
        <f t="shared" si="2"/>
        <v>30.0%</v>
      </c>
      <c r="G4012" s="54" t="str">
        <f t="shared" si="3"/>
        <v>₹576,866.88</v>
      </c>
      <c r="H4012" s="54" t="str">
        <f t="shared" si="4"/>
        <v>₹48,072.24</v>
      </c>
      <c r="I4012" s="54" t="str">
        <f>138959.38-H4012</f>
        <v>₹90,887.14</v>
      </c>
    </row>
    <row r="4013" ht="15.75" customHeight="1">
      <c r="A4013" s="50" t="s">
        <v>4096</v>
      </c>
      <c r="B4013" s="50" t="s">
        <v>13</v>
      </c>
      <c r="C4013" s="50" t="s">
        <v>54</v>
      </c>
      <c r="D4013" s="51">
        <v>160263.97</v>
      </c>
      <c r="E4013" s="51" t="str">
        <f t="shared" si="1"/>
        <v>₹1,923,167.64</v>
      </c>
      <c r="F4013" s="52" t="str">
        <f t="shared" si="2"/>
        <v>30.0%</v>
      </c>
      <c r="G4013" s="51" t="str">
        <f t="shared" si="3"/>
        <v>₹576,950.29</v>
      </c>
      <c r="H4013" s="51" t="str">
        <f t="shared" si="4"/>
        <v>₹48,079.19</v>
      </c>
      <c r="I4013" s="51" t="str">
        <f>138979.15-H4013</f>
        <v>₹90,899.96</v>
      </c>
    </row>
    <row r="4014" ht="15.75" customHeight="1">
      <c r="A4014" s="53" t="s">
        <v>4097</v>
      </c>
      <c r="B4014" s="53" t="s">
        <v>13</v>
      </c>
      <c r="C4014" s="53" t="s">
        <v>14</v>
      </c>
      <c r="D4014" s="54">
        <v>160287.15</v>
      </c>
      <c r="E4014" s="54" t="str">
        <f t="shared" si="1"/>
        <v>₹1,923,445.80</v>
      </c>
      <c r="F4014" s="55" t="str">
        <f t="shared" si="2"/>
        <v>30.0%</v>
      </c>
      <c r="G4014" s="54" t="str">
        <f t="shared" si="3"/>
        <v>₹577,033.74</v>
      </c>
      <c r="H4014" s="54" t="str">
        <f t="shared" si="4"/>
        <v>₹48,086.15</v>
      </c>
      <c r="I4014" s="54" t="str">
        <f>138998.94-H4014</f>
        <v>₹90,912.80</v>
      </c>
    </row>
    <row r="4015" ht="15.75" customHeight="1">
      <c r="A4015" s="50" t="s">
        <v>4098</v>
      </c>
      <c r="B4015" s="50" t="s">
        <v>13</v>
      </c>
      <c r="C4015" s="50" t="s">
        <v>54</v>
      </c>
      <c r="D4015" s="51">
        <v>160310.33</v>
      </c>
      <c r="E4015" s="51" t="str">
        <f t="shared" si="1"/>
        <v>₹1,923,723.96</v>
      </c>
      <c r="F4015" s="52" t="str">
        <f t="shared" si="2"/>
        <v>30.0%</v>
      </c>
      <c r="G4015" s="51" t="str">
        <f t="shared" si="3"/>
        <v>₹577,117.19</v>
      </c>
      <c r="H4015" s="51" t="str">
        <f t="shared" si="4"/>
        <v>₹48,093.10</v>
      </c>
      <c r="I4015" s="51" t="str">
        <f>139018.72-H4015</f>
        <v>₹90,925.62</v>
      </c>
    </row>
    <row r="4016" ht="15.75" customHeight="1">
      <c r="A4016" s="53" t="s">
        <v>4099</v>
      </c>
      <c r="B4016" s="53" t="s">
        <v>51</v>
      </c>
      <c r="C4016" s="53" t="s">
        <v>54</v>
      </c>
      <c r="D4016" s="54">
        <v>160333.51</v>
      </c>
      <c r="E4016" s="54" t="str">
        <f t="shared" si="1"/>
        <v>₹1,924,002.12</v>
      </c>
      <c r="F4016" s="55" t="str">
        <f t="shared" si="2"/>
        <v>30.0%</v>
      </c>
      <c r="G4016" s="54" t="str">
        <f t="shared" si="3"/>
        <v>₹577,200.64</v>
      </c>
      <c r="H4016" s="54" t="str">
        <f t="shared" si="4"/>
        <v>₹48,100.05</v>
      </c>
      <c r="I4016" s="54" t="str">
        <f>139038.5-H4016</f>
        <v>₹90,938.45</v>
      </c>
    </row>
    <row r="4017" ht="15.75" customHeight="1">
      <c r="A4017" s="50" t="s">
        <v>4100</v>
      </c>
      <c r="B4017" s="50" t="s">
        <v>25</v>
      </c>
      <c r="C4017" s="50" t="s">
        <v>37</v>
      </c>
      <c r="D4017" s="51">
        <v>160356.68</v>
      </c>
      <c r="E4017" s="51" t="str">
        <f t="shared" si="1"/>
        <v>₹1,924,280.16</v>
      </c>
      <c r="F4017" s="52" t="str">
        <f t="shared" si="2"/>
        <v>30.0%</v>
      </c>
      <c r="G4017" s="51" t="str">
        <f t="shared" si="3"/>
        <v>₹577,284.05</v>
      </c>
      <c r="H4017" s="51" t="str">
        <f t="shared" si="4"/>
        <v>₹48,107.00</v>
      </c>
      <c r="I4017" s="51" t="str">
        <f>139058.27-H4017</f>
        <v>₹90,951.27</v>
      </c>
    </row>
    <row r="4018" ht="15.75" customHeight="1">
      <c r="A4018" s="53" t="s">
        <v>4101</v>
      </c>
      <c r="B4018" s="53" t="s">
        <v>51</v>
      </c>
      <c r="C4018" s="53" t="s">
        <v>26</v>
      </c>
      <c r="D4018" s="54">
        <v>160379.86</v>
      </c>
      <c r="E4018" s="54" t="str">
        <f t="shared" si="1"/>
        <v>₹1,924,558.32</v>
      </c>
      <c r="F4018" s="55" t="str">
        <f t="shared" si="2"/>
        <v>30.0%</v>
      </c>
      <c r="G4018" s="54" t="str">
        <f t="shared" si="3"/>
        <v>₹577,367.50</v>
      </c>
      <c r="H4018" s="54" t="str">
        <f t="shared" si="4"/>
        <v>₹48,113.96</v>
      </c>
      <c r="I4018" s="54" t="str">
        <f>139078.06-H4018</f>
        <v>₹90,964.10</v>
      </c>
    </row>
    <row r="4019" ht="15.75" customHeight="1">
      <c r="A4019" s="50" t="s">
        <v>4102</v>
      </c>
      <c r="B4019" s="50" t="s">
        <v>17</v>
      </c>
      <c r="C4019" s="50" t="s">
        <v>37</v>
      </c>
      <c r="D4019" s="51">
        <v>160403.04</v>
      </c>
      <c r="E4019" s="51" t="str">
        <f t="shared" si="1"/>
        <v>₹1,924,836.48</v>
      </c>
      <c r="F4019" s="52" t="str">
        <f t="shared" si="2"/>
        <v>30.0%</v>
      </c>
      <c r="G4019" s="51" t="str">
        <f t="shared" si="3"/>
        <v>₹577,450.94</v>
      </c>
      <c r="H4019" s="51" t="str">
        <f t="shared" si="4"/>
        <v>₹48,120.91</v>
      </c>
      <c r="I4019" s="51" t="str">
        <f>139097.84-H4019</f>
        <v>₹90,976.93</v>
      </c>
    </row>
    <row r="4020" ht="15.75" customHeight="1">
      <c r="A4020" s="53" t="s">
        <v>4103</v>
      </c>
      <c r="B4020" s="53" t="s">
        <v>25</v>
      </c>
      <c r="C4020" s="53" t="s">
        <v>37</v>
      </c>
      <c r="D4020" s="54">
        <v>160426.22</v>
      </c>
      <c r="E4020" s="54" t="str">
        <f t="shared" si="1"/>
        <v>₹1,925,114.64</v>
      </c>
      <c r="F4020" s="55" t="str">
        <f t="shared" si="2"/>
        <v>30.0%</v>
      </c>
      <c r="G4020" s="54" t="str">
        <f t="shared" si="3"/>
        <v>₹577,534.39</v>
      </c>
      <c r="H4020" s="54" t="str">
        <f t="shared" si="4"/>
        <v>₹48,127.87</v>
      </c>
      <c r="I4020" s="54" t="str">
        <f>139117.62-H4020</f>
        <v>₹90,989.75</v>
      </c>
    </row>
    <row r="4021" ht="15.75" customHeight="1">
      <c r="A4021" s="50" t="s">
        <v>4104</v>
      </c>
      <c r="B4021" s="50" t="s">
        <v>29</v>
      </c>
      <c r="C4021" s="50" t="s">
        <v>37</v>
      </c>
      <c r="D4021" s="51">
        <v>160449.39</v>
      </c>
      <c r="E4021" s="51" t="str">
        <f t="shared" si="1"/>
        <v>₹1,925,392.68</v>
      </c>
      <c r="F4021" s="52" t="str">
        <f t="shared" si="2"/>
        <v>30.0%</v>
      </c>
      <c r="G4021" s="51" t="str">
        <f t="shared" si="3"/>
        <v>₹577,617.80</v>
      </c>
      <c r="H4021" s="51" t="str">
        <f t="shared" si="4"/>
        <v>₹48,134.82</v>
      </c>
      <c r="I4021" s="51" t="str">
        <f>139137.39-H4021</f>
        <v>₹91,002.57</v>
      </c>
    </row>
    <row r="4022" ht="15.75" customHeight="1">
      <c r="A4022" s="53" t="s">
        <v>4105</v>
      </c>
      <c r="B4022" s="53" t="s">
        <v>13</v>
      </c>
      <c r="C4022" s="53" t="s">
        <v>33</v>
      </c>
      <c r="D4022" s="54">
        <v>160472.57</v>
      </c>
      <c r="E4022" s="54" t="str">
        <f t="shared" si="1"/>
        <v>₹1,925,670.84</v>
      </c>
      <c r="F4022" s="55" t="str">
        <f t="shared" si="2"/>
        <v>30.0%</v>
      </c>
      <c r="G4022" s="54" t="str">
        <f t="shared" si="3"/>
        <v>₹577,701.25</v>
      </c>
      <c r="H4022" s="54" t="str">
        <f t="shared" si="4"/>
        <v>₹48,141.77</v>
      </c>
      <c r="I4022" s="54" t="str">
        <f>139157.18-H4022</f>
        <v>₹91,015.41</v>
      </c>
    </row>
    <row r="4023" ht="15.75" customHeight="1">
      <c r="A4023" s="50" t="s">
        <v>4106</v>
      </c>
      <c r="B4023" s="50" t="s">
        <v>36</v>
      </c>
      <c r="C4023" s="50" t="s">
        <v>14</v>
      </c>
      <c r="D4023" s="51">
        <v>160495.75</v>
      </c>
      <c r="E4023" s="51" t="str">
        <f t="shared" si="1"/>
        <v>₹1,925,949.00</v>
      </c>
      <c r="F4023" s="52" t="str">
        <f t="shared" si="2"/>
        <v>30.0%</v>
      </c>
      <c r="G4023" s="51" t="str">
        <f t="shared" si="3"/>
        <v>₹577,784.70</v>
      </c>
      <c r="H4023" s="51" t="str">
        <f t="shared" si="4"/>
        <v>₹48,148.73</v>
      </c>
      <c r="I4023" s="51" t="str">
        <f>139176.96-H4023</f>
        <v>₹91,028.24</v>
      </c>
    </row>
    <row r="4024" ht="15.75" customHeight="1">
      <c r="A4024" s="53" t="s">
        <v>4107</v>
      </c>
      <c r="B4024" s="53" t="s">
        <v>25</v>
      </c>
      <c r="C4024" s="53" t="s">
        <v>37</v>
      </c>
      <c r="D4024" s="54">
        <v>160518.93</v>
      </c>
      <c r="E4024" s="54" t="str">
        <f t="shared" si="1"/>
        <v>₹1,926,227.16</v>
      </c>
      <c r="F4024" s="55" t="str">
        <f t="shared" si="2"/>
        <v>30.0%</v>
      </c>
      <c r="G4024" s="54" t="str">
        <f t="shared" si="3"/>
        <v>₹577,868.15</v>
      </c>
      <c r="H4024" s="54" t="str">
        <f t="shared" si="4"/>
        <v>₹48,155.68</v>
      </c>
      <c r="I4024" s="54" t="str">
        <f>139196.74-H4024</f>
        <v>₹91,041.06</v>
      </c>
    </row>
    <row r="4025" ht="15.75" customHeight="1">
      <c r="A4025" s="50" t="s">
        <v>4108</v>
      </c>
      <c r="B4025" s="50" t="s">
        <v>17</v>
      </c>
      <c r="C4025" s="50" t="s">
        <v>33</v>
      </c>
      <c r="D4025" s="51">
        <v>160542.11</v>
      </c>
      <c r="E4025" s="51" t="str">
        <f t="shared" si="1"/>
        <v>₹1,926,505.32</v>
      </c>
      <c r="F4025" s="52" t="str">
        <f t="shared" si="2"/>
        <v>30.0%</v>
      </c>
      <c r="G4025" s="51" t="str">
        <f t="shared" si="3"/>
        <v>₹577,951.60</v>
      </c>
      <c r="H4025" s="51" t="str">
        <f t="shared" si="4"/>
        <v>₹48,162.63</v>
      </c>
      <c r="I4025" s="51" t="str">
        <f>139216.52-H4025</f>
        <v>₹91,053.89</v>
      </c>
    </row>
    <row r="4026" ht="15.75" customHeight="1">
      <c r="A4026" s="53" t="s">
        <v>4109</v>
      </c>
      <c r="B4026" s="53" t="s">
        <v>17</v>
      </c>
      <c r="C4026" s="53" t="s">
        <v>14</v>
      </c>
      <c r="D4026" s="54">
        <v>160588.46</v>
      </c>
      <c r="E4026" s="54" t="str">
        <f t="shared" si="1"/>
        <v>₹1,927,061.52</v>
      </c>
      <c r="F4026" s="55" t="str">
        <f t="shared" si="2"/>
        <v>30.0%</v>
      </c>
      <c r="G4026" s="54" t="str">
        <f t="shared" si="3"/>
        <v>₹578,118.46</v>
      </c>
      <c r="H4026" s="54" t="str">
        <f t="shared" si="4"/>
        <v>₹48,176.54</v>
      </c>
      <c r="I4026" s="54" t="str">
        <f>139256.08-H4026</f>
        <v>₹91,079.54</v>
      </c>
    </row>
    <row r="4027" ht="15.75" customHeight="1">
      <c r="A4027" s="50" t="s">
        <v>4110</v>
      </c>
      <c r="B4027" s="50" t="s">
        <v>36</v>
      </c>
      <c r="C4027" s="50" t="s">
        <v>37</v>
      </c>
      <c r="D4027" s="51">
        <v>160611.64</v>
      </c>
      <c r="E4027" s="51" t="str">
        <f t="shared" si="1"/>
        <v>₹1,927,339.68</v>
      </c>
      <c r="F4027" s="52" t="str">
        <f t="shared" si="2"/>
        <v>30.0%</v>
      </c>
      <c r="G4027" s="51" t="str">
        <f t="shared" si="3"/>
        <v>₹578,201.90</v>
      </c>
      <c r="H4027" s="51" t="str">
        <f t="shared" si="4"/>
        <v>₹48,183.49</v>
      </c>
      <c r="I4027" s="51" t="str">
        <f>139275.86-H4027</f>
        <v>₹91,092.37</v>
      </c>
    </row>
    <row r="4028" ht="15.75" customHeight="1">
      <c r="A4028" s="53" t="s">
        <v>4111</v>
      </c>
      <c r="B4028" s="53" t="s">
        <v>29</v>
      </c>
      <c r="C4028" s="53" t="s">
        <v>18</v>
      </c>
      <c r="D4028" s="54">
        <v>160634.82</v>
      </c>
      <c r="E4028" s="54" t="str">
        <f t="shared" si="1"/>
        <v>₹1,927,617.84</v>
      </c>
      <c r="F4028" s="55" t="str">
        <f t="shared" si="2"/>
        <v>30.0%</v>
      </c>
      <c r="G4028" s="54" t="str">
        <f t="shared" si="3"/>
        <v>₹578,285.35</v>
      </c>
      <c r="H4028" s="54" t="str">
        <f t="shared" si="4"/>
        <v>₹48,190.45</v>
      </c>
      <c r="I4028" s="54" t="str">
        <f>139295.64-H4028</f>
        <v>₹91,105.19</v>
      </c>
    </row>
    <row r="4029" ht="15.75" customHeight="1">
      <c r="A4029" s="50" t="s">
        <v>4112</v>
      </c>
      <c r="B4029" s="50" t="s">
        <v>53</v>
      </c>
      <c r="C4029" s="50" t="s">
        <v>18</v>
      </c>
      <c r="D4029" s="51">
        <v>160657.99</v>
      </c>
      <c r="E4029" s="51" t="str">
        <f t="shared" si="1"/>
        <v>₹1,927,895.88</v>
      </c>
      <c r="F4029" s="52" t="str">
        <f t="shared" si="2"/>
        <v>30.0%</v>
      </c>
      <c r="G4029" s="51" t="str">
        <f t="shared" si="3"/>
        <v>₹578,368.76</v>
      </c>
      <c r="H4029" s="51" t="str">
        <f t="shared" si="4"/>
        <v>₹48,197.40</v>
      </c>
      <c r="I4029" s="51" t="str">
        <f>139315.42-H4029</f>
        <v>₹91,118.02</v>
      </c>
    </row>
    <row r="4030" ht="15.75" customHeight="1">
      <c r="A4030" s="53" t="s">
        <v>4113</v>
      </c>
      <c r="B4030" s="53" t="s">
        <v>53</v>
      </c>
      <c r="C4030" s="53" t="s">
        <v>33</v>
      </c>
      <c r="D4030" s="54">
        <v>160681.17</v>
      </c>
      <c r="E4030" s="54" t="str">
        <f t="shared" si="1"/>
        <v>₹1,928,174.04</v>
      </c>
      <c r="F4030" s="55" t="str">
        <f t="shared" si="2"/>
        <v>30.0%</v>
      </c>
      <c r="G4030" s="54" t="str">
        <f t="shared" si="3"/>
        <v>₹578,452.21</v>
      </c>
      <c r="H4030" s="54" t="str">
        <f t="shared" si="4"/>
        <v>₹48,204.35</v>
      </c>
      <c r="I4030" s="54" t="str">
        <f>139335.2-H4030</f>
        <v>₹91,130.85</v>
      </c>
    </row>
    <row r="4031" ht="15.75" customHeight="1">
      <c r="A4031" s="50" t="s">
        <v>4114</v>
      </c>
      <c r="B4031" s="50" t="s">
        <v>17</v>
      </c>
      <c r="C4031" s="50" t="s">
        <v>14</v>
      </c>
      <c r="D4031" s="51">
        <v>160704.35</v>
      </c>
      <c r="E4031" s="51" t="str">
        <f t="shared" si="1"/>
        <v>₹1,928,452.20</v>
      </c>
      <c r="F4031" s="52" t="str">
        <f t="shared" si="2"/>
        <v>30.0%</v>
      </c>
      <c r="G4031" s="51" t="str">
        <f t="shared" si="3"/>
        <v>₹578,535.66</v>
      </c>
      <c r="H4031" s="51" t="str">
        <f t="shared" si="4"/>
        <v>₹48,211.31</v>
      </c>
      <c r="I4031" s="51" t="str">
        <f>139354.98-H4031</f>
        <v>₹91,143.68</v>
      </c>
    </row>
    <row r="4032" ht="15.75" customHeight="1">
      <c r="A4032" s="53" t="s">
        <v>4115</v>
      </c>
      <c r="B4032" s="53" t="s">
        <v>17</v>
      </c>
      <c r="C4032" s="53" t="s">
        <v>26</v>
      </c>
      <c r="D4032" s="54">
        <v>160727.53</v>
      </c>
      <c r="E4032" s="54" t="str">
        <f t="shared" si="1"/>
        <v>₹1,928,730.36</v>
      </c>
      <c r="F4032" s="55" t="str">
        <f t="shared" si="2"/>
        <v>30.0%</v>
      </c>
      <c r="G4032" s="54" t="str">
        <f t="shared" si="3"/>
        <v>₹578,619.11</v>
      </c>
      <c r="H4032" s="54" t="str">
        <f t="shared" si="4"/>
        <v>₹48,218.26</v>
      </c>
      <c r="I4032" s="54" t="str">
        <f>139374.76-H4032</f>
        <v>₹91,156.50</v>
      </c>
    </row>
    <row r="4033" ht="15.75" customHeight="1">
      <c r="A4033" s="50" t="s">
        <v>4116</v>
      </c>
      <c r="B4033" s="50" t="s">
        <v>29</v>
      </c>
      <c r="C4033" s="50" t="s">
        <v>33</v>
      </c>
      <c r="D4033" s="51">
        <v>160750.7</v>
      </c>
      <c r="E4033" s="51" t="str">
        <f t="shared" si="1"/>
        <v>₹1,929,008.40</v>
      </c>
      <c r="F4033" s="52" t="str">
        <f t="shared" si="2"/>
        <v>30.0%</v>
      </c>
      <c r="G4033" s="51" t="str">
        <f t="shared" si="3"/>
        <v>₹578,702.52</v>
      </c>
      <c r="H4033" s="51" t="str">
        <f t="shared" si="4"/>
        <v>₹48,225.21</v>
      </c>
      <c r="I4033" s="51" t="str">
        <f>139394.54-H4033</f>
        <v>₹91,169.33</v>
      </c>
    </row>
    <row r="4034" ht="15.75" customHeight="1">
      <c r="A4034" s="53" t="s">
        <v>4117</v>
      </c>
      <c r="B4034" s="53" t="s">
        <v>13</v>
      </c>
      <c r="C4034" s="53" t="s">
        <v>18</v>
      </c>
      <c r="D4034" s="54">
        <v>160773.88</v>
      </c>
      <c r="E4034" s="54" t="str">
        <f t="shared" si="1"/>
        <v>₹1,929,286.56</v>
      </c>
      <c r="F4034" s="55" t="str">
        <f t="shared" si="2"/>
        <v>30.0%</v>
      </c>
      <c r="G4034" s="54" t="str">
        <f t="shared" si="3"/>
        <v>₹578,785.97</v>
      </c>
      <c r="H4034" s="54" t="str">
        <f t="shared" si="4"/>
        <v>₹48,232.16</v>
      </c>
      <c r="I4034" s="54" t="str">
        <f>139414.32-H4034</f>
        <v>₹91,182.16</v>
      </c>
    </row>
    <row r="4035" ht="15.75" customHeight="1">
      <c r="A4035" s="50" t="s">
        <v>4118</v>
      </c>
      <c r="B4035" s="50" t="s">
        <v>36</v>
      </c>
      <c r="C4035" s="50" t="s">
        <v>18</v>
      </c>
      <c r="D4035" s="51">
        <v>160797.06</v>
      </c>
      <c r="E4035" s="51" t="str">
        <f t="shared" si="1"/>
        <v>₹1,929,564.72</v>
      </c>
      <c r="F4035" s="52" t="str">
        <f t="shared" si="2"/>
        <v>30.0%</v>
      </c>
      <c r="G4035" s="51" t="str">
        <f t="shared" si="3"/>
        <v>₹578,869.42</v>
      </c>
      <c r="H4035" s="51" t="str">
        <f t="shared" si="4"/>
        <v>₹48,239.12</v>
      </c>
      <c r="I4035" s="51" t="str">
        <f>139434.1-H4035</f>
        <v>₹91,194.98</v>
      </c>
    </row>
    <row r="4036" ht="15.75" customHeight="1">
      <c r="A4036" s="53" t="s">
        <v>4119</v>
      </c>
      <c r="B4036" s="53" t="s">
        <v>53</v>
      </c>
      <c r="C4036" s="53" t="s">
        <v>14</v>
      </c>
      <c r="D4036" s="54">
        <v>160820.24</v>
      </c>
      <c r="E4036" s="54" t="str">
        <f t="shared" si="1"/>
        <v>₹1,929,842.88</v>
      </c>
      <c r="F4036" s="55" t="str">
        <f t="shared" si="2"/>
        <v>30.0%</v>
      </c>
      <c r="G4036" s="54" t="str">
        <f t="shared" si="3"/>
        <v>₹578,952.86</v>
      </c>
      <c r="H4036" s="54" t="str">
        <f t="shared" si="4"/>
        <v>₹48,246.07</v>
      </c>
      <c r="I4036" s="54" t="str">
        <f>139453.88-H4036</f>
        <v>₹91,207.81</v>
      </c>
    </row>
    <row r="4037" ht="15.75" customHeight="1">
      <c r="A4037" s="50" t="s">
        <v>4120</v>
      </c>
      <c r="B4037" s="50" t="s">
        <v>29</v>
      </c>
      <c r="C4037" s="50" t="s">
        <v>18</v>
      </c>
      <c r="D4037" s="51">
        <v>160843.42</v>
      </c>
      <c r="E4037" s="51" t="str">
        <f t="shared" si="1"/>
        <v>₹1,930,121.04</v>
      </c>
      <c r="F4037" s="52" t="str">
        <f t="shared" si="2"/>
        <v>30.0%</v>
      </c>
      <c r="G4037" s="51" t="str">
        <f t="shared" si="3"/>
        <v>₹579,036.31</v>
      </c>
      <c r="H4037" s="51" t="str">
        <f t="shared" si="4"/>
        <v>₹48,253.03</v>
      </c>
      <c r="I4037" s="51" t="str">
        <f>139473.67-H4037</f>
        <v>₹91,220.64</v>
      </c>
    </row>
    <row r="4038" ht="15.75" customHeight="1">
      <c r="A4038" s="53" t="s">
        <v>4121</v>
      </c>
      <c r="B4038" s="53" t="s">
        <v>17</v>
      </c>
      <c r="C4038" s="53" t="s">
        <v>54</v>
      </c>
      <c r="D4038" s="54">
        <v>160866.59</v>
      </c>
      <c r="E4038" s="54" t="str">
        <f t="shared" si="1"/>
        <v>₹1,930,399.08</v>
      </c>
      <c r="F4038" s="55" t="str">
        <f t="shared" si="2"/>
        <v>30.0%</v>
      </c>
      <c r="G4038" s="54" t="str">
        <f t="shared" si="3"/>
        <v>₹579,119.72</v>
      </c>
      <c r="H4038" s="54" t="str">
        <f t="shared" si="4"/>
        <v>₹48,259.98</v>
      </c>
      <c r="I4038" s="54" t="str">
        <f>139493.44-H4038</f>
        <v>₹91,233.46</v>
      </c>
    </row>
    <row r="4039" ht="15.75" customHeight="1">
      <c r="A4039" s="50" t="s">
        <v>4122</v>
      </c>
      <c r="B4039" s="50" t="s">
        <v>25</v>
      </c>
      <c r="C4039" s="50" t="s">
        <v>33</v>
      </c>
      <c r="D4039" s="51">
        <v>160889.77</v>
      </c>
      <c r="E4039" s="51" t="str">
        <f t="shared" si="1"/>
        <v>₹1,930,677.24</v>
      </c>
      <c r="F4039" s="52" t="str">
        <f t="shared" si="2"/>
        <v>30.0%</v>
      </c>
      <c r="G4039" s="51" t="str">
        <f t="shared" si="3"/>
        <v>₹579,203.17</v>
      </c>
      <c r="H4039" s="51" t="str">
        <f t="shared" si="4"/>
        <v>₹48,266.93</v>
      </c>
      <c r="I4039" s="51" t="str">
        <f>139513.22-H4039</f>
        <v>₹91,246.29</v>
      </c>
    </row>
    <row r="4040" ht="15.75" customHeight="1">
      <c r="A4040" s="53" t="s">
        <v>4123</v>
      </c>
      <c r="B4040" s="53" t="s">
        <v>25</v>
      </c>
      <c r="C4040" s="53" t="s">
        <v>54</v>
      </c>
      <c r="D4040" s="54">
        <v>160912.95</v>
      </c>
      <c r="E4040" s="54" t="str">
        <f t="shared" si="1"/>
        <v>₹1,930,955.40</v>
      </c>
      <c r="F4040" s="55" t="str">
        <f t="shared" si="2"/>
        <v>30.0%</v>
      </c>
      <c r="G4040" s="54" t="str">
        <f t="shared" si="3"/>
        <v>₹579,286.62</v>
      </c>
      <c r="H4040" s="54" t="str">
        <f t="shared" si="4"/>
        <v>₹48,273.89</v>
      </c>
      <c r="I4040" s="54" t="str">
        <f>139533-H4040</f>
        <v>₹91,259.12</v>
      </c>
    </row>
    <row r="4041" ht="15.75" customHeight="1">
      <c r="A4041" s="50" t="s">
        <v>4124</v>
      </c>
      <c r="B4041" s="50" t="s">
        <v>13</v>
      </c>
      <c r="C4041" s="50" t="s">
        <v>18</v>
      </c>
      <c r="D4041" s="51">
        <v>160936.13</v>
      </c>
      <c r="E4041" s="51" t="str">
        <f t="shared" si="1"/>
        <v>₹1,931,233.56</v>
      </c>
      <c r="F4041" s="52" t="str">
        <f t="shared" si="2"/>
        <v>30.0%</v>
      </c>
      <c r="G4041" s="51" t="str">
        <f t="shared" si="3"/>
        <v>₹579,370.07</v>
      </c>
      <c r="H4041" s="51" t="str">
        <f t="shared" si="4"/>
        <v>₹48,280.84</v>
      </c>
      <c r="I4041" s="51" t="str">
        <f>139552.79-H4041</f>
        <v>₹91,271.95</v>
      </c>
    </row>
    <row r="4042" ht="15.75" customHeight="1">
      <c r="A4042" s="53" t="s">
        <v>4125</v>
      </c>
      <c r="B4042" s="53" t="s">
        <v>51</v>
      </c>
      <c r="C4042" s="53" t="s">
        <v>14</v>
      </c>
      <c r="D4042" s="54">
        <v>160959.3</v>
      </c>
      <c r="E4042" s="54" t="str">
        <f t="shared" si="1"/>
        <v>₹1,931,511.60</v>
      </c>
      <c r="F4042" s="55" t="str">
        <f t="shared" si="2"/>
        <v>30.0%</v>
      </c>
      <c r="G4042" s="54" t="str">
        <f t="shared" si="3"/>
        <v>₹579,453.48</v>
      </c>
      <c r="H4042" s="54" t="str">
        <f t="shared" si="4"/>
        <v>₹48,287.79</v>
      </c>
      <c r="I4042" s="54" t="str">
        <f>139572.56-H4042</f>
        <v>₹91,284.77</v>
      </c>
    </row>
    <row r="4043" ht="15.75" customHeight="1">
      <c r="A4043" s="50" t="s">
        <v>4126</v>
      </c>
      <c r="B4043" s="50" t="s">
        <v>36</v>
      </c>
      <c r="C4043" s="50" t="s">
        <v>14</v>
      </c>
      <c r="D4043" s="51">
        <v>160982.48</v>
      </c>
      <c r="E4043" s="51" t="str">
        <f t="shared" si="1"/>
        <v>₹1,931,789.76</v>
      </c>
      <c r="F4043" s="52" t="str">
        <f t="shared" si="2"/>
        <v>30.0%</v>
      </c>
      <c r="G4043" s="51" t="str">
        <f t="shared" si="3"/>
        <v>₹579,536.93</v>
      </c>
      <c r="H4043" s="51" t="str">
        <f t="shared" si="4"/>
        <v>₹48,294.74</v>
      </c>
      <c r="I4043" s="51" t="str">
        <f>139592.34-H4043</f>
        <v>₹91,297.60</v>
      </c>
    </row>
    <row r="4044" ht="15.75" customHeight="1">
      <c r="A4044" s="53" t="s">
        <v>4127</v>
      </c>
      <c r="B4044" s="53" t="s">
        <v>53</v>
      </c>
      <c r="C4044" s="53" t="s">
        <v>54</v>
      </c>
      <c r="D4044" s="54">
        <v>161028.84</v>
      </c>
      <c r="E4044" s="54" t="str">
        <f t="shared" si="1"/>
        <v>₹1,932,346.08</v>
      </c>
      <c r="F4044" s="55" t="str">
        <f t="shared" si="2"/>
        <v>30.0%</v>
      </c>
      <c r="G4044" s="54" t="str">
        <f t="shared" si="3"/>
        <v>₹579,703.82</v>
      </c>
      <c r="H4044" s="54" t="str">
        <f t="shared" si="4"/>
        <v>₹48,308.65</v>
      </c>
      <c r="I4044" s="54" t="str">
        <f>139631.9-H4044</f>
        <v>₹91,323.25</v>
      </c>
    </row>
    <row r="4045" ht="15.75" customHeight="1">
      <c r="A4045" s="50" t="s">
        <v>4128</v>
      </c>
      <c r="B4045" s="50" t="s">
        <v>25</v>
      </c>
      <c r="C4045" s="50" t="s">
        <v>18</v>
      </c>
      <c r="D4045" s="51">
        <v>161052.01</v>
      </c>
      <c r="E4045" s="51" t="str">
        <f t="shared" si="1"/>
        <v>₹1,932,624.12</v>
      </c>
      <c r="F4045" s="52" t="str">
        <f t="shared" si="2"/>
        <v>30.0%</v>
      </c>
      <c r="G4045" s="51" t="str">
        <f t="shared" si="3"/>
        <v>₹579,787.24</v>
      </c>
      <c r="H4045" s="51" t="str">
        <f t="shared" si="4"/>
        <v>₹48,315.60</v>
      </c>
      <c r="I4045" s="51" t="str">
        <f>139651.68-H4045</f>
        <v>₹91,336.08</v>
      </c>
    </row>
    <row r="4046" ht="15.75" customHeight="1">
      <c r="A4046" s="53" t="s">
        <v>4129</v>
      </c>
      <c r="B4046" s="53" t="s">
        <v>51</v>
      </c>
      <c r="C4046" s="53" t="s">
        <v>37</v>
      </c>
      <c r="D4046" s="54">
        <v>161075.19</v>
      </c>
      <c r="E4046" s="54" t="str">
        <f t="shared" si="1"/>
        <v>₹1,932,902.28</v>
      </c>
      <c r="F4046" s="55" t="str">
        <f t="shared" si="2"/>
        <v>30.0%</v>
      </c>
      <c r="G4046" s="54" t="str">
        <f t="shared" si="3"/>
        <v>₹579,870.68</v>
      </c>
      <c r="H4046" s="54" t="str">
        <f t="shared" si="4"/>
        <v>₹48,322.56</v>
      </c>
      <c r="I4046" s="54" t="str">
        <f>139671.46-H4046</f>
        <v>₹91,348.90</v>
      </c>
    </row>
    <row r="4047" ht="15.75" customHeight="1">
      <c r="A4047" s="50" t="s">
        <v>4130</v>
      </c>
      <c r="B4047" s="50" t="s">
        <v>17</v>
      </c>
      <c r="C4047" s="50" t="s">
        <v>33</v>
      </c>
      <c r="D4047" s="51">
        <v>161098.37</v>
      </c>
      <c r="E4047" s="51" t="str">
        <f t="shared" si="1"/>
        <v>₹1,933,180.44</v>
      </c>
      <c r="F4047" s="52" t="str">
        <f t="shared" si="2"/>
        <v>30.0%</v>
      </c>
      <c r="G4047" s="51" t="str">
        <f t="shared" si="3"/>
        <v>₹579,954.13</v>
      </c>
      <c r="H4047" s="51" t="str">
        <f t="shared" si="4"/>
        <v>₹48,329.51</v>
      </c>
      <c r="I4047" s="51" t="str">
        <f>139691.24-H4047</f>
        <v>₹91,361.73</v>
      </c>
    </row>
    <row r="4048" ht="15.75" customHeight="1">
      <c r="A4048" s="53" t="s">
        <v>4131</v>
      </c>
      <c r="B4048" s="53" t="s">
        <v>36</v>
      </c>
      <c r="C4048" s="53" t="s">
        <v>30</v>
      </c>
      <c r="D4048" s="54">
        <v>137414.68</v>
      </c>
      <c r="E4048" s="54" t="str">
        <f t="shared" si="1"/>
        <v>₹1,648,976.16</v>
      </c>
      <c r="F4048" s="55" t="str">
        <f t="shared" si="2"/>
        <v>30.0%</v>
      </c>
      <c r="G4048" s="54" t="str">
        <f t="shared" si="3"/>
        <v>₹494,692.85</v>
      </c>
      <c r="H4048" s="54" t="str">
        <f t="shared" si="4"/>
        <v>₹41,224.40</v>
      </c>
      <c r="I4048" s="54" t="str">
        <f>116004.15-H4048</f>
        <v>₹74,779.75</v>
      </c>
    </row>
    <row r="4049" ht="15.75" customHeight="1">
      <c r="A4049" s="50" t="s">
        <v>4132</v>
      </c>
      <c r="B4049" s="50" t="s">
        <v>51</v>
      </c>
      <c r="C4049" s="50" t="s">
        <v>37</v>
      </c>
      <c r="D4049" s="51">
        <v>161144.73</v>
      </c>
      <c r="E4049" s="51" t="str">
        <f t="shared" si="1"/>
        <v>₹1,933,736.76</v>
      </c>
      <c r="F4049" s="52" t="str">
        <f t="shared" si="2"/>
        <v>30.0%</v>
      </c>
      <c r="G4049" s="51" t="str">
        <f t="shared" si="3"/>
        <v>₹580,121.03</v>
      </c>
      <c r="H4049" s="51" t="str">
        <f t="shared" si="4"/>
        <v>₹48,343.42</v>
      </c>
      <c r="I4049" s="51" t="str">
        <f>139730.81-H4049</f>
        <v>₹91,387.39</v>
      </c>
    </row>
    <row r="4050" ht="15.75" customHeight="1">
      <c r="A4050" s="53" t="s">
        <v>4133</v>
      </c>
      <c r="B4050" s="53" t="s">
        <v>17</v>
      </c>
      <c r="C4050" s="53" t="s">
        <v>54</v>
      </c>
      <c r="D4050" s="54">
        <v>161167.9</v>
      </c>
      <c r="E4050" s="54" t="str">
        <f t="shared" si="1"/>
        <v>₹1,934,014.80</v>
      </c>
      <c r="F4050" s="55" t="str">
        <f t="shared" si="2"/>
        <v>30.0%</v>
      </c>
      <c r="G4050" s="54" t="str">
        <f t="shared" si="3"/>
        <v>₹580,204.44</v>
      </c>
      <c r="H4050" s="54" t="str">
        <f t="shared" si="4"/>
        <v>₹48,350.37</v>
      </c>
      <c r="I4050" s="54" t="str">
        <f>139750.58-H4050</f>
        <v>₹91,400.21</v>
      </c>
    </row>
    <row r="4051" ht="15.75" customHeight="1">
      <c r="A4051" s="50" t="s">
        <v>4134</v>
      </c>
      <c r="B4051" s="50" t="s">
        <v>36</v>
      </c>
      <c r="C4051" s="50" t="s">
        <v>18</v>
      </c>
      <c r="D4051" s="51">
        <v>161191.08</v>
      </c>
      <c r="E4051" s="51" t="str">
        <f t="shared" si="1"/>
        <v>₹1,934,292.96</v>
      </c>
      <c r="F4051" s="52" t="str">
        <f t="shared" si="2"/>
        <v>30.0%</v>
      </c>
      <c r="G4051" s="51" t="str">
        <f t="shared" si="3"/>
        <v>₹580,287.89</v>
      </c>
      <c r="H4051" s="51" t="str">
        <f t="shared" si="4"/>
        <v>₹48,357.32</v>
      </c>
      <c r="I4051" s="51" t="str">
        <f>139770.36-H4051</f>
        <v>₹91,413.04</v>
      </c>
    </row>
    <row r="4052" ht="15.75" customHeight="1">
      <c r="A4052" s="53" t="s">
        <v>4135</v>
      </c>
      <c r="B4052" s="53" t="s">
        <v>29</v>
      </c>
      <c r="C4052" s="53" t="s">
        <v>18</v>
      </c>
      <c r="D4052" s="54">
        <v>161214.26</v>
      </c>
      <c r="E4052" s="54" t="str">
        <f t="shared" si="1"/>
        <v>₹1,934,571.12</v>
      </c>
      <c r="F4052" s="55" t="str">
        <f t="shared" si="2"/>
        <v>30.0%</v>
      </c>
      <c r="G4052" s="54" t="str">
        <f t="shared" si="3"/>
        <v>₹580,371.34</v>
      </c>
      <c r="H4052" s="54" t="str">
        <f t="shared" si="4"/>
        <v>₹48,364.28</v>
      </c>
      <c r="I4052" s="54" t="str">
        <f>139790.14-H4052</f>
        <v>₹91,425.86</v>
      </c>
    </row>
    <row r="4053" ht="15.75" customHeight="1">
      <c r="A4053" s="50" t="s">
        <v>4136</v>
      </c>
      <c r="B4053" s="50" t="s">
        <v>51</v>
      </c>
      <c r="C4053" s="50" t="s">
        <v>26</v>
      </c>
      <c r="D4053" s="51">
        <v>161237.44</v>
      </c>
      <c r="E4053" s="51" t="str">
        <f t="shared" si="1"/>
        <v>₹1,934,849.28</v>
      </c>
      <c r="F4053" s="52" t="str">
        <f t="shared" si="2"/>
        <v>30.0%</v>
      </c>
      <c r="G4053" s="51" t="str">
        <f t="shared" si="3"/>
        <v>₹580,454.78</v>
      </c>
      <c r="H4053" s="51" t="str">
        <f t="shared" si="4"/>
        <v>₹48,371.23</v>
      </c>
      <c r="I4053" s="51" t="str">
        <f>139809.93-H4053</f>
        <v>₹91,438.70</v>
      </c>
    </row>
    <row r="4054" ht="15.75" customHeight="1">
      <c r="A4054" s="53" t="s">
        <v>4137</v>
      </c>
      <c r="B4054" s="53" t="s">
        <v>13</v>
      </c>
      <c r="C4054" s="53" t="s">
        <v>14</v>
      </c>
      <c r="D4054" s="54">
        <v>161260.61</v>
      </c>
      <c r="E4054" s="54" t="str">
        <f t="shared" si="1"/>
        <v>₹1,935,127.32</v>
      </c>
      <c r="F4054" s="55" t="str">
        <f t="shared" si="2"/>
        <v>30.0%</v>
      </c>
      <c r="G4054" s="54" t="str">
        <f t="shared" si="3"/>
        <v>₹580,538.20</v>
      </c>
      <c r="H4054" s="54" t="str">
        <f t="shared" si="4"/>
        <v>₹48,378.18</v>
      </c>
      <c r="I4054" s="54" t="str">
        <f>139829.7-H4054</f>
        <v>₹91,451.52</v>
      </c>
    </row>
    <row r="4055" ht="15.75" customHeight="1">
      <c r="A4055" s="50" t="s">
        <v>4138</v>
      </c>
      <c r="B4055" s="50" t="s">
        <v>13</v>
      </c>
      <c r="C4055" s="50" t="s">
        <v>54</v>
      </c>
      <c r="D4055" s="51">
        <v>161283.79</v>
      </c>
      <c r="E4055" s="51" t="str">
        <f t="shared" si="1"/>
        <v>₹1,935,405.48</v>
      </c>
      <c r="F4055" s="52" t="str">
        <f t="shared" si="2"/>
        <v>30.0%</v>
      </c>
      <c r="G4055" s="51" t="str">
        <f t="shared" si="3"/>
        <v>₹580,621.64</v>
      </c>
      <c r="H4055" s="51" t="str">
        <f t="shared" si="4"/>
        <v>₹48,385.14</v>
      </c>
      <c r="I4055" s="51" t="str">
        <f>139849.48-H4055</f>
        <v>₹91,464.34</v>
      </c>
    </row>
    <row r="4056" ht="15.75" customHeight="1">
      <c r="A4056" s="53" t="s">
        <v>4139</v>
      </c>
      <c r="B4056" s="53" t="s">
        <v>25</v>
      </c>
      <c r="C4056" s="53" t="s">
        <v>54</v>
      </c>
      <c r="D4056" s="54">
        <v>161306.97</v>
      </c>
      <c r="E4056" s="54" t="str">
        <f t="shared" si="1"/>
        <v>₹1,935,683.64</v>
      </c>
      <c r="F4056" s="55" t="str">
        <f t="shared" si="2"/>
        <v>30.0%</v>
      </c>
      <c r="G4056" s="54" t="str">
        <f t="shared" si="3"/>
        <v>₹580,705.09</v>
      </c>
      <c r="H4056" s="54" t="str">
        <f t="shared" si="4"/>
        <v>₹48,392.09</v>
      </c>
      <c r="I4056" s="54" t="str">
        <f>139869.26-H4056</f>
        <v>₹91,477.17</v>
      </c>
    </row>
    <row r="4057" ht="15.75" customHeight="1">
      <c r="A4057" s="50" t="s">
        <v>4140</v>
      </c>
      <c r="B4057" s="50" t="s">
        <v>53</v>
      </c>
      <c r="C4057" s="50" t="s">
        <v>54</v>
      </c>
      <c r="D4057" s="51">
        <v>161330.15</v>
      </c>
      <c r="E4057" s="51" t="str">
        <f t="shared" si="1"/>
        <v>₹1,935,961.80</v>
      </c>
      <c r="F4057" s="52" t="str">
        <f t="shared" si="2"/>
        <v>30.0%</v>
      </c>
      <c r="G4057" s="51" t="str">
        <f t="shared" si="3"/>
        <v>₹580,788.54</v>
      </c>
      <c r="H4057" s="51" t="str">
        <f t="shared" si="4"/>
        <v>₹48,399.05</v>
      </c>
      <c r="I4057" s="51" t="str">
        <f>139889.05-H4057</f>
        <v>₹91,490.01</v>
      </c>
    </row>
    <row r="4058" ht="15.75" customHeight="1">
      <c r="A4058" s="53" t="s">
        <v>4141</v>
      </c>
      <c r="B4058" s="53" t="s">
        <v>51</v>
      </c>
      <c r="C4058" s="53" t="s">
        <v>37</v>
      </c>
      <c r="D4058" s="54">
        <v>161353.32</v>
      </c>
      <c r="E4058" s="54" t="str">
        <f t="shared" si="1"/>
        <v>₹1,936,239.84</v>
      </c>
      <c r="F4058" s="55" t="str">
        <f t="shared" si="2"/>
        <v>30.0%</v>
      </c>
      <c r="G4058" s="54" t="str">
        <f t="shared" si="3"/>
        <v>₹580,871.95</v>
      </c>
      <c r="H4058" s="54" t="str">
        <f t="shared" si="4"/>
        <v>₹48,406.00</v>
      </c>
      <c r="I4058" s="54" t="str">
        <f>139908.82-H4058</f>
        <v>₹91,502.82</v>
      </c>
    </row>
    <row r="4059" ht="15.75" customHeight="1">
      <c r="A4059" s="50" t="s">
        <v>4142</v>
      </c>
      <c r="B4059" s="50" t="s">
        <v>29</v>
      </c>
      <c r="C4059" s="50" t="s">
        <v>37</v>
      </c>
      <c r="D4059" s="51">
        <v>161376.5</v>
      </c>
      <c r="E4059" s="51" t="str">
        <f t="shared" si="1"/>
        <v>₹1,936,518.00</v>
      </c>
      <c r="F4059" s="52" t="str">
        <f t="shared" si="2"/>
        <v>30.0%</v>
      </c>
      <c r="G4059" s="51" t="str">
        <f t="shared" si="3"/>
        <v>₹580,955.40</v>
      </c>
      <c r="H4059" s="51" t="str">
        <f t="shared" si="4"/>
        <v>₹48,412.95</v>
      </c>
      <c r="I4059" s="51" t="str">
        <f>139928.6-H4059</f>
        <v>₹91,515.65</v>
      </c>
    </row>
    <row r="4060" ht="15.75" customHeight="1">
      <c r="A4060" s="53" t="s">
        <v>4143</v>
      </c>
      <c r="B4060" s="53" t="s">
        <v>53</v>
      </c>
      <c r="C4060" s="53" t="s">
        <v>30</v>
      </c>
      <c r="D4060" s="54">
        <v>161422.86</v>
      </c>
      <c r="E4060" s="54" t="str">
        <f t="shared" si="1"/>
        <v>₹1,937,074.32</v>
      </c>
      <c r="F4060" s="55" t="str">
        <f t="shared" si="2"/>
        <v>30.0%</v>
      </c>
      <c r="G4060" s="54" t="str">
        <f t="shared" si="3"/>
        <v>₹581,122.30</v>
      </c>
      <c r="H4060" s="54" t="str">
        <f t="shared" si="4"/>
        <v>₹48,426.86</v>
      </c>
      <c r="I4060" s="54" t="str">
        <f>139968.17-H4060</f>
        <v>₹91,541.31</v>
      </c>
    </row>
    <row r="4061" ht="15.75" customHeight="1">
      <c r="A4061" s="50" t="s">
        <v>4144</v>
      </c>
      <c r="B4061" s="50" t="s">
        <v>25</v>
      </c>
      <c r="C4061" s="50" t="s">
        <v>18</v>
      </c>
      <c r="D4061" s="51">
        <v>161446.04</v>
      </c>
      <c r="E4061" s="51" t="str">
        <f t="shared" si="1"/>
        <v>₹1,937,352.48</v>
      </c>
      <c r="F4061" s="52" t="str">
        <f t="shared" si="2"/>
        <v>30.0%</v>
      </c>
      <c r="G4061" s="51" t="str">
        <f t="shared" si="3"/>
        <v>₹581,205.74</v>
      </c>
      <c r="H4061" s="51" t="str">
        <f t="shared" si="4"/>
        <v>₹48,433.81</v>
      </c>
      <c r="I4061" s="51" t="str">
        <f>139987.95-H4061</f>
        <v>₹91,554.14</v>
      </c>
    </row>
    <row r="4062" ht="15.75" customHeight="1">
      <c r="A4062" s="53" t="s">
        <v>4145</v>
      </c>
      <c r="B4062" s="53" t="s">
        <v>25</v>
      </c>
      <c r="C4062" s="53" t="s">
        <v>54</v>
      </c>
      <c r="D4062" s="54">
        <v>161469.21</v>
      </c>
      <c r="E4062" s="54" t="str">
        <f t="shared" si="1"/>
        <v>₹1,937,630.52</v>
      </c>
      <c r="F4062" s="55" t="str">
        <f t="shared" si="2"/>
        <v>30.0%</v>
      </c>
      <c r="G4062" s="54" t="str">
        <f t="shared" si="3"/>
        <v>₹581,289.16</v>
      </c>
      <c r="H4062" s="54" t="str">
        <f t="shared" si="4"/>
        <v>₹48,440.76</v>
      </c>
      <c r="I4062" s="54" t="str">
        <f>140007.72-H4062</f>
        <v>₹91,566.96</v>
      </c>
    </row>
    <row r="4063" ht="15.75" customHeight="1">
      <c r="A4063" s="50" t="s">
        <v>4146</v>
      </c>
      <c r="B4063" s="50" t="s">
        <v>13</v>
      </c>
      <c r="C4063" s="50" t="s">
        <v>14</v>
      </c>
      <c r="D4063" s="51">
        <v>161492.39</v>
      </c>
      <c r="E4063" s="51" t="str">
        <f t="shared" si="1"/>
        <v>₹1,937,908.68</v>
      </c>
      <c r="F4063" s="52" t="str">
        <f t="shared" si="2"/>
        <v>30.0%</v>
      </c>
      <c r="G4063" s="51" t="str">
        <f t="shared" si="3"/>
        <v>₹581,372.60</v>
      </c>
      <c r="H4063" s="51" t="str">
        <f t="shared" si="4"/>
        <v>₹48,447.72</v>
      </c>
      <c r="I4063" s="51" t="str">
        <f>140027.5-H4063</f>
        <v>₹91,579.78</v>
      </c>
    </row>
    <row r="4064" ht="15.75" customHeight="1">
      <c r="A4064" s="53" t="s">
        <v>4147</v>
      </c>
      <c r="B4064" s="53" t="s">
        <v>17</v>
      </c>
      <c r="C4064" s="53" t="s">
        <v>14</v>
      </c>
      <c r="D4064" s="54">
        <v>161515.57</v>
      </c>
      <c r="E4064" s="54" t="str">
        <f t="shared" si="1"/>
        <v>₹1,938,186.84</v>
      </c>
      <c r="F4064" s="55" t="str">
        <f t="shared" si="2"/>
        <v>30.0%</v>
      </c>
      <c r="G4064" s="54" t="str">
        <f t="shared" si="3"/>
        <v>₹581,456.05</v>
      </c>
      <c r="H4064" s="54" t="str">
        <f t="shared" si="4"/>
        <v>₹48,454.67</v>
      </c>
      <c r="I4064" s="54" t="str">
        <f>140047.29-H4064</f>
        <v>₹91,592.62</v>
      </c>
    </row>
    <row r="4065" ht="15.75" customHeight="1">
      <c r="A4065" s="50" t="s">
        <v>4148</v>
      </c>
      <c r="B4065" s="50" t="s">
        <v>51</v>
      </c>
      <c r="C4065" s="50" t="s">
        <v>26</v>
      </c>
      <c r="D4065" s="51">
        <v>161538.75</v>
      </c>
      <c r="E4065" s="51" t="str">
        <f t="shared" si="1"/>
        <v>₹1,938,465.00</v>
      </c>
      <c r="F4065" s="52" t="str">
        <f t="shared" si="2"/>
        <v>30.0%</v>
      </c>
      <c r="G4065" s="51" t="str">
        <f t="shared" si="3"/>
        <v>₹581,539.50</v>
      </c>
      <c r="H4065" s="51" t="str">
        <f t="shared" si="4"/>
        <v>₹48,461.63</v>
      </c>
      <c r="I4065" s="51" t="str">
        <f>140067.07-H4065</f>
        <v>₹91,605.45</v>
      </c>
    </row>
    <row r="4066" ht="15.75" customHeight="1">
      <c r="A4066" s="53" t="s">
        <v>4149</v>
      </c>
      <c r="B4066" s="53" t="s">
        <v>13</v>
      </c>
      <c r="C4066" s="53" t="s">
        <v>26</v>
      </c>
      <c r="D4066" s="54">
        <v>161561.92</v>
      </c>
      <c r="E4066" s="54" t="str">
        <f t="shared" si="1"/>
        <v>₹1,938,743.04</v>
      </c>
      <c r="F4066" s="55" t="str">
        <f t="shared" si="2"/>
        <v>30.0%</v>
      </c>
      <c r="G4066" s="54" t="str">
        <f t="shared" si="3"/>
        <v>₹581,622.91</v>
      </c>
      <c r="H4066" s="54" t="str">
        <f t="shared" si="4"/>
        <v>₹48,468.58</v>
      </c>
      <c r="I4066" s="54" t="str">
        <f>147234.54-H4066</f>
        <v>₹98,765.96</v>
      </c>
    </row>
    <row r="4067" ht="15.75" customHeight="1">
      <c r="A4067" s="50" t="s">
        <v>4150</v>
      </c>
      <c r="B4067" s="50" t="s">
        <v>51</v>
      </c>
      <c r="C4067" s="50" t="s">
        <v>26</v>
      </c>
      <c r="D4067" s="51">
        <v>161585.1</v>
      </c>
      <c r="E4067" s="51" t="str">
        <f t="shared" si="1"/>
        <v>₹1,939,021.20</v>
      </c>
      <c r="F4067" s="52" t="str">
        <f t="shared" si="2"/>
        <v>30.0%</v>
      </c>
      <c r="G4067" s="51" t="str">
        <f t="shared" si="3"/>
        <v>₹581,706.36</v>
      </c>
      <c r="H4067" s="51" t="str">
        <f t="shared" si="4"/>
        <v>₹48,475.53</v>
      </c>
      <c r="I4067" s="51" t="str">
        <f>140106.62-H4067</f>
        <v>₹91,631.09</v>
      </c>
    </row>
    <row r="4068" ht="15.75" customHeight="1">
      <c r="A4068" s="53" t="s">
        <v>4151</v>
      </c>
      <c r="B4068" s="53" t="s">
        <v>17</v>
      </c>
      <c r="C4068" s="53" t="s">
        <v>18</v>
      </c>
      <c r="D4068" s="54">
        <v>161608.28</v>
      </c>
      <c r="E4068" s="54" t="str">
        <f t="shared" si="1"/>
        <v>₹1,939,299.36</v>
      </c>
      <c r="F4068" s="55" t="str">
        <f t="shared" si="2"/>
        <v>30.0%</v>
      </c>
      <c r="G4068" s="54" t="str">
        <f t="shared" si="3"/>
        <v>₹581,789.81</v>
      </c>
      <c r="H4068" s="54" t="str">
        <f t="shared" si="4"/>
        <v>₹48,482.48</v>
      </c>
      <c r="I4068" s="54" t="str">
        <f>140126.41-H4068</f>
        <v>₹91,643.93</v>
      </c>
    </row>
    <row r="4069" ht="15.75" customHeight="1">
      <c r="A4069" s="50" t="s">
        <v>4152</v>
      </c>
      <c r="B4069" s="50" t="s">
        <v>53</v>
      </c>
      <c r="C4069" s="50" t="s">
        <v>54</v>
      </c>
      <c r="D4069" s="51">
        <v>161631.46</v>
      </c>
      <c r="E4069" s="51" t="str">
        <f t="shared" si="1"/>
        <v>₹1,939,577.52</v>
      </c>
      <c r="F4069" s="52" t="str">
        <f t="shared" si="2"/>
        <v>30.0%</v>
      </c>
      <c r="G4069" s="51" t="str">
        <f t="shared" si="3"/>
        <v>₹581,873.26</v>
      </c>
      <c r="H4069" s="51" t="str">
        <f t="shared" si="4"/>
        <v>₹48,489.44</v>
      </c>
      <c r="I4069" s="51" t="str">
        <f>140146.19-H4069</f>
        <v>₹91,656.75</v>
      </c>
    </row>
    <row r="4070" ht="15.75" customHeight="1">
      <c r="A4070" s="53" t="s">
        <v>4153</v>
      </c>
      <c r="B4070" s="53" t="s">
        <v>17</v>
      </c>
      <c r="C4070" s="53" t="s">
        <v>30</v>
      </c>
      <c r="D4070" s="54">
        <v>161654.63</v>
      </c>
      <c r="E4070" s="54" t="str">
        <f t="shared" si="1"/>
        <v>₹1,939,855.56</v>
      </c>
      <c r="F4070" s="55" t="str">
        <f t="shared" si="2"/>
        <v>30.0%</v>
      </c>
      <c r="G4070" s="54" t="str">
        <f t="shared" si="3"/>
        <v>₹581,956.67</v>
      </c>
      <c r="H4070" s="54" t="str">
        <f t="shared" si="4"/>
        <v>₹48,496.39</v>
      </c>
      <c r="I4070" s="54" t="str">
        <f>140165.96-H4070</f>
        <v>₹91,669.57</v>
      </c>
    </row>
    <row r="4071" ht="15.75" customHeight="1">
      <c r="A4071" s="50" t="s">
        <v>4154</v>
      </c>
      <c r="B4071" s="50" t="s">
        <v>13</v>
      </c>
      <c r="C4071" s="50" t="s">
        <v>54</v>
      </c>
      <c r="D4071" s="51">
        <v>161677.81</v>
      </c>
      <c r="E4071" s="51" t="str">
        <f t="shared" si="1"/>
        <v>₹1,940,133.72</v>
      </c>
      <c r="F4071" s="52" t="str">
        <f t="shared" si="2"/>
        <v>30.0%</v>
      </c>
      <c r="G4071" s="51" t="str">
        <f t="shared" si="3"/>
        <v>₹582,040.12</v>
      </c>
      <c r="H4071" s="51" t="str">
        <f t="shared" si="4"/>
        <v>₹48,503.34</v>
      </c>
      <c r="I4071" s="51" t="str">
        <f>140185.74-H4071</f>
        <v>₹91,682.40</v>
      </c>
    </row>
    <row r="4072" ht="15.75" customHeight="1">
      <c r="A4072" s="53" t="s">
        <v>4155</v>
      </c>
      <c r="B4072" s="53" t="s">
        <v>25</v>
      </c>
      <c r="C4072" s="53" t="s">
        <v>26</v>
      </c>
      <c r="D4072" s="54">
        <v>161700.99</v>
      </c>
      <c r="E4072" s="54" t="str">
        <f t="shared" si="1"/>
        <v>₹1,940,411.88</v>
      </c>
      <c r="F4072" s="55" t="str">
        <f t="shared" si="2"/>
        <v>30.0%</v>
      </c>
      <c r="G4072" s="54" t="str">
        <f t="shared" si="3"/>
        <v>₹582,123.56</v>
      </c>
      <c r="H4072" s="54" t="str">
        <f t="shared" si="4"/>
        <v>₹48,510.30</v>
      </c>
      <c r="I4072" s="54" t="str">
        <f>140205.53-H4072</f>
        <v>₹91,695.23</v>
      </c>
    </row>
    <row r="4073" ht="15.75" customHeight="1">
      <c r="A4073" s="50" t="s">
        <v>4156</v>
      </c>
      <c r="B4073" s="50" t="s">
        <v>36</v>
      </c>
      <c r="C4073" s="50" t="s">
        <v>33</v>
      </c>
      <c r="D4073" s="51">
        <v>161724.17</v>
      </c>
      <c r="E4073" s="51" t="str">
        <f t="shared" si="1"/>
        <v>₹1,940,690.04</v>
      </c>
      <c r="F4073" s="52" t="str">
        <f t="shared" si="2"/>
        <v>30.0%</v>
      </c>
      <c r="G4073" s="51" t="str">
        <f t="shared" si="3"/>
        <v>₹582,207.01</v>
      </c>
      <c r="H4073" s="51" t="str">
        <f t="shared" si="4"/>
        <v>₹48,517.25</v>
      </c>
      <c r="I4073" s="51" t="str">
        <f>140225.31-H4073</f>
        <v>₹91,708.06</v>
      </c>
    </row>
    <row r="4074" ht="15.75" customHeight="1">
      <c r="A4074" s="53" t="s">
        <v>4157</v>
      </c>
      <c r="B4074" s="53" t="s">
        <v>29</v>
      </c>
      <c r="C4074" s="53" t="s">
        <v>26</v>
      </c>
      <c r="D4074" s="54">
        <v>161747.35</v>
      </c>
      <c r="E4074" s="54" t="str">
        <f t="shared" si="1"/>
        <v>₹1,940,968.20</v>
      </c>
      <c r="F4074" s="55" t="str">
        <f t="shared" si="2"/>
        <v>30.0%</v>
      </c>
      <c r="G4074" s="54" t="str">
        <f t="shared" si="3"/>
        <v>₹582,290.46</v>
      </c>
      <c r="H4074" s="54" t="str">
        <f t="shared" si="4"/>
        <v>₹48,524.21</v>
      </c>
      <c r="I4074" s="54" t="str">
        <f>140245.09-H4074</f>
        <v>₹91,720.89</v>
      </c>
    </row>
    <row r="4075" ht="15.75" customHeight="1">
      <c r="A4075" s="50" t="s">
        <v>4158</v>
      </c>
      <c r="B4075" s="50" t="s">
        <v>13</v>
      </c>
      <c r="C4075" s="50" t="s">
        <v>18</v>
      </c>
      <c r="D4075" s="51">
        <v>161770.52</v>
      </c>
      <c r="E4075" s="51" t="str">
        <f t="shared" si="1"/>
        <v>₹1,941,246.24</v>
      </c>
      <c r="F4075" s="52" t="str">
        <f t="shared" si="2"/>
        <v>30.0%</v>
      </c>
      <c r="G4075" s="51" t="str">
        <f t="shared" si="3"/>
        <v>₹582,373.87</v>
      </c>
      <c r="H4075" s="51" t="str">
        <f t="shared" si="4"/>
        <v>₹48,531.16</v>
      </c>
      <c r="I4075" s="51" t="str">
        <f>140264.86-H4075</f>
        <v>₹91,733.70</v>
      </c>
    </row>
    <row r="4076" ht="15.75" customHeight="1">
      <c r="A4076" s="53" t="s">
        <v>4159</v>
      </c>
      <c r="B4076" s="53" t="s">
        <v>53</v>
      </c>
      <c r="C4076" s="53" t="s">
        <v>30</v>
      </c>
      <c r="D4076" s="54">
        <v>161793.7</v>
      </c>
      <c r="E4076" s="54" t="str">
        <f t="shared" si="1"/>
        <v>₹1,941,524.40</v>
      </c>
      <c r="F4076" s="55" t="str">
        <f t="shared" si="2"/>
        <v>30.0%</v>
      </c>
      <c r="G4076" s="54" t="str">
        <f t="shared" si="3"/>
        <v>₹582,457.32</v>
      </c>
      <c r="H4076" s="54" t="str">
        <f t="shared" si="4"/>
        <v>₹48,538.11</v>
      </c>
      <c r="I4076" s="54" t="str">
        <f>140284.65-H4076</f>
        <v>₹91,746.54</v>
      </c>
    </row>
    <row r="4077" ht="15.75" customHeight="1">
      <c r="A4077" s="50" t="s">
        <v>4160</v>
      </c>
      <c r="B4077" s="50" t="s">
        <v>29</v>
      </c>
      <c r="C4077" s="50" t="s">
        <v>14</v>
      </c>
      <c r="D4077" s="51">
        <v>161816.88</v>
      </c>
      <c r="E4077" s="51" t="str">
        <f t="shared" si="1"/>
        <v>₹1,941,802.56</v>
      </c>
      <c r="F4077" s="52" t="str">
        <f t="shared" si="2"/>
        <v>30.0%</v>
      </c>
      <c r="G4077" s="51" t="str">
        <f t="shared" si="3"/>
        <v>₹582,540.77</v>
      </c>
      <c r="H4077" s="51" t="str">
        <f t="shared" si="4"/>
        <v>₹48,545.06</v>
      </c>
      <c r="I4077" s="51" t="str">
        <f>140304.43-H4077</f>
        <v>₹91,759.37</v>
      </c>
    </row>
    <row r="4078" ht="15.75" customHeight="1">
      <c r="A4078" s="53" t="s">
        <v>4161</v>
      </c>
      <c r="B4078" s="53" t="s">
        <v>17</v>
      </c>
      <c r="C4078" s="53" t="s">
        <v>37</v>
      </c>
      <c r="D4078" s="54">
        <v>161840.06</v>
      </c>
      <c r="E4078" s="54" t="str">
        <f t="shared" si="1"/>
        <v>₹1,942,080.72</v>
      </c>
      <c r="F4078" s="55" t="str">
        <f t="shared" si="2"/>
        <v>30.0%</v>
      </c>
      <c r="G4078" s="54" t="str">
        <f t="shared" si="3"/>
        <v>₹582,624.22</v>
      </c>
      <c r="H4078" s="54" t="str">
        <f t="shared" si="4"/>
        <v>₹48,552.02</v>
      </c>
      <c r="I4078" s="54" t="str">
        <f>140324.21-H4078</f>
        <v>₹91,772.19</v>
      </c>
    </row>
    <row r="4079" ht="15.75" customHeight="1">
      <c r="A4079" s="50" t="s">
        <v>4162</v>
      </c>
      <c r="B4079" s="50" t="s">
        <v>13</v>
      </c>
      <c r="C4079" s="50" t="s">
        <v>14</v>
      </c>
      <c r="D4079" s="51">
        <v>161863.23</v>
      </c>
      <c r="E4079" s="51" t="str">
        <f t="shared" si="1"/>
        <v>₹1,942,358.76</v>
      </c>
      <c r="F4079" s="52" t="str">
        <f t="shared" si="2"/>
        <v>30.0%</v>
      </c>
      <c r="G4079" s="51" t="str">
        <f t="shared" si="3"/>
        <v>₹582,707.63</v>
      </c>
      <c r="H4079" s="51" t="str">
        <f t="shared" si="4"/>
        <v>₹48,558.97</v>
      </c>
      <c r="I4079" s="51" t="str">
        <f>140343.98-H4079</f>
        <v>₹91,785.01</v>
      </c>
    </row>
    <row r="4080" ht="15.75" customHeight="1">
      <c r="A4080" s="53" t="s">
        <v>4163</v>
      </c>
      <c r="B4080" s="53" t="s">
        <v>36</v>
      </c>
      <c r="C4080" s="53" t="s">
        <v>18</v>
      </c>
      <c r="D4080" s="54">
        <v>161886.41</v>
      </c>
      <c r="E4080" s="54" t="str">
        <f t="shared" si="1"/>
        <v>₹1,942,636.92</v>
      </c>
      <c r="F4080" s="55" t="str">
        <f t="shared" si="2"/>
        <v>30.0%</v>
      </c>
      <c r="G4080" s="54" t="str">
        <f t="shared" si="3"/>
        <v>₹582,791.08</v>
      </c>
      <c r="H4080" s="54" t="str">
        <f t="shared" si="4"/>
        <v>₹48,565.92</v>
      </c>
      <c r="I4080" s="54" t="str">
        <f>140363.77-H4080</f>
        <v>₹91,797.85</v>
      </c>
    </row>
    <row r="4081" ht="15.75" customHeight="1">
      <c r="A4081" s="50" t="s">
        <v>4164</v>
      </c>
      <c r="B4081" s="50" t="s">
        <v>25</v>
      </c>
      <c r="C4081" s="50" t="s">
        <v>18</v>
      </c>
      <c r="D4081" s="51">
        <v>161909.59</v>
      </c>
      <c r="E4081" s="51" t="str">
        <f t="shared" si="1"/>
        <v>₹1,942,915.08</v>
      </c>
      <c r="F4081" s="52" t="str">
        <f t="shared" si="2"/>
        <v>30.0%</v>
      </c>
      <c r="G4081" s="51" t="str">
        <f t="shared" si="3"/>
        <v>₹582,874.52</v>
      </c>
      <c r="H4081" s="51" t="str">
        <f t="shared" si="4"/>
        <v>₹48,572.88</v>
      </c>
      <c r="I4081" s="51" t="str">
        <f>140383.55-H4081</f>
        <v>₹91,810.67</v>
      </c>
    </row>
    <row r="4082" ht="15.75" customHeight="1">
      <c r="A4082" s="53" t="s">
        <v>4165</v>
      </c>
      <c r="B4082" s="53" t="s">
        <v>17</v>
      </c>
      <c r="C4082" s="53" t="s">
        <v>37</v>
      </c>
      <c r="D4082" s="54">
        <v>161932.77</v>
      </c>
      <c r="E4082" s="54" t="str">
        <f t="shared" si="1"/>
        <v>₹1,943,193.24</v>
      </c>
      <c r="F4082" s="55" t="str">
        <f t="shared" si="2"/>
        <v>30.0%</v>
      </c>
      <c r="G4082" s="54" t="str">
        <f t="shared" si="3"/>
        <v>₹582,957.97</v>
      </c>
      <c r="H4082" s="54" t="str">
        <f t="shared" si="4"/>
        <v>₹48,579.83</v>
      </c>
      <c r="I4082" s="54" t="str">
        <f>140403.33-H4082</f>
        <v>₹91,823.50</v>
      </c>
    </row>
    <row r="4083" ht="15.75" customHeight="1">
      <c r="A4083" s="50" t="s">
        <v>4166</v>
      </c>
      <c r="B4083" s="50" t="s">
        <v>53</v>
      </c>
      <c r="C4083" s="50" t="s">
        <v>37</v>
      </c>
      <c r="D4083" s="51">
        <v>161955.94</v>
      </c>
      <c r="E4083" s="51" t="str">
        <f t="shared" si="1"/>
        <v>₹1,943,471.28</v>
      </c>
      <c r="F4083" s="52" t="str">
        <f t="shared" si="2"/>
        <v>30.0%</v>
      </c>
      <c r="G4083" s="51" t="str">
        <f t="shared" si="3"/>
        <v>₹583,041.38</v>
      </c>
      <c r="H4083" s="51" t="str">
        <f t="shared" si="4"/>
        <v>₹48,586.78</v>
      </c>
      <c r="I4083" s="51" t="str">
        <f>140423.1-H4083</f>
        <v>₹91,836.32</v>
      </c>
    </row>
    <row r="4084" ht="15.75" customHeight="1">
      <c r="A4084" s="53" t="s">
        <v>4167</v>
      </c>
      <c r="B4084" s="53" t="s">
        <v>29</v>
      </c>
      <c r="C4084" s="53" t="s">
        <v>54</v>
      </c>
      <c r="D4084" s="54">
        <v>161979.12</v>
      </c>
      <c r="E4084" s="54" t="str">
        <f t="shared" si="1"/>
        <v>₹1,943,749.44</v>
      </c>
      <c r="F4084" s="55" t="str">
        <f t="shared" si="2"/>
        <v>30.0%</v>
      </c>
      <c r="G4084" s="54" t="str">
        <f t="shared" si="3"/>
        <v>₹583,124.83</v>
      </c>
      <c r="H4084" s="54" t="str">
        <f t="shared" si="4"/>
        <v>₹48,593.74</v>
      </c>
      <c r="I4084" s="54" t="str">
        <f>140442.89-H4084</f>
        <v>₹91,849.15</v>
      </c>
    </row>
    <row r="4085" ht="15.75" customHeight="1">
      <c r="A4085" s="50" t="s">
        <v>4168</v>
      </c>
      <c r="B4085" s="50" t="s">
        <v>29</v>
      </c>
      <c r="C4085" s="50" t="s">
        <v>54</v>
      </c>
      <c r="D4085" s="51">
        <v>162002.3</v>
      </c>
      <c r="E4085" s="51" t="str">
        <f t="shared" si="1"/>
        <v>₹1,944,027.60</v>
      </c>
      <c r="F4085" s="52" t="str">
        <f t="shared" si="2"/>
        <v>30.0%</v>
      </c>
      <c r="G4085" s="51" t="str">
        <f t="shared" si="3"/>
        <v>₹583,208.28</v>
      </c>
      <c r="H4085" s="51" t="str">
        <f t="shared" si="4"/>
        <v>₹48,600.69</v>
      </c>
      <c r="I4085" s="51" t="str">
        <f>140462.67-H4085</f>
        <v>₹91,861.98</v>
      </c>
    </row>
    <row r="4086" ht="15.75" customHeight="1">
      <c r="A4086" s="53" t="s">
        <v>4169</v>
      </c>
      <c r="B4086" s="53" t="s">
        <v>51</v>
      </c>
      <c r="C4086" s="53" t="s">
        <v>37</v>
      </c>
      <c r="D4086" s="54">
        <v>162025.48</v>
      </c>
      <c r="E4086" s="54" t="str">
        <f t="shared" si="1"/>
        <v>₹1,944,305.76</v>
      </c>
      <c r="F4086" s="55" t="str">
        <f t="shared" si="2"/>
        <v>30.0%</v>
      </c>
      <c r="G4086" s="54" t="str">
        <f t="shared" si="3"/>
        <v>₹583,291.73</v>
      </c>
      <c r="H4086" s="54" t="str">
        <f t="shared" si="4"/>
        <v>₹48,607.64</v>
      </c>
      <c r="I4086" s="54" t="str">
        <f>140482.45-H4086</f>
        <v>₹91,874.81</v>
      </c>
    </row>
    <row r="4087" ht="15.75" customHeight="1">
      <c r="A4087" s="50" t="s">
        <v>4170</v>
      </c>
      <c r="B4087" s="50" t="s">
        <v>53</v>
      </c>
      <c r="C4087" s="50" t="s">
        <v>33</v>
      </c>
      <c r="D4087" s="51">
        <v>139287.49</v>
      </c>
      <c r="E4087" s="51" t="str">
        <f t="shared" si="1"/>
        <v>₹1,671,449.88</v>
      </c>
      <c r="F4087" s="52" t="str">
        <f t="shared" si="2"/>
        <v>30.0%</v>
      </c>
      <c r="G4087" s="51" t="str">
        <f t="shared" si="3"/>
        <v>₹501,434.96</v>
      </c>
      <c r="H4087" s="51" t="str">
        <f t="shared" si="4"/>
        <v>₹41,786.25</v>
      </c>
      <c r="I4087" s="51" t="str">
        <f>117741.06-H4087</f>
        <v>₹75,954.81</v>
      </c>
    </row>
    <row r="4088" ht="15.75" customHeight="1">
      <c r="A4088" s="53" t="s">
        <v>4171</v>
      </c>
      <c r="B4088" s="53" t="s">
        <v>53</v>
      </c>
      <c r="C4088" s="53" t="s">
        <v>26</v>
      </c>
      <c r="D4088" s="54">
        <v>162071.83</v>
      </c>
      <c r="E4088" s="54" t="str">
        <f t="shared" si="1"/>
        <v>₹1,944,861.96</v>
      </c>
      <c r="F4088" s="55" t="str">
        <f t="shared" si="2"/>
        <v>30.0%</v>
      </c>
      <c r="G4088" s="54" t="str">
        <f t="shared" si="3"/>
        <v>₹583,458.59</v>
      </c>
      <c r="H4088" s="54" t="str">
        <f t="shared" si="4"/>
        <v>₹48,621.55</v>
      </c>
      <c r="I4088" s="54" t="str">
        <f>140522.01-H4088</f>
        <v>₹91,900.46</v>
      </c>
    </row>
    <row r="4089" ht="15.75" customHeight="1">
      <c r="A4089" s="50" t="s">
        <v>4172</v>
      </c>
      <c r="B4089" s="50" t="s">
        <v>17</v>
      </c>
      <c r="C4089" s="50" t="s">
        <v>26</v>
      </c>
      <c r="D4089" s="51">
        <v>162095.01</v>
      </c>
      <c r="E4089" s="51" t="str">
        <f t="shared" si="1"/>
        <v>₹1,945,140.12</v>
      </c>
      <c r="F4089" s="52" t="str">
        <f t="shared" si="2"/>
        <v>30.0%</v>
      </c>
      <c r="G4089" s="51" t="str">
        <f t="shared" si="3"/>
        <v>₹583,542.04</v>
      </c>
      <c r="H4089" s="51" t="str">
        <f t="shared" si="4"/>
        <v>₹48,628.50</v>
      </c>
      <c r="I4089" s="51" t="str">
        <f>140541.79-H4089</f>
        <v>₹91,913.29</v>
      </c>
    </row>
    <row r="4090" ht="15.75" customHeight="1">
      <c r="A4090" s="53" t="s">
        <v>4173</v>
      </c>
      <c r="B4090" s="53" t="s">
        <v>25</v>
      </c>
      <c r="C4090" s="53" t="s">
        <v>33</v>
      </c>
      <c r="D4090" s="54">
        <v>162118.19</v>
      </c>
      <c r="E4090" s="54" t="str">
        <f t="shared" si="1"/>
        <v>₹1,945,418.28</v>
      </c>
      <c r="F4090" s="55" t="str">
        <f t="shared" si="2"/>
        <v>30.0%</v>
      </c>
      <c r="G4090" s="54" t="str">
        <f t="shared" si="3"/>
        <v>₹583,625.48</v>
      </c>
      <c r="H4090" s="54" t="str">
        <f t="shared" si="4"/>
        <v>₹48,635.46</v>
      </c>
      <c r="I4090" s="54" t="str">
        <f>140561.57-H4090</f>
        <v>₹91,926.11</v>
      </c>
    </row>
    <row r="4091" ht="15.75" customHeight="1">
      <c r="A4091" s="50" t="s">
        <v>4174</v>
      </c>
      <c r="B4091" s="50" t="s">
        <v>51</v>
      </c>
      <c r="C4091" s="50" t="s">
        <v>30</v>
      </c>
      <c r="D4091" s="51">
        <v>162141.37</v>
      </c>
      <c r="E4091" s="51" t="str">
        <f t="shared" si="1"/>
        <v>₹1,945,696.44</v>
      </c>
      <c r="F4091" s="52" t="str">
        <f t="shared" si="2"/>
        <v>30.0%</v>
      </c>
      <c r="G4091" s="51" t="str">
        <f t="shared" si="3"/>
        <v>₹583,708.93</v>
      </c>
      <c r="H4091" s="51" t="str">
        <f t="shared" si="4"/>
        <v>₹48,642.41</v>
      </c>
      <c r="I4091" s="51" t="str">
        <f>140581.35-H4091</f>
        <v>₹91,938.94</v>
      </c>
    </row>
    <row r="4092" ht="15.75" customHeight="1">
      <c r="A4092" s="53" t="s">
        <v>4175</v>
      </c>
      <c r="B4092" s="53" t="s">
        <v>53</v>
      </c>
      <c r="C4092" s="53" t="s">
        <v>54</v>
      </c>
      <c r="D4092" s="54">
        <v>162164.54</v>
      </c>
      <c r="E4092" s="54" t="str">
        <f t="shared" si="1"/>
        <v>₹1,945,974.48</v>
      </c>
      <c r="F4092" s="55" t="str">
        <f t="shared" si="2"/>
        <v>30.0%</v>
      </c>
      <c r="G4092" s="54" t="str">
        <f t="shared" si="3"/>
        <v>₹583,792.34</v>
      </c>
      <c r="H4092" s="54" t="str">
        <f t="shared" si="4"/>
        <v>₹48,649.36</v>
      </c>
      <c r="I4092" s="54" t="str">
        <f>140601.12-H4092</f>
        <v>₹91,951.76</v>
      </c>
    </row>
    <row r="4093" ht="15.75" customHeight="1">
      <c r="A4093" s="50" t="s">
        <v>4176</v>
      </c>
      <c r="B4093" s="50" t="s">
        <v>36</v>
      </c>
      <c r="C4093" s="50" t="s">
        <v>30</v>
      </c>
      <c r="D4093" s="51">
        <v>162187.72</v>
      </c>
      <c r="E4093" s="51" t="str">
        <f t="shared" si="1"/>
        <v>₹1,946,252.64</v>
      </c>
      <c r="F4093" s="52" t="str">
        <f t="shared" si="2"/>
        <v>30.0%</v>
      </c>
      <c r="G4093" s="51" t="str">
        <f t="shared" si="3"/>
        <v>₹583,875.79</v>
      </c>
      <c r="H4093" s="51" t="str">
        <f t="shared" si="4"/>
        <v>₹48,656.32</v>
      </c>
      <c r="I4093" s="51" t="str">
        <f>140620.91-H4093</f>
        <v>₹91,964.59</v>
      </c>
    </row>
    <row r="4094" ht="15.75" customHeight="1">
      <c r="A4094" s="53" t="s">
        <v>4177</v>
      </c>
      <c r="B4094" s="53" t="s">
        <v>51</v>
      </c>
      <c r="C4094" s="53" t="s">
        <v>37</v>
      </c>
      <c r="D4094" s="54">
        <v>162210.9</v>
      </c>
      <c r="E4094" s="54" t="str">
        <f t="shared" si="1"/>
        <v>₹1,946,530.80</v>
      </c>
      <c r="F4094" s="55" t="str">
        <f t="shared" si="2"/>
        <v>30.0%</v>
      </c>
      <c r="G4094" s="54" t="str">
        <f t="shared" si="3"/>
        <v>₹583,959.24</v>
      </c>
      <c r="H4094" s="54" t="str">
        <f t="shared" si="4"/>
        <v>₹48,663.27</v>
      </c>
      <c r="I4094" s="54" t="str">
        <f>140640.69-H4094</f>
        <v>₹91,977.42</v>
      </c>
    </row>
    <row r="4095" ht="15.75" customHeight="1">
      <c r="A4095" s="50" t="s">
        <v>4178</v>
      </c>
      <c r="B4095" s="50" t="s">
        <v>25</v>
      </c>
      <c r="C4095" s="50" t="s">
        <v>18</v>
      </c>
      <c r="D4095" s="51">
        <v>162234.08</v>
      </c>
      <c r="E4095" s="51" t="str">
        <f t="shared" si="1"/>
        <v>₹1,946,808.96</v>
      </c>
      <c r="F4095" s="52" t="str">
        <f t="shared" si="2"/>
        <v>30.0%</v>
      </c>
      <c r="G4095" s="51" t="str">
        <f t="shared" si="3"/>
        <v>₹584,042.69</v>
      </c>
      <c r="H4095" s="51" t="str">
        <f t="shared" si="4"/>
        <v>₹48,670.22</v>
      </c>
      <c r="I4095" s="51" t="str">
        <f>140660.47-H4095</f>
        <v>₹91,990.25</v>
      </c>
    </row>
    <row r="4096" ht="15.75" customHeight="1">
      <c r="A4096" s="53" t="s">
        <v>4179</v>
      </c>
      <c r="B4096" s="53" t="s">
        <v>13</v>
      </c>
      <c r="C4096" s="53" t="s">
        <v>33</v>
      </c>
      <c r="D4096" s="54">
        <v>162257.25</v>
      </c>
      <c r="E4096" s="54" t="str">
        <f t="shared" si="1"/>
        <v>₹1,947,087.00</v>
      </c>
      <c r="F4096" s="55" t="str">
        <f t="shared" si="2"/>
        <v>30.0%</v>
      </c>
      <c r="G4096" s="54" t="str">
        <f t="shared" si="3"/>
        <v>₹584,126.10</v>
      </c>
      <c r="H4096" s="54" t="str">
        <f t="shared" si="4"/>
        <v>₹48,677.18</v>
      </c>
      <c r="I4096" s="54" t="str">
        <f>140680.24-H4096</f>
        <v>₹92,003.07</v>
      </c>
    </row>
    <row r="4097" ht="15.75" customHeight="1">
      <c r="A4097" s="50" t="s">
        <v>4180</v>
      </c>
      <c r="B4097" s="50" t="s">
        <v>25</v>
      </c>
      <c r="C4097" s="50" t="s">
        <v>30</v>
      </c>
      <c r="D4097" s="51">
        <v>162280.43</v>
      </c>
      <c r="E4097" s="51" t="str">
        <f t="shared" si="1"/>
        <v>₹1,947,365.16</v>
      </c>
      <c r="F4097" s="52" t="str">
        <f t="shared" si="2"/>
        <v>30.0%</v>
      </c>
      <c r="G4097" s="51" t="str">
        <f t="shared" si="3"/>
        <v>₹584,209.55</v>
      </c>
      <c r="H4097" s="51" t="str">
        <f t="shared" si="4"/>
        <v>₹48,684.13</v>
      </c>
      <c r="I4097" s="51" t="str">
        <f>140700.03-H4097</f>
        <v>₹92,015.90</v>
      </c>
    </row>
    <row r="4098" ht="15.75" customHeight="1">
      <c r="A4098" s="53" t="s">
        <v>4181</v>
      </c>
      <c r="B4098" s="53" t="s">
        <v>17</v>
      </c>
      <c r="C4098" s="53" t="s">
        <v>33</v>
      </c>
      <c r="D4098" s="54">
        <v>162303.61</v>
      </c>
      <c r="E4098" s="54" t="str">
        <f t="shared" si="1"/>
        <v>₹1,947,643.32</v>
      </c>
      <c r="F4098" s="55" t="str">
        <f t="shared" si="2"/>
        <v>30.0%</v>
      </c>
      <c r="G4098" s="54" t="str">
        <f t="shared" si="3"/>
        <v>₹584,293.00</v>
      </c>
      <c r="H4098" s="54" t="str">
        <f t="shared" si="4"/>
        <v>₹48,691.08</v>
      </c>
      <c r="I4098" s="54" t="str">
        <f>140719.81-H4098</f>
        <v>₹92,028.73</v>
      </c>
    </row>
    <row r="4099" ht="15.75" customHeight="1">
      <c r="A4099" s="50" t="s">
        <v>4182</v>
      </c>
      <c r="B4099" s="50" t="s">
        <v>17</v>
      </c>
      <c r="C4099" s="50" t="s">
        <v>33</v>
      </c>
      <c r="D4099" s="51">
        <v>162326.79</v>
      </c>
      <c r="E4099" s="51" t="str">
        <f t="shared" si="1"/>
        <v>₹1,947,921.48</v>
      </c>
      <c r="F4099" s="52" t="str">
        <f t="shared" si="2"/>
        <v>30.0%</v>
      </c>
      <c r="G4099" s="51" t="str">
        <f t="shared" si="3"/>
        <v>₹584,376.44</v>
      </c>
      <c r="H4099" s="51" t="str">
        <f t="shared" si="4"/>
        <v>₹48,698.04</v>
      </c>
      <c r="I4099" s="51" t="str">
        <f>147591.27-H4099</f>
        <v>₹98,893.23</v>
      </c>
    </row>
    <row r="4100" ht="15.75" customHeight="1">
      <c r="A4100" s="53" t="s">
        <v>4183</v>
      </c>
      <c r="B4100" s="53" t="s">
        <v>36</v>
      </c>
      <c r="C4100" s="53" t="s">
        <v>33</v>
      </c>
      <c r="D4100" s="54">
        <v>162349.97</v>
      </c>
      <c r="E4100" s="54" t="str">
        <f t="shared" si="1"/>
        <v>₹1,948,199.64</v>
      </c>
      <c r="F4100" s="55" t="str">
        <f t="shared" si="2"/>
        <v>30.0%</v>
      </c>
      <c r="G4100" s="54" t="str">
        <f t="shared" si="3"/>
        <v>₹584,459.89</v>
      </c>
      <c r="H4100" s="54" t="str">
        <f t="shared" si="4"/>
        <v>₹48,704.99</v>
      </c>
      <c r="I4100" s="54" t="str">
        <f>140759.37-H4100</f>
        <v>₹92,054.38</v>
      </c>
    </row>
    <row r="4101" ht="15.75" customHeight="1">
      <c r="A4101" s="50" t="s">
        <v>4184</v>
      </c>
      <c r="B4101" s="50" t="s">
        <v>36</v>
      </c>
      <c r="C4101" s="50" t="s">
        <v>26</v>
      </c>
      <c r="D4101" s="51">
        <v>162373.14</v>
      </c>
      <c r="E4101" s="51" t="str">
        <f t="shared" si="1"/>
        <v>₹1,948,477.68</v>
      </c>
      <c r="F4101" s="52" t="str">
        <f t="shared" si="2"/>
        <v>30.0%</v>
      </c>
      <c r="G4101" s="51" t="str">
        <f t="shared" si="3"/>
        <v>₹584,543.30</v>
      </c>
      <c r="H4101" s="51" t="str">
        <f t="shared" si="4"/>
        <v>₹48,711.94</v>
      </c>
      <c r="I4101" s="51" t="str">
        <f>140779.15-H4101</f>
        <v>₹92,067.21</v>
      </c>
    </row>
    <row r="4102" ht="15.75" customHeight="1">
      <c r="A4102" s="53" t="s">
        <v>4185</v>
      </c>
      <c r="B4102" s="53" t="s">
        <v>51</v>
      </c>
      <c r="C4102" s="53" t="s">
        <v>14</v>
      </c>
      <c r="D4102" s="54">
        <v>162396.32</v>
      </c>
      <c r="E4102" s="54" t="str">
        <f t="shared" si="1"/>
        <v>₹1,948,755.84</v>
      </c>
      <c r="F4102" s="55" t="str">
        <f t="shared" si="2"/>
        <v>30.0%</v>
      </c>
      <c r="G4102" s="54" t="str">
        <f t="shared" si="3"/>
        <v>₹584,626.75</v>
      </c>
      <c r="H4102" s="54" t="str">
        <f t="shared" si="4"/>
        <v>₹48,718.90</v>
      </c>
      <c r="I4102" s="54" t="str">
        <f>140798.93-H4102</f>
        <v>₹92,080.03</v>
      </c>
    </row>
    <row r="4103" ht="15.75" customHeight="1">
      <c r="A4103" s="50" t="s">
        <v>4186</v>
      </c>
      <c r="B4103" s="50" t="s">
        <v>29</v>
      </c>
      <c r="C4103" s="50" t="s">
        <v>54</v>
      </c>
      <c r="D4103" s="51">
        <v>162419.5</v>
      </c>
      <c r="E4103" s="51" t="str">
        <f t="shared" si="1"/>
        <v>₹1,949,034.00</v>
      </c>
      <c r="F4103" s="52" t="str">
        <f t="shared" si="2"/>
        <v>30.0%</v>
      </c>
      <c r="G4103" s="51" t="str">
        <f t="shared" si="3"/>
        <v>₹584,710.20</v>
      </c>
      <c r="H4103" s="51" t="str">
        <f t="shared" si="4"/>
        <v>₹48,725.85</v>
      </c>
      <c r="I4103" s="51" t="str">
        <f>140818.71-H4103</f>
        <v>₹92,092.86</v>
      </c>
    </row>
    <row r="4104" ht="15.75" customHeight="1">
      <c r="A4104" s="53" t="s">
        <v>4187</v>
      </c>
      <c r="B4104" s="53" t="s">
        <v>25</v>
      </c>
      <c r="C4104" s="53" t="s">
        <v>37</v>
      </c>
      <c r="D4104" s="54">
        <v>162442.68</v>
      </c>
      <c r="E4104" s="54" t="str">
        <f t="shared" si="1"/>
        <v>₹1,949,312.16</v>
      </c>
      <c r="F4104" s="55" t="str">
        <f t="shared" si="2"/>
        <v>30.0%</v>
      </c>
      <c r="G4104" s="54" t="str">
        <f t="shared" si="3"/>
        <v>₹584,793.65</v>
      </c>
      <c r="H4104" s="54" t="str">
        <f t="shared" si="4"/>
        <v>₹48,732.80</v>
      </c>
      <c r="I4104" s="54" t="str">
        <f>140838.49-H4104</f>
        <v>₹92,105.69</v>
      </c>
    </row>
    <row r="4105" ht="15.75" customHeight="1">
      <c r="A4105" s="50" t="s">
        <v>4188</v>
      </c>
      <c r="B4105" s="50" t="s">
        <v>17</v>
      </c>
      <c r="C4105" s="50" t="s">
        <v>54</v>
      </c>
      <c r="D4105" s="51">
        <v>162465.85</v>
      </c>
      <c r="E4105" s="51" t="str">
        <f t="shared" si="1"/>
        <v>₹1,949,590.20</v>
      </c>
      <c r="F4105" s="52" t="str">
        <f t="shared" si="2"/>
        <v>30.0%</v>
      </c>
      <c r="G4105" s="51" t="str">
        <f t="shared" si="3"/>
        <v>₹584,877.06</v>
      </c>
      <c r="H4105" s="51" t="str">
        <f t="shared" si="4"/>
        <v>₹48,739.76</v>
      </c>
      <c r="I4105" s="51" t="str">
        <f>140858.27-H4105</f>
        <v>₹92,118.52</v>
      </c>
    </row>
    <row r="4106" ht="15.75" customHeight="1">
      <c r="A4106" s="53" t="s">
        <v>4189</v>
      </c>
      <c r="B4106" s="53" t="s">
        <v>51</v>
      </c>
      <c r="C4106" s="53" t="s">
        <v>54</v>
      </c>
      <c r="D4106" s="54">
        <v>162489.03</v>
      </c>
      <c r="E4106" s="54" t="str">
        <f t="shared" si="1"/>
        <v>₹1,949,868.36</v>
      </c>
      <c r="F4106" s="55" t="str">
        <f t="shared" si="2"/>
        <v>30.0%</v>
      </c>
      <c r="G4106" s="54" t="str">
        <f t="shared" si="3"/>
        <v>₹584,960.51</v>
      </c>
      <c r="H4106" s="54" t="str">
        <f t="shared" si="4"/>
        <v>₹48,746.71</v>
      </c>
      <c r="I4106" s="54" t="str">
        <f>140878.05-H4106</f>
        <v>₹92,131.34</v>
      </c>
    </row>
    <row r="4107" ht="15.75" customHeight="1">
      <c r="A4107" s="50" t="s">
        <v>4190</v>
      </c>
      <c r="B4107" s="50" t="s">
        <v>13</v>
      </c>
      <c r="C4107" s="50" t="s">
        <v>37</v>
      </c>
      <c r="D4107" s="51">
        <v>162512.21</v>
      </c>
      <c r="E4107" s="51" t="str">
        <f t="shared" si="1"/>
        <v>₹1,950,146.52</v>
      </c>
      <c r="F4107" s="52" t="str">
        <f t="shared" si="2"/>
        <v>30.0%</v>
      </c>
      <c r="G4107" s="51" t="str">
        <f t="shared" si="3"/>
        <v>₹585,043.96</v>
      </c>
      <c r="H4107" s="51" t="str">
        <f t="shared" si="4"/>
        <v>₹48,753.66</v>
      </c>
      <c r="I4107" s="51" t="str">
        <f>140897.83-H4107</f>
        <v>₹92,144.17</v>
      </c>
    </row>
    <row r="4108" ht="15.75" customHeight="1">
      <c r="A4108" s="53" t="s">
        <v>4191</v>
      </c>
      <c r="B4108" s="53" t="s">
        <v>13</v>
      </c>
      <c r="C4108" s="53" t="s">
        <v>30</v>
      </c>
      <c r="D4108" s="54">
        <v>162535.39</v>
      </c>
      <c r="E4108" s="54" t="str">
        <f t="shared" si="1"/>
        <v>₹1,950,424.68</v>
      </c>
      <c r="F4108" s="55" t="str">
        <f t="shared" si="2"/>
        <v>30.0%</v>
      </c>
      <c r="G4108" s="54" t="str">
        <f t="shared" si="3"/>
        <v>₹585,127.40</v>
      </c>
      <c r="H4108" s="54" t="str">
        <f t="shared" si="4"/>
        <v>₹48,760.62</v>
      </c>
      <c r="I4108" s="54" t="str">
        <f>140917.61-H4108</f>
        <v>₹92,156.99</v>
      </c>
    </row>
    <row r="4109" ht="15.75" customHeight="1">
      <c r="A4109" s="50" t="s">
        <v>4193</v>
      </c>
      <c r="B4109" s="50" t="s">
        <v>29</v>
      </c>
      <c r="C4109" s="50" t="s">
        <v>30</v>
      </c>
      <c r="D4109" s="51">
        <v>162558.56</v>
      </c>
      <c r="E4109" s="51" t="str">
        <f t="shared" si="1"/>
        <v>₹1,950,702.72</v>
      </c>
      <c r="F4109" s="52" t="str">
        <f t="shared" si="2"/>
        <v>30.0%</v>
      </c>
      <c r="G4109" s="51" t="str">
        <f t="shared" si="3"/>
        <v>₹585,210.82</v>
      </c>
      <c r="H4109" s="51" t="str">
        <f t="shared" si="4"/>
        <v>₹48,767.57</v>
      </c>
      <c r="I4109" s="51" t="str">
        <f>140937.39-H4109</f>
        <v>₹92,169.82</v>
      </c>
    </row>
    <row r="4110" ht="15.75" customHeight="1">
      <c r="A4110" s="53" t="s">
        <v>4194</v>
      </c>
      <c r="B4110" s="53" t="s">
        <v>29</v>
      </c>
      <c r="C4110" s="53" t="s">
        <v>30</v>
      </c>
      <c r="D4110" s="54">
        <v>162581.74</v>
      </c>
      <c r="E4110" s="54" t="str">
        <f t="shared" si="1"/>
        <v>₹1,950,980.88</v>
      </c>
      <c r="F4110" s="55" t="str">
        <f t="shared" si="2"/>
        <v>30.0%</v>
      </c>
      <c r="G4110" s="54" t="str">
        <f t="shared" si="3"/>
        <v>₹585,294.26</v>
      </c>
      <c r="H4110" s="54" t="str">
        <f t="shared" si="4"/>
        <v>₹48,774.52</v>
      </c>
      <c r="I4110" s="54" t="str">
        <f>140957.17-H4110</f>
        <v>₹92,182.65</v>
      </c>
    </row>
    <row r="4111" ht="15.75" customHeight="1">
      <c r="A4111" s="50" t="s">
        <v>4195</v>
      </c>
      <c r="B4111" s="50" t="s">
        <v>17</v>
      </c>
      <c r="C4111" s="50" t="s">
        <v>30</v>
      </c>
      <c r="D4111" s="51">
        <v>162604.92</v>
      </c>
      <c r="E4111" s="51" t="str">
        <f t="shared" si="1"/>
        <v>₹1,951,259.04</v>
      </c>
      <c r="F4111" s="52" t="str">
        <f t="shared" si="2"/>
        <v>30.0%</v>
      </c>
      <c r="G4111" s="51" t="str">
        <f t="shared" si="3"/>
        <v>₹585,377.71</v>
      </c>
      <c r="H4111" s="51" t="str">
        <f t="shared" si="4"/>
        <v>₹48,781.48</v>
      </c>
      <c r="I4111" s="51" t="str">
        <f>140976.95-H4111</f>
        <v>₹92,195.47</v>
      </c>
    </row>
    <row r="4112" ht="15.75" customHeight="1">
      <c r="A4112" s="53" t="s">
        <v>4196</v>
      </c>
      <c r="B4112" s="53" t="s">
        <v>53</v>
      </c>
      <c r="C4112" s="53" t="s">
        <v>30</v>
      </c>
      <c r="D4112" s="54">
        <v>162628.1</v>
      </c>
      <c r="E4112" s="54" t="str">
        <f t="shared" si="1"/>
        <v>₹1,951,537.20</v>
      </c>
      <c r="F4112" s="55" t="str">
        <f t="shared" si="2"/>
        <v>30.0%</v>
      </c>
      <c r="G4112" s="54" t="str">
        <f t="shared" si="3"/>
        <v>₹585,461.16</v>
      </c>
      <c r="H4112" s="54" t="str">
        <f t="shared" si="4"/>
        <v>₹48,788.43</v>
      </c>
      <c r="I4112" s="54" t="str">
        <f>140996.73-H4112</f>
        <v>₹92,208.30</v>
      </c>
    </row>
    <row r="4113" ht="15.75" customHeight="1">
      <c r="A4113" s="50" t="s">
        <v>4197</v>
      </c>
      <c r="B4113" s="50" t="s">
        <v>17</v>
      </c>
      <c r="C4113" s="50" t="s">
        <v>30</v>
      </c>
      <c r="D4113" s="51">
        <v>162651.28</v>
      </c>
      <c r="E4113" s="51" t="str">
        <f t="shared" si="1"/>
        <v>₹1,951,815.36</v>
      </c>
      <c r="F4113" s="52" t="str">
        <f t="shared" si="2"/>
        <v>30.0%</v>
      </c>
      <c r="G4113" s="51" t="str">
        <f t="shared" si="3"/>
        <v>₹585,544.61</v>
      </c>
      <c r="H4113" s="51" t="str">
        <f t="shared" si="4"/>
        <v>₹48,795.38</v>
      </c>
      <c r="I4113" s="51" t="str">
        <f>141016.52-H4113</f>
        <v>₹92,221.14</v>
      </c>
    </row>
    <row r="4114" ht="15.75" customHeight="1">
      <c r="A4114" s="53" t="s">
        <v>4198</v>
      </c>
      <c r="B4114" s="53" t="s">
        <v>25</v>
      </c>
      <c r="C4114" s="53" t="s">
        <v>37</v>
      </c>
      <c r="D4114" s="54">
        <v>162674.45</v>
      </c>
      <c r="E4114" s="54" t="str">
        <f t="shared" si="1"/>
        <v>₹1,952,093.40</v>
      </c>
      <c r="F4114" s="55" t="str">
        <f t="shared" si="2"/>
        <v>30.0%</v>
      </c>
      <c r="G4114" s="54" t="str">
        <f t="shared" si="3"/>
        <v>₹585,628.02</v>
      </c>
      <c r="H4114" s="54" t="str">
        <f t="shared" si="4"/>
        <v>₹48,802.34</v>
      </c>
      <c r="I4114" s="54" t="str">
        <f>141036.29-H4114</f>
        <v>₹92,233.96</v>
      </c>
    </row>
    <row r="4115" ht="15.75" customHeight="1">
      <c r="A4115" s="50" t="s">
        <v>4199</v>
      </c>
      <c r="B4115" s="50" t="s">
        <v>51</v>
      </c>
      <c r="C4115" s="50" t="s">
        <v>54</v>
      </c>
      <c r="D4115" s="51">
        <v>162697.63</v>
      </c>
      <c r="E4115" s="51" t="str">
        <f t="shared" si="1"/>
        <v>₹1,952,371.56</v>
      </c>
      <c r="F4115" s="52" t="str">
        <f t="shared" si="2"/>
        <v>30.0%</v>
      </c>
      <c r="G4115" s="51" t="str">
        <f t="shared" si="3"/>
        <v>₹585,711.47</v>
      </c>
      <c r="H4115" s="51" t="str">
        <f t="shared" si="4"/>
        <v>₹48,809.29</v>
      </c>
      <c r="I4115" s="51" t="str">
        <f>141056.07-H4115</f>
        <v>₹92,246.78</v>
      </c>
    </row>
    <row r="4116" ht="15.75" customHeight="1">
      <c r="A4116" s="53" t="s">
        <v>4200</v>
      </c>
      <c r="B4116" s="53" t="s">
        <v>36</v>
      </c>
      <c r="C4116" s="53" t="s">
        <v>14</v>
      </c>
      <c r="D4116" s="54">
        <v>162720.81</v>
      </c>
      <c r="E4116" s="54" t="str">
        <f t="shared" si="1"/>
        <v>₹1,952,649.72</v>
      </c>
      <c r="F4116" s="55" t="str">
        <f t="shared" si="2"/>
        <v>30.0%</v>
      </c>
      <c r="G4116" s="54" t="str">
        <f t="shared" si="3"/>
        <v>₹585,794.92</v>
      </c>
      <c r="H4116" s="54" t="str">
        <f t="shared" si="4"/>
        <v>₹48,816.24</v>
      </c>
      <c r="I4116" s="54" t="str">
        <f>141075.85-H4116</f>
        <v>₹92,259.61</v>
      </c>
    </row>
    <row r="4117" ht="15.75" customHeight="1">
      <c r="A4117" s="50" t="s">
        <v>4201</v>
      </c>
      <c r="B4117" s="50" t="s">
        <v>36</v>
      </c>
      <c r="C4117" s="50" t="s">
        <v>30</v>
      </c>
      <c r="D4117" s="51">
        <v>162743.99</v>
      </c>
      <c r="E4117" s="51" t="str">
        <f t="shared" si="1"/>
        <v>₹1,952,927.88</v>
      </c>
      <c r="F4117" s="52" t="str">
        <f t="shared" si="2"/>
        <v>30.0%</v>
      </c>
      <c r="G4117" s="51" t="str">
        <f t="shared" si="3"/>
        <v>₹585,878.36</v>
      </c>
      <c r="H4117" s="51" t="str">
        <f t="shared" si="4"/>
        <v>₹48,823.20</v>
      </c>
      <c r="I4117" s="51" t="str">
        <f>141095.64-H4117</f>
        <v>₹92,272.44</v>
      </c>
    </row>
    <row r="4118" ht="15.75" customHeight="1">
      <c r="A4118" s="53" t="s">
        <v>4202</v>
      </c>
      <c r="B4118" s="53" t="s">
        <v>51</v>
      </c>
      <c r="C4118" s="53" t="s">
        <v>18</v>
      </c>
      <c r="D4118" s="54">
        <v>162767.16</v>
      </c>
      <c r="E4118" s="54" t="str">
        <f t="shared" si="1"/>
        <v>₹1,953,205.92</v>
      </c>
      <c r="F4118" s="55" t="str">
        <f t="shared" si="2"/>
        <v>30.0%</v>
      </c>
      <c r="G4118" s="54" t="str">
        <f t="shared" si="3"/>
        <v>₹585,961.78</v>
      </c>
      <c r="H4118" s="54" t="str">
        <f t="shared" si="4"/>
        <v>₹48,830.15</v>
      </c>
      <c r="I4118" s="54" t="str">
        <f>141115.41-H4118</f>
        <v>₹92,285.26</v>
      </c>
    </row>
    <row r="4119" ht="15.75" customHeight="1">
      <c r="A4119" s="50" t="s">
        <v>4203</v>
      </c>
      <c r="B4119" s="50" t="s">
        <v>17</v>
      </c>
      <c r="C4119" s="50" t="s">
        <v>37</v>
      </c>
      <c r="D4119" s="51">
        <v>162790.34</v>
      </c>
      <c r="E4119" s="51" t="str">
        <f t="shared" si="1"/>
        <v>₹1,953,484.08</v>
      </c>
      <c r="F4119" s="52" t="str">
        <f t="shared" si="2"/>
        <v>30.0%</v>
      </c>
      <c r="G4119" s="51" t="str">
        <f t="shared" si="3"/>
        <v>₹586,045.22</v>
      </c>
      <c r="H4119" s="51" t="str">
        <f t="shared" si="4"/>
        <v>₹48,837.10</v>
      </c>
      <c r="I4119" s="51" t="str">
        <f>141135.19-H4119</f>
        <v>₹92,298.09</v>
      </c>
    </row>
    <row r="4120" ht="15.75" customHeight="1">
      <c r="A4120" s="53" t="s">
        <v>4204</v>
      </c>
      <c r="B4120" s="53" t="s">
        <v>25</v>
      </c>
      <c r="C4120" s="53" t="s">
        <v>18</v>
      </c>
      <c r="D4120" s="54">
        <v>162813.52</v>
      </c>
      <c r="E4120" s="54" t="str">
        <f t="shared" si="1"/>
        <v>₹1,953,762.24</v>
      </c>
      <c r="F4120" s="55" t="str">
        <f t="shared" si="2"/>
        <v>30.0%</v>
      </c>
      <c r="G4120" s="54" t="str">
        <f t="shared" si="3"/>
        <v>₹586,128.67</v>
      </c>
      <c r="H4120" s="54" t="str">
        <f t="shared" si="4"/>
        <v>₹48,844.06</v>
      </c>
      <c r="I4120" s="54" t="str">
        <f>141154.97-H4120</f>
        <v>₹92,310.91</v>
      </c>
    </row>
    <row r="4121" ht="15.75" customHeight="1">
      <c r="A4121" s="50" t="s">
        <v>4205</v>
      </c>
      <c r="B4121" s="50" t="s">
        <v>25</v>
      </c>
      <c r="C4121" s="50" t="s">
        <v>33</v>
      </c>
      <c r="D4121" s="51">
        <v>162836.7</v>
      </c>
      <c r="E4121" s="51" t="str">
        <f t="shared" si="1"/>
        <v>₹1,954,040.40</v>
      </c>
      <c r="F4121" s="52" t="str">
        <f t="shared" si="2"/>
        <v>30.0%</v>
      </c>
      <c r="G4121" s="51" t="str">
        <f t="shared" si="3"/>
        <v>₹586,212.12</v>
      </c>
      <c r="H4121" s="51" t="str">
        <f t="shared" si="4"/>
        <v>₹48,851.01</v>
      </c>
      <c r="I4121" s="51" t="str">
        <f>141174.76-H4121</f>
        <v>₹92,323.75</v>
      </c>
    </row>
    <row r="4122" ht="15.75" customHeight="1">
      <c r="A4122" s="53" t="s">
        <v>4206</v>
      </c>
      <c r="B4122" s="53" t="s">
        <v>13</v>
      </c>
      <c r="C4122" s="53" t="s">
        <v>33</v>
      </c>
      <c r="D4122" s="54">
        <v>162859.87</v>
      </c>
      <c r="E4122" s="54" t="str">
        <f t="shared" si="1"/>
        <v>₹1,954,318.44</v>
      </c>
      <c r="F4122" s="55" t="str">
        <f t="shared" si="2"/>
        <v>30.0%</v>
      </c>
      <c r="G4122" s="54" t="str">
        <f t="shared" si="3"/>
        <v>₹586,295.53</v>
      </c>
      <c r="H4122" s="54" t="str">
        <f t="shared" si="4"/>
        <v>₹48,857.96</v>
      </c>
      <c r="I4122" s="54" t="str">
        <f>141194.53-H4122</f>
        <v>₹92,336.57</v>
      </c>
    </row>
    <row r="4123" ht="15.75" customHeight="1">
      <c r="A4123" s="50" t="s">
        <v>4207</v>
      </c>
      <c r="B4123" s="50" t="s">
        <v>51</v>
      </c>
      <c r="C4123" s="50" t="s">
        <v>14</v>
      </c>
      <c r="D4123" s="51">
        <v>162883.05</v>
      </c>
      <c r="E4123" s="51" t="str">
        <f t="shared" si="1"/>
        <v>₹1,954,596.60</v>
      </c>
      <c r="F4123" s="52" t="str">
        <f t="shared" si="2"/>
        <v>30.0%</v>
      </c>
      <c r="G4123" s="51" t="str">
        <f t="shared" si="3"/>
        <v>₹586,378.98</v>
      </c>
      <c r="H4123" s="51" t="str">
        <f t="shared" si="4"/>
        <v>₹48,864.92</v>
      </c>
      <c r="I4123" s="51" t="str">
        <f>141214.31-H4123</f>
        <v>₹92,349.40</v>
      </c>
    </row>
    <row r="4124" ht="15.75" customHeight="1">
      <c r="A4124" s="53" t="s">
        <v>4208</v>
      </c>
      <c r="B4124" s="53" t="s">
        <v>13</v>
      </c>
      <c r="C4124" s="53" t="s">
        <v>37</v>
      </c>
      <c r="D4124" s="54">
        <v>162906.23</v>
      </c>
      <c r="E4124" s="54" t="str">
        <f t="shared" si="1"/>
        <v>₹1,954,874.76</v>
      </c>
      <c r="F4124" s="55" t="str">
        <f t="shared" si="2"/>
        <v>30.0%</v>
      </c>
      <c r="G4124" s="54" t="str">
        <f t="shared" si="3"/>
        <v>₹586,462.43</v>
      </c>
      <c r="H4124" s="54" t="str">
        <f t="shared" si="4"/>
        <v>₹48,871.87</v>
      </c>
      <c r="I4124" s="54" t="str">
        <f>141234.09-H4124</f>
        <v>₹92,362.22</v>
      </c>
    </row>
    <row r="4125" ht="15.75" customHeight="1">
      <c r="A4125" s="50" t="s">
        <v>4209</v>
      </c>
      <c r="B4125" s="50" t="s">
        <v>53</v>
      </c>
      <c r="C4125" s="50" t="s">
        <v>26</v>
      </c>
      <c r="D4125" s="51">
        <v>162952.59</v>
      </c>
      <c r="E4125" s="51" t="str">
        <f t="shared" si="1"/>
        <v>₹1,955,431.08</v>
      </c>
      <c r="F4125" s="52" t="str">
        <f t="shared" si="2"/>
        <v>30.0%</v>
      </c>
      <c r="G4125" s="51" t="str">
        <f t="shared" si="3"/>
        <v>₹586,629.32</v>
      </c>
      <c r="H4125" s="51" t="str">
        <f t="shared" si="4"/>
        <v>₹48,885.78</v>
      </c>
      <c r="I4125" s="51" t="str">
        <f>141273.66-H4125</f>
        <v>₹92,387.88</v>
      </c>
    </row>
    <row r="4126" ht="15.75" customHeight="1">
      <c r="A4126" s="53" t="s">
        <v>4210</v>
      </c>
      <c r="B4126" s="53" t="s">
        <v>36</v>
      </c>
      <c r="C4126" s="53" t="s">
        <v>18</v>
      </c>
      <c r="D4126" s="54">
        <v>162975.76</v>
      </c>
      <c r="E4126" s="54" t="str">
        <f t="shared" si="1"/>
        <v>₹1,955,709.12</v>
      </c>
      <c r="F4126" s="55" t="str">
        <f t="shared" si="2"/>
        <v>30.0%</v>
      </c>
      <c r="G4126" s="54" t="str">
        <f t="shared" si="3"/>
        <v>₹586,712.74</v>
      </c>
      <c r="H4126" s="54" t="str">
        <f t="shared" si="4"/>
        <v>₹48,892.73</v>
      </c>
      <c r="I4126" s="54" t="str">
        <f>141293.43-H4126</f>
        <v>₹92,400.70</v>
      </c>
    </row>
    <row r="4127" ht="15.75" customHeight="1">
      <c r="A4127" s="50" t="s">
        <v>4211</v>
      </c>
      <c r="B4127" s="50" t="s">
        <v>29</v>
      </c>
      <c r="C4127" s="50" t="s">
        <v>30</v>
      </c>
      <c r="D4127" s="51">
        <v>162998.94</v>
      </c>
      <c r="E4127" s="51" t="str">
        <f t="shared" si="1"/>
        <v>₹1,955,987.28</v>
      </c>
      <c r="F4127" s="52" t="str">
        <f t="shared" si="2"/>
        <v>30.0%</v>
      </c>
      <c r="G4127" s="51" t="str">
        <f t="shared" si="3"/>
        <v>₹586,796.18</v>
      </c>
      <c r="H4127" s="51" t="str">
        <f t="shared" si="4"/>
        <v>₹48,899.68</v>
      </c>
      <c r="I4127" s="51" t="str">
        <f>141313.21-H4127</f>
        <v>₹92,413.53</v>
      </c>
    </row>
    <row r="4128" ht="15.75" customHeight="1">
      <c r="A4128" s="53" t="s">
        <v>4212</v>
      </c>
      <c r="B4128" s="53" t="s">
        <v>36</v>
      </c>
      <c r="C4128" s="53" t="s">
        <v>14</v>
      </c>
      <c r="D4128" s="54">
        <v>163022.12</v>
      </c>
      <c r="E4128" s="54" t="str">
        <f t="shared" si="1"/>
        <v>₹1,956,265.44</v>
      </c>
      <c r="F4128" s="55" t="str">
        <f t="shared" si="2"/>
        <v>30.0%</v>
      </c>
      <c r="G4128" s="54" t="str">
        <f t="shared" si="3"/>
        <v>₹586,879.63</v>
      </c>
      <c r="H4128" s="54" t="str">
        <f t="shared" si="4"/>
        <v>₹48,906.64</v>
      </c>
      <c r="I4128" s="54" t="str">
        <f>141333-H4128</f>
        <v>₹92,426.36</v>
      </c>
    </row>
    <row r="4129" ht="15.75" customHeight="1">
      <c r="A4129" s="50" t="s">
        <v>4213</v>
      </c>
      <c r="B4129" s="50" t="s">
        <v>53</v>
      </c>
      <c r="C4129" s="50" t="s">
        <v>33</v>
      </c>
      <c r="D4129" s="51">
        <v>163045.3</v>
      </c>
      <c r="E4129" s="51" t="str">
        <f t="shared" si="1"/>
        <v>₹1,956,543.60</v>
      </c>
      <c r="F4129" s="52" t="str">
        <f t="shared" si="2"/>
        <v>30.0%</v>
      </c>
      <c r="G4129" s="51" t="str">
        <f t="shared" si="3"/>
        <v>₹586,963.08</v>
      </c>
      <c r="H4129" s="51" t="str">
        <f t="shared" si="4"/>
        <v>₹48,913.59</v>
      </c>
      <c r="I4129" s="51" t="str">
        <f>141352.78-H4129</f>
        <v>₹92,439.19</v>
      </c>
    </row>
    <row r="4130" ht="15.75" customHeight="1">
      <c r="A4130" s="53" t="s">
        <v>4214</v>
      </c>
      <c r="B4130" s="53" t="s">
        <v>36</v>
      </c>
      <c r="C4130" s="53" t="s">
        <v>54</v>
      </c>
      <c r="D4130" s="54">
        <v>163068.47</v>
      </c>
      <c r="E4130" s="54" t="str">
        <f t="shared" si="1"/>
        <v>₹1,956,821.64</v>
      </c>
      <c r="F4130" s="55" t="str">
        <f t="shared" si="2"/>
        <v>30.0%</v>
      </c>
      <c r="G4130" s="54" t="str">
        <f t="shared" si="3"/>
        <v>₹587,046.49</v>
      </c>
      <c r="H4130" s="54" t="str">
        <f t="shared" si="4"/>
        <v>₹48,920.54</v>
      </c>
      <c r="I4130" s="54" t="str">
        <f>141372.55-H4130</f>
        <v>₹92,452.01</v>
      </c>
    </row>
    <row r="4131" ht="15.75" customHeight="1">
      <c r="A4131" s="50" t="s">
        <v>4215</v>
      </c>
      <c r="B4131" s="50" t="s">
        <v>29</v>
      </c>
      <c r="C4131" s="50" t="s">
        <v>30</v>
      </c>
      <c r="D4131" s="51">
        <v>163091.65</v>
      </c>
      <c r="E4131" s="51" t="str">
        <f t="shared" si="1"/>
        <v>₹1,957,099.80</v>
      </c>
      <c r="F4131" s="52" t="str">
        <f t="shared" si="2"/>
        <v>30.0%</v>
      </c>
      <c r="G4131" s="51" t="str">
        <f t="shared" si="3"/>
        <v>₹587,129.94</v>
      </c>
      <c r="H4131" s="51" t="str">
        <f t="shared" si="4"/>
        <v>₹48,927.50</v>
      </c>
      <c r="I4131" s="51" t="str">
        <f>141392.33-H4131</f>
        <v>₹92,464.84</v>
      </c>
    </row>
    <row r="4132" ht="15.75" customHeight="1">
      <c r="A4132" s="53" t="s">
        <v>4216</v>
      </c>
      <c r="B4132" s="53" t="s">
        <v>13</v>
      </c>
      <c r="C4132" s="53" t="s">
        <v>26</v>
      </c>
      <c r="D4132" s="54">
        <v>163114.83</v>
      </c>
      <c r="E4132" s="54" t="str">
        <f t="shared" si="1"/>
        <v>₹1,957,377.96</v>
      </c>
      <c r="F4132" s="55" t="str">
        <f t="shared" si="2"/>
        <v>30.0%</v>
      </c>
      <c r="G4132" s="54" t="str">
        <f t="shared" si="3"/>
        <v>₹587,213.39</v>
      </c>
      <c r="H4132" s="54" t="str">
        <f t="shared" si="4"/>
        <v>₹48,934.45</v>
      </c>
      <c r="I4132" s="54" t="str">
        <f>141412.12-H4132</f>
        <v>₹92,477.67</v>
      </c>
    </row>
    <row r="4133" ht="15.75" customHeight="1">
      <c r="A4133" s="50" t="s">
        <v>4217</v>
      </c>
      <c r="B4133" s="50" t="s">
        <v>29</v>
      </c>
      <c r="C4133" s="50" t="s">
        <v>37</v>
      </c>
      <c r="D4133" s="51">
        <v>163138.01</v>
      </c>
      <c r="E4133" s="51" t="str">
        <f t="shared" si="1"/>
        <v>₹1,957,656.12</v>
      </c>
      <c r="F4133" s="52" t="str">
        <f t="shared" si="2"/>
        <v>30.0%</v>
      </c>
      <c r="G4133" s="51" t="str">
        <f t="shared" si="3"/>
        <v>₹587,296.84</v>
      </c>
      <c r="H4133" s="51" t="str">
        <f t="shared" si="4"/>
        <v>₹48,941.40</v>
      </c>
      <c r="I4133" s="51" t="str">
        <f>141431.9-H4133</f>
        <v>₹92,490.50</v>
      </c>
    </row>
    <row r="4134" ht="15.75" customHeight="1">
      <c r="A4134" s="53" t="s">
        <v>4218</v>
      </c>
      <c r="B4134" s="53" t="s">
        <v>13</v>
      </c>
      <c r="C4134" s="53" t="s">
        <v>54</v>
      </c>
      <c r="D4134" s="54">
        <v>163161.18</v>
      </c>
      <c r="E4134" s="54" t="str">
        <f t="shared" si="1"/>
        <v>₹1,957,934.16</v>
      </c>
      <c r="F4134" s="55" t="str">
        <f t="shared" si="2"/>
        <v>30.0%</v>
      </c>
      <c r="G4134" s="54" t="str">
        <f t="shared" si="3"/>
        <v>₹587,380.25</v>
      </c>
      <c r="H4134" s="54" t="str">
        <f t="shared" si="4"/>
        <v>₹48,948.35</v>
      </c>
      <c r="I4134" s="54" t="str">
        <f>141451.67-H4134</f>
        <v>₹92,503.32</v>
      </c>
    </row>
    <row r="4135" ht="15.75" customHeight="1">
      <c r="A4135" s="50" t="s">
        <v>4219</v>
      </c>
      <c r="B4135" s="50" t="s">
        <v>25</v>
      </c>
      <c r="C4135" s="50" t="s">
        <v>26</v>
      </c>
      <c r="D4135" s="51">
        <v>163207.54</v>
      </c>
      <c r="E4135" s="51" t="str">
        <f t="shared" si="1"/>
        <v>₹1,958,490.48</v>
      </c>
      <c r="F4135" s="52" t="str">
        <f t="shared" si="2"/>
        <v>30.0%</v>
      </c>
      <c r="G4135" s="51" t="str">
        <f t="shared" si="3"/>
        <v>₹587,547.14</v>
      </c>
      <c r="H4135" s="51" t="str">
        <f t="shared" si="4"/>
        <v>₹48,962.26</v>
      </c>
      <c r="I4135" s="51" t="str">
        <f>141491.24-H4135</f>
        <v>₹92,528.98</v>
      </c>
    </row>
    <row r="4136" ht="15.75" customHeight="1">
      <c r="A4136" s="53" t="s">
        <v>4220</v>
      </c>
      <c r="B4136" s="53" t="s">
        <v>17</v>
      </c>
      <c r="C4136" s="53" t="s">
        <v>18</v>
      </c>
      <c r="D4136" s="54">
        <v>163230.72</v>
      </c>
      <c r="E4136" s="54" t="str">
        <f t="shared" si="1"/>
        <v>₹1,958,768.64</v>
      </c>
      <c r="F4136" s="55" t="str">
        <f t="shared" si="2"/>
        <v>30.0%</v>
      </c>
      <c r="G4136" s="54" t="str">
        <f t="shared" si="3"/>
        <v>₹587,630.59</v>
      </c>
      <c r="H4136" s="54" t="str">
        <f t="shared" si="4"/>
        <v>₹48,969.22</v>
      </c>
      <c r="I4136" s="54" t="str">
        <f>141511.02-H4136</f>
        <v>₹92,541.80</v>
      </c>
    </row>
    <row r="4137" ht="15.75" customHeight="1">
      <c r="A4137" s="50" t="s">
        <v>4221</v>
      </c>
      <c r="B4137" s="50" t="s">
        <v>17</v>
      </c>
      <c r="C4137" s="50" t="s">
        <v>37</v>
      </c>
      <c r="D4137" s="51">
        <v>163253.9</v>
      </c>
      <c r="E4137" s="51" t="str">
        <f t="shared" si="1"/>
        <v>₹1,959,046.80</v>
      </c>
      <c r="F4137" s="52" t="str">
        <f t="shared" si="2"/>
        <v>30.0%</v>
      </c>
      <c r="G4137" s="51" t="str">
        <f t="shared" si="3"/>
        <v>₹587,714.04</v>
      </c>
      <c r="H4137" s="51" t="str">
        <f t="shared" si="4"/>
        <v>₹48,976.17</v>
      </c>
      <c r="I4137" s="51" t="str">
        <f>141530.8-H4137</f>
        <v>₹92,554.63</v>
      </c>
    </row>
    <row r="4138" ht="15.75" customHeight="1">
      <c r="A4138" s="53" t="s">
        <v>4222</v>
      </c>
      <c r="B4138" s="53" t="s">
        <v>51</v>
      </c>
      <c r="C4138" s="53" t="s">
        <v>37</v>
      </c>
      <c r="D4138" s="54">
        <v>163277.07</v>
      </c>
      <c r="E4138" s="54" t="str">
        <f t="shared" si="1"/>
        <v>₹1,959,324.84</v>
      </c>
      <c r="F4138" s="55" t="str">
        <f t="shared" si="2"/>
        <v>30.0%</v>
      </c>
      <c r="G4138" s="54" t="str">
        <f t="shared" si="3"/>
        <v>₹587,797.45</v>
      </c>
      <c r="H4138" s="54" t="str">
        <f t="shared" si="4"/>
        <v>₹48,983.12</v>
      </c>
      <c r="I4138" s="54" t="str">
        <f>141550.57-H4138</f>
        <v>₹92,567.45</v>
      </c>
    </row>
    <row r="4139" ht="15.75" customHeight="1">
      <c r="A4139" s="50" t="s">
        <v>4223</v>
      </c>
      <c r="B4139" s="50" t="s">
        <v>25</v>
      </c>
      <c r="C4139" s="50" t="s">
        <v>14</v>
      </c>
      <c r="D4139" s="51">
        <v>163300.25</v>
      </c>
      <c r="E4139" s="51" t="str">
        <f t="shared" si="1"/>
        <v>₹1,959,603.00</v>
      </c>
      <c r="F4139" s="52" t="str">
        <f t="shared" si="2"/>
        <v>30.0%</v>
      </c>
      <c r="G4139" s="51" t="str">
        <f t="shared" si="3"/>
        <v>₹587,880.90</v>
      </c>
      <c r="H4139" s="51" t="str">
        <f t="shared" si="4"/>
        <v>₹48,990.08</v>
      </c>
      <c r="I4139" s="51" t="str">
        <f>141570.36-H4139</f>
        <v>₹92,580.29</v>
      </c>
    </row>
    <row r="4140" ht="15.75" customHeight="1">
      <c r="A4140" s="53" t="s">
        <v>4224</v>
      </c>
      <c r="B4140" s="53" t="s">
        <v>13</v>
      </c>
      <c r="C4140" s="53" t="s">
        <v>18</v>
      </c>
      <c r="D4140" s="54">
        <v>163323.43</v>
      </c>
      <c r="E4140" s="54" t="str">
        <f t="shared" si="1"/>
        <v>₹1,959,881.16</v>
      </c>
      <c r="F4140" s="55" t="str">
        <f t="shared" si="2"/>
        <v>30.0%</v>
      </c>
      <c r="G4140" s="54" t="str">
        <f t="shared" si="3"/>
        <v>₹587,964.35</v>
      </c>
      <c r="H4140" s="54" t="str">
        <f t="shared" si="4"/>
        <v>₹48,997.03</v>
      </c>
      <c r="I4140" s="54" t="str">
        <f>141590.14-H4140</f>
        <v>₹92,593.11</v>
      </c>
    </row>
    <row r="4141" ht="15.75" customHeight="1">
      <c r="A4141" s="50" t="s">
        <v>4225</v>
      </c>
      <c r="B4141" s="50" t="s">
        <v>53</v>
      </c>
      <c r="C4141" s="50" t="s">
        <v>33</v>
      </c>
      <c r="D4141" s="51">
        <v>163346.61</v>
      </c>
      <c r="E4141" s="51" t="str">
        <f t="shared" si="1"/>
        <v>₹1,960,159.32</v>
      </c>
      <c r="F4141" s="52" t="str">
        <f t="shared" si="2"/>
        <v>30.0%</v>
      </c>
      <c r="G4141" s="51" t="str">
        <f t="shared" si="3"/>
        <v>₹588,047.80</v>
      </c>
      <c r="H4141" s="51" t="str">
        <f t="shared" si="4"/>
        <v>₹49,003.98</v>
      </c>
      <c r="I4141" s="51" t="str">
        <f>141609.92-H4141</f>
        <v>₹92,605.94</v>
      </c>
    </row>
    <row r="4142" ht="15.75" customHeight="1">
      <c r="A4142" s="53" t="s">
        <v>4226</v>
      </c>
      <c r="B4142" s="53" t="s">
        <v>13</v>
      </c>
      <c r="C4142" s="53" t="s">
        <v>37</v>
      </c>
      <c r="D4142" s="54">
        <v>163369.78</v>
      </c>
      <c r="E4142" s="54" t="str">
        <f t="shared" si="1"/>
        <v>₹1,960,437.36</v>
      </c>
      <c r="F4142" s="55" t="str">
        <f t="shared" si="2"/>
        <v>30.0%</v>
      </c>
      <c r="G4142" s="54" t="str">
        <f t="shared" si="3"/>
        <v>₹588,131.21</v>
      </c>
      <c r="H4142" s="54" t="str">
        <f t="shared" si="4"/>
        <v>₹49,010.93</v>
      </c>
      <c r="I4142" s="54" t="str">
        <f>141629.69-H4142</f>
        <v>₹92,618.76</v>
      </c>
    </row>
    <row r="4143" ht="15.75" customHeight="1">
      <c r="A4143" s="50" t="s">
        <v>4227</v>
      </c>
      <c r="B4143" s="50" t="s">
        <v>36</v>
      </c>
      <c r="C4143" s="50" t="s">
        <v>14</v>
      </c>
      <c r="D4143" s="51">
        <v>163392.96</v>
      </c>
      <c r="E4143" s="51" t="str">
        <f t="shared" si="1"/>
        <v>₹1,960,715.52</v>
      </c>
      <c r="F4143" s="52" t="str">
        <f t="shared" si="2"/>
        <v>30.0%</v>
      </c>
      <c r="G4143" s="51" t="str">
        <f t="shared" si="3"/>
        <v>₹588,214.66</v>
      </c>
      <c r="H4143" s="51" t="str">
        <f t="shared" si="4"/>
        <v>₹49,017.89</v>
      </c>
      <c r="I4143" s="51" t="str">
        <f>141649.47-H4143</f>
        <v>₹92,631.58</v>
      </c>
    </row>
    <row r="4144" ht="15.75" customHeight="1">
      <c r="A4144" s="53" t="s">
        <v>4228</v>
      </c>
      <c r="B4144" s="53" t="s">
        <v>53</v>
      </c>
      <c r="C4144" s="53" t="s">
        <v>30</v>
      </c>
      <c r="D4144" s="54">
        <v>163416.14</v>
      </c>
      <c r="E4144" s="54" t="str">
        <f t="shared" si="1"/>
        <v>₹1,960,993.68</v>
      </c>
      <c r="F4144" s="55" t="str">
        <f t="shared" si="2"/>
        <v>30.0%</v>
      </c>
      <c r="G4144" s="54" t="str">
        <f t="shared" si="3"/>
        <v>₹588,298.10</v>
      </c>
      <c r="H4144" s="54" t="str">
        <f t="shared" si="4"/>
        <v>₹49,024.84</v>
      </c>
      <c r="I4144" s="54" t="str">
        <f>141669.26-H4144</f>
        <v>₹92,644.42</v>
      </c>
    </row>
    <row r="4145" ht="15.75" customHeight="1">
      <c r="A4145" s="50" t="s">
        <v>4229</v>
      </c>
      <c r="B4145" s="50" t="s">
        <v>53</v>
      </c>
      <c r="C4145" s="50" t="s">
        <v>33</v>
      </c>
      <c r="D4145" s="51">
        <v>163439.32</v>
      </c>
      <c r="E4145" s="51" t="str">
        <f t="shared" si="1"/>
        <v>₹1,961,271.84</v>
      </c>
      <c r="F4145" s="52" t="str">
        <f t="shared" si="2"/>
        <v>30.0%</v>
      </c>
      <c r="G4145" s="51" t="str">
        <f t="shared" si="3"/>
        <v>₹588,381.55</v>
      </c>
      <c r="H4145" s="51" t="str">
        <f t="shared" si="4"/>
        <v>₹49,031.80</v>
      </c>
      <c r="I4145" s="51" t="str">
        <f>141689.04-H4145</f>
        <v>₹92,657.24</v>
      </c>
    </row>
    <row r="4146" ht="15.75" customHeight="1">
      <c r="A4146" s="53" t="s">
        <v>4230</v>
      </c>
      <c r="B4146" s="53" t="s">
        <v>29</v>
      </c>
      <c r="C4146" s="53" t="s">
        <v>26</v>
      </c>
      <c r="D4146" s="54">
        <v>140088.39</v>
      </c>
      <c r="E4146" s="54" t="str">
        <f t="shared" si="1"/>
        <v>₹1,681,060.68</v>
      </c>
      <c r="F4146" s="55" t="str">
        <f t="shared" si="2"/>
        <v>30.0%</v>
      </c>
      <c r="G4146" s="54" t="str">
        <f t="shared" si="3"/>
        <v>₹504,318.20</v>
      </c>
      <c r="H4146" s="54" t="str">
        <f t="shared" si="4"/>
        <v>₹42,026.52</v>
      </c>
      <c r="I4146" s="54" t="str">
        <f>118334.71-H4146</f>
        <v>₹76,308.19</v>
      </c>
    </row>
    <row r="4147" ht="15.75" customHeight="1">
      <c r="A4147" s="50" t="s">
        <v>4231</v>
      </c>
      <c r="B4147" s="50" t="s">
        <v>53</v>
      </c>
      <c r="C4147" s="50" t="s">
        <v>18</v>
      </c>
      <c r="D4147" s="51">
        <v>163485.67</v>
      </c>
      <c r="E4147" s="51" t="str">
        <f t="shared" si="1"/>
        <v>₹1,961,828.04</v>
      </c>
      <c r="F4147" s="52" t="str">
        <f t="shared" si="2"/>
        <v>30.0%</v>
      </c>
      <c r="G4147" s="51" t="str">
        <f t="shared" si="3"/>
        <v>₹588,548.41</v>
      </c>
      <c r="H4147" s="51" t="str">
        <f t="shared" si="4"/>
        <v>₹49,045.70</v>
      </c>
      <c r="I4147" s="51" t="str">
        <f>141728.59-H4147</f>
        <v>₹92,682.89</v>
      </c>
    </row>
    <row r="4148" ht="15.75" customHeight="1">
      <c r="A4148" s="53" t="s">
        <v>4232</v>
      </c>
      <c r="B4148" s="53" t="s">
        <v>53</v>
      </c>
      <c r="C4148" s="53" t="s">
        <v>33</v>
      </c>
      <c r="D4148" s="54">
        <v>163508.85</v>
      </c>
      <c r="E4148" s="54" t="str">
        <f t="shared" si="1"/>
        <v>₹1,962,106.20</v>
      </c>
      <c r="F4148" s="55" t="str">
        <f t="shared" si="2"/>
        <v>30.0%</v>
      </c>
      <c r="G4148" s="54" t="str">
        <f t="shared" si="3"/>
        <v>₹588,631.86</v>
      </c>
      <c r="H4148" s="54" t="str">
        <f t="shared" si="4"/>
        <v>₹49,052.66</v>
      </c>
      <c r="I4148" s="54" t="str">
        <f>141748.38-H4148</f>
        <v>₹92,695.73</v>
      </c>
    </row>
    <row r="4149" ht="15.75" customHeight="1">
      <c r="A4149" s="50" t="s">
        <v>4233</v>
      </c>
      <c r="B4149" s="50" t="s">
        <v>13</v>
      </c>
      <c r="C4149" s="50" t="s">
        <v>18</v>
      </c>
      <c r="D4149" s="51">
        <v>163532.03</v>
      </c>
      <c r="E4149" s="51" t="str">
        <f t="shared" si="1"/>
        <v>₹1,962,384.36</v>
      </c>
      <c r="F4149" s="52" t="str">
        <f t="shared" si="2"/>
        <v>30.0%</v>
      </c>
      <c r="G4149" s="51" t="str">
        <f t="shared" si="3"/>
        <v>₹588,715.31</v>
      </c>
      <c r="H4149" s="51" t="str">
        <f t="shared" si="4"/>
        <v>₹49,059.61</v>
      </c>
      <c r="I4149" s="51" t="str">
        <f>141768.16-H4149</f>
        <v>₹92,708.55</v>
      </c>
    </row>
    <row r="4150" ht="15.75" customHeight="1">
      <c r="A4150" s="53" t="s">
        <v>4234</v>
      </c>
      <c r="B4150" s="53" t="s">
        <v>53</v>
      </c>
      <c r="C4150" s="53" t="s">
        <v>18</v>
      </c>
      <c r="D4150" s="54">
        <v>163555.21</v>
      </c>
      <c r="E4150" s="54" t="str">
        <f t="shared" si="1"/>
        <v>₹1,962,662.52</v>
      </c>
      <c r="F4150" s="55" t="str">
        <f t="shared" si="2"/>
        <v>30.0%</v>
      </c>
      <c r="G4150" s="54" t="str">
        <f t="shared" si="3"/>
        <v>₹588,798.76</v>
      </c>
      <c r="H4150" s="54" t="str">
        <f t="shared" si="4"/>
        <v>₹49,066.56</v>
      </c>
      <c r="I4150" s="54" t="str">
        <f>141787.94-H4150</f>
        <v>₹92,721.38</v>
      </c>
    </row>
    <row r="4151" ht="15.75" customHeight="1">
      <c r="A4151" s="50" t="s">
        <v>4235</v>
      </c>
      <c r="B4151" s="50" t="s">
        <v>29</v>
      </c>
      <c r="C4151" s="50" t="s">
        <v>54</v>
      </c>
      <c r="D4151" s="51">
        <v>163578.38</v>
      </c>
      <c r="E4151" s="51" t="str">
        <f t="shared" si="1"/>
        <v>₹1,962,940.56</v>
      </c>
      <c r="F4151" s="52" t="str">
        <f t="shared" si="2"/>
        <v>30.0%</v>
      </c>
      <c r="G4151" s="51" t="str">
        <f t="shared" si="3"/>
        <v>₹588,882.17</v>
      </c>
      <c r="H4151" s="51" t="str">
        <f t="shared" si="4"/>
        <v>₹49,073.51</v>
      </c>
      <c r="I4151" s="51" t="str">
        <f>141807.71-H4151</f>
        <v>₹92,734.20</v>
      </c>
    </row>
    <row r="4152" ht="15.75" customHeight="1">
      <c r="A4152" s="53" t="s">
        <v>4236</v>
      </c>
      <c r="B4152" s="53" t="s">
        <v>25</v>
      </c>
      <c r="C4152" s="53" t="s">
        <v>33</v>
      </c>
      <c r="D4152" s="54">
        <v>163601.56</v>
      </c>
      <c r="E4152" s="54" t="str">
        <f t="shared" si="1"/>
        <v>₹1,963,218.72</v>
      </c>
      <c r="F4152" s="55" t="str">
        <f t="shared" si="2"/>
        <v>30.0%</v>
      </c>
      <c r="G4152" s="54" t="str">
        <f t="shared" si="3"/>
        <v>₹588,965.62</v>
      </c>
      <c r="H4152" s="54" t="str">
        <f t="shared" si="4"/>
        <v>₹49,080.47</v>
      </c>
      <c r="I4152" s="54" t="str">
        <f>141827.5-H4152</f>
        <v>₹92,747.03</v>
      </c>
    </row>
    <row r="4153" ht="15.75" customHeight="1">
      <c r="A4153" s="50" t="s">
        <v>4237</v>
      </c>
      <c r="B4153" s="50" t="s">
        <v>29</v>
      </c>
      <c r="C4153" s="50" t="s">
        <v>33</v>
      </c>
      <c r="D4153" s="51">
        <v>163624.74</v>
      </c>
      <c r="E4153" s="51" t="str">
        <f t="shared" si="1"/>
        <v>₹1,963,496.88</v>
      </c>
      <c r="F4153" s="52" t="str">
        <f t="shared" si="2"/>
        <v>30.0%</v>
      </c>
      <c r="G4153" s="51" t="str">
        <f t="shared" si="3"/>
        <v>₹589,049.06</v>
      </c>
      <c r="H4153" s="51" t="str">
        <f t="shared" si="4"/>
        <v>₹49,087.42</v>
      </c>
      <c r="I4153" s="51" t="str">
        <f>141847.28-H4153</f>
        <v>₹92,759.86</v>
      </c>
    </row>
    <row r="4154" ht="15.75" customHeight="1">
      <c r="A4154" s="53" t="s">
        <v>4238</v>
      </c>
      <c r="B4154" s="53" t="s">
        <v>25</v>
      </c>
      <c r="C4154" s="53" t="s">
        <v>18</v>
      </c>
      <c r="D4154" s="54">
        <v>163647.92</v>
      </c>
      <c r="E4154" s="54" t="str">
        <f t="shared" si="1"/>
        <v>₹1,963,775.04</v>
      </c>
      <c r="F4154" s="55" t="str">
        <f t="shared" si="2"/>
        <v>30.0%</v>
      </c>
      <c r="G4154" s="54" t="str">
        <f t="shared" si="3"/>
        <v>₹589,132.51</v>
      </c>
      <c r="H4154" s="54" t="str">
        <f t="shared" si="4"/>
        <v>₹49,094.38</v>
      </c>
      <c r="I4154" s="54" t="str">
        <f>141867.06-H4154</f>
        <v>₹92,772.68</v>
      </c>
    </row>
    <row r="4155" ht="15.75" customHeight="1">
      <c r="A4155" s="50" t="s">
        <v>4239</v>
      </c>
      <c r="B4155" s="50" t="s">
        <v>29</v>
      </c>
      <c r="C4155" s="50" t="s">
        <v>26</v>
      </c>
      <c r="D4155" s="51">
        <v>163671.09</v>
      </c>
      <c r="E4155" s="51" t="str">
        <f t="shared" si="1"/>
        <v>₹1,964,053.08</v>
      </c>
      <c r="F4155" s="52" t="str">
        <f t="shared" si="2"/>
        <v>30.0%</v>
      </c>
      <c r="G4155" s="51" t="str">
        <f t="shared" si="3"/>
        <v>₹589,215.92</v>
      </c>
      <c r="H4155" s="51" t="str">
        <f t="shared" si="4"/>
        <v>₹49,101.33</v>
      </c>
      <c r="I4155" s="51" t="str">
        <f>141886.83-H4155</f>
        <v>₹92,785.50</v>
      </c>
    </row>
    <row r="4156" ht="15.75" customHeight="1">
      <c r="A4156" s="53" t="s">
        <v>4240</v>
      </c>
      <c r="B4156" s="53" t="s">
        <v>29</v>
      </c>
      <c r="C4156" s="53" t="s">
        <v>18</v>
      </c>
      <c r="D4156" s="54">
        <v>163694.27</v>
      </c>
      <c r="E4156" s="54" t="str">
        <f t="shared" si="1"/>
        <v>₹1,964,331.24</v>
      </c>
      <c r="F4156" s="55" t="str">
        <f t="shared" si="2"/>
        <v>30.0%</v>
      </c>
      <c r="G4156" s="54" t="str">
        <f t="shared" si="3"/>
        <v>₹589,299.37</v>
      </c>
      <c r="H4156" s="54" t="str">
        <f t="shared" si="4"/>
        <v>₹49,108.28</v>
      </c>
      <c r="I4156" s="54" t="str">
        <f>141906.62-H4156</f>
        <v>₹92,798.34</v>
      </c>
    </row>
    <row r="4157" ht="15.75" customHeight="1">
      <c r="A4157" s="50" t="s">
        <v>4241</v>
      </c>
      <c r="B4157" s="50" t="s">
        <v>25</v>
      </c>
      <c r="C4157" s="50" t="s">
        <v>18</v>
      </c>
      <c r="D4157" s="51">
        <v>163717.45</v>
      </c>
      <c r="E4157" s="51" t="str">
        <f t="shared" si="1"/>
        <v>₹1,964,609.40</v>
      </c>
      <c r="F4157" s="52" t="str">
        <f t="shared" si="2"/>
        <v>30.0%</v>
      </c>
      <c r="G4157" s="51" t="str">
        <f t="shared" si="3"/>
        <v>₹589,382.82</v>
      </c>
      <c r="H4157" s="51" t="str">
        <f t="shared" si="4"/>
        <v>₹49,115.24</v>
      </c>
      <c r="I4157" s="51" t="str">
        <f>141926.4-H4157</f>
        <v>₹92,811.17</v>
      </c>
    </row>
    <row r="4158" ht="15.75" customHeight="1">
      <c r="A4158" s="53" t="s">
        <v>4242</v>
      </c>
      <c r="B4158" s="53" t="s">
        <v>53</v>
      </c>
      <c r="C4158" s="53" t="s">
        <v>30</v>
      </c>
      <c r="D4158" s="54">
        <v>163740.63</v>
      </c>
      <c r="E4158" s="54" t="str">
        <f t="shared" si="1"/>
        <v>₹1,964,887.56</v>
      </c>
      <c r="F4158" s="55" t="str">
        <f t="shared" si="2"/>
        <v>30.0%</v>
      </c>
      <c r="G4158" s="54" t="str">
        <f t="shared" si="3"/>
        <v>₹589,466.27</v>
      </c>
      <c r="H4158" s="54" t="str">
        <f t="shared" si="4"/>
        <v>₹49,122.19</v>
      </c>
      <c r="I4158" s="54" t="str">
        <f>141946.18-H4158</f>
        <v>₹92,823.99</v>
      </c>
    </row>
    <row r="4159" ht="15.75" customHeight="1">
      <c r="A4159" s="50" t="s">
        <v>4243</v>
      </c>
      <c r="B4159" s="50" t="s">
        <v>36</v>
      </c>
      <c r="C4159" s="50" t="s">
        <v>30</v>
      </c>
      <c r="D4159" s="51">
        <v>163763.8</v>
      </c>
      <c r="E4159" s="51" t="str">
        <f t="shared" si="1"/>
        <v>₹1,965,165.60</v>
      </c>
      <c r="F4159" s="52" t="str">
        <f t="shared" si="2"/>
        <v>30.0%</v>
      </c>
      <c r="G4159" s="51" t="str">
        <f t="shared" si="3"/>
        <v>₹589,549.68</v>
      </c>
      <c r="H4159" s="51" t="str">
        <f t="shared" si="4"/>
        <v>₹49,129.14</v>
      </c>
      <c r="I4159" s="51" t="str">
        <f>141965.95-H4159</f>
        <v>₹92,836.81</v>
      </c>
    </row>
    <row r="4160" ht="15.75" customHeight="1">
      <c r="A4160" s="53" t="s">
        <v>4244</v>
      </c>
      <c r="B4160" s="53" t="s">
        <v>53</v>
      </c>
      <c r="C4160" s="53" t="s">
        <v>26</v>
      </c>
      <c r="D4160" s="54">
        <v>163786.98</v>
      </c>
      <c r="E4160" s="54" t="str">
        <f t="shared" si="1"/>
        <v>₹1,965,443.76</v>
      </c>
      <c r="F4160" s="55" t="str">
        <f t="shared" si="2"/>
        <v>30.0%</v>
      </c>
      <c r="G4160" s="54" t="str">
        <f t="shared" si="3"/>
        <v>₹589,633.13</v>
      </c>
      <c r="H4160" s="54" t="str">
        <f t="shared" si="4"/>
        <v>₹49,136.09</v>
      </c>
      <c r="I4160" s="54" t="str">
        <f>141985.74-H4160</f>
        <v>₹92,849.65</v>
      </c>
    </row>
    <row r="4161" ht="15.75" customHeight="1">
      <c r="A4161" s="50" t="s">
        <v>4245</v>
      </c>
      <c r="B4161" s="50" t="s">
        <v>51</v>
      </c>
      <c r="C4161" s="50" t="s">
        <v>26</v>
      </c>
      <c r="D4161" s="51">
        <v>163810.16</v>
      </c>
      <c r="E4161" s="51" t="str">
        <f t="shared" si="1"/>
        <v>₹1,965,721.92</v>
      </c>
      <c r="F4161" s="52" t="str">
        <f t="shared" si="2"/>
        <v>30.0%</v>
      </c>
      <c r="G4161" s="51" t="str">
        <f t="shared" si="3"/>
        <v>₹589,716.58</v>
      </c>
      <c r="H4161" s="51" t="str">
        <f t="shared" si="4"/>
        <v>₹49,143.05</v>
      </c>
      <c r="I4161" s="51" t="str">
        <f>142005.52-H4161</f>
        <v>₹92,862.47</v>
      </c>
    </row>
    <row r="4162" ht="15.75" customHeight="1">
      <c r="A4162" s="53" t="s">
        <v>4246</v>
      </c>
      <c r="B4162" s="53" t="s">
        <v>17</v>
      </c>
      <c r="C4162" s="53" t="s">
        <v>30</v>
      </c>
      <c r="D4162" s="54">
        <v>163833.34</v>
      </c>
      <c r="E4162" s="54" t="str">
        <f t="shared" si="1"/>
        <v>₹1,966,000.08</v>
      </c>
      <c r="F4162" s="55" t="str">
        <f t="shared" si="2"/>
        <v>30.0%</v>
      </c>
      <c r="G4162" s="54" t="str">
        <f t="shared" si="3"/>
        <v>₹589,800.02</v>
      </c>
      <c r="H4162" s="54" t="str">
        <f t="shared" si="4"/>
        <v>₹49,150.00</v>
      </c>
      <c r="I4162" s="54" t="str">
        <f>142025.3-H4162</f>
        <v>₹92,875.30</v>
      </c>
    </row>
    <row r="4163" ht="15.75" customHeight="1">
      <c r="A4163" s="50" t="s">
        <v>4247</v>
      </c>
      <c r="B4163" s="50" t="s">
        <v>53</v>
      </c>
      <c r="C4163" s="50" t="s">
        <v>14</v>
      </c>
      <c r="D4163" s="51">
        <v>163856.52</v>
      </c>
      <c r="E4163" s="51" t="str">
        <f t="shared" si="1"/>
        <v>₹1,966,278.24</v>
      </c>
      <c r="F4163" s="52" t="str">
        <f t="shared" si="2"/>
        <v>30.0%</v>
      </c>
      <c r="G4163" s="51" t="str">
        <f t="shared" si="3"/>
        <v>₹589,883.47</v>
      </c>
      <c r="H4163" s="51" t="str">
        <f t="shared" si="4"/>
        <v>₹49,156.96</v>
      </c>
      <c r="I4163" s="51" t="str">
        <f>142045.08-H4163</f>
        <v>₹92,888.12</v>
      </c>
    </row>
    <row r="4164" ht="15.75" customHeight="1">
      <c r="A4164" s="53" t="s">
        <v>4248</v>
      </c>
      <c r="B4164" s="53" t="s">
        <v>17</v>
      </c>
      <c r="C4164" s="53" t="s">
        <v>18</v>
      </c>
      <c r="D4164" s="54">
        <v>163879.69</v>
      </c>
      <c r="E4164" s="54" t="str">
        <f t="shared" si="1"/>
        <v>₹1,966,556.28</v>
      </c>
      <c r="F4164" s="55" t="str">
        <f t="shared" si="2"/>
        <v>30.0%</v>
      </c>
      <c r="G4164" s="54" t="str">
        <f t="shared" si="3"/>
        <v>₹589,966.88</v>
      </c>
      <c r="H4164" s="54" t="str">
        <f t="shared" si="4"/>
        <v>₹49,163.91</v>
      </c>
      <c r="I4164" s="54" t="str">
        <f>142064.86-H4164</f>
        <v>₹92,900.95</v>
      </c>
    </row>
    <row r="4165" ht="15.75" customHeight="1">
      <c r="A4165" s="50" t="s">
        <v>4249</v>
      </c>
      <c r="B4165" s="50" t="s">
        <v>17</v>
      </c>
      <c r="C4165" s="50" t="s">
        <v>14</v>
      </c>
      <c r="D4165" s="51">
        <v>140586.53</v>
      </c>
      <c r="E4165" s="51" t="str">
        <f t="shared" si="1"/>
        <v>₹1,687,038.36</v>
      </c>
      <c r="F4165" s="52" t="str">
        <f t="shared" si="2"/>
        <v>30.0%</v>
      </c>
      <c r="G4165" s="51" t="str">
        <f t="shared" si="3"/>
        <v>₹506,111.51</v>
      </c>
      <c r="H4165" s="51" t="str">
        <f t="shared" si="4"/>
        <v>₹42,175.96</v>
      </c>
      <c r="I4165" s="51" t="str">
        <f>118768.3-H4165</f>
        <v>₹76,592.34</v>
      </c>
    </row>
    <row r="4166" ht="15.75" customHeight="1">
      <c r="A4166" s="53" t="s">
        <v>4250</v>
      </c>
      <c r="B4166" s="53" t="s">
        <v>29</v>
      </c>
      <c r="C4166" s="53" t="s">
        <v>37</v>
      </c>
      <c r="D4166" s="54">
        <v>163926.05</v>
      </c>
      <c r="E4166" s="54" t="str">
        <f t="shared" si="1"/>
        <v>₹1,967,112.60</v>
      </c>
      <c r="F4166" s="55" t="str">
        <f t="shared" si="2"/>
        <v>30.0%</v>
      </c>
      <c r="G4166" s="54" t="str">
        <f t="shared" si="3"/>
        <v>₹590,133.78</v>
      </c>
      <c r="H4166" s="54" t="str">
        <f t="shared" si="4"/>
        <v>₹49,177.82</v>
      </c>
      <c r="I4166" s="54" t="str">
        <f>142104.42-H4166</f>
        <v>₹92,926.61</v>
      </c>
    </row>
    <row r="4167" ht="15.75" customHeight="1">
      <c r="A4167" s="50" t="s">
        <v>4251</v>
      </c>
      <c r="B4167" s="50" t="s">
        <v>51</v>
      </c>
      <c r="C4167" s="50" t="s">
        <v>18</v>
      </c>
      <c r="D4167" s="51">
        <v>163949.23</v>
      </c>
      <c r="E4167" s="51" t="str">
        <f t="shared" si="1"/>
        <v>₹1,967,390.76</v>
      </c>
      <c r="F4167" s="52" t="str">
        <f t="shared" si="2"/>
        <v>30.0%</v>
      </c>
      <c r="G4167" s="51" t="str">
        <f t="shared" si="3"/>
        <v>₹590,217.23</v>
      </c>
      <c r="H4167" s="51" t="str">
        <f t="shared" si="4"/>
        <v>₹49,184.77</v>
      </c>
      <c r="I4167" s="51" t="str">
        <f>142124.2-H4167</f>
        <v>₹92,939.43</v>
      </c>
    </row>
    <row r="4168" ht="15.75" customHeight="1">
      <c r="A4168" s="53" t="s">
        <v>4252</v>
      </c>
      <c r="B4168" s="53" t="s">
        <v>17</v>
      </c>
      <c r="C4168" s="53" t="s">
        <v>14</v>
      </c>
      <c r="D4168" s="54">
        <v>163972.4</v>
      </c>
      <c r="E4168" s="54" t="str">
        <f t="shared" si="1"/>
        <v>₹1,967,668.80</v>
      </c>
      <c r="F4168" s="55" t="str">
        <f t="shared" si="2"/>
        <v>30.0%</v>
      </c>
      <c r="G4168" s="54" t="str">
        <f t="shared" si="3"/>
        <v>₹590,300.64</v>
      </c>
      <c r="H4168" s="54" t="str">
        <f t="shared" si="4"/>
        <v>₹49,191.72</v>
      </c>
      <c r="I4168" s="54" t="str">
        <f>142143.98-H4168</f>
        <v>₹92,952.26</v>
      </c>
    </row>
    <row r="4169" ht="15.75" customHeight="1">
      <c r="A4169" s="50" t="s">
        <v>4253</v>
      </c>
      <c r="B4169" s="50" t="s">
        <v>53</v>
      </c>
      <c r="C4169" s="50" t="s">
        <v>18</v>
      </c>
      <c r="D4169" s="51">
        <v>163995.58</v>
      </c>
      <c r="E4169" s="51" t="str">
        <f t="shared" si="1"/>
        <v>₹1,967,946.96</v>
      </c>
      <c r="F4169" s="52" t="str">
        <f t="shared" si="2"/>
        <v>30.0%</v>
      </c>
      <c r="G4169" s="51" t="str">
        <f t="shared" si="3"/>
        <v>₹590,384.09</v>
      </c>
      <c r="H4169" s="51" t="str">
        <f t="shared" si="4"/>
        <v>₹49,198.67</v>
      </c>
      <c r="I4169" s="51" t="str">
        <f>142163.76-H4169</f>
        <v>₹92,965.09</v>
      </c>
    </row>
    <row r="4170" ht="15.75" customHeight="1">
      <c r="A4170" s="53" t="s">
        <v>4254</v>
      </c>
      <c r="B4170" s="53" t="s">
        <v>36</v>
      </c>
      <c r="C4170" s="53" t="s">
        <v>18</v>
      </c>
      <c r="D4170" s="54">
        <v>164018.76</v>
      </c>
      <c r="E4170" s="54" t="str">
        <f t="shared" si="1"/>
        <v>₹1,968,225.12</v>
      </c>
      <c r="F4170" s="55" t="str">
        <f t="shared" si="2"/>
        <v>30.0%</v>
      </c>
      <c r="G4170" s="54" t="str">
        <f t="shared" si="3"/>
        <v>₹590,467.54</v>
      </c>
      <c r="H4170" s="54" t="str">
        <f t="shared" si="4"/>
        <v>₹49,205.63</v>
      </c>
      <c r="I4170" s="54" t="str">
        <f>142183.54-H4170</f>
        <v>₹92,977.91</v>
      </c>
    </row>
    <row r="4171" ht="15.75" customHeight="1">
      <c r="A4171" s="50" t="s">
        <v>4255</v>
      </c>
      <c r="B4171" s="50" t="s">
        <v>53</v>
      </c>
      <c r="C4171" s="50" t="s">
        <v>54</v>
      </c>
      <c r="D4171" s="51">
        <v>164041.94</v>
      </c>
      <c r="E4171" s="51" t="str">
        <f t="shared" si="1"/>
        <v>₹1,968,503.28</v>
      </c>
      <c r="F4171" s="52" t="str">
        <f t="shared" si="2"/>
        <v>30.0%</v>
      </c>
      <c r="G4171" s="51" t="str">
        <f t="shared" si="3"/>
        <v>₹590,550.98</v>
      </c>
      <c r="H4171" s="51" t="str">
        <f t="shared" si="4"/>
        <v>₹49,212.58</v>
      </c>
      <c r="I4171" s="51" t="str">
        <f>142203.32-H4171</f>
        <v>₹92,990.74</v>
      </c>
    </row>
    <row r="4172" ht="15.75" customHeight="1">
      <c r="A4172" s="53" t="s">
        <v>4256</v>
      </c>
      <c r="B4172" s="53" t="s">
        <v>51</v>
      </c>
      <c r="C4172" s="53" t="s">
        <v>54</v>
      </c>
      <c r="D4172" s="54">
        <v>164065.11</v>
      </c>
      <c r="E4172" s="54" t="str">
        <f t="shared" si="1"/>
        <v>₹1,968,781.32</v>
      </c>
      <c r="F4172" s="55" t="str">
        <f t="shared" si="2"/>
        <v>30.0%</v>
      </c>
      <c r="G4172" s="54" t="str">
        <f t="shared" si="3"/>
        <v>₹590,634.40</v>
      </c>
      <c r="H4172" s="54" t="str">
        <f t="shared" si="4"/>
        <v>₹49,219.53</v>
      </c>
      <c r="I4172" s="54" t="str">
        <f>142223.1-H4172</f>
        <v>₹93,003.57</v>
      </c>
    </row>
    <row r="4173" ht="15.75" customHeight="1">
      <c r="A4173" s="50" t="s">
        <v>4257</v>
      </c>
      <c r="B4173" s="50" t="s">
        <v>53</v>
      </c>
      <c r="C4173" s="50" t="s">
        <v>37</v>
      </c>
      <c r="D4173" s="51">
        <v>164088.29</v>
      </c>
      <c r="E4173" s="51" t="str">
        <f t="shared" si="1"/>
        <v>₹1,969,059.48</v>
      </c>
      <c r="F4173" s="52" t="str">
        <f t="shared" si="2"/>
        <v>30.0%</v>
      </c>
      <c r="G4173" s="51" t="str">
        <f t="shared" si="3"/>
        <v>₹590,717.84</v>
      </c>
      <c r="H4173" s="51" t="str">
        <f t="shared" si="4"/>
        <v>₹49,226.49</v>
      </c>
      <c r="I4173" s="51" t="str">
        <f>142242.88-H4173</f>
        <v>₹93,016.39</v>
      </c>
    </row>
    <row r="4174" ht="15.75" customHeight="1">
      <c r="A4174" s="53" t="s">
        <v>4258</v>
      </c>
      <c r="B4174" s="53" t="s">
        <v>25</v>
      </c>
      <c r="C4174" s="53" t="s">
        <v>14</v>
      </c>
      <c r="D4174" s="54">
        <v>164111.47</v>
      </c>
      <c r="E4174" s="54" t="str">
        <f t="shared" si="1"/>
        <v>₹1,969,337.64</v>
      </c>
      <c r="F4174" s="55" t="str">
        <f t="shared" si="2"/>
        <v>30.0%</v>
      </c>
      <c r="G4174" s="54" t="str">
        <f t="shared" si="3"/>
        <v>₹590,801.29</v>
      </c>
      <c r="H4174" s="54" t="str">
        <f t="shared" si="4"/>
        <v>₹49,233.44</v>
      </c>
      <c r="I4174" s="54" t="str">
        <f>142262.66-H4174</f>
        <v>₹93,029.22</v>
      </c>
    </row>
    <row r="4175" ht="15.75" customHeight="1">
      <c r="A4175" s="50" t="s">
        <v>4259</v>
      </c>
      <c r="B4175" s="50" t="s">
        <v>13</v>
      </c>
      <c r="C4175" s="50" t="s">
        <v>18</v>
      </c>
      <c r="D4175" s="51">
        <v>139890.77</v>
      </c>
      <c r="E4175" s="51" t="str">
        <f t="shared" si="1"/>
        <v>₹1,678,689.24</v>
      </c>
      <c r="F4175" s="52" t="str">
        <f t="shared" si="2"/>
        <v>30.0%</v>
      </c>
      <c r="G4175" s="51" t="str">
        <f t="shared" si="3"/>
        <v>₹503,606.77</v>
      </c>
      <c r="H4175" s="51" t="str">
        <f t="shared" si="4"/>
        <v>₹41,967.23</v>
      </c>
      <c r="I4175" s="51" t="str">
        <f>118038.56-H4175</f>
        <v>₹76,071.33</v>
      </c>
    </row>
    <row r="4176" ht="15.75" customHeight="1">
      <c r="A4176" s="53" t="s">
        <v>4260</v>
      </c>
      <c r="B4176" s="53" t="s">
        <v>51</v>
      </c>
      <c r="C4176" s="53" t="s">
        <v>26</v>
      </c>
      <c r="D4176" s="54">
        <v>164157.83</v>
      </c>
      <c r="E4176" s="54" t="str">
        <f t="shared" si="1"/>
        <v>₹1,969,893.96</v>
      </c>
      <c r="F4176" s="55" t="str">
        <f t="shared" si="2"/>
        <v>30.0%</v>
      </c>
      <c r="G4176" s="54" t="str">
        <f t="shared" si="3"/>
        <v>₹590,968.19</v>
      </c>
      <c r="H4176" s="54" t="str">
        <f t="shared" si="4"/>
        <v>₹49,247.35</v>
      </c>
      <c r="I4176" s="54" t="str">
        <f>142302.23-H4176</f>
        <v>₹93,054.88</v>
      </c>
    </row>
    <row r="4177" ht="15.75" customHeight="1">
      <c r="A4177" s="50" t="s">
        <v>4261</v>
      </c>
      <c r="B4177" s="50" t="s">
        <v>51</v>
      </c>
      <c r="C4177" s="50" t="s">
        <v>30</v>
      </c>
      <c r="D4177" s="51">
        <v>164181.0</v>
      </c>
      <c r="E4177" s="51" t="str">
        <f t="shared" si="1"/>
        <v>₹1,970,172.00</v>
      </c>
      <c r="F4177" s="52" t="str">
        <f t="shared" si="2"/>
        <v>30.0%</v>
      </c>
      <c r="G4177" s="51" t="str">
        <f t="shared" si="3"/>
        <v>₹591,051.60</v>
      </c>
      <c r="H4177" s="51" t="str">
        <f t="shared" si="4"/>
        <v>₹49,254.30</v>
      </c>
      <c r="I4177" s="51" t="str">
        <f>142322-H4177</f>
        <v>₹93,067.70</v>
      </c>
    </row>
    <row r="4178" ht="15.75" customHeight="1">
      <c r="A4178" s="53" t="s">
        <v>4262</v>
      </c>
      <c r="B4178" s="53" t="s">
        <v>36</v>
      </c>
      <c r="C4178" s="53" t="s">
        <v>33</v>
      </c>
      <c r="D4178" s="54">
        <v>164204.18</v>
      </c>
      <c r="E4178" s="54" t="str">
        <f t="shared" si="1"/>
        <v>₹1,970,450.16</v>
      </c>
      <c r="F4178" s="55" t="str">
        <f t="shared" si="2"/>
        <v>30.0%</v>
      </c>
      <c r="G4178" s="54" t="str">
        <f t="shared" si="3"/>
        <v>₹591,135.05</v>
      </c>
      <c r="H4178" s="54" t="str">
        <f t="shared" si="4"/>
        <v>₹49,261.25</v>
      </c>
      <c r="I4178" s="54" t="str">
        <f>142341.78-H4178</f>
        <v>₹93,080.53</v>
      </c>
    </row>
    <row r="4179" ht="15.75" customHeight="1">
      <c r="A4179" s="50" t="s">
        <v>4263</v>
      </c>
      <c r="B4179" s="50" t="s">
        <v>13</v>
      </c>
      <c r="C4179" s="50" t="s">
        <v>30</v>
      </c>
      <c r="D4179" s="51">
        <v>164227.36</v>
      </c>
      <c r="E4179" s="51" t="str">
        <f t="shared" si="1"/>
        <v>₹1,970,728.32</v>
      </c>
      <c r="F4179" s="52" t="str">
        <f t="shared" si="2"/>
        <v>30.0%</v>
      </c>
      <c r="G4179" s="51" t="str">
        <f t="shared" si="3"/>
        <v>₹591,218.50</v>
      </c>
      <c r="H4179" s="51" t="str">
        <f t="shared" si="4"/>
        <v>₹49,268.21</v>
      </c>
      <c r="I4179" s="51" t="str">
        <f>142361.56-H4179</f>
        <v>₹93,093.35</v>
      </c>
    </row>
    <row r="4180" ht="15.75" customHeight="1">
      <c r="A4180" s="53" t="s">
        <v>4264</v>
      </c>
      <c r="B4180" s="53" t="s">
        <v>53</v>
      </c>
      <c r="C4180" s="53" t="s">
        <v>26</v>
      </c>
      <c r="D4180" s="54">
        <v>164250.54</v>
      </c>
      <c r="E4180" s="54" t="str">
        <f t="shared" si="1"/>
        <v>₹1,971,006.48</v>
      </c>
      <c r="F4180" s="55" t="str">
        <f t="shared" si="2"/>
        <v>30.0%</v>
      </c>
      <c r="G4180" s="54" t="str">
        <f t="shared" si="3"/>
        <v>₹591,301.94</v>
      </c>
      <c r="H4180" s="54" t="str">
        <f t="shared" si="4"/>
        <v>₹49,275.16</v>
      </c>
      <c r="I4180" s="54" t="str">
        <f>142381.35-H4180</f>
        <v>₹93,106.19</v>
      </c>
    </row>
    <row r="4181" ht="15.75" customHeight="1">
      <c r="A4181" s="50" t="s">
        <v>4265</v>
      </c>
      <c r="B4181" s="50" t="s">
        <v>29</v>
      </c>
      <c r="C4181" s="50" t="s">
        <v>18</v>
      </c>
      <c r="D4181" s="51">
        <v>164273.71</v>
      </c>
      <c r="E4181" s="51" t="str">
        <f t="shared" si="1"/>
        <v>₹1,971,284.52</v>
      </c>
      <c r="F4181" s="52" t="str">
        <f t="shared" si="2"/>
        <v>30.0%</v>
      </c>
      <c r="G4181" s="51" t="str">
        <f t="shared" si="3"/>
        <v>₹591,385.36</v>
      </c>
      <c r="H4181" s="51" t="str">
        <f t="shared" si="4"/>
        <v>₹49,282.11</v>
      </c>
      <c r="I4181" s="51" t="str">
        <f>142401.12-H4181</f>
        <v>₹93,119.01</v>
      </c>
    </row>
    <row r="4182" ht="15.75" customHeight="1">
      <c r="A4182" s="53" t="s">
        <v>4266</v>
      </c>
      <c r="B4182" s="53" t="s">
        <v>36</v>
      </c>
      <c r="C4182" s="53" t="s">
        <v>33</v>
      </c>
      <c r="D4182" s="54">
        <v>164296.89</v>
      </c>
      <c r="E4182" s="54" t="str">
        <f t="shared" si="1"/>
        <v>₹1,971,562.68</v>
      </c>
      <c r="F4182" s="55" t="str">
        <f t="shared" si="2"/>
        <v>30.0%</v>
      </c>
      <c r="G4182" s="54" t="str">
        <f t="shared" si="3"/>
        <v>₹591,468.80</v>
      </c>
      <c r="H4182" s="54" t="str">
        <f t="shared" si="4"/>
        <v>₹49,289.07</v>
      </c>
      <c r="I4182" s="54" t="str">
        <f>142420.9-H4182</f>
        <v>₹93,131.83</v>
      </c>
    </row>
    <row r="4183" ht="15.75" customHeight="1">
      <c r="A4183" s="50" t="s">
        <v>4267</v>
      </c>
      <c r="B4183" s="50" t="s">
        <v>51</v>
      </c>
      <c r="C4183" s="50" t="s">
        <v>18</v>
      </c>
      <c r="D4183" s="51">
        <v>164320.07</v>
      </c>
      <c r="E4183" s="51" t="str">
        <f t="shared" si="1"/>
        <v>₹1,971,840.84</v>
      </c>
      <c r="F4183" s="52" t="str">
        <f t="shared" si="2"/>
        <v>30.0%</v>
      </c>
      <c r="G4183" s="51" t="str">
        <f t="shared" si="3"/>
        <v>₹591,552.25</v>
      </c>
      <c r="H4183" s="51" t="str">
        <f t="shared" si="4"/>
        <v>₹49,296.02</v>
      </c>
      <c r="I4183" s="51" t="str">
        <f>142440.68-H4183</f>
        <v>₹93,144.66</v>
      </c>
    </row>
    <row r="4184" ht="15.75" customHeight="1">
      <c r="A4184" s="53" t="s">
        <v>4268</v>
      </c>
      <c r="B4184" s="53" t="s">
        <v>51</v>
      </c>
      <c r="C4184" s="53" t="s">
        <v>14</v>
      </c>
      <c r="D4184" s="54">
        <v>140247.38</v>
      </c>
      <c r="E4184" s="54" t="str">
        <f t="shared" si="1"/>
        <v>₹1,682,968.56</v>
      </c>
      <c r="F4184" s="55" t="str">
        <f t="shared" si="2"/>
        <v>30.0%</v>
      </c>
      <c r="G4184" s="54" t="str">
        <f t="shared" si="3"/>
        <v>₹504,890.57</v>
      </c>
      <c r="H4184" s="54" t="str">
        <f t="shared" si="4"/>
        <v>₹42,074.21</v>
      </c>
      <c r="I4184" s="54" t="str">
        <f>118364.6-H4184</f>
        <v>₹76,290.39</v>
      </c>
    </row>
    <row r="4185" ht="15.75" customHeight="1">
      <c r="A4185" s="50" t="s">
        <v>4269</v>
      </c>
      <c r="B4185" s="50" t="s">
        <v>13</v>
      </c>
      <c r="C4185" s="50" t="s">
        <v>54</v>
      </c>
      <c r="D4185" s="51">
        <v>164366.42</v>
      </c>
      <c r="E4185" s="51" t="str">
        <f t="shared" si="1"/>
        <v>₹1,972,397.04</v>
      </c>
      <c r="F4185" s="52" t="str">
        <f t="shared" si="2"/>
        <v>30.0%</v>
      </c>
      <c r="G4185" s="51" t="str">
        <f t="shared" si="3"/>
        <v>₹591,719.11</v>
      </c>
      <c r="H4185" s="51" t="str">
        <f t="shared" si="4"/>
        <v>₹49,309.93</v>
      </c>
      <c r="I4185" s="51" t="str">
        <f>142480.24-H4185</f>
        <v>₹93,170.31</v>
      </c>
    </row>
    <row r="4186" ht="15.75" customHeight="1">
      <c r="A4186" s="53" t="s">
        <v>4270</v>
      </c>
      <c r="B4186" s="53" t="s">
        <v>17</v>
      </c>
      <c r="C4186" s="53" t="s">
        <v>30</v>
      </c>
      <c r="D4186" s="54">
        <v>164389.6</v>
      </c>
      <c r="E4186" s="54" t="str">
        <f t="shared" si="1"/>
        <v>₹1,972,675.20</v>
      </c>
      <c r="F4186" s="55" t="str">
        <f t="shared" si="2"/>
        <v>30.0%</v>
      </c>
      <c r="G4186" s="54" t="str">
        <f t="shared" si="3"/>
        <v>₹591,802.56</v>
      </c>
      <c r="H4186" s="54" t="str">
        <f t="shared" si="4"/>
        <v>₹49,316.88</v>
      </c>
      <c r="I4186" s="54" t="str">
        <f>142500.02-H4186</f>
        <v>₹93,183.14</v>
      </c>
    </row>
    <row r="4187" ht="15.75" customHeight="1">
      <c r="A4187" s="50" t="s">
        <v>4271</v>
      </c>
      <c r="B4187" s="50" t="s">
        <v>29</v>
      </c>
      <c r="C4187" s="50" t="s">
        <v>33</v>
      </c>
      <c r="D4187" s="51">
        <v>164412.78</v>
      </c>
      <c r="E4187" s="51" t="str">
        <f t="shared" si="1"/>
        <v>₹1,972,953.36</v>
      </c>
      <c r="F4187" s="52" t="str">
        <f t="shared" si="2"/>
        <v>30.0%</v>
      </c>
      <c r="G4187" s="51" t="str">
        <f t="shared" si="3"/>
        <v>₹591,886.01</v>
      </c>
      <c r="H4187" s="51" t="str">
        <f t="shared" si="4"/>
        <v>₹49,323.83</v>
      </c>
      <c r="I4187" s="51" t="str">
        <f>142519.8-H4187</f>
        <v>₹93,195.97</v>
      </c>
    </row>
    <row r="4188" ht="15.75" customHeight="1">
      <c r="A4188" s="53" t="s">
        <v>4272</v>
      </c>
      <c r="B4188" s="53" t="s">
        <v>13</v>
      </c>
      <c r="C4188" s="53" t="s">
        <v>54</v>
      </c>
      <c r="D4188" s="54">
        <v>164435.96</v>
      </c>
      <c r="E4188" s="54" t="str">
        <f t="shared" si="1"/>
        <v>₹1,973,231.52</v>
      </c>
      <c r="F4188" s="55" t="str">
        <f t="shared" si="2"/>
        <v>30.0%</v>
      </c>
      <c r="G4188" s="54" t="str">
        <f t="shared" si="3"/>
        <v>₹591,969.46</v>
      </c>
      <c r="H4188" s="54" t="str">
        <f t="shared" si="4"/>
        <v>₹49,330.79</v>
      </c>
      <c r="I4188" s="54" t="str">
        <f>142539.59-H4188</f>
        <v>₹93,208.80</v>
      </c>
    </row>
    <row r="4189" ht="15.75" customHeight="1">
      <c r="A4189" s="50" t="s">
        <v>4273</v>
      </c>
      <c r="B4189" s="50" t="s">
        <v>51</v>
      </c>
      <c r="C4189" s="50" t="s">
        <v>37</v>
      </c>
      <c r="D4189" s="51">
        <v>164459.14</v>
      </c>
      <c r="E4189" s="51" t="str">
        <f t="shared" si="1"/>
        <v>₹1,973,509.68</v>
      </c>
      <c r="F4189" s="52" t="str">
        <f t="shared" si="2"/>
        <v>30.0%</v>
      </c>
      <c r="G4189" s="51" t="str">
        <f t="shared" si="3"/>
        <v>₹592,052.90</v>
      </c>
      <c r="H4189" s="51" t="str">
        <f t="shared" si="4"/>
        <v>₹49,337.74</v>
      </c>
      <c r="I4189" s="51" t="str">
        <f>142559.37-H4189</f>
        <v>₹93,221.63</v>
      </c>
    </row>
    <row r="4190" ht="15.75" customHeight="1">
      <c r="A4190" s="53" t="s">
        <v>4274</v>
      </c>
      <c r="B4190" s="53" t="s">
        <v>36</v>
      </c>
      <c r="C4190" s="53" t="s">
        <v>33</v>
      </c>
      <c r="D4190" s="54">
        <v>164482.31</v>
      </c>
      <c r="E4190" s="54" t="str">
        <f t="shared" si="1"/>
        <v>₹1,973,787.72</v>
      </c>
      <c r="F4190" s="55" t="str">
        <f t="shared" si="2"/>
        <v>30.0%</v>
      </c>
      <c r="G4190" s="54" t="str">
        <f t="shared" si="3"/>
        <v>₹592,136.32</v>
      </c>
      <c r="H4190" s="54" t="str">
        <f t="shared" si="4"/>
        <v>₹49,344.69</v>
      </c>
      <c r="I4190" s="54" t="str">
        <f>142579.14-H4190</f>
        <v>₹93,234.45</v>
      </c>
    </row>
    <row r="4191" ht="15.75" customHeight="1">
      <c r="A4191" s="50" t="s">
        <v>4275</v>
      </c>
      <c r="B4191" s="50" t="s">
        <v>51</v>
      </c>
      <c r="C4191" s="50" t="s">
        <v>33</v>
      </c>
      <c r="D4191" s="51">
        <v>164505.49</v>
      </c>
      <c r="E4191" s="51" t="str">
        <f t="shared" si="1"/>
        <v>₹1,974,065.88</v>
      </c>
      <c r="F4191" s="52" t="str">
        <f t="shared" si="2"/>
        <v>30.0%</v>
      </c>
      <c r="G4191" s="51" t="str">
        <f t="shared" si="3"/>
        <v>₹592,219.76</v>
      </c>
      <c r="H4191" s="51" t="str">
        <f t="shared" si="4"/>
        <v>₹49,351.65</v>
      </c>
      <c r="I4191" s="51" t="str">
        <f>142598.92-H4191</f>
        <v>₹93,247.27</v>
      </c>
    </row>
    <row r="4192" ht="15.75" customHeight="1">
      <c r="A4192" s="53" t="s">
        <v>4276</v>
      </c>
      <c r="B4192" s="53" t="s">
        <v>13</v>
      </c>
      <c r="C4192" s="53" t="s">
        <v>14</v>
      </c>
      <c r="D4192" s="54">
        <v>164528.67</v>
      </c>
      <c r="E4192" s="54" t="str">
        <f t="shared" si="1"/>
        <v>₹1,974,344.04</v>
      </c>
      <c r="F4192" s="55" t="str">
        <f t="shared" si="2"/>
        <v>30.0%</v>
      </c>
      <c r="G4192" s="54" t="str">
        <f t="shared" si="3"/>
        <v>₹592,303.21</v>
      </c>
      <c r="H4192" s="54" t="str">
        <f t="shared" si="4"/>
        <v>₹49,358.60</v>
      </c>
      <c r="I4192" s="54" t="str">
        <f>142618.7-H4192</f>
        <v>₹93,260.10</v>
      </c>
    </row>
    <row r="4193" ht="15.75" customHeight="1">
      <c r="A4193" s="50" t="s">
        <v>4277</v>
      </c>
      <c r="B4193" s="50" t="s">
        <v>36</v>
      </c>
      <c r="C4193" s="50" t="s">
        <v>26</v>
      </c>
      <c r="D4193" s="51">
        <v>164551.85</v>
      </c>
      <c r="E4193" s="51" t="str">
        <f t="shared" si="1"/>
        <v>₹1,974,622.20</v>
      </c>
      <c r="F4193" s="52" t="str">
        <f t="shared" si="2"/>
        <v>30.0%</v>
      </c>
      <c r="G4193" s="51" t="str">
        <f t="shared" si="3"/>
        <v>₹592,386.66</v>
      </c>
      <c r="H4193" s="51" t="str">
        <f t="shared" si="4"/>
        <v>₹49,365.56</v>
      </c>
      <c r="I4193" s="51" t="str">
        <f>142638.49-H4193</f>
        <v>₹93,272.94</v>
      </c>
    </row>
    <row r="4194" ht="15.75" customHeight="1">
      <c r="A4194" s="53" t="s">
        <v>4278</v>
      </c>
      <c r="B4194" s="53" t="s">
        <v>53</v>
      </c>
      <c r="C4194" s="53" t="s">
        <v>18</v>
      </c>
      <c r="D4194" s="54">
        <v>164575.02</v>
      </c>
      <c r="E4194" s="54" t="str">
        <f t="shared" si="1"/>
        <v>₹1,974,900.24</v>
      </c>
      <c r="F4194" s="55" t="str">
        <f t="shared" si="2"/>
        <v>30.0%</v>
      </c>
      <c r="G4194" s="54" t="str">
        <f t="shared" si="3"/>
        <v>₹592,470.07</v>
      </c>
      <c r="H4194" s="54" t="str">
        <f t="shared" si="4"/>
        <v>₹49,372.51</v>
      </c>
      <c r="I4194" s="54" t="str">
        <f>142658.26-H4194</f>
        <v>₹93,285.75</v>
      </c>
    </row>
    <row r="4195" ht="15.75" customHeight="1">
      <c r="A4195" s="50" t="s">
        <v>4279</v>
      </c>
      <c r="B4195" s="50" t="s">
        <v>29</v>
      </c>
      <c r="C4195" s="50" t="s">
        <v>18</v>
      </c>
      <c r="D4195" s="51">
        <v>164598.2</v>
      </c>
      <c r="E4195" s="51" t="str">
        <f t="shared" si="1"/>
        <v>₹1,975,178.40</v>
      </c>
      <c r="F4195" s="52" t="str">
        <f t="shared" si="2"/>
        <v>30.0%</v>
      </c>
      <c r="G4195" s="51" t="str">
        <f t="shared" si="3"/>
        <v>₹592,553.52</v>
      </c>
      <c r="H4195" s="51" t="str">
        <f t="shared" si="4"/>
        <v>₹49,379.46</v>
      </c>
      <c r="I4195" s="51" t="str">
        <f>142678.04-H4195</f>
        <v>₹93,298.58</v>
      </c>
    </row>
    <row r="4196" ht="15.75" customHeight="1">
      <c r="A4196" s="53" t="s">
        <v>4280</v>
      </c>
      <c r="B4196" s="53" t="s">
        <v>36</v>
      </c>
      <c r="C4196" s="53" t="s">
        <v>26</v>
      </c>
      <c r="D4196" s="54">
        <v>164644.56</v>
      </c>
      <c r="E4196" s="54" t="str">
        <f t="shared" si="1"/>
        <v>₹1,975,734.72</v>
      </c>
      <c r="F4196" s="55" t="str">
        <f t="shared" si="2"/>
        <v>30.0%</v>
      </c>
      <c r="G4196" s="54" t="str">
        <f t="shared" si="3"/>
        <v>₹592,720.42</v>
      </c>
      <c r="H4196" s="54" t="str">
        <f t="shared" si="4"/>
        <v>₹49,393.37</v>
      </c>
      <c r="I4196" s="54" t="str">
        <f>142717.61-H4196</f>
        <v>₹93,324.24</v>
      </c>
    </row>
    <row r="4197" ht="15.75" customHeight="1">
      <c r="A4197" s="50" t="s">
        <v>4281</v>
      </c>
      <c r="B4197" s="50" t="s">
        <v>53</v>
      </c>
      <c r="C4197" s="50" t="s">
        <v>54</v>
      </c>
      <c r="D4197" s="51">
        <v>164667.73</v>
      </c>
      <c r="E4197" s="51" t="str">
        <f t="shared" si="1"/>
        <v>₹1,976,012.76</v>
      </c>
      <c r="F4197" s="52" t="str">
        <f t="shared" si="2"/>
        <v>30.0%</v>
      </c>
      <c r="G4197" s="51" t="str">
        <f t="shared" si="3"/>
        <v>₹592,803.83</v>
      </c>
      <c r="H4197" s="51" t="str">
        <f t="shared" si="4"/>
        <v>₹49,400.32</v>
      </c>
      <c r="I4197" s="51" t="str">
        <f>142737.38-H4197</f>
        <v>₹93,337.06</v>
      </c>
    </row>
    <row r="4198" ht="15.75" customHeight="1">
      <c r="A4198" s="53" t="s">
        <v>4282</v>
      </c>
      <c r="B4198" s="53" t="s">
        <v>51</v>
      </c>
      <c r="C4198" s="53" t="s">
        <v>18</v>
      </c>
      <c r="D4198" s="54">
        <v>164690.91</v>
      </c>
      <c r="E4198" s="54" t="str">
        <f t="shared" si="1"/>
        <v>₹1,976,290.92</v>
      </c>
      <c r="F4198" s="55" t="str">
        <f t="shared" si="2"/>
        <v>30.0%</v>
      </c>
      <c r="G4198" s="54" t="str">
        <f t="shared" si="3"/>
        <v>₹592,887.28</v>
      </c>
      <c r="H4198" s="54" t="str">
        <f t="shared" si="4"/>
        <v>₹49,407.27</v>
      </c>
      <c r="I4198" s="54" t="str">
        <f>142757.16-H4198</f>
        <v>₹93,349.89</v>
      </c>
    </row>
    <row r="4199" ht="15.75" customHeight="1">
      <c r="A4199" s="50" t="s">
        <v>4283</v>
      </c>
      <c r="B4199" s="50" t="s">
        <v>25</v>
      </c>
      <c r="C4199" s="50" t="s">
        <v>14</v>
      </c>
      <c r="D4199" s="51">
        <v>164714.09</v>
      </c>
      <c r="E4199" s="51" t="str">
        <f t="shared" si="1"/>
        <v>₹1,976,569.08</v>
      </c>
      <c r="F4199" s="52" t="str">
        <f t="shared" si="2"/>
        <v>30.0%</v>
      </c>
      <c r="G4199" s="51" t="str">
        <f t="shared" si="3"/>
        <v>₹592,970.72</v>
      </c>
      <c r="H4199" s="51" t="str">
        <f t="shared" si="4"/>
        <v>₹49,414.23</v>
      </c>
      <c r="I4199" s="51" t="str">
        <f>142776.94-H4199</f>
        <v>₹93,362.71</v>
      </c>
    </row>
    <row r="4200" ht="15.75" customHeight="1">
      <c r="A4200" s="53" t="s">
        <v>4284</v>
      </c>
      <c r="B4200" s="53" t="s">
        <v>51</v>
      </c>
      <c r="C4200" s="53" t="s">
        <v>14</v>
      </c>
      <c r="D4200" s="54">
        <v>164737.27</v>
      </c>
      <c r="E4200" s="54" t="str">
        <f t="shared" si="1"/>
        <v>₹1,976,847.24</v>
      </c>
      <c r="F4200" s="55" t="str">
        <f t="shared" si="2"/>
        <v>30.0%</v>
      </c>
      <c r="G4200" s="54" t="str">
        <f t="shared" si="3"/>
        <v>₹593,054.17</v>
      </c>
      <c r="H4200" s="54" t="str">
        <f t="shared" si="4"/>
        <v>₹49,421.18</v>
      </c>
      <c r="I4200" s="54" t="str">
        <f>142796.73-H4200</f>
        <v>₹93,375.55</v>
      </c>
    </row>
    <row r="4201" ht="15.75" customHeight="1">
      <c r="A4201" s="50" t="s">
        <v>4285</v>
      </c>
      <c r="B4201" s="50" t="s">
        <v>13</v>
      </c>
      <c r="C4201" s="50" t="s">
        <v>18</v>
      </c>
      <c r="D4201" s="51">
        <v>164760.45</v>
      </c>
      <c r="E4201" s="51" t="str">
        <f t="shared" si="1"/>
        <v>₹1,977,125.40</v>
      </c>
      <c r="F4201" s="52" t="str">
        <f t="shared" si="2"/>
        <v>30.0%</v>
      </c>
      <c r="G4201" s="51" t="str">
        <f t="shared" si="3"/>
        <v>₹593,137.62</v>
      </c>
      <c r="H4201" s="51" t="str">
        <f t="shared" si="4"/>
        <v>₹49,428.14</v>
      </c>
      <c r="I4201" s="51" t="str">
        <f>142816.51-H4201</f>
        <v>₹93,388.38</v>
      </c>
    </row>
    <row r="4202" ht="15.75" customHeight="1">
      <c r="A4202" s="53" t="s">
        <v>4286</v>
      </c>
      <c r="B4202" s="53" t="s">
        <v>13</v>
      </c>
      <c r="C4202" s="53" t="s">
        <v>54</v>
      </c>
      <c r="D4202" s="54">
        <v>164783.62</v>
      </c>
      <c r="E4202" s="54" t="str">
        <f t="shared" si="1"/>
        <v>₹1,977,403.44</v>
      </c>
      <c r="F4202" s="55" t="str">
        <f t="shared" si="2"/>
        <v>30.0%</v>
      </c>
      <c r="G4202" s="54" t="str">
        <f t="shared" si="3"/>
        <v>₹593,221.03</v>
      </c>
      <c r="H4202" s="54" t="str">
        <f t="shared" si="4"/>
        <v>₹49,435.09</v>
      </c>
      <c r="I4202" s="54" t="str">
        <f>142836.28-H4202</f>
        <v>₹93,401.19</v>
      </c>
    </row>
    <row r="4203" ht="15.75" customHeight="1">
      <c r="A4203" s="50" t="s">
        <v>4287</v>
      </c>
      <c r="B4203" s="50" t="s">
        <v>29</v>
      </c>
      <c r="C4203" s="50" t="s">
        <v>37</v>
      </c>
      <c r="D4203" s="51">
        <v>164806.8</v>
      </c>
      <c r="E4203" s="51" t="str">
        <f t="shared" si="1"/>
        <v>₹1,977,681.60</v>
      </c>
      <c r="F4203" s="52" t="str">
        <f t="shared" si="2"/>
        <v>30.0%</v>
      </c>
      <c r="G4203" s="51" t="str">
        <f t="shared" si="3"/>
        <v>₹593,304.48</v>
      </c>
      <c r="H4203" s="51" t="str">
        <f t="shared" si="4"/>
        <v>₹49,442.04</v>
      </c>
      <c r="I4203" s="51" t="str">
        <f>142856.06-H4203</f>
        <v>₹93,414.02</v>
      </c>
    </row>
    <row r="4204" ht="15.75" customHeight="1">
      <c r="A4204" s="53" t="s">
        <v>4288</v>
      </c>
      <c r="B4204" s="53" t="s">
        <v>13</v>
      </c>
      <c r="C4204" s="53" t="s">
        <v>18</v>
      </c>
      <c r="D4204" s="54">
        <v>164829.98</v>
      </c>
      <c r="E4204" s="54" t="str">
        <f t="shared" si="1"/>
        <v>₹1,977,959.76</v>
      </c>
      <c r="F4204" s="55" t="str">
        <f t="shared" si="2"/>
        <v>30.0%</v>
      </c>
      <c r="G4204" s="54" t="str">
        <f t="shared" si="3"/>
        <v>₹593,387.93</v>
      </c>
      <c r="H4204" s="54" t="str">
        <f t="shared" si="4"/>
        <v>₹49,448.99</v>
      </c>
      <c r="I4204" s="54" t="str">
        <f>142875.85-H4204</f>
        <v>₹93,426.86</v>
      </c>
    </row>
    <row r="4205" ht="15.75" customHeight="1">
      <c r="A4205" s="50" t="s">
        <v>4289</v>
      </c>
      <c r="B4205" s="50" t="s">
        <v>53</v>
      </c>
      <c r="C4205" s="50" t="s">
        <v>54</v>
      </c>
      <c r="D4205" s="51">
        <v>164853.16</v>
      </c>
      <c r="E4205" s="51" t="str">
        <f t="shared" si="1"/>
        <v>₹1,978,237.92</v>
      </c>
      <c r="F4205" s="52" t="str">
        <f t="shared" si="2"/>
        <v>30.0%</v>
      </c>
      <c r="G4205" s="51" t="str">
        <f t="shared" si="3"/>
        <v>₹593,471.38</v>
      </c>
      <c r="H4205" s="51" t="str">
        <f t="shared" si="4"/>
        <v>₹49,455.95</v>
      </c>
      <c r="I4205" s="51" t="str">
        <f>142895.63-H4205</f>
        <v>₹93,439.68</v>
      </c>
    </row>
    <row r="4206" ht="15.75" customHeight="1">
      <c r="A4206" s="53" t="s">
        <v>4290</v>
      </c>
      <c r="B4206" s="53" t="s">
        <v>17</v>
      </c>
      <c r="C4206" s="53" t="s">
        <v>33</v>
      </c>
      <c r="D4206" s="54">
        <v>164876.33</v>
      </c>
      <c r="E4206" s="54" t="str">
        <f t="shared" si="1"/>
        <v>₹1,978,515.96</v>
      </c>
      <c r="F4206" s="55" t="str">
        <f t="shared" si="2"/>
        <v>30.0%</v>
      </c>
      <c r="G4206" s="54" t="str">
        <f t="shared" si="3"/>
        <v>₹593,554.79</v>
      </c>
      <c r="H4206" s="54" t="str">
        <f t="shared" si="4"/>
        <v>₹49,462.90</v>
      </c>
      <c r="I4206" s="54" t="str">
        <f>142915.4-H4206</f>
        <v>₹93,452.50</v>
      </c>
    </row>
    <row r="4207" ht="15.75" customHeight="1">
      <c r="A4207" s="50" t="s">
        <v>4291</v>
      </c>
      <c r="B4207" s="50" t="s">
        <v>17</v>
      </c>
      <c r="C4207" s="50" t="s">
        <v>30</v>
      </c>
      <c r="D4207" s="51">
        <v>164899.51</v>
      </c>
      <c r="E4207" s="51" t="str">
        <f t="shared" si="1"/>
        <v>₹1,978,794.12</v>
      </c>
      <c r="F4207" s="52" t="str">
        <f t="shared" si="2"/>
        <v>30.0%</v>
      </c>
      <c r="G4207" s="51" t="str">
        <f t="shared" si="3"/>
        <v>₹593,638.24</v>
      </c>
      <c r="H4207" s="51" t="str">
        <f t="shared" si="4"/>
        <v>₹49,469.85</v>
      </c>
      <c r="I4207" s="51" t="str">
        <f>142935.18-H4207</f>
        <v>₹93,465.33</v>
      </c>
    </row>
    <row r="4208" ht="15.75" customHeight="1">
      <c r="A4208" s="53" t="s">
        <v>4292</v>
      </c>
      <c r="B4208" s="53" t="s">
        <v>36</v>
      </c>
      <c r="C4208" s="53" t="s">
        <v>26</v>
      </c>
      <c r="D4208" s="54">
        <v>164922.69</v>
      </c>
      <c r="E4208" s="54" t="str">
        <f t="shared" si="1"/>
        <v>₹1,979,072.28</v>
      </c>
      <c r="F4208" s="55" t="str">
        <f t="shared" si="2"/>
        <v>30.0%</v>
      </c>
      <c r="G4208" s="54" t="str">
        <f t="shared" si="3"/>
        <v>₹593,721.68</v>
      </c>
      <c r="H4208" s="54" t="str">
        <f t="shared" si="4"/>
        <v>₹49,476.81</v>
      </c>
      <c r="I4208" s="54" t="str">
        <f>142954.97-H4208</f>
        <v>₹93,478.16</v>
      </c>
    </row>
    <row r="4209" ht="15.75" customHeight="1">
      <c r="A4209" s="50" t="s">
        <v>4293</v>
      </c>
      <c r="B4209" s="50" t="s">
        <v>53</v>
      </c>
      <c r="C4209" s="50" t="s">
        <v>54</v>
      </c>
      <c r="D4209" s="51">
        <v>140848.92</v>
      </c>
      <c r="E4209" s="51" t="str">
        <f t="shared" si="1"/>
        <v>₹1,690,187.04</v>
      </c>
      <c r="F4209" s="52" t="str">
        <f t="shared" si="2"/>
        <v>30.0%</v>
      </c>
      <c r="G4209" s="51" t="str">
        <f t="shared" si="3"/>
        <v>₹507,056.11</v>
      </c>
      <c r="H4209" s="51" t="str">
        <f t="shared" si="4"/>
        <v>₹42,254.68</v>
      </c>
      <c r="I4209" s="51" t="str">
        <f>118871-H4209</f>
        <v>₹76,616.32</v>
      </c>
    </row>
    <row r="4210" ht="15.75" customHeight="1">
      <c r="A4210" s="53" t="s">
        <v>4294</v>
      </c>
      <c r="B4210" s="53" t="s">
        <v>25</v>
      </c>
      <c r="C4210" s="53" t="s">
        <v>37</v>
      </c>
      <c r="D4210" s="54">
        <v>165015.4</v>
      </c>
      <c r="E4210" s="54" t="str">
        <f t="shared" si="1"/>
        <v>₹1,980,184.80</v>
      </c>
      <c r="F4210" s="55" t="str">
        <f t="shared" si="2"/>
        <v>30.0%</v>
      </c>
      <c r="G4210" s="54" t="str">
        <f t="shared" si="3"/>
        <v>₹594,055.44</v>
      </c>
      <c r="H4210" s="54" t="str">
        <f t="shared" si="4"/>
        <v>₹49,504.62</v>
      </c>
      <c r="I4210" s="54" t="str">
        <f>143034.09-H4210</f>
        <v>₹93,529.47</v>
      </c>
    </row>
    <row r="4211" ht="15.75" customHeight="1">
      <c r="A4211" s="50" t="s">
        <v>4295</v>
      </c>
      <c r="B4211" s="50" t="s">
        <v>53</v>
      </c>
      <c r="C4211" s="50" t="s">
        <v>33</v>
      </c>
      <c r="D4211" s="51">
        <v>165038.58</v>
      </c>
      <c r="E4211" s="51" t="str">
        <f t="shared" si="1"/>
        <v>₹1,980,462.96</v>
      </c>
      <c r="F4211" s="52" t="str">
        <f t="shared" si="2"/>
        <v>30.0%</v>
      </c>
      <c r="G4211" s="51" t="str">
        <f t="shared" si="3"/>
        <v>₹594,138.89</v>
      </c>
      <c r="H4211" s="51" t="str">
        <f t="shared" si="4"/>
        <v>₹49,511.57</v>
      </c>
      <c r="I4211" s="51" t="str">
        <f>143053.87-H4211</f>
        <v>₹93,542.30</v>
      </c>
    </row>
    <row r="4212" ht="15.75" customHeight="1">
      <c r="A4212" s="53" t="s">
        <v>4296</v>
      </c>
      <c r="B4212" s="53" t="s">
        <v>51</v>
      </c>
      <c r="C4212" s="53" t="s">
        <v>14</v>
      </c>
      <c r="D4212" s="54">
        <v>165061.76</v>
      </c>
      <c r="E4212" s="54" t="str">
        <f t="shared" si="1"/>
        <v>₹1,980,741.12</v>
      </c>
      <c r="F4212" s="55" t="str">
        <f t="shared" si="2"/>
        <v>30.0%</v>
      </c>
      <c r="G4212" s="54" t="str">
        <f t="shared" si="3"/>
        <v>₹594,222.34</v>
      </c>
      <c r="H4212" s="54" t="str">
        <f t="shared" si="4"/>
        <v>₹49,518.53</v>
      </c>
      <c r="I4212" s="54" t="str">
        <f>143073.65-H4212</f>
        <v>₹93,555.12</v>
      </c>
    </row>
    <row r="4213" ht="15.75" customHeight="1">
      <c r="A4213" s="50" t="s">
        <v>4297</v>
      </c>
      <c r="B4213" s="50" t="s">
        <v>13</v>
      </c>
      <c r="C4213" s="50" t="s">
        <v>14</v>
      </c>
      <c r="D4213" s="51">
        <v>165084.93</v>
      </c>
      <c r="E4213" s="51" t="str">
        <f t="shared" si="1"/>
        <v>₹1,981,019.16</v>
      </c>
      <c r="F4213" s="52" t="str">
        <f t="shared" si="2"/>
        <v>30.0%</v>
      </c>
      <c r="G4213" s="51" t="str">
        <f t="shared" si="3"/>
        <v>₹594,305.75</v>
      </c>
      <c r="H4213" s="51" t="str">
        <f t="shared" si="4"/>
        <v>₹49,525.48</v>
      </c>
      <c r="I4213" s="51" t="str">
        <f>143093.42-H4213</f>
        <v>₹93,567.94</v>
      </c>
    </row>
    <row r="4214" ht="15.75" customHeight="1">
      <c r="A4214" s="53" t="s">
        <v>4298</v>
      </c>
      <c r="B4214" s="53" t="s">
        <v>36</v>
      </c>
      <c r="C4214" s="53" t="s">
        <v>30</v>
      </c>
      <c r="D4214" s="54">
        <v>165108.11</v>
      </c>
      <c r="E4214" s="54" t="str">
        <f t="shared" si="1"/>
        <v>₹1,981,297.32</v>
      </c>
      <c r="F4214" s="55" t="str">
        <f t="shared" si="2"/>
        <v>30.0%</v>
      </c>
      <c r="G4214" s="54" t="str">
        <f t="shared" si="3"/>
        <v>₹594,389.20</v>
      </c>
      <c r="H4214" s="54" t="str">
        <f t="shared" si="4"/>
        <v>₹49,532.43</v>
      </c>
      <c r="I4214" s="54" t="str">
        <f>143113.21-H4214</f>
        <v>₹93,580.78</v>
      </c>
    </row>
    <row r="4215" ht="15.75" customHeight="1">
      <c r="A4215" s="50" t="s">
        <v>4299</v>
      </c>
      <c r="B4215" s="50" t="s">
        <v>51</v>
      </c>
      <c r="C4215" s="50" t="s">
        <v>33</v>
      </c>
      <c r="D4215" s="51">
        <v>165131.29</v>
      </c>
      <c r="E4215" s="51" t="str">
        <f t="shared" si="1"/>
        <v>₹1,981,575.48</v>
      </c>
      <c r="F4215" s="52" t="str">
        <f t="shared" si="2"/>
        <v>30.0%</v>
      </c>
      <c r="G4215" s="51" t="str">
        <f t="shared" si="3"/>
        <v>₹594,472.64</v>
      </c>
      <c r="H4215" s="51" t="str">
        <f t="shared" si="4"/>
        <v>₹49,539.39</v>
      </c>
      <c r="I4215" s="51" t="str">
        <f>143132.99-H4215</f>
        <v>₹93,593.60</v>
      </c>
    </row>
    <row r="4216" ht="15.75" customHeight="1">
      <c r="A4216" s="53" t="s">
        <v>4300</v>
      </c>
      <c r="B4216" s="53" t="s">
        <v>17</v>
      </c>
      <c r="C4216" s="53" t="s">
        <v>14</v>
      </c>
      <c r="D4216" s="54">
        <v>165154.47</v>
      </c>
      <c r="E4216" s="54" t="str">
        <f t="shared" si="1"/>
        <v>₹1,981,853.64</v>
      </c>
      <c r="F4216" s="55" t="str">
        <f t="shared" si="2"/>
        <v>30.0%</v>
      </c>
      <c r="G4216" s="54" t="str">
        <f t="shared" si="3"/>
        <v>₹594,556.09</v>
      </c>
      <c r="H4216" s="54" t="str">
        <f t="shared" si="4"/>
        <v>₹49,546.34</v>
      </c>
      <c r="I4216" s="54" t="str">
        <f>143152.77-H4216</f>
        <v>₹93,606.43</v>
      </c>
    </row>
    <row r="4217" ht="15.75" customHeight="1">
      <c r="A4217" s="50" t="s">
        <v>4301</v>
      </c>
      <c r="B4217" s="50" t="s">
        <v>36</v>
      </c>
      <c r="C4217" s="50" t="s">
        <v>30</v>
      </c>
      <c r="D4217" s="51">
        <v>165177.64</v>
      </c>
      <c r="E4217" s="51" t="str">
        <f t="shared" si="1"/>
        <v>₹1,982,131.68</v>
      </c>
      <c r="F4217" s="52" t="str">
        <f t="shared" si="2"/>
        <v>30.0%</v>
      </c>
      <c r="G4217" s="51" t="str">
        <f t="shared" si="3"/>
        <v>₹594,639.50</v>
      </c>
      <c r="H4217" s="51" t="str">
        <f t="shared" si="4"/>
        <v>₹49,553.29</v>
      </c>
      <c r="I4217" s="51" t="str">
        <f>143172.54-H4217</f>
        <v>₹93,619.25</v>
      </c>
    </row>
    <row r="4218" ht="15.75" customHeight="1">
      <c r="A4218" s="53" t="s">
        <v>4302</v>
      </c>
      <c r="B4218" s="53" t="s">
        <v>13</v>
      </c>
      <c r="C4218" s="53" t="s">
        <v>37</v>
      </c>
      <c r="D4218" s="54">
        <v>165200.82</v>
      </c>
      <c r="E4218" s="54" t="str">
        <f t="shared" si="1"/>
        <v>₹1,982,409.84</v>
      </c>
      <c r="F4218" s="55" t="str">
        <f t="shared" si="2"/>
        <v>30.0%</v>
      </c>
      <c r="G4218" s="54" t="str">
        <f t="shared" si="3"/>
        <v>₹594,722.95</v>
      </c>
      <c r="H4218" s="54" t="str">
        <f t="shared" si="4"/>
        <v>₹49,560.25</v>
      </c>
      <c r="I4218" s="54" t="str">
        <f>143192.33-H4218</f>
        <v>₹93,632.08</v>
      </c>
    </row>
    <row r="4219" ht="15.75" customHeight="1">
      <c r="A4219" s="50" t="s">
        <v>4303</v>
      </c>
      <c r="B4219" s="50" t="s">
        <v>25</v>
      </c>
      <c r="C4219" s="50" t="s">
        <v>33</v>
      </c>
      <c r="D4219" s="51">
        <v>165224.0</v>
      </c>
      <c r="E4219" s="51" t="str">
        <f t="shared" si="1"/>
        <v>₹1,982,688.00</v>
      </c>
      <c r="F4219" s="52" t="str">
        <f t="shared" si="2"/>
        <v>30.0%</v>
      </c>
      <c r="G4219" s="51" t="str">
        <f t="shared" si="3"/>
        <v>₹594,806.40</v>
      </c>
      <c r="H4219" s="51" t="str">
        <f t="shared" si="4"/>
        <v>₹49,567.20</v>
      </c>
      <c r="I4219" s="51" t="str">
        <f>143212.11-H4219</f>
        <v>₹93,644.91</v>
      </c>
    </row>
    <row r="4220" ht="15.75" customHeight="1">
      <c r="A4220" s="53" t="s">
        <v>4304</v>
      </c>
      <c r="B4220" s="53" t="s">
        <v>25</v>
      </c>
      <c r="C4220" s="53" t="s">
        <v>54</v>
      </c>
      <c r="D4220" s="54">
        <v>165247.18</v>
      </c>
      <c r="E4220" s="54" t="str">
        <f t="shared" si="1"/>
        <v>₹1,982,966.16</v>
      </c>
      <c r="F4220" s="55" t="str">
        <f t="shared" si="2"/>
        <v>30.0%</v>
      </c>
      <c r="G4220" s="54" t="str">
        <f t="shared" si="3"/>
        <v>₹594,889.85</v>
      </c>
      <c r="H4220" s="54" t="str">
        <f t="shared" si="4"/>
        <v>₹49,574.15</v>
      </c>
      <c r="I4220" s="54" t="str">
        <f>143231.89-H4220</f>
        <v>₹93,657.74</v>
      </c>
    </row>
    <row r="4221" ht="15.75" customHeight="1">
      <c r="A4221" s="50" t="s">
        <v>4305</v>
      </c>
      <c r="B4221" s="50" t="s">
        <v>13</v>
      </c>
      <c r="C4221" s="50" t="s">
        <v>14</v>
      </c>
      <c r="D4221" s="51">
        <v>165270.35</v>
      </c>
      <c r="E4221" s="51" t="str">
        <f t="shared" si="1"/>
        <v>₹1,983,244.20</v>
      </c>
      <c r="F4221" s="52" t="str">
        <f t="shared" si="2"/>
        <v>30.0%</v>
      </c>
      <c r="G4221" s="51" t="str">
        <f t="shared" si="3"/>
        <v>₹594,973.26</v>
      </c>
      <c r="H4221" s="51" t="str">
        <f t="shared" si="4"/>
        <v>₹49,581.11</v>
      </c>
      <c r="I4221" s="51" t="str">
        <f>143251.66-H4221</f>
        <v>₹93,670.56</v>
      </c>
    </row>
    <row r="4222" ht="15.75" customHeight="1">
      <c r="A4222" s="53" t="s">
        <v>4306</v>
      </c>
      <c r="B4222" s="53" t="s">
        <v>36</v>
      </c>
      <c r="C4222" s="53" t="s">
        <v>18</v>
      </c>
      <c r="D4222" s="54">
        <v>165293.53</v>
      </c>
      <c r="E4222" s="54" t="str">
        <f t="shared" si="1"/>
        <v>₹1,983,522.36</v>
      </c>
      <c r="F4222" s="55" t="str">
        <f t="shared" si="2"/>
        <v>30.0%</v>
      </c>
      <c r="G4222" s="54" t="str">
        <f t="shared" si="3"/>
        <v>₹595,056.71</v>
      </c>
      <c r="H4222" s="54" t="str">
        <f t="shared" si="4"/>
        <v>₹49,588.06</v>
      </c>
      <c r="I4222" s="54" t="str">
        <f>143271.45-H4222</f>
        <v>₹93,683.39</v>
      </c>
    </row>
    <row r="4223" ht="15.75" customHeight="1">
      <c r="A4223" s="50" t="s">
        <v>4307</v>
      </c>
      <c r="B4223" s="50" t="s">
        <v>13</v>
      </c>
      <c r="C4223" s="50" t="s">
        <v>54</v>
      </c>
      <c r="D4223" s="51">
        <v>165316.71</v>
      </c>
      <c r="E4223" s="51" t="str">
        <f t="shared" si="1"/>
        <v>₹1,983,800.52</v>
      </c>
      <c r="F4223" s="52" t="str">
        <f t="shared" si="2"/>
        <v>30.0%</v>
      </c>
      <c r="G4223" s="51" t="str">
        <f t="shared" si="3"/>
        <v>₹595,140.16</v>
      </c>
      <c r="H4223" s="51" t="str">
        <f t="shared" si="4"/>
        <v>₹49,595.01</v>
      </c>
      <c r="I4223" s="51" t="str">
        <f>143291.23-H4223</f>
        <v>₹93,696.22</v>
      </c>
    </row>
    <row r="4224" ht="15.75" customHeight="1">
      <c r="A4224" s="53" t="s">
        <v>4308</v>
      </c>
      <c r="B4224" s="53" t="s">
        <v>53</v>
      </c>
      <c r="C4224" s="53" t="s">
        <v>26</v>
      </c>
      <c r="D4224" s="54">
        <v>165339.89</v>
      </c>
      <c r="E4224" s="54" t="str">
        <f t="shared" si="1"/>
        <v>₹1,984,078.68</v>
      </c>
      <c r="F4224" s="55" t="str">
        <f t="shared" si="2"/>
        <v>30.0%</v>
      </c>
      <c r="G4224" s="54" t="str">
        <f t="shared" si="3"/>
        <v>₹595,223.60</v>
      </c>
      <c r="H4224" s="54" t="str">
        <f t="shared" si="4"/>
        <v>₹49,601.97</v>
      </c>
      <c r="I4224" s="54" t="str">
        <f>143311.01-H4224</f>
        <v>₹93,709.04</v>
      </c>
    </row>
    <row r="4225" ht="15.75" customHeight="1">
      <c r="A4225" s="50" t="s">
        <v>4309</v>
      </c>
      <c r="B4225" s="50" t="s">
        <v>36</v>
      </c>
      <c r="C4225" s="50" t="s">
        <v>14</v>
      </c>
      <c r="D4225" s="51">
        <v>165363.07</v>
      </c>
      <c r="E4225" s="51" t="str">
        <f t="shared" si="1"/>
        <v>₹1,984,356.84</v>
      </c>
      <c r="F4225" s="52" t="str">
        <f t="shared" si="2"/>
        <v>30.0%</v>
      </c>
      <c r="G4225" s="51" t="str">
        <f t="shared" si="3"/>
        <v>₹595,307.05</v>
      </c>
      <c r="H4225" s="51" t="str">
        <f t="shared" si="4"/>
        <v>₹49,608.92</v>
      </c>
      <c r="I4225" s="51" t="str">
        <f>143330.79-H4225</f>
        <v>₹93,721.87</v>
      </c>
    </row>
    <row r="4226" ht="15.75" customHeight="1">
      <c r="A4226" s="53" t="s">
        <v>4310</v>
      </c>
      <c r="B4226" s="53" t="s">
        <v>13</v>
      </c>
      <c r="C4226" s="53" t="s">
        <v>37</v>
      </c>
      <c r="D4226" s="54">
        <v>165386.24</v>
      </c>
      <c r="E4226" s="54" t="str">
        <f t="shared" si="1"/>
        <v>₹1,984,634.88</v>
      </c>
      <c r="F4226" s="55" t="str">
        <f t="shared" si="2"/>
        <v>30.0%</v>
      </c>
      <c r="G4226" s="54" t="str">
        <f t="shared" si="3"/>
        <v>₹595,390.46</v>
      </c>
      <c r="H4226" s="54" t="str">
        <f t="shared" si="4"/>
        <v>₹49,615.87</v>
      </c>
      <c r="I4226" s="54" t="str">
        <f>143350.57-H4226</f>
        <v>₹93,734.70</v>
      </c>
    </row>
    <row r="4227" ht="15.75" customHeight="1">
      <c r="A4227" s="50" t="s">
        <v>4311</v>
      </c>
      <c r="B4227" s="50" t="s">
        <v>36</v>
      </c>
      <c r="C4227" s="50" t="s">
        <v>37</v>
      </c>
      <c r="D4227" s="51">
        <v>165409.42</v>
      </c>
      <c r="E4227" s="51" t="str">
        <f t="shared" si="1"/>
        <v>₹1,984,913.04</v>
      </c>
      <c r="F4227" s="52" t="str">
        <f t="shared" si="2"/>
        <v>30.0%</v>
      </c>
      <c r="G4227" s="51" t="str">
        <f t="shared" si="3"/>
        <v>₹595,473.91</v>
      </c>
      <c r="H4227" s="51" t="str">
        <f t="shared" si="4"/>
        <v>₹49,622.83</v>
      </c>
      <c r="I4227" s="51" t="str">
        <f>143370.35-H4227</f>
        <v>₹93,747.52</v>
      </c>
    </row>
    <row r="4228" ht="15.75" customHeight="1">
      <c r="A4228" s="53" t="s">
        <v>4312</v>
      </c>
      <c r="B4228" s="53" t="s">
        <v>53</v>
      </c>
      <c r="C4228" s="53" t="s">
        <v>26</v>
      </c>
      <c r="D4228" s="54">
        <v>165432.6</v>
      </c>
      <c r="E4228" s="54" t="str">
        <f t="shared" si="1"/>
        <v>₹1,985,191.20</v>
      </c>
      <c r="F4228" s="55" t="str">
        <f t="shared" si="2"/>
        <v>30.0%</v>
      </c>
      <c r="G4228" s="54" t="str">
        <f t="shared" si="3"/>
        <v>₹595,557.36</v>
      </c>
      <c r="H4228" s="54" t="str">
        <f t="shared" si="4"/>
        <v>₹49,629.78</v>
      </c>
      <c r="I4228" s="54" t="str">
        <f>143390.13-H4228</f>
        <v>₹93,760.35</v>
      </c>
    </row>
    <row r="4229" ht="15.75" customHeight="1">
      <c r="A4229" s="50" t="s">
        <v>4313</v>
      </c>
      <c r="B4229" s="50" t="s">
        <v>36</v>
      </c>
      <c r="C4229" s="50" t="s">
        <v>14</v>
      </c>
      <c r="D4229" s="51">
        <v>165455.78</v>
      </c>
      <c r="E4229" s="51" t="str">
        <f t="shared" si="1"/>
        <v>₹1,985,469.36</v>
      </c>
      <c r="F4229" s="52" t="str">
        <f t="shared" si="2"/>
        <v>30.0%</v>
      </c>
      <c r="G4229" s="51" t="str">
        <f t="shared" si="3"/>
        <v>₹595,640.81</v>
      </c>
      <c r="H4229" s="51" t="str">
        <f t="shared" si="4"/>
        <v>₹49,636.73</v>
      </c>
      <c r="I4229" s="51" t="str">
        <f>143409.91-H4229</f>
        <v>₹93,773.18</v>
      </c>
    </row>
    <row r="4230" ht="15.75" customHeight="1">
      <c r="A4230" s="53" t="s">
        <v>4314</v>
      </c>
      <c r="B4230" s="53" t="s">
        <v>29</v>
      </c>
      <c r="C4230" s="53" t="s">
        <v>26</v>
      </c>
      <c r="D4230" s="54">
        <v>165478.95</v>
      </c>
      <c r="E4230" s="54" t="str">
        <f t="shared" si="1"/>
        <v>₹1,985,747.40</v>
      </c>
      <c r="F4230" s="55" t="str">
        <f t="shared" si="2"/>
        <v>30.0%</v>
      </c>
      <c r="G4230" s="54" t="str">
        <f t="shared" si="3"/>
        <v>₹595,724.22</v>
      </c>
      <c r="H4230" s="54" t="str">
        <f t="shared" si="4"/>
        <v>₹49,643.69</v>
      </c>
      <c r="I4230" s="54" t="str">
        <f>143429.69-H4230</f>
        <v>₹93,786.01</v>
      </c>
    </row>
    <row r="4231" ht="15.75" customHeight="1">
      <c r="A4231" s="50" t="s">
        <v>4315</v>
      </c>
      <c r="B4231" s="50" t="s">
        <v>13</v>
      </c>
      <c r="C4231" s="50" t="s">
        <v>37</v>
      </c>
      <c r="D4231" s="51">
        <v>165502.13</v>
      </c>
      <c r="E4231" s="51" t="str">
        <f t="shared" si="1"/>
        <v>₹1,986,025.56</v>
      </c>
      <c r="F4231" s="52" t="str">
        <f t="shared" si="2"/>
        <v>30.0%</v>
      </c>
      <c r="G4231" s="51" t="str">
        <f t="shared" si="3"/>
        <v>₹595,807.67</v>
      </c>
      <c r="H4231" s="51" t="str">
        <f t="shared" si="4"/>
        <v>₹49,650.64</v>
      </c>
      <c r="I4231" s="51" t="str">
        <f>143449.47-H4231</f>
        <v>₹93,798.83</v>
      </c>
    </row>
    <row r="4232" ht="15.75" customHeight="1">
      <c r="A4232" s="53" t="s">
        <v>4316</v>
      </c>
      <c r="B4232" s="53" t="s">
        <v>13</v>
      </c>
      <c r="C4232" s="53" t="s">
        <v>18</v>
      </c>
      <c r="D4232" s="54">
        <v>165525.31</v>
      </c>
      <c r="E4232" s="54" t="str">
        <f t="shared" si="1"/>
        <v>₹1,986,303.72</v>
      </c>
      <c r="F4232" s="55" t="str">
        <f t="shared" si="2"/>
        <v>30.0%</v>
      </c>
      <c r="G4232" s="54" t="str">
        <f t="shared" si="3"/>
        <v>₹595,891.12</v>
      </c>
      <c r="H4232" s="54" t="str">
        <f t="shared" si="4"/>
        <v>₹49,657.59</v>
      </c>
      <c r="I4232" s="54" t="str">
        <f>143469.25-H4232</f>
        <v>₹93,811.66</v>
      </c>
    </row>
    <row r="4233" ht="15.75" customHeight="1">
      <c r="A4233" s="50" t="s">
        <v>4317</v>
      </c>
      <c r="B4233" s="50" t="s">
        <v>36</v>
      </c>
      <c r="C4233" s="50" t="s">
        <v>54</v>
      </c>
      <c r="D4233" s="51">
        <v>139762.97</v>
      </c>
      <c r="E4233" s="51" t="str">
        <f t="shared" si="1"/>
        <v>₹1,677,155.64</v>
      </c>
      <c r="F4233" s="52" t="str">
        <f t="shared" si="2"/>
        <v>30.0%</v>
      </c>
      <c r="G4233" s="51" t="str">
        <f t="shared" si="3"/>
        <v>₹503,146.69</v>
      </c>
      <c r="H4233" s="51" t="str">
        <f t="shared" si="4"/>
        <v>₹41,928.89</v>
      </c>
      <c r="I4233" s="51" t="str">
        <f>117703.51-H4233</f>
        <v>₹75,774.62</v>
      </c>
    </row>
    <row r="4234" ht="15.75" customHeight="1">
      <c r="A4234" s="53" t="s">
        <v>4318</v>
      </c>
      <c r="B4234" s="53" t="s">
        <v>29</v>
      </c>
      <c r="C4234" s="53" t="s">
        <v>18</v>
      </c>
      <c r="D4234" s="54">
        <v>165571.66</v>
      </c>
      <c r="E4234" s="54" t="str">
        <f t="shared" si="1"/>
        <v>₹1,986,859.92</v>
      </c>
      <c r="F4234" s="55" t="str">
        <f t="shared" si="2"/>
        <v>30.0%</v>
      </c>
      <c r="G4234" s="54" t="str">
        <f t="shared" si="3"/>
        <v>₹596,057.98</v>
      </c>
      <c r="H4234" s="54" t="str">
        <f t="shared" si="4"/>
        <v>₹49,671.50</v>
      </c>
      <c r="I4234" s="54" t="str">
        <f>143508.81-H4234</f>
        <v>₹93,837.31</v>
      </c>
    </row>
    <row r="4235" ht="15.75" customHeight="1">
      <c r="A4235" s="50" t="s">
        <v>4319</v>
      </c>
      <c r="B4235" s="50" t="s">
        <v>53</v>
      </c>
      <c r="C4235" s="50" t="s">
        <v>37</v>
      </c>
      <c r="D4235" s="51">
        <v>165594.84</v>
      </c>
      <c r="E4235" s="51" t="str">
        <f t="shared" si="1"/>
        <v>₹1,987,138.08</v>
      </c>
      <c r="F4235" s="52" t="str">
        <f t="shared" si="2"/>
        <v>30.0%</v>
      </c>
      <c r="G4235" s="51" t="str">
        <f t="shared" si="3"/>
        <v>₹596,141.42</v>
      </c>
      <c r="H4235" s="51" t="str">
        <f t="shared" si="4"/>
        <v>₹49,678.45</v>
      </c>
      <c r="I4235" s="51" t="str">
        <f>143528.59-H4235</f>
        <v>₹93,850.14</v>
      </c>
    </row>
    <row r="4236" ht="15.75" customHeight="1">
      <c r="A4236" s="53" t="s">
        <v>4320</v>
      </c>
      <c r="B4236" s="53" t="s">
        <v>29</v>
      </c>
      <c r="C4236" s="53" t="s">
        <v>26</v>
      </c>
      <c r="D4236" s="54">
        <v>165618.02</v>
      </c>
      <c r="E4236" s="54" t="str">
        <f t="shared" si="1"/>
        <v>₹1,987,416.24</v>
      </c>
      <c r="F4236" s="55" t="str">
        <f t="shared" si="2"/>
        <v>30.0%</v>
      </c>
      <c r="G4236" s="54" t="str">
        <f t="shared" si="3"/>
        <v>₹596,224.87</v>
      </c>
      <c r="H4236" s="54" t="str">
        <f t="shared" si="4"/>
        <v>₹49,685.41</v>
      </c>
      <c r="I4236" s="54" t="str">
        <f>143548.37-H4236</f>
        <v>₹93,862.96</v>
      </c>
    </row>
    <row r="4237" ht="15.75" customHeight="1">
      <c r="A4237" s="50" t="s">
        <v>4321</v>
      </c>
      <c r="B4237" s="50" t="s">
        <v>25</v>
      </c>
      <c r="C4237" s="50" t="s">
        <v>26</v>
      </c>
      <c r="D4237" s="51">
        <v>165641.2</v>
      </c>
      <c r="E4237" s="51" t="str">
        <f t="shared" si="1"/>
        <v>₹1,987,694.40</v>
      </c>
      <c r="F4237" s="52" t="str">
        <f t="shared" si="2"/>
        <v>30.0%</v>
      </c>
      <c r="G4237" s="51" t="str">
        <f t="shared" si="3"/>
        <v>₹596,308.32</v>
      </c>
      <c r="H4237" s="51" t="str">
        <f t="shared" si="4"/>
        <v>₹49,692.36</v>
      </c>
      <c r="I4237" s="51" t="str">
        <f>143568.15-H4237</f>
        <v>₹93,875.79</v>
      </c>
    </row>
    <row r="4238" ht="15.75" customHeight="1">
      <c r="A4238" s="53" t="s">
        <v>4322</v>
      </c>
      <c r="B4238" s="53" t="s">
        <v>51</v>
      </c>
      <c r="C4238" s="53" t="s">
        <v>14</v>
      </c>
      <c r="D4238" s="54">
        <v>165664.38</v>
      </c>
      <c r="E4238" s="54" t="str">
        <f t="shared" si="1"/>
        <v>₹1,987,972.56</v>
      </c>
      <c r="F4238" s="55" t="str">
        <f t="shared" si="2"/>
        <v>30.0%</v>
      </c>
      <c r="G4238" s="54" t="str">
        <f t="shared" si="3"/>
        <v>₹596,391.77</v>
      </c>
      <c r="H4238" s="54" t="str">
        <f t="shared" si="4"/>
        <v>₹49,699.31</v>
      </c>
      <c r="I4238" s="54" t="str">
        <f>143587.93-H4238</f>
        <v>₹93,888.62</v>
      </c>
    </row>
    <row r="4239" ht="15.75" customHeight="1">
      <c r="A4239" s="50" t="s">
        <v>4323</v>
      </c>
      <c r="B4239" s="50" t="s">
        <v>53</v>
      </c>
      <c r="C4239" s="50" t="s">
        <v>30</v>
      </c>
      <c r="D4239" s="51">
        <v>165687.55</v>
      </c>
      <c r="E4239" s="51" t="str">
        <f t="shared" si="1"/>
        <v>₹1,988,250.60</v>
      </c>
      <c r="F4239" s="52" t="str">
        <f t="shared" si="2"/>
        <v>30.0%</v>
      </c>
      <c r="G4239" s="51" t="str">
        <f t="shared" si="3"/>
        <v>₹596,475.18</v>
      </c>
      <c r="H4239" s="51" t="str">
        <f t="shared" si="4"/>
        <v>₹49,706.27</v>
      </c>
      <c r="I4239" s="51" t="str">
        <f>143607.71-H4239</f>
        <v>₹93,901.45</v>
      </c>
    </row>
    <row r="4240" ht="15.75" customHeight="1">
      <c r="A4240" s="53" t="s">
        <v>4324</v>
      </c>
      <c r="B4240" s="53" t="s">
        <v>17</v>
      </c>
      <c r="C4240" s="53" t="s">
        <v>54</v>
      </c>
      <c r="D4240" s="54">
        <v>165710.73</v>
      </c>
      <c r="E4240" s="54" t="str">
        <f t="shared" si="1"/>
        <v>₹1,988,528.76</v>
      </c>
      <c r="F4240" s="55" t="str">
        <f t="shared" si="2"/>
        <v>30.0%</v>
      </c>
      <c r="G4240" s="54" t="str">
        <f t="shared" si="3"/>
        <v>₹596,558.63</v>
      </c>
      <c r="H4240" s="54" t="str">
        <f t="shared" si="4"/>
        <v>₹49,713.22</v>
      </c>
      <c r="I4240" s="54" t="str">
        <f>143627.49-H4240</f>
        <v>₹93,914.27</v>
      </c>
    </row>
    <row r="4241" ht="15.75" customHeight="1">
      <c r="A4241" s="50" t="s">
        <v>4325</v>
      </c>
      <c r="B4241" s="50" t="s">
        <v>17</v>
      </c>
      <c r="C4241" s="50" t="s">
        <v>33</v>
      </c>
      <c r="D4241" s="51">
        <v>165733.91</v>
      </c>
      <c r="E4241" s="51" t="str">
        <f t="shared" si="1"/>
        <v>₹1,988,806.92</v>
      </c>
      <c r="F4241" s="52" t="str">
        <f t="shared" si="2"/>
        <v>30.0%</v>
      </c>
      <c r="G4241" s="51" t="str">
        <f t="shared" si="3"/>
        <v>₹596,642.08</v>
      </c>
      <c r="H4241" s="51" t="str">
        <f t="shared" si="4"/>
        <v>₹49,720.17</v>
      </c>
      <c r="I4241" s="51" t="str">
        <f>143647.27-H4241</f>
        <v>₹93,927.10</v>
      </c>
    </row>
    <row r="4242" ht="15.75" customHeight="1">
      <c r="A4242" s="53" t="s">
        <v>4326</v>
      </c>
      <c r="B4242" s="53" t="s">
        <v>36</v>
      </c>
      <c r="C4242" s="53" t="s">
        <v>26</v>
      </c>
      <c r="D4242" s="54">
        <v>165757.09</v>
      </c>
      <c r="E4242" s="54" t="str">
        <f t="shared" si="1"/>
        <v>₹1,989,085.08</v>
      </c>
      <c r="F4242" s="55" t="str">
        <f t="shared" si="2"/>
        <v>30.0%</v>
      </c>
      <c r="G4242" s="54" t="str">
        <f t="shared" si="3"/>
        <v>₹596,725.52</v>
      </c>
      <c r="H4242" s="54" t="str">
        <f t="shared" si="4"/>
        <v>₹49,727.13</v>
      </c>
      <c r="I4242" s="54" t="str">
        <f>143667.05-H4242</f>
        <v>₹93,939.92</v>
      </c>
    </row>
    <row r="4243" ht="15.75" customHeight="1">
      <c r="A4243" s="50" t="s">
        <v>4327</v>
      </c>
      <c r="B4243" s="50" t="s">
        <v>17</v>
      </c>
      <c r="C4243" s="50" t="s">
        <v>54</v>
      </c>
      <c r="D4243" s="51">
        <v>165780.26</v>
      </c>
      <c r="E4243" s="51" t="str">
        <f t="shared" si="1"/>
        <v>₹1,989,363.12</v>
      </c>
      <c r="F4243" s="52" t="str">
        <f t="shared" si="2"/>
        <v>30.0%</v>
      </c>
      <c r="G4243" s="51" t="str">
        <f t="shared" si="3"/>
        <v>₹596,808.94</v>
      </c>
      <c r="H4243" s="51" t="str">
        <f t="shared" si="4"/>
        <v>₹49,734.08</v>
      </c>
      <c r="I4243" s="51" t="str">
        <f>143686.83-H4243</f>
        <v>₹93,952.75</v>
      </c>
    </row>
    <row r="4244" ht="15.75" customHeight="1">
      <c r="A4244" s="53" t="s">
        <v>4328</v>
      </c>
      <c r="B4244" s="53" t="s">
        <v>25</v>
      </c>
      <c r="C4244" s="53" t="s">
        <v>30</v>
      </c>
      <c r="D4244" s="54">
        <v>165803.44</v>
      </c>
      <c r="E4244" s="54" t="str">
        <f t="shared" si="1"/>
        <v>₹1,989,641.28</v>
      </c>
      <c r="F4244" s="55" t="str">
        <f t="shared" si="2"/>
        <v>30.0%</v>
      </c>
      <c r="G4244" s="54" t="str">
        <f t="shared" si="3"/>
        <v>₹596,892.38</v>
      </c>
      <c r="H4244" s="54" t="str">
        <f t="shared" si="4"/>
        <v>₹49,741.03</v>
      </c>
      <c r="I4244" s="54" t="str">
        <f>143706.61-H4244</f>
        <v>₹93,965.58</v>
      </c>
    </row>
    <row r="4245" ht="15.75" customHeight="1">
      <c r="A4245" s="50" t="s">
        <v>4329</v>
      </c>
      <c r="B4245" s="50" t="s">
        <v>53</v>
      </c>
      <c r="C4245" s="50" t="s">
        <v>18</v>
      </c>
      <c r="D4245" s="51">
        <v>165826.62</v>
      </c>
      <c r="E4245" s="51" t="str">
        <f t="shared" si="1"/>
        <v>₹1,989,919.44</v>
      </c>
      <c r="F4245" s="52" t="str">
        <f t="shared" si="2"/>
        <v>30.0%</v>
      </c>
      <c r="G4245" s="51" t="str">
        <f t="shared" si="3"/>
        <v>₹596,975.83</v>
      </c>
      <c r="H4245" s="51" t="str">
        <f t="shared" si="4"/>
        <v>₹49,747.99</v>
      </c>
      <c r="I4245" s="51" t="str">
        <f>143726.39-H4245</f>
        <v>₹93,978.40</v>
      </c>
    </row>
    <row r="4246" ht="15.75" customHeight="1">
      <c r="A4246" s="53" t="s">
        <v>4330</v>
      </c>
      <c r="B4246" s="53" t="s">
        <v>51</v>
      </c>
      <c r="C4246" s="53" t="s">
        <v>37</v>
      </c>
      <c r="D4246" s="54">
        <v>165849.8</v>
      </c>
      <c r="E4246" s="54" t="str">
        <f t="shared" si="1"/>
        <v>₹1,990,197.60</v>
      </c>
      <c r="F4246" s="55" t="str">
        <f t="shared" si="2"/>
        <v>30.0%</v>
      </c>
      <c r="G4246" s="54" t="str">
        <f t="shared" si="3"/>
        <v>₹597,059.28</v>
      </c>
      <c r="H4246" s="54" t="str">
        <f t="shared" si="4"/>
        <v>₹49,754.94</v>
      </c>
      <c r="I4246" s="54" t="str">
        <f>143746.17-H4246</f>
        <v>₹93,991.23</v>
      </c>
    </row>
    <row r="4247" ht="15.75" customHeight="1">
      <c r="A4247" s="50" t="s">
        <v>4331</v>
      </c>
      <c r="B4247" s="50" t="s">
        <v>29</v>
      </c>
      <c r="C4247" s="50" t="s">
        <v>37</v>
      </c>
      <c r="D4247" s="51">
        <v>165872.97</v>
      </c>
      <c r="E4247" s="51" t="str">
        <f t="shared" si="1"/>
        <v>₹1,990,475.64</v>
      </c>
      <c r="F4247" s="52" t="str">
        <f t="shared" si="2"/>
        <v>30.0%</v>
      </c>
      <c r="G4247" s="51" t="str">
        <f t="shared" si="3"/>
        <v>₹597,142.69</v>
      </c>
      <c r="H4247" s="51" t="str">
        <f t="shared" si="4"/>
        <v>₹49,761.89</v>
      </c>
      <c r="I4247" s="51" t="str">
        <f>143765.95-H4247</f>
        <v>₹94,004.06</v>
      </c>
    </row>
    <row r="4248" ht="15.75" customHeight="1">
      <c r="A4248" s="53" t="s">
        <v>4332</v>
      </c>
      <c r="B4248" s="53" t="s">
        <v>13</v>
      </c>
      <c r="C4248" s="53" t="s">
        <v>54</v>
      </c>
      <c r="D4248" s="54">
        <v>165896.15</v>
      </c>
      <c r="E4248" s="54" t="str">
        <f t="shared" si="1"/>
        <v>₹1,990,753.80</v>
      </c>
      <c r="F4248" s="55" t="str">
        <f t="shared" si="2"/>
        <v>30.0%</v>
      </c>
      <c r="G4248" s="54" t="str">
        <f t="shared" si="3"/>
        <v>₹597,226.14</v>
      </c>
      <c r="H4248" s="54" t="str">
        <f t="shared" si="4"/>
        <v>₹49,768.85</v>
      </c>
      <c r="I4248" s="54" t="str">
        <f>143785.73-H4248</f>
        <v>₹94,016.89</v>
      </c>
    </row>
    <row r="4249" ht="15.75" customHeight="1">
      <c r="A4249" s="50" t="s">
        <v>4333</v>
      </c>
      <c r="B4249" s="50" t="s">
        <v>53</v>
      </c>
      <c r="C4249" s="50" t="s">
        <v>33</v>
      </c>
      <c r="D4249" s="51">
        <v>165919.33</v>
      </c>
      <c r="E4249" s="51" t="str">
        <f t="shared" si="1"/>
        <v>₹1,991,031.96</v>
      </c>
      <c r="F4249" s="52" t="str">
        <f t="shared" si="2"/>
        <v>30.0%</v>
      </c>
      <c r="G4249" s="51" t="str">
        <f t="shared" si="3"/>
        <v>₹597,309.59</v>
      </c>
      <c r="H4249" s="51" t="str">
        <f t="shared" si="4"/>
        <v>₹49,775.80</v>
      </c>
      <c r="I4249" s="51" t="str">
        <f>143805.51-H4249</f>
        <v>₹94,029.71</v>
      </c>
    </row>
    <row r="4250" ht="15.75" customHeight="1">
      <c r="A4250" s="53" t="s">
        <v>4334</v>
      </c>
      <c r="B4250" s="53" t="s">
        <v>36</v>
      </c>
      <c r="C4250" s="53" t="s">
        <v>14</v>
      </c>
      <c r="D4250" s="54">
        <v>165942.51</v>
      </c>
      <c r="E4250" s="54" t="str">
        <f t="shared" si="1"/>
        <v>₹1,991,310.12</v>
      </c>
      <c r="F4250" s="55" t="str">
        <f t="shared" si="2"/>
        <v>30.0%</v>
      </c>
      <c r="G4250" s="54" t="str">
        <f t="shared" si="3"/>
        <v>₹597,393.04</v>
      </c>
      <c r="H4250" s="54" t="str">
        <f t="shared" si="4"/>
        <v>₹49,782.75</v>
      </c>
      <c r="I4250" s="54" t="str">
        <f>143825.29-H4250</f>
        <v>₹94,042.54</v>
      </c>
    </row>
    <row r="4251" ht="15.75" customHeight="1">
      <c r="A4251" s="50" t="s">
        <v>4335</v>
      </c>
      <c r="B4251" s="50" t="s">
        <v>53</v>
      </c>
      <c r="C4251" s="50" t="s">
        <v>33</v>
      </c>
      <c r="D4251" s="51">
        <v>165965.69</v>
      </c>
      <c r="E4251" s="51" t="str">
        <f t="shared" si="1"/>
        <v>₹1,991,588.28</v>
      </c>
      <c r="F4251" s="52" t="str">
        <f t="shared" si="2"/>
        <v>30.0%</v>
      </c>
      <c r="G4251" s="51" t="str">
        <f t="shared" si="3"/>
        <v>₹597,476.48</v>
      </c>
      <c r="H4251" s="51" t="str">
        <f t="shared" si="4"/>
        <v>₹49,789.71</v>
      </c>
      <c r="I4251" s="51" t="str">
        <f>143845.08-H4251</f>
        <v>₹94,055.37</v>
      </c>
    </row>
    <row r="4252" ht="15.75" customHeight="1">
      <c r="A4252" s="53" t="s">
        <v>4336</v>
      </c>
      <c r="B4252" s="53" t="s">
        <v>29</v>
      </c>
      <c r="C4252" s="53" t="s">
        <v>54</v>
      </c>
      <c r="D4252" s="54">
        <v>165988.86</v>
      </c>
      <c r="E4252" s="54" t="str">
        <f t="shared" si="1"/>
        <v>₹1,991,866.32</v>
      </c>
      <c r="F4252" s="55" t="str">
        <f t="shared" si="2"/>
        <v>30.0%</v>
      </c>
      <c r="G4252" s="54" t="str">
        <f t="shared" si="3"/>
        <v>₹597,559.90</v>
      </c>
      <c r="H4252" s="54" t="str">
        <f t="shared" si="4"/>
        <v>₹49,796.66</v>
      </c>
      <c r="I4252" s="54" t="str">
        <f>143864.85-H4252</f>
        <v>₹94,068.19</v>
      </c>
    </row>
    <row r="4253" ht="15.75" customHeight="1">
      <c r="A4253" s="50" t="s">
        <v>4337</v>
      </c>
      <c r="B4253" s="50" t="s">
        <v>53</v>
      </c>
      <c r="C4253" s="50" t="s">
        <v>30</v>
      </c>
      <c r="D4253" s="51">
        <v>166012.04</v>
      </c>
      <c r="E4253" s="51" t="str">
        <f t="shared" si="1"/>
        <v>₹1,992,144.48</v>
      </c>
      <c r="F4253" s="52" t="str">
        <f t="shared" si="2"/>
        <v>30.0%</v>
      </c>
      <c r="G4253" s="51" t="str">
        <f t="shared" si="3"/>
        <v>₹597,643.34</v>
      </c>
      <c r="H4253" s="51" t="str">
        <f t="shared" si="4"/>
        <v>₹49,803.61</v>
      </c>
      <c r="I4253" s="51" t="str">
        <f>143884.63-H4253</f>
        <v>₹94,081.02</v>
      </c>
    </row>
    <row r="4254" ht="15.75" customHeight="1">
      <c r="A4254" s="53" t="s">
        <v>4338</v>
      </c>
      <c r="B4254" s="53" t="s">
        <v>13</v>
      </c>
      <c r="C4254" s="53" t="s">
        <v>33</v>
      </c>
      <c r="D4254" s="54">
        <v>166035.22</v>
      </c>
      <c r="E4254" s="54" t="str">
        <f t="shared" si="1"/>
        <v>₹1,992,422.64</v>
      </c>
      <c r="F4254" s="55" t="str">
        <f t="shared" si="2"/>
        <v>30.0%</v>
      </c>
      <c r="G4254" s="54" t="str">
        <f t="shared" si="3"/>
        <v>₹597,726.79</v>
      </c>
      <c r="H4254" s="54" t="str">
        <f t="shared" si="4"/>
        <v>₹49,810.57</v>
      </c>
      <c r="I4254" s="54" t="str">
        <f>143904.41-H4254</f>
        <v>₹94,093.84</v>
      </c>
    </row>
    <row r="4255" ht="15.75" customHeight="1">
      <c r="A4255" s="50" t="s">
        <v>4339</v>
      </c>
      <c r="B4255" s="50" t="s">
        <v>25</v>
      </c>
      <c r="C4255" s="50" t="s">
        <v>14</v>
      </c>
      <c r="D4255" s="51">
        <v>166081.57</v>
      </c>
      <c r="E4255" s="51" t="str">
        <f t="shared" si="1"/>
        <v>₹1,992,978.84</v>
      </c>
      <c r="F4255" s="52" t="str">
        <f t="shared" si="2"/>
        <v>30.0%</v>
      </c>
      <c r="G4255" s="51" t="str">
        <f t="shared" si="3"/>
        <v>₹597,893.65</v>
      </c>
      <c r="H4255" s="51" t="str">
        <f t="shared" si="4"/>
        <v>₹49,824.47</v>
      </c>
      <c r="I4255" s="51" t="str">
        <f>143943.97-H4255</f>
        <v>₹94,119.50</v>
      </c>
    </row>
    <row r="4256" ht="15.75" customHeight="1">
      <c r="A4256" s="53" t="s">
        <v>4340</v>
      </c>
      <c r="B4256" s="53" t="s">
        <v>25</v>
      </c>
      <c r="C4256" s="53" t="s">
        <v>14</v>
      </c>
      <c r="D4256" s="54">
        <v>166104.75</v>
      </c>
      <c r="E4256" s="54" t="str">
        <f t="shared" si="1"/>
        <v>₹1,993,257.00</v>
      </c>
      <c r="F4256" s="55" t="str">
        <f t="shared" si="2"/>
        <v>30.0%</v>
      </c>
      <c r="G4256" s="54" t="str">
        <f t="shared" si="3"/>
        <v>₹597,977.10</v>
      </c>
      <c r="H4256" s="54" t="str">
        <f t="shared" si="4"/>
        <v>₹49,831.43</v>
      </c>
      <c r="I4256" s="54" t="str">
        <f>143963.75-H4256</f>
        <v>₹94,132.33</v>
      </c>
    </row>
    <row r="4257" ht="15.75" customHeight="1">
      <c r="A4257" s="50" t="s">
        <v>4341</v>
      </c>
      <c r="B4257" s="50" t="s">
        <v>17</v>
      </c>
      <c r="C4257" s="50" t="s">
        <v>14</v>
      </c>
      <c r="D4257" s="51">
        <v>166127.93</v>
      </c>
      <c r="E4257" s="51" t="str">
        <f t="shared" si="1"/>
        <v>₹1,993,535.16</v>
      </c>
      <c r="F4257" s="52" t="str">
        <f t="shared" si="2"/>
        <v>30.0%</v>
      </c>
      <c r="G4257" s="51" t="str">
        <f t="shared" si="3"/>
        <v>₹598,060.55</v>
      </c>
      <c r="H4257" s="51" t="str">
        <f t="shared" si="4"/>
        <v>₹49,838.38</v>
      </c>
      <c r="I4257" s="51" t="str">
        <f>143983.53-H4257</f>
        <v>₹94,145.15</v>
      </c>
    </row>
    <row r="4258" ht="15.75" customHeight="1">
      <c r="A4258" s="53" t="s">
        <v>4342</v>
      </c>
      <c r="B4258" s="53" t="s">
        <v>29</v>
      </c>
      <c r="C4258" s="53" t="s">
        <v>26</v>
      </c>
      <c r="D4258" s="54">
        <v>166151.11</v>
      </c>
      <c r="E4258" s="54" t="str">
        <f t="shared" si="1"/>
        <v>₹1,993,813.32</v>
      </c>
      <c r="F4258" s="55" t="str">
        <f t="shared" si="2"/>
        <v>30.0%</v>
      </c>
      <c r="G4258" s="54" t="str">
        <f t="shared" si="3"/>
        <v>₹598,144.00</v>
      </c>
      <c r="H4258" s="54" t="str">
        <f t="shared" si="4"/>
        <v>₹49,845.33</v>
      </c>
      <c r="I4258" s="54" t="str">
        <f>144003.32-H4258</f>
        <v>₹94,157.99</v>
      </c>
    </row>
    <row r="4259" ht="15.75" customHeight="1">
      <c r="A4259" s="50" t="s">
        <v>4343</v>
      </c>
      <c r="B4259" s="50" t="s">
        <v>13</v>
      </c>
      <c r="C4259" s="50" t="s">
        <v>18</v>
      </c>
      <c r="D4259" s="51">
        <v>166174.28</v>
      </c>
      <c r="E4259" s="51" t="str">
        <f t="shared" si="1"/>
        <v>₹1,994,091.36</v>
      </c>
      <c r="F4259" s="52" t="str">
        <f t="shared" si="2"/>
        <v>30.0%</v>
      </c>
      <c r="G4259" s="51" t="str">
        <f t="shared" si="3"/>
        <v>₹598,227.41</v>
      </c>
      <c r="H4259" s="51" t="str">
        <f t="shared" si="4"/>
        <v>₹49,852.28</v>
      </c>
      <c r="I4259" s="51" t="str">
        <f>144023.09-H4259</f>
        <v>₹94,170.81</v>
      </c>
    </row>
    <row r="4260" ht="15.75" customHeight="1">
      <c r="A4260" s="53" t="s">
        <v>4344</v>
      </c>
      <c r="B4260" s="53" t="s">
        <v>51</v>
      </c>
      <c r="C4260" s="53" t="s">
        <v>14</v>
      </c>
      <c r="D4260" s="54">
        <v>166197.46</v>
      </c>
      <c r="E4260" s="54" t="str">
        <f t="shared" si="1"/>
        <v>₹1,994,369.52</v>
      </c>
      <c r="F4260" s="55" t="str">
        <f t="shared" si="2"/>
        <v>30.0%</v>
      </c>
      <c r="G4260" s="54" t="str">
        <f t="shared" si="3"/>
        <v>₹598,310.86</v>
      </c>
      <c r="H4260" s="54" t="str">
        <f t="shared" si="4"/>
        <v>₹49,859.24</v>
      </c>
      <c r="I4260" s="54" t="str">
        <f>144042.87-H4260</f>
        <v>₹94,183.63</v>
      </c>
    </row>
    <row r="4261" ht="15.75" customHeight="1">
      <c r="A4261" s="50" t="s">
        <v>4345</v>
      </c>
      <c r="B4261" s="50" t="s">
        <v>17</v>
      </c>
      <c r="C4261" s="50" t="s">
        <v>26</v>
      </c>
      <c r="D4261" s="51">
        <v>166220.64</v>
      </c>
      <c r="E4261" s="51" t="str">
        <f t="shared" si="1"/>
        <v>₹1,994,647.68</v>
      </c>
      <c r="F4261" s="52" t="str">
        <f t="shared" si="2"/>
        <v>30.0%</v>
      </c>
      <c r="G4261" s="51" t="str">
        <f t="shared" si="3"/>
        <v>₹598,394.30</v>
      </c>
      <c r="H4261" s="51" t="str">
        <f t="shared" si="4"/>
        <v>₹49,866.19</v>
      </c>
      <c r="I4261" s="51" t="str">
        <f>144062.65-H4261</f>
        <v>₹94,196.46</v>
      </c>
    </row>
    <row r="4262" ht="15.75" customHeight="1">
      <c r="A4262" s="53" t="s">
        <v>4346</v>
      </c>
      <c r="B4262" s="53" t="s">
        <v>17</v>
      </c>
      <c r="C4262" s="53" t="s">
        <v>26</v>
      </c>
      <c r="D4262" s="54">
        <v>166243.82</v>
      </c>
      <c r="E4262" s="54" t="str">
        <f t="shared" si="1"/>
        <v>₹1,994,925.84</v>
      </c>
      <c r="F4262" s="55" t="str">
        <f t="shared" si="2"/>
        <v>30.0%</v>
      </c>
      <c r="G4262" s="54" t="str">
        <f t="shared" si="3"/>
        <v>₹598,477.75</v>
      </c>
      <c r="H4262" s="54" t="str">
        <f t="shared" si="4"/>
        <v>₹49,873.15</v>
      </c>
      <c r="I4262" s="54" t="str">
        <f>144082.44-H4262</f>
        <v>₹94,209.29</v>
      </c>
    </row>
    <row r="4263" ht="15.75" customHeight="1">
      <c r="A4263" s="50" t="s">
        <v>4347</v>
      </c>
      <c r="B4263" s="50" t="s">
        <v>25</v>
      </c>
      <c r="C4263" s="50" t="s">
        <v>26</v>
      </c>
      <c r="D4263" s="51">
        <v>166267.0</v>
      </c>
      <c r="E4263" s="51" t="str">
        <f t="shared" si="1"/>
        <v>₹1,995,204.00</v>
      </c>
      <c r="F4263" s="52" t="str">
        <f t="shared" si="2"/>
        <v>30.0%</v>
      </c>
      <c r="G4263" s="51" t="str">
        <f t="shared" si="3"/>
        <v>₹598,561.20</v>
      </c>
      <c r="H4263" s="51" t="str">
        <f t="shared" si="4"/>
        <v>₹49,880.10</v>
      </c>
      <c r="I4263" s="51" t="str">
        <f>144102.22-H4263</f>
        <v>₹94,222.12</v>
      </c>
    </row>
    <row r="4264" ht="15.75" customHeight="1">
      <c r="A4264" s="53" t="s">
        <v>4348</v>
      </c>
      <c r="B4264" s="53" t="s">
        <v>36</v>
      </c>
      <c r="C4264" s="53" t="s">
        <v>30</v>
      </c>
      <c r="D4264" s="54">
        <v>166290.17</v>
      </c>
      <c r="E4264" s="54" t="str">
        <f t="shared" si="1"/>
        <v>₹1,995,482.04</v>
      </c>
      <c r="F4264" s="55" t="str">
        <f t="shared" si="2"/>
        <v>30.0%</v>
      </c>
      <c r="G4264" s="54" t="str">
        <f t="shared" si="3"/>
        <v>₹598,644.61</v>
      </c>
      <c r="H4264" s="54" t="str">
        <f t="shared" si="4"/>
        <v>₹49,887.05</v>
      </c>
      <c r="I4264" s="54" t="str">
        <f>144121.99-H4264</f>
        <v>₹94,234.94</v>
      </c>
    </row>
    <row r="4265" ht="15.75" customHeight="1">
      <c r="A4265" s="50" t="s">
        <v>4349</v>
      </c>
      <c r="B4265" s="50" t="s">
        <v>36</v>
      </c>
      <c r="C4265" s="50" t="s">
        <v>54</v>
      </c>
      <c r="D4265" s="51">
        <v>166313.35</v>
      </c>
      <c r="E4265" s="51" t="str">
        <f t="shared" si="1"/>
        <v>₹1,995,760.20</v>
      </c>
      <c r="F4265" s="52" t="str">
        <f t="shared" si="2"/>
        <v>30.0%</v>
      </c>
      <c r="G4265" s="51" t="str">
        <f t="shared" si="3"/>
        <v>₹598,728.06</v>
      </c>
      <c r="H4265" s="51" t="str">
        <f t="shared" si="4"/>
        <v>₹49,894.01</v>
      </c>
      <c r="I4265" s="51" t="str">
        <f>144141.77-H4265</f>
        <v>₹94,247.77</v>
      </c>
    </row>
    <row r="4266" ht="15.75" customHeight="1">
      <c r="A4266" s="53" t="s">
        <v>4350</v>
      </c>
      <c r="B4266" s="53" t="s">
        <v>36</v>
      </c>
      <c r="C4266" s="53" t="s">
        <v>33</v>
      </c>
      <c r="D4266" s="54">
        <v>166336.53</v>
      </c>
      <c r="E4266" s="54" t="str">
        <f t="shared" si="1"/>
        <v>₹1,996,038.36</v>
      </c>
      <c r="F4266" s="55" t="str">
        <f t="shared" si="2"/>
        <v>30.0%</v>
      </c>
      <c r="G4266" s="54" t="str">
        <f t="shared" si="3"/>
        <v>₹598,811.51</v>
      </c>
      <c r="H4266" s="54" t="str">
        <f t="shared" si="4"/>
        <v>₹49,900.96</v>
      </c>
      <c r="I4266" s="54" t="str">
        <f>144161.56-H4266</f>
        <v>₹94,260.60</v>
      </c>
    </row>
    <row r="4267" ht="15.75" customHeight="1">
      <c r="A4267" s="50" t="s">
        <v>4351</v>
      </c>
      <c r="B4267" s="50" t="s">
        <v>51</v>
      </c>
      <c r="C4267" s="50" t="s">
        <v>33</v>
      </c>
      <c r="D4267" s="51">
        <v>166382.88</v>
      </c>
      <c r="E4267" s="51" t="str">
        <f t="shared" si="1"/>
        <v>₹1,996,594.56</v>
      </c>
      <c r="F4267" s="52" t="str">
        <f t="shared" si="2"/>
        <v>30.0%</v>
      </c>
      <c r="G4267" s="51" t="str">
        <f t="shared" si="3"/>
        <v>₹598,978.37</v>
      </c>
      <c r="H4267" s="51" t="str">
        <f t="shared" si="4"/>
        <v>₹49,914.86</v>
      </c>
      <c r="I4267" s="51" t="str">
        <f>144201.11-H4267</f>
        <v>₹94,286.25</v>
      </c>
    </row>
    <row r="4268" ht="15.75" customHeight="1">
      <c r="A4268" s="53" t="s">
        <v>4352</v>
      </c>
      <c r="B4268" s="53" t="s">
        <v>29</v>
      </c>
      <c r="C4268" s="53" t="s">
        <v>26</v>
      </c>
      <c r="D4268" s="54">
        <v>166406.06</v>
      </c>
      <c r="E4268" s="54" t="str">
        <f t="shared" si="1"/>
        <v>₹1,996,872.72</v>
      </c>
      <c r="F4268" s="55" t="str">
        <f t="shared" si="2"/>
        <v>30.0%</v>
      </c>
      <c r="G4268" s="54" t="str">
        <f t="shared" si="3"/>
        <v>₹599,061.82</v>
      </c>
      <c r="H4268" s="54" t="str">
        <f t="shared" si="4"/>
        <v>₹49,921.82</v>
      </c>
      <c r="I4268" s="54" t="str">
        <f>144220.89-H4268</f>
        <v>₹94,299.07</v>
      </c>
    </row>
    <row r="4269" ht="15.75" customHeight="1">
      <c r="A4269" s="50" t="s">
        <v>4353</v>
      </c>
      <c r="B4269" s="50" t="s">
        <v>29</v>
      </c>
      <c r="C4269" s="50" t="s">
        <v>33</v>
      </c>
      <c r="D4269" s="51">
        <v>166429.24</v>
      </c>
      <c r="E4269" s="51" t="str">
        <f t="shared" si="1"/>
        <v>₹1,997,150.88</v>
      </c>
      <c r="F4269" s="52" t="str">
        <f t="shared" si="2"/>
        <v>30.0%</v>
      </c>
      <c r="G4269" s="51" t="str">
        <f t="shared" si="3"/>
        <v>₹599,145.26</v>
      </c>
      <c r="H4269" s="51" t="str">
        <f t="shared" si="4"/>
        <v>₹49,928.77</v>
      </c>
      <c r="I4269" s="51" t="str">
        <f>144240.68-H4269</f>
        <v>₹94,311.91</v>
      </c>
    </row>
    <row r="4270" ht="15.75" customHeight="1">
      <c r="A4270" s="53" t="s">
        <v>4354</v>
      </c>
      <c r="B4270" s="53" t="s">
        <v>13</v>
      </c>
      <c r="C4270" s="53" t="s">
        <v>37</v>
      </c>
      <c r="D4270" s="54">
        <v>166452.42</v>
      </c>
      <c r="E4270" s="54" t="str">
        <f t="shared" si="1"/>
        <v>₹1,997,429.04</v>
      </c>
      <c r="F4270" s="55" t="str">
        <f t="shared" si="2"/>
        <v>30.0%</v>
      </c>
      <c r="G4270" s="54" t="str">
        <f t="shared" si="3"/>
        <v>₹599,228.71</v>
      </c>
      <c r="H4270" s="54" t="str">
        <f t="shared" si="4"/>
        <v>₹49,935.73</v>
      </c>
      <c r="I4270" s="54" t="str">
        <f>144260.46-H4270</f>
        <v>₹94,324.73</v>
      </c>
    </row>
    <row r="4271" ht="15.75" customHeight="1">
      <c r="A4271" s="50" t="s">
        <v>4355</v>
      </c>
      <c r="B4271" s="50" t="s">
        <v>36</v>
      </c>
      <c r="C4271" s="50" t="s">
        <v>18</v>
      </c>
      <c r="D4271" s="51">
        <v>166475.59</v>
      </c>
      <c r="E4271" s="51" t="str">
        <f t="shared" si="1"/>
        <v>₹1,997,707.08</v>
      </c>
      <c r="F4271" s="52" t="str">
        <f t="shared" si="2"/>
        <v>30.0%</v>
      </c>
      <c r="G4271" s="51" t="str">
        <f t="shared" si="3"/>
        <v>₹599,312.12</v>
      </c>
      <c r="H4271" s="51" t="str">
        <f t="shared" si="4"/>
        <v>₹49,942.68</v>
      </c>
      <c r="I4271" s="51" t="str">
        <f>144280.23-H4271</f>
        <v>₹94,337.55</v>
      </c>
    </row>
    <row r="4272" ht="15.75" customHeight="1">
      <c r="A4272" s="53" t="s">
        <v>4356</v>
      </c>
      <c r="B4272" s="53" t="s">
        <v>36</v>
      </c>
      <c r="C4272" s="53" t="s">
        <v>26</v>
      </c>
      <c r="D4272" s="54">
        <v>166498.77</v>
      </c>
      <c r="E4272" s="54" t="str">
        <f t="shared" si="1"/>
        <v>₹1,997,985.24</v>
      </c>
      <c r="F4272" s="55" t="str">
        <f t="shared" si="2"/>
        <v>30.0%</v>
      </c>
      <c r="G4272" s="54" t="str">
        <f t="shared" si="3"/>
        <v>₹599,395.57</v>
      </c>
      <c r="H4272" s="54" t="str">
        <f t="shared" si="4"/>
        <v>₹49,949.63</v>
      </c>
      <c r="I4272" s="54" t="str">
        <f>152304.41-H4272</f>
        <v>₹102,354.78</v>
      </c>
    </row>
    <row r="4273" ht="15.75" customHeight="1">
      <c r="A4273" s="50" t="s">
        <v>4357</v>
      </c>
      <c r="B4273" s="50" t="s">
        <v>53</v>
      </c>
      <c r="C4273" s="50" t="s">
        <v>26</v>
      </c>
      <c r="D4273" s="51">
        <v>166521.95</v>
      </c>
      <c r="E4273" s="51" t="str">
        <f t="shared" si="1"/>
        <v>₹1,998,263.40</v>
      </c>
      <c r="F4273" s="52" t="str">
        <f t="shared" si="2"/>
        <v>30.0%</v>
      </c>
      <c r="G4273" s="51" t="str">
        <f t="shared" si="3"/>
        <v>₹599,479.02</v>
      </c>
      <c r="H4273" s="51" t="str">
        <f t="shared" si="4"/>
        <v>₹49,956.59</v>
      </c>
      <c r="I4273" s="51" t="str">
        <f>144319.8-H4273</f>
        <v>₹94,363.22</v>
      </c>
    </row>
    <row r="4274" ht="15.75" customHeight="1">
      <c r="A4274" s="53" t="s">
        <v>4358</v>
      </c>
      <c r="B4274" s="53" t="s">
        <v>25</v>
      </c>
      <c r="C4274" s="53" t="s">
        <v>26</v>
      </c>
      <c r="D4274" s="54">
        <v>166545.13</v>
      </c>
      <c r="E4274" s="54" t="str">
        <f t="shared" si="1"/>
        <v>₹1,998,541.56</v>
      </c>
      <c r="F4274" s="55" t="str">
        <f t="shared" si="2"/>
        <v>30.0%</v>
      </c>
      <c r="G4274" s="54" t="str">
        <f t="shared" si="3"/>
        <v>₹599,562.47</v>
      </c>
      <c r="H4274" s="54" t="str">
        <f t="shared" si="4"/>
        <v>₹49,963.54</v>
      </c>
      <c r="I4274" s="54" t="str">
        <f>144339.58-H4274</f>
        <v>₹94,376.04</v>
      </c>
    </row>
    <row r="4275" ht="15.75" customHeight="1">
      <c r="A4275" s="50" t="s">
        <v>4359</v>
      </c>
      <c r="B4275" s="50" t="s">
        <v>25</v>
      </c>
      <c r="C4275" s="50" t="s">
        <v>33</v>
      </c>
      <c r="D4275" s="51">
        <v>166568.31</v>
      </c>
      <c r="E4275" s="51" t="str">
        <f t="shared" si="1"/>
        <v>₹1,998,819.72</v>
      </c>
      <c r="F4275" s="52" t="str">
        <f t="shared" si="2"/>
        <v>30.0%</v>
      </c>
      <c r="G4275" s="51" t="str">
        <f t="shared" si="3"/>
        <v>₹599,645.92</v>
      </c>
      <c r="H4275" s="51" t="str">
        <f t="shared" si="4"/>
        <v>₹49,970.49</v>
      </c>
      <c r="I4275" s="51" t="str">
        <f>144359.36-H4275</f>
        <v>₹94,388.87</v>
      </c>
    </row>
    <row r="4276" ht="15.75" customHeight="1">
      <c r="A4276" s="53" t="s">
        <v>4360</v>
      </c>
      <c r="B4276" s="53" t="s">
        <v>29</v>
      </c>
      <c r="C4276" s="53" t="s">
        <v>33</v>
      </c>
      <c r="D4276" s="54">
        <v>141748.17</v>
      </c>
      <c r="E4276" s="54" t="str">
        <f t="shared" si="1"/>
        <v>₹1,700,978.04</v>
      </c>
      <c r="F4276" s="55" t="str">
        <f t="shared" si="2"/>
        <v>30.0%</v>
      </c>
      <c r="G4276" s="54" t="str">
        <f t="shared" si="3"/>
        <v>₹510,293.41</v>
      </c>
      <c r="H4276" s="54" t="str">
        <f t="shared" si="4"/>
        <v>₹42,524.45</v>
      </c>
      <c r="I4276" s="54" t="str">
        <f>119535.82-H4276</f>
        <v>₹77,011.37</v>
      </c>
    </row>
    <row r="4277" ht="15.75" customHeight="1">
      <c r="A4277" s="50" t="s">
        <v>4361</v>
      </c>
      <c r="B4277" s="50" t="s">
        <v>17</v>
      </c>
      <c r="C4277" s="50" t="s">
        <v>54</v>
      </c>
      <c r="D4277" s="51">
        <v>166614.66</v>
      </c>
      <c r="E4277" s="51" t="str">
        <f t="shared" si="1"/>
        <v>₹1,999,375.92</v>
      </c>
      <c r="F4277" s="52" t="str">
        <f t="shared" si="2"/>
        <v>30.0%</v>
      </c>
      <c r="G4277" s="51" t="str">
        <f t="shared" si="3"/>
        <v>₹599,812.78</v>
      </c>
      <c r="H4277" s="51" t="str">
        <f t="shared" si="4"/>
        <v>₹49,984.40</v>
      </c>
      <c r="I4277" s="51" t="str">
        <f>144398.92-H4277</f>
        <v>₹94,414.52</v>
      </c>
    </row>
    <row r="4278" ht="15.75" customHeight="1">
      <c r="A4278" s="53" t="s">
        <v>4362</v>
      </c>
      <c r="B4278" s="53" t="s">
        <v>53</v>
      </c>
      <c r="C4278" s="53" t="s">
        <v>30</v>
      </c>
      <c r="D4278" s="54">
        <v>166637.84</v>
      </c>
      <c r="E4278" s="54" t="str">
        <f t="shared" si="1"/>
        <v>₹1,999,654.08</v>
      </c>
      <c r="F4278" s="55" t="str">
        <f t="shared" si="2"/>
        <v>30.0%</v>
      </c>
      <c r="G4278" s="54" t="str">
        <f t="shared" si="3"/>
        <v>₹599,896.22</v>
      </c>
      <c r="H4278" s="54" t="str">
        <f t="shared" si="4"/>
        <v>₹49,991.35</v>
      </c>
      <c r="I4278" s="54" t="str">
        <f>144418.7-H4278</f>
        <v>₹94,427.35</v>
      </c>
    </row>
    <row r="4279" ht="15.75" customHeight="1">
      <c r="A4279" s="50" t="s">
        <v>4363</v>
      </c>
      <c r="B4279" s="50" t="s">
        <v>17</v>
      </c>
      <c r="C4279" s="50" t="s">
        <v>26</v>
      </c>
      <c r="D4279" s="51">
        <v>113703.59</v>
      </c>
      <c r="E4279" s="51" t="str">
        <f t="shared" si="1"/>
        <v>₹1,364,443.08</v>
      </c>
      <c r="F4279" s="52" t="str">
        <f t="shared" si="2"/>
        <v>30.0%</v>
      </c>
      <c r="G4279" s="51" t="str">
        <f t="shared" si="3"/>
        <v>₹409,332.92</v>
      </c>
      <c r="H4279" s="51" t="str">
        <f t="shared" si="4"/>
        <v>₹34,111.08</v>
      </c>
      <c r="I4279" s="51" t="str">
        <f>98968.07-H4279</f>
        <v>₹64,856.99</v>
      </c>
    </row>
    <row r="4280" ht="15.75" customHeight="1">
      <c r="A4280" s="53" t="s">
        <v>4364</v>
      </c>
      <c r="B4280" s="53" t="s">
        <v>51</v>
      </c>
      <c r="C4280" s="53" t="s">
        <v>37</v>
      </c>
      <c r="D4280" s="54">
        <v>182613.27</v>
      </c>
      <c r="E4280" s="54" t="str">
        <f t="shared" si="1"/>
        <v>₹2,191,359.24</v>
      </c>
      <c r="F4280" s="55" t="str">
        <f t="shared" si="2"/>
        <v>30.0%</v>
      </c>
      <c r="G4280" s="54" t="str">
        <f t="shared" si="3"/>
        <v>₹657,407.77</v>
      </c>
      <c r="H4280" s="54" t="str">
        <f t="shared" si="4"/>
        <v>₹54,783.98</v>
      </c>
      <c r="I4280" s="54" t="str">
        <f>180152.47-H4280</f>
        <v>₹125,368.49</v>
      </c>
    </row>
    <row r="4281" ht="15.75" customHeight="1">
      <c r="A4281" s="50" t="s">
        <v>4365</v>
      </c>
      <c r="B4281" s="50" t="s">
        <v>13</v>
      </c>
      <c r="C4281" s="50" t="s">
        <v>26</v>
      </c>
      <c r="D4281" s="51">
        <v>158025.54</v>
      </c>
      <c r="E4281" s="51" t="str">
        <f t="shared" si="1"/>
        <v>₹1,896,306.48</v>
      </c>
      <c r="F4281" s="52" t="str">
        <f t="shared" si="2"/>
        <v>30.0%</v>
      </c>
      <c r="G4281" s="51" t="str">
        <f t="shared" si="3"/>
        <v>₹568,891.94</v>
      </c>
      <c r="H4281" s="51" t="str">
        <f t="shared" si="4"/>
        <v>₹47,407.66</v>
      </c>
      <c r="I4281" s="51" t="str">
        <f>151588.46-H4281</f>
        <v>₹104,180.80</v>
      </c>
    </row>
    <row r="4282" ht="15.75" customHeight="1">
      <c r="A4282" s="53" t="s">
        <v>4366</v>
      </c>
      <c r="B4282" s="53" t="s">
        <v>25</v>
      </c>
      <c r="C4282" s="53" t="s">
        <v>54</v>
      </c>
      <c r="D4282" s="54">
        <v>122207.61</v>
      </c>
      <c r="E4282" s="54" t="str">
        <f t="shared" si="1"/>
        <v>₹1,466,491.32</v>
      </c>
      <c r="F4282" s="55" t="str">
        <f t="shared" si="2"/>
        <v>30.0%</v>
      </c>
      <c r="G4282" s="54" t="str">
        <f t="shared" si="3"/>
        <v>₹439,947.40</v>
      </c>
      <c r="H4282" s="54" t="str">
        <f t="shared" si="4"/>
        <v>₹36,662.28</v>
      </c>
      <c r="I4282" s="54" t="str">
        <f>102752.47-H4282</f>
        <v>₹66,090.19</v>
      </c>
    </row>
    <row r="4283" ht="15.75" customHeight="1">
      <c r="A4283" s="50" t="s">
        <v>4367</v>
      </c>
      <c r="B4283" s="50" t="s">
        <v>51</v>
      </c>
      <c r="C4283" s="50" t="s">
        <v>37</v>
      </c>
      <c r="D4283" s="51">
        <v>75570.69</v>
      </c>
      <c r="E4283" s="51" t="str">
        <f t="shared" si="1"/>
        <v>₹906,848.28</v>
      </c>
      <c r="F4283" s="52" t="str">
        <f t="shared" si="2"/>
        <v>20.0%</v>
      </c>
      <c r="G4283" s="51" t="str">
        <f t="shared" si="3"/>
        <v>₹181,369.66</v>
      </c>
      <c r="H4283" s="51" t="str">
        <f t="shared" si="4"/>
        <v>₹15,114.14</v>
      </c>
      <c r="I4283" s="51" t="str">
        <f>62117.89-H4283</f>
        <v>₹47,003.75</v>
      </c>
    </row>
    <row r="4284" ht="15.75" customHeight="1">
      <c r="A4284" s="53" t="s">
        <v>4368</v>
      </c>
      <c r="B4284" s="53" t="s">
        <v>17</v>
      </c>
      <c r="C4284" s="53" t="s">
        <v>18</v>
      </c>
      <c r="D4284" s="54">
        <v>79857.13</v>
      </c>
      <c r="E4284" s="54" t="str">
        <f t="shared" si="1"/>
        <v>₹958,285.56</v>
      </c>
      <c r="F4284" s="55" t="str">
        <f t="shared" si="2"/>
        <v>20.0%</v>
      </c>
      <c r="G4284" s="54" t="str">
        <f t="shared" si="3"/>
        <v>₹191,657.11</v>
      </c>
      <c r="H4284" s="54" t="str">
        <f t="shared" si="4"/>
        <v>₹15,971.43</v>
      </c>
      <c r="I4284" s="54" t="str">
        <f>56621.89-H4284</f>
        <v>₹40,650.46</v>
      </c>
    </row>
    <row r="4285" ht="15.75" customHeight="1">
      <c r="A4285" s="50" t="s">
        <v>4369</v>
      </c>
      <c r="B4285" s="50" t="s">
        <v>36</v>
      </c>
      <c r="C4285" s="50" t="s">
        <v>54</v>
      </c>
      <c r="D4285" s="51">
        <v>72928.58</v>
      </c>
      <c r="E4285" s="51" t="str">
        <f t="shared" si="1"/>
        <v>₹875,142.96</v>
      </c>
      <c r="F4285" s="52" t="str">
        <f t="shared" si="2"/>
        <v>20.0%</v>
      </c>
      <c r="G4285" s="51" t="str">
        <f t="shared" si="3"/>
        <v>₹175,028.59</v>
      </c>
      <c r="H4285" s="51" t="str">
        <f t="shared" si="4"/>
        <v>₹14,585.72</v>
      </c>
      <c r="I4285" s="51" t="str">
        <f>61924.17-H4285</f>
        <v>₹47,338.45</v>
      </c>
    </row>
    <row r="4286" ht="15.75" customHeight="1">
      <c r="A4286" s="53" t="s">
        <v>4370</v>
      </c>
      <c r="B4286" s="53" t="s">
        <v>51</v>
      </c>
      <c r="C4286" s="53" t="s">
        <v>30</v>
      </c>
      <c r="D4286" s="54">
        <v>159491.69</v>
      </c>
      <c r="E4286" s="54" t="str">
        <f t="shared" si="1"/>
        <v>₹1,913,900.28</v>
      </c>
      <c r="F4286" s="55" t="str">
        <f t="shared" si="2"/>
        <v>30.0%</v>
      </c>
      <c r="G4286" s="54" t="str">
        <f t="shared" si="3"/>
        <v>₹574,170.08</v>
      </c>
      <c r="H4286" s="54" t="str">
        <f t="shared" si="4"/>
        <v>₹47,847.51</v>
      </c>
      <c r="I4286" s="54" t="str">
        <f>137681.29-H4286</f>
        <v>₹89,833.78</v>
      </c>
    </row>
    <row r="4287" ht="15.75" customHeight="1">
      <c r="A4287" s="50" t="s">
        <v>4371</v>
      </c>
      <c r="B4287" s="50" t="s">
        <v>51</v>
      </c>
      <c r="C4287" s="50" t="s">
        <v>18</v>
      </c>
      <c r="D4287" s="51">
        <v>141432.65</v>
      </c>
      <c r="E4287" s="51" t="str">
        <f t="shared" si="1"/>
        <v>₹1,697,191.80</v>
      </c>
      <c r="F4287" s="52" t="str">
        <f t="shared" si="2"/>
        <v>30.0%</v>
      </c>
      <c r="G4287" s="51" t="str">
        <f t="shared" si="3"/>
        <v>₹509,157.54</v>
      </c>
      <c r="H4287" s="51" t="str">
        <f t="shared" si="4"/>
        <v>₹42,429.80</v>
      </c>
      <c r="I4287" s="51" t="str">
        <f>129933.24-H4287</f>
        <v>₹87,503.45</v>
      </c>
    </row>
    <row r="4288" ht="15.75" customHeight="1">
      <c r="A4288" s="53" t="s">
        <v>4372</v>
      </c>
      <c r="B4288" s="53" t="s">
        <v>36</v>
      </c>
      <c r="C4288" s="53" t="s">
        <v>33</v>
      </c>
      <c r="D4288" s="54">
        <v>130242.27</v>
      </c>
      <c r="E4288" s="54" t="str">
        <f t="shared" si="1"/>
        <v>₹1,562,907.24</v>
      </c>
      <c r="F4288" s="55" t="str">
        <f t="shared" si="2"/>
        <v>30.0%</v>
      </c>
      <c r="G4288" s="54" t="str">
        <f t="shared" si="3"/>
        <v>₹468,872.17</v>
      </c>
      <c r="H4288" s="54" t="str">
        <f t="shared" si="4"/>
        <v>₹39,072.68</v>
      </c>
      <c r="I4288" s="54" t="str">
        <f>105750.69-H4288</f>
        <v>₹66,678.01</v>
      </c>
    </row>
    <row r="4289" ht="15.75" customHeight="1">
      <c r="A4289" s="50" t="s">
        <v>4373</v>
      </c>
      <c r="B4289" s="50" t="s">
        <v>13</v>
      </c>
      <c r="C4289" s="50" t="s">
        <v>14</v>
      </c>
      <c r="D4289" s="51">
        <v>57271.42</v>
      </c>
      <c r="E4289" s="51" t="str">
        <f t="shared" si="1"/>
        <v>₹687,257.04</v>
      </c>
      <c r="F4289" s="52" t="str">
        <f t="shared" si="2"/>
        <v>20.0%</v>
      </c>
      <c r="G4289" s="51" t="str">
        <f t="shared" si="3"/>
        <v>₹137,451.41</v>
      </c>
      <c r="H4289" s="51" t="str">
        <f t="shared" si="4"/>
        <v>₹11,454.28</v>
      </c>
      <c r="I4289" s="51" t="str">
        <f>33255.48-H4289</f>
        <v>₹21,801.20</v>
      </c>
    </row>
    <row r="4290" ht="15.75" customHeight="1">
      <c r="A4290" s="53" t="s">
        <v>4374</v>
      </c>
      <c r="B4290" s="53" t="s">
        <v>29</v>
      </c>
      <c r="C4290" s="53" t="s">
        <v>26</v>
      </c>
      <c r="D4290" s="54">
        <v>169818.82</v>
      </c>
      <c r="E4290" s="54" t="str">
        <f t="shared" si="1"/>
        <v>₹2,037,825.84</v>
      </c>
      <c r="F4290" s="55" t="str">
        <f t="shared" si="2"/>
        <v>30.0%</v>
      </c>
      <c r="G4290" s="54" t="str">
        <f t="shared" si="3"/>
        <v>₹611,347.75</v>
      </c>
      <c r="H4290" s="54" t="str">
        <f t="shared" si="4"/>
        <v>₹50,945.65</v>
      </c>
      <c r="I4290" s="54" t="str">
        <f>161254.97-H4290</f>
        <v>₹110,309.32</v>
      </c>
    </row>
    <row r="4291" ht="15.75" customHeight="1">
      <c r="A4291" s="50" t="s">
        <v>4375</v>
      </c>
      <c r="B4291" s="50" t="s">
        <v>17</v>
      </c>
      <c r="C4291" s="50" t="s">
        <v>14</v>
      </c>
      <c r="D4291" s="51">
        <v>166381.56</v>
      </c>
      <c r="E4291" s="51" t="str">
        <f t="shared" si="1"/>
        <v>₹1,996,578.72</v>
      </c>
      <c r="F4291" s="52" t="str">
        <f t="shared" si="2"/>
        <v>30.0%</v>
      </c>
      <c r="G4291" s="51" t="str">
        <f t="shared" si="3"/>
        <v>₹598,973.62</v>
      </c>
      <c r="H4291" s="51" t="str">
        <f t="shared" si="4"/>
        <v>₹49,914.47</v>
      </c>
      <c r="I4291" s="51" t="str">
        <f>144176.43-H4291</f>
        <v>₹94,261.96</v>
      </c>
    </row>
    <row r="4292" ht="15.75" customHeight="1">
      <c r="A4292" s="53" t="s">
        <v>4376</v>
      </c>
      <c r="B4292" s="53" t="s">
        <v>17</v>
      </c>
      <c r="C4292" s="53" t="s">
        <v>33</v>
      </c>
      <c r="D4292" s="54">
        <v>83144.15</v>
      </c>
      <c r="E4292" s="54" t="str">
        <f t="shared" si="1"/>
        <v>₹997,729.80</v>
      </c>
      <c r="F4292" s="55" t="str">
        <f t="shared" si="2"/>
        <v>20.0%</v>
      </c>
      <c r="G4292" s="54" t="str">
        <f t="shared" si="3"/>
        <v>₹199,545.96</v>
      </c>
      <c r="H4292" s="54" t="str">
        <f t="shared" si="4"/>
        <v>₹16,628.83</v>
      </c>
      <c r="I4292" s="54" t="str">
        <f>61877.67-H4292</f>
        <v>₹45,248.84</v>
      </c>
    </row>
    <row r="4293" ht="15.75" customHeight="1">
      <c r="A4293" s="50" t="s">
        <v>4377</v>
      </c>
      <c r="B4293" s="50" t="s">
        <v>53</v>
      </c>
      <c r="C4293" s="50" t="s">
        <v>37</v>
      </c>
      <c r="D4293" s="51">
        <v>96078.33</v>
      </c>
      <c r="E4293" s="51" t="str">
        <f t="shared" si="1"/>
        <v>₹1,152,939.96</v>
      </c>
      <c r="F4293" s="52" t="str">
        <f t="shared" si="2"/>
        <v>30.0%</v>
      </c>
      <c r="G4293" s="51" t="str">
        <f t="shared" si="3"/>
        <v>₹345,881.99</v>
      </c>
      <c r="H4293" s="51" t="str">
        <f t="shared" si="4"/>
        <v>₹28,823.50</v>
      </c>
      <c r="I4293" s="51" t="str">
        <f>90416.66-H4293</f>
        <v>₹61,593.16</v>
      </c>
    </row>
    <row r="4294" ht="15.75" customHeight="1">
      <c r="A4294" s="53" t="s">
        <v>4378</v>
      </c>
      <c r="B4294" s="53" t="s">
        <v>29</v>
      </c>
      <c r="C4294" s="53" t="s">
        <v>37</v>
      </c>
      <c r="D4294" s="54">
        <v>82511.51</v>
      </c>
      <c r="E4294" s="54" t="str">
        <f t="shared" si="1"/>
        <v>₹990,138.12</v>
      </c>
      <c r="F4294" s="55" t="str">
        <f t="shared" si="2"/>
        <v>20.0%</v>
      </c>
      <c r="G4294" s="54" t="str">
        <f t="shared" si="3"/>
        <v>₹198,027.62</v>
      </c>
      <c r="H4294" s="54" t="str">
        <f t="shared" si="4"/>
        <v>₹16,502.30</v>
      </c>
      <c r="I4294" s="54" t="str">
        <f>66716.4-H4294</f>
        <v>₹50,214.10</v>
      </c>
    </row>
    <row r="4295" ht="15.75" customHeight="1">
      <c r="A4295" s="50" t="s">
        <v>4379</v>
      </c>
      <c r="B4295" s="50" t="s">
        <v>29</v>
      </c>
      <c r="C4295" s="50" t="s">
        <v>30</v>
      </c>
      <c r="D4295" s="51">
        <v>117752.45</v>
      </c>
      <c r="E4295" s="51" t="str">
        <f t="shared" si="1"/>
        <v>₹1,413,029.40</v>
      </c>
      <c r="F4295" s="52" t="str">
        <f t="shared" si="2"/>
        <v>30.0%</v>
      </c>
      <c r="G4295" s="51" t="str">
        <f t="shared" si="3"/>
        <v>₹423,908.82</v>
      </c>
      <c r="H4295" s="51" t="str">
        <f t="shared" si="4"/>
        <v>₹35,325.74</v>
      </c>
      <c r="I4295" s="51" t="str">
        <f>115471.73-H4295</f>
        <v>₹80,146.00</v>
      </c>
    </row>
    <row r="4296" ht="15.75" customHeight="1">
      <c r="A4296" s="53" t="s">
        <v>4380</v>
      </c>
      <c r="B4296" s="53" t="s">
        <v>29</v>
      </c>
      <c r="C4296" s="53" t="s">
        <v>26</v>
      </c>
      <c r="D4296" s="54">
        <v>141259.86</v>
      </c>
      <c r="E4296" s="54" t="str">
        <f t="shared" si="1"/>
        <v>₹1,695,118.32</v>
      </c>
      <c r="F4296" s="55" t="str">
        <f t="shared" si="2"/>
        <v>30.0%</v>
      </c>
      <c r="G4296" s="54" t="str">
        <f t="shared" si="3"/>
        <v>₹508,535.50</v>
      </c>
      <c r="H4296" s="54" t="str">
        <f t="shared" si="4"/>
        <v>₹42,377.96</v>
      </c>
      <c r="I4296" s="54" t="str">
        <f>120260.45-H4296</f>
        <v>₹77,882.49</v>
      </c>
    </row>
    <row r="4297" ht="15.75" customHeight="1">
      <c r="A4297" s="50" t="s">
        <v>4381</v>
      </c>
      <c r="B4297" s="50" t="s">
        <v>29</v>
      </c>
      <c r="C4297" s="50" t="s">
        <v>30</v>
      </c>
      <c r="D4297" s="51">
        <v>109979.84</v>
      </c>
      <c r="E4297" s="51" t="str">
        <f t="shared" si="1"/>
        <v>₹1,319,758.08</v>
      </c>
      <c r="F4297" s="52" t="str">
        <f t="shared" si="2"/>
        <v>30.0%</v>
      </c>
      <c r="G4297" s="51" t="str">
        <f t="shared" si="3"/>
        <v>₹395,927.42</v>
      </c>
      <c r="H4297" s="51" t="str">
        <f t="shared" si="4"/>
        <v>₹32,993.95</v>
      </c>
      <c r="I4297" s="51" t="str">
        <f>105203.47-H4297</f>
        <v>₹72,209.52</v>
      </c>
    </row>
    <row r="4298" ht="15.75" customHeight="1">
      <c r="A4298" s="53" t="s">
        <v>4382</v>
      </c>
      <c r="B4298" s="53" t="s">
        <v>17</v>
      </c>
      <c r="C4298" s="53" t="s">
        <v>18</v>
      </c>
      <c r="D4298" s="54">
        <v>92789.79</v>
      </c>
      <c r="E4298" s="54" t="str">
        <f t="shared" si="1"/>
        <v>₹1,113,477.48</v>
      </c>
      <c r="F4298" s="55" t="str">
        <f t="shared" si="2"/>
        <v>30.0%</v>
      </c>
      <c r="G4298" s="54" t="str">
        <f t="shared" si="3"/>
        <v>₹334,043.24</v>
      </c>
      <c r="H4298" s="54" t="str">
        <f t="shared" si="4"/>
        <v>₹27,836.94</v>
      </c>
      <c r="I4298" s="54" t="str">
        <f>90554.83-H4298</f>
        <v>₹62,717.89</v>
      </c>
    </row>
    <row r="4299" ht="15.75" customHeight="1">
      <c r="A4299" s="50" t="s">
        <v>4383</v>
      </c>
      <c r="B4299" s="50" t="s">
        <v>25</v>
      </c>
      <c r="C4299" s="50" t="s">
        <v>14</v>
      </c>
      <c r="D4299" s="51">
        <v>132990.12</v>
      </c>
      <c r="E4299" s="51" t="str">
        <f t="shared" si="1"/>
        <v>₹1,595,881.44</v>
      </c>
      <c r="F4299" s="52" t="str">
        <f t="shared" si="2"/>
        <v>30.0%</v>
      </c>
      <c r="G4299" s="51" t="str">
        <f t="shared" si="3"/>
        <v>₹478,764.43</v>
      </c>
      <c r="H4299" s="51" t="str">
        <f t="shared" si="4"/>
        <v>₹39,897.04</v>
      </c>
      <c r="I4299" s="51" t="str">
        <f>122684.75-H4299</f>
        <v>₹82,787.71</v>
      </c>
    </row>
    <row r="4300" ht="15.75" customHeight="1">
      <c r="A4300" s="53" t="s">
        <v>4384</v>
      </c>
      <c r="B4300" s="53" t="s">
        <v>51</v>
      </c>
      <c r="C4300" s="53" t="s">
        <v>30</v>
      </c>
      <c r="D4300" s="54">
        <v>77252.31</v>
      </c>
      <c r="E4300" s="54" t="str">
        <f t="shared" si="1"/>
        <v>₹927,027.72</v>
      </c>
      <c r="F4300" s="55" t="str">
        <f t="shared" si="2"/>
        <v>20.0%</v>
      </c>
      <c r="G4300" s="54" t="str">
        <f t="shared" si="3"/>
        <v>₹185,405.54</v>
      </c>
      <c r="H4300" s="54" t="str">
        <f t="shared" si="4"/>
        <v>₹15,450.46</v>
      </c>
      <c r="I4300" s="54" t="str">
        <f>62617.72-H4300</f>
        <v>₹47,167.26</v>
      </c>
    </row>
    <row r="4301" ht="15.75" customHeight="1">
      <c r="A4301" s="50" t="s">
        <v>4385</v>
      </c>
      <c r="B4301" s="50" t="s">
        <v>51</v>
      </c>
      <c r="C4301" s="50" t="s">
        <v>30</v>
      </c>
      <c r="D4301" s="51">
        <v>108835.0</v>
      </c>
      <c r="E4301" s="51" t="str">
        <f t="shared" si="1"/>
        <v>₹1,306,020.00</v>
      </c>
      <c r="F4301" s="52" t="str">
        <f t="shared" si="2"/>
        <v>30.0%</v>
      </c>
      <c r="G4301" s="51" t="str">
        <f t="shared" si="3"/>
        <v>₹391,806.00</v>
      </c>
      <c r="H4301" s="51" t="str">
        <f t="shared" si="4"/>
        <v>₹32,650.50</v>
      </c>
      <c r="I4301" s="51" t="str">
        <f>87389.53-H4301</f>
        <v>₹54,739.03</v>
      </c>
    </row>
    <row r="4302" ht="15.75" customHeight="1">
      <c r="A4302" s="53" t="s">
        <v>4386</v>
      </c>
      <c r="B4302" s="53" t="s">
        <v>36</v>
      </c>
      <c r="C4302" s="53" t="s">
        <v>37</v>
      </c>
      <c r="D4302" s="54">
        <v>122167.99</v>
      </c>
      <c r="E4302" s="54" t="str">
        <f t="shared" si="1"/>
        <v>₹1,466,015.88</v>
      </c>
      <c r="F4302" s="55" t="str">
        <f t="shared" si="2"/>
        <v>30.0%</v>
      </c>
      <c r="G4302" s="54" t="str">
        <f t="shared" si="3"/>
        <v>₹439,804.76</v>
      </c>
      <c r="H4302" s="54" t="str">
        <f t="shared" si="4"/>
        <v>₹36,650.40</v>
      </c>
      <c r="I4302" s="54" t="str">
        <f>97799.05-H4302</f>
        <v>₹61,148.65</v>
      </c>
    </row>
    <row r="4303" ht="15.75" customHeight="1">
      <c r="A4303" s="50" t="s">
        <v>4387</v>
      </c>
      <c r="B4303" s="50" t="s">
        <v>51</v>
      </c>
      <c r="C4303" s="50" t="s">
        <v>18</v>
      </c>
      <c r="D4303" s="51">
        <v>126088.02</v>
      </c>
      <c r="E4303" s="51" t="str">
        <f t="shared" si="1"/>
        <v>₹1,513,056.24</v>
      </c>
      <c r="F4303" s="52" t="str">
        <f t="shared" si="2"/>
        <v>30.0%</v>
      </c>
      <c r="G4303" s="51" t="str">
        <f t="shared" si="3"/>
        <v>₹453,916.87</v>
      </c>
      <c r="H4303" s="51" t="str">
        <f t="shared" si="4"/>
        <v>₹37,826.41</v>
      </c>
      <c r="I4303" s="51" t="str">
        <f>114820.45-H4303</f>
        <v>₹76,994.04</v>
      </c>
    </row>
    <row r="4304" ht="15.75" customHeight="1">
      <c r="A4304" s="53" t="s">
        <v>4388</v>
      </c>
      <c r="B4304" s="53" t="s">
        <v>25</v>
      </c>
      <c r="C4304" s="53" t="s">
        <v>33</v>
      </c>
      <c r="D4304" s="54">
        <v>166097.13</v>
      </c>
      <c r="E4304" s="54" t="str">
        <f t="shared" si="1"/>
        <v>₹1,993,165.56</v>
      </c>
      <c r="F4304" s="55" t="str">
        <f t="shared" si="2"/>
        <v>30.0%</v>
      </c>
      <c r="G4304" s="54" t="str">
        <f t="shared" si="3"/>
        <v>₹597,949.67</v>
      </c>
      <c r="H4304" s="54" t="str">
        <f t="shared" si="4"/>
        <v>₹49,829.14</v>
      </c>
      <c r="I4304" s="54" t="str">
        <f>164116.18-H4304</f>
        <v>₹114,287.04</v>
      </c>
    </row>
    <row r="4305" ht="15.75" customHeight="1">
      <c r="A4305" s="50" t="s">
        <v>4389</v>
      </c>
      <c r="B4305" s="50" t="s">
        <v>25</v>
      </c>
      <c r="C4305" s="50" t="s">
        <v>18</v>
      </c>
      <c r="D4305" s="51">
        <v>89242.18</v>
      </c>
      <c r="E4305" s="51" t="str">
        <f t="shared" si="1"/>
        <v>₹1,070,906.16</v>
      </c>
      <c r="F4305" s="52" t="str">
        <f t="shared" si="2"/>
        <v>30.0%</v>
      </c>
      <c r="G4305" s="51" t="str">
        <f t="shared" si="3"/>
        <v>₹321,271.85</v>
      </c>
      <c r="H4305" s="51" t="str">
        <f t="shared" si="4"/>
        <v>₹26,772.65</v>
      </c>
      <c r="I4305" s="51" t="str">
        <f>70388.85-H4305</f>
        <v>₹43,616.20</v>
      </c>
    </row>
    <row r="4306" ht="15.75" customHeight="1">
      <c r="A4306" s="53" t="s">
        <v>4390</v>
      </c>
      <c r="B4306" s="53" t="s">
        <v>53</v>
      </c>
      <c r="C4306" s="53" t="s">
        <v>30</v>
      </c>
      <c r="D4306" s="54">
        <v>113614.42</v>
      </c>
      <c r="E4306" s="54" t="str">
        <f t="shared" si="1"/>
        <v>₹1,363,373.04</v>
      </c>
      <c r="F4306" s="55" t="str">
        <f t="shared" si="2"/>
        <v>30.0%</v>
      </c>
      <c r="G4306" s="54" t="str">
        <f t="shared" si="3"/>
        <v>₹409,011.91</v>
      </c>
      <c r="H4306" s="54" t="str">
        <f t="shared" si="4"/>
        <v>₹34,084.33</v>
      </c>
      <c r="I4306" s="54" t="str">
        <f>99267.68-H4306</f>
        <v>₹65,183.35</v>
      </c>
    </row>
    <row r="4307" ht="15.75" customHeight="1">
      <c r="A4307" s="50" t="s">
        <v>4391</v>
      </c>
      <c r="B4307" s="50" t="s">
        <v>13</v>
      </c>
      <c r="C4307" s="50" t="s">
        <v>30</v>
      </c>
      <c r="D4307" s="51">
        <v>142769.83</v>
      </c>
      <c r="E4307" s="51" t="str">
        <f t="shared" si="1"/>
        <v>₹1,713,237.96</v>
      </c>
      <c r="F4307" s="52" t="str">
        <f t="shared" si="2"/>
        <v>30.0%</v>
      </c>
      <c r="G4307" s="51" t="str">
        <f t="shared" si="3"/>
        <v>₹513,971.39</v>
      </c>
      <c r="H4307" s="51" t="str">
        <f t="shared" si="4"/>
        <v>₹42,830.95</v>
      </c>
      <c r="I4307" s="51" t="str">
        <f>131296.49-H4307</f>
        <v>₹88,465.54</v>
      </c>
    </row>
    <row r="4308" ht="15.75" customHeight="1">
      <c r="A4308" s="53" t="s">
        <v>4392</v>
      </c>
      <c r="B4308" s="53" t="s">
        <v>13</v>
      </c>
      <c r="C4308" s="53" t="s">
        <v>33</v>
      </c>
      <c r="D4308" s="54">
        <v>71862.12</v>
      </c>
      <c r="E4308" s="54" t="str">
        <f t="shared" si="1"/>
        <v>₹862,345.44</v>
      </c>
      <c r="F4308" s="55" t="str">
        <f t="shared" si="2"/>
        <v>20.0%</v>
      </c>
      <c r="G4308" s="54" t="str">
        <f t="shared" si="3"/>
        <v>₹172,469.09</v>
      </c>
      <c r="H4308" s="54" t="str">
        <f t="shared" si="4"/>
        <v>₹14,372.42</v>
      </c>
      <c r="I4308" s="54" t="str">
        <f>63785.03-H4308</f>
        <v>₹49,412.61</v>
      </c>
    </row>
    <row r="4309" ht="15.75" customHeight="1">
      <c r="A4309" s="50" t="s">
        <v>4393</v>
      </c>
      <c r="B4309" s="50" t="s">
        <v>29</v>
      </c>
      <c r="C4309" s="50" t="s">
        <v>14</v>
      </c>
      <c r="D4309" s="51">
        <v>81671.32</v>
      </c>
      <c r="E4309" s="51" t="str">
        <f t="shared" si="1"/>
        <v>₹980,055.84</v>
      </c>
      <c r="F4309" s="52" t="str">
        <f t="shared" si="2"/>
        <v>20.0%</v>
      </c>
      <c r="G4309" s="51" t="str">
        <f t="shared" si="3"/>
        <v>₹196,011.17</v>
      </c>
      <c r="H4309" s="51" t="str">
        <f t="shared" si="4"/>
        <v>₹16,334.26</v>
      </c>
      <c r="I4309" s="51" t="str">
        <f>72873.67-H4309</f>
        <v>₹56,539.41</v>
      </c>
    </row>
    <row r="4310" ht="15.75" customHeight="1">
      <c r="A4310" s="53" t="s">
        <v>4394</v>
      </c>
      <c r="B4310" s="53" t="s">
        <v>36</v>
      </c>
      <c r="C4310" s="53" t="s">
        <v>26</v>
      </c>
      <c r="D4310" s="54">
        <v>63785.48</v>
      </c>
      <c r="E4310" s="54" t="str">
        <f t="shared" si="1"/>
        <v>₹765,425.76</v>
      </c>
      <c r="F4310" s="55" t="str">
        <f t="shared" si="2"/>
        <v>20.0%</v>
      </c>
      <c r="G4310" s="54" t="str">
        <f t="shared" si="3"/>
        <v>₹153,085.15</v>
      </c>
      <c r="H4310" s="54" t="str">
        <f t="shared" si="4"/>
        <v>₹12,757.10</v>
      </c>
      <c r="I4310" s="54" t="str">
        <f>44738.69-H4310</f>
        <v>₹31,981.59</v>
      </c>
    </row>
    <row r="4311" ht="15.75" customHeight="1">
      <c r="A4311" s="50" t="s">
        <v>4395</v>
      </c>
      <c r="B4311" s="50" t="s">
        <v>17</v>
      </c>
      <c r="C4311" s="50" t="s">
        <v>37</v>
      </c>
      <c r="D4311" s="51">
        <v>189404.39</v>
      </c>
      <c r="E4311" s="51" t="str">
        <f t="shared" si="1"/>
        <v>₹2,272,852.68</v>
      </c>
      <c r="F4311" s="52" t="str">
        <f t="shared" si="2"/>
        <v>30.0%</v>
      </c>
      <c r="G4311" s="51" t="str">
        <f t="shared" si="3"/>
        <v>₹681,855.80</v>
      </c>
      <c r="H4311" s="51" t="str">
        <f t="shared" si="4"/>
        <v>₹56,821.32</v>
      </c>
      <c r="I4311" s="51" t="str">
        <f>175578.99-H4311</f>
        <v>₹118,757.67</v>
      </c>
    </row>
    <row r="4312" ht="15.75" customHeight="1">
      <c r="A4312" s="53" t="s">
        <v>4396</v>
      </c>
      <c r="B4312" s="53" t="s">
        <v>53</v>
      </c>
      <c r="C4312" s="53" t="s">
        <v>18</v>
      </c>
      <c r="D4312" s="54">
        <v>161060.76</v>
      </c>
      <c r="E4312" s="54" t="str">
        <f t="shared" si="1"/>
        <v>₹1,932,729.12</v>
      </c>
      <c r="F4312" s="55" t="str">
        <f t="shared" si="2"/>
        <v>30.0%</v>
      </c>
      <c r="G4312" s="54" t="str">
        <f t="shared" si="3"/>
        <v>₹579,818.74</v>
      </c>
      <c r="H4312" s="54" t="str">
        <f t="shared" si="4"/>
        <v>₹48,318.23</v>
      </c>
      <c r="I4312" s="54" t="str">
        <f>139077.99-H4312</f>
        <v>₹90,759.76</v>
      </c>
    </row>
    <row r="4313" ht="15.75" customHeight="1">
      <c r="A4313" s="50" t="s">
        <v>4397</v>
      </c>
      <c r="B4313" s="50" t="s">
        <v>51</v>
      </c>
      <c r="C4313" s="50" t="s">
        <v>14</v>
      </c>
      <c r="D4313" s="51">
        <v>174518.71</v>
      </c>
      <c r="E4313" s="51" t="str">
        <f t="shared" si="1"/>
        <v>₹2,094,224.52</v>
      </c>
      <c r="F4313" s="52" t="str">
        <f t="shared" si="2"/>
        <v>30.0%</v>
      </c>
      <c r="G4313" s="51" t="str">
        <f t="shared" si="3"/>
        <v>₹628,267.36</v>
      </c>
      <c r="H4313" s="51" t="str">
        <f t="shared" si="4"/>
        <v>₹52,355.61</v>
      </c>
      <c r="I4313" s="51" t="str">
        <f>160701.88-H4313</f>
        <v>₹108,346.27</v>
      </c>
    </row>
    <row r="4314" ht="15.75" customHeight="1">
      <c r="A4314" s="53" t="s">
        <v>4398</v>
      </c>
      <c r="B4314" s="53" t="s">
        <v>51</v>
      </c>
      <c r="C4314" s="53" t="s">
        <v>54</v>
      </c>
      <c r="D4314" s="54">
        <v>121228.04</v>
      </c>
      <c r="E4314" s="54" t="str">
        <f t="shared" si="1"/>
        <v>₹1,454,736.48</v>
      </c>
      <c r="F4314" s="55" t="str">
        <f t="shared" si="2"/>
        <v>30.0%</v>
      </c>
      <c r="G4314" s="54" t="str">
        <f t="shared" si="3"/>
        <v>₹436,420.94</v>
      </c>
      <c r="H4314" s="54" t="str">
        <f t="shared" si="4"/>
        <v>₹36,368.41</v>
      </c>
      <c r="I4314" s="54" t="str">
        <f>114890.61-H4314</f>
        <v>₹78,522.20</v>
      </c>
    </row>
    <row r="4315" ht="15.75" customHeight="1">
      <c r="A4315" s="50" t="s">
        <v>4399</v>
      </c>
      <c r="B4315" s="50" t="s">
        <v>17</v>
      </c>
      <c r="C4315" s="50" t="s">
        <v>30</v>
      </c>
      <c r="D4315" s="51">
        <v>92902.21</v>
      </c>
      <c r="E4315" s="51" t="str">
        <f t="shared" si="1"/>
        <v>₹1,114,826.52</v>
      </c>
      <c r="F4315" s="52" t="str">
        <f t="shared" si="2"/>
        <v>30.0%</v>
      </c>
      <c r="G4315" s="51" t="str">
        <f t="shared" si="3"/>
        <v>₹334,447.96</v>
      </c>
      <c r="H4315" s="51" t="str">
        <f t="shared" si="4"/>
        <v>₹27,870.66</v>
      </c>
      <c r="I4315" s="51" t="str">
        <f>71550.46-H4315</f>
        <v>₹43,679.80</v>
      </c>
    </row>
    <row r="4316" ht="15.75" customHeight="1">
      <c r="A4316" s="53" t="s">
        <v>4400</v>
      </c>
      <c r="B4316" s="53" t="s">
        <v>13</v>
      </c>
      <c r="C4316" s="53" t="s">
        <v>37</v>
      </c>
      <c r="D4316" s="54">
        <v>149660.57</v>
      </c>
      <c r="E4316" s="54" t="str">
        <f t="shared" si="1"/>
        <v>₹1,795,926.84</v>
      </c>
      <c r="F4316" s="55" t="str">
        <f t="shared" si="2"/>
        <v>30.0%</v>
      </c>
      <c r="G4316" s="54" t="str">
        <f t="shared" si="3"/>
        <v>₹538,778.05</v>
      </c>
      <c r="H4316" s="54" t="str">
        <f t="shared" si="4"/>
        <v>₹44,898.17</v>
      </c>
      <c r="I4316" s="54" t="str">
        <f>135508.7-H4316</f>
        <v>₹90,610.53</v>
      </c>
    </row>
    <row r="4317" ht="15.75" customHeight="1">
      <c r="A4317" s="50" t="s">
        <v>4401</v>
      </c>
      <c r="B4317" s="50" t="s">
        <v>53</v>
      </c>
      <c r="C4317" s="50" t="s">
        <v>54</v>
      </c>
      <c r="D4317" s="51">
        <v>121101.61</v>
      </c>
      <c r="E4317" s="51" t="str">
        <f t="shared" si="1"/>
        <v>₹1,453,219.32</v>
      </c>
      <c r="F4317" s="52" t="str">
        <f t="shared" si="2"/>
        <v>30.0%</v>
      </c>
      <c r="G4317" s="51" t="str">
        <f t="shared" si="3"/>
        <v>₹435,965.80</v>
      </c>
      <c r="H4317" s="51" t="str">
        <f t="shared" si="4"/>
        <v>₹36,330.48</v>
      </c>
      <c r="I4317" s="51" t="str">
        <f>115534-H4317</f>
        <v>₹79,203.52</v>
      </c>
    </row>
    <row r="4318" ht="15.75" customHeight="1">
      <c r="A4318" s="53" t="s">
        <v>4402</v>
      </c>
      <c r="B4318" s="53" t="s">
        <v>29</v>
      </c>
      <c r="C4318" s="53" t="s">
        <v>18</v>
      </c>
      <c r="D4318" s="54">
        <v>98085.9</v>
      </c>
      <c r="E4318" s="54" t="str">
        <f t="shared" si="1"/>
        <v>₹1,177,030.80</v>
      </c>
      <c r="F4318" s="55" t="str">
        <f t="shared" si="2"/>
        <v>30.0%</v>
      </c>
      <c r="G4318" s="54" t="str">
        <f t="shared" si="3"/>
        <v>₹353,109.24</v>
      </c>
      <c r="H4318" s="54" t="str">
        <f t="shared" si="4"/>
        <v>₹29,425.77</v>
      </c>
      <c r="I4318" s="54" t="str">
        <f>82309.96-H4318</f>
        <v>₹52,884.19</v>
      </c>
    </row>
    <row r="4319" ht="15.75" customHeight="1">
      <c r="A4319" s="50" t="s">
        <v>4403</v>
      </c>
      <c r="B4319" s="50" t="s">
        <v>36</v>
      </c>
      <c r="C4319" s="50" t="s">
        <v>54</v>
      </c>
      <c r="D4319" s="51">
        <v>116513.31</v>
      </c>
      <c r="E4319" s="51" t="str">
        <f t="shared" si="1"/>
        <v>₹1,398,159.72</v>
      </c>
      <c r="F4319" s="52" t="str">
        <f t="shared" si="2"/>
        <v>30.0%</v>
      </c>
      <c r="G4319" s="51" t="str">
        <f t="shared" si="3"/>
        <v>₹419,447.92</v>
      </c>
      <c r="H4319" s="51" t="str">
        <f t="shared" si="4"/>
        <v>₹34,953.99</v>
      </c>
      <c r="I4319" s="51" t="str">
        <f>107249.25-H4319</f>
        <v>₹72,295.26</v>
      </c>
    </row>
    <row r="4320" ht="15.75" customHeight="1">
      <c r="A4320" s="53" t="s">
        <v>4404</v>
      </c>
      <c r="B4320" s="53" t="s">
        <v>25</v>
      </c>
      <c r="C4320" s="53" t="s">
        <v>18</v>
      </c>
      <c r="D4320" s="54">
        <v>74554.9</v>
      </c>
      <c r="E4320" s="54" t="str">
        <f t="shared" si="1"/>
        <v>₹894,658.80</v>
      </c>
      <c r="F4320" s="55" t="str">
        <f t="shared" si="2"/>
        <v>20.0%</v>
      </c>
      <c r="G4320" s="54" t="str">
        <f t="shared" si="3"/>
        <v>₹178,931.76</v>
      </c>
      <c r="H4320" s="54" t="str">
        <f t="shared" si="4"/>
        <v>₹14,910.98</v>
      </c>
      <c r="I4320" s="54" t="str">
        <f>53366.96-H4320</f>
        <v>₹38,455.98</v>
      </c>
    </row>
    <row r="4321" ht="15.75" customHeight="1">
      <c r="A4321" s="50" t="s">
        <v>4405</v>
      </c>
      <c r="B4321" s="50" t="s">
        <v>13</v>
      </c>
      <c r="C4321" s="50" t="s">
        <v>26</v>
      </c>
      <c r="D4321" s="51">
        <v>171891.95</v>
      </c>
      <c r="E4321" s="51" t="str">
        <f t="shared" si="1"/>
        <v>₹2,062,703.40</v>
      </c>
      <c r="F4321" s="52" t="str">
        <f t="shared" si="2"/>
        <v>30.0%</v>
      </c>
      <c r="G4321" s="51" t="str">
        <f t="shared" si="3"/>
        <v>₹618,811.02</v>
      </c>
      <c r="H4321" s="51" t="str">
        <f t="shared" si="4"/>
        <v>₹51,567.59</v>
      </c>
      <c r="I4321" s="51" t="str">
        <f>160286.11-H4321</f>
        <v>₹108,718.53</v>
      </c>
    </row>
    <row r="4322" ht="15.75" customHeight="1">
      <c r="A4322" s="53" t="s">
        <v>4406</v>
      </c>
      <c r="B4322" s="53" t="s">
        <v>36</v>
      </c>
      <c r="C4322" s="53" t="s">
        <v>37</v>
      </c>
      <c r="D4322" s="54">
        <v>96097.71</v>
      </c>
      <c r="E4322" s="54" t="str">
        <f t="shared" si="1"/>
        <v>₹1,153,172.52</v>
      </c>
      <c r="F4322" s="55" t="str">
        <f t="shared" si="2"/>
        <v>30.0%</v>
      </c>
      <c r="G4322" s="54" t="str">
        <f t="shared" si="3"/>
        <v>₹345,951.76</v>
      </c>
      <c r="H4322" s="54" t="str">
        <f t="shared" si="4"/>
        <v>₹28,829.31</v>
      </c>
      <c r="I4322" s="54" t="str">
        <f>77799.9-H4322</f>
        <v>₹48,970.59</v>
      </c>
    </row>
    <row r="4323" ht="15.75" customHeight="1">
      <c r="A4323" s="50" t="s">
        <v>4407</v>
      </c>
      <c r="B4323" s="50" t="s">
        <v>29</v>
      </c>
      <c r="C4323" s="50" t="s">
        <v>30</v>
      </c>
      <c r="D4323" s="51">
        <v>139084.98</v>
      </c>
      <c r="E4323" s="51" t="str">
        <f t="shared" si="1"/>
        <v>₹1,669,019.76</v>
      </c>
      <c r="F4323" s="52" t="str">
        <f t="shared" si="2"/>
        <v>30.0%</v>
      </c>
      <c r="G4323" s="51" t="str">
        <f t="shared" si="3"/>
        <v>₹500,705.93</v>
      </c>
      <c r="H4323" s="51" t="str">
        <f t="shared" si="4"/>
        <v>₹41,725.49</v>
      </c>
      <c r="I4323" s="51" t="str">
        <f>136244.34-H4323</f>
        <v>₹94,518.85</v>
      </c>
    </row>
    <row r="4324" ht="15.75" customHeight="1">
      <c r="A4324" s="53" t="s">
        <v>4408</v>
      </c>
      <c r="B4324" s="53" t="s">
        <v>51</v>
      </c>
      <c r="C4324" s="53" t="s">
        <v>30</v>
      </c>
      <c r="D4324" s="54">
        <v>98758.22</v>
      </c>
      <c r="E4324" s="54" t="str">
        <f t="shared" si="1"/>
        <v>₹1,185,098.64</v>
      </c>
      <c r="F4324" s="55" t="str">
        <f t="shared" si="2"/>
        <v>30.0%</v>
      </c>
      <c r="G4324" s="54" t="str">
        <f t="shared" si="3"/>
        <v>₹355,529.59</v>
      </c>
      <c r="H4324" s="54" t="str">
        <f t="shared" si="4"/>
        <v>₹29,627.47</v>
      </c>
      <c r="I4324" s="54" t="str">
        <f>88555.62-H4324</f>
        <v>₹58,928.15</v>
      </c>
    </row>
    <row r="4325" ht="15.75" customHeight="1">
      <c r="A4325" s="50" t="s">
        <v>4409</v>
      </c>
      <c r="B4325" s="50" t="s">
        <v>53</v>
      </c>
      <c r="C4325" s="50" t="s">
        <v>18</v>
      </c>
      <c r="D4325" s="51">
        <v>129065.48</v>
      </c>
      <c r="E4325" s="51" t="str">
        <f t="shared" si="1"/>
        <v>₹1,548,785.76</v>
      </c>
      <c r="F4325" s="52" t="str">
        <f t="shared" si="2"/>
        <v>30.0%</v>
      </c>
      <c r="G4325" s="51" t="str">
        <f t="shared" si="3"/>
        <v>₹464,635.73</v>
      </c>
      <c r="H4325" s="51" t="str">
        <f t="shared" si="4"/>
        <v>₹38,719.64</v>
      </c>
      <c r="I4325" s="51" t="str">
        <f>104476.06-H4325</f>
        <v>₹65,756.42</v>
      </c>
    </row>
    <row r="4326" ht="15.75" customHeight="1">
      <c r="A4326" s="53" t="s">
        <v>4410</v>
      </c>
      <c r="B4326" s="53" t="s">
        <v>29</v>
      </c>
      <c r="C4326" s="53" t="s">
        <v>30</v>
      </c>
      <c r="D4326" s="54">
        <v>142178.93</v>
      </c>
      <c r="E4326" s="54" t="str">
        <f t="shared" si="1"/>
        <v>₹1,706,147.16</v>
      </c>
      <c r="F4326" s="55" t="str">
        <f t="shared" si="2"/>
        <v>30.0%</v>
      </c>
      <c r="G4326" s="54" t="str">
        <f t="shared" si="3"/>
        <v>₹511,844.15</v>
      </c>
      <c r="H4326" s="54" t="str">
        <f t="shared" si="4"/>
        <v>₹42,653.68</v>
      </c>
      <c r="I4326" s="54" t="str">
        <f>121871.65-H4326</f>
        <v>₹79,217.97</v>
      </c>
    </row>
    <row r="4327" ht="15.75" customHeight="1">
      <c r="A4327" s="50" t="s">
        <v>4411</v>
      </c>
      <c r="B4327" s="50" t="s">
        <v>13</v>
      </c>
      <c r="C4327" s="50" t="s">
        <v>26</v>
      </c>
      <c r="D4327" s="51">
        <v>80826.09</v>
      </c>
      <c r="E4327" s="51" t="str">
        <f t="shared" si="1"/>
        <v>₹969,913.08</v>
      </c>
      <c r="F4327" s="52" t="str">
        <f t="shared" si="2"/>
        <v>20.0%</v>
      </c>
      <c r="G4327" s="51" t="str">
        <f t="shared" si="3"/>
        <v>₹193,982.62</v>
      </c>
      <c r="H4327" s="51" t="str">
        <f t="shared" si="4"/>
        <v>₹16,165.22</v>
      </c>
      <c r="I4327" s="51" t="str">
        <f>76407.54-H4327</f>
        <v>₹60,242.32</v>
      </c>
    </row>
    <row r="4328" ht="15.75" customHeight="1">
      <c r="A4328" s="53" t="s">
        <v>4412</v>
      </c>
      <c r="B4328" s="53" t="s">
        <v>51</v>
      </c>
      <c r="C4328" s="53" t="s">
        <v>14</v>
      </c>
      <c r="D4328" s="54">
        <v>189615.01</v>
      </c>
      <c r="E4328" s="54" t="str">
        <f t="shared" si="1"/>
        <v>₹2,275,380.12</v>
      </c>
      <c r="F4328" s="55" t="str">
        <f t="shared" si="2"/>
        <v>30.0%</v>
      </c>
      <c r="G4328" s="54" t="str">
        <f t="shared" si="3"/>
        <v>₹682,614.04</v>
      </c>
      <c r="H4328" s="54" t="str">
        <f t="shared" si="4"/>
        <v>₹56,884.50</v>
      </c>
      <c r="I4328" s="54" t="str">
        <f>182309.79-H4328</f>
        <v>₹125,425.29</v>
      </c>
    </row>
    <row r="4329" ht="15.75" customHeight="1">
      <c r="A4329" s="50" t="s">
        <v>4413</v>
      </c>
      <c r="B4329" s="50" t="s">
        <v>25</v>
      </c>
      <c r="C4329" s="50" t="s">
        <v>37</v>
      </c>
      <c r="D4329" s="51">
        <v>160372.82</v>
      </c>
      <c r="E4329" s="51" t="str">
        <f t="shared" si="1"/>
        <v>₹1,924,473.84</v>
      </c>
      <c r="F4329" s="52" t="str">
        <f t="shared" si="2"/>
        <v>30.0%</v>
      </c>
      <c r="G4329" s="51" t="str">
        <f t="shared" si="3"/>
        <v>₹577,342.15</v>
      </c>
      <c r="H4329" s="51" t="str">
        <f t="shared" si="4"/>
        <v>₹48,111.85</v>
      </c>
      <c r="I4329" s="51" t="str">
        <f>145738.38-H4329</f>
        <v>₹97,626.53</v>
      </c>
    </row>
    <row r="4330" ht="15.75" customHeight="1">
      <c r="A4330" s="53" t="s">
        <v>4414</v>
      </c>
      <c r="B4330" s="53" t="s">
        <v>25</v>
      </c>
      <c r="C4330" s="53" t="s">
        <v>54</v>
      </c>
      <c r="D4330" s="54">
        <v>182469.62</v>
      </c>
      <c r="E4330" s="54" t="str">
        <f t="shared" si="1"/>
        <v>₹2,189,635.44</v>
      </c>
      <c r="F4330" s="55" t="str">
        <f t="shared" si="2"/>
        <v>30.0%</v>
      </c>
      <c r="G4330" s="54" t="str">
        <f t="shared" si="3"/>
        <v>₹656,890.63</v>
      </c>
      <c r="H4330" s="54" t="str">
        <f t="shared" si="4"/>
        <v>₹54,740.89</v>
      </c>
      <c r="I4330" s="54" t="str">
        <f>166035.66-H4330</f>
        <v>₹111,294.77</v>
      </c>
    </row>
    <row r="4331" ht="15.75" customHeight="1">
      <c r="A4331" s="50" t="s">
        <v>4415</v>
      </c>
      <c r="B4331" s="50" t="s">
        <v>29</v>
      </c>
      <c r="C4331" s="50" t="s">
        <v>30</v>
      </c>
      <c r="D4331" s="51">
        <v>168171.8</v>
      </c>
      <c r="E4331" s="51" t="str">
        <f t="shared" si="1"/>
        <v>₹2,018,061.60</v>
      </c>
      <c r="F4331" s="52" t="str">
        <f t="shared" si="2"/>
        <v>30.0%</v>
      </c>
      <c r="G4331" s="51" t="str">
        <f t="shared" si="3"/>
        <v>₹605,418.48</v>
      </c>
      <c r="H4331" s="51" t="str">
        <f t="shared" si="4"/>
        <v>₹50,451.54</v>
      </c>
      <c r="I4331" s="51" t="str">
        <f>149125.43-H4331</f>
        <v>₹98,673.89</v>
      </c>
    </row>
    <row r="4332" ht="15.75" customHeight="1">
      <c r="A4332" s="53" t="s">
        <v>4416</v>
      </c>
      <c r="B4332" s="53" t="s">
        <v>51</v>
      </c>
      <c r="C4332" s="53" t="s">
        <v>54</v>
      </c>
      <c r="D4332" s="54">
        <v>145041.85</v>
      </c>
      <c r="E4332" s="54" t="str">
        <f t="shared" si="1"/>
        <v>₹1,740,502.20</v>
      </c>
      <c r="F4332" s="55" t="str">
        <f t="shared" si="2"/>
        <v>30.0%</v>
      </c>
      <c r="G4332" s="54" t="str">
        <f t="shared" si="3"/>
        <v>₹522,150.66</v>
      </c>
      <c r="H4332" s="54" t="str">
        <f t="shared" si="4"/>
        <v>₹43,512.56</v>
      </c>
      <c r="I4332" s="54" t="str">
        <f>126178.45-H4332</f>
        <v>₹82,665.90</v>
      </c>
    </row>
    <row r="4333" ht="15.75" customHeight="1">
      <c r="A4333" s="50" t="s">
        <v>4417</v>
      </c>
      <c r="B4333" s="50" t="s">
        <v>25</v>
      </c>
      <c r="C4333" s="50" t="s">
        <v>14</v>
      </c>
      <c r="D4333" s="51">
        <v>151587.43</v>
      </c>
      <c r="E4333" s="51" t="str">
        <f t="shared" si="1"/>
        <v>₹1,819,049.16</v>
      </c>
      <c r="F4333" s="52" t="str">
        <f t="shared" si="2"/>
        <v>30.0%</v>
      </c>
      <c r="G4333" s="51" t="str">
        <f t="shared" si="3"/>
        <v>₹545,714.75</v>
      </c>
      <c r="H4333" s="51" t="str">
        <f t="shared" si="4"/>
        <v>₹45,476.23</v>
      </c>
      <c r="I4333" s="51" t="str">
        <f>138595.52-H4333</f>
        <v>₹93,119.29</v>
      </c>
    </row>
    <row r="4334" ht="15.75" customHeight="1">
      <c r="A4334" s="53" t="s">
        <v>4418</v>
      </c>
      <c r="B4334" s="53" t="s">
        <v>51</v>
      </c>
      <c r="C4334" s="53" t="s">
        <v>26</v>
      </c>
      <c r="D4334" s="54">
        <v>92968.52</v>
      </c>
      <c r="E4334" s="54" t="str">
        <f t="shared" si="1"/>
        <v>₹1,115,622.24</v>
      </c>
      <c r="F4334" s="55" t="str">
        <f t="shared" si="2"/>
        <v>30.0%</v>
      </c>
      <c r="G4334" s="54" t="str">
        <f t="shared" si="3"/>
        <v>₹334,686.67</v>
      </c>
      <c r="H4334" s="54" t="str">
        <f t="shared" si="4"/>
        <v>₹27,890.56</v>
      </c>
      <c r="I4334" s="54" t="str">
        <f>72603.42-H4334</f>
        <v>₹44,712.86</v>
      </c>
    </row>
    <row r="4335" ht="15.75" customHeight="1">
      <c r="A4335" s="50" t="s">
        <v>4419</v>
      </c>
      <c r="B4335" s="50" t="s">
        <v>36</v>
      </c>
      <c r="C4335" s="50" t="s">
        <v>37</v>
      </c>
      <c r="D4335" s="51">
        <v>76245.99</v>
      </c>
      <c r="E4335" s="51" t="str">
        <f t="shared" si="1"/>
        <v>₹914,951.88</v>
      </c>
      <c r="F4335" s="52" t="str">
        <f t="shared" si="2"/>
        <v>20.0%</v>
      </c>
      <c r="G4335" s="51" t="str">
        <f t="shared" si="3"/>
        <v>₹182,990.38</v>
      </c>
      <c r="H4335" s="51" t="str">
        <f t="shared" si="4"/>
        <v>₹15,249.20</v>
      </c>
      <c r="I4335" s="51" t="str">
        <f>65037.58-H4335</f>
        <v>₹49,788.38</v>
      </c>
    </row>
    <row r="4336" ht="15.75" customHeight="1">
      <c r="A4336" s="53" t="s">
        <v>4420</v>
      </c>
      <c r="B4336" s="53" t="s">
        <v>36</v>
      </c>
      <c r="C4336" s="53" t="s">
        <v>33</v>
      </c>
      <c r="D4336" s="54">
        <v>91016.22</v>
      </c>
      <c r="E4336" s="54" t="str">
        <f t="shared" si="1"/>
        <v>₹1,092,194.64</v>
      </c>
      <c r="F4336" s="55" t="str">
        <f t="shared" si="2"/>
        <v>30.0%</v>
      </c>
      <c r="G4336" s="54" t="str">
        <f t="shared" si="3"/>
        <v>₹327,658.39</v>
      </c>
      <c r="H4336" s="54" t="str">
        <f t="shared" si="4"/>
        <v>₹27,304.87</v>
      </c>
      <c r="I4336" s="54" t="str">
        <f>87481.15-H4336</f>
        <v>₹60,176.28</v>
      </c>
    </row>
    <row r="4337" ht="15.75" customHeight="1">
      <c r="A4337" s="50" t="s">
        <v>4421</v>
      </c>
      <c r="B4337" s="50" t="s">
        <v>13</v>
      </c>
      <c r="C4337" s="50" t="s">
        <v>54</v>
      </c>
      <c r="D4337" s="51">
        <v>124108.49</v>
      </c>
      <c r="E4337" s="51" t="str">
        <f t="shared" si="1"/>
        <v>₹1,489,301.88</v>
      </c>
      <c r="F4337" s="52" t="str">
        <f t="shared" si="2"/>
        <v>30.0%</v>
      </c>
      <c r="G4337" s="51" t="str">
        <f t="shared" si="3"/>
        <v>₹446,790.56</v>
      </c>
      <c r="H4337" s="51" t="str">
        <f t="shared" si="4"/>
        <v>₹37,232.55</v>
      </c>
      <c r="I4337" s="51" t="str">
        <f>109779.66-H4337</f>
        <v>₹72,547.11</v>
      </c>
    </row>
    <row r="4338" ht="15.75" customHeight="1">
      <c r="A4338" s="53" t="s">
        <v>4422</v>
      </c>
      <c r="B4338" s="53" t="s">
        <v>29</v>
      </c>
      <c r="C4338" s="53" t="s">
        <v>14</v>
      </c>
      <c r="D4338" s="54">
        <v>105643.38</v>
      </c>
      <c r="E4338" s="54" t="str">
        <f t="shared" si="1"/>
        <v>₹1,267,720.56</v>
      </c>
      <c r="F4338" s="55" t="str">
        <f t="shared" si="2"/>
        <v>30.0%</v>
      </c>
      <c r="G4338" s="54" t="str">
        <f t="shared" si="3"/>
        <v>₹380,316.17</v>
      </c>
      <c r="H4338" s="54" t="str">
        <f t="shared" si="4"/>
        <v>₹31,693.01</v>
      </c>
      <c r="I4338" s="54" t="str">
        <f>81812-H4338</f>
        <v>₹50,118.99</v>
      </c>
    </row>
    <row r="4339" ht="15.75" customHeight="1">
      <c r="A4339" s="50" t="s">
        <v>4423</v>
      </c>
      <c r="B4339" s="50" t="s">
        <v>53</v>
      </c>
      <c r="C4339" s="50" t="s">
        <v>33</v>
      </c>
      <c r="D4339" s="51">
        <v>90316.63</v>
      </c>
      <c r="E4339" s="51" t="str">
        <f t="shared" si="1"/>
        <v>₹1,083,799.56</v>
      </c>
      <c r="F4339" s="52" t="str">
        <f t="shared" si="2"/>
        <v>30.0%</v>
      </c>
      <c r="G4339" s="51" t="str">
        <f t="shared" si="3"/>
        <v>₹325,139.87</v>
      </c>
      <c r="H4339" s="51" t="str">
        <f t="shared" si="4"/>
        <v>₹27,094.99</v>
      </c>
      <c r="I4339" s="51" t="str">
        <f>70388.29-H4339</f>
        <v>₹43,293.30</v>
      </c>
    </row>
    <row r="4340" ht="15.75" customHeight="1">
      <c r="A4340" s="53" t="s">
        <v>4424</v>
      </c>
      <c r="B4340" s="53" t="s">
        <v>17</v>
      </c>
      <c r="C4340" s="53" t="s">
        <v>37</v>
      </c>
      <c r="D4340" s="54">
        <v>168831.71</v>
      </c>
      <c r="E4340" s="54" t="str">
        <f t="shared" si="1"/>
        <v>₹2,025,980.52</v>
      </c>
      <c r="F4340" s="55" t="str">
        <f t="shared" si="2"/>
        <v>30.0%</v>
      </c>
      <c r="G4340" s="54" t="str">
        <f t="shared" si="3"/>
        <v>₹607,794.16</v>
      </c>
      <c r="H4340" s="54" t="str">
        <f t="shared" si="4"/>
        <v>₹50,649.51</v>
      </c>
      <c r="I4340" s="54" t="str">
        <f>154153.54-H4340</f>
        <v>₹103,504.03</v>
      </c>
    </row>
    <row r="4341" ht="15.75" customHeight="1">
      <c r="A4341" s="50" t="s">
        <v>4425</v>
      </c>
      <c r="B4341" s="50" t="s">
        <v>29</v>
      </c>
      <c r="C4341" s="50" t="s">
        <v>18</v>
      </c>
      <c r="D4341" s="51">
        <v>100836.92</v>
      </c>
      <c r="E4341" s="51" t="str">
        <f t="shared" si="1"/>
        <v>₹1,210,043.04</v>
      </c>
      <c r="F4341" s="52" t="str">
        <f t="shared" si="2"/>
        <v>30.0%</v>
      </c>
      <c r="G4341" s="51" t="str">
        <f t="shared" si="3"/>
        <v>₹363,012.91</v>
      </c>
      <c r="H4341" s="51" t="str">
        <f t="shared" si="4"/>
        <v>₹30,251.08</v>
      </c>
      <c r="I4341" s="51" t="str">
        <f>84490.18-H4341</f>
        <v>₹54,239.10</v>
      </c>
    </row>
    <row r="4342" ht="15.75" customHeight="1">
      <c r="A4342" s="53" t="s">
        <v>4426</v>
      </c>
      <c r="B4342" s="53" t="s">
        <v>51</v>
      </c>
      <c r="C4342" s="53" t="s">
        <v>30</v>
      </c>
      <c r="D4342" s="54">
        <v>114934.92</v>
      </c>
      <c r="E4342" s="54" t="str">
        <f t="shared" si="1"/>
        <v>₹1,379,219.04</v>
      </c>
      <c r="F4342" s="55" t="str">
        <f t="shared" si="2"/>
        <v>30.0%</v>
      </c>
      <c r="G4342" s="54" t="str">
        <f t="shared" si="3"/>
        <v>₹413,765.71</v>
      </c>
      <c r="H4342" s="54" t="str">
        <f t="shared" si="4"/>
        <v>₹34,480.48</v>
      </c>
      <c r="I4342" s="54" t="str">
        <f>91636.15-H4342</f>
        <v>₹57,155.67</v>
      </c>
    </row>
    <row r="4343" ht="15.75" customHeight="1">
      <c r="A4343" s="50" t="s">
        <v>4427</v>
      </c>
      <c r="B4343" s="50" t="s">
        <v>13</v>
      </c>
      <c r="C4343" s="50" t="s">
        <v>33</v>
      </c>
      <c r="D4343" s="51">
        <v>114969.65</v>
      </c>
      <c r="E4343" s="51" t="str">
        <f t="shared" si="1"/>
        <v>₹1,379,635.80</v>
      </c>
      <c r="F4343" s="52" t="str">
        <f t="shared" si="2"/>
        <v>30.0%</v>
      </c>
      <c r="G4343" s="51" t="str">
        <f t="shared" si="3"/>
        <v>₹413,890.74</v>
      </c>
      <c r="H4343" s="51" t="str">
        <f t="shared" si="4"/>
        <v>₹34,490.90</v>
      </c>
      <c r="I4343" s="51" t="str">
        <f>103975.25-H4343</f>
        <v>₹69,484.36</v>
      </c>
    </row>
    <row r="4344" ht="15.75" customHeight="1">
      <c r="A4344" s="53" t="s">
        <v>4428</v>
      </c>
      <c r="B4344" s="53" t="s">
        <v>13</v>
      </c>
      <c r="C4344" s="53" t="s">
        <v>37</v>
      </c>
      <c r="D4344" s="54">
        <v>73623.34</v>
      </c>
      <c r="E4344" s="54" t="str">
        <f t="shared" si="1"/>
        <v>₹883,480.08</v>
      </c>
      <c r="F4344" s="55" t="str">
        <f t="shared" si="2"/>
        <v>20.0%</v>
      </c>
      <c r="G4344" s="54" t="str">
        <f t="shared" si="3"/>
        <v>₹176,696.02</v>
      </c>
      <c r="H4344" s="54" t="str">
        <f t="shared" si="4"/>
        <v>₹14,724.67</v>
      </c>
      <c r="I4344" s="54" t="str">
        <f>65004.18-H4344</f>
        <v>₹50,279.51</v>
      </c>
    </row>
    <row r="4345" ht="15.75" customHeight="1">
      <c r="A4345" s="50" t="s">
        <v>4429</v>
      </c>
      <c r="B4345" s="50" t="s">
        <v>17</v>
      </c>
      <c r="C4345" s="50" t="s">
        <v>33</v>
      </c>
      <c r="D4345" s="51">
        <v>173779.73</v>
      </c>
      <c r="E4345" s="51" t="str">
        <f t="shared" si="1"/>
        <v>₹2,085,356.76</v>
      </c>
      <c r="F4345" s="52" t="str">
        <f t="shared" si="2"/>
        <v>30.0%</v>
      </c>
      <c r="G4345" s="51" t="str">
        <f t="shared" si="3"/>
        <v>₹625,607.03</v>
      </c>
      <c r="H4345" s="51" t="str">
        <f t="shared" si="4"/>
        <v>₹52,133.92</v>
      </c>
      <c r="I4345" s="51" t="str">
        <f>149337.31-H4345</f>
        <v>₹97,203.39</v>
      </c>
    </row>
    <row r="4346" ht="15.75" customHeight="1">
      <c r="A4346" s="53" t="s">
        <v>4430</v>
      </c>
      <c r="B4346" s="53" t="s">
        <v>25</v>
      </c>
      <c r="C4346" s="53" t="s">
        <v>14</v>
      </c>
      <c r="D4346" s="54">
        <v>86393.29</v>
      </c>
      <c r="E4346" s="54" t="str">
        <f t="shared" si="1"/>
        <v>₹1,036,719.48</v>
      </c>
      <c r="F4346" s="55" t="str">
        <f t="shared" si="2"/>
        <v>30.0%</v>
      </c>
      <c r="G4346" s="54" t="str">
        <f t="shared" si="3"/>
        <v>₹311,015.84</v>
      </c>
      <c r="H4346" s="54" t="str">
        <f t="shared" si="4"/>
        <v>₹25,917.99</v>
      </c>
      <c r="I4346" s="54" t="str">
        <f>71758.85-H4346</f>
        <v>₹45,840.86</v>
      </c>
    </row>
    <row r="4347" ht="15.75" customHeight="1">
      <c r="A4347" s="50" t="s">
        <v>4431</v>
      </c>
      <c r="B4347" s="50" t="s">
        <v>51</v>
      </c>
      <c r="C4347" s="50" t="s">
        <v>37</v>
      </c>
      <c r="D4347" s="51">
        <v>188426.02</v>
      </c>
      <c r="E4347" s="51" t="str">
        <f t="shared" si="1"/>
        <v>₹2,261,112.24</v>
      </c>
      <c r="F4347" s="52" t="str">
        <f t="shared" si="2"/>
        <v>30.0%</v>
      </c>
      <c r="G4347" s="51" t="str">
        <f t="shared" si="3"/>
        <v>₹678,333.67</v>
      </c>
      <c r="H4347" s="51" t="str">
        <f t="shared" si="4"/>
        <v>₹56,527.81</v>
      </c>
      <c r="I4347" s="51" t="str">
        <f>180011.45-H4347</f>
        <v>₹123,483.64</v>
      </c>
    </row>
    <row r="4348" ht="15.75" customHeight="1">
      <c r="A4348" s="53" t="s">
        <v>4432</v>
      </c>
      <c r="B4348" s="53" t="s">
        <v>51</v>
      </c>
      <c r="C4348" s="53" t="s">
        <v>37</v>
      </c>
      <c r="D4348" s="54">
        <v>147084.19</v>
      </c>
      <c r="E4348" s="54" t="str">
        <f t="shared" si="1"/>
        <v>₹1,765,010.28</v>
      </c>
      <c r="F4348" s="55" t="str">
        <f t="shared" si="2"/>
        <v>30.0%</v>
      </c>
      <c r="G4348" s="54" t="str">
        <f t="shared" si="3"/>
        <v>₹529,503.08</v>
      </c>
      <c r="H4348" s="54" t="str">
        <f t="shared" si="4"/>
        <v>₹44,125.26</v>
      </c>
      <c r="I4348" s="54" t="str">
        <f>135221.57-H4348</f>
        <v>₹91,096.31</v>
      </c>
    </row>
    <row r="4349" ht="15.75" customHeight="1">
      <c r="A4349" s="50" t="s">
        <v>4433</v>
      </c>
      <c r="B4349" s="50" t="s">
        <v>13</v>
      </c>
      <c r="C4349" s="50" t="s">
        <v>18</v>
      </c>
      <c r="D4349" s="51">
        <v>99548.87</v>
      </c>
      <c r="E4349" s="51" t="str">
        <f t="shared" si="1"/>
        <v>₹1,194,586.44</v>
      </c>
      <c r="F4349" s="52" t="str">
        <f t="shared" si="2"/>
        <v>30.0%</v>
      </c>
      <c r="G4349" s="51" t="str">
        <f t="shared" si="3"/>
        <v>₹358,375.93</v>
      </c>
      <c r="H4349" s="51" t="str">
        <f t="shared" si="4"/>
        <v>₹29,864.66</v>
      </c>
      <c r="I4349" s="51" t="str">
        <f>88879.46-H4349</f>
        <v>₹59,014.80</v>
      </c>
    </row>
    <row r="4350" ht="15.75" customHeight="1">
      <c r="A4350" s="53" t="s">
        <v>4434</v>
      </c>
      <c r="B4350" s="53" t="s">
        <v>53</v>
      </c>
      <c r="C4350" s="53" t="s">
        <v>30</v>
      </c>
      <c r="D4350" s="54">
        <v>76310.52</v>
      </c>
      <c r="E4350" s="54" t="str">
        <f t="shared" si="1"/>
        <v>₹915,726.24</v>
      </c>
      <c r="F4350" s="55" t="str">
        <f t="shared" si="2"/>
        <v>20.0%</v>
      </c>
      <c r="G4350" s="54" t="str">
        <f t="shared" si="3"/>
        <v>₹183,145.25</v>
      </c>
      <c r="H4350" s="54" t="str">
        <f t="shared" si="4"/>
        <v>₹15,262.10</v>
      </c>
      <c r="I4350" s="54" t="str">
        <f>72157.68-H4350</f>
        <v>₹56,895.58</v>
      </c>
    </row>
    <row r="4351" ht="15.75" customHeight="1">
      <c r="A4351" s="50" t="s">
        <v>4435</v>
      </c>
      <c r="B4351" s="50" t="s">
        <v>13</v>
      </c>
      <c r="C4351" s="50" t="s">
        <v>37</v>
      </c>
      <c r="D4351" s="51">
        <v>161682.52</v>
      </c>
      <c r="E4351" s="51" t="str">
        <f t="shared" si="1"/>
        <v>₹1,940,190.24</v>
      </c>
      <c r="F4351" s="52" t="str">
        <f t="shared" si="2"/>
        <v>30.0%</v>
      </c>
      <c r="G4351" s="51" t="str">
        <f t="shared" si="3"/>
        <v>₹582,057.07</v>
      </c>
      <c r="H4351" s="51" t="str">
        <f t="shared" si="4"/>
        <v>₹48,504.76</v>
      </c>
      <c r="I4351" s="51" t="str">
        <f>137715.95-H4351</f>
        <v>₹89,211.19</v>
      </c>
    </row>
    <row r="4352" ht="15.75" customHeight="1">
      <c r="A4352" s="53" t="s">
        <v>4436</v>
      </c>
      <c r="B4352" s="53" t="s">
        <v>17</v>
      </c>
      <c r="C4352" s="53" t="s">
        <v>14</v>
      </c>
      <c r="D4352" s="54">
        <v>153144.54</v>
      </c>
      <c r="E4352" s="54" t="str">
        <f t="shared" si="1"/>
        <v>₹1,837,734.48</v>
      </c>
      <c r="F4352" s="55" t="str">
        <f t="shared" si="2"/>
        <v>30.0%</v>
      </c>
      <c r="G4352" s="54" t="str">
        <f t="shared" si="3"/>
        <v>₹551,320.34</v>
      </c>
      <c r="H4352" s="54" t="str">
        <f t="shared" si="4"/>
        <v>₹45,943.36</v>
      </c>
      <c r="I4352" s="54" t="str">
        <f>142738.89-H4352</f>
        <v>₹96,795.53</v>
      </c>
    </row>
    <row r="4353" ht="15.75" customHeight="1">
      <c r="A4353" s="50" t="s">
        <v>4437</v>
      </c>
      <c r="B4353" s="50" t="s">
        <v>53</v>
      </c>
      <c r="C4353" s="50" t="s">
        <v>37</v>
      </c>
      <c r="D4353" s="51">
        <v>151619.71</v>
      </c>
      <c r="E4353" s="51" t="str">
        <f t="shared" si="1"/>
        <v>₹1,819,436.52</v>
      </c>
      <c r="F4353" s="52" t="str">
        <f t="shared" si="2"/>
        <v>30.0%</v>
      </c>
      <c r="G4353" s="51" t="str">
        <f t="shared" si="3"/>
        <v>₹545,830.96</v>
      </c>
      <c r="H4353" s="51" t="str">
        <f t="shared" si="4"/>
        <v>₹45,485.91</v>
      </c>
      <c r="I4353" s="51" t="str">
        <f>129674.15-H4353</f>
        <v>₹84,188.24</v>
      </c>
    </row>
    <row r="4354" ht="15.75" customHeight="1">
      <c r="A4354" s="53" t="s">
        <v>4438</v>
      </c>
      <c r="B4354" s="53" t="s">
        <v>53</v>
      </c>
      <c r="C4354" s="53" t="s">
        <v>37</v>
      </c>
      <c r="D4354" s="54">
        <v>150798.35</v>
      </c>
      <c r="E4354" s="54" t="str">
        <f t="shared" si="1"/>
        <v>₹1,809,580.20</v>
      </c>
      <c r="F4354" s="55" t="str">
        <f t="shared" si="2"/>
        <v>30.0%</v>
      </c>
      <c r="G4354" s="54" t="str">
        <f t="shared" si="3"/>
        <v>₹542,874.06</v>
      </c>
      <c r="H4354" s="54" t="str">
        <f t="shared" si="4"/>
        <v>₹45,239.51</v>
      </c>
      <c r="I4354" s="54" t="str">
        <f>145659.12-H4354</f>
        <v>₹100,419.62</v>
      </c>
    </row>
    <row r="4355" ht="15.75" customHeight="1">
      <c r="A4355" s="50" t="s">
        <v>4439</v>
      </c>
      <c r="B4355" s="50" t="s">
        <v>25</v>
      </c>
      <c r="C4355" s="50" t="s">
        <v>54</v>
      </c>
      <c r="D4355" s="51">
        <v>72084.3</v>
      </c>
      <c r="E4355" s="51" t="str">
        <f t="shared" si="1"/>
        <v>₹865,011.60</v>
      </c>
      <c r="F4355" s="52" t="str">
        <f t="shared" si="2"/>
        <v>20.0%</v>
      </c>
      <c r="G4355" s="51" t="str">
        <f t="shared" si="3"/>
        <v>₹173,002.32</v>
      </c>
      <c r="H4355" s="51" t="str">
        <f t="shared" si="4"/>
        <v>₹14,416.86</v>
      </c>
      <c r="I4355" s="51" t="str">
        <f>58161.47-H4355</f>
        <v>₹43,744.61</v>
      </c>
    </row>
    <row r="4356" ht="15.75" customHeight="1">
      <c r="A4356" s="53" t="s">
        <v>4440</v>
      </c>
      <c r="B4356" s="53" t="s">
        <v>17</v>
      </c>
      <c r="C4356" s="53" t="s">
        <v>30</v>
      </c>
      <c r="D4356" s="54">
        <v>119691.9</v>
      </c>
      <c r="E4356" s="54" t="str">
        <f t="shared" si="1"/>
        <v>₹1,436,302.80</v>
      </c>
      <c r="F4356" s="55" t="str">
        <f t="shared" si="2"/>
        <v>30.0%</v>
      </c>
      <c r="G4356" s="54" t="str">
        <f t="shared" si="3"/>
        <v>₹430,890.84</v>
      </c>
      <c r="H4356" s="54" t="str">
        <f t="shared" si="4"/>
        <v>₹35,907.57</v>
      </c>
      <c r="I4356" s="54" t="str">
        <f>118604.85-H4356</f>
        <v>₹82,697.28</v>
      </c>
    </row>
    <row r="4357" ht="15.75" customHeight="1">
      <c r="A4357" s="50" t="s">
        <v>4441</v>
      </c>
      <c r="B4357" s="50" t="s">
        <v>25</v>
      </c>
      <c r="C4357" s="50" t="s">
        <v>14</v>
      </c>
      <c r="D4357" s="51">
        <v>74703.81</v>
      </c>
      <c r="E4357" s="51" t="str">
        <f t="shared" si="1"/>
        <v>₹896,445.72</v>
      </c>
      <c r="F4357" s="52" t="str">
        <f t="shared" si="2"/>
        <v>20.0%</v>
      </c>
      <c r="G4357" s="51" t="str">
        <f t="shared" si="3"/>
        <v>₹179,289.14</v>
      </c>
      <c r="H4357" s="51" t="str">
        <f t="shared" si="4"/>
        <v>₹14,940.76</v>
      </c>
      <c r="I4357" s="51" t="str">
        <f>55480.41-H4357</f>
        <v>₹40,539.65</v>
      </c>
    </row>
    <row r="4358" ht="15.75" customHeight="1">
      <c r="A4358" s="53" t="s">
        <v>4442</v>
      </c>
      <c r="B4358" s="53" t="s">
        <v>53</v>
      </c>
      <c r="C4358" s="53" t="s">
        <v>54</v>
      </c>
      <c r="D4358" s="54">
        <v>169950.05</v>
      </c>
      <c r="E4358" s="54" t="str">
        <f t="shared" si="1"/>
        <v>₹2,039,400.60</v>
      </c>
      <c r="F4358" s="55" t="str">
        <f t="shared" si="2"/>
        <v>30.0%</v>
      </c>
      <c r="G4358" s="54" t="str">
        <f t="shared" si="3"/>
        <v>₹611,820.18</v>
      </c>
      <c r="H4358" s="54" t="str">
        <f t="shared" si="4"/>
        <v>₹50,985.02</v>
      </c>
      <c r="I4358" s="54" t="str">
        <f>155217.66-H4358</f>
        <v>₹104,232.65</v>
      </c>
    </row>
    <row r="4359" ht="15.75" customHeight="1">
      <c r="A4359" s="50" t="s">
        <v>4443</v>
      </c>
      <c r="B4359" s="50" t="s">
        <v>36</v>
      </c>
      <c r="C4359" s="50" t="s">
        <v>33</v>
      </c>
      <c r="D4359" s="51">
        <v>128253.39</v>
      </c>
      <c r="E4359" s="51" t="str">
        <f t="shared" si="1"/>
        <v>₹1,539,040.68</v>
      </c>
      <c r="F4359" s="52" t="str">
        <f t="shared" si="2"/>
        <v>30.0%</v>
      </c>
      <c r="G4359" s="51" t="str">
        <f t="shared" si="3"/>
        <v>₹461,712.20</v>
      </c>
      <c r="H4359" s="51" t="str">
        <f t="shared" si="4"/>
        <v>₹38,476.02</v>
      </c>
      <c r="I4359" s="51" t="str">
        <f>112426.45-H4359</f>
        <v>₹73,950.43</v>
      </c>
    </row>
    <row r="4360" ht="15.75" customHeight="1">
      <c r="A4360" s="53" t="s">
        <v>4444</v>
      </c>
      <c r="B4360" s="53" t="s">
        <v>25</v>
      </c>
      <c r="C4360" s="53" t="s">
        <v>26</v>
      </c>
      <c r="D4360" s="54">
        <v>111670.97</v>
      </c>
      <c r="E4360" s="54" t="str">
        <f t="shared" si="1"/>
        <v>₹1,340,051.64</v>
      </c>
      <c r="F4360" s="55" t="str">
        <f t="shared" si="2"/>
        <v>30.0%</v>
      </c>
      <c r="G4360" s="54" t="str">
        <f t="shared" si="3"/>
        <v>₹402,015.49</v>
      </c>
      <c r="H4360" s="54" t="str">
        <f t="shared" si="4"/>
        <v>₹33,501.29</v>
      </c>
      <c r="I4360" s="54" t="str">
        <f>109903.81-H4360</f>
        <v>₹76,402.52</v>
      </c>
    </row>
    <row r="4361" ht="15.75" customHeight="1">
      <c r="A4361" s="50" t="s">
        <v>4445</v>
      </c>
      <c r="B4361" s="50" t="s">
        <v>13</v>
      </c>
      <c r="C4361" s="50" t="s">
        <v>30</v>
      </c>
      <c r="D4361" s="51">
        <v>87990.92</v>
      </c>
      <c r="E4361" s="51" t="str">
        <f t="shared" si="1"/>
        <v>₹1,055,891.04</v>
      </c>
      <c r="F4361" s="52" t="str">
        <f t="shared" si="2"/>
        <v>30.0%</v>
      </c>
      <c r="G4361" s="51" t="str">
        <f t="shared" si="3"/>
        <v>₹316,767.31</v>
      </c>
      <c r="H4361" s="51" t="str">
        <f t="shared" si="4"/>
        <v>₹26,397.28</v>
      </c>
      <c r="I4361" s="51" t="str">
        <f>82320.48-H4361</f>
        <v>₹55,923.20</v>
      </c>
    </row>
    <row r="4362" ht="15.75" customHeight="1">
      <c r="A4362" s="53" t="s">
        <v>4446</v>
      </c>
      <c r="B4362" s="53" t="s">
        <v>17</v>
      </c>
      <c r="C4362" s="53" t="s">
        <v>33</v>
      </c>
      <c r="D4362" s="54">
        <v>94956.99</v>
      </c>
      <c r="E4362" s="54" t="str">
        <f t="shared" si="1"/>
        <v>₹1,139,483.88</v>
      </c>
      <c r="F4362" s="55" t="str">
        <f t="shared" si="2"/>
        <v>30.0%</v>
      </c>
      <c r="G4362" s="54" t="str">
        <f t="shared" si="3"/>
        <v>₹341,845.16</v>
      </c>
      <c r="H4362" s="54" t="str">
        <f t="shared" si="4"/>
        <v>₹28,487.10</v>
      </c>
      <c r="I4362" s="54" t="str">
        <f>92635.88-H4362</f>
        <v>₹64,148.78</v>
      </c>
    </row>
    <row r="4363" ht="15.75" customHeight="1">
      <c r="A4363" s="50" t="s">
        <v>4447</v>
      </c>
      <c r="B4363" s="50" t="s">
        <v>51</v>
      </c>
      <c r="C4363" s="50" t="s">
        <v>26</v>
      </c>
      <c r="D4363" s="51">
        <v>90740.04</v>
      </c>
      <c r="E4363" s="51" t="str">
        <f t="shared" si="1"/>
        <v>₹1,088,880.48</v>
      </c>
      <c r="F4363" s="52" t="str">
        <f t="shared" si="2"/>
        <v>30.0%</v>
      </c>
      <c r="G4363" s="51" t="str">
        <f t="shared" si="3"/>
        <v>₹326,664.14</v>
      </c>
      <c r="H4363" s="51" t="str">
        <f t="shared" si="4"/>
        <v>₹27,222.01</v>
      </c>
      <c r="I4363" s="51" t="str">
        <f>83161.64-H4363</f>
        <v>₹55,939.63</v>
      </c>
    </row>
    <row r="4364" ht="15.75" customHeight="1">
      <c r="A4364" s="53" t="s">
        <v>4448</v>
      </c>
      <c r="B4364" s="53" t="s">
        <v>25</v>
      </c>
      <c r="C4364" s="53" t="s">
        <v>14</v>
      </c>
      <c r="D4364" s="54">
        <v>135769.21</v>
      </c>
      <c r="E4364" s="54" t="str">
        <f t="shared" si="1"/>
        <v>₹1,629,230.52</v>
      </c>
      <c r="F4364" s="55" t="str">
        <f t="shared" si="2"/>
        <v>30.0%</v>
      </c>
      <c r="G4364" s="54" t="str">
        <f t="shared" si="3"/>
        <v>₹488,769.16</v>
      </c>
      <c r="H4364" s="54" t="str">
        <f t="shared" si="4"/>
        <v>₹40,730.76</v>
      </c>
      <c r="I4364" s="54" t="str">
        <f>119896.95-H4364</f>
        <v>₹79,166.19</v>
      </c>
    </row>
    <row r="4365" ht="15.75" customHeight="1">
      <c r="A4365" s="50" t="s">
        <v>4449</v>
      </c>
      <c r="B4365" s="50" t="s">
        <v>53</v>
      </c>
      <c r="C4365" s="50" t="s">
        <v>54</v>
      </c>
      <c r="D4365" s="51">
        <v>143212.61</v>
      </c>
      <c r="E4365" s="51" t="str">
        <f t="shared" si="1"/>
        <v>₹1,718,551.32</v>
      </c>
      <c r="F4365" s="52" t="str">
        <f t="shared" si="2"/>
        <v>30.0%</v>
      </c>
      <c r="G4365" s="51" t="str">
        <f t="shared" si="3"/>
        <v>₹515,565.40</v>
      </c>
      <c r="H4365" s="51" t="str">
        <f t="shared" si="4"/>
        <v>₹42,963.78</v>
      </c>
      <c r="I4365" s="51" t="str">
        <f>128841.05-H4365</f>
        <v>₹85,877.27</v>
      </c>
    </row>
    <row r="4366" ht="15.75" customHeight="1">
      <c r="A4366" s="53" t="s">
        <v>4450</v>
      </c>
      <c r="B4366" s="53" t="s">
        <v>53</v>
      </c>
      <c r="C4366" s="53" t="s">
        <v>26</v>
      </c>
      <c r="D4366" s="54">
        <v>178198.28</v>
      </c>
      <c r="E4366" s="54" t="str">
        <f t="shared" si="1"/>
        <v>₹2,138,379.36</v>
      </c>
      <c r="F4366" s="55" t="str">
        <f t="shared" si="2"/>
        <v>30.0%</v>
      </c>
      <c r="G4366" s="54" t="str">
        <f t="shared" si="3"/>
        <v>₹641,513.81</v>
      </c>
      <c r="H4366" s="54" t="str">
        <f t="shared" si="4"/>
        <v>₹53,459.48</v>
      </c>
      <c r="I4366" s="54" t="str">
        <f>162700.61-H4366</f>
        <v>₹109,241.13</v>
      </c>
    </row>
    <row r="4367" ht="15.75" customHeight="1">
      <c r="A4367" s="50" t="s">
        <v>4451</v>
      </c>
      <c r="B4367" s="50" t="s">
        <v>25</v>
      </c>
      <c r="C4367" s="50" t="s">
        <v>33</v>
      </c>
      <c r="D4367" s="51">
        <v>105671.01</v>
      </c>
      <c r="E4367" s="51" t="str">
        <f t="shared" si="1"/>
        <v>₹1,268,052.12</v>
      </c>
      <c r="F4367" s="52" t="str">
        <f t="shared" si="2"/>
        <v>30.0%</v>
      </c>
      <c r="G4367" s="51" t="str">
        <f t="shared" si="3"/>
        <v>₹380,415.64</v>
      </c>
      <c r="H4367" s="51" t="str">
        <f t="shared" si="4"/>
        <v>₹31,701.30</v>
      </c>
      <c r="I4367" s="51" t="str">
        <f>91714.35-H4367</f>
        <v>₹60,013.05</v>
      </c>
    </row>
    <row r="4368" ht="15.75" customHeight="1">
      <c r="A4368" s="53" t="s">
        <v>4452</v>
      </c>
      <c r="B4368" s="53" t="s">
        <v>36</v>
      </c>
      <c r="C4368" s="53" t="s">
        <v>54</v>
      </c>
      <c r="D4368" s="54">
        <v>93463.08</v>
      </c>
      <c r="E4368" s="54" t="str">
        <f t="shared" si="1"/>
        <v>₹1,121,556.96</v>
      </c>
      <c r="F4368" s="55" t="str">
        <f t="shared" si="2"/>
        <v>30.0%</v>
      </c>
      <c r="G4368" s="54" t="str">
        <f t="shared" si="3"/>
        <v>₹336,467.09</v>
      </c>
      <c r="H4368" s="54" t="str">
        <f t="shared" si="4"/>
        <v>₹28,038.92</v>
      </c>
      <c r="I4368" s="54" t="str">
        <f>86273.87-H4368</f>
        <v>₹58,234.95</v>
      </c>
    </row>
    <row r="4369" ht="15.75" customHeight="1">
      <c r="A4369" s="50" t="s">
        <v>4453</v>
      </c>
      <c r="B4369" s="50" t="s">
        <v>53</v>
      </c>
      <c r="C4369" s="50" t="s">
        <v>37</v>
      </c>
      <c r="D4369" s="51">
        <v>141662.08</v>
      </c>
      <c r="E4369" s="51" t="str">
        <f t="shared" si="1"/>
        <v>₹1,699,944.96</v>
      </c>
      <c r="F4369" s="52" t="str">
        <f t="shared" si="2"/>
        <v>30.0%</v>
      </c>
      <c r="G4369" s="51" t="str">
        <f t="shared" si="3"/>
        <v>₹509,983.49</v>
      </c>
      <c r="H4369" s="51" t="str">
        <f t="shared" si="4"/>
        <v>₹42,498.62</v>
      </c>
      <c r="I4369" s="51" t="str">
        <f>135171.65-H4369</f>
        <v>₹92,673.03</v>
      </c>
    </row>
    <row r="4370" ht="15.75" customHeight="1">
      <c r="A4370" s="53" t="s">
        <v>4454</v>
      </c>
      <c r="B4370" s="53" t="s">
        <v>25</v>
      </c>
      <c r="C4370" s="53" t="s">
        <v>26</v>
      </c>
      <c r="D4370" s="54">
        <v>151601.04</v>
      </c>
      <c r="E4370" s="54" t="str">
        <f t="shared" si="1"/>
        <v>₹1,819,212.48</v>
      </c>
      <c r="F4370" s="55" t="str">
        <f t="shared" si="2"/>
        <v>30.0%</v>
      </c>
      <c r="G4370" s="54" t="str">
        <f t="shared" si="3"/>
        <v>₹545,763.74</v>
      </c>
      <c r="H4370" s="54" t="str">
        <f t="shared" si="4"/>
        <v>₹45,480.31</v>
      </c>
      <c r="I4370" s="54" t="str">
        <f>147743.08-H4370</f>
        <v>₹102,262.77</v>
      </c>
    </row>
    <row r="4371" ht="15.75" customHeight="1">
      <c r="A4371" s="50" t="s">
        <v>4455</v>
      </c>
      <c r="B4371" s="50" t="s">
        <v>13</v>
      </c>
      <c r="C4371" s="50" t="s">
        <v>37</v>
      </c>
      <c r="D4371" s="51">
        <v>146872.32</v>
      </c>
      <c r="E4371" s="51" t="str">
        <f t="shared" si="1"/>
        <v>₹1,762,467.84</v>
      </c>
      <c r="F4371" s="52" t="str">
        <f t="shared" si="2"/>
        <v>30.0%</v>
      </c>
      <c r="G4371" s="51" t="str">
        <f t="shared" si="3"/>
        <v>₹528,740.35</v>
      </c>
      <c r="H4371" s="51" t="str">
        <f t="shared" si="4"/>
        <v>₹44,061.70</v>
      </c>
      <c r="I4371" s="51" t="str">
        <f>125570.08-H4371</f>
        <v>₹81,508.38</v>
      </c>
    </row>
    <row r="4372" ht="15.75" customHeight="1">
      <c r="A4372" s="53" t="s">
        <v>4456</v>
      </c>
      <c r="B4372" s="53" t="s">
        <v>53</v>
      </c>
      <c r="C4372" s="53" t="s">
        <v>26</v>
      </c>
      <c r="D4372" s="54">
        <v>147409.47</v>
      </c>
      <c r="E4372" s="54" t="str">
        <f t="shared" si="1"/>
        <v>₹1,768,913.64</v>
      </c>
      <c r="F4372" s="55" t="str">
        <f t="shared" si="2"/>
        <v>30.0%</v>
      </c>
      <c r="G4372" s="54" t="str">
        <f t="shared" si="3"/>
        <v>₹530,674.09</v>
      </c>
      <c r="H4372" s="54" t="str">
        <f t="shared" si="4"/>
        <v>₹44,222.84</v>
      </c>
      <c r="I4372" s="54" t="str">
        <f>131805.73-H4372</f>
        <v>₹87,582.89</v>
      </c>
    </row>
    <row r="4373" ht="15.75" customHeight="1">
      <c r="A4373" s="50" t="s">
        <v>4457</v>
      </c>
      <c r="B4373" s="50" t="s">
        <v>53</v>
      </c>
      <c r="C4373" s="50" t="s">
        <v>26</v>
      </c>
      <c r="D4373" s="51">
        <v>123115.3</v>
      </c>
      <c r="E4373" s="51" t="str">
        <f t="shared" si="1"/>
        <v>₹1,477,383.60</v>
      </c>
      <c r="F4373" s="52" t="str">
        <f t="shared" si="2"/>
        <v>30.0%</v>
      </c>
      <c r="G4373" s="51" t="str">
        <f t="shared" si="3"/>
        <v>₹443,215.08</v>
      </c>
      <c r="H4373" s="51" t="str">
        <f t="shared" si="4"/>
        <v>₹36,934.59</v>
      </c>
      <c r="I4373" s="51" t="str">
        <f>118045.78-H4373</f>
        <v>₹81,111.19</v>
      </c>
    </row>
    <row r="4374" ht="15.75" customHeight="1">
      <c r="A4374" s="53" t="s">
        <v>4458</v>
      </c>
      <c r="B4374" s="53" t="s">
        <v>17</v>
      </c>
      <c r="C4374" s="53" t="s">
        <v>30</v>
      </c>
      <c r="D4374" s="54">
        <v>109901.83</v>
      </c>
      <c r="E4374" s="54" t="str">
        <f t="shared" si="1"/>
        <v>₹1,318,821.96</v>
      </c>
      <c r="F4374" s="55" t="str">
        <f t="shared" si="2"/>
        <v>30.0%</v>
      </c>
      <c r="G4374" s="54" t="str">
        <f t="shared" si="3"/>
        <v>₹395,646.59</v>
      </c>
      <c r="H4374" s="54" t="str">
        <f t="shared" si="4"/>
        <v>₹32,970.55</v>
      </c>
      <c r="I4374" s="54" t="str">
        <f>105060.2-H4374</f>
        <v>₹72,089.65</v>
      </c>
    </row>
    <row r="4375" ht="15.75" customHeight="1">
      <c r="A4375" s="50" t="s">
        <v>4459</v>
      </c>
      <c r="B4375" s="50" t="s">
        <v>13</v>
      </c>
      <c r="C4375" s="50" t="s">
        <v>26</v>
      </c>
      <c r="D4375" s="51">
        <v>102359.35</v>
      </c>
      <c r="E4375" s="51" t="str">
        <f t="shared" si="1"/>
        <v>₹1,228,312.20</v>
      </c>
      <c r="F4375" s="52" t="str">
        <f t="shared" si="2"/>
        <v>30.0%</v>
      </c>
      <c r="G4375" s="51" t="str">
        <f t="shared" si="3"/>
        <v>₹368,493.66</v>
      </c>
      <c r="H4375" s="51" t="str">
        <f t="shared" si="4"/>
        <v>₹30,707.81</v>
      </c>
      <c r="I4375" s="51" t="str">
        <f>80469.98-H4375</f>
        <v>₹49,762.18</v>
      </c>
    </row>
    <row r="4376" ht="15.75" customHeight="1">
      <c r="A4376" s="53" t="s">
        <v>4460</v>
      </c>
      <c r="B4376" s="53" t="s">
        <v>36</v>
      </c>
      <c r="C4376" s="53" t="s">
        <v>37</v>
      </c>
      <c r="D4376" s="54">
        <v>66515.98</v>
      </c>
      <c r="E4376" s="54" t="str">
        <f t="shared" si="1"/>
        <v>₹798,191.76</v>
      </c>
      <c r="F4376" s="55" t="str">
        <f t="shared" si="2"/>
        <v>20.0%</v>
      </c>
      <c r="G4376" s="54" t="str">
        <f t="shared" si="3"/>
        <v>₹159,638.35</v>
      </c>
      <c r="H4376" s="54" t="str">
        <f t="shared" si="4"/>
        <v>₹13,303.20</v>
      </c>
      <c r="I4376" s="54" t="str">
        <f>47819.07-H4376</f>
        <v>₹34,515.87</v>
      </c>
    </row>
    <row r="4377" ht="15.75" customHeight="1">
      <c r="A4377" s="50" t="s">
        <v>4461</v>
      </c>
      <c r="B4377" s="50" t="s">
        <v>53</v>
      </c>
      <c r="C4377" s="50" t="s">
        <v>37</v>
      </c>
      <c r="D4377" s="51">
        <v>66876.63</v>
      </c>
      <c r="E4377" s="51" t="str">
        <f t="shared" si="1"/>
        <v>₹802,519.56</v>
      </c>
      <c r="F4377" s="52" t="str">
        <f t="shared" si="2"/>
        <v>20.0%</v>
      </c>
      <c r="G4377" s="51" t="str">
        <f t="shared" si="3"/>
        <v>₹160,503.91</v>
      </c>
      <c r="H4377" s="51" t="str">
        <f t="shared" si="4"/>
        <v>₹13,375.33</v>
      </c>
      <c r="I4377" s="51" t="str">
        <f>50221.35-H4377</f>
        <v>₹36,846.02</v>
      </c>
    </row>
    <row r="4378" ht="15.75" customHeight="1">
      <c r="A4378" s="53" t="s">
        <v>4462</v>
      </c>
      <c r="B4378" s="53" t="s">
        <v>29</v>
      </c>
      <c r="C4378" s="53" t="s">
        <v>30</v>
      </c>
      <c r="D4378" s="54">
        <v>80582.6</v>
      </c>
      <c r="E4378" s="54" t="str">
        <f t="shared" si="1"/>
        <v>₹966,991.20</v>
      </c>
      <c r="F4378" s="55" t="str">
        <f t="shared" si="2"/>
        <v>20.0%</v>
      </c>
      <c r="G4378" s="54" t="str">
        <f t="shared" si="3"/>
        <v>₹193,398.24</v>
      </c>
      <c r="H4378" s="54" t="str">
        <f t="shared" si="4"/>
        <v>₹16,116.52</v>
      </c>
      <c r="I4378" s="54" t="str">
        <f>70114.43-H4378</f>
        <v>₹53,997.91</v>
      </c>
    </row>
    <row r="4379" ht="15.75" customHeight="1">
      <c r="A4379" s="50" t="s">
        <v>4463</v>
      </c>
      <c r="B4379" s="50" t="s">
        <v>13</v>
      </c>
      <c r="C4379" s="50" t="s">
        <v>30</v>
      </c>
      <c r="D4379" s="51">
        <v>136734.14</v>
      </c>
      <c r="E4379" s="51" t="str">
        <f t="shared" si="1"/>
        <v>₹1,640,809.68</v>
      </c>
      <c r="F4379" s="52" t="str">
        <f t="shared" si="2"/>
        <v>30.0%</v>
      </c>
      <c r="G4379" s="51" t="str">
        <f t="shared" si="3"/>
        <v>₹492,242.90</v>
      </c>
      <c r="H4379" s="51" t="str">
        <f t="shared" si="4"/>
        <v>₹41,020.24</v>
      </c>
      <c r="I4379" s="51" t="str">
        <f>129815.74-H4379</f>
        <v>₹88,795.50</v>
      </c>
    </row>
    <row r="4380" ht="15.75" customHeight="1">
      <c r="A4380" s="53" t="s">
        <v>4464</v>
      </c>
      <c r="B4380" s="53" t="s">
        <v>13</v>
      </c>
      <c r="C4380" s="53" t="s">
        <v>30</v>
      </c>
      <c r="D4380" s="54">
        <v>107309.0</v>
      </c>
      <c r="E4380" s="54" t="str">
        <f t="shared" si="1"/>
        <v>₹1,287,708.00</v>
      </c>
      <c r="F4380" s="55" t="str">
        <f t="shared" si="2"/>
        <v>30.0%</v>
      </c>
      <c r="G4380" s="54" t="str">
        <f t="shared" si="3"/>
        <v>₹386,312.40</v>
      </c>
      <c r="H4380" s="54" t="str">
        <f t="shared" si="4"/>
        <v>₹32,192.70</v>
      </c>
      <c r="I4380" s="54" t="str">
        <f>82812.46-H4380</f>
        <v>₹50,619.76</v>
      </c>
    </row>
    <row r="4381" ht="15.75" customHeight="1">
      <c r="A4381" s="50" t="s">
        <v>4465</v>
      </c>
      <c r="B4381" s="50" t="s">
        <v>13</v>
      </c>
      <c r="C4381" s="50" t="s">
        <v>37</v>
      </c>
      <c r="D4381" s="51">
        <v>114263.29</v>
      </c>
      <c r="E4381" s="51" t="str">
        <f t="shared" si="1"/>
        <v>₹1,371,159.48</v>
      </c>
      <c r="F4381" s="52" t="str">
        <f t="shared" si="2"/>
        <v>30.0%</v>
      </c>
      <c r="G4381" s="51" t="str">
        <f t="shared" si="3"/>
        <v>₹411,347.84</v>
      </c>
      <c r="H4381" s="51" t="str">
        <f t="shared" si="4"/>
        <v>₹34,278.99</v>
      </c>
      <c r="I4381" s="51" t="str">
        <f>94230.92-H4381</f>
        <v>₹59,951.93</v>
      </c>
    </row>
    <row r="4382" ht="15.75" customHeight="1">
      <c r="A4382" s="53" t="s">
        <v>4466</v>
      </c>
      <c r="B4382" s="53" t="s">
        <v>13</v>
      </c>
      <c r="C4382" s="53" t="s">
        <v>14</v>
      </c>
      <c r="D4382" s="54">
        <v>160531.78</v>
      </c>
      <c r="E4382" s="54" t="str">
        <f t="shared" si="1"/>
        <v>₹1,926,381.36</v>
      </c>
      <c r="F4382" s="55" t="str">
        <f t="shared" si="2"/>
        <v>30.0%</v>
      </c>
      <c r="G4382" s="54" t="str">
        <f t="shared" si="3"/>
        <v>₹577,914.41</v>
      </c>
      <c r="H4382" s="54" t="str">
        <f t="shared" si="4"/>
        <v>₹48,159.53</v>
      </c>
      <c r="I4382" s="54" t="str">
        <f>152638.19-H4382</f>
        <v>₹104,478.66</v>
      </c>
    </row>
    <row r="4383" ht="15.75" customHeight="1">
      <c r="A4383" s="50" t="s">
        <v>4467</v>
      </c>
      <c r="B4383" s="50" t="s">
        <v>17</v>
      </c>
      <c r="C4383" s="50" t="s">
        <v>54</v>
      </c>
      <c r="D4383" s="51">
        <v>104664.79</v>
      </c>
      <c r="E4383" s="51" t="str">
        <f t="shared" si="1"/>
        <v>₹1,255,977.48</v>
      </c>
      <c r="F4383" s="52" t="str">
        <f t="shared" si="2"/>
        <v>30.0%</v>
      </c>
      <c r="G4383" s="51" t="str">
        <f t="shared" si="3"/>
        <v>₹376,793.24</v>
      </c>
      <c r="H4383" s="51" t="str">
        <f t="shared" si="4"/>
        <v>₹31,399.44</v>
      </c>
      <c r="I4383" s="51" t="str">
        <f>83399.45-H4383</f>
        <v>₹52,000.01</v>
      </c>
    </row>
    <row r="4384" ht="15.75" customHeight="1">
      <c r="A4384" s="53" t="s">
        <v>4468</v>
      </c>
      <c r="B4384" s="53" t="s">
        <v>25</v>
      </c>
      <c r="C4384" s="53" t="s">
        <v>54</v>
      </c>
      <c r="D4384" s="54">
        <v>132440.22</v>
      </c>
      <c r="E4384" s="54" t="str">
        <f t="shared" si="1"/>
        <v>₹1,589,282.64</v>
      </c>
      <c r="F4384" s="55" t="str">
        <f t="shared" si="2"/>
        <v>30.0%</v>
      </c>
      <c r="G4384" s="54" t="str">
        <f t="shared" si="3"/>
        <v>₹476,784.79</v>
      </c>
      <c r="H4384" s="54" t="str">
        <f t="shared" si="4"/>
        <v>₹39,732.07</v>
      </c>
      <c r="I4384" s="54" t="str">
        <f>113346.39-H4384</f>
        <v>₹73,614.32</v>
      </c>
    </row>
    <row r="4385" ht="15.75" customHeight="1">
      <c r="A4385" s="50" t="s">
        <v>4469</v>
      </c>
      <c r="B4385" s="50" t="s">
        <v>29</v>
      </c>
      <c r="C4385" s="50" t="s">
        <v>37</v>
      </c>
      <c r="D4385" s="51">
        <v>135754.66</v>
      </c>
      <c r="E4385" s="51" t="str">
        <f t="shared" si="1"/>
        <v>₹1,629,055.92</v>
      </c>
      <c r="F4385" s="52" t="str">
        <f t="shared" si="2"/>
        <v>30.0%</v>
      </c>
      <c r="G4385" s="51" t="str">
        <f t="shared" si="3"/>
        <v>₹488,716.78</v>
      </c>
      <c r="H4385" s="51" t="str">
        <f t="shared" si="4"/>
        <v>₹40,726.40</v>
      </c>
      <c r="I4385" s="51" t="str">
        <f>127976.19-H4385</f>
        <v>₹87,249.79</v>
      </c>
    </row>
    <row r="4386" ht="15.75" customHeight="1">
      <c r="A4386" s="53" t="s">
        <v>4470</v>
      </c>
      <c r="B4386" s="53" t="s">
        <v>51</v>
      </c>
      <c r="C4386" s="53" t="s">
        <v>26</v>
      </c>
      <c r="D4386" s="54">
        <v>110692.12</v>
      </c>
      <c r="E4386" s="54" t="str">
        <f t="shared" si="1"/>
        <v>₹1,328,305.44</v>
      </c>
      <c r="F4386" s="55" t="str">
        <f t="shared" si="2"/>
        <v>30.0%</v>
      </c>
      <c r="G4386" s="54" t="str">
        <f t="shared" si="3"/>
        <v>₹398,491.63</v>
      </c>
      <c r="H4386" s="54" t="str">
        <f t="shared" si="4"/>
        <v>₹33,207.64</v>
      </c>
      <c r="I4386" s="54" t="str">
        <f>99741.58-H4386</f>
        <v>₹66,533.94</v>
      </c>
    </row>
    <row r="4387" ht="15.75" customHeight="1">
      <c r="A4387" s="50" t="s">
        <v>4471</v>
      </c>
      <c r="B4387" s="50" t="s">
        <v>13</v>
      </c>
      <c r="C4387" s="50" t="s">
        <v>33</v>
      </c>
      <c r="D4387" s="51">
        <v>83472.76</v>
      </c>
      <c r="E4387" s="51" t="str">
        <f t="shared" si="1"/>
        <v>₹1,001,673.12</v>
      </c>
      <c r="F4387" s="52" t="str">
        <f t="shared" si="2"/>
        <v>30.0%</v>
      </c>
      <c r="G4387" s="51" t="str">
        <f t="shared" si="3"/>
        <v>₹300,501.94</v>
      </c>
      <c r="H4387" s="51" t="str">
        <f t="shared" si="4"/>
        <v>₹25,041.83</v>
      </c>
      <c r="I4387" s="51" t="str">
        <f>78416.9-H4387</f>
        <v>₹53,375.07</v>
      </c>
    </row>
    <row r="4388" ht="15.75" customHeight="1">
      <c r="A4388" s="53" t="s">
        <v>4472</v>
      </c>
      <c r="B4388" s="53" t="s">
        <v>51</v>
      </c>
      <c r="C4388" s="53" t="s">
        <v>14</v>
      </c>
      <c r="D4388" s="54">
        <v>105354.83</v>
      </c>
      <c r="E4388" s="54" t="str">
        <f t="shared" si="1"/>
        <v>₹1,264,257.96</v>
      </c>
      <c r="F4388" s="55" t="str">
        <f t="shared" si="2"/>
        <v>30.0%</v>
      </c>
      <c r="G4388" s="54" t="str">
        <f t="shared" si="3"/>
        <v>₹379,277.39</v>
      </c>
      <c r="H4388" s="54" t="str">
        <f t="shared" si="4"/>
        <v>₹31,606.45</v>
      </c>
      <c r="I4388" s="54" t="str">
        <f>102134.05-H4388</f>
        <v>₹70,527.60</v>
      </c>
    </row>
    <row r="4389" ht="15.75" customHeight="1">
      <c r="A4389" s="50" t="s">
        <v>4473</v>
      </c>
      <c r="B4389" s="50" t="s">
        <v>25</v>
      </c>
      <c r="C4389" s="50" t="s">
        <v>33</v>
      </c>
      <c r="D4389" s="51">
        <v>89575.78</v>
      </c>
      <c r="E4389" s="51" t="str">
        <f t="shared" si="1"/>
        <v>₹1,074,909.36</v>
      </c>
      <c r="F4389" s="52" t="str">
        <f t="shared" si="2"/>
        <v>30.0%</v>
      </c>
      <c r="G4389" s="51" t="str">
        <f t="shared" si="3"/>
        <v>₹322,472.81</v>
      </c>
      <c r="H4389" s="51" t="str">
        <f t="shared" si="4"/>
        <v>₹26,872.73</v>
      </c>
      <c r="I4389" s="51" t="str">
        <f>71368.11-H4389</f>
        <v>₹44,495.38</v>
      </c>
    </row>
    <row r="4390" ht="15.75" customHeight="1">
      <c r="A4390" s="53" t="s">
        <v>4474</v>
      </c>
      <c r="B4390" s="53" t="s">
        <v>17</v>
      </c>
      <c r="C4390" s="53" t="s">
        <v>54</v>
      </c>
      <c r="D4390" s="54">
        <v>154761.63</v>
      </c>
      <c r="E4390" s="54" t="str">
        <f t="shared" si="1"/>
        <v>₹1,857,139.56</v>
      </c>
      <c r="F4390" s="55" t="str">
        <f t="shared" si="2"/>
        <v>30.0%</v>
      </c>
      <c r="G4390" s="54" t="str">
        <f t="shared" si="3"/>
        <v>₹557,141.87</v>
      </c>
      <c r="H4390" s="54" t="str">
        <f t="shared" si="4"/>
        <v>₹46,428.49</v>
      </c>
      <c r="I4390" s="54" t="str">
        <f>147707.59-H4390</f>
        <v>₹101,279.10</v>
      </c>
    </row>
    <row r="4391" ht="15.75" customHeight="1">
      <c r="A4391" s="50" t="s">
        <v>4475</v>
      </c>
      <c r="B4391" s="50" t="s">
        <v>36</v>
      </c>
      <c r="C4391" s="50" t="s">
        <v>37</v>
      </c>
      <c r="D4391" s="51">
        <v>142800.77</v>
      </c>
      <c r="E4391" s="51" t="str">
        <f t="shared" si="1"/>
        <v>₹1,713,609.24</v>
      </c>
      <c r="F4391" s="52" t="str">
        <f t="shared" si="2"/>
        <v>30.0%</v>
      </c>
      <c r="G4391" s="51" t="str">
        <f t="shared" si="3"/>
        <v>₹514,082.77</v>
      </c>
      <c r="H4391" s="51" t="str">
        <f t="shared" si="4"/>
        <v>₹42,840.23</v>
      </c>
      <c r="I4391" s="51" t="str">
        <f>117908.36-H4391</f>
        <v>₹75,068.13</v>
      </c>
    </row>
    <row r="4392" ht="15.75" customHeight="1">
      <c r="A4392" s="53" t="s">
        <v>4476</v>
      </c>
      <c r="B4392" s="53" t="s">
        <v>36</v>
      </c>
      <c r="C4392" s="53" t="s">
        <v>26</v>
      </c>
      <c r="D4392" s="54">
        <v>158446.1</v>
      </c>
      <c r="E4392" s="54" t="str">
        <f t="shared" si="1"/>
        <v>₹1,901,353.20</v>
      </c>
      <c r="F4392" s="55" t="str">
        <f t="shared" si="2"/>
        <v>30.0%</v>
      </c>
      <c r="G4392" s="54" t="str">
        <f t="shared" si="3"/>
        <v>₹570,405.96</v>
      </c>
      <c r="H4392" s="54" t="str">
        <f t="shared" si="4"/>
        <v>₹47,533.83</v>
      </c>
      <c r="I4392" s="54" t="str">
        <f>156068.91-H4392</f>
        <v>₹108,535.08</v>
      </c>
    </row>
    <row r="4393" ht="15.75" customHeight="1">
      <c r="A4393" s="50" t="s">
        <v>4477</v>
      </c>
      <c r="B4393" s="50" t="s">
        <v>36</v>
      </c>
      <c r="C4393" s="50" t="s">
        <v>18</v>
      </c>
      <c r="D4393" s="51">
        <v>172083.13</v>
      </c>
      <c r="E4393" s="51" t="str">
        <f t="shared" si="1"/>
        <v>₹2,064,997.56</v>
      </c>
      <c r="F4393" s="52" t="str">
        <f t="shared" si="2"/>
        <v>30.0%</v>
      </c>
      <c r="G4393" s="51" t="str">
        <f t="shared" si="3"/>
        <v>₹619,499.27</v>
      </c>
      <c r="H4393" s="51" t="str">
        <f t="shared" si="4"/>
        <v>₹51,624.94</v>
      </c>
      <c r="I4393" s="51" t="str">
        <f>159993.77-H4393</f>
        <v>₹108,368.83</v>
      </c>
    </row>
    <row r="4394" ht="15.75" customHeight="1">
      <c r="A4394" s="53" t="s">
        <v>4478</v>
      </c>
      <c r="B4394" s="53" t="s">
        <v>53</v>
      </c>
      <c r="C4394" s="53" t="s">
        <v>18</v>
      </c>
      <c r="D4394" s="54">
        <v>88910.71</v>
      </c>
      <c r="E4394" s="54" t="str">
        <f t="shared" si="1"/>
        <v>₹1,066,928.52</v>
      </c>
      <c r="F4394" s="55" t="str">
        <f t="shared" si="2"/>
        <v>30.0%</v>
      </c>
      <c r="G4394" s="54" t="str">
        <f t="shared" si="3"/>
        <v>₹320,078.56</v>
      </c>
      <c r="H4394" s="54" t="str">
        <f t="shared" si="4"/>
        <v>₹26,673.21</v>
      </c>
      <c r="I4394" s="54" t="str">
        <f>68760.18-H4394</f>
        <v>₹42,086.97</v>
      </c>
    </row>
    <row r="4395" ht="15.75" customHeight="1">
      <c r="A4395" s="50" t="s">
        <v>4479</v>
      </c>
      <c r="B4395" s="50" t="s">
        <v>36</v>
      </c>
      <c r="C4395" s="50" t="s">
        <v>37</v>
      </c>
      <c r="D4395" s="51">
        <v>153568.09</v>
      </c>
      <c r="E4395" s="51" t="str">
        <f t="shared" si="1"/>
        <v>₹1,842,817.08</v>
      </c>
      <c r="F4395" s="52" t="str">
        <f t="shared" si="2"/>
        <v>30.0%</v>
      </c>
      <c r="G4395" s="51" t="str">
        <f t="shared" si="3"/>
        <v>₹552,845.12</v>
      </c>
      <c r="H4395" s="51" t="str">
        <f t="shared" si="4"/>
        <v>₹46,070.43</v>
      </c>
      <c r="I4395" s="51" t="str">
        <f>133738.79-H4395</f>
        <v>₹87,668.36</v>
      </c>
    </row>
    <row r="4396" ht="15.75" customHeight="1">
      <c r="A4396" s="53" t="s">
        <v>4480</v>
      </c>
      <c r="B4396" s="53" t="s">
        <v>36</v>
      </c>
      <c r="C4396" s="53" t="s">
        <v>33</v>
      </c>
      <c r="D4396" s="54">
        <v>137059.77</v>
      </c>
      <c r="E4396" s="54" t="str">
        <f t="shared" si="1"/>
        <v>₹1,644,717.24</v>
      </c>
      <c r="F4396" s="55" t="str">
        <f t="shared" si="2"/>
        <v>30.0%</v>
      </c>
      <c r="G4396" s="54" t="str">
        <f t="shared" si="3"/>
        <v>₹493,415.17</v>
      </c>
      <c r="H4396" s="54" t="str">
        <f t="shared" si="4"/>
        <v>₹41,117.93</v>
      </c>
      <c r="I4396" s="54" t="str">
        <f>117939.84-H4396</f>
        <v>₹76,821.91</v>
      </c>
    </row>
    <row r="4397" ht="15.75" customHeight="1">
      <c r="A4397" s="50" t="s">
        <v>4481</v>
      </c>
      <c r="B4397" s="50" t="s">
        <v>29</v>
      </c>
      <c r="C4397" s="50" t="s">
        <v>14</v>
      </c>
      <c r="D4397" s="51">
        <v>150048.57</v>
      </c>
      <c r="E4397" s="51" t="str">
        <f t="shared" si="1"/>
        <v>₹1,800,582.84</v>
      </c>
      <c r="F4397" s="52" t="str">
        <f t="shared" si="2"/>
        <v>30.0%</v>
      </c>
      <c r="G4397" s="51" t="str">
        <f t="shared" si="3"/>
        <v>₹540,174.85</v>
      </c>
      <c r="H4397" s="51" t="str">
        <f t="shared" si="4"/>
        <v>₹45,014.57</v>
      </c>
      <c r="I4397" s="51" t="str">
        <f>140998.19-H4397</f>
        <v>₹95,983.62</v>
      </c>
    </row>
    <row r="4398" ht="15.75" customHeight="1">
      <c r="A4398" s="53" t="s">
        <v>4482</v>
      </c>
      <c r="B4398" s="53" t="s">
        <v>13</v>
      </c>
      <c r="C4398" s="53" t="s">
        <v>33</v>
      </c>
      <c r="D4398" s="54">
        <v>167720.83</v>
      </c>
      <c r="E4398" s="54" t="str">
        <f t="shared" si="1"/>
        <v>₹2,012,649.96</v>
      </c>
      <c r="F4398" s="55" t="str">
        <f t="shared" si="2"/>
        <v>30.0%</v>
      </c>
      <c r="G4398" s="54" t="str">
        <f t="shared" si="3"/>
        <v>₹603,794.99</v>
      </c>
      <c r="H4398" s="54" t="str">
        <f t="shared" si="4"/>
        <v>₹50,316.25</v>
      </c>
      <c r="I4398" s="54" t="str">
        <f>156101.43-H4398</f>
        <v>₹105,785.18</v>
      </c>
    </row>
    <row r="4399" ht="15.75" customHeight="1">
      <c r="A4399" s="50" t="s">
        <v>4483</v>
      </c>
      <c r="B4399" s="50" t="s">
        <v>36</v>
      </c>
      <c r="C4399" s="50" t="s">
        <v>33</v>
      </c>
      <c r="D4399" s="51">
        <v>113234.33</v>
      </c>
      <c r="E4399" s="51" t="str">
        <f t="shared" si="1"/>
        <v>₹1,358,811.96</v>
      </c>
      <c r="F4399" s="52" t="str">
        <f t="shared" si="2"/>
        <v>30.0%</v>
      </c>
      <c r="G4399" s="51" t="str">
        <f t="shared" si="3"/>
        <v>₹407,643.59</v>
      </c>
      <c r="H4399" s="51" t="str">
        <f t="shared" si="4"/>
        <v>₹33,970.30</v>
      </c>
      <c r="I4399" s="51" t="str">
        <f>98157.61-H4399</f>
        <v>₹64,187.31</v>
      </c>
    </row>
    <row r="4400" ht="15.75" customHeight="1">
      <c r="A4400" s="53" t="s">
        <v>4484</v>
      </c>
      <c r="B4400" s="53" t="s">
        <v>53</v>
      </c>
      <c r="C4400" s="53" t="s">
        <v>54</v>
      </c>
      <c r="D4400" s="54">
        <v>98694.63</v>
      </c>
      <c r="E4400" s="54" t="str">
        <f t="shared" si="1"/>
        <v>₹1,184,335.56</v>
      </c>
      <c r="F4400" s="55" t="str">
        <f t="shared" si="2"/>
        <v>30.0%</v>
      </c>
      <c r="G4400" s="54" t="str">
        <f t="shared" si="3"/>
        <v>₹355,300.67</v>
      </c>
      <c r="H4400" s="54" t="str">
        <f t="shared" si="4"/>
        <v>₹29,608.39</v>
      </c>
      <c r="I4400" s="54" t="str">
        <f>74333.09-H4400</f>
        <v>₹44,724.70</v>
      </c>
    </row>
    <row r="4401" ht="15.75" customHeight="1">
      <c r="A4401" s="50" t="s">
        <v>4485</v>
      </c>
      <c r="B4401" s="50" t="s">
        <v>13</v>
      </c>
      <c r="C4401" s="50" t="s">
        <v>33</v>
      </c>
      <c r="D4401" s="51">
        <v>107189.42</v>
      </c>
      <c r="E4401" s="51" t="str">
        <f t="shared" si="1"/>
        <v>₹1,286,273.04</v>
      </c>
      <c r="F4401" s="52" t="str">
        <f t="shared" si="2"/>
        <v>30.0%</v>
      </c>
      <c r="G4401" s="51" t="str">
        <f t="shared" si="3"/>
        <v>₹385,881.91</v>
      </c>
      <c r="H4401" s="51" t="str">
        <f t="shared" si="4"/>
        <v>₹32,156.83</v>
      </c>
      <c r="I4401" s="51" t="str">
        <f>98664.51-H4401</f>
        <v>₹66,507.68</v>
      </c>
    </row>
    <row r="4402" ht="15.75" customHeight="1">
      <c r="A4402" s="53" t="s">
        <v>4486</v>
      </c>
      <c r="B4402" s="53" t="s">
        <v>51</v>
      </c>
      <c r="C4402" s="53" t="s">
        <v>26</v>
      </c>
      <c r="D4402" s="54">
        <v>123940.35</v>
      </c>
      <c r="E4402" s="54" t="str">
        <f t="shared" si="1"/>
        <v>₹1,487,284.20</v>
      </c>
      <c r="F4402" s="55" t="str">
        <f t="shared" si="2"/>
        <v>30.0%</v>
      </c>
      <c r="G4402" s="54" t="str">
        <f t="shared" si="3"/>
        <v>₹446,185.26</v>
      </c>
      <c r="H4402" s="54" t="str">
        <f t="shared" si="4"/>
        <v>₹37,182.11</v>
      </c>
      <c r="I4402" s="54" t="str">
        <f>100823.32-H4402</f>
        <v>₹63,641.22</v>
      </c>
    </row>
    <row r="4403" ht="15.75" customHeight="1">
      <c r="A4403" s="50" t="s">
        <v>4487</v>
      </c>
      <c r="B4403" s="50" t="s">
        <v>13</v>
      </c>
      <c r="C4403" s="50" t="s">
        <v>33</v>
      </c>
      <c r="D4403" s="51">
        <v>165111.05</v>
      </c>
      <c r="E4403" s="51" t="str">
        <f t="shared" si="1"/>
        <v>₹1,981,332.60</v>
      </c>
      <c r="F4403" s="52" t="str">
        <f t="shared" si="2"/>
        <v>30.0%</v>
      </c>
      <c r="G4403" s="51" t="str">
        <f t="shared" si="3"/>
        <v>₹594,399.78</v>
      </c>
      <c r="H4403" s="51" t="str">
        <f t="shared" si="4"/>
        <v>₹49,533.32</v>
      </c>
      <c r="I4403" s="51" t="str">
        <f>158011.81-H4403</f>
        <v>₹108,478.50</v>
      </c>
    </row>
    <row r="4404" ht="15.75" customHeight="1">
      <c r="A4404" s="53" t="s">
        <v>4488</v>
      </c>
      <c r="B4404" s="53" t="s">
        <v>53</v>
      </c>
      <c r="C4404" s="53" t="s">
        <v>26</v>
      </c>
      <c r="D4404" s="54">
        <v>179190.39</v>
      </c>
      <c r="E4404" s="54" t="str">
        <f t="shared" si="1"/>
        <v>₹2,150,284.68</v>
      </c>
      <c r="F4404" s="55" t="str">
        <f t="shared" si="2"/>
        <v>30.0%</v>
      </c>
      <c r="G4404" s="54" t="str">
        <f t="shared" si="3"/>
        <v>₹645,085.40</v>
      </c>
      <c r="H4404" s="54" t="str">
        <f t="shared" si="4"/>
        <v>₹53,757.12</v>
      </c>
      <c r="I4404" s="54" t="str">
        <f>154458.07-H4404</f>
        <v>₹100,700.95</v>
      </c>
    </row>
    <row r="4405" ht="15.75" customHeight="1">
      <c r="A4405" s="50" t="s">
        <v>4489</v>
      </c>
      <c r="B4405" s="50" t="s">
        <v>53</v>
      </c>
      <c r="C4405" s="50" t="s">
        <v>54</v>
      </c>
      <c r="D4405" s="51">
        <v>66147.71</v>
      </c>
      <c r="E4405" s="51" t="str">
        <f t="shared" si="1"/>
        <v>₹793,772.52</v>
      </c>
      <c r="F4405" s="52" t="str">
        <f t="shared" si="2"/>
        <v>20.0%</v>
      </c>
      <c r="G4405" s="51" t="str">
        <f t="shared" si="3"/>
        <v>₹158,754.50</v>
      </c>
      <c r="H4405" s="51" t="str">
        <f t="shared" si="4"/>
        <v>₹13,229.54</v>
      </c>
      <c r="I4405" s="51" t="str">
        <f>49226.25-H4405</f>
        <v>₹35,996.71</v>
      </c>
    </row>
    <row r="4406" ht="15.75" customHeight="1">
      <c r="A4406" s="53" t="s">
        <v>4490</v>
      </c>
      <c r="B4406" s="53" t="s">
        <v>51</v>
      </c>
      <c r="C4406" s="53" t="s">
        <v>54</v>
      </c>
      <c r="D4406" s="54">
        <v>108444.26</v>
      </c>
      <c r="E4406" s="54" t="str">
        <f t="shared" si="1"/>
        <v>₹1,301,331.12</v>
      </c>
      <c r="F4406" s="55" t="str">
        <f t="shared" si="2"/>
        <v>30.0%</v>
      </c>
      <c r="G4406" s="54" t="str">
        <f t="shared" si="3"/>
        <v>₹390,399.34</v>
      </c>
      <c r="H4406" s="54" t="str">
        <f t="shared" si="4"/>
        <v>₹32,533.28</v>
      </c>
      <c r="I4406" s="54" t="str">
        <f>96588.23-H4406</f>
        <v>₹64,054.95</v>
      </c>
    </row>
    <row r="4407" ht="15.75" customHeight="1">
      <c r="A4407" s="50" t="s">
        <v>4491</v>
      </c>
      <c r="B4407" s="50" t="s">
        <v>13</v>
      </c>
      <c r="C4407" s="50" t="s">
        <v>30</v>
      </c>
      <c r="D4407" s="51">
        <v>108401.95</v>
      </c>
      <c r="E4407" s="51" t="str">
        <f t="shared" si="1"/>
        <v>₹1,300,823.40</v>
      </c>
      <c r="F4407" s="52" t="str">
        <f t="shared" si="2"/>
        <v>30.0%</v>
      </c>
      <c r="G4407" s="51" t="str">
        <f t="shared" si="3"/>
        <v>₹390,247.02</v>
      </c>
      <c r="H4407" s="51" t="str">
        <f t="shared" si="4"/>
        <v>₹32,520.59</v>
      </c>
      <c r="I4407" s="51" t="str">
        <f>92873.88-H4407</f>
        <v>₹60,353.30</v>
      </c>
    </row>
    <row r="4408" ht="15.75" customHeight="1">
      <c r="A4408" s="53" t="s">
        <v>4492</v>
      </c>
      <c r="B4408" s="53" t="s">
        <v>25</v>
      </c>
      <c r="C4408" s="53" t="s">
        <v>26</v>
      </c>
      <c r="D4408" s="54">
        <v>85956.52</v>
      </c>
      <c r="E4408" s="54" t="str">
        <f t="shared" si="1"/>
        <v>₹1,031,478.24</v>
      </c>
      <c r="F4408" s="55" t="str">
        <f t="shared" si="2"/>
        <v>30.0%</v>
      </c>
      <c r="G4408" s="54" t="str">
        <f t="shared" si="3"/>
        <v>₹309,443.47</v>
      </c>
      <c r="H4408" s="54" t="str">
        <f t="shared" si="4"/>
        <v>₹25,786.96</v>
      </c>
      <c r="I4408" s="54" t="str">
        <f>78779.51-H4408</f>
        <v>₹52,992.55</v>
      </c>
    </row>
    <row r="4409" ht="15.75" customHeight="1">
      <c r="A4409" s="50" t="s">
        <v>4493</v>
      </c>
      <c r="B4409" s="50" t="s">
        <v>53</v>
      </c>
      <c r="C4409" s="50" t="s">
        <v>54</v>
      </c>
      <c r="D4409" s="51">
        <v>91210.7</v>
      </c>
      <c r="E4409" s="51" t="str">
        <f t="shared" si="1"/>
        <v>₹1,094,528.40</v>
      </c>
      <c r="F4409" s="52" t="str">
        <f t="shared" si="2"/>
        <v>30.0%</v>
      </c>
      <c r="G4409" s="51" t="str">
        <f t="shared" si="3"/>
        <v>₹328,358.52</v>
      </c>
      <c r="H4409" s="51" t="str">
        <f t="shared" si="4"/>
        <v>₹27,363.21</v>
      </c>
      <c r="I4409" s="51" t="str">
        <f>83993.44-H4409</f>
        <v>₹56,630.23</v>
      </c>
    </row>
    <row r="4410" ht="15.75" customHeight="1">
      <c r="A4410" s="53" t="s">
        <v>4494</v>
      </c>
      <c r="B4410" s="53" t="s">
        <v>51</v>
      </c>
      <c r="C4410" s="53" t="s">
        <v>26</v>
      </c>
      <c r="D4410" s="54">
        <v>113069.68</v>
      </c>
      <c r="E4410" s="54" t="str">
        <f t="shared" si="1"/>
        <v>₹1,356,836.16</v>
      </c>
      <c r="F4410" s="55" t="str">
        <f t="shared" si="2"/>
        <v>30.0%</v>
      </c>
      <c r="G4410" s="54" t="str">
        <f t="shared" si="3"/>
        <v>₹407,050.85</v>
      </c>
      <c r="H4410" s="54" t="str">
        <f t="shared" si="4"/>
        <v>₹33,920.90</v>
      </c>
      <c r="I4410" s="54" t="str">
        <f>109787.59-H4410</f>
        <v>₹75,866.69</v>
      </c>
    </row>
    <row r="4411" ht="15.75" customHeight="1">
      <c r="A4411" s="50" t="s">
        <v>4495</v>
      </c>
      <c r="B4411" s="50" t="s">
        <v>53</v>
      </c>
      <c r="C4411" s="50" t="s">
        <v>30</v>
      </c>
      <c r="D4411" s="51">
        <v>89342.9</v>
      </c>
      <c r="E4411" s="51" t="str">
        <f t="shared" si="1"/>
        <v>₹1,072,114.80</v>
      </c>
      <c r="F4411" s="52" t="str">
        <f t="shared" si="2"/>
        <v>30.0%</v>
      </c>
      <c r="G4411" s="51" t="str">
        <f t="shared" si="3"/>
        <v>₹321,634.44</v>
      </c>
      <c r="H4411" s="51" t="str">
        <f t="shared" si="4"/>
        <v>₹26,802.87</v>
      </c>
      <c r="I4411" s="51" t="str">
        <f>80324.94-H4411</f>
        <v>₹53,522.07</v>
      </c>
    </row>
    <row r="4412" ht="15.75" customHeight="1">
      <c r="A4412" s="53" t="s">
        <v>4496</v>
      </c>
      <c r="B4412" s="53" t="s">
        <v>25</v>
      </c>
      <c r="C4412" s="53" t="s">
        <v>54</v>
      </c>
      <c r="D4412" s="54">
        <v>135538.54</v>
      </c>
      <c r="E4412" s="54" t="str">
        <f t="shared" si="1"/>
        <v>₹1,626,462.48</v>
      </c>
      <c r="F4412" s="55" t="str">
        <f t="shared" si="2"/>
        <v>30.0%</v>
      </c>
      <c r="G4412" s="54" t="str">
        <f t="shared" si="3"/>
        <v>₹487,938.74</v>
      </c>
      <c r="H4412" s="54" t="str">
        <f t="shared" si="4"/>
        <v>₹40,661.56</v>
      </c>
      <c r="I4412" s="54" t="str">
        <f>116348.58-H4412</f>
        <v>₹75,687.02</v>
      </c>
    </row>
    <row r="4413" ht="15.75" customHeight="1">
      <c r="A4413" s="50" t="s">
        <v>4497</v>
      </c>
      <c r="B4413" s="50" t="s">
        <v>13</v>
      </c>
      <c r="C4413" s="50" t="s">
        <v>30</v>
      </c>
      <c r="D4413" s="51">
        <v>140301.27</v>
      </c>
      <c r="E4413" s="51" t="str">
        <f t="shared" si="1"/>
        <v>₹1,683,615.24</v>
      </c>
      <c r="F4413" s="52" t="str">
        <f t="shared" si="2"/>
        <v>30.0%</v>
      </c>
      <c r="G4413" s="51" t="str">
        <f t="shared" si="3"/>
        <v>₹505,084.57</v>
      </c>
      <c r="H4413" s="51" t="str">
        <f t="shared" si="4"/>
        <v>₹42,090.38</v>
      </c>
      <c r="I4413" s="51" t="str">
        <f>124905.98-H4413</f>
        <v>₹82,815.60</v>
      </c>
    </row>
    <row r="4414" ht="15.75" customHeight="1">
      <c r="A4414" s="53" t="s">
        <v>4498</v>
      </c>
      <c r="B4414" s="53" t="s">
        <v>29</v>
      </c>
      <c r="C4414" s="53" t="s">
        <v>26</v>
      </c>
      <c r="D4414" s="54">
        <v>116968.0</v>
      </c>
      <c r="E4414" s="54" t="str">
        <f t="shared" si="1"/>
        <v>₹1,403,616.00</v>
      </c>
      <c r="F4414" s="55" t="str">
        <f t="shared" si="2"/>
        <v>30.0%</v>
      </c>
      <c r="G4414" s="54" t="str">
        <f t="shared" si="3"/>
        <v>₹421,084.80</v>
      </c>
      <c r="H4414" s="54" t="str">
        <f t="shared" si="4"/>
        <v>₹35,090.40</v>
      </c>
      <c r="I4414" s="54" t="str">
        <f>113954.68-H4414</f>
        <v>₹78,864.28</v>
      </c>
    </row>
    <row r="4415" ht="15.75" customHeight="1">
      <c r="A4415" s="50" t="s">
        <v>4499</v>
      </c>
      <c r="B4415" s="50" t="s">
        <v>51</v>
      </c>
      <c r="C4415" s="50" t="s">
        <v>26</v>
      </c>
      <c r="D4415" s="51">
        <v>176926.49</v>
      </c>
      <c r="E4415" s="51" t="str">
        <f t="shared" si="1"/>
        <v>₹2,123,117.88</v>
      </c>
      <c r="F4415" s="52" t="str">
        <f t="shared" si="2"/>
        <v>30.0%</v>
      </c>
      <c r="G4415" s="51" t="str">
        <f t="shared" si="3"/>
        <v>₹636,935.36</v>
      </c>
      <c r="H4415" s="51" t="str">
        <f t="shared" si="4"/>
        <v>₹53,077.95</v>
      </c>
      <c r="I4415" s="51" t="str">
        <f>155546.7-H4415</f>
        <v>₹102,468.75</v>
      </c>
    </row>
    <row r="4416" ht="15.75" customHeight="1">
      <c r="A4416" s="53" t="s">
        <v>4500</v>
      </c>
      <c r="B4416" s="53" t="s">
        <v>13</v>
      </c>
      <c r="C4416" s="53" t="s">
        <v>14</v>
      </c>
      <c r="D4416" s="54">
        <v>168255.51</v>
      </c>
      <c r="E4416" s="54" t="str">
        <f t="shared" si="1"/>
        <v>₹2,019,066.12</v>
      </c>
      <c r="F4416" s="55" t="str">
        <f t="shared" si="2"/>
        <v>30.0%</v>
      </c>
      <c r="G4416" s="54" t="str">
        <f t="shared" si="3"/>
        <v>₹605,719.84</v>
      </c>
      <c r="H4416" s="54" t="str">
        <f t="shared" si="4"/>
        <v>₹50,476.65</v>
      </c>
      <c r="I4416" s="54" t="str">
        <f>153022-H4416</f>
        <v>₹102,545.35</v>
      </c>
    </row>
    <row r="4417" ht="15.75" customHeight="1">
      <c r="A4417" s="50" t="s">
        <v>4501</v>
      </c>
      <c r="B4417" s="50" t="s">
        <v>29</v>
      </c>
      <c r="C4417" s="50" t="s">
        <v>18</v>
      </c>
      <c r="D4417" s="51">
        <v>86149.8</v>
      </c>
      <c r="E4417" s="51" t="str">
        <f t="shared" si="1"/>
        <v>₹1,033,797.60</v>
      </c>
      <c r="F4417" s="52" t="str">
        <f t="shared" si="2"/>
        <v>30.0%</v>
      </c>
      <c r="G4417" s="51" t="str">
        <f t="shared" si="3"/>
        <v>₹310,139.28</v>
      </c>
      <c r="H4417" s="51" t="str">
        <f t="shared" si="4"/>
        <v>₹25,844.94</v>
      </c>
      <c r="I4417" s="51" t="str">
        <f>62108.84-H4417</f>
        <v>₹36,263.90</v>
      </c>
    </row>
    <row r="4418" ht="15.75" customHeight="1">
      <c r="A4418" s="53" t="s">
        <v>4502</v>
      </c>
      <c r="B4418" s="53" t="s">
        <v>25</v>
      </c>
      <c r="C4418" s="53" t="s">
        <v>18</v>
      </c>
      <c r="D4418" s="54">
        <v>110485.76</v>
      </c>
      <c r="E4418" s="54" t="str">
        <f t="shared" si="1"/>
        <v>₹1,325,829.12</v>
      </c>
      <c r="F4418" s="55" t="str">
        <f t="shared" si="2"/>
        <v>30.0%</v>
      </c>
      <c r="G4418" s="54" t="str">
        <f t="shared" si="3"/>
        <v>₹397,748.74</v>
      </c>
      <c r="H4418" s="54" t="str">
        <f t="shared" si="4"/>
        <v>₹33,145.73</v>
      </c>
      <c r="I4418" s="54" t="str">
        <f>93566.22-H4418</f>
        <v>₹60,420.49</v>
      </c>
    </row>
    <row r="4419" ht="15.75" customHeight="1">
      <c r="A4419" s="50" t="s">
        <v>4503</v>
      </c>
      <c r="B4419" s="50" t="s">
        <v>29</v>
      </c>
      <c r="C4419" s="50" t="s">
        <v>14</v>
      </c>
      <c r="D4419" s="51">
        <v>117861.51</v>
      </c>
      <c r="E4419" s="51" t="str">
        <f t="shared" si="1"/>
        <v>₹1,414,338.12</v>
      </c>
      <c r="F4419" s="52" t="str">
        <f t="shared" si="2"/>
        <v>30.0%</v>
      </c>
      <c r="G4419" s="51" t="str">
        <f t="shared" si="3"/>
        <v>₹424,301.44</v>
      </c>
      <c r="H4419" s="51" t="str">
        <f t="shared" si="4"/>
        <v>₹35,358.45</v>
      </c>
      <c r="I4419" s="51" t="str">
        <f>105753.82-H4419</f>
        <v>₹70,395.37</v>
      </c>
    </row>
    <row r="4420" ht="15.75" customHeight="1">
      <c r="A4420" s="53" t="s">
        <v>4504</v>
      </c>
      <c r="B4420" s="53" t="s">
        <v>13</v>
      </c>
      <c r="C4420" s="53" t="s">
        <v>33</v>
      </c>
      <c r="D4420" s="54">
        <v>122634.2</v>
      </c>
      <c r="E4420" s="54" t="str">
        <f t="shared" si="1"/>
        <v>₹1,471,610.40</v>
      </c>
      <c r="F4420" s="55" t="str">
        <f t="shared" si="2"/>
        <v>30.0%</v>
      </c>
      <c r="G4420" s="54" t="str">
        <f t="shared" si="3"/>
        <v>₹441,483.12</v>
      </c>
      <c r="H4420" s="54" t="str">
        <f t="shared" si="4"/>
        <v>₹36,790.26</v>
      </c>
      <c r="I4420" s="54" t="str">
        <f>121441.71-H4420</f>
        <v>₹84,651.45</v>
      </c>
    </row>
    <row r="4421" ht="15.75" customHeight="1">
      <c r="A4421" s="50" t="s">
        <v>4505</v>
      </c>
      <c r="B4421" s="50" t="s">
        <v>29</v>
      </c>
      <c r="C4421" s="50" t="s">
        <v>14</v>
      </c>
      <c r="D4421" s="51">
        <v>122168.27</v>
      </c>
      <c r="E4421" s="51" t="str">
        <f t="shared" si="1"/>
        <v>₹1,466,019.24</v>
      </c>
      <c r="F4421" s="52" t="str">
        <f t="shared" si="2"/>
        <v>30.0%</v>
      </c>
      <c r="G4421" s="51" t="str">
        <f t="shared" si="3"/>
        <v>₹439,805.77</v>
      </c>
      <c r="H4421" s="51" t="str">
        <f t="shared" si="4"/>
        <v>₹36,650.48</v>
      </c>
      <c r="I4421" s="51" t="str">
        <f>121302.97-H4421</f>
        <v>₹84,652.49</v>
      </c>
    </row>
    <row r="4422" ht="15.75" customHeight="1">
      <c r="A4422" s="53" t="s">
        <v>4506</v>
      </c>
      <c r="B4422" s="53" t="s">
        <v>25</v>
      </c>
      <c r="C4422" s="53" t="s">
        <v>18</v>
      </c>
      <c r="D4422" s="54">
        <v>86568.75</v>
      </c>
      <c r="E4422" s="54" t="str">
        <f t="shared" si="1"/>
        <v>₹1,038,825.00</v>
      </c>
      <c r="F4422" s="55" t="str">
        <f t="shared" si="2"/>
        <v>30.0%</v>
      </c>
      <c r="G4422" s="54" t="str">
        <f t="shared" si="3"/>
        <v>₹311,647.50</v>
      </c>
      <c r="H4422" s="54" t="str">
        <f t="shared" si="4"/>
        <v>₹25,970.63</v>
      </c>
      <c r="I4422" s="54" t="str">
        <f>82898.38-H4422</f>
        <v>₹56,927.76</v>
      </c>
    </row>
    <row r="4423" ht="15.75" customHeight="1">
      <c r="A4423" s="50" t="s">
        <v>4507</v>
      </c>
      <c r="B4423" s="50" t="s">
        <v>36</v>
      </c>
      <c r="C4423" s="50" t="s">
        <v>37</v>
      </c>
      <c r="D4423" s="51">
        <v>112260.78</v>
      </c>
      <c r="E4423" s="51" t="str">
        <f t="shared" si="1"/>
        <v>₹1,347,129.36</v>
      </c>
      <c r="F4423" s="52" t="str">
        <f t="shared" si="2"/>
        <v>30.0%</v>
      </c>
      <c r="G4423" s="51" t="str">
        <f t="shared" si="3"/>
        <v>₹404,138.81</v>
      </c>
      <c r="H4423" s="51" t="str">
        <f t="shared" si="4"/>
        <v>₹33,678.23</v>
      </c>
      <c r="I4423" s="51" t="str">
        <f>105595-H4423</f>
        <v>₹71,916.77</v>
      </c>
    </row>
    <row r="4424" ht="15.75" customHeight="1">
      <c r="A4424" s="53" t="s">
        <v>4508</v>
      </c>
      <c r="B4424" s="53" t="s">
        <v>36</v>
      </c>
      <c r="C4424" s="53" t="s">
        <v>37</v>
      </c>
      <c r="D4424" s="54">
        <v>154560.82</v>
      </c>
      <c r="E4424" s="54" t="str">
        <f t="shared" si="1"/>
        <v>₹1,854,729.84</v>
      </c>
      <c r="F4424" s="55" t="str">
        <f t="shared" si="2"/>
        <v>30.0%</v>
      </c>
      <c r="G4424" s="54" t="str">
        <f t="shared" si="3"/>
        <v>₹556,418.95</v>
      </c>
      <c r="H4424" s="54" t="str">
        <f t="shared" si="4"/>
        <v>₹46,368.25</v>
      </c>
      <c r="I4424" s="54" t="str">
        <f>143536.87-H4424</f>
        <v>₹97,168.62</v>
      </c>
    </row>
    <row r="4425" ht="15.75" customHeight="1">
      <c r="A4425" s="50" t="s">
        <v>4509</v>
      </c>
      <c r="B4425" s="50" t="s">
        <v>36</v>
      </c>
      <c r="C4425" s="50" t="s">
        <v>30</v>
      </c>
      <c r="D4425" s="51">
        <v>80099.82</v>
      </c>
      <c r="E4425" s="51" t="str">
        <f t="shared" si="1"/>
        <v>₹961,197.84</v>
      </c>
      <c r="F4425" s="52" t="str">
        <f t="shared" si="2"/>
        <v>20.0%</v>
      </c>
      <c r="G4425" s="51" t="str">
        <f t="shared" si="3"/>
        <v>₹192,239.57</v>
      </c>
      <c r="H4425" s="51" t="str">
        <f t="shared" si="4"/>
        <v>₹16,019.96</v>
      </c>
      <c r="I4425" s="51" t="str">
        <f>67657.53-H4425</f>
        <v>₹51,637.57</v>
      </c>
    </row>
    <row r="4426" ht="15.75" customHeight="1">
      <c r="A4426" s="53" t="s">
        <v>4510</v>
      </c>
      <c r="B4426" s="53" t="s">
        <v>25</v>
      </c>
      <c r="C4426" s="53" t="s">
        <v>37</v>
      </c>
      <c r="D4426" s="54">
        <v>95803.28</v>
      </c>
      <c r="E4426" s="54" t="str">
        <f t="shared" si="1"/>
        <v>₹1,149,639.36</v>
      </c>
      <c r="F4426" s="55" t="str">
        <f t="shared" si="2"/>
        <v>30.0%</v>
      </c>
      <c r="G4426" s="54" t="str">
        <f t="shared" si="3"/>
        <v>₹344,891.81</v>
      </c>
      <c r="H4426" s="54" t="str">
        <f t="shared" si="4"/>
        <v>₹28,740.98</v>
      </c>
      <c r="I4426" s="54" t="str">
        <f>91921.6-H4426</f>
        <v>₹63,180.62</v>
      </c>
    </row>
    <row r="4427" ht="15.75" customHeight="1">
      <c r="A4427" s="50" t="s">
        <v>4511</v>
      </c>
      <c r="B4427" s="50" t="s">
        <v>53</v>
      </c>
      <c r="C4427" s="50" t="s">
        <v>33</v>
      </c>
      <c r="D4427" s="51">
        <v>119190.07</v>
      </c>
      <c r="E4427" s="51" t="str">
        <f t="shared" si="1"/>
        <v>₹1,430,280.84</v>
      </c>
      <c r="F4427" s="52" t="str">
        <f t="shared" si="2"/>
        <v>30.0%</v>
      </c>
      <c r="G4427" s="51" t="str">
        <f t="shared" si="3"/>
        <v>₹429,084.25</v>
      </c>
      <c r="H4427" s="51" t="str">
        <f t="shared" si="4"/>
        <v>₹35,757.02</v>
      </c>
      <c r="I4427" s="51" t="str">
        <f>102191.98-H4427</f>
        <v>₹66,434.96</v>
      </c>
    </row>
    <row r="4428" ht="15.75" customHeight="1">
      <c r="A4428" s="53" t="s">
        <v>4512</v>
      </c>
      <c r="B4428" s="53" t="s">
        <v>13</v>
      </c>
      <c r="C4428" s="53" t="s">
        <v>26</v>
      </c>
      <c r="D4428" s="54">
        <v>167622.38</v>
      </c>
      <c r="E4428" s="54" t="str">
        <f t="shared" si="1"/>
        <v>₹2,011,468.56</v>
      </c>
      <c r="F4428" s="55" t="str">
        <f t="shared" si="2"/>
        <v>30.0%</v>
      </c>
      <c r="G4428" s="54" t="str">
        <f t="shared" si="3"/>
        <v>₹603,440.57</v>
      </c>
      <c r="H4428" s="54" t="str">
        <f t="shared" si="4"/>
        <v>₹50,286.71</v>
      </c>
      <c r="I4428" s="54" t="str">
        <f>152517-H4428</f>
        <v>₹102,230.29</v>
      </c>
    </row>
    <row r="4429" ht="15.75" customHeight="1">
      <c r="A4429" s="50" t="s">
        <v>4513</v>
      </c>
      <c r="B4429" s="50" t="s">
        <v>36</v>
      </c>
      <c r="C4429" s="50" t="s">
        <v>18</v>
      </c>
      <c r="D4429" s="51">
        <v>80855.54</v>
      </c>
      <c r="E4429" s="51" t="str">
        <f t="shared" si="1"/>
        <v>₹970,266.48</v>
      </c>
      <c r="F4429" s="52" t="str">
        <f t="shared" si="2"/>
        <v>20.0%</v>
      </c>
      <c r="G4429" s="51" t="str">
        <f t="shared" si="3"/>
        <v>₹194,053.30</v>
      </c>
      <c r="H4429" s="51" t="str">
        <f t="shared" si="4"/>
        <v>₹16,171.11</v>
      </c>
      <c r="I4429" s="51" t="str">
        <f>73141.17-H4429</f>
        <v>₹56,970.06</v>
      </c>
    </row>
    <row r="4430" ht="15.75" customHeight="1">
      <c r="A4430" s="53" t="s">
        <v>4514</v>
      </c>
      <c r="B4430" s="53" t="s">
        <v>17</v>
      </c>
      <c r="C4430" s="53" t="s">
        <v>54</v>
      </c>
      <c r="D4430" s="54">
        <v>145008.12</v>
      </c>
      <c r="E4430" s="54" t="str">
        <f t="shared" si="1"/>
        <v>₹1,740,097.44</v>
      </c>
      <c r="F4430" s="55" t="str">
        <f t="shared" si="2"/>
        <v>30.0%</v>
      </c>
      <c r="G4430" s="54" t="str">
        <f t="shared" si="3"/>
        <v>₹522,029.23</v>
      </c>
      <c r="H4430" s="54" t="str">
        <f t="shared" si="4"/>
        <v>₹43,502.44</v>
      </c>
      <c r="I4430" s="54" t="str">
        <f>144173.45-H4430</f>
        <v>₹100,671.01</v>
      </c>
    </row>
    <row r="4431" ht="15.75" customHeight="1">
      <c r="A4431" s="50" t="s">
        <v>4515</v>
      </c>
      <c r="B4431" s="50" t="s">
        <v>51</v>
      </c>
      <c r="C4431" s="50" t="s">
        <v>54</v>
      </c>
      <c r="D4431" s="51">
        <v>165602.28</v>
      </c>
      <c r="E4431" s="51" t="str">
        <f t="shared" si="1"/>
        <v>₹1,987,227.36</v>
      </c>
      <c r="F4431" s="52" t="str">
        <f t="shared" si="2"/>
        <v>30.0%</v>
      </c>
      <c r="G4431" s="51" t="str">
        <f t="shared" si="3"/>
        <v>₹596,168.21</v>
      </c>
      <c r="H4431" s="51" t="str">
        <f t="shared" si="4"/>
        <v>₹49,680.68</v>
      </c>
      <c r="I4431" s="51" t="str">
        <f>163199.91-H4431</f>
        <v>₹113,519.23</v>
      </c>
    </row>
    <row r="4432" ht="15.75" customHeight="1">
      <c r="A4432" s="53" t="s">
        <v>4516</v>
      </c>
      <c r="B4432" s="53" t="s">
        <v>17</v>
      </c>
      <c r="C4432" s="53" t="s">
        <v>26</v>
      </c>
      <c r="D4432" s="54">
        <v>114425.15</v>
      </c>
      <c r="E4432" s="54" t="str">
        <f t="shared" si="1"/>
        <v>₹1,373,101.80</v>
      </c>
      <c r="F4432" s="55" t="str">
        <f t="shared" si="2"/>
        <v>30.0%</v>
      </c>
      <c r="G4432" s="54" t="str">
        <f t="shared" si="3"/>
        <v>₹411,930.54</v>
      </c>
      <c r="H4432" s="54" t="str">
        <f t="shared" si="4"/>
        <v>₹34,327.55</v>
      </c>
      <c r="I4432" s="54" t="str">
        <f>104328.63-H4432</f>
        <v>₹70,001.09</v>
      </c>
    </row>
    <row r="4433" ht="15.75" customHeight="1">
      <c r="A4433" s="50" t="s">
        <v>4517</v>
      </c>
      <c r="B4433" s="50" t="s">
        <v>17</v>
      </c>
      <c r="C4433" s="50" t="s">
        <v>37</v>
      </c>
      <c r="D4433" s="51">
        <v>151835.69</v>
      </c>
      <c r="E4433" s="51" t="str">
        <f t="shared" si="1"/>
        <v>₹1,822,028.28</v>
      </c>
      <c r="F4433" s="52" t="str">
        <f t="shared" si="2"/>
        <v>30.0%</v>
      </c>
      <c r="G4433" s="51" t="str">
        <f t="shared" si="3"/>
        <v>₹546,608.48</v>
      </c>
      <c r="H4433" s="51" t="str">
        <f t="shared" si="4"/>
        <v>₹45,550.71</v>
      </c>
      <c r="I4433" s="51" t="str">
        <f>147563.32-H4433</f>
        <v>₹102,012.61</v>
      </c>
    </row>
    <row r="4434" ht="15.75" customHeight="1">
      <c r="A4434" s="53" t="s">
        <v>4518</v>
      </c>
      <c r="B4434" s="53" t="s">
        <v>53</v>
      </c>
      <c r="C4434" s="53" t="s">
        <v>33</v>
      </c>
      <c r="D4434" s="54">
        <v>112151.67</v>
      </c>
      <c r="E4434" s="54" t="str">
        <f t="shared" si="1"/>
        <v>₹1,345,820.04</v>
      </c>
      <c r="F4434" s="55" t="str">
        <f t="shared" si="2"/>
        <v>30.0%</v>
      </c>
      <c r="G4434" s="54" t="str">
        <f t="shared" si="3"/>
        <v>₹403,746.01</v>
      </c>
      <c r="H4434" s="54" t="str">
        <f t="shared" si="4"/>
        <v>₹33,645.50</v>
      </c>
      <c r="I4434" s="54" t="str">
        <f>102419.59-H4434</f>
        <v>₹68,774.09</v>
      </c>
    </row>
    <row r="4435" ht="15.75" customHeight="1">
      <c r="A4435" s="50" t="s">
        <v>4519</v>
      </c>
      <c r="B4435" s="50" t="s">
        <v>36</v>
      </c>
      <c r="C4435" s="50" t="s">
        <v>30</v>
      </c>
      <c r="D4435" s="51">
        <v>124475.65</v>
      </c>
      <c r="E4435" s="51" t="str">
        <f t="shared" si="1"/>
        <v>₹1,493,707.80</v>
      </c>
      <c r="F4435" s="52" t="str">
        <f t="shared" si="2"/>
        <v>30.0%</v>
      </c>
      <c r="G4435" s="51" t="str">
        <f t="shared" si="3"/>
        <v>₹448,112.34</v>
      </c>
      <c r="H4435" s="51" t="str">
        <f t="shared" si="4"/>
        <v>₹37,342.70</v>
      </c>
      <c r="I4435" s="51" t="str">
        <f>108585.18-H4435</f>
        <v>₹71,242.49</v>
      </c>
    </row>
    <row r="4436" ht="15.75" customHeight="1">
      <c r="A4436" s="53" t="s">
        <v>4520</v>
      </c>
      <c r="B4436" s="53" t="s">
        <v>25</v>
      </c>
      <c r="C4436" s="53" t="s">
        <v>37</v>
      </c>
      <c r="D4436" s="54">
        <v>141309.23</v>
      </c>
      <c r="E4436" s="54" t="str">
        <f t="shared" si="1"/>
        <v>₹1,695,710.76</v>
      </c>
      <c r="F4436" s="55" t="str">
        <f t="shared" si="2"/>
        <v>30.0%</v>
      </c>
      <c r="G4436" s="54" t="str">
        <f t="shared" si="3"/>
        <v>₹508,713.23</v>
      </c>
      <c r="H4436" s="54" t="str">
        <f t="shared" si="4"/>
        <v>₹42,392.77</v>
      </c>
      <c r="I4436" s="54" t="str">
        <f>127401.91-H4436</f>
        <v>₹85,009.14</v>
      </c>
    </row>
    <row r="4437" ht="15.75" customHeight="1">
      <c r="A4437" s="50" t="s">
        <v>4521</v>
      </c>
      <c r="B4437" s="50" t="s">
        <v>25</v>
      </c>
      <c r="C4437" s="50" t="s">
        <v>14</v>
      </c>
      <c r="D4437" s="51">
        <v>124972.46</v>
      </c>
      <c r="E4437" s="51" t="str">
        <f t="shared" si="1"/>
        <v>₹1,499,669.52</v>
      </c>
      <c r="F4437" s="52" t="str">
        <f t="shared" si="2"/>
        <v>30.0%</v>
      </c>
      <c r="G4437" s="51" t="str">
        <f t="shared" si="3"/>
        <v>₹449,900.86</v>
      </c>
      <c r="H4437" s="51" t="str">
        <f t="shared" si="4"/>
        <v>₹37,491.74</v>
      </c>
      <c r="I4437" s="51" t="str">
        <f>118808.65-H4437</f>
        <v>₹81,316.91</v>
      </c>
    </row>
    <row r="4438" ht="15.75" customHeight="1">
      <c r="A4438" s="53" t="s">
        <v>4522</v>
      </c>
      <c r="B4438" s="53" t="s">
        <v>25</v>
      </c>
      <c r="C4438" s="53" t="s">
        <v>30</v>
      </c>
      <c r="D4438" s="54">
        <v>86381.85</v>
      </c>
      <c r="E4438" s="54" t="str">
        <f t="shared" si="1"/>
        <v>₹1,036,582.20</v>
      </c>
      <c r="F4438" s="55" t="str">
        <f t="shared" si="2"/>
        <v>30.0%</v>
      </c>
      <c r="G4438" s="54" t="str">
        <f t="shared" si="3"/>
        <v>₹310,974.66</v>
      </c>
      <c r="H4438" s="54" t="str">
        <f t="shared" si="4"/>
        <v>₹25,914.56</v>
      </c>
      <c r="I4438" s="54" t="str">
        <f>77458.2-H4438</f>
        <v>₹51,543.65</v>
      </c>
    </row>
    <row r="4439" ht="15.75" customHeight="1">
      <c r="A4439" s="50" t="s">
        <v>4523</v>
      </c>
      <c r="B4439" s="50" t="s">
        <v>51</v>
      </c>
      <c r="C4439" s="50" t="s">
        <v>26</v>
      </c>
      <c r="D4439" s="51">
        <v>156753.14</v>
      </c>
      <c r="E4439" s="51" t="str">
        <f t="shared" si="1"/>
        <v>₹1,881,037.68</v>
      </c>
      <c r="F4439" s="52" t="str">
        <f t="shared" si="2"/>
        <v>30.0%</v>
      </c>
      <c r="G4439" s="51" t="str">
        <f t="shared" si="3"/>
        <v>₹564,311.30</v>
      </c>
      <c r="H4439" s="51" t="str">
        <f t="shared" si="4"/>
        <v>₹47,025.94</v>
      </c>
      <c r="I4439" s="51" t="str">
        <f>141209.38-H4439</f>
        <v>₹94,183.44</v>
      </c>
    </row>
    <row r="4440" ht="15.75" customHeight="1">
      <c r="A4440" s="53" t="s">
        <v>4524</v>
      </c>
      <c r="B4440" s="53" t="s">
        <v>29</v>
      </c>
      <c r="C4440" s="53" t="s">
        <v>14</v>
      </c>
      <c r="D4440" s="54">
        <v>97392.59</v>
      </c>
      <c r="E4440" s="54" t="str">
        <f t="shared" si="1"/>
        <v>₹1,168,711.08</v>
      </c>
      <c r="F4440" s="55" t="str">
        <f t="shared" si="2"/>
        <v>30.0%</v>
      </c>
      <c r="G4440" s="54" t="str">
        <f t="shared" si="3"/>
        <v>₹350,613.32</v>
      </c>
      <c r="H4440" s="54" t="str">
        <f t="shared" si="4"/>
        <v>₹29,217.78</v>
      </c>
      <c r="I4440" s="54" t="str">
        <f>75801.64-H4440</f>
        <v>₹46,583.86</v>
      </c>
    </row>
    <row r="4441" ht="15.75" customHeight="1">
      <c r="A4441" s="50" t="s">
        <v>4525</v>
      </c>
      <c r="B4441" s="50" t="s">
        <v>53</v>
      </c>
      <c r="C4441" s="50" t="s">
        <v>33</v>
      </c>
      <c r="D4441" s="51">
        <v>78070.78</v>
      </c>
      <c r="E4441" s="51" t="str">
        <f t="shared" si="1"/>
        <v>₹936,849.36</v>
      </c>
      <c r="F4441" s="52" t="str">
        <f t="shared" si="2"/>
        <v>20.0%</v>
      </c>
      <c r="G4441" s="51" t="str">
        <f t="shared" si="3"/>
        <v>₹187,369.87</v>
      </c>
      <c r="H4441" s="51" t="str">
        <f t="shared" si="4"/>
        <v>₹15,614.16</v>
      </c>
      <c r="I4441" s="51" t="str">
        <f>59117.05-H4441</f>
        <v>₹43,502.89</v>
      </c>
    </row>
    <row r="4442" ht="15.75" customHeight="1">
      <c r="A4442" s="53" t="s">
        <v>4526</v>
      </c>
      <c r="B4442" s="53" t="s">
        <v>17</v>
      </c>
      <c r="C4442" s="53" t="s">
        <v>33</v>
      </c>
      <c r="D4442" s="54">
        <v>70693.72</v>
      </c>
      <c r="E4442" s="54" t="str">
        <f t="shared" si="1"/>
        <v>₹848,324.64</v>
      </c>
      <c r="F4442" s="55" t="str">
        <f t="shared" si="2"/>
        <v>20.0%</v>
      </c>
      <c r="G4442" s="54" t="str">
        <f t="shared" si="3"/>
        <v>₹169,664.93</v>
      </c>
      <c r="H4442" s="54" t="str">
        <f t="shared" si="4"/>
        <v>₹14,138.74</v>
      </c>
      <c r="I4442" s="54" t="str">
        <f>56635.42-H4442</f>
        <v>₹42,496.68</v>
      </c>
    </row>
    <row r="4443" ht="15.75" customHeight="1">
      <c r="A4443" s="50" t="s">
        <v>4527</v>
      </c>
      <c r="B4443" s="50" t="s">
        <v>29</v>
      </c>
      <c r="C4443" s="50" t="s">
        <v>26</v>
      </c>
      <c r="D4443" s="51">
        <v>120605.92</v>
      </c>
      <c r="E4443" s="51" t="str">
        <f t="shared" si="1"/>
        <v>₹1,447,271.04</v>
      </c>
      <c r="F4443" s="52" t="str">
        <f t="shared" si="2"/>
        <v>30.0%</v>
      </c>
      <c r="G4443" s="51" t="str">
        <f t="shared" si="3"/>
        <v>₹434,181.31</v>
      </c>
      <c r="H4443" s="51" t="str">
        <f t="shared" si="4"/>
        <v>₹36,181.78</v>
      </c>
      <c r="I4443" s="51" t="str">
        <f>111229.74-H4443</f>
        <v>₹75,047.96</v>
      </c>
    </row>
    <row r="4444" ht="15.75" customHeight="1">
      <c r="A4444" s="53" t="s">
        <v>4528</v>
      </c>
      <c r="B4444" s="53" t="s">
        <v>53</v>
      </c>
      <c r="C4444" s="53" t="s">
        <v>30</v>
      </c>
      <c r="D4444" s="54">
        <v>132603.18</v>
      </c>
      <c r="E4444" s="54" t="str">
        <f t="shared" si="1"/>
        <v>₹1,591,238.16</v>
      </c>
      <c r="F4444" s="55" t="str">
        <f t="shared" si="2"/>
        <v>30.0%</v>
      </c>
      <c r="G4444" s="54" t="str">
        <f t="shared" si="3"/>
        <v>₹477,371.45</v>
      </c>
      <c r="H4444" s="54" t="str">
        <f t="shared" si="4"/>
        <v>₹39,780.95</v>
      </c>
      <c r="I4444" s="54" t="str">
        <f>123159.42-H4444</f>
        <v>₹83,378.47</v>
      </c>
    </row>
    <row r="4445" ht="15.75" customHeight="1">
      <c r="A4445" s="50" t="s">
        <v>4529</v>
      </c>
      <c r="B4445" s="50" t="s">
        <v>25</v>
      </c>
      <c r="C4445" s="50" t="s">
        <v>33</v>
      </c>
      <c r="D4445" s="51">
        <v>92384.13</v>
      </c>
      <c r="E4445" s="51" t="str">
        <f t="shared" si="1"/>
        <v>₹1,108,609.56</v>
      </c>
      <c r="F4445" s="52" t="str">
        <f t="shared" si="2"/>
        <v>30.0%</v>
      </c>
      <c r="G4445" s="51" t="str">
        <f t="shared" si="3"/>
        <v>₹332,582.87</v>
      </c>
      <c r="H4445" s="51" t="str">
        <f t="shared" si="4"/>
        <v>₹27,715.24</v>
      </c>
      <c r="I4445" s="51" t="str">
        <f>70338.41-H4445</f>
        <v>₹42,623.17</v>
      </c>
    </row>
    <row r="4446" ht="15.75" customHeight="1">
      <c r="A4446" s="53" t="s">
        <v>4530</v>
      </c>
      <c r="B4446" s="53" t="s">
        <v>25</v>
      </c>
      <c r="C4446" s="53" t="s">
        <v>30</v>
      </c>
      <c r="D4446" s="54">
        <v>124863.49</v>
      </c>
      <c r="E4446" s="54" t="str">
        <f t="shared" si="1"/>
        <v>₹1,498,361.88</v>
      </c>
      <c r="F4446" s="55" t="str">
        <f t="shared" si="2"/>
        <v>30.0%</v>
      </c>
      <c r="G4446" s="54" t="str">
        <f t="shared" si="3"/>
        <v>₹449,508.56</v>
      </c>
      <c r="H4446" s="54" t="str">
        <f t="shared" si="4"/>
        <v>₹37,459.05</v>
      </c>
      <c r="I4446" s="54" t="str">
        <f>123402.02-H4446</f>
        <v>₹85,942.97</v>
      </c>
    </row>
    <row r="4447" ht="15.75" customHeight="1">
      <c r="A4447" s="50" t="s">
        <v>4531</v>
      </c>
      <c r="B4447" s="50" t="s">
        <v>53</v>
      </c>
      <c r="C4447" s="50" t="s">
        <v>33</v>
      </c>
      <c r="D4447" s="51">
        <v>98043.11</v>
      </c>
      <c r="E4447" s="51" t="str">
        <f t="shared" si="1"/>
        <v>₹1,176,517.32</v>
      </c>
      <c r="F4447" s="52" t="str">
        <f t="shared" si="2"/>
        <v>30.0%</v>
      </c>
      <c r="G4447" s="51" t="str">
        <f t="shared" si="3"/>
        <v>₹352,955.20</v>
      </c>
      <c r="H4447" s="51" t="str">
        <f t="shared" si="4"/>
        <v>₹29,412.93</v>
      </c>
      <c r="I4447" s="51" t="str">
        <f>73337.54-H4447</f>
        <v>₹43,924.61</v>
      </c>
    </row>
    <row r="4448" ht="15.75" customHeight="1">
      <c r="A4448" s="53" t="s">
        <v>4532</v>
      </c>
      <c r="B4448" s="53" t="s">
        <v>53</v>
      </c>
      <c r="C4448" s="53" t="s">
        <v>37</v>
      </c>
      <c r="D4448" s="54">
        <v>154314.76</v>
      </c>
      <c r="E4448" s="54" t="str">
        <f t="shared" si="1"/>
        <v>₹1,851,777.12</v>
      </c>
      <c r="F4448" s="55" t="str">
        <f t="shared" si="2"/>
        <v>30.0%</v>
      </c>
      <c r="G4448" s="54" t="str">
        <f t="shared" si="3"/>
        <v>₹555,533.14</v>
      </c>
      <c r="H4448" s="54" t="str">
        <f t="shared" si="4"/>
        <v>₹46,294.43</v>
      </c>
      <c r="I4448" s="54" t="str">
        <f>139549.45-H4448</f>
        <v>₹93,255.02</v>
      </c>
    </row>
    <row r="4449" ht="15.75" customHeight="1">
      <c r="A4449" s="50" t="s">
        <v>4533</v>
      </c>
      <c r="B4449" s="50" t="s">
        <v>29</v>
      </c>
      <c r="C4449" s="50" t="s">
        <v>33</v>
      </c>
      <c r="D4449" s="51">
        <v>109277.99</v>
      </c>
      <c r="E4449" s="51" t="str">
        <f t="shared" si="1"/>
        <v>₹1,311,335.88</v>
      </c>
      <c r="F4449" s="52" t="str">
        <f t="shared" si="2"/>
        <v>30.0%</v>
      </c>
      <c r="G4449" s="51" t="str">
        <f t="shared" si="3"/>
        <v>₹393,400.76</v>
      </c>
      <c r="H4449" s="51" t="str">
        <f t="shared" si="4"/>
        <v>₹32,783.40</v>
      </c>
      <c r="I4449" s="51" t="str">
        <f>92090.12-H4449</f>
        <v>₹59,306.72</v>
      </c>
    </row>
    <row r="4450" ht="15.75" customHeight="1">
      <c r="A4450" s="53" t="s">
        <v>4534</v>
      </c>
      <c r="B4450" s="53" t="s">
        <v>13</v>
      </c>
      <c r="C4450" s="53" t="s">
        <v>33</v>
      </c>
      <c r="D4450" s="54">
        <v>148662.89</v>
      </c>
      <c r="E4450" s="54" t="str">
        <f t="shared" si="1"/>
        <v>₹1,783,954.68</v>
      </c>
      <c r="F4450" s="55" t="str">
        <f t="shared" si="2"/>
        <v>30.0%</v>
      </c>
      <c r="G4450" s="54" t="str">
        <f t="shared" si="3"/>
        <v>₹535,186.40</v>
      </c>
      <c r="H4450" s="54" t="str">
        <f t="shared" si="4"/>
        <v>₹44,598.87</v>
      </c>
      <c r="I4450" s="54" t="str">
        <f>147231.94-H4450</f>
        <v>₹102,633.07</v>
      </c>
    </row>
    <row r="4451" ht="15.75" customHeight="1">
      <c r="A4451" s="50" t="s">
        <v>4535</v>
      </c>
      <c r="B4451" s="50" t="s">
        <v>51</v>
      </c>
      <c r="C4451" s="50" t="s">
        <v>33</v>
      </c>
      <c r="D4451" s="51">
        <v>125000.66</v>
      </c>
      <c r="E4451" s="51" t="str">
        <f t="shared" si="1"/>
        <v>₹1,500,007.92</v>
      </c>
      <c r="F4451" s="52" t="str">
        <f t="shared" si="2"/>
        <v>30.0%</v>
      </c>
      <c r="G4451" s="51" t="str">
        <f t="shared" si="3"/>
        <v>₹450,002.38</v>
      </c>
      <c r="H4451" s="51" t="str">
        <f t="shared" si="4"/>
        <v>₹37,500.20</v>
      </c>
      <c r="I4451" s="51" t="str">
        <f>109665.19-H4451</f>
        <v>₹72,164.99</v>
      </c>
    </row>
    <row r="4452" ht="15.75" customHeight="1">
      <c r="A4452" s="53" t="s">
        <v>4536</v>
      </c>
      <c r="B4452" s="53" t="s">
        <v>25</v>
      </c>
      <c r="C4452" s="53" t="s">
        <v>14</v>
      </c>
      <c r="D4452" s="54">
        <v>165278.6</v>
      </c>
      <c r="E4452" s="54" t="str">
        <f t="shared" si="1"/>
        <v>₹1,983,343.20</v>
      </c>
      <c r="F4452" s="55" t="str">
        <f t="shared" si="2"/>
        <v>30.0%</v>
      </c>
      <c r="G4452" s="54" t="str">
        <f t="shared" si="3"/>
        <v>₹595,002.96</v>
      </c>
      <c r="H4452" s="54" t="str">
        <f t="shared" si="4"/>
        <v>₹49,583.58</v>
      </c>
      <c r="I4452" s="54" t="str">
        <f>152901.54-H4452</f>
        <v>₹103,317.96</v>
      </c>
    </row>
    <row r="4453" ht="15.75" customHeight="1">
      <c r="A4453" s="50" t="s">
        <v>4537</v>
      </c>
      <c r="B4453" s="50" t="s">
        <v>51</v>
      </c>
      <c r="C4453" s="50" t="s">
        <v>18</v>
      </c>
      <c r="D4453" s="51">
        <v>80606.23</v>
      </c>
      <c r="E4453" s="51" t="str">
        <f t="shared" si="1"/>
        <v>₹967,274.76</v>
      </c>
      <c r="F4453" s="52" t="str">
        <f t="shared" si="2"/>
        <v>20.0%</v>
      </c>
      <c r="G4453" s="51" t="str">
        <f t="shared" si="3"/>
        <v>₹193,454.95</v>
      </c>
      <c r="H4453" s="51" t="str">
        <f t="shared" si="4"/>
        <v>₹16,121.25</v>
      </c>
      <c r="I4453" s="51" t="str">
        <f>77514.65-H4453</f>
        <v>₹61,393.40</v>
      </c>
    </row>
    <row r="4454" ht="15.75" customHeight="1">
      <c r="A4454" s="53" t="s">
        <v>4538</v>
      </c>
      <c r="B4454" s="53" t="s">
        <v>17</v>
      </c>
      <c r="C4454" s="53" t="s">
        <v>30</v>
      </c>
      <c r="D4454" s="54">
        <v>105476.73</v>
      </c>
      <c r="E4454" s="54" t="str">
        <f t="shared" si="1"/>
        <v>₹1,265,720.76</v>
      </c>
      <c r="F4454" s="55" t="str">
        <f t="shared" si="2"/>
        <v>30.0%</v>
      </c>
      <c r="G4454" s="54" t="str">
        <f t="shared" si="3"/>
        <v>₹379,716.23</v>
      </c>
      <c r="H4454" s="54" t="str">
        <f t="shared" si="4"/>
        <v>₹31,643.02</v>
      </c>
      <c r="I4454" s="54" t="str">
        <f>98167.64-H4454</f>
        <v>₹66,524.62</v>
      </c>
    </row>
    <row r="4455" ht="15.75" customHeight="1">
      <c r="A4455" s="50" t="s">
        <v>4539</v>
      </c>
      <c r="B4455" s="50" t="s">
        <v>13</v>
      </c>
      <c r="C4455" s="50" t="s">
        <v>26</v>
      </c>
      <c r="D4455" s="51">
        <v>91300.09</v>
      </c>
      <c r="E4455" s="51" t="str">
        <f t="shared" si="1"/>
        <v>₹1,095,601.08</v>
      </c>
      <c r="F4455" s="52" t="str">
        <f t="shared" si="2"/>
        <v>30.0%</v>
      </c>
      <c r="G4455" s="51" t="str">
        <f t="shared" si="3"/>
        <v>₹328,680.32</v>
      </c>
      <c r="H4455" s="51" t="str">
        <f t="shared" si="4"/>
        <v>₹27,390.03</v>
      </c>
      <c r="I4455" s="51" t="str">
        <f>68987.39-H4455</f>
        <v>₹41,597.36</v>
      </c>
    </row>
    <row r="4456" ht="15.75" customHeight="1">
      <c r="A4456" s="53" t="s">
        <v>4540</v>
      </c>
      <c r="B4456" s="53" t="s">
        <v>13</v>
      </c>
      <c r="C4456" s="53" t="s">
        <v>26</v>
      </c>
      <c r="D4456" s="54">
        <v>176834.52</v>
      </c>
      <c r="E4456" s="54" t="str">
        <f t="shared" si="1"/>
        <v>₹2,122,014.24</v>
      </c>
      <c r="F4456" s="55" t="str">
        <f t="shared" si="2"/>
        <v>30.0%</v>
      </c>
      <c r="G4456" s="54" t="str">
        <f t="shared" si="3"/>
        <v>₹636,604.27</v>
      </c>
      <c r="H4456" s="54" t="str">
        <f t="shared" si="4"/>
        <v>₹53,050.36</v>
      </c>
      <c r="I4456" s="54" t="str">
        <f>162859.8-H4456</f>
        <v>₹109,809.44</v>
      </c>
    </row>
    <row r="4457" ht="15.75" customHeight="1">
      <c r="A4457" s="50" t="s">
        <v>4541</v>
      </c>
      <c r="B4457" s="50" t="s">
        <v>13</v>
      </c>
      <c r="C4457" s="50" t="s">
        <v>14</v>
      </c>
      <c r="D4457" s="51">
        <v>123195.79</v>
      </c>
      <c r="E4457" s="51" t="str">
        <f t="shared" si="1"/>
        <v>₹1,478,349.48</v>
      </c>
      <c r="F4457" s="52" t="str">
        <f t="shared" si="2"/>
        <v>30.0%</v>
      </c>
      <c r="G4457" s="51" t="str">
        <f t="shared" si="3"/>
        <v>₹443,504.84</v>
      </c>
      <c r="H4457" s="51" t="str">
        <f t="shared" si="4"/>
        <v>₹36,958.74</v>
      </c>
      <c r="I4457" s="51" t="str">
        <f>112567.08-H4457</f>
        <v>₹75,608.34</v>
      </c>
    </row>
    <row r="4458" ht="15.75" customHeight="1">
      <c r="A4458" s="53" t="s">
        <v>4542</v>
      </c>
      <c r="B4458" s="53" t="s">
        <v>51</v>
      </c>
      <c r="C4458" s="53" t="s">
        <v>14</v>
      </c>
      <c r="D4458" s="54">
        <v>87077.58</v>
      </c>
      <c r="E4458" s="54" t="str">
        <f t="shared" si="1"/>
        <v>₹1,044,930.96</v>
      </c>
      <c r="F4458" s="55" t="str">
        <f t="shared" si="2"/>
        <v>30.0%</v>
      </c>
      <c r="G4458" s="54" t="str">
        <f t="shared" si="3"/>
        <v>₹313,479.29</v>
      </c>
      <c r="H4458" s="54" t="str">
        <f t="shared" si="4"/>
        <v>₹26,123.27</v>
      </c>
      <c r="I4458" s="54" t="str">
        <f>84796.87-H4458</f>
        <v>₹58,673.60</v>
      </c>
    </row>
    <row r="4459" ht="15.75" customHeight="1">
      <c r="A4459" s="50" t="s">
        <v>4543</v>
      </c>
      <c r="B4459" s="50" t="s">
        <v>51</v>
      </c>
      <c r="C4459" s="50" t="s">
        <v>14</v>
      </c>
      <c r="D4459" s="51">
        <v>147270.42</v>
      </c>
      <c r="E4459" s="51" t="str">
        <f t="shared" si="1"/>
        <v>₹1,767,245.04</v>
      </c>
      <c r="F4459" s="52" t="str">
        <f t="shared" si="2"/>
        <v>30.0%</v>
      </c>
      <c r="G4459" s="51" t="str">
        <f t="shared" si="3"/>
        <v>₹530,173.51</v>
      </c>
      <c r="H4459" s="51" t="str">
        <f t="shared" si="4"/>
        <v>₹44,181.13</v>
      </c>
      <c r="I4459" s="51" t="str">
        <f>129274.44-H4459</f>
        <v>₹85,093.31</v>
      </c>
    </row>
    <row r="4460" ht="15.75" customHeight="1">
      <c r="A4460" s="53" t="s">
        <v>4544</v>
      </c>
      <c r="B4460" s="53" t="s">
        <v>36</v>
      </c>
      <c r="C4460" s="53" t="s">
        <v>26</v>
      </c>
      <c r="D4460" s="54">
        <v>145641.57</v>
      </c>
      <c r="E4460" s="54" t="str">
        <f t="shared" si="1"/>
        <v>₹1,747,698.84</v>
      </c>
      <c r="F4460" s="55" t="str">
        <f t="shared" si="2"/>
        <v>30.0%</v>
      </c>
      <c r="G4460" s="54" t="str">
        <f t="shared" si="3"/>
        <v>₹524,309.65</v>
      </c>
      <c r="H4460" s="54" t="str">
        <f t="shared" si="4"/>
        <v>₹43,692.47</v>
      </c>
      <c r="I4460" s="54" t="str">
        <f>127921.72-H4460</f>
        <v>₹84,229.25</v>
      </c>
    </row>
    <row r="4461" ht="15.75" customHeight="1">
      <c r="A4461" s="50" t="s">
        <v>4545</v>
      </c>
      <c r="B4461" s="50" t="s">
        <v>51</v>
      </c>
      <c r="C4461" s="50" t="s">
        <v>18</v>
      </c>
      <c r="D4461" s="51">
        <v>134343.01</v>
      </c>
      <c r="E4461" s="51" t="str">
        <f t="shared" si="1"/>
        <v>₹1,612,116.12</v>
      </c>
      <c r="F4461" s="52" t="str">
        <f t="shared" si="2"/>
        <v>30.0%</v>
      </c>
      <c r="G4461" s="51" t="str">
        <f t="shared" si="3"/>
        <v>₹483,634.84</v>
      </c>
      <c r="H4461" s="51" t="str">
        <f t="shared" si="4"/>
        <v>₹40,302.90</v>
      </c>
      <c r="I4461" s="51" t="str">
        <f>118798.94-H4461</f>
        <v>₹78,496.04</v>
      </c>
    </row>
    <row r="4462" ht="15.75" customHeight="1">
      <c r="A4462" s="53" t="s">
        <v>4546</v>
      </c>
      <c r="B4462" s="53" t="s">
        <v>51</v>
      </c>
      <c r="C4462" s="53" t="s">
        <v>26</v>
      </c>
      <c r="D4462" s="54">
        <v>135805.38</v>
      </c>
      <c r="E4462" s="54" t="str">
        <f t="shared" si="1"/>
        <v>₹1,629,664.56</v>
      </c>
      <c r="F4462" s="55" t="str">
        <f t="shared" si="2"/>
        <v>30.0%</v>
      </c>
      <c r="G4462" s="54" t="str">
        <f t="shared" si="3"/>
        <v>₹488,899.37</v>
      </c>
      <c r="H4462" s="54" t="str">
        <f t="shared" si="4"/>
        <v>₹40,741.61</v>
      </c>
      <c r="I4462" s="54" t="str">
        <f>122803.95-H4462</f>
        <v>₹82,062.34</v>
      </c>
    </row>
    <row r="4463" ht="15.75" customHeight="1">
      <c r="A4463" s="50" t="s">
        <v>4547</v>
      </c>
      <c r="B4463" s="50" t="s">
        <v>13</v>
      </c>
      <c r="C4463" s="50" t="s">
        <v>18</v>
      </c>
      <c r="D4463" s="51">
        <v>105853.05</v>
      </c>
      <c r="E4463" s="51" t="str">
        <f t="shared" si="1"/>
        <v>₹1,270,236.60</v>
      </c>
      <c r="F4463" s="52" t="str">
        <f t="shared" si="2"/>
        <v>30.0%</v>
      </c>
      <c r="G4463" s="51" t="str">
        <f t="shared" si="3"/>
        <v>₹381,070.98</v>
      </c>
      <c r="H4463" s="51" t="str">
        <f t="shared" si="4"/>
        <v>₹31,755.92</v>
      </c>
      <c r="I4463" s="51" t="str">
        <f>94725.33-H4463</f>
        <v>₹62,969.42</v>
      </c>
    </row>
    <row r="4464" ht="15.75" customHeight="1">
      <c r="A4464" s="53" t="s">
        <v>4548</v>
      </c>
      <c r="B4464" s="53" t="s">
        <v>29</v>
      </c>
      <c r="C4464" s="53" t="s">
        <v>14</v>
      </c>
      <c r="D4464" s="54">
        <v>92145.02</v>
      </c>
      <c r="E4464" s="54" t="str">
        <f t="shared" si="1"/>
        <v>₹1,105,740.24</v>
      </c>
      <c r="F4464" s="55" t="str">
        <f t="shared" si="2"/>
        <v>30.0%</v>
      </c>
      <c r="G4464" s="54" t="str">
        <f t="shared" si="3"/>
        <v>₹331,722.07</v>
      </c>
      <c r="H4464" s="54" t="str">
        <f t="shared" si="4"/>
        <v>₹27,643.51</v>
      </c>
      <c r="I4464" s="54" t="str">
        <f>77109.88-H4464</f>
        <v>₹49,466.37</v>
      </c>
    </row>
    <row r="4465" ht="15.75" customHeight="1">
      <c r="A4465" s="50" t="s">
        <v>4549</v>
      </c>
      <c r="B4465" s="50" t="s">
        <v>17</v>
      </c>
      <c r="C4465" s="50" t="s">
        <v>33</v>
      </c>
      <c r="D4465" s="51">
        <v>180882.5</v>
      </c>
      <c r="E4465" s="51" t="str">
        <f t="shared" si="1"/>
        <v>₹2,170,590.00</v>
      </c>
      <c r="F4465" s="52" t="str">
        <f t="shared" si="2"/>
        <v>30.0%</v>
      </c>
      <c r="G4465" s="51" t="str">
        <f t="shared" si="3"/>
        <v>₹651,177.00</v>
      </c>
      <c r="H4465" s="51" t="str">
        <f t="shared" si="4"/>
        <v>₹54,264.75</v>
      </c>
      <c r="I4465" s="51" t="str">
        <f>174664.31-H4465</f>
        <v>₹120,399.56</v>
      </c>
    </row>
    <row r="4466" ht="15.75" customHeight="1">
      <c r="A4466" s="53" t="s">
        <v>4550</v>
      </c>
      <c r="B4466" s="53" t="s">
        <v>53</v>
      </c>
      <c r="C4466" s="53" t="s">
        <v>14</v>
      </c>
      <c r="D4466" s="54">
        <v>167802.01</v>
      </c>
      <c r="E4466" s="54" t="str">
        <f t="shared" si="1"/>
        <v>₹2,013,624.12</v>
      </c>
      <c r="F4466" s="55" t="str">
        <f t="shared" si="2"/>
        <v>30.0%</v>
      </c>
      <c r="G4466" s="54" t="str">
        <f t="shared" si="3"/>
        <v>₹604,087.24</v>
      </c>
      <c r="H4466" s="54" t="str">
        <f t="shared" si="4"/>
        <v>₹50,340.60</v>
      </c>
      <c r="I4466" s="54" t="str">
        <f>144241.16-H4466</f>
        <v>₹93,900.56</v>
      </c>
    </row>
    <row r="4467" ht="15.75" customHeight="1">
      <c r="A4467" s="50" t="s">
        <v>4551</v>
      </c>
      <c r="B4467" s="50" t="s">
        <v>53</v>
      </c>
      <c r="C4467" s="50" t="s">
        <v>14</v>
      </c>
      <c r="D4467" s="51">
        <v>148031.89</v>
      </c>
      <c r="E4467" s="51" t="str">
        <f t="shared" si="1"/>
        <v>₹1,776,382.68</v>
      </c>
      <c r="F4467" s="52" t="str">
        <f t="shared" si="2"/>
        <v>30.0%</v>
      </c>
      <c r="G4467" s="51" t="str">
        <f t="shared" si="3"/>
        <v>₹532,914.80</v>
      </c>
      <c r="H4467" s="51" t="str">
        <f t="shared" si="4"/>
        <v>₹44,409.57</v>
      </c>
      <c r="I4467" s="51" t="str">
        <f>133106.42-H4467</f>
        <v>₹88,696.85</v>
      </c>
    </row>
    <row r="4468" ht="15.75" customHeight="1">
      <c r="A4468" s="53" t="s">
        <v>4552</v>
      </c>
      <c r="B4468" s="53" t="s">
        <v>53</v>
      </c>
      <c r="C4468" s="53" t="s">
        <v>26</v>
      </c>
      <c r="D4468" s="54">
        <v>113163.3</v>
      </c>
      <c r="E4468" s="54" t="str">
        <f t="shared" si="1"/>
        <v>₹1,357,959.60</v>
      </c>
      <c r="F4468" s="55" t="str">
        <f t="shared" si="2"/>
        <v>30.0%</v>
      </c>
      <c r="G4468" s="54" t="str">
        <f t="shared" si="3"/>
        <v>₹407,387.88</v>
      </c>
      <c r="H4468" s="54" t="str">
        <f t="shared" si="4"/>
        <v>₹33,948.99</v>
      </c>
      <c r="I4468" s="54" t="str">
        <f>105039.09-H4468</f>
        <v>₹71,090.10</v>
      </c>
    </row>
    <row r="4469" ht="15.75" customHeight="1">
      <c r="A4469" s="50" t="s">
        <v>4553</v>
      </c>
      <c r="B4469" s="50" t="s">
        <v>29</v>
      </c>
      <c r="C4469" s="50" t="s">
        <v>30</v>
      </c>
      <c r="D4469" s="51">
        <v>98668.68</v>
      </c>
      <c r="E4469" s="51" t="str">
        <f t="shared" si="1"/>
        <v>₹1,184,024.16</v>
      </c>
      <c r="F4469" s="52" t="str">
        <f t="shared" si="2"/>
        <v>30.0%</v>
      </c>
      <c r="G4469" s="51" t="str">
        <f t="shared" si="3"/>
        <v>₹355,207.25</v>
      </c>
      <c r="H4469" s="51" t="str">
        <f t="shared" si="4"/>
        <v>₹29,600.60</v>
      </c>
      <c r="I4469" s="51" t="str">
        <f>87151.52-H4469</f>
        <v>₹57,550.92</v>
      </c>
    </row>
    <row r="4470" ht="15.75" customHeight="1">
      <c r="A4470" s="53" t="s">
        <v>4554</v>
      </c>
      <c r="B4470" s="53" t="s">
        <v>17</v>
      </c>
      <c r="C4470" s="53" t="s">
        <v>54</v>
      </c>
      <c r="D4470" s="54">
        <v>132440.49</v>
      </c>
      <c r="E4470" s="54" t="str">
        <f t="shared" si="1"/>
        <v>₹1,589,285.88</v>
      </c>
      <c r="F4470" s="55" t="str">
        <f t="shared" si="2"/>
        <v>30.0%</v>
      </c>
      <c r="G4470" s="54" t="str">
        <f t="shared" si="3"/>
        <v>₹476,785.76</v>
      </c>
      <c r="H4470" s="54" t="str">
        <f t="shared" si="4"/>
        <v>₹39,732.15</v>
      </c>
      <c r="I4470" s="54" t="str">
        <f>112201.21-H4470</f>
        <v>₹72,469.06</v>
      </c>
    </row>
    <row r="4471" ht="15.75" customHeight="1">
      <c r="A4471" s="50" t="s">
        <v>4555</v>
      </c>
      <c r="B4471" s="50" t="s">
        <v>36</v>
      </c>
      <c r="C4471" s="50" t="s">
        <v>54</v>
      </c>
      <c r="D4471" s="51">
        <v>159738.06</v>
      </c>
      <c r="E4471" s="51" t="str">
        <f t="shared" si="1"/>
        <v>₹1,916,856.72</v>
      </c>
      <c r="F4471" s="52" t="str">
        <f t="shared" si="2"/>
        <v>30.0%</v>
      </c>
      <c r="G4471" s="51" t="str">
        <f t="shared" si="3"/>
        <v>₹575,057.02</v>
      </c>
      <c r="H4471" s="51" t="str">
        <f t="shared" si="4"/>
        <v>₹47,921.42</v>
      </c>
      <c r="I4471" s="51" t="str">
        <f>155278.47-H4471</f>
        <v>₹107,357.05</v>
      </c>
    </row>
    <row r="4472" ht="15.75" customHeight="1">
      <c r="A4472" s="53" t="s">
        <v>4556</v>
      </c>
      <c r="B4472" s="53" t="s">
        <v>53</v>
      </c>
      <c r="C4472" s="53" t="s">
        <v>14</v>
      </c>
      <c r="D4472" s="54">
        <v>164398.95</v>
      </c>
      <c r="E4472" s="54" t="str">
        <f t="shared" si="1"/>
        <v>₹1,972,787.40</v>
      </c>
      <c r="F4472" s="55" t="str">
        <f t="shared" si="2"/>
        <v>30.0%</v>
      </c>
      <c r="G4472" s="54" t="str">
        <f t="shared" si="3"/>
        <v>₹591,836.22</v>
      </c>
      <c r="H4472" s="54" t="str">
        <f t="shared" si="4"/>
        <v>₹49,319.69</v>
      </c>
      <c r="I4472" s="54" t="str">
        <f>156724.48-H4472</f>
        <v>₹107,404.80</v>
      </c>
    </row>
    <row r="4473" ht="15.75" customHeight="1">
      <c r="A4473" s="50" t="s">
        <v>4557</v>
      </c>
      <c r="B4473" s="50" t="s">
        <v>25</v>
      </c>
      <c r="C4473" s="50" t="s">
        <v>18</v>
      </c>
      <c r="D4473" s="51">
        <v>159416.09</v>
      </c>
      <c r="E4473" s="51" t="str">
        <f t="shared" si="1"/>
        <v>₹1,912,993.08</v>
      </c>
      <c r="F4473" s="52" t="str">
        <f t="shared" si="2"/>
        <v>30.0%</v>
      </c>
      <c r="G4473" s="51" t="str">
        <f t="shared" si="3"/>
        <v>₹573,897.92</v>
      </c>
      <c r="H4473" s="51" t="str">
        <f t="shared" si="4"/>
        <v>₹47,824.83</v>
      </c>
      <c r="I4473" s="51" t="str">
        <f>142268.14-H4473</f>
        <v>₹94,443.31</v>
      </c>
    </row>
    <row r="4474" ht="15.75" customHeight="1">
      <c r="A4474" s="53" t="s">
        <v>4558</v>
      </c>
      <c r="B4474" s="53" t="s">
        <v>51</v>
      </c>
      <c r="C4474" s="53" t="s">
        <v>14</v>
      </c>
      <c r="D4474" s="54">
        <v>153332.89</v>
      </c>
      <c r="E4474" s="54" t="str">
        <f t="shared" si="1"/>
        <v>₹1,839,994.68</v>
      </c>
      <c r="F4474" s="55" t="str">
        <f t="shared" si="2"/>
        <v>30.0%</v>
      </c>
      <c r="G4474" s="54" t="str">
        <f t="shared" si="3"/>
        <v>₹551,998.40</v>
      </c>
      <c r="H4474" s="54" t="str">
        <f t="shared" si="4"/>
        <v>₹45,999.87</v>
      </c>
      <c r="I4474" s="54" t="str">
        <f>145103.4-H4474</f>
        <v>₹99,103.53</v>
      </c>
    </row>
    <row r="4475" ht="15.75" customHeight="1">
      <c r="A4475" s="50" t="s">
        <v>4559</v>
      </c>
      <c r="B4475" s="50" t="s">
        <v>17</v>
      </c>
      <c r="C4475" s="50" t="s">
        <v>37</v>
      </c>
      <c r="D4475" s="51">
        <v>71228.26</v>
      </c>
      <c r="E4475" s="51" t="str">
        <f t="shared" si="1"/>
        <v>₹854,739.12</v>
      </c>
      <c r="F4475" s="52" t="str">
        <f t="shared" si="2"/>
        <v>20.0%</v>
      </c>
      <c r="G4475" s="51" t="str">
        <f t="shared" si="3"/>
        <v>₹170,947.82</v>
      </c>
      <c r="H4475" s="51" t="str">
        <f t="shared" si="4"/>
        <v>₹14,245.65</v>
      </c>
      <c r="I4475" s="51" t="str">
        <f>51311.97-H4475</f>
        <v>₹37,066.32</v>
      </c>
    </row>
    <row r="4476" ht="15.75" customHeight="1">
      <c r="A4476" s="53" t="s">
        <v>4560</v>
      </c>
      <c r="B4476" s="53" t="s">
        <v>17</v>
      </c>
      <c r="C4476" s="53" t="s">
        <v>14</v>
      </c>
      <c r="D4476" s="54">
        <v>76827.19</v>
      </c>
      <c r="E4476" s="54" t="str">
        <f t="shared" si="1"/>
        <v>₹921,926.28</v>
      </c>
      <c r="F4476" s="55" t="str">
        <f t="shared" si="2"/>
        <v>20.0%</v>
      </c>
      <c r="G4476" s="54" t="str">
        <f t="shared" si="3"/>
        <v>₹184,385.26</v>
      </c>
      <c r="H4476" s="54" t="str">
        <f t="shared" si="4"/>
        <v>₹15,365.44</v>
      </c>
      <c r="I4476" s="54" t="str">
        <f>73131.08-H4476</f>
        <v>₹57,765.64</v>
      </c>
    </row>
    <row r="4477" ht="15.75" customHeight="1">
      <c r="A4477" s="50" t="s">
        <v>4561</v>
      </c>
      <c r="B4477" s="50" t="s">
        <v>17</v>
      </c>
      <c r="C4477" s="50" t="s">
        <v>14</v>
      </c>
      <c r="D4477" s="51">
        <v>184377.54</v>
      </c>
      <c r="E4477" s="51" t="str">
        <f t="shared" si="1"/>
        <v>₹2,212,530.48</v>
      </c>
      <c r="F4477" s="52" t="str">
        <f t="shared" si="2"/>
        <v>30.0%</v>
      </c>
      <c r="G4477" s="51" t="str">
        <f t="shared" si="3"/>
        <v>₹663,759.14</v>
      </c>
      <c r="H4477" s="51" t="str">
        <f t="shared" si="4"/>
        <v>₹55,313.26</v>
      </c>
      <c r="I4477" s="51" t="str">
        <f>165191.73-H4477</f>
        <v>₹109,878.47</v>
      </c>
    </row>
    <row r="4478" ht="15.75" customHeight="1">
      <c r="A4478" s="53" t="s">
        <v>4562</v>
      </c>
      <c r="B4478" s="53" t="s">
        <v>17</v>
      </c>
      <c r="C4478" s="53" t="s">
        <v>37</v>
      </c>
      <c r="D4478" s="54">
        <v>122916.4</v>
      </c>
      <c r="E4478" s="54" t="str">
        <f t="shared" si="1"/>
        <v>₹1,474,996.80</v>
      </c>
      <c r="F4478" s="55" t="str">
        <f t="shared" si="2"/>
        <v>30.0%</v>
      </c>
      <c r="G4478" s="54" t="str">
        <f t="shared" si="3"/>
        <v>₹442,499.04</v>
      </c>
      <c r="H4478" s="54" t="str">
        <f t="shared" si="4"/>
        <v>₹36,874.92</v>
      </c>
      <c r="I4478" s="54" t="str">
        <f>120741.78-H4478</f>
        <v>₹83,866.86</v>
      </c>
    </row>
    <row r="4479" ht="15.75" customHeight="1">
      <c r="A4479" s="50" t="s">
        <v>4563</v>
      </c>
      <c r="B4479" s="50" t="s">
        <v>51</v>
      </c>
      <c r="C4479" s="50" t="s">
        <v>30</v>
      </c>
      <c r="D4479" s="51">
        <v>73550.8</v>
      </c>
      <c r="E4479" s="51" t="str">
        <f t="shared" si="1"/>
        <v>₹882,609.60</v>
      </c>
      <c r="F4479" s="52" t="str">
        <f t="shared" si="2"/>
        <v>20.0%</v>
      </c>
      <c r="G4479" s="51" t="str">
        <f t="shared" si="3"/>
        <v>₹176,521.92</v>
      </c>
      <c r="H4479" s="51" t="str">
        <f t="shared" si="4"/>
        <v>₹14,710.16</v>
      </c>
      <c r="I4479" s="51" t="str">
        <f>72742.28-H4479</f>
        <v>₹58,032.12</v>
      </c>
    </row>
    <row r="4480" ht="15.75" customHeight="1">
      <c r="A4480" s="53" t="s">
        <v>4564</v>
      </c>
      <c r="B4480" s="53" t="s">
        <v>25</v>
      </c>
      <c r="C4480" s="53" t="s">
        <v>14</v>
      </c>
      <c r="D4480" s="54">
        <v>87101.91</v>
      </c>
      <c r="E4480" s="54" t="str">
        <f t="shared" si="1"/>
        <v>₹1,045,222.92</v>
      </c>
      <c r="F4480" s="55" t="str">
        <f t="shared" si="2"/>
        <v>30.0%</v>
      </c>
      <c r="G4480" s="54" t="str">
        <f t="shared" si="3"/>
        <v>₹313,566.88</v>
      </c>
      <c r="H4480" s="54" t="str">
        <f t="shared" si="4"/>
        <v>₹26,130.57</v>
      </c>
      <c r="I4480" s="54" t="str">
        <f>64595.43-H4480</f>
        <v>₹38,464.86</v>
      </c>
    </row>
    <row r="4481" ht="15.75" customHeight="1">
      <c r="A4481" s="50" t="s">
        <v>4565</v>
      </c>
      <c r="B4481" s="50" t="s">
        <v>29</v>
      </c>
      <c r="C4481" s="50" t="s">
        <v>26</v>
      </c>
      <c r="D4481" s="51">
        <v>144531.96</v>
      </c>
      <c r="E4481" s="51" t="str">
        <f t="shared" si="1"/>
        <v>₹1,734,383.52</v>
      </c>
      <c r="F4481" s="52" t="str">
        <f t="shared" si="2"/>
        <v>30.0%</v>
      </c>
      <c r="G4481" s="51" t="str">
        <f t="shared" si="3"/>
        <v>₹520,315.06</v>
      </c>
      <c r="H4481" s="51" t="str">
        <f t="shared" si="4"/>
        <v>₹43,359.59</v>
      </c>
      <c r="I4481" s="51" t="str">
        <f>129789.15-H4481</f>
        <v>₹86,429.56</v>
      </c>
    </row>
    <row r="4482" ht="15.75" customHeight="1">
      <c r="A4482" s="53" t="s">
        <v>4566</v>
      </c>
      <c r="B4482" s="53" t="s">
        <v>17</v>
      </c>
      <c r="C4482" s="53" t="s">
        <v>14</v>
      </c>
      <c r="D4482" s="54">
        <v>59011.1</v>
      </c>
      <c r="E4482" s="54" t="str">
        <f t="shared" si="1"/>
        <v>₹708,133.20</v>
      </c>
      <c r="F4482" s="55" t="str">
        <f t="shared" si="2"/>
        <v>20.0%</v>
      </c>
      <c r="G4482" s="54" t="str">
        <f t="shared" si="3"/>
        <v>₹141,626.64</v>
      </c>
      <c r="H4482" s="54" t="str">
        <f t="shared" si="4"/>
        <v>₹11,802.22</v>
      </c>
      <c r="I4482" s="54" t="str">
        <f>49891.34-H4482</f>
        <v>₹38,089.12</v>
      </c>
    </row>
    <row r="4483" ht="15.75" customHeight="1">
      <c r="A4483" s="50" t="s">
        <v>4567</v>
      </c>
      <c r="B4483" s="50" t="s">
        <v>13</v>
      </c>
      <c r="C4483" s="50" t="s">
        <v>26</v>
      </c>
      <c r="D4483" s="51">
        <v>74327.97</v>
      </c>
      <c r="E4483" s="51" t="str">
        <f t="shared" si="1"/>
        <v>₹891,935.64</v>
      </c>
      <c r="F4483" s="52" t="str">
        <f t="shared" si="2"/>
        <v>20.0%</v>
      </c>
      <c r="G4483" s="51" t="str">
        <f t="shared" si="3"/>
        <v>₹178,387.13</v>
      </c>
      <c r="H4483" s="51" t="str">
        <f t="shared" si="4"/>
        <v>₹14,865.59</v>
      </c>
      <c r="I4483" s="51" t="str">
        <f>68129.4-H4483</f>
        <v>₹53,263.81</v>
      </c>
    </row>
    <row r="4484" ht="15.75" customHeight="1">
      <c r="A4484" s="53" t="s">
        <v>4568</v>
      </c>
      <c r="B4484" s="53" t="s">
        <v>17</v>
      </c>
      <c r="C4484" s="53" t="s">
        <v>14</v>
      </c>
      <c r="D4484" s="54">
        <v>116812.28</v>
      </c>
      <c r="E4484" s="54" t="str">
        <f t="shared" si="1"/>
        <v>₹1,401,747.36</v>
      </c>
      <c r="F4484" s="55" t="str">
        <f t="shared" si="2"/>
        <v>30.0%</v>
      </c>
      <c r="G4484" s="54" t="str">
        <f t="shared" si="3"/>
        <v>₹420,524.21</v>
      </c>
      <c r="H4484" s="54" t="str">
        <f t="shared" si="4"/>
        <v>₹35,043.68</v>
      </c>
      <c r="I4484" s="54" t="str">
        <f>101198.58-H4484</f>
        <v>₹66,154.90</v>
      </c>
    </row>
    <row r="4485" ht="15.75" customHeight="1">
      <c r="A4485" s="50" t="s">
        <v>4569</v>
      </c>
      <c r="B4485" s="50" t="s">
        <v>53</v>
      </c>
      <c r="C4485" s="50" t="s">
        <v>54</v>
      </c>
      <c r="D4485" s="51">
        <v>149135.67</v>
      </c>
      <c r="E4485" s="51" t="str">
        <f t="shared" si="1"/>
        <v>₹1,789,628.04</v>
      </c>
      <c r="F4485" s="52" t="str">
        <f t="shared" si="2"/>
        <v>30.0%</v>
      </c>
      <c r="G4485" s="51" t="str">
        <f t="shared" si="3"/>
        <v>₹536,888.41</v>
      </c>
      <c r="H4485" s="51" t="str">
        <f t="shared" si="4"/>
        <v>₹44,740.70</v>
      </c>
      <c r="I4485" s="51" t="str">
        <f>136165.12-H4485</f>
        <v>₹91,424.42</v>
      </c>
    </row>
    <row r="4486" ht="15.75" customHeight="1">
      <c r="A4486" s="53" t="s">
        <v>4570</v>
      </c>
      <c r="B4486" s="53" t="s">
        <v>25</v>
      </c>
      <c r="C4486" s="53" t="s">
        <v>33</v>
      </c>
      <c r="D4486" s="54">
        <v>143465.54</v>
      </c>
      <c r="E4486" s="54" t="str">
        <f t="shared" si="1"/>
        <v>₹1,721,586.48</v>
      </c>
      <c r="F4486" s="55" t="str">
        <f t="shared" si="2"/>
        <v>30.0%</v>
      </c>
      <c r="G4486" s="54" t="str">
        <f t="shared" si="3"/>
        <v>₹516,475.94</v>
      </c>
      <c r="H4486" s="54" t="str">
        <f t="shared" si="4"/>
        <v>₹43,039.66</v>
      </c>
      <c r="I4486" s="54" t="str">
        <f>118671.39-H4486</f>
        <v>₹75,631.73</v>
      </c>
    </row>
    <row r="4487" ht="15.75" customHeight="1">
      <c r="A4487" s="50" t="s">
        <v>4571</v>
      </c>
      <c r="B4487" s="50" t="s">
        <v>51</v>
      </c>
      <c r="C4487" s="50" t="s">
        <v>54</v>
      </c>
      <c r="D4487" s="51">
        <v>87383.82</v>
      </c>
      <c r="E4487" s="51" t="str">
        <f t="shared" si="1"/>
        <v>₹1,048,605.84</v>
      </c>
      <c r="F4487" s="52" t="str">
        <f t="shared" si="2"/>
        <v>30.0%</v>
      </c>
      <c r="G4487" s="51" t="str">
        <f t="shared" si="3"/>
        <v>₹314,581.75</v>
      </c>
      <c r="H4487" s="51" t="str">
        <f t="shared" si="4"/>
        <v>₹26,215.15</v>
      </c>
      <c r="I4487" s="51" t="str">
        <f>62795.03-H4487</f>
        <v>₹36,579.88</v>
      </c>
    </row>
    <row r="4488" ht="15.75" customHeight="1">
      <c r="A4488" s="53" t="s">
        <v>4572</v>
      </c>
      <c r="B4488" s="53" t="s">
        <v>25</v>
      </c>
      <c r="C4488" s="53" t="s">
        <v>33</v>
      </c>
      <c r="D4488" s="54">
        <v>153167.24</v>
      </c>
      <c r="E4488" s="54" t="str">
        <f t="shared" si="1"/>
        <v>₹1,838,006.88</v>
      </c>
      <c r="F4488" s="55" t="str">
        <f t="shared" si="2"/>
        <v>30.0%</v>
      </c>
      <c r="G4488" s="54" t="str">
        <f t="shared" si="3"/>
        <v>₹551,402.06</v>
      </c>
      <c r="H4488" s="54" t="str">
        <f t="shared" si="4"/>
        <v>₹45,950.17</v>
      </c>
      <c r="I4488" s="54" t="str">
        <f>137109.14-H4488</f>
        <v>₹91,158.97</v>
      </c>
    </row>
    <row r="4489" ht="15.75" customHeight="1">
      <c r="A4489" s="50" t="s">
        <v>4573</v>
      </c>
      <c r="B4489" s="50" t="s">
        <v>13</v>
      </c>
      <c r="C4489" s="50" t="s">
        <v>33</v>
      </c>
      <c r="D4489" s="51">
        <v>109869.81</v>
      </c>
      <c r="E4489" s="51" t="str">
        <f t="shared" si="1"/>
        <v>₹1,318,437.72</v>
      </c>
      <c r="F4489" s="52" t="str">
        <f t="shared" si="2"/>
        <v>30.0%</v>
      </c>
      <c r="G4489" s="51" t="str">
        <f t="shared" si="3"/>
        <v>₹395,531.32</v>
      </c>
      <c r="H4489" s="51" t="str">
        <f t="shared" si="4"/>
        <v>₹32,960.94</v>
      </c>
      <c r="I4489" s="51" t="str">
        <f>98519.48-H4489</f>
        <v>₹65,558.54</v>
      </c>
    </row>
    <row r="4490" ht="15.75" customHeight="1">
      <c r="A4490" s="53" t="s">
        <v>4574</v>
      </c>
      <c r="B4490" s="53" t="s">
        <v>25</v>
      </c>
      <c r="C4490" s="53" t="s">
        <v>30</v>
      </c>
      <c r="D4490" s="54">
        <v>91107.72</v>
      </c>
      <c r="E4490" s="54" t="str">
        <f t="shared" si="1"/>
        <v>₹1,093,292.64</v>
      </c>
      <c r="F4490" s="55" t="str">
        <f t="shared" si="2"/>
        <v>30.0%</v>
      </c>
      <c r="G4490" s="54" t="str">
        <f t="shared" si="3"/>
        <v>₹327,987.79</v>
      </c>
      <c r="H4490" s="54" t="str">
        <f t="shared" si="4"/>
        <v>₹27,332.32</v>
      </c>
      <c r="I4490" s="54" t="str">
        <f>78574.77-H4490</f>
        <v>₹51,242.45</v>
      </c>
    </row>
    <row r="4491" ht="15.75" customHeight="1">
      <c r="A4491" s="50" t="s">
        <v>4575</v>
      </c>
      <c r="B4491" s="50" t="s">
        <v>25</v>
      </c>
      <c r="C4491" s="50" t="s">
        <v>37</v>
      </c>
      <c r="D4491" s="51">
        <v>151765.87</v>
      </c>
      <c r="E4491" s="51" t="str">
        <f t="shared" si="1"/>
        <v>₹1,821,190.44</v>
      </c>
      <c r="F4491" s="52" t="str">
        <f t="shared" si="2"/>
        <v>30.0%</v>
      </c>
      <c r="G4491" s="51" t="str">
        <f t="shared" si="3"/>
        <v>₹546,357.13</v>
      </c>
      <c r="H4491" s="51" t="str">
        <f t="shared" si="4"/>
        <v>₹45,529.76</v>
      </c>
      <c r="I4491" s="51" t="str">
        <f>134545.13-H4491</f>
        <v>₹89,015.37</v>
      </c>
    </row>
    <row r="4492" ht="15.75" customHeight="1">
      <c r="A4492" s="53" t="s">
        <v>4576</v>
      </c>
      <c r="B4492" s="53" t="s">
        <v>51</v>
      </c>
      <c r="C4492" s="53" t="s">
        <v>14</v>
      </c>
      <c r="D4492" s="54">
        <v>148485.89</v>
      </c>
      <c r="E4492" s="54" t="str">
        <f t="shared" si="1"/>
        <v>₹1,781,830.68</v>
      </c>
      <c r="F4492" s="55" t="str">
        <f t="shared" si="2"/>
        <v>30.0%</v>
      </c>
      <c r="G4492" s="54" t="str">
        <f t="shared" si="3"/>
        <v>₹534,549.20</v>
      </c>
      <c r="H4492" s="54" t="str">
        <f t="shared" si="4"/>
        <v>₹44,545.77</v>
      </c>
      <c r="I4492" s="54" t="str">
        <f>145497.31-H4492</f>
        <v>₹100,951.54</v>
      </c>
    </row>
    <row r="4493" ht="15.75" customHeight="1">
      <c r="A4493" s="50" t="s">
        <v>4577</v>
      </c>
      <c r="B4493" s="50" t="s">
        <v>36</v>
      </c>
      <c r="C4493" s="50" t="s">
        <v>14</v>
      </c>
      <c r="D4493" s="51">
        <v>153718.64</v>
      </c>
      <c r="E4493" s="51" t="str">
        <f t="shared" si="1"/>
        <v>₹1,844,623.68</v>
      </c>
      <c r="F4493" s="52" t="str">
        <f t="shared" si="2"/>
        <v>30.0%</v>
      </c>
      <c r="G4493" s="51" t="str">
        <f t="shared" si="3"/>
        <v>₹553,387.10</v>
      </c>
      <c r="H4493" s="51" t="str">
        <f t="shared" si="4"/>
        <v>₹46,115.59</v>
      </c>
      <c r="I4493" s="51" t="str">
        <f>145174.01-H4493</f>
        <v>₹99,058.42</v>
      </c>
    </row>
    <row r="4494" ht="15.75" customHeight="1">
      <c r="A4494" s="53" t="s">
        <v>4578</v>
      </c>
      <c r="B4494" s="53" t="s">
        <v>53</v>
      </c>
      <c r="C4494" s="53" t="s">
        <v>33</v>
      </c>
      <c r="D4494" s="54">
        <v>135603.73</v>
      </c>
      <c r="E4494" s="54" t="str">
        <f t="shared" si="1"/>
        <v>₹1,627,244.76</v>
      </c>
      <c r="F4494" s="55" t="str">
        <f t="shared" si="2"/>
        <v>30.0%</v>
      </c>
      <c r="G4494" s="54" t="str">
        <f t="shared" si="3"/>
        <v>₹488,173.43</v>
      </c>
      <c r="H4494" s="54" t="str">
        <f t="shared" si="4"/>
        <v>₹40,681.12</v>
      </c>
      <c r="I4494" s="54" t="str">
        <f>133259.56-H4494</f>
        <v>₹92,578.44</v>
      </c>
    </row>
    <row r="4495" ht="15.75" customHeight="1">
      <c r="A4495" s="50" t="s">
        <v>4579</v>
      </c>
      <c r="B4495" s="50" t="s">
        <v>51</v>
      </c>
      <c r="C4495" s="50" t="s">
        <v>26</v>
      </c>
      <c r="D4495" s="51">
        <v>137245.67</v>
      </c>
      <c r="E4495" s="51" t="str">
        <f t="shared" si="1"/>
        <v>₹1,646,948.04</v>
      </c>
      <c r="F4495" s="52" t="str">
        <f t="shared" si="2"/>
        <v>30.0%</v>
      </c>
      <c r="G4495" s="51" t="str">
        <f t="shared" si="3"/>
        <v>₹494,084.41</v>
      </c>
      <c r="H4495" s="51" t="str">
        <f t="shared" si="4"/>
        <v>₹41,173.70</v>
      </c>
      <c r="I4495" s="51" t="str">
        <f>134948.33-H4495</f>
        <v>₹93,774.63</v>
      </c>
    </row>
    <row r="4496" ht="15.75" customHeight="1">
      <c r="A4496" s="53" t="s">
        <v>4580</v>
      </c>
      <c r="B4496" s="53" t="s">
        <v>13</v>
      </c>
      <c r="C4496" s="53" t="s">
        <v>30</v>
      </c>
      <c r="D4496" s="54">
        <v>97651.51</v>
      </c>
      <c r="E4496" s="54" t="str">
        <f t="shared" si="1"/>
        <v>₹1,171,818.12</v>
      </c>
      <c r="F4496" s="55" t="str">
        <f t="shared" si="2"/>
        <v>30.0%</v>
      </c>
      <c r="G4496" s="54" t="str">
        <f t="shared" si="3"/>
        <v>₹351,545.44</v>
      </c>
      <c r="H4496" s="54" t="str">
        <f t="shared" si="4"/>
        <v>₹29,295.45</v>
      </c>
      <c r="I4496" s="54" t="str">
        <f>92353.45-H4496</f>
        <v>₹63,058.00</v>
      </c>
    </row>
    <row r="4497" ht="15.75" customHeight="1">
      <c r="A4497" s="50" t="s">
        <v>4581</v>
      </c>
      <c r="B4497" s="50" t="s">
        <v>29</v>
      </c>
      <c r="C4497" s="50" t="s">
        <v>37</v>
      </c>
      <c r="D4497" s="51">
        <v>123265.11</v>
      </c>
      <c r="E4497" s="51" t="str">
        <f t="shared" si="1"/>
        <v>₹1,479,181.32</v>
      </c>
      <c r="F4497" s="52" t="str">
        <f t="shared" si="2"/>
        <v>30.0%</v>
      </c>
      <c r="G4497" s="51" t="str">
        <f t="shared" si="3"/>
        <v>₹443,754.40</v>
      </c>
      <c r="H4497" s="51" t="str">
        <f t="shared" si="4"/>
        <v>₹36,979.53</v>
      </c>
      <c r="I4497" s="51" t="str">
        <f>110876.41-H4497</f>
        <v>₹73,896.88</v>
      </c>
    </row>
    <row r="4498" ht="15.75" customHeight="1">
      <c r="A4498" s="53" t="s">
        <v>4582</v>
      </c>
      <c r="B4498" s="53" t="s">
        <v>53</v>
      </c>
      <c r="C4498" s="53" t="s">
        <v>54</v>
      </c>
      <c r="D4498" s="54">
        <v>104344.29</v>
      </c>
      <c r="E4498" s="54" t="str">
        <f t="shared" si="1"/>
        <v>₹1,252,131.48</v>
      </c>
      <c r="F4498" s="55" t="str">
        <f t="shared" si="2"/>
        <v>30.0%</v>
      </c>
      <c r="G4498" s="54" t="str">
        <f t="shared" si="3"/>
        <v>₹375,639.44</v>
      </c>
      <c r="H4498" s="54" t="str">
        <f t="shared" si="4"/>
        <v>₹31,303.29</v>
      </c>
      <c r="I4498" s="54" t="str">
        <f>84617.32-H4498</f>
        <v>₹53,314.03</v>
      </c>
    </row>
    <row r="4499" ht="15.75" customHeight="1">
      <c r="A4499" s="50" t="s">
        <v>4583</v>
      </c>
      <c r="B4499" s="50" t="s">
        <v>13</v>
      </c>
      <c r="C4499" s="50" t="s">
        <v>37</v>
      </c>
      <c r="D4499" s="51">
        <v>107419.92</v>
      </c>
      <c r="E4499" s="51" t="str">
        <f t="shared" si="1"/>
        <v>₹1,289,039.04</v>
      </c>
      <c r="F4499" s="52" t="str">
        <f t="shared" si="2"/>
        <v>30.0%</v>
      </c>
      <c r="G4499" s="51" t="str">
        <f t="shared" si="3"/>
        <v>₹386,711.71</v>
      </c>
      <c r="H4499" s="51" t="str">
        <f t="shared" si="4"/>
        <v>₹32,225.98</v>
      </c>
      <c r="I4499" s="51" t="str">
        <f>95025.27-H4499</f>
        <v>₹62,799.29</v>
      </c>
    </row>
    <row r="4500" ht="15.75" customHeight="1">
      <c r="A4500" s="53" t="s">
        <v>4584</v>
      </c>
      <c r="B4500" s="53" t="s">
        <v>29</v>
      </c>
      <c r="C4500" s="53" t="s">
        <v>37</v>
      </c>
      <c r="D4500" s="54">
        <v>170820.43</v>
      </c>
      <c r="E4500" s="54" t="str">
        <f t="shared" si="1"/>
        <v>₹2,049,845.16</v>
      </c>
      <c r="F4500" s="55" t="str">
        <f t="shared" si="2"/>
        <v>30.0%</v>
      </c>
      <c r="G4500" s="54" t="str">
        <f t="shared" si="3"/>
        <v>₹614,953.55</v>
      </c>
      <c r="H4500" s="54" t="str">
        <f t="shared" si="4"/>
        <v>₹51,246.13</v>
      </c>
      <c r="I4500" s="54" t="str">
        <f>162101.25-H4500</f>
        <v>₹110,855.12</v>
      </c>
    </row>
    <row r="4501" ht="15.75" customHeight="1">
      <c r="A4501" s="50" t="s">
        <v>4585</v>
      </c>
      <c r="B4501" s="50" t="s">
        <v>13</v>
      </c>
      <c r="C4501" s="50" t="s">
        <v>33</v>
      </c>
      <c r="D4501" s="51">
        <v>119878.41</v>
      </c>
      <c r="E4501" s="51" t="str">
        <f t="shared" si="1"/>
        <v>₹1,438,540.92</v>
      </c>
      <c r="F4501" s="52" t="str">
        <f t="shared" si="2"/>
        <v>30.0%</v>
      </c>
      <c r="G4501" s="51" t="str">
        <f t="shared" si="3"/>
        <v>₹431,562.28</v>
      </c>
      <c r="H4501" s="51" t="str">
        <f t="shared" si="4"/>
        <v>₹35,963.52</v>
      </c>
      <c r="I4501" s="51" t="str">
        <f>117360.76-H4501</f>
        <v>₹81,397.24</v>
      </c>
    </row>
    <row r="4502" ht="15.75" customHeight="1">
      <c r="A4502" s="53" t="s">
        <v>4586</v>
      </c>
      <c r="B4502" s="53" t="s">
        <v>17</v>
      </c>
      <c r="C4502" s="53" t="s">
        <v>26</v>
      </c>
      <c r="D4502" s="54">
        <v>165983.5</v>
      </c>
      <c r="E4502" s="54" t="str">
        <f t="shared" si="1"/>
        <v>₹1,991,802.00</v>
      </c>
      <c r="F4502" s="55" t="str">
        <f t="shared" si="2"/>
        <v>30.0%</v>
      </c>
      <c r="G4502" s="54" t="str">
        <f t="shared" si="3"/>
        <v>₹597,540.60</v>
      </c>
      <c r="H4502" s="54" t="str">
        <f t="shared" si="4"/>
        <v>₹49,795.05</v>
      </c>
      <c r="I4502" s="54" t="str">
        <f>152001.26-H4502</f>
        <v>₹102,206.21</v>
      </c>
    </row>
    <row r="4503" ht="15.75" customHeight="1">
      <c r="A4503" s="50" t="s">
        <v>4587</v>
      </c>
      <c r="B4503" s="50" t="s">
        <v>53</v>
      </c>
      <c r="C4503" s="50" t="s">
        <v>54</v>
      </c>
      <c r="D4503" s="51">
        <v>128651.01</v>
      </c>
      <c r="E4503" s="51" t="str">
        <f t="shared" si="1"/>
        <v>₹1,543,812.12</v>
      </c>
      <c r="F4503" s="52" t="str">
        <f t="shared" si="2"/>
        <v>30.0%</v>
      </c>
      <c r="G4503" s="51" t="str">
        <f t="shared" si="3"/>
        <v>₹463,143.64</v>
      </c>
      <c r="H4503" s="51" t="str">
        <f t="shared" si="4"/>
        <v>₹38,595.30</v>
      </c>
      <c r="I4503" s="51" t="str">
        <f>121504.93-H4503</f>
        <v>₹82,909.63</v>
      </c>
    </row>
    <row r="4504" ht="15.75" customHeight="1">
      <c r="A4504" s="53" t="s">
        <v>4588</v>
      </c>
      <c r="B4504" s="53" t="s">
        <v>51</v>
      </c>
      <c r="C4504" s="53" t="s">
        <v>26</v>
      </c>
      <c r="D4504" s="54">
        <v>164269.2</v>
      </c>
      <c r="E4504" s="54" t="str">
        <f t="shared" si="1"/>
        <v>₹1,971,230.40</v>
      </c>
      <c r="F4504" s="55" t="str">
        <f t="shared" si="2"/>
        <v>30.0%</v>
      </c>
      <c r="G4504" s="54" t="str">
        <f t="shared" si="3"/>
        <v>₹591,369.12</v>
      </c>
      <c r="H4504" s="54" t="str">
        <f t="shared" si="4"/>
        <v>₹49,280.76</v>
      </c>
      <c r="I4504" s="54" t="str">
        <f>148703.31-H4504</f>
        <v>₹99,422.55</v>
      </c>
    </row>
    <row r="4505" ht="15.75" customHeight="1">
      <c r="A4505" s="50" t="s">
        <v>4589</v>
      </c>
      <c r="B4505" s="50" t="s">
        <v>36</v>
      </c>
      <c r="C4505" s="50" t="s">
        <v>30</v>
      </c>
      <c r="D4505" s="51">
        <v>128368.73</v>
      </c>
      <c r="E4505" s="51" t="str">
        <f t="shared" si="1"/>
        <v>₹1,540,424.76</v>
      </c>
      <c r="F4505" s="52" t="str">
        <f t="shared" si="2"/>
        <v>30.0%</v>
      </c>
      <c r="G4505" s="51" t="str">
        <f t="shared" si="3"/>
        <v>₹462,127.43</v>
      </c>
      <c r="H4505" s="51" t="str">
        <f t="shared" si="4"/>
        <v>₹38,510.62</v>
      </c>
      <c r="I4505" s="51" t="str">
        <f>103927.63-H4505</f>
        <v>₹65,417.01</v>
      </c>
    </row>
    <row r="4506" ht="15.75" customHeight="1">
      <c r="A4506" s="53" t="s">
        <v>4590</v>
      </c>
      <c r="B4506" s="53" t="s">
        <v>29</v>
      </c>
      <c r="C4506" s="53" t="s">
        <v>54</v>
      </c>
      <c r="D4506" s="54">
        <v>129052.08</v>
      </c>
      <c r="E4506" s="54" t="str">
        <f t="shared" si="1"/>
        <v>₹1,548,624.96</v>
      </c>
      <c r="F4506" s="55" t="str">
        <f t="shared" si="2"/>
        <v>30.0%</v>
      </c>
      <c r="G4506" s="54" t="str">
        <f t="shared" si="3"/>
        <v>₹464,587.49</v>
      </c>
      <c r="H4506" s="54" t="str">
        <f t="shared" si="4"/>
        <v>₹38,715.62</v>
      </c>
      <c r="I4506" s="54" t="str">
        <f>125824.88-H4506</f>
        <v>₹87,109.26</v>
      </c>
    </row>
    <row r="4507" ht="15.75" customHeight="1">
      <c r="A4507" s="50" t="s">
        <v>4591</v>
      </c>
      <c r="B4507" s="50" t="s">
        <v>17</v>
      </c>
      <c r="C4507" s="50" t="s">
        <v>54</v>
      </c>
      <c r="D4507" s="51">
        <v>76836.29</v>
      </c>
      <c r="E4507" s="51" t="str">
        <f t="shared" si="1"/>
        <v>₹922,035.48</v>
      </c>
      <c r="F4507" s="52" t="str">
        <f t="shared" si="2"/>
        <v>20.0%</v>
      </c>
      <c r="G4507" s="51" t="str">
        <f t="shared" si="3"/>
        <v>₹184,407.10</v>
      </c>
      <c r="H4507" s="51" t="str">
        <f t="shared" si="4"/>
        <v>₹15,367.26</v>
      </c>
      <c r="I4507" s="51" t="str">
        <f>64745.47-H4507</f>
        <v>₹49,378.21</v>
      </c>
    </row>
    <row r="4508" ht="15.75" customHeight="1">
      <c r="A4508" s="53" t="s">
        <v>4592</v>
      </c>
      <c r="B4508" s="53" t="s">
        <v>53</v>
      </c>
      <c r="C4508" s="53" t="s">
        <v>54</v>
      </c>
      <c r="D4508" s="54">
        <v>142815.13</v>
      </c>
      <c r="E4508" s="54" t="str">
        <f t="shared" si="1"/>
        <v>₹1,713,781.56</v>
      </c>
      <c r="F4508" s="55" t="str">
        <f t="shared" si="2"/>
        <v>30.0%</v>
      </c>
      <c r="G4508" s="54" t="str">
        <f t="shared" si="3"/>
        <v>₹514,134.47</v>
      </c>
      <c r="H4508" s="54" t="str">
        <f t="shared" si="4"/>
        <v>₹42,844.54</v>
      </c>
      <c r="I4508" s="54" t="str">
        <f>118584.09-H4508</f>
        <v>₹75,739.55</v>
      </c>
    </row>
    <row r="4509" ht="15.75" customHeight="1">
      <c r="A4509" s="50" t="s">
        <v>4593</v>
      </c>
      <c r="B4509" s="50" t="s">
        <v>53</v>
      </c>
      <c r="C4509" s="50" t="s">
        <v>14</v>
      </c>
      <c r="D4509" s="51">
        <v>87126.34</v>
      </c>
      <c r="E4509" s="51" t="str">
        <f t="shared" si="1"/>
        <v>₹1,045,516.08</v>
      </c>
      <c r="F4509" s="52" t="str">
        <f t="shared" si="2"/>
        <v>30.0%</v>
      </c>
      <c r="G4509" s="51" t="str">
        <f t="shared" si="3"/>
        <v>₹313,654.82</v>
      </c>
      <c r="H4509" s="51" t="str">
        <f t="shared" si="4"/>
        <v>₹26,137.90</v>
      </c>
      <c r="I4509" s="51" t="str">
        <f>67717-H4509</f>
        <v>₹41,579.10</v>
      </c>
    </row>
    <row r="4510" ht="15.75" customHeight="1">
      <c r="A4510" s="53" t="s">
        <v>4594</v>
      </c>
      <c r="B4510" s="53" t="s">
        <v>17</v>
      </c>
      <c r="C4510" s="53" t="s">
        <v>14</v>
      </c>
      <c r="D4510" s="54">
        <v>85753.35</v>
      </c>
      <c r="E4510" s="54" t="str">
        <f t="shared" si="1"/>
        <v>₹1,029,040.20</v>
      </c>
      <c r="F4510" s="55" t="str">
        <f t="shared" si="2"/>
        <v>30.0%</v>
      </c>
      <c r="G4510" s="54" t="str">
        <f t="shared" si="3"/>
        <v>₹308,712.06</v>
      </c>
      <c r="H4510" s="54" t="str">
        <f t="shared" si="4"/>
        <v>₹25,726.01</v>
      </c>
      <c r="I4510" s="54" t="str">
        <f>63246.73-H4510</f>
        <v>₹37,520.73</v>
      </c>
    </row>
    <row r="4511" ht="15.75" customHeight="1">
      <c r="A4511" s="50" t="s">
        <v>4595</v>
      </c>
      <c r="B4511" s="50" t="s">
        <v>13</v>
      </c>
      <c r="C4511" s="50" t="s">
        <v>26</v>
      </c>
      <c r="D4511" s="51">
        <v>148663.33</v>
      </c>
      <c r="E4511" s="51" t="str">
        <f t="shared" si="1"/>
        <v>₹1,783,959.96</v>
      </c>
      <c r="F4511" s="52" t="str">
        <f t="shared" si="2"/>
        <v>30.0%</v>
      </c>
      <c r="G4511" s="51" t="str">
        <f t="shared" si="3"/>
        <v>₹535,187.99</v>
      </c>
      <c r="H4511" s="51" t="str">
        <f t="shared" si="4"/>
        <v>₹44,599.00</v>
      </c>
      <c r="I4511" s="51" t="str">
        <f>139987.32-H4511</f>
        <v>₹95,388.32</v>
      </c>
    </row>
    <row r="4512" ht="15.75" customHeight="1">
      <c r="A4512" s="53" t="s">
        <v>4596</v>
      </c>
      <c r="B4512" s="53" t="s">
        <v>29</v>
      </c>
      <c r="C4512" s="53" t="s">
        <v>54</v>
      </c>
      <c r="D4512" s="54">
        <v>86145.85</v>
      </c>
      <c r="E4512" s="54" t="str">
        <f t="shared" si="1"/>
        <v>₹1,033,750.20</v>
      </c>
      <c r="F4512" s="55" t="str">
        <f t="shared" si="2"/>
        <v>30.0%</v>
      </c>
      <c r="G4512" s="54" t="str">
        <f t="shared" si="3"/>
        <v>₹310,125.06</v>
      </c>
      <c r="H4512" s="54" t="str">
        <f t="shared" si="4"/>
        <v>₹25,843.76</v>
      </c>
      <c r="I4512" s="54" t="str">
        <f>61340.91-H4512</f>
        <v>₹35,497.16</v>
      </c>
    </row>
    <row r="4513" ht="15.75" customHeight="1">
      <c r="A4513" s="50" t="s">
        <v>4597</v>
      </c>
      <c r="B4513" s="50" t="s">
        <v>51</v>
      </c>
      <c r="C4513" s="50" t="s">
        <v>26</v>
      </c>
      <c r="D4513" s="51">
        <v>178700.24</v>
      </c>
      <c r="E4513" s="51" t="str">
        <f t="shared" si="1"/>
        <v>₹2,144,402.88</v>
      </c>
      <c r="F4513" s="52" t="str">
        <f t="shared" si="2"/>
        <v>30.0%</v>
      </c>
      <c r="G4513" s="51" t="str">
        <f t="shared" si="3"/>
        <v>₹643,320.86</v>
      </c>
      <c r="H4513" s="51" t="str">
        <f t="shared" si="4"/>
        <v>₹53,610.07</v>
      </c>
      <c r="I4513" s="51" t="str">
        <f>175680.84-H4513</f>
        <v>₹122,070.77</v>
      </c>
    </row>
    <row r="4514" ht="15.75" customHeight="1">
      <c r="A4514" s="53" t="s">
        <v>4598</v>
      </c>
      <c r="B4514" s="53" t="s">
        <v>13</v>
      </c>
      <c r="C4514" s="53" t="s">
        <v>14</v>
      </c>
      <c r="D4514" s="54">
        <v>170052.15</v>
      </c>
      <c r="E4514" s="54" t="str">
        <f t="shared" si="1"/>
        <v>₹2,040,625.80</v>
      </c>
      <c r="F4514" s="55" t="str">
        <f t="shared" si="2"/>
        <v>30.0%</v>
      </c>
      <c r="G4514" s="54" t="str">
        <f t="shared" si="3"/>
        <v>₹612,187.74</v>
      </c>
      <c r="H4514" s="54" t="str">
        <f t="shared" si="4"/>
        <v>₹51,015.65</v>
      </c>
      <c r="I4514" s="54" t="str">
        <f>168254.31-H4514</f>
        <v>₹117,238.67</v>
      </c>
    </row>
    <row r="4515" ht="15.75" customHeight="1">
      <c r="A4515" s="50" t="s">
        <v>4599</v>
      </c>
      <c r="B4515" s="50" t="s">
        <v>17</v>
      </c>
      <c r="C4515" s="50" t="s">
        <v>54</v>
      </c>
      <c r="D4515" s="51">
        <v>178929.49</v>
      </c>
      <c r="E4515" s="51" t="str">
        <f t="shared" si="1"/>
        <v>₹2,147,153.88</v>
      </c>
      <c r="F4515" s="52" t="str">
        <f t="shared" si="2"/>
        <v>30.0%</v>
      </c>
      <c r="G4515" s="51" t="str">
        <f t="shared" si="3"/>
        <v>₹644,146.16</v>
      </c>
      <c r="H4515" s="51" t="str">
        <f t="shared" si="4"/>
        <v>₹53,678.85</v>
      </c>
      <c r="I4515" s="51" t="str">
        <f>157467.23-H4515</f>
        <v>₹103,788.38</v>
      </c>
    </row>
    <row r="4516" ht="15.75" customHeight="1">
      <c r="A4516" s="53" t="s">
        <v>4600</v>
      </c>
      <c r="B4516" s="53" t="s">
        <v>29</v>
      </c>
      <c r="C4516" s="53" t="s">
        <v>33</v>
      </c>
      <c r="D4516" s="54">
        <v>110868.54</v>
      </c>
      <c r="E4516" s="54" t="str">
        <f t="shared" si="1"/>
        <v>₹1,330,422.48</v>
      </c>
      <c r="F4516" s="55" t="str">
        <f t="shared" si="2"/>
        <v>30.0%</v>
      </c>
      <c r="G4516" s="54" t="str">
        <f t="shared" si="3"/>
        <v>₹399,126.74</v>
      </c>
      <c r="H4516" s="54" t="str">
        <f t="shared" si="4"/>
        <v>₹33,260.56</v>
      </c>
      <c r="I4516" s="54" t="str">
        <f>87650.55-H4516</f>
        <v>₹54,389.99</v>
      </c>
    </row>
    <row r="4517" ht="15.75" customHeight="1">
      <c r="A4517" s="50" t="s">
        <v>4601</v>
      </c>
      <c r="B4517" s="50" t="s">
        <v>36</v>
      </c>
      <c r="C4517" s="50" t="s">
        <v>30</v>
      </c>
      <c r="D4517" s="51">
        <v>72123.96</v>
      </c>
      <c r="E4517" s="51" t="str">
        <f t="shared" si="1"/>
        <v>₹865,487.52</v>
      </c>
      <c r="F4517" s="52" t="str">
        <f t="shared" si="2"/>
        <v>20.0%</v>
      </c>
      <c r="G4517" s="51" t="str">
        <f t="shared" si="3"/>
        <v>₹173,097.50</v>
      </c>
      <c r="H4517" s="51" t="str">
        <f t="shared" si="4"/>
        <v>₹14,424.79</v>
      </c>
      <c r="I4517" s="51" t="str">
        <f>69404.62-H4517</f>
        <v>₹54,979.83</v>
      </c>
    </row>
    <row r="4518" ht="15.75" customHeight="1">
      <c r="A4518" s="53" t="s">
        <v>4602</v>
      </c>
      <c r="B4518" s="53" t="s">
        <v>36</v>
      </c>
      <c r="C4518" s="53" t="s">
        <v>33</v>
      </c>
      <c r="D4518" s="54">
        <v>186790.36</v>
      </c>
      <c r="E4518" s="54" t="str">
        <f t="shared" si="1"/>
        <v>₹2,241,484.32</v>
      </c>
      <c r="F4518" s="55" t="str">
        <f t="shared" si="2"/>
        <v>30.0%</v>
      </c>
      <c r="G4518" s="54" t="str">
        <f t="shared" si="3"/>
        <v>₹672,445.30</v>
      </c>
      <c r="H4518" s="54" t="str">
        <f t="shared" si="4"/>
        <v>₹56,037.11</v>
      </c>
      <c r="I4518" s="54" t="str">
        <f>183511.39-H4518</f>
        <v>₹127,474.28</v>
      </c>
    </row>
    <row r="4519" ht="15.75" customHeight="1">
      <c r="A4519" s="50" t="s">
        <v>4603</v>
      </c>
      <c r="B4519" s="50" t="s">
        <v>29</v>
      </c>
      <c r="C4519" s="50" t="s">
        <v>37</v>
      </c>
      <c r="D4519" s="51">
        <v>109665.3</v>
      </c>
      <c r="E4519" s="51" t="str">
        <f t="shared" si="1"/>
        <v>₹1,315,983.60</v>
      </c>
      <c r="F4519" s="52" t="str">
        <f t="shared" si="2"/>
        <v>30.0%</v>
      </c>
      <c r="G4519" s="51" t="str">
        <f t="shared" si="3"/>
        <v>₹394,795.08</v>
      </c>
      <c r="H4519" s="51" t="str">
        <f t="shared" si="4"/>
        <v>₹32,899.59</v>
      </c>
      <c r="I4519" s="51" t="str">
        <f>108352.53-H4519</f>
        <v>₹75,452.94</v>
      </c>
    </row>
    <row r="4520" ht="15.75" customHeight="1">
      <c r="A4520" s="53" t="s">
        <v>4604</v>
      </c>
      <c r="B4520" s="53" t="s">
        <v>51</v>
      </c>
      <c r="C4520" s="53" t="s">
        <v>33</v>
      </c>
      <c r="D4520" s="54">
        <v>161516.85</v>
      </c>
      <c r="E4520" s="54" t="str">
        <f t="shared" si="1"/>
        <v>₹1,938,202.20</v>
      </c>
      <c r="F4520" s="55" t="str">
        <f t="shared" si="2"/>
        <v>30.0%</v>
      </c>
      <c r="G4520" s="54" t="str">
        <f t="shared" si="3"/>
        <v>₹581,460.66</v>
      </c>
      <c r="H4520" s="54" t="str">
        <f t="shared" si="4"/>
        <v>₹48,455.06</v>
      </c>
      <c r="I4520" s="54" t="str">
        <f>158456.41-H4520</f>
        <v>₹110,001.36</v>
      </c>
    </row>
    <row r="4521" ht="15.75" customHeight="1">
      <c r="A4521" s="50" t="s">
        <v>4605</v>
      </c>
      <c r="B4521" s="50" t="s">
        <v>53</v>
      </c>
      <c r="C4521" s="50" t="s">
        <v>26</v>
      </c>
      <c r="D4521" s="51">
        <v>177913.32</v>
      </c>
      <c r="E4521" s="51" t="str">
        <f t="shared" si="1"/>
        <v>₹2,134,959.84</v>
      </c>
      <c r="F4521" s="52" t="str">
        <f t="shared" si="2"/>
        <v>30.0%</v>
      </c>
      <c r="G4521" s="51" t="str">
        <f t="shared" si="3"/>
        <v>₹640,487.95</v>
      </c>
      <c r="H4521" s="51" t="str">
        <f t="shared" si="4"/>
        <v>₹53,374.00</v>
      </c>
      <c r="I4521" s="51" t="str">
        <f>172282.53-H4521</f>
        <v>₹118,908.53</v>
      </c>
    </row>
    <row r="4522" ht="15.75" customHeight="1">
      <c r="A4522" s="53" t="s">
        <v>4606</v>
      </c>
      <c r="B4522" s="53" t="s">
        <v>53</v>
      </c>
      <c r="C4522" s="53" t="s">
        <v>14</v>
      </c>
      <c r="D4522" s="54">
        <v>100224.37</v>
      </c>
      <c r="E4522" s="54" t="str">
        <f t="shared" si="1"/>
        <v>₹1,202,692.44</v>
      </c>
      <c r="F4522" s="55" t="str">
        <f t="shared" si="2"/>
        <v>30.0%</v>
      </c>
      <c r="G4522" s="54" t="str">
        <f t="shared" si="3"/>
        <v>₹360,807.73</v>
      </c>
      <c r="H4522" s="54" t="str">
        <f t="shared" si="4"/>
        <v>₹30,067.31</v>
      </c>
      <c r="I4522" s="54" t="str">
        <f>83361.79-H4522</f>
        <v>₹53,294.48</v>
      </c>
    </row>
    <row r="4523" ht="15.75" customHeight="1">
      <c r="A4523" s="50" t="s">
        <v>4607</v>
      </c>
      <c r="B4523" s="50" t="s">
        <v>51</v>
      </c>
      <c r="C4523" s="50" t="s">
        <v>30</v>
      </c>
      <c r="D4523" s="51">
        <v>98381.29</v>
      </c>
      <c r="E4523" s="51" t="str">
        <f t="shared" si="1"/>
        <v>₹1,180,575.48</v>
      </c>
      <c r="F4523" s="52" t="str">
        <f t="shared" si="2"/>
        <v>30.0%</v>
      </c>
      <c r="G4523" s="51" t="str">
        <f t="shared" si="3"/>
        <v>₹354,172.64</v>
      </c>
      <c r="H4523" s="51" t="str">
        <f t="shared" si="4"/>
        <v>₹29,514.39</v>
      </c>
      <c r="I4523" s="51" t="str">
        <f>78806.74-H4523</f>
        <v>₹49,292.35</v>
      </c>
    </row>
    <row r="4524" ht="15.75" customHeight="1">
      <c r="A4524" s="53" t="s">
        <v>4608</v>
      </c>
      <c r="B4524" s="53" t="s">
        <v>17</v>
      </c>
      <c r="C4524" s="53" t="s">
        <v>14</v>
      </c>
      <c r="D4524" s="54">
        <v>157304.73</v>
      </c>
      <c r="E4524" s="54" t="str">
        <f t="shared" si="1"/>
        <v>₹1,887,656.76</v>
      </c>
      <c r="F4524" s="55" t="str">
        <f t="shared" si="2"/>
        <v>30.0%</v>
      </c>
      <c r="G4524" s="54" t="str">
        <f t="shared" si="3"/>
        <v>₹566,297.03</v>
      </c>
      <c r="H4524" s="54" t="str">
        <f t="shared" si="4"/>
        <v>₹47,191.42</v>
      </c>
      <c r="I4524" s="54" t="str">
        <f>137789.31-H4524</f>
        <v>₹90,597.89</v>
      </c>
    </row>
    <row r="4525" ht="15.75" customHeight="1">
      <c r="A4525" s="50" t="s">
        <v>4609</v>
      </c>
      <c r="B4525" s="50" t="s">
        <v>51</v>
      </c>
      <c r="C4525" s="50" t="s">
        <v>33</v>
      </c>
      <c r="D4525" s="51">
        <v>107218.42</v>
      </c>
      <c r="E4525" s="51" t="str">
        <f t="shared" si="1"/>
        <v>₹1,286,621.04</v>
      </c>
      <c r="F4525" s="52" t="str">
        <f t="shared" si="2"/>
        <v>30.0%</v>
      </c>
      <c r="G4525" s="51" t="str">
        <f t="shared" si="3"/>
        <v>₹385,986.31</v>
      </c>
      <c r="H4525" s="51" t="str">
        <f t="shared" si="4"/>
        <v>₹32,165.53</v>
      </c>
      <c r="I4525" s="51" t="str">
        <f>93609.11-H4525</f>
        <v>₹61,443.58</v>
      </c>
    </row>
    <row r="4526" ht="15.75" customHeight="1">
      <c r="A4526" s="53" t="s">
        <v>4610</v>
      </c>
      <c r="B4526" s="53" t="s">
        <v>51</v>
      </c>
      <c r="C4526" s="53" t="s">
        <v>54</v>
      </c>
      <c r="D4526" s="54">
        <v>79361.72</v>
      </c>
      <c r="E4526" s="54" t="str">
        <f t="shared" si="1"/>
        <v>₹952,340.64</v>
      </c>
      <c r="F4526" s="55" t="str">
        <f t="shared" si="2"/>
        <v>20.0%</v>
      </c>
      <c r="G4526" s="54" t="str">
        <f t="shared" si="3"/>
        <v>₹190,468.13</v>
      </c>
      <c r="H4526" s="54" t="str">
        <f t="shared" si="4"/>
        <v>₹15,872.34</v>
      </c>
      <c r="I4526" s="54" t="str">
        <f>59323.24-H4526</f>
        <v>₹43,450.90</v>
      </c>
    </row>
    <row r="4527" ht="15.75" customHeight="1">
      <c r="A4527" s="50" t="s">
        <v>4611</v>
      </c>
      <c r="B4527" s="50" t="s">
        <v>29</v>
      </c>
      <c r="C4527" s="50" t="s">
        <v>26</v>
      </c>
      <c r="D4527" s="51">
        <v>137899.24</v>
      </c>
      <c r="E4527" s="51" t="str">
        <f t="shared" si="1"/>
        <v>₹1,654,790.88</v>
      </c>
      <c r="F4527" s="52" t="str">
        <f t="shared" si="2"/>
        <v>30.0%</v>
      </c>
      <c r="G4527" s="51" t="str">
        <f t="shared" si="3"/>
        <v>₹496,437.26</v>
      </c>
      <c r="H4527" s="51" t="str">
        <f t="shared" si="4"/>
        <v>₹41,369.77</v>
      </c>
      <c r="I4527" s="51" t="str">
        <f>122801.96-H4527</f>
        <v>₹81,432.19</v>
      </c>
    </row>
    <row r="4528" ht="15.75" customHeight="1">
      <c r="A4528" s="53" t="s">
        <v>4612</v>
      </c>
      <c r="B4528" s="53" t="s">
        <v>25</v>
      </c>
      <c r="C4528" s="53" t="s">
        <v>30</v>
      </c>
      <c r="D4528" s="54">
        <v>189966.34</v>
      </c>
      <c r="E4528" s="54" t="str">
        <f t="shared" si="1"/>
        <v>₹2,279,596.08</v>
      </c>
      <c r="F4528" s="55" t="str">
        <f t="shared" si="2"/>
        <v>30.0%</v>
      </c>
      <c r="G4528" s="54" t="str">
        <f t="shared" si="3"/>
        <v>₹683,878.82</v>
      </c>
      <c r="H4528" s="54" t="str">
        <f t="shared" si="4"/>
        <v>₹56,989.90</v>
      </c>
      <c r="I4528" s="54" t="str">
        <f>181759.96-H4528</f>
        <v>₹124,770.06</v>
      </c>
    </row>
    <row r="4529" ht="15.75" customHeight="1">
      <c r="A4529" s="50" t="s">
        <v>4613</v>
      </c>
      <c r="B4529" s="50" t="s">
        <v>29</v>
      </c>
      <c r="C4529" s="50" t="s">
        <v>18</v>
      </c>
      <c r="D4529" s="51">
        <v>145104.54</v>
      </c>
      <c r="E4529" s="51" t="str">
        <f t="shared" si="1"/>
        <v>₹1,741,254.48</v>
      </c>
      <c r="F4529" s="52" t="str">
        <f t="shared" si="2"/>
        <v>30.0%</v>
      </c>
      <c r="G4529" s="51" t="str">
        <f t="shared" si="3"/>
        <v>₹522,376.34</v>
      </c>
      <c r="H4529" s="51" t="str">
        <f t="shared" si="4"/>
        <v>₹43,531.36</v>
      </c>
      <c r="I4529" s="51" t="str">
        <f>130857.34-H4529</f>
        <v>₹87,325.98</v>
      </c>
    </row>
    <row r="4530" ht="15.75" customHeight="1">
      <c r="A4530" s="53" t="s">
        <v>4614</v>
      </c>
      <c r="B4530" s="53" t="s">
        <v>36</v>
      </c>
      <c r="C4530" s="53" t="s">
        <v>37</v>
      </c>
      <c r="D4530" s="54">
        <v>128393.12</v>
      </c>
      <c r="E4530" s="54" t="str">
        <f t="shared" si="1"/>
        <v>₹1,540,717.44</v>
      </c>
      <c r="F4530" s="55" t="str">
        <f t="shared" si="2"/>
        <v>30.0%</v>
      </c>
      <c r="G4530" s="54" t="str">
        <f t="shared" si="3"/>
        <v>₹462,215.23</v>
      </c>
      <c r="H4530" s="54" t="str">
        <f t="shared" si="4"/>
        <v>₹38,517.94</v>
      </c>
      <c r="I4530" s="54" t="str">
        <f>114822.16-H4530</f>
        <v>₹76,304.22</v>
      </c>
    </row>
    <row r="4531" ht="15.75" customHeight="1">
      <c r="A4531" s="50" t="s">
        <v>4615</v>
      </c>
      <c r="B4531" s="50" t="s">
        <v>17</v>
      </c>
      <c r="C4531" s="50" t="s">
        <v>30</v>
      </c>
      <c r="D4531" s="51">
        <v>80403.03</v>
      </c>
      <c r="E4531" s="51" t="str">
        <f t="shared" si="1"/>
        <v>₹964,836.36</v>
      </c>
      <c r="F4531" s="52" t="str">
        <f t="shared" si="2"/>
        <v>20.0%</v>
      </c>
      <c r="G4531" s="51" t="str">
        <f t="shared" si="3"/>
        <v>₹192,967.27</v>
      </c>
      <c r="H4531" s="51" t="str">
        <f t="shared" si="4"/>
        <v>₹16,080.61</v>
      </c>
      <c r="I4531" s="51" t="str">
        <f>59728.43-H4531</f>
        <v>₹43,647.82</v>
      </c>
    </row>
    <row r="4532" ht="15.75" customHeight="1">
      <c r="A4532" s="53" t="s">
        <v>4616</v>
      </c>
      <c r="B4532" s="53" t="s">
        <v>13</v>
      </c>
      <c r="C4532" s="53" t="s">
        <v>54</v>
      </c>
      <c r="D4532" s="54">
        <v>124502.85</v>
      </c>
      <c r="E4532" s="54" t="str">
        <f t="shared" si="1"/>
        <v>₹1,494,034.20</v>
      </c>
      <c r="F4532" s="55" t="str">
        <f t="shared" si="2"/>
        <v>30.0%</v>
      </c>
      <c r="G4532" s="54" t="str">
        <f t="shared" si="3"/>
        <v>₹448,210.26</v>
      </c>
      <c r="H4532" s="54" t="str">
        <f t="shared" si="4"/>
        <v>₹37,350.86</v>
      </c>
      <c r="I4532" s="54" t="str">
        <f>99950.53-H4532</f>
        <v>₹62,599.68</v>
      </c>
    </row>
    <row r="4533" ht="15.75" customHeight="1">
      <c r="A4533" s="50" t="s">
        <v>4617</v>
      </c>
      <c r="B4533" s="50" t="s">
        <v>29</v>
      </c>
      <c r="C4533" s="50" t="s">
        <v>33</v>
      </c>
      <c r="D4533" s="51">
        <v>191543.01</v>
      </c>
      <c r="E4533" s="51" t="str">
        <f t="shared" si="1"/>
        <v>₹2,298,516.12</v>
      </c>
      <c r="F4533" s="52" t="str">
        <f t="shared" si="2"/>
        <v>30.0%</v>
      </c>
      <c r="G4533" s="51" t="str">
        <f t="shared" si="3"/>
        <v>₹689,554.84</v>
      </c>
      <c r="H4533" s="51" t="str">
        <f t="shared" si="4"/>
        <v>₹57,462.90</v>
      </c>
      <c r="I4533" s="51" t="str">
        <f>180972.47-H4533</f>
        <v>₹123,509.57</v>
      </c>
    </row>
    <row r="4534" ht="15.75" customHeight="1">
      <c r="A4534" s="53" t="s">
        <v>4618</v>
      </c>
      <c r="B4534" s="53" t="s">
        <v>17</v>
      </c>
      <c r="C4534" s="53" t="s">
        <v>18</v>
      </c>
      <c r="D4534" s="54">
        <v>85439.73</v>
      </c>
      <c r="E4534" s="54" t="str">
        <f t="shared" si="1"/>
        <v>₹1,025,276.76</v>
      </c>
      <c r="F4534" s="55" t="str">
        <f t="shared" si="2"/>
        <v>30.0%</v>
      </c>
      <c r="G4534" s="54" t="str">
        <f t="shared" si="3"/>
        <v>₹307,583.03</v>
      </c>
      <c r="H4534" s="54" t="str">
        <f t="shared" si="4"/>
        <v>₹25,631.92</v>
      </c>
      <c r="I4534" s="54" t="str">
        <f>66236.66-H4534</f>
        <v>₹40,604.74</v>
      </c>
    </row>
    <row r="4535" ht="15.75" customHeight="1">
      <c r="A4535" s="50" t="s">
        <v>4619</v>
      </c>
      <c r="B4535" s="50" t="s">
        <v>25</v>
      </c>
      <c r="C4535" s="50" t="s">
        <v>30</v>
      </c>
      <c r="D4535" s="51">
        <v>124171.36</v>
      </c>
      <c r="E4535" s="51" t="str">
        <f t="shared" si="1"/>
        <v>₹1,490,056.32</v>
      </c>
      <c r="F4535" s="52" t="str">
        <f t="shared" si="2"/>
        <v>30.0%</v>
      </c>
      <c r="G4535" s="51" t="str">
        <f t="shared" si="3"/>
        <v>₹447,016.90</v>
      </c>
      <c r="H4535" s="51" t="str">
        <f t="shared" si="4"/>
        <v>₹37,251.41</v>
      </c>
      <c r="I4535" s="51" t="str">
        <f>121227.17-H4535</f>
        <v>₹83,975.76</v>
      </c>
    </row>
    <row r="4536" ht="15.75" customHeight="1">
      <c r="A4536" s="53" t="s">
        <v>4620</v>
      </c>
      <c r="B4536" s="53" t="s">
        <v>17</v>
      </c>
      <c r="C4536" s="53" t="s">
        <v>14</v>
      </c>
      <c r="D4536" s="54">
        <v>171685.57</v>
      </c>
      <c r="E4536" s="54" t="str">
        <f t="shared" si="1"/>
        <v>₹2,060,226.84</v>
      </c>
      <c r="F4536" s="55" t="str">
        <f t="shared" si="2"/>
        <v>30.0%</v>
      </c>
      <c r="G4536" s="54" t="str">
        <f t="shared" si="3"/>
        <v>₹618,068.05</v>
      </c>
      <c r="H4536" s="54" t="str">
        <f t="shared" si="4"/>
        <v>₹51,505.67</v>
      </c>
      <c r="I4536" s="54" t="str">
        <f>152153.2-H4536</f>
        <v>₹100,647.53</v>
      </c>
    </row>
    <row r="4537" ht="15.75" customHeight="1">
      <c r="A4537" s="50" t="s">
        <v>4621</v>
      </c>
      <c r="B4537" s="50" t="s">
        <v>53</v>
      </c>
      <c r="C4537" s="50" t="s">
        <v>33</v>
      </c>
      <c r="D4537" s="51">
        <v>149514.13</v>
      </c>
      <c r="E4537" s="51" t="str">
        <f t="shared" si="1"/>
        <v>₹1,794,169.56</v>
      </c>
      <c r="F4537" s="52" t="str">
        <f t="shared" si="2"/>
        <v>30.0%</v>
      </c>
      <c r="G4537" s="51" t="str">
        <f t="shared" si="3"/>
        <v>₹538,250.87</v>
      </c>
      <c r="H4537" s="51" t="str">
        <f t="shared" si="4"/>
        <v>₹44,854.24</v>
      </c>
      <c r="I4537" s="51" t="str">
        <f>139914.42-H4537</f>
        <v>₹95,060.18</v>
      </c>
    </row>
    <row r="4538" ht="15.75" customHeight="1">
      <c r="A4538" s="53" t="s">
        <v>4622</v>
      </c>
      <c r="B4538" s="53" t="s">
        <v>53</v>
      </c>
      <c r="C4538" s="53" t="s">
        <v>26</v>
      </c>
      <c r="D4538" s="54">
        <v>152350.96</v>
      </c>
      <c r="E4538" s="54" t="str">
        <f t="shared" si="1"/>
        <v>₹1,828,211.52</v>
      </c>
      <c r="F4538" s="55" t="str">
        <f t="shared" si="2"/>
        <v>30.0%</v>
      </c>
      <c r="G4538" s="54" t="str">
        <f t="shared" si="3"/>
        <v>₹548,463.46</v>
      </c>
      <c r="H4538" s="54" t="str">
        <f t="shared" si="4"/>
        <v>₹45,705.29</v>
      </c>
      <c r="I4538" s="54" t="str">
        <f>150885.9-H4538</f>
        <v>₹105,180.61</v>
      </c>
    </row>
    <row r="4539" ht="15.75" customHeight="1">
      <c r="A4539" s="50" t="s">
        <v>4623</v>
      </c>
      <c r="B4539" s="50" t="s">
        <v>53</v>
      </c>
      <c r="C4539" s="50" t="s">
        <v>37</v>
      </c>
      <c r="D4539" s="51">
        <v>131808.49</v>
      </c>
      <c r="E4539" s="51" t="str">
        <f t="shared" si="1"/>
        <v>₹1,581,701.88</v>
      </c>
      <c r="F4539" s="52" t="str">
        <f t="shared" si="2"/>
        <v>30.0%</v>
      </c>
      <c r="G4539" s="51" t="str">
        <f t="shared" si="3"/>
        <v>₹474,510.56</v>
      </c>
      <c r="H4539" s="51" t="str">
        <f t="shared" si="4"/>
        <v>₹39,542.55</v>
      </c>
      <c r="I4539" s="51" t="str">
        <f>122408.96-H4539</f>
        <v>₹82,866.41</v>
      </c>
    </row>
    <row r="4540" ht="15.75" customHeight="1">
      <c r="A4540" s="53" t="s">
        <v>4624</v>
      </c>
      <c r="B4540" s="53" t="s">
        <v>36</v>
      </c>
      <c r="C4540" s="53" t="s">
        <v>18</v>
      </c>
      <c r="D4540" s="54">
        <v>122883.88</v>
      </c>
      <c r="E4540" s="54" t="str">
        <f t="shared" si="1"/>
        <v>₹1,474,606.56</v>
      </c>
      <c r="F4540" s="55" t="str">
        <f t="shared" si="2"/>
        <v>30.0%</v>
      </c>
      <c r="G4540" s="54" t="str">
        <f t="shared" si="3"/>
        <v>₹442,381.97</v>
      </c>
      <c r="H4540" s="54" t="str">
        <f t="shared" si="4"/>
        <v>₹36,865.16</v>
      </c>
      <c r="I4540" s="54" t="str">
        <f>107423.13-H4540</f>
        <v>₹70,557.97</v>
      </c>
    </row>
    <row r="4541" ht="15.75" customHeight="1">
      <c r="A4541" s="50" t="s">
        <v>4625</v>
      </c>
      <c r="B4541" s="50" t="s">
        <v>29</v>
      </c>
      <c r="C4541" s="50" t="s">
        <v>18</v>
      </c>
      <c r="D4541" s="51">
        <v>120536.23</v>
      </c>
      <c r="E4541" s="51" t="str">
        <f t="shared" si="1"/>
        <v>₹1,446,434.76</v>
      </c>
      <c r="F4541" s="52" t="str">
        <f t="shared" si="2"/>
        <v>30.0%</v>
      </c>
      <c r="G4541" s="51" t="str">
        <f t="shared" si="3"/>
        <v>₹433,930.43</v>
      </c>
      <c r="H4541" s="51" t="str">
        <f t="shared" si="4"/>
        <v>₹36,160.87</v>
      </c>
      <c r="I4541" s="51" t="str">
        <f>117114.6-H4541</f>
        <v>₹80,953.73</v>
      </c>
    </row>
    <row r="4542" ht="15.75" customHeight="1">
      <c r="A4542" s="53" t="s">
        <v>4626</v>
      </c>
      <c r="B4542" s="53" t="s">
        <v>25</v>
      </c>
      <c r="C4542" s="53" t="s">
        <v>33</v>
      </c>
      <c r="D4542" s="54">
        <v>135994.36</v>
      </c>
      <c r="E4542" s="54" t="str">
        <f t="shared" si="1"/>
        <v>₹1,631,932.32</v>
      </c>
      <c r="F4542" s="55" t="str">
        <f t="shared" si="2"/>
        <v>30.0%</v>
      </c>
      <c r="G4542" s="54" t="str">
        <f t="shared" si="3"/>
        <v>₹489,579.70</v>
      </c>
      <c r="H4542" s="54" t="str">
        <f t="shared" si="4"/>
        <v>₹40,798.31</v>
      </c>
      <c r="I4542" s="54" t="str">
        <f>112855.51-H4542</f>
        <v>₹72,057.20</v>
      </c>
    </row>
    <row r="4543" ht="15.75" customHeight="1">
      <c r="A4543" s="50" t="s">
        <v>4627</v>
      </c>
      <c r="B4543" s="50" t="s">
        <v>29</v>
      </c>
      <c r="C4543" s="50" t="s">
        <v>54</v>
      </c>
      <c r="D4543" s="51">
        <v>175292.59</v>
      </c>
      <c r="E4543" s="51" t="str">
        <f t="shared" si="1"/>
        <v>₹2,103,511.08</v>
      </c>
      <c r="F4543" s="52" t="str">
        <f t="shared" si="2"/>
        <v>30.0%</v>
      </c>
      <c r="G4543" s="51" t="str">
        <f t="shared" si="3"/>
        <v>₹631,053.32</v>
      </c>
      <c r="H4543" s="51" t="str">
        <f t="shared" si="4"/>
        <v>₹52,587.78</v>
      </c>
      <c r="I4543" s="51" t="str">
        <f>172889.62-H4543</f>
        <v>₹120,301.84</v>
      </c>
    </row>
    <row r="4544" ht="15.75" customHeight="1">
      <c r="A4544" s="53" t="s">
        <v>4628</v>
      </c>
      <c r="B4544" s="53" t="s">
        <v>17</v>
      </c>
      <c r="C4544" s="53" t="s">
        <v>33</v>
      </c>
      <c r="D4544" s="54">
        <v>152368.14</v>
      </c>
      <c r="E4544" s="54" t="str">
        <f t="shared" si="1"/>
        <v>₹1,828,417.68</v>
      </c>
      <c r="F4544" s="55" t="str">
        <f t="shared" si="2"/>
        <v>30.0%</v>
      </c>
      <c r="G4544" s="54" t="str">
        <f t="shared" si="3"/>
        <v>₹548,525.30</v>
      </c>
      <c r="H4544" s="54" t="str">
        <f t="shared" si="4"/>
        <v>₹45,710.44</v>
      </c>
      <c r="I4544" s="54" t="str">
        <f>129082.98-H4544</f>
        <v>₹83,372.54</v>
      </c>
    </row>
    <row r="4545" ht="15.75" customHeight="1">
      <c r="A4545" s="50" t="s">
        <v>4629</v>
      </c>
      <c r="B4545" s="50" t="s">
        <v>53</v>
      </c>
      <c r="C4545" s="50" t="s">
        <v>18</v>
      </c>
      <c r="D4545" s="51">
        <v>168958.91</v>
      </c>
      <c r="E4545" s="51" t="str">
        <f t="shared" si="1"/>
        <v>₹2,027,506.92</v>
      </c>
      <c r="F4545" s="52" t="str">
        <f t="shared" si="2"/>
        <v>30.0%</v>
      </c>
      <c r="G4545" s="51" t="str">
        <f t="shared" si="3"/>
        <v>₹608,252.08</v>
      </c>
      <c r="H4545" s="51" t="str">
        <f t="shared" si="4"/>
        <v>₹50,687.67</v>
      </c>
      <c r="I4545" s="51" t="str">
        <f>154193.6-H4545</f>
        <v>₹103,505.93</v>
      </c>
    </row>
    <row r="4546" ht="15.75" customHeight="1">
      <c r="A4546" s="53" t="s">
        <v>4630</v>
      </c>
      <c r="B4546" s="53" t="s">
        <v>53</v>
      </c>
      <c r="C4546" s="53" t="s">
        <v>14</v>
      </c>
      <c r="D4546" s="54">
        <v>131245.34</v>
      </c>
      <c r="E4546" s="54" t="str">
        <f t="shared" si="1"/>
        <v>₹1,574,944.08</v>
      </c>
      <c r="F4546" s="55" t="str">
        <f t="shared" si="2"/>
        <v>30.0%</v>
      </c>
      <c r="G4546" s="54" t="str">
        <f t="shared" si="3"/>
        <v>₹472,483.22</v>
      </c>
      <c r="H4546" s="54" t="str">
        <f t="shared" si="4"/>
        <v>₹39,373.60</v>
      </c>
      <c r="I4546" s="54" t="str">
        <f>122667.39-H4546</f>
        <v>₹83,293.79</v>
      </c>
    </row>
    <row r="4547" ht="15.75" customHeight="1">
      <c r="A4547" s="50" t="s">
        <v>4631</v>
      </c>
      <c r="B4547" s="50" t="s">
        <v>29</v>
      </c>
      <c r="C4547" s="50" t="s">
        <v>26</v>
      </c>
      <c r="D4547" s="51">
        <v>129498.76</v>
      </c>
      <c r="E4547" s="51" t="str">
        <f t="shared" si="1"/>
        <v>₹1,553,985.12</v>
      </c>
      <c r="F4547" s="52" t="str">
        <f t="shared" si="2"/>
        <v>30.0%</v>
      </c>
      <c r="G4547" s="51" t="str">
        <f t="shared" si="3"/>
        <v>₹466,195.54</v>
      </c>
      <c r="H4547" s="51" t="str">
        <f t="shared" si="4"/>
        <v>₹38,849.63</v>
      </c>
      <c r="I4547" s="51" t="str">
        <f>119425.38-H4547</f>
        <v>₹80,575.75</v>
      </c>
    </row>
    <row r="4548" ht="15.75" customHeight="1">
      <c r="A4548" s="53" t="s">
        <v>4632</v>
      </c>
      <c r="B4548" s="53" t="s">
        <v>36</v>
      </c>
      <c r="C4548" s="53" t="s">
        <v>37</v>
      </c>
      <c r="D4548" s="54">
        <v>154178.32</v>
      </c>
      <c r="E4548" s="54" t="str">
        <f t="shared" si="1"/>
        <v>₹1,850,139.84</v>
      </c>
      <c r="F4548" s="55" t="str">
        <f t="shared" si="2"/>
        <v>30.0%</v>
      </c>
      <c r="G4548" s="54" t="str">
        <f t="shared" si="3"/>
        <v>₹555,041.95</v>
      </c>
      <c r="H4548" s="54" t="str">
        <f t="shared" si="4"/>
        <v>₹46,253.50</v>
      </c>
      <c r="I4548" s="54" t="str">
        <f>135528.49-H4548</f>
        <v>₹89,274.99</v>
      </c>
    </row>
    <row r="4549" ht="15.75" customHeight="1">
      <c r="A4549" s="50" t="s">
        <v>4633</v>
      </c>
      <c r="B4549" s="50" t="s">
        <v>36</v>
      </c>
      <c r="C4549" s="50" t="s">
        <v>14</v>
      </c>
      <c r="D4549" s="51">
        <v>136329.64</v>
      </c>
      <c r="E4549" s="51" t="str">
        <f t="shared" si="1"/>
        <v>₹1,635,955.68</v>
      </c>
      <c r="F4549" s="52" t="str">
        <f t="shared" si="2"/>
        <v>30.0%</v>
      </c>
      <c r="G4549" s="51" t="str">
        <f t="shared" si="3"/>
        <v>₹490,786.70</v>
      </c>
      <c r="H4549" s="51" t="str">
        <f t="shared" si="4"/>
        <v>₹40,898.89</v>
      </c>
      <c r="I4549" s="51" t="str">
        <f>121093.6-H4549</f>
        <v>₹80,194.71</v>
      </c>
    </row>
    <row r="4550" ht="15.75" customHeight="1">
      <c r="A4550" s="53" t="s">
        <v>4634</v>
      </c>
      <c r="B4550" s="53" t="s">
        <v>36</v>
      </c>
      <c r="C4550" s="53" t="s">
        <v>18</v>
      </c>
      <c r="D4550" s="54">
        <v>134192.25</v>
      </c>
      <c r="E4550" s="54" t="str">
        <f t="shared" si="1"/>
        <v>₹1,610,307.00</v>
      </c>
      <c r="F4550" s="55" t="str">
        <f t="shared" si="2"/>
        <v>30.0%</v>
      </c>
      <c r="G4550" s="54" t="str">
        <f t="shared" si="3"/>
        <v>₹483,092.10</v>
      </c>
      <c r="H4550" s="54" t="str">
        <f t="shared" si="4"/>
        <v>₹40,257.68</v>
      </c>
      <c r="I4550" s="54" t="str">
        <f>117237-H4550</f>
        <v>₹76,979.33</v>
      </c>
    </row>
    <row r="4551" ht="15.75" customHeight="1">
      <c r="A4551" s="50" t="s">
        <v>4635</v>
      </c>
      <c r="B4551" s="50" t="s">
        <v>29</v>
      </c>
      <c r="C4551" s="50" t="s">
        <v>14</v>
      </c>
      <c r="D4551" s="51">
        <v>153588.71</v>
      </c>
      <c r="E4551" s="51" t="str">
        <f t="shared" si="1"/>
        <v>₹1,843,064.52</v>
      </c>
      <c r="F4551" s="52" t="str">
        <f t="shared" si="2"/>
        <v>30.0%</v>
      </c>
      <c r="G4551" s="51" t="str">
        <f t="shared" si="3"/>
        <v>₹552,919.36</v>
      </c>
      <c r="H4551" s="51" t="str">
        <f t="shared" si="4"/>
        <v>₹46,076.61</v>
      </c>
      <c r="I4551" s="51" t="str">
        <f>143554.18-H4551</f>
        <v>₹97,477.57</v>
      </c>
    </row>
    <row r="4552" ht="15.75" customHeight="1">
      <c r="A4552" s="53" t="s">
        <v>4636</v>
      </c>
      <c r="B4552" s="53" t="s">
        <v>25</v>
      </c>
      <c r="C4552" s="53" t="s">
        <v>54</v>
      </c>
      <c r="D4552" s="54">
        <v>155241.78</v>
      </c>
      <c r="E4552" s="54" t="str">
        <f t="shared" si="1"/>
        <v>₹1,862,901.36</v>
      </c>
      <c r="F4552" s="55" t="str">
        <f t="shared" si="2"/>
        <v>30.0%</v>
      </c>
      <c r="G4552" s="54" t="str">
        <f t="shared" si="3"/>
        <v>₹558,870.41</v>
      </c>
      <c r="H4552" s="54" t="str">
        <f t="shared" si="4"/>
        <v>₹46,572.53</v>
      </c>
      <c r="I4552" s="54" t="str">
        <f>142790.35-H4552</f>
        <v>₹96,217.82</v>
      </c>
    </row>
    <row r="4553" ht="15.75" customHeight="1">
      <c r="A4553" s="50" t="s">
        <v>4637</v>
      </c>
      <c r="B4553" s="50" t="s">
        <v>29</v>
      </c>
      <c r="C4553" s="50" t="s">
        <v>33</v>
      </c>
      <c r="D4553" s="51">
        <v>117869.76</v>
      </c>
      <c r="E4553" s="51" t="str">
        <f t="shared" si="1"/>
        <v>₹1,414,437.12</v>
      </c>
      <c r="F4553" s="52" t="str">
        <f t="shared" si="2"/>
        <v>30.0%</v>
      </c>
      <c r="G4553" s="51" t="str">
        <f t="shared" si="3"/>
        <v>₹424,331.14</v>
      </c>
      <c r="H4553" s="51" t="str">
        <f t="shared" si="4"/>
        <v>₹35,360.93</v>
      </c>
      <c r="I4553" s="51" t="str">
        <f>93118.01-H4553</f>
        <v>₹57,757.08</v>
      </c>
    </row>
    <row r="4554" ht="15.75" customHeight="1">
      <c r="A4554" s="53" t="s">
        <v>4638</v>
      </c>
      <c r="B4554" s="53" t="s">
        <v>36</v>
      </c>
      <c r="C4554" s="53" t="s">
        <v>18</v>
      </c>
      <c r="D4554" s="54">
        <v>102904.91</v>
      </c>
      <c r="E4554" s="54" t="str">
        <f t="shared" si="1"/>
        <v>₹1,234,858.92</v>
      </c>
      <c r="F4554" s="55" t="str">
        <f t="shared" si="2"/>
        <v>30.0%</v>
      </c>
      <c r="G4554" s="54" t="str">
        <f t="shared" si="3"/>
        <v>₹370,457.68</v>
      </c>
      <c r="H4554" s="54" t="str">
        <f t="shared" si="4"/>
        <v>₹30,871.47</v>
      </c>
      <c r="I4554" s="54" t="str">
        <f>97163.8-H4554</f>
        <v>₹66,292.33</v>
      </c>
    </row>
    <row r="4555" ht="15.75" customHeight="1">
      <c r="A4555" s="50" t="s">
        <v>4639</v>
      </c>
      <c r="B4555" s="50" t="s">
        <v>51</v>
      </c>
      <c r="C4555" s="50" t="s">
        <v>26</v>
      </c>
      <c r="D4555" s="51">
        <v>67934.92</v>
      </c>
      <c r="E4555" s="51" t="str">
        <f t="shared" si="1"/>
        <v>₹815,219.04</v>
      </c>
      <c r="F4555" s="52" t="str">
        <f t="shared" si="2"/>
        <v>20.0%</v>
      </c>
      <c r="G4555" s="51" t="str">
        <f t="shared" si="3"/>
        <v>₹163,043.81</v>
      </c>
      <c r="H4555" s="51" t="str">
        <f t="shared" si="4"/>
        <v>₹13,586.98</v>
      </c>
      <c r="I4555" s="51" t="str">
        <f>57197.44-H4555</f>
        <v>₹43,610.46</v>
      </c>
    </row>
    <row r="4556" ht="15.75" customHeight="1">
      <c r="A4556" s="53" t="s">
        <v>4640</v>
      </c>
      <c r="B4556" s="53" t="s">
        <v>13</v>
      </c>
      <c r="C4556" s="53" t="s">
        <v>37</v>
      </c>
      <c r="D4556" s="54">
        <v>136570.74</v>
      </c>
      <c r="E4556" s="54" t="str">
        <f t="shared" si="1"/>
        <v>₹1,638,848.88</v>
      </c>
      <c r="F4556" s="55" t="str">
        <f t="shared" si="2"/>
        <v>30.0%</v>
      </c>
      <c r="G4556" s="54" t="str">
        <f t="shared" si="3"/>
        <v>₹491,654.66</v>
      </c>
      <c r="H4556" s="54" t="str">
        <f t="shared" si="4"/>
        <v>₹40,971.22</v>
      </c>
      <c r="I4556" s="54" t="str">
        <f>128921.07-H4556</f>
        <v>₹87,949.85</v>
      </c>
    </row>
    <row r="4557" ht="15.75" customHeight="1">
      <c r="A4557" s="50" t="s">
        <v>4641</v>
      </c>
      <c r="B4557" s="50" t="s">
        <v>17</v>
      </c>
      <c r="C4557" s="50" t="s">
        <v>30</v>
      </c>
      <c r="D4557" s="51">
        <v>81176.04</v>
      </c>
      <c r="E4557" s="51" t="str">
        <f t="shared" si="1"/>
        <v>₹974,112.48</v>
      </c>
      <c r="F4557" s="52" t="str">
        <f t="shared" si="2"/>
        <v>20.0%</v>
      </c>
      <c r="G4557" s="51" t="str">
        <f t="shared" si="3"/>
        <v>₹194,822.50</v>
      </c>
      <c r="H4557" s="51" t="str">
        <f t="shared" si="4"/>
        <v>₹16,235.21</v>
      </c>
      <c r="I4557" s="51" t="str">
        <f>61930.81-H4557</f>
        <v>₹45,695.60</v>
      </c>
    </row>
    <row r="4558" ht="15.75" customHeight="1">
      <c r="A4558" s="53" t="s">
        <v>4642</v>
      </c>
      <c r="B4558" s="53" t="s">
        <v>53</v>
      </c>
      <c r="C4558" s="53" t="s">
        <v>37</v>
      </c>
      <c r="D4558" s="54">
        <v>136258.17</v>
      </c>
      <c r="E4558" s="54" t="str">
        <f t="shared" si="1"/>
        <v>₹1,635,098.04</v>
      </c>
      <c r="F4558" s="55" t="str">
        <f t="shared" si="2"/>
        <v>30.0%</v>
      </c>
      <c r="G4558" s="54" t="str">
        <f t="shared" si="3"/>
        <v>₹490,529.41</v>
      </c>
      <c r="H4558" s="54" t="str">
        <f t="shared" si="4"/>
        <v>₹40,877.45</v>
      </c>
      <c r="I4558" s="54" t="str">
        <f>117039.86-H4558</f>
        <v>₹76,162.41</v>
      </c>
    </row>
    <row r="4559" ht="15.75" customHeight="1">
      <c r="A4559" s="50" t="s">
        <v>4643</v>
      </c>
      <c r="B4559" s="50" t="s">
        <v>51</v>
      </c>
      <c r="C4559" s="50" t="s">
        <v>54</v>
      </c>
      <c r="D4559" s="51">
        <v>133738.22</v>
      </c>
      <c r="E4559" s="51" t="str">
        <f t="shared" si="1"/>
        <v>₹1,604,858.64</v>
      </c>
      <c r="F4559" s="52" t="str">
        <f t="shared" si="2"/>
        <v>30.0%</v>
      </c>
      <c r="G4559" s="51" t="str">
        <f t="shared" si="3"/>
        <v>₹481,457.59</v>
      </c>
      <c r="H4559" s="51" t="str">
        <f t="shared" si="4"/>
        <v>₹40,121.47</v>
      </c>
      <c r="I4559" s="51" t="str">
        <f>126073.31-H4559</f>
        <v>₹85,951.84</v>
      </c>
    </row>
    <row r="4560" ht="15.75" customHeight="1">
      <c r="A4560" s="53" t="s">
        <v>4644</v>
      </c>
      <c r="B4560" s="53" t="s">
        <v>13</v>
      </c>
      <c r="C4560" s="53" t="s">
        <v>30</v>
      </c>
      <c r="D4560" s="54">
        <v>98521.01</v>
      </c>
      <c r="E4560" s="54" t="str">
        <f t="shared" si="1"/>
        <v>₹1,182,252.12</v>
      </c>
      <c r="F4560" s="55" t="str">
        <f t="shared" si="2"/>
        <v>30.0%</v>
      </c>
      <c r="G4560" s="54" t="str">
        <f t="shared" si="3"/>
        <v>₹354,675.64</v>
      </c>
      <c r="H4560" s="54" t="str">
        <f t="shared" si="4"/>
        <v>₹29,556.30</v>
      </c>
      <c r="I4560" s="54" t="str">
        <f>96026.95-H4560</f>
        <v>₹66,470.65</v>
      </c>
    </row>
    <row r="4561" ht="15.75" customHeight="1">
      <c r="A4561" s="50" t="s">
        <v>4645</v>
      </c>
      <c r="B4561" s="50" t="s">
        <v>25</v>
      </c>
      <c r="C4561" s="50" t="s">
        <v>14</v>
      </c>
      <c r="D4561" s="51">
        <v>146950.47</v>
      </c>
      <c r="E4561" s="51" t="str">
        <f t="shared" si="1"/>
        <v>₹1,763,405.64</v>
      </c>
      <c r="F4561" s="52" t="str">
        <f t="shared" si="2"/>
        <v>30.0%</v>
      </c>
      <c r="G4561" s="51" t="str">
        <f t="shared" si="3"/>
        <v>₹529,021.69</v>
      </c>
      <c r="H4561" s="51" t="str">
        <f t="shared" si="4"/>
        <v>₹44,085.14</v>
      </c>
      <c r="I4561" s="51" t="str">
        <f>146170.37-H4561</f>
        <v>₹102,085.23</v>
      </c>
    </row>
    <row r="4562" ht="15.75" customHeight="1">
      <c r="A4562" s="53" t="s">
        <v>4646</v>
      </c>
      <c r="B4562" s="53" t="s">
        <v>29</v>
      </c>
      <c r="C4562" s="53" t="s">
        <v>14</v>
      </c>
      <c r="D4562" s="54">
        <v>78664.8</v>
      </c>
      <c r="E4562" s="54" t="str">
        <f t="shared" si="1"/>
        <v>₹943,977.60</v>
      </c>
      <c r="F4562" s="55" t="str">
        <f t="shared" si="2"/>
        <v>20.0%</v>
      </c>
      <c r="G4562" s="54" t="str">
        <f t="shared" si="3"/>
        <v>₹188,795.52</v>
      </c>
      <c r="H4562" s="54" t="str">
        <f t="shared" si="4"/>
        <v>₹15,732.96</v>
      </c>
      <c r="I4562" s="54" t="str">
        <f>67692.26-H4562</f>
        <v>₹51,959.30</v>
      </c>
    </row>
    <row r="4563" ht="15.75" customHeight="1">
      <c r="A4563" s="50" t="s">
        <v>4647</v>
      </c>
      <c r="B4563" s="50" t="s">
        <v>25</v>
      </c>
      <c r="C4563" s="50" t="s">
        <v>37</v>
      </c>
      <c r="D4563" s="51">
        <v>62795.56</v>
      </c>
      <c r="E4563" s="51" t="str">
        <f t="shared" si="1"/>
        <v>₹753,546.72</v>
      </c>
      <c r="F4563" s="52" t="str">
        <f t="shared" si="2"/>
        <v>20.0%</v>
      </c>
      <c r="G4563" s="51" t="str">
        <f t="shared" si="3"/>
        <v>₹150,709.34</v>
      </c>
      <c r="H4563" s="51" t="str">
        <f t="shared" si="4"/>
        <v>₹12,559.11</v>
      </c>
      <c r="I4563" s="51" t="str">
        <f>52242.29-H4563</f>
        <v>₹39,683.18</v>
      </c>
    </row>
    <row r="4564" ht="15.75" customHeight="1">
      <c r="A4564" s="53" t="s">
        <v>4648</v>
      </c>
      <c r="B4564" s="53" t="s">
        <v>25</v>
      </c>
      <c r="C4564" s="53" t="s">
        <v>18</v>
      </c>
      <c r="D4564" s="54">
        <v>162771.27</v>
      </c>
      <c r="E4564" s="54" t="str">
        <f t="shared" si="1"/>
        <v>₹1,953,255.24</v>
      </c>
      <c r="F4564" s="55" t="str">
        <f t="shared" si="2"/>
        <v>30.0%</v>
      </c>
      <c r="G4564" s="54" t="str">
        <f t="shared" si="3"/>
        <v>₹585,976.57</v>
      </c>
      <c r="H4564" s="54" t="str">
        <f t="shared" si="4"/>
        <v>₹48,831.38</v>
      </c>
      <c r="I4564" s="54" t="str">
        <f>138055.72-H4564</f>
        <v>₹89,224.34</v>
      </c>
    </row>
    <row r="4565" ht="15.75" customHeight="1">
      <c r="A4565" s="50" t="s">
        <v>4649</v>
      </c>
      <c r="B4565" s="50" t="s">
        <v>17</v>
      </c>
      <c r="C4565" s="50" t="s">
        <v>37</v>
      </c>
      <c r="D4565" s="51">
        <v>121553.9</v>
      </c>
      <c r="E4565" s="51" t="str">
        <f t="shared" si="1"/>
        <v>₹1,458,646.80</v>
      </c>
      <c r="F4565" s="52" t="str">
        <f t="shared" si="2"/>
        <v>30.0%</v>
      </c>
      <c r="G4565" s="51" t="str">
        <f t="shared" si="3"/>
        <v>₹437,594.04</v>
      </c>
      <c r="H4565" s="51" t="str">
        <f t="shared" si="4"/>
        <v>₹36,466.17</v>
      </c>
      <c r="I4565" s="51" t="str">
        <f>99218.78-H4565</f>
        <v>₹62,752.61</v>
      </c>
    </row>
    <row r="4566" ht="15.75" customHeight="1">
      <c r="A4566" s="53" t="s">
        <v>4650</v>
      </c>
      <c r="B4566" s="53" t="s">
        <v>29</v>
      </c>
      <c r="C4566" s="53" t="s">
        <v>18</v>
      </c>
      <c r="D4566" s="54">
        <v>142072.53</v>
      </c>
      <c r="E4566" s="54" t="str">
        <f t="shared" si="1"/>
        <v>₹1,704,870.36</v>
      </c>
      <c r="F4566" s="55" t="str">
        <f t="shared" si="2"/>
        <v>30.0%</v>
      </c>
      <c r="G4566" s="54" t="str">
        <f t="shared" si="3"/>
        <v>₹511,461.11</v>
      </c>
      <c r="H4566" s="54" t="str">
        <f t="shared" si="4"/>
        <v>₹42,621.76</v>
      </c>
      <c r="I4566" s="54" t="str">
        <f>129541.37-H4566</f>
        <v>₹86,919.61</v>
      </c>
    </row>
    <row r="4567" ht="15.75" customHeight="1">
      <c r="A4567" s="50" t="s">
        <v>4651</v>
      </c>
      <c r="B4567" s="50" t="s">
        <v>53</v>
      </c>
      <c r="C4567" s="50" t="s">
        <v>54</v>
      </c>
      <c r="D4567" s="51">
        <v>84179.24</v>
      </c>
      <c r="E4567" s="51" t="str">
        <f t="shared" si="1"/>
        <v>₹1,010,150.88</v>
      </c>
      <c r="F4567" s="52" t="str">
        <f t="shared" si="2"/>
        <v>30.0%</v>
      </c>
      <c r="G4567" s="51" t="str">
        <f t="shared" si="3"/>
        <v>₹303,045.26</v>
      </c>
      <c r="H4567" s="51" t="str">
        <f t="shared" si="4"/>
        <v>₹25,253.77</v>
      </c>
      <c r="I4567" s="51" t="str">
        <f>68999.44-H4567</f>
        <v>₹43,745.67</v>
      </c>
    </row>
    <row r="4568" ht="15.75" customHeight="1">
      <c r="A4568" s="53" t="s">
        <v>4652</v>
      </c>
      <c r="B4568" s="53" t="s">
        <v>53</v>
      </c>
      <c r="C4568" s="53" t="s">
        <v>30</v>
      </c>
      <c r="D4568" s="54">
        <v>137056.94</v>
      </c>
      <c r="E4568" s="54" t="str">
        <f t="shared" si="1"/>
        <v>₹1,644,683.28</v>
      </c>
      <c r="F4568" s="55" t="str">
        <f t="shared" si="2"/>
        <v>30.0%</v>
      </c>
      <c r="G4568" s="54" t="str">
        <f t="shared" si="3"/>
        <v>₹493,404.98</v>
      </c>
      <c r="H4568" s="54" t="str">
        <f t="shared" si="4"/>
        <v>₹41,117.08</v>
      </c>
      <c r="I4568" s="54" t="str">
        <f>134213.06-H4568</f>
        <v>₹93,095.98</v>
      </c>
    </row>
    <row r="4569" ht="15.75" customHeight="1">
      <c r="A4569" s="50" t="s">
        <v>4653</v>
      </c>
      <c r="B4569" s="50" t="s">
        <v>13</v>
      </c>
      <c r="C4569" s="50" t="s">
        <v>37</v>
      </c>
      <c r="D4569" s="51">
        <v>86487.3</v>
      </c>
      <c r="E4569" s="51" t="str">
        <f t="shared" si="1"/>
        <v>₹1,037,847.60</v>
      </c>
      <c r="F4569" s="52" t="str">
        <f t="shared" si="2"/>
        <v>30.0%</v>
      </c>
      <c r="G4569" s="51" t="str">
        <f t="shared" si="3"/>
        <v>₹311,354.28</v>
      </c>
      <c r="H4569" s="51" t="str">
        <f t="shared" si="4"/>
        <v>₹25,946.19</v>
      </c>
      <c r="I4569" s="51" t="str">
        <f>76605.85-H4569</f>
        <v>₹50,659.66</v>
      </c>
    </row>
    <row r="4570" ht="15.75" customHeight="1">
      <c r="A4570" s="53" t="s">
        <v>4654</v>
      </c>
      <c r="B4570" s="53" t="s">
        <v>53</v>
      </c>
      <c r="C4570" s="53" t="s">
        <v>30</v>
      </c>
      <c r="D4570" s="54">
        <v>64417.76</v>
      </c>
      <c r="E4570" s="54" t="str">
        <f t="shared" si="1"/>
        <v>₹773,013.12</v>
      </c>
      <c r="F4570" s="55" t="str">
        <f t="shared" si="2"/>
        <v>20.0%</v>
      </c>
      <c r="G4570" s="54" t="str">
        <f t="shared" si="3"/>
        <v>₹154,602.62</v>
      </c>
      <c r="H4570" s="54" t="str">
        <f t="shared" si="4"/>
        <v>₹12,883.55</v>
      </c>
      <c r="I4570" s="54" t="str">
        <f>40784.28-H4570</f>
        <v>₹27,900.73</v>
      </c>
    </row>
    <row r="4571" ht="15.75" customHeight="1">
      <c r="A4571" s="50" t="s">
        <v>4655</v>
      </c>
      <c r="B4571" s="50" t="s">
        <v>13</v>
      </c>
      <c r="C4571" s="50" t="s">
        <v>26</v>
      </c>
      <c r="D4571" s="51">
        <v>145713.42</v>
      </c>
      <c r="E4571" s="51" t="str">
        <f t="shared" si="1"/>
        <v>₹1,748,561.04</v>
      </c>
      <c r="F4571" s="52" t="str">
        <f t="shared" si="2"/>
        <v>30.0%</v>
      </c>
      <c r="G4571" s="51" t="str">
        <f t="shared" si="3"/>
        <v>₹524,568.31</v>
      </c>
      <c r="H4571" s="51" t="str">
        <f t="shared" si="4"/>
        <v>₹43,714.03</v>
      </c>
      <c r="I4571" s="51" t="str">
        <f>130770.54-H4571</f>
        <v>₹87,056.51</v>
      </c>
    </row>
    <row r="4572" ht="15.75" customHeight="1">
      <c r="A4572" s="53" t="s">
        <v>4656</v>
      </c>
      <c r="B4572" s="53" t="s">
        <v>13</v>
      </c>
      <c r="C4572" s="53" t="s">
        <v>18</v>
      </c>
      <c r="D4572" s="54">
        <v>140055.89</v>
      </c>
      <c r="E4572" s="54" t="str">
        <f t="shared" si="1"/>
        <v>₹1,680,670.68</v>
      </c>
      <c r="F4572" s="55" t="str">
        <f t="shared" si="2"/>
        <v>30.0%</v>
      </c>
      <c r="G4572" s="54" t="str">
        <f t="shared" si="3"/>
        <v>₹504,201.20</v>
      </c>
      <c r="H4572" s="54" t="str">
        <f t="shared" si="4"/>
        <v>₹42,016.77</v>
      </c>
      <c r="I4572" s="54" t="str">
        <f>131115.59-H4572</f>
        <v>₹89,098.82</v>
      </c>
    </row>
    <row r="4573" ht="15.75" customHeight="1">
      <c r="A4573" s="50" t="s">
        <v>4657</v>
      </c>
      <c r="B4573" s="50" t="s">
        <v>25</v>
      </c>
      <c r="C4573" s="50" t="s">
        <v>33</v>
      </c>
      <c r="D4573" s="51">
        <v>144160.67</v>
      </c>
      <c r="E4573" s="51" t="str">
        <f t="shared" si="1"/>
        <v>₹1,729,928.04</v>
      </c>
      <c r="F4573" s="52" t="str">
        <f t="shared" si="2"/>
        <v>30.0%</v>
      </c>
      <c r="G4573" s="51" t="str">
        <f t="shared" si="3"/>
        <v>₹518,978.41</v>
      </c>
      <c r="H4573" s="51" t="str">
        <f t="shared" si="4"/>
        <v>₹43,248.20</v>
      </c>
      <c r="I4573" s="51" t="str">
        <f>128331.82-H4573</f>
        <v>₹85,083.62</v>
      </c>
    </row>
    <row r="4574" ht="15.75" customHeight="1">
      <c r="A4574" s="53" t="s">
        <v>4658</v>
      </c>
      <c r="B4574" s="53" t="s">
        <v>51</v>
      </c>
      <c r="C4574" s="53" t="s">
        <v>54</v>
      </c>
      <c r="D4574" s="54">
        <v>162183.13</v>
      </c>
      <c r="E4574" s="54" t="str">
        <f t="shared" si="1"/>
        <v>₹1,946,197.56</v>
      </c>
      <c r="F4574" s="55" t="str">
        <f t="shared" si="2"/>
        <v>30.0%</v>
      </c>
      <c r="G4574" s="54" t="str">
        <f t="shared" si="3"/>
        <v>₹583,859.27</v>
      </c>
      <c r="H4574" s="54" t="str">
        <f t="shared" si="4"/>
        <v>₹48,654.94</v>
      </c>
      <c r="I4574" s="54" t="str">
        <f>139378.06-H4574</f>
        <v>₹90,723.12</v>
      </c>
    </row>
    <row r="4575" ht="15.75" customHeight="1">
      <c r="A4575" s="50" t="s">
        <v>4659</v>
      </c>
      <c r="B4575" s="50" t="s">
        <v>53</v>
      </c>
      <c r="C4575" s="50" t="s">
        <v>18</v>
      </c>
      <c r="D4575" s="51">
        <v>161478.62</v>
      </c>
      <c r="E4575" s="51" t="str">
        <f t="shared" si="1"/>
        <v>₹1,937,743.44</v>
      </c>
      <c r="F4575" s="52" t="str">
        <f t="shared" si="2"/>
        <v>30.0%</v>
      </c>
      <c r="G4575" s="51" t="str">
        <f t="shared" si="3"/>
        <v>₹581,323.03</v>
      </c>
      <c r="H4575" s="51" t="str">
        <f t="shared" si="4"/>
        <v>₹48,443.59</v>
      </c>
      <c r="I4575" s="51" t="str">
        <f>154265.85-H4575</f>
        <v>₹105,822.26</v>
      </c>
    </row>
    <row r="4576" ht="15.75" customHeight="1">
      <c r="A4576" s="53" t="s">
        <v>4660</v>
      </c>
      <c r="B4576" s="53" t="s">
        <v>13</v>
      </c>
      <c r="C4576" s="53" t="s">
        <v>37</v>
      </c>
      <c r="D4576" s="54">
        <v>127512.85</v>
      </c>
      <c r="E4576" s="54" t="str">
        <f t="shared" si="1"/>
        <v>₹1,530,154.20</v>
      </c>
      <c r="F4576" s="55" t="str">
        <f t="shared" si="2"/>
        <v>30.0%</v>
      </c>
      <c r="G4576" s="54" t="str">
        <f t="shared" si="3"/>
        <v>₹459,046.26</v>
      </c>
      <c r="H4576" s="54" t="str">
        <f t="shared" si="4"/>
        <v>₹38,253.86</v>
      </c>
      <c r="I4576" s="54" t="str">
        <f>114637.49-H4576</f>
        <v>₹76,383.64</v>
      </c>
    </row>
    <row r="4577" ht="15.75" customHeight="1">
      <c r="A4577" s="50" t="s">
        <v>4661</v>
      </c>
      <c r="B4577" s="50" t="s">
        <v>25</v>
      </c>
      <c r="C4577" s="50" t="s">
        <v>26</v>
      </c>
      <c r="D4577" s="51">
        <v>112736.57</v>
      </c>
      <c r="E4577" s="51" t="str">
        <f t="shared" si="1"/>
        <v>₹1,352,838.84</v>
      </c>
      <c r="F4577" s="52" t="str">
        <f t="shared" si="2"/>
        <v>30.0%</v>
      </c>
      <c r="G4577" s="51" t="str">
        <f t="shared" si="3"/>
        <v>₹405,851.65</v>
      </c>
      <c r="H4577" s="51" t="str">
        <f t="shared" si="4"/>
        <v>₹33,820.97</v>
      </c>
      <c r="I4577" s="51" t="str">
        <f>88748.65-H4577</f>
        <v>₹54,927.68</v>
      </c>
    </row>
    <row r="4578" ht="15.75" customHeight="1">
      <c r="A4578" s="53" t="s">
        <v>4662</v>
      </c>
      <c r="B4578" s="53" t="s">
        <v>51</v>
      </c>
      <c r="C4578" s="53" t="s">
        <v>18</v>
      </c>
      <c r="D4578" s="54">
        <v>169476.52</v>
      </c>
      <c r="E4578" s="54" t="str">
        <f t="shared" si="1"/>
        <v>₹2,033,718.24</v>
      </c>
      <c r="F4578" s="55" t="str">
        <f t="shared" si="2"/>
        <v>30.0%</v>
      </c>
      <c r="G4578" s="54" t="str">
        <f t="shared" si="3"/>
        <v>₹610,115.47</v>
      </c>
      <c r="H4578" s="54" t="str">
        <f t="shared" si="4"/>
        <v>₹50,842.96</v>
      </c>
      <c r="I4578" s="54" t="str">
        <f>164752.81-H4578</f>
        <v>₹113,909.85</v>
      </c>
    </row>
    <row r="4579" ht="15.75" customHeight="1">
      <c r="A4579" s="50" t="s">
        <v>4663</v>
      </c>
      <c r="B4579" s="50" t="s">
        <v>51</v>
      </c>
      <c r="C4579" s="50" t="s">
        <v>33</v>
      </c>
      <c r="D4579" s="51">
        <v>112800.44</v>
      </c>
      <c r="E4579" s="51" t="str">
        <f t="shared" si="1"/>
        <v>₹1,353,605.28</v>
      </c>
      <c r="F4579" s="52" t="str">
        <f t="shared" si="2"/>
        <v>30.0%</v>
      </c>
      <c r="G4579" s="51" t="str">
        <f t="shared" si="3"/>
        <v>₹406,081.58</v>
      </c>
      <c r="H4579" s="51" t="str">
        <f t="shared" si="4"/>
        <v>₹33,840.13</v>
      </c>
      <c r="I4579" s="51" t="str">
        <f>94668.67-H4579</f>
        <v>₹60,828.54</v>
      </c>
    </row>
    <row r="4580" ht="15.75" customHeight="1">
      <c r="A4580" s="53" t="s">
        <v>4664</v>
      </c>
      <c r="B4580" s="53" t="s">
        <v>36</v>
      </c>
      <c r="C4580" s="53" t="s">
        <v>26</v>
      </c>
      <c r="D4580" s="54">
        <v>112232.32</v>
      </c>
      <c r="E4580" s="54" t="str">
        <f t="shared" si="1"/>
        <v>₹1,346,787.84</v>
      </c>
      <c r="F4580" s="55" t="str">
        <f t="shared" si="2"/>
        <v>30.0%</v>
      </c>
      <c r="G4580" s="54" t="str">
        <f t="shared" si="3"/>
        <v>₹404,036.35</v>
      </c>
      <c r="H4580" s="54" t="str">
        <f t="shared" si="4"/>
        <v>₹33,669.70</v>
      </c>
      <c r="I4580" s="54" t="str">
        <f>96677.54-H4580</f>
        <v>₹63,007.84</v>
      </c>
    </row>
    <row r="4581" ht="15.75" customHeight="1">
      <c r="A4581" s="50" t="s">
        <v>4665</v>
      </c>
      <c r="B4581" s="50" t="s">
        <v>25</v>
      </c>
      <c r="C4581" s="50" t="s">
        <v>14</v>
      </c>
      <c r="D4581" s="51">
        <v>98283.12</v>
      </c>
      <c r="E4581" s="51" t="str">
        <f t="shared" si="1"/>
        <v>₹1,179,397.44</v>
      </c>
      <c r="F4581" s="52" t="str">
        <f t="shared" si="2"/>
        <v>30.0%</v>
      </c>
      <c r="G4581" s="51" t="str">
        <f t="shared" si="3"/>
        <v>₹353,819.23</v>
      </c>
      <c r="H4581" s="51" t="str">
        <f t="shared" si="4"/>
        <v>₹29,484.94</v>
      </c>
      <c r="I4581" s="51" t="str">
        <f>81131.08-H4581</f>
        <v>₹51,646.14</v>
      </c>
    </row>
    <row r="4582" ht="15.75" customHeight="1">
      <c r="A4582" s="53" t="s">
        <v>4666</v>
      </c>
      <c r="B4582" s="53" t="s">
        <v>51</v>
      </c>
      <c r="C4582" s="53" t="s">
        <v>26</v>
      </c>
      <c r="D4582" s="54">
        <v>63319.47</v>
      </c>
      <c r="E4582" s="54" t="str">
        <f t="shared" si="1"/>
        <v>₹759,833.64</v>
      </c>
      <c r="F4582" s="55" t="str">
        <f t="shared" si="2"/>
        <v>20.0%</v>
      </c>
      <c r="G4582" s="54" t="str">
        <f t="shared" si="3"/>
        <v>₹151,966.73</v>
      </c>
      <c r="H4582" s="54" t="str">
        <f t="shared" si="4"/>
        <v>₹12,663.89</v>
      </c>
      <c r="I4582" s="54" t="str">
        <f>54214.59-H4582</f>
        <v>₹41,550.70</v>
      </c>
    </row>
    <row r="4583" ht="15.75" customHeight="1">
      <c r="A4583" s="50" t="s">
        <v>4667</v>
      </c>
      <c r="B4583" s="50" t="s">
        <v>17</v>
      </c>
      <c r="C4583" s="50" t="s">
        <v>26</v>
      </c>
      <c r="D4583" s="51">
        <v>188771.76</v>
      </c>
      <c r="E4583" s="51" t="str">
        <f t="shared" si="1"/>
        <v>₹2,265,261.12</v>
      </c>
      <c r="F4583" s="52" t="str">
        <f t="shared" si="2"/>
        <v>30.0%</v>
      </c>
      <c r="G4583" s="51" t="str">
        <f t="shared" si="3"/>
        <v>₹679,578.34</v>
      </c>
      <c r="H4583" s="51" t="str">
        <f t="shared" si="4"/>
        <v>₹56,631.53</v>
      </c>
      <c r="I4583" s="51" t="str">
        <f>180581.72-H4583</f>
        <v>₹123,950.19</v>
      </c>
    </row>
    <row r="4584" ht="15.75" customHeight="1">
      <c r="A4584" s="53" t="s">
        <v>4668</v>
      </c>
      <c r="B4584" s="53" t="s">
        <v>13</v>
      </c>
      <c r="C4584" s="53" t="s">
        <v>18</v>
      </c>
      <c r="D4584" s="54">
        <v>147807.1</v>
      </c>
      <c r="E4584" s="54" t="str">
        <f t="shared" si="1"/>
        <v>₹1,773,685.20</v>
      </c>
      <c r="F4584" s="55" t="str">
        <f t="shared" si="2"/>
        <v>30.0%</v>
      </c>
      <c r="G4584" s="54" t="str">
        <f t="shared" si="3"/>
        <v>₹532,105.56</v>
      </c>
      <c r="H4584" s="54" t="str">
        <f t="shared" si="4"/>
        <v>₹44,342.13</v>
      </c>
      <c r="I4584" s="54" t="str">
        <f>130543.96-H4584</f>
        <v>₹86,201.83</v>
      </c>
    </row>
    <row r="4585" ht="15.75" customHeight="1">
      <c r="A4585" s="50" t="s">
        <v>4669</v>
      </c>
      <c r="B4585" s="50" t="s">
        <v>51</v>
      </c>
      <c r="C4585" s="50" t="s">
        <v>30</v>
      </c>
      <c r="D4585" s="51">
        <v>135659.05</v>
      </c>
      <c r="E4585" s="51" t="str">
        <f t="shared" si="1"/>
        <v>₹1,627,908.60</v>
      </c>
      <c r="F4585" s="52" t="str">
        <f t="shared" si="2"/>
        <v>30.0%</v>
      </c>
      <c r="G4585" s="51" t="str">
        <f t="shared" si="3"/>
        <v>₹488,372.58</v>
      </c>
      <c r="H4585" s="51" t="str">
        <f t="shared" si="4"/>
        <v>₹40,697.72</v>
      </c>
      <c r="I4585" s="51" t="str">
        <f>129878.24-H4585</f>
        <v>₹89,180.53</v>
      </c>
    </row>
    <row r="4586" ht="15.75" customHeight="1">
      <c r="A4586" s="53" t="s">
        <v>4670</v>
      </c>
      <c r="B4586" s="53" t="s">
        <v>29</v>
      </c>
      <c r="C4586" s="53" t="s">
        <v>37</v>
      </c>
      <c r="D4586" s="54">
        <v>125146.35</v>
      </c>
      <c r="E4586" s="54" t="str">
        <f t="shared" si="1"/>
        <v>₹1,501,756.20</v>
      </c>
      <c r="F4586" s="55" t="str">
        <f t="shared" si="2"/>
        <v>30.0%</v>
      </c>
      <c r="G4586" s="54" t="str">
        <f t="shared" si="3"/>
        <v>₹450,526.86</v>
      </c>
      <c r="H4586" s="54" t="str">
        <f t="shared" si="4"/>
        <v>₹37,543.91</v>
      </c>
      <c r="I4586" s="54" t="str">
        <f>114364.81-H4586</f>
        <v>₹76,820.91</v>
      </c>
    </row>
    <row r="4587" ht="15.75" customHeight="1">
      <c r="A4587" s="50" t="s">
        <v>4671</v>
      </c>
      <c r="B4587" s="50" t="s">
        <v>51</v>
      </c>
      <c r="C4587" s="50" t="s">
        <v>33</v>
      </c>
      <c r="D4587" s="51">
        <v>75865.77</v>
      </c>
      <c r="E4587" s="51" t="str">
        <f t="shared" si="1"/>
        <v>₹910,389.24</v>
      </c>
      <c r="F4587" s="52" t="str">
        <f t="shared" si="2"/>
        <v>20.0%</v>
      </c>
      <c r="G4587" s="51" t="str">
        <f t="shared" si="3"/>
        <v>₹182,077.85</v>
      </c>
      <c r="H4587" s="51" t="str">
        <f t="shared" si="4"/>
        <v>₹15,173.15</v>
      </c>
      <c r="I4587" s="51" t="str">
        <f>70755.49-H4587</f>
        <v>₹55,582.34</v>
      </c>
    </row>
    <row r="4588" ht="15.75" customHeight="1">
      <c r="A4588" s="53" t="s">
        <v>4672</v>
      </c>
      <c r="B4588" s="53" t="s">
        <v>51</v>
      </c>
      <c r="C4588" s="53" t="s">
        <v>14</v>
      </c>
      <c r="D4588" s="54">
        <v>87248.38</v>
      </c>
      <c r="E4588" s="54" t="str">
        <f t="shared" si="1"/>
        <v>₹1,046,980.56</v>
      </c>
      <c r="F4588" s="55" t="str">
        <f t="shared" si="2"/>
        <v>30.0%</v>
      </c>
      <c r="G4588" s="54" t="str">
        <f t="shared" si="3"/>
        <v>₹314,094.17</v>
      </c>
      <c r="H4588" s="54" t="str">
        <f t="shared" si="4"/>
        <v>₹26,174.51</v>
      </c>
      <c r="I4588" s="54" t="str">
        <f>86544.91-H4588</f>
        <v>₹60,370.40</v>
      </c>
    </row>
    <row r="4589" ht="15.75" customHeight="1">
      <c r="A4589" s="50" t="s">
        <v>4673</v>
      </c>
      <c r="B4589" s="50" t="s">
        <v>36</v>
      </c>
      <c r="C4589" s="50" t="s">
        <v>30</v>
      </c>
      <c r="D4589" s="51">
        <v>101096.65</v>
      </c>
      <c r="E4589" s="51" t="str">
        <f t="shared" si="1"/>
        <v>₹1,213,159.80</v>
      </c>
      <c r="F4589" s="52" t="str">
        <f t="shared" si="2"/>
        <v>30.0%</v>
      </c>
      <c r="G4589" s="51" t="str">
        <f t="shared" si="3"/>
        <v>₹363,947.94</v>
      </c>
      <c r="H4589" s="51" t="str">
        <f t="shared" si="4"/>
        <v>₹30,329.00</v>
      </c>
      <c r="I4589" s="51" t="str">
        <f>76830.24-H4589</f>
        <v>₹46,501.25</v>
      </c>
    </row>
    <row r="4590" ht="15.75" customHeight="1">
      <c r="A4590" s="53" t="s">
        <v>4674</v>
      </c>
      <c r="B4590" s="53" t="s">
        <v>53</v>
      </c>
      <c r="C4590" s="53" t="s">
        <v>18</v>
      </c>
      <c r="D4590" s="54">
        <v>134814.66</v>
      </c>
      <c r="E4590" s="54" t="str">
        <f t="shared" si="1"/>
        <v>₹1,617,775.92</v>
      </c>
      <c r="F4590" s="55" t="str">
        <f t="shared" si="2"/>
        <v>30.0%</v>
      </c>
      <c r="G4590" s="54" t="str">
        <f t="shared" si="3"/>
        <v>₹485,332.78</v>
      </c>
      <c r="H4590" s="54" t="str">
        <f t="shared" si="4"/>
        <v>₹40,444.40</v>
      </c>
      <c r="I4590" s="54" t="str">
        <f>123737.94-H4590</f>
        <v>₹83,293.54</v>
      </c>
    </row>
    <row r="4591" ht="15.75" customHeight="1">
      <c r="A4591" s="50" t="s">
        <v>4675</v>
      </c>
      <c r="B4591" s="50" t="s">
        <v>25</v>
      </c>
      <c r="C4591" s="50" t="s">
        <v>30</v>
      </c>
      <c r="D4591" s="51">
        <v>164976.62</v>
      </c>
      <c r="E4591" s="51" t="str">
        <f t="shared" si="1"/>
        <v>₹1,979,719.44</v>
      </c>
      <c r="F4591" s="52" t="str">
        <f t="shared" si="2"/>
        <v>30.0%</v>
      </c>
      <c r="G4591" s="51" t="str">
        <f t="shared" si="3"/>
        <v>₹593,915.83</v>
      </c>
      <c r="H4591" s="51" t="str">
        <f t="shared" si="4"/>
        <v>₹49,492.99</v>
      </c>
      <c r="I4591" s="51" t="str">
        <f>140727.55-H4591</f>
        <v>₹91,234.56</v>
      </c>
    </row>
    <row r="4592" ht="15.75" customHeight="1">
      <c r="A4592" s="53" t="s">
        <v>4676</v>
      </c>
      <c r="B4592" s="53" t="s">
        <v>17</v>
      </c>
      <c r="C4592" s="53" t="s">
        <v>14</v>
      </c>
      <c r="D4592" s="54">
        <v>149779.73</v>
      </c>
      <c r="E4592" s="54" t="str">
        <f t="shared" si="1"/>
        <v>₹1,797,356.76</v>
      </c>
      <c r="F4592" s="55" t="str">
        <f t="shared" si="2"/>
        <v>30.0%</v>
      </c>
      <c r="G4592" s="54" t="str">
        <f t="shared" si="3"/>
        <v>₹539,207.03</v>
      </c>
      <c r="H4592" s="54" t="str">
        <f t="shared" si="4"/>
        <v>₹44,933.92</v>
      </c>
      <c r="I4592" s="54" t="str">
        <f>145841.8-H4592</f>
        <v>₹100,907.88</v>
      </c>
    </row>
    <row r="4593" ht="15.75" customHeight="1">
      <c r="A4593" s="50" t="s">
        <v>4677</v>
      </c>
      <c r="B4593" s="50" t="s">
        <v>29</v>
      </c>
      <c r="C4593" s="50" t="s">
        <v>18</v>
      </c>
      <c r="D4593" s="51">
        <v>102984.74</v>
      </c>
      <c r="E4593" s="51" t="str">
        <f t="shared" si="1"/>
        <v>₹1,235,816.88</v>
      </c>
      <c r="F4593" s="52" t="str">
        <f t="shared" si="2"/>
        <v>30.0%</v>
      </c>
      <c r="G4593" s="51" t="str">
        <f t="shared" si="3"/>
        <v>₹370,745.06</v>
      </c>
      <c r="H4593" s="51" t="str">
        <f t="shared" si="4"/>
        <v>₹30,895.42</v>
      </c>
      <c r="I4593" s="51" t="str">
        <f>88094.25-H4593</f>
        <v>₹57,198.83</v>
      </c>
    </row>
    <row r="4594" ht="15.75" customHeight="1">
      <c r="A4594" s="53" t="s">
        <v>4678</v>
      </c>
      <c r="B4594" s="53" t="s">
        <v>36</v>
      </c>
      <c r="C4594" s="53" t="s">
        <v>18</v>
      </c>
      <c r="D4594" s="54">
        <v>185682.5</v>
      </c>
      <c r="E4594" s="54" t="str">
        <f t="shared" si="1"/>
        <v>₹2,228,190.00</v>
      </c>
      <c r="F4594" s="55" t="str">
        <f t="shared" si="2"/>
        <v>30.0%</v>
      </c>
      <c r="G4594" s="54" t="str">
        <f t="shared" si="3"/>
        <v>₹668,457.00</v>
      </c>
      <c r="H4594" s="54" t="str">
        <f t="shared" si="4"/>
        <v>₹55,704.75</v>
      </c>
      <c r="I4594" s="54" t="str">
        <f>180258.64-H4594</f>
        <v>₹124,553.89</v>
      </c>
    </row>
    <row r="4595" ht="15.75" customHeight="1">
      <c r="A4595" s="50" t="s">
        <v>4679</v>
      </c>
      <c r="B4595" s="50" t="s">
        <v>17</v>
      </c>
      <c r="C4595" s="50" t="s">
        <v>54</v>
      </c>
      <c r="D4595" s="51">
        <v>167979.39</v>
      </c>
      <c r="E4595" s="51" t="str">
        <f t="shared" si="1"/>
        <v>₹2,015,752.68</v>
      </c>
      <c r="F4595" s="52" t="str">
        <f t="shared" si="2"/>
        <v>30.0%</v>
      </c>
      <c r="G4595" s="51" t="str">
        <f t="shared" si="3"/>
        <v>₹604,725.80</v>
      </c>
      <c r="H4595" s="51" t="str">
        <f t="shared" si="4"/>
        <v>₹50,393.82</v>
      </c>
      <c r="I4595" s="51" t="str">
        <f>148122.57-H4595</f>
        <v>₹97,728.75</v>
      </c>
    </row>
    <row r="4596" ht="15.75" customHeight="1">
      <c r="A4596" s="53" t="s">
        <v>4680</v>
      </c>
      <c r="B4596" s="53" t="s">
        <v>25</v>
      </c>
      <c r="C4596" s="53" t="s">
        <v>30</v>
      </c>
      <c r="D4596" s="54">
        <v>115290.27</v>
      </c>
      <c r="E4596" s="54" t="str">
        <f t="shared" si="1"/>
        <v>₹1,383,483.24</v>
      </c>
      <c r="F4596" s="55" t="str">
        <f t="shared" si="2"/>
        <v>30.0%</v>
      </c>
      <c r="G4596" s="54" t="str">
        <f t="shared" si="3"/>
        <v>₹415,044.97</v>
      </c>
      <c r="H4596" s="54" t="str">
        <f t="shared" si="4"/>
        <v>₹34,587.08</v>
      </c>
      <c r="I4596" s="54" t="str">
        <f>95589.55-H4596</f>
        <v>₹61,002.47</v>
      </c>
    </row>
    <row r="4597" ht="15.75" customHeight="1">
      <c r="A4597" s="50" t="s">
        <v>4681</v>
      </c>
      <c r="B4597" s="50" t="s">
        <v>51</v>
      </c>
      <c r="C4597" s="50" t="s">
        <v>30</v>
      </c>
      <c r="D4597" s="51">
        <v>148569.83</v>
      </c>
      <c r="E4597" s="51" t="str">
        <f t="shared" si="1"/>
        <v>₹1,782,837.96</v>
      </c>
      <c r="F4597" s="52" t="str">
        <f t="shared" si="2"/>
        <v>30.0%</v>
      </c>
      <c r="G4597" s="51" t="str">
        <f t="shared" si="3"/>
        <v>₹534,851.39</v>
      </c>
      <c r="H4597" s="51" t="str">
        <f t="shared" si="4"/>
        <v>₹44,570.95</v>
      </c>
      <c r="I4597" s="51" t="str">
        <f>145310.95-H4597</f>
        <v>₹100,740.00</v>
      </c>
    </row>
    <row r="4598" ht="15.75" customHeight="1">
      <c r="A4598" s="53" t="s">
        <v>4682</v>
      </c>
      <c r="B4598" s="53" t="s">
        <v>53</v>
      </c>
      <c r="C4598" s="53" t="s">
        <v>14</v>
      </c>
      <c r="D4598" s="54">
        <v>103462.84</v>
      </c>
      <c r="E4598" s="54" t="str">
        <f t="shared" si="1"/>
        <v>₹1,241,554.08</v>
      </c>
      <c r="F4598" s="55" t="str">
        <f t="shared" si="2"/>
        <v>30.0%</v>
      </c>
      <c r="G4598" s="54" t="str">
        <f t="shared" si="3"/>
        <v>₹372,466.22</v>
      </c>
      <c r="H4598" s="54" t="str">
        <f t="shared" si="4"/>
        <v>₹31,038.85</v>
      </c>
      <c r="I4598" s="54" t="str">
        <f>80617.26-H4598</f>
        <v>₹49,578.41</v>
      </c>
    </row>
    <row r="4599" ht="15.75" customHeight="1">
      <c r="A4599" s="50" t="s">
        <v>4683</v>
      </c>
      <c r="B4599" s="50" t="s">
        <v>25</v>
      </c>
      <c r="C4599" s="50" t="s">
        <v>14</v>
      </c>
      <c r="D4599" s="51">
        <v>111641.42</v>
      </c>
      <c r="E4599" s="51" t="str">
        <f t="shared" si="1"/>
        <v>₹1,339,697.04</v>
      </c>
      <c r="F4599" s="52" t="str">
        <f t="shared" si="2"/>
        <v>30.0%</v>
      </c>
      <c r="G4599" s="51" t="str">
        <f t="shared" si="3"/>
        <v>₹401,909.11</v>
      </c>
      <c r="H4599" s="51" t="str">
        <f t="shared" si="4"/>
        <v>₹33,492.43</v>
      </c>
      <c r="I4599" s="51" t="str">
        <f>106372.99-H4599</f>
        <v>₹72,880.56</v>
      </c>
    </row>
    <row r="4600" ht="15.75" customHeight="1">
      <c r="A4600" s="53" t="s">
        <v>4684</v>
      </c>
      <c r="B4600" s="53" t="s">
        <v>29</v>
      </c>
      <c r="C4600" s="53" t="s">
        <v>33</v>
      </c>
      <c r="D4600" s="54">
        <v>103788.61</v>
      </c>
      <c r="E4600" s="54" t="str">
        <f t="shared" si="1"/>
        <v>₹1,245,463.32</v>
      </c>
      <c r="F4600" s="55" t="str">
        <f t="shared" si="2"/>
        <v>30.0%</v>
      </c>
      <c r="G4600" s="54" t="str">
        <f t="shared" si="3"/>
        <v>₹373,639.00</v>
      </c>
      <c r="H4600" s="54" t="str">
        <f t="shared" si="4"/>
        <v>₹31,136.58</v>
      </c>
      <c r="I4600" s="54" t="str">
        <f>88270.67-H4600</f>
        <v>₹57,134.09</v>
      </c>
    </row>
    <row r="4601" ht="15.75" customHeight="1">
      <c r="A4601" s="50" t="s">
        <v>4685</v>
      </c>
      <c r="B4601" s="50" t="s">
        <v>17</v>
      </c>
      <c r="C4601" s="50" t="s">
        <v>18</v>
      </c>
      <c r="D4601" s="51">
        <v>140659.42</v>
      </c>
      <c r="E4601" s="51" t="str">
        <f t="shared" si="1"/>
        <v>₹1,687,913.04</v>
      </c>
      <c r="F4601" s="52" t="str">
        <f t="shared" si="2"/>
        <v>30.0%</v>
      </c>
      <c r="G4601" s="51" t="str">
        <f t="shared" si="3"/>
        <v>₹506,373.91</v>
      </c>
      <c r="H4601" s="51" t="str">
        <f t="shared" si="4"/>
        <v>₹42,197.83</v>
      </c>
      <c r="I4601" s="51" t="str">
        <f>116011.4-H4601</f>
        <v>₹73,813.57</v>
      </c>
    </row>
    <row r="4602" ht="15.75" customHeight="1">
      <c r="A4602" s="53" t="s">
        <v>4686</v>
      </c>
      <c r="B4602" s="53" t="s">
        <v>36</v>
      </c>
      <c r="C4602" s="53" t="s">
        <v>18</v>
      </c>
      <c r="D4602" s="54">
        <v>73680.91</v>
      </c>
      <c r="E4602" s="54" t="str">
        <f t="shared" si="1"/>
        <v>₹884,170.92</v>
      </c>
      <c r="F4602" s="55" t="str">
        <f t="shared" si="2"/>
        <v>20.0%</v>
      </c>
      <c r="G4602" s="54" t="str">
        <f t="shared" si="3"/>
        <v>₹176,834.18</v>
      </c>
      <c r="H4602" s="54" t="str">
        <f t="shared" si="4"/>
        <v>₹14,736.18</v>
      </c>
      <c r="I4602" s="54" t="str">
        <f>51562.19-H4602</f>
        <v>₹36,826.01</v>
      </c>
    </row>
    <row r="4603" ht="15.75" customHeight="1">
      <c r="A4603" s="50" t="s">
        <v>4687</v>
      </c>
      <c r="B4603" s="50" t="s">
        <v>51</v>
      </c>
      <c r="C4603" s="50" t="s">
        <v>30</v>
      </c>
      <c r="D4603" s="51">
        <v>91712.54</v>
      </c>
      <c r="E4603" s="51" t="str">
        <f t="shared" si="1"/>
        <v>₹1,100,550.48</v>
      </c>
      <c r="F4603" s="52" t="str">
        <f t="shared" si="2"/>
        <v>30.0%</v>
      </c>
      <c r="G4603" s="51" t="str">
        <f t="shared" si="3"/>
        <v>₹330,165.14</v>
      </c>
      <c r="H4603" s="51" t="str">
        <f t="shared" si="4"/>
        <v>₹27,513.76</v>
      </c>
      <c r="I4603" s="51" t="str">
        <f>67776.72-H4603</f>
        <v>₹40,262.96</v>
      </c>
    </row>
    <row r="4604" ht="15.75" customHeight="1">
      <c r="A4604" s="53" t="s">
        <v>4688</v>
      </c>
      <c r="B4604" s="53" t="s">
        <v>51</v>
      </c>
      <c r="C4604" s="53" t="s">
        <v>54</v>
      </c>
      <c r="D4604" s="54">
        <v>74894.7</v>
      </c>
      <c r="E4604" s="54" t="str">
        <f t="shared" si="1"/>
        <v>₹898,736.40</v>
      </c>
      <c r="F4604" s="55" t="str">
        <f t="shared" si="2"/>
        <v>20.0%</v>
      </c>
      <c r="G4604" s="54" t="str">
        <f t="shared" si="3"/>
        <v>₹179,747.28</v>
      </c>
      <c r="H4604" s="54" t="str">
        <f t="shared" si="4"/>
        <v>₹14,978.94</v>
      </c>
      <c r="I4604" s="54" t="str">
        <f>66001.03-H4604</f>
        <v>₹51,022.09</v>
      </c>
    </row>
    <row r="4605" ht="15.75" customHeight="1">
      <c r="A4605" s="50" t="s">
        <v>4689</v>
      </c>
      <c r="B4605" s="50" t="s">
        <v>13</v>
      </c>
      <c r="C4605" s="50" t="s">
        <v>14</v>
      </c>
      <c r="D4605" s="51">
        <v>62598.7</v>
      </c>
      <c r="E4605" s="51" t="str">
        <f t="shared" si="1"/>
        <v>₹751,184.40</v>
      </c>
      <c r="F4605" s="52" t="str">
        <f t="shared" si="2"/>
        <v>20.0%</v>
      </c>
      <c r="G4605" s="51" t="str">
        <f t="shared" si="3"/>
        <v>₹150,236.88</v>
      </c>
      <c r="H4605" s="51" t="str">
        <f t="shared" si="4"/>
        <v>₹12,519.74</v>
      </c>
      <c r="I4605" s="51" t="str">
        <f>59512.1-H4605</f>
        <v>₹46,992.36</v>
      </c>
    </row>
    <row r="4606" ht="15.75" customHeight="1">
      <c r="A4606" s="53" t="s">
        <v>4690</v>
      </c>
      <c r="B4606" s="53" t="s">
        <v>36</v>
      </c>
      <c r="C4606" s="53" t="s">
        <v>30</v>
      </c>
      <c r="D4606" s="54">
        <v>167769.47</v>
      </c>
      <c r="E4606" s="54" t="str">
        <f t="shared" si="1"/>
        <v>₹2,013,233.64</v>
      </c>
      <c r="F4606" s="55" t="str">
        <f t="shared" si="2"/>
        <v>30.0%</v>
      </c>
      <c r="G4606" s="54" t="str">
        <f t="shared" si="3"/>
        <v>₹603,970.09</v>
      </c>
      <c r="H4606" s="54" t="str">
        <f t="shared" si="4"/>
        <v>₹50,330.84</v>
      </c>
      <c r="I4606" s="54" t="str">
        <f>162654.97-H4606</f>
        <v>₹112,324.13</v>
      </c>
    </row>
    <row r="4607" ht="15.75" customHeight="1">
      <c r="A4607" s="50" t="s">
        <v>4691</v>
      </c>
      <c r="B4607" s="50" t="s">
        <v>29</v>
      </c>
      <c r="C4607" s="50" t="s">
        <v>33</v>
      </c>
      <c r="D4607" s="51">
        <v>162743.79</v>
      </c>
      <c r="E4607" s="51" t="str">
        <f t="shared" si="1"/>
        <v>₹1,952,925.48</v>
      </c>
      <c r="F4607" s="52" t="str">
        <f t="shared" si="2"/>
        <v>30.0%</v>
      </c>
      <c r="G4607" s="51" t="str">
        <f t="shared" si="3"/>
        <v>₹585,877.64</v>
      </c>
      <c r="H4607" s="51" t="str">
        <f t="shared" si="4"/>
        <v>₹48,823.14</v>
      </c>
      <c r="I4607" s="51" t="str">
        <f>147913.61-H4607</f>
        <v>₹99,090.47</v>
      </c>
    </row>
    <row r="4608" ht="15.75" customHeight="1">
      <c r="A4608" s="53" t="s">
        <v>4692</v>
      </c>
      <c r="B4608" s="53" t="s">
        <v>51</v>
      </c>
      <c r="C4608" s="53" t="s">
        <v>14</v>
      </c>
      <c r="D4608" s="54">
        <v>119964.87</v>
      </c>
      <c r="E4608" s="54" t="str">
        <f t="shared" si="1"/>
        <v>₹1,439,578.44</v>
      </c>
      <c r="F4608" s="55" t="str">
        <f t="shared" si="2"/>
        <v>30.0%</v>
      </c>
      <c r="G4608" s="54" t="str">
        <f t="shared" si="3"/>
        <v>₹431,873.53</v>
      </c>
      <c r="H4608" s="54" t="str">
        <f t="shared" si="4"/>
        <v>₹35,989.46</v>
      </c>
      <c r="I4608" s="54" t="str">
        <f>100030.74-H4608</f>
        <v>₹64,041.28</v>
      </c>
    </row>
    <row r="4609" ht="15.75" customHeight="1">
      <c r="A4609" s="50" t="s">
        <v>4693</v>
      </c>
      <c r="B4609" s="50" t="s">
        <v>13</v>
      </c>
      <c r="C4609" s="50" t="s">
        <v>37</v>
      </c>
      <c r="D4609" s="51">
        <v>74449.12</v>
      </c>
      <c r="E4609" s="51" t="str">
        <f t="shared" si="1"/>
        <v>₹893,389.44</v>
      </c>
      <c r="F4609" s="52" t="str">
        <f t="shared" si="2"/>
        <v>20.0%</v>
      </c>
      <c r="G4609" s="51" t="str">
        <f t="shared" si="3"/>
        <v>₹178,677.89</v>
      </c>
      <c r="H4609" s="51" t="str">
        <f t="shared" si="4"/>
        <v>₹14,889.82</v>
      </c>
      <c r="I4609" s="51" t="str">
        <f>70270.36-H4609</f>
        <v>₹55,380.54</v>
      </c>
    </row>
    <row r="4610" ht="15.75" customHeight="1">
      <c r="A4610" s="53" t="s">
        <v>4694</v>
      </c>
      <c r="B4610" s="53" t="s">
        <v>53</v>
      </c>
      <c r="C4610" s="53" t="s">
        <v>33</v>
      </c>
      <c r="D4610" s="54">
        <v>123948.68</v>
      </c>
      <c r="E4610" s="54" t="str">
        <f t="shared" si="1"/>
        <v>₹1,487,384.16</v>
      </c>
      <c r="F4610" s="55" t="str">
        <f t="shared" si="2"/>
        <v>30.0%</v>
      </c>
      <c r="G4610" s="54" t="str">
        <f t="shared" si="3"/>
        <v>₹446,215.25</v>
      </c>
      <c r="H4610" s="54" t="str">
        <f t="shared" si="4"/>
        <v>₹37,184.60</v>
      </c>
      <c r="I4610" s="54" t="str">
        <f>107285.26-H4610</f>
        <v>₹70,100.66</v>
      </c>
    </row>
    <row r="4611" ht="15.75" customHeight="1">
      <c r="A4611" s="50" t="s">
        <v>4695</v>
      </c>
      <c r="B4611" s="50" t="s">
        <v>17</v>
      </c>
      <c r="C4611" s="50" t="s">
        <v>37</v>
      </c>
      <c r="D4611" s="51">
        <v>107859.51</v>
      </c>
      <c r="E4611" s="51" t="str">
        <f t="shared" si="1"/>
        <v>₹1,294,314.12</v>
      </c>
      <c r="F4611" s="52" t="str">
        <f t="shared" si="2"/>
        <v>30.0%</v>
      </c>
      <c r="G4611" s="51" t="str">
        <f t="shared" si="3"/>
        <v>₹388,294.24</v>
      </c>
      <c r="H4611" s="51" t="str">
        <f t="shared" si="4"/>
        <v>₹32,357.85</v>
      </c>
      <c r="I4611" s="51" t="str">
        <f>99431.86-H4611</f>
        <v>₹67,074.01</v>
      </c>
    </row>
    <row r="4612" ht="15.75" customHeight="1">
      <c r="A4612" s="53" t="s">
        <v>4696</v>
      </c>
      <c r="B4612" s="53" t="s">
        <v>25</v>
      </c>
      <c r="C4612" s="53" t="s">
        <v>33</v>
      </c>
      <c r="D4612" s="54">
        <v>104135.34</v>
      </c>
      <c r="E4612" s="54" t="str">
        <f t="shared" si="1"/>
        <v>₹1,249,624.08</v>
      </c>
      <c r="F4612" s="55" t="str">
        <f t="shared" si="2"/>
        <v>30.0%</v>
      </c>
      <c r="G4612" s="54" t="str">
        <f t="shared" si="3"/>
        <v>₹374,887.22</v>
      </c>
      <c r="H4612" s="54" t="str">
        <f t="shared" si="4"/>
        <v>₹31,240.60</v>
      </c>
      <c r="I4612" s="54" t="str">
        <f>95275.89-H4612</f>
        <v>₹64,035.29</v>
      </c>
    </row>
    <row r="4613" ht="15.75" customHeight="1">
      <c r="A4613" s="50" t="s">
        <v>4697</v>
      </c>
      <c r="B4613" s="50" t="s">
        <v>25</v>
      </c>
      <c r="C4613" s="50" t="s">
        <v>54</v>
      </c>
      <c r="D4613" s="51">
        <v>131721.96</v>
      </c>
      <c r="E4613" s="51" t="str">
        <f t="shared" si="1"/>
        <v>₹1,580,663.52</v>
      </c>
      <c r="F4613" s="52" t="str">
        <f t="shared" si="2"/>
        <v>30.0%</v>
      </c>
      <c r="G4613" s="51" t="str">
        <f t="shared" si="3"/>
        <v>₹474,199.06</v>
      </c>
      <c r="H4613" s="51" t="str">
        <f t="shared" si="4"/>
        <v>₹39,516.59</v>
      </c>
      <c r="I4613" s="51" t="str">
        <f>115004.98-H4613</f>
        <v>₹75,488.39</v>
      </c>
    </row>
    <row r="4614" ht="15.75" customHeight="1">
      <c r="A4614" s="53" t="s">
        <v>4698</v>
      </c>
      <c r="B4614" s="53" t="s">
        <v>51</v>
      </c>
      <c r="C4614" s="53" t="s">
        <v>26</v>
      </c>
      <c r="D4614" s="54">
        <v>119437.97</v>
      </c>
      <c r="E4614" s="54" t="str">
        <f t="shared" si="1"/>
        <v>₹1,433,255.64</v>
      </c>
      <c r="F4614" s="55" t="str">
        <f t="shared" si="2"/>
        <v>30.0%</v>
      </c>
      <c r="G4614" s="54" t="str">
        <f t="shared" si="3"/>
        <v>₹429,976.69</v>
      </c>
      <c r="H4614" s="54" t="str">
        <f t="shared" si="4"/>
        <v>₹35,831.39</v>
      </c>
      <c r="I4614" s="54" t="str">
        <f>107496.48-H4614</f>
        <v>₹71,665.09</v>
      </c>
    </row>
    <row r="4615" ht="15.75" customHeight="1">
      <c r="A4615" s="50" t="s">
        <v>4699</v>
      </c>
      <c r="B4615" s="50" t="s">
        <v>53</v>
      </c>
      <c r="C4615" s="50" t="s">
        <v>18</v>
      </c>
      <c r="D4615" s="51">
        <v>133810.59</v>
      </c>
      <c r="E4615" s="51" t="str">
        <f t="shared" si="1"/>
        <v>₹1,605,727.08</v>
      </c>
      <c r="F4615" s="52" t="str">
        <f t="shared" si="2"/>
        <v>30.0%</v>
      </c>
      <c r="G4615" s="51" t="str">
        <f t="shared" si="3"/>
        <v>₹481,718.12</v>
      </c>
      <c r="H4615" s="51" t="str">
        <f t="shared" si="4"/>
        <v>₹40,143.18</v>
      </c>
      <c r="I4615" s="51" t="str">
        <f>113415.77-H4615</f>
        <v>₹73,272.59</v>
      </c>
    </row>
    <row r="4616" ht="15.75" customHeight="1">
      <c r="A4616" s="53" t="s">
        <v>4700</v>
      </c>
      <c r="B4616" s="53" t="s">
        <v>17</v>
      </c>
      <c r="C4616" s="53" t="s">
        <v>14</v>
      </c>
      <c r="D4616" s="54">
        <v>151919.34</v>
      </c>
      <c r="E4616" s="54" t="str">
        <f t="shared" si="1"/>
        <v>₹1,823,032.08</v>
      </c>
      <c r="F4616" s="55" t="str">
        <f t="shared" si="2"/>
        <v>30.0%</v>
      </c>
      <c r="G4616" s="54" t="str">
        <f t="shared" si="3"/>
        <v>₹546,909.62</v>
      </c>
      <c r="H4616" s="54" t="str">
        <f t="shared" si="4"/>
        <v>₹45,575.80</v>
      </c>
      <c r="I4616" s="54" t="str">
        <f>147599.34-H4616</f>
        <v>₹102,023.54</v>
      </c>
    </row>
    <row r="4617" ht="15.75" customHeight="1">
      <c r="A4617" s="50" t="s">
        <v>4701</v>
      </c>
      <c r="B4617" s="50" t="s">
        <v>51</v>
      </c>
      <c r="C4617" s="50" t="s">
        <v>26</v>
      </c>
      <c r="D4617" s="51">
        <v>125525.55</v>
      </c>
      <c r="E4617" s="51" t="str">
        <f t="shared" si="1"/>
        <v>₹1,506,306.60</v>
      </c>
      <c r="F4617" s="52" t="str">
        <f t="shared" si="2"/>
        <v>30.0%</v>
      </c>
      <c r="G4617" s="51" t="str">
        <f t="shared" si="3"/>
        <v>₹451,891.98</v>
      </c>
      <c r="H4617" s="51" t="str">
        <f t="shared" si="4"/>
        <v>₹37,657.67</v>
      </c>
      <c r="I4617" s="51" t="str">
        <f>123451.79-H4617</f>
        <v>₹85,794.13</v>
      </c>
    </row>
    <row r="4618" ht="15.75" customHeight="1">
      <c r="A4618" s="53" t="s">
        <v>4702</v>
      </c>
      <c r="B4618" s="53" t="s">
        <v>17</v>
      </c>
      <c r="C4618" s="53" t="s">
        <v>18</v>
      </c>
      <c r="D4618" s="54">
        <v>144913.16</v>
      </c>
      <c r="E4618" s="54" t="str">
        <f t="shared" si="1"/>
        <v>₹1,738,957.92</v>
      </c>
      <c r="F4618" s="55" t="str">
        <f t="shared" si="2"/>
        <v>30.0%</v>
      </c>
      <c r="G4618" s="54" t="str">
        <f t="shared" si="3"/>
        <v>₹521,687.38</v>
      </c>
      <c r="H4618" s="54" t="str">
        <f t="shared" si="4"/>
        <v>₹43,473.95</v>
      </c>
      <c r="I4618" s="54" t="str">
        <f>139658.84-H4618</f>
        <v>₹96,184.89</v>
      </c>
    </row>
    <row r="4619" ht="15.75" customHeight="1">
      <c r="A4619" s="50" t="s">
        <v>4703</v>
      </c>
      <c r="B4619" s="50" t="s">
        <v>36</v>
      </c>
      <c r="C4619" s="50" t="s">
        <v>30</v>
      </c>
      <c r="D4619" s="51">
        <v>137540.94</v>
      </c>
      <c r="E4619" s="51" t="str">
        <f t="shared" si="1"/>
        <v>₹1,650,491.28</v>
      </c>
      <c r="F4619" s="52" t="str">
        <f t="shared" si="2"/>
        <v>30.0%</v>
      </c>
      <c r="G4619" s="51" t="str">
        <f t="shared" si="3"/>
        <v>₹495,147.38</v>
      </c>
      <c r="H4619" s="51" t="str">
        <f t="shared" si="4"/>
        <v>₹41,262.28</v>
      </c>
      <c r="I4619" s="51" t="str">
        <f>120965.27-H4619</f>
        <v>₹79,702.99</v>
      </c>
    </row>
    <row r="4620" ht="15.75" customHeight="1">
      <c r="A4620" s="53" t="s">
        <v>4704</v>
      </c>
      <c r="B4620" s="53" t="s">
        <v>17</v>
      </c>
      <c r="C4620" s="53" t="s">
        <v>37</v>
      </c>
      <c r="D4620" s="54">
        <v>140560.3</v>
      </c>
      <c r="E4620" s="54" t="str">
        <f t="shared" si="1"/>
        <v>₹1,686,723.60</v>
      </c>
      <c r="F4620" s="55" t="str">
        <f t="shared" si="2"/>
        <v>30.0%</v>
      </c>
      <c r="G4620" s="54" t="str">
        <f t="shared" si="3"/>
        <v>₹506,017.08</v>
      </c>
      <c r="H4620" s="54" t="str">
        <f t="shared" si="4"/>
        <v>₹42,168.09</v>
      </c>
      <c r="I4620" s="54" t="str">
        <f>133869.65-H4620</f>
        <v>₹91,701.56</v>
      </c>
    </row>
    <row r="4621" ht="15.75" customHeight="1">
      <c r="A4621" s="50" t="s">
        <v>4705</v>
      </c>
      <c r="B4621" s="50" t="s">
        <v>51</v>
      </c>
      <c r="C4621" s="50" t="s">
        <v>26</v>
      </c>
      <c r="D4621" s="51">
        <v>108090.23</v>
      </c>
      <c r="E4621" s="51" t="str">
        <f t="shared" si="1"/>
        <v>₹1,297,082.76</v>
      </c>
      <c r="F4621" s="52" t="str">
        <f t="shared" si="2"/>
        <v>30.0%</v>
      </c>
      <c r="G4621" s="51" t="str">
        <f t="shared" si="3"/>
        <v>₹389,124.83</v>
      </c>
      <c r="H4621" s="51" t="str">
        <f t="shared" si="4"/>
        <v>₹32,427.07</v>
      </c>
      <c r="I4621" s="51" t="str">
        <f>99574.04-H4621</f>
        <v>₹67,146.97</v>
      </c>
    </row>
    <row r="4622" ht="15.75" customHeight="1">
      <c r="A4622" s="53" t="s">
        <v>4706</v>
      </c>
      <c r="B4622" s="53" t="s">
        <v>51</v>
      </c>
      <c r="C4622" s="53" t="s">
        <v>30</v>
      </c>
      <c r="D4622" s="54">
        <v>83393.57</v>
      </c>
      <c r="E4622" s="54" t="str">
        <f t="shared" si="1"/>
        <v>₹1,000,722.84</v>
      </c>
      <c r="F4622" s="55" t="str">
        <f t="shared" si="2"/>
        <v>30.0%</v>
      </c>
      <c r="G4622" s="54" t="str">
        <f t="shared" si="3"/>
        <v>₹300,216.85</v>
      </c>
      <c r="H4622" s="54" t="str">
        <f t="shared" si="4"/>
        <v>₹25,018.07</v>
      </c>
      <c r="I4622" s="54" t="str">
        <f>69734.11-H4622</f>
        <v>₹44,716.04</v>
      </c>
    </row>
    <row r="4623" ht="15.75" customHeight="1">
      <c r="A4623" s="50" t="s">
        <v>4707</v>
      </c>
      <c r="B4623" s="50" t="s">
        <v>53</v>
      </c>
      <c r="C4623" s="50" t="s">
        <v>26</v>
      </c>
      <c r="D4623" s="51">
        <v>145748.67</v>
      </c>
      <c r="E4623" s="51" t="str">
        <f t="shared" si="1"/>
        <v>₹1,748,984.04</v>
      </c>
      <c r="F4623" s="52" t="str">
        <f t="shared" si="2"/>
        <v>30.0%</v>
      </c>
      <c r="G4623" s="51" t="str">
        <f t="shared" si="3"/>
        <v>₹524,695.21</v>
      </c>
      <c r="H4623" s="51" t="str">
        <f t="shared" si="4"/>
        <v>₹43,724.60</v>
      </c>
      <c r="I4623" s="51" t="str">
        <f>140065.14-H4623</f>
        <v>₹96,340.54</v>
      </c>
    </row>
    <row r="4624" ht="15.75" customHeight="1">
      <c r="A4624" s="53" t="s">
        <v>4708</v>
      </c>
      <c r="B4624" s="53" t="s">
        <v>25</v>
      </c>
      <c r="C4624" s="53" t="s">
        <v>54</v>
      </c>
      <c r="D4624" s="54">
        <v>67240.36</v>
      </c>
      <c r="E4624" s="54" t="str">
        <f t="shared" si="1"/>
        <v>₹806,884.32</v>
      </c>
      <c r="F4624" s="55" t="str">
        <f t="shared" si="2"/>
        <v>20.0%</v>
      </c>
      <c r="G4624" s="54" t="str">
        <f t="shared" si="3"/>
        <v>₹161,376.86</v>
      </c>
      <c r="H4624" s="54" t="str">
        <f t="shared" si="4"/>
        <v>₹13,448.07</v>
      </c>
      <c r="I4624" s="54" t="str">
        <f>46867.03-H4624</f>
        <v>₹33,418.96</v>
      </c>
    </row>
    <row r="4625" ht="15.75" customHeight="1">
      <c r="A4625" s="50" t="s">
        <v>4709</v>
      </c>
      <c r="B4625" s="50" t="s">
        <v>17</v>
      </c>
      <c r="C4625" s="50" t="s">
        <v>54</v>
      </c>
      <c r="D4625" s="51">
        <v>140556.66</v>
      </c>
      <c r="E4625" s="51" t="str">
        <f t="shared" si="1"/>
        <v>₹1,686,679.92</v>
      </c>
      <c r="F4625" s="52" t="str">
        <f t="shared" si="2"/>
        <v>30.0%</v>
      </c>
      <c r="G4625" s="51" t="str">
        <f t="shared" si="3"/>
        <v>₹506,003.98</v>
      </c>
      <c r="H4625" s="51" t="str">
        <f t="shared" si="4"/>
        <v>₹42,167.00</v>
      </c>
      <c r="I4625" s="51" t="str">
        <f>121102.56-H4625</f>
        <v>₹78,935.56</v>
      </c>
    </row>
    <row r="4626" ht="15.75" customHeight="1">
      <c r="A4626" s="53" t="s">
        <v>4710</v>
      </c>
      <c r="B4626" s="53" t="s">
        <v>53</v>
      </c>
      <c r="C4626" s="53" t="s">
        <v>37</v>
      </c>
      <c r="D4626" s="54">
        <v>175836.53</v>
      </c>
      <c r="E4626" s="54" t="str">
        <f t="shared" si="1"/>
        <v>₹2,110,038.36</v>
      </c>
      <c r="F4626" s="55" t="str">
        <f t="shared" si="2"/>
        <v>30.0%</v>
      </c>
      <c r="G4626" s="54" t="str">
        <f t="shared" si="3"/>
        <v>₹633,011.51</v>
      </c>
      <c r="H4626" s="54" t="str">
        <f t="shared" si="4"/>
        <v>₹52,750.96</v>
      </c>
      <c r="I4626" s="54" t="str">
        <f>171776.88-H4626</f>
        <v>₹119,025.92</v>
      </c>
    </row>
    <row r="4627" ht="15.75" customHeight="1">
      <c r="A4627" s="50" t="s">
        <v>4711</v>
      </c>
      <c r="B4627" s="50" t="s">
        <v>53</v>
      </c>
      <c r="C4627" s="50" t="s">
        <v>26</v>
      </c>
      <c r="D4627" s="51">
        <v>123621.12</v>
      </c>
      <c r="E4627" s="51" t="str">
        <f t="shared" si="1"/>
        <v>₹1,483,453.44</v>
      </c>
      <c r="F4627" s="52" t="str">
        <f t="shared" si="2"/>
        <v>30.0%</v>
      </c>
      <c r="G4627" s="51" t="str">
        <f t="shared" si="3"/>
        <v>₹445,036.03</v>
      </c>
      <c r="H4627" s="51" t="str">
        <f t="shared" si="4"/>
        <v>₹37,086.34</v>
      </c>
      <c r="I4627" s="51" t="str">
        <f>111757.29-H4627</f>
        <v>₹74,670.95</v>
      </c>
    </row>
    <row r="4628" ht="15.75" customHeight="1">
      <c r="A4628" s="53" t="s">
        <v>4712</v>
      </c>
      <c r="B4628" s="53" t="s">
        <v>36</v>
      </c>
      <c r="C4628" s="53" t="s">
        <v>26</v>
      </c>
      <c r="D4628" s="54">
        <v>99452.81</v>
      </c>
      <c r="E4628" s="54" t="str">
        <f t="shared" si="1"/>
        <v>₹1,193,433.72</v>
      </c>
      <c r="F4628" s="55" t="str">
        <f t="shared" si="2"/>
        <v>30.0%</v>
      </c>
      <c r="G4628" s="54" t="str">
        <f t="shared" si="3"/>
        <v>₹358,030.12</v>
      </c>
      <c r="H4628" s="54" t="str">
        <f t="shared" si="4"/>
        <v>₹29,835.84</v>
      </c>
      <c r="I4628" s="54" t="str">
        <f>79969.53-H4628</f>
        <v>₹50,133.69</v>
      </c>
    </row>
    <row r="4629" ht="15.75" customHeight="1">
      <c r="A4629" s="50" t="s">
        <v>4713</v>
      </c>
      <c r="B4629" s="50" t="s">
        <v>29</v>
      </c>
      <c r="C4629" s="50" t="s">
        <v>26</v>
      </c>
      <c r="D4629" s="51">
        <v>145859.71</v>
      </c>
      <c r="E4629" s="51" t="str">
        <f t="shared" si="1"/>
        <v>₹1,750,316.52</v>
      </c>
      <c r="F4629" s="52" t="str">
        <f t="shared" si="2"/>
        <v>30.0%</v>
      </c>
      <c r="G4629" s="51" t="str">
        <f t="shared" si="3"/>
        <v>₹525,094.96</v>
      </c>
      <c r="H4629" s="51" t="str">
        <f t="shared" si="4"/>
        <v>₹43,757.91</v>
      </c>
      <c r="I4629" s="51" t="str">
        <f>137095.14-H4629</f>
        <v>₹93,337.23</v>
      </c>
    </row>
    <row r="4630" ht="15.75" customHeight="1">
      <c r="A4630" s="53" t="s">
        <v>4714</v>
      </c>
      <c r="B4630" s="53" t="s">
        <v>13</v>
      </c>
      <c r="C4630" s="53" t="s">
        <v>30</v>
      </c>
      <c r="D4630" s="54">
        <v>132174.66</v>
      </c>
      <c r="E4630" s="54" t="str">
        <f t="shared" si="1"/>
        <v>₹1,586,095.92</v>
      </c>
      <c r="F4630" s="55" t="str">
        <f t="shared" si="2"/>
        <v>30.0%</v>
      </c>
      <c r="G4630" s="54" t="str">
        <f t="shared" si="3"/>
        <v>₹475,828.78</v>
      </c>
      <c r="H4630" s="54" t="str">
        <f t="shared" si="4"/>
        <v>₹39,652.40</v>
      </c>
      <c r="I4630" s="54" t="str">
        <f>116163.54-H4630</f>
        <v>₹76,511.14</v>
      </c>
    </row>
    <row r="4631" ht="15.75" customHeight="1">
      <c r="A4631" s="50" t="s">
        <v>4715</v>
      </c>
      <c r="B4631" s="50" t="s">
        <v>17</v>
      </c>
      <c r="C4631" s="50" t="s">
        <v>18</v>
      </c>
      <c r="D4631" s="51">
        <v>132705.08</v>
      </c>
      <c r="E4631" s="51" t="str">
        <f t="shared" si="1"/>
        <v>₹1,592,460.96</v>
      </c>
      <c r="F4631" s="52" t="str">
        <f t="shared" si="2"/>
        <v>30.0%</v>
      </c>
      <c r="G4631" s="51" t="str">
        <f t="shared" si="3"/>
        <v>₹477,738.29</v>
      </c>
      <c r="H4631" s="51" t="str">
        <f t="shared" si="4"/>
        <v>₹39,811.52</v>
      </c>
      <c r="I4631" s="51" t="str">
        <f>130974.86-H4631</f>
        <v>₹91,163.34</v>
      </c>
    </row>
    <row r="4632" ht="15.75" customHeight="1">
      <c r="A4632" s="53" t="s">
        <v>4716</v>
      </c>
      <c r="B4632" s="53" t="s">
        <v>25</v>
      </c>
      <c r="C4632" s="53" t="s">
        <v>37</v>
      </c>
      <c r="D4632" s="54">
        <v>163598.16</v>
      </c>
      <c r="E4632" s="54" t="str">
        <f t="shared" si="1"/>
        <v>₹1,963,177.92</v>
      </c>
      <c r="F4632" s="55" t="str">
        <f t="shared" si="2"/>
        <v>30.0%</v>
      </c>
      <c r="G4632" s="54" t="str">
        <f t="shared" si="3"/>
        <v>₹588,953.38</v>
      </c>
      <c r="H4632" s="54" t="str">
        <f t="shared" si="4"/>
        <v>₹49,079.45</v>
      </c>
      <c r="I4632" s="54" t="str">
        <f>148185.29-H4632</f>
        <v>₹99,105.84</v>
      </c>
    </row>
    <row r="4633" ht="15.75" customHeight="1">
      <c r="A4633" s="50" t="s">
        <v>4717</v>
      </c>
      <c r="B4633" s="50" t="s">
        <v>17</v>
      </c>
      <c r="C4633" s="50" t="s">
        <v>30</v>
      </c>
      <c r="D4633" s="51">
        <v>160404.73</v>
      </c>
      <c r="E4633" s="51" t="str">
        <f t="shared" si="1"/>
        <v>₹1,924,856.76</v>
      </c>
      <c r="F4633" s="52" t="str">
        <f t="shared" si="2"/>
        <v>30.0%</v>
      </c>
      <c r="G4633" s="51" t="str">
        <f t="shared" si="3"/>
        <v>₹577,457.03</v>
      </c>
      <c r="H4633" s="51" t="str">
        <f t="shared" si="4"/>
        <v>₹48,121.42</v>
      </c>
      <c r="I4633" s="51" t="str">
        <f>139555.44-H4633</f>
        <v>₹91,434.02</v>
      </c>
    </row>
    <row r="4634" ht="15.75" customHeight="1">
      <c r="A4634" s="53" t="s">
        <v>4718</v>
      </c>
      <c r="B4634" s="53" t="s">
        <v>13</v>
      </c>
      <c r="C4634" s="53" t="s">
        <v>54</v>
      </c>
      <c r="D4634" s="54">
        <v>167571.42</v>
      </c>
      <c r="E4634" s="54" t="str">
        <f t="shared" si="1"/>
        <v>₹2,010,857.04</v>
      </c>
      <c r="F4634" s="55" t="str">
        <f t="shared" si="2"/>
        <v>30.0%</v>
      </c>
      <c r="G4634" s="54" t="str">
        <f t="shared" si="3"/>
        <v>₹603,257.11</v>
      </c>
      <c r="H4634" s="54" t="str">
        <f t="shared" si="4"/>
        <v>₹50,271.43</v>
      </c>
      <c r="I4634" s="54" t="str">
        <f>158362.91-H4634</f>
        <v>₹108,091.48</v>
      </c>
    </row>
    <row r="4635" ht="15.75" customHeight="1">
      <c r="A4635" s="50" t="s">
        <v>4719</v>
      </c>
      <c r="B4635" s="50" t="s">
        <v>29</v>
      </c>
      <c r="C4635" s="50" t="s">
        <v>18</v>
      </c>
      <c r="D4635" s="51">
        <v>83050.54</v>
      </c>
      <c r="E4635" s="51" t="str">
        <f t="shared" si="1"/>
        <v>₹996,606.48</v>
      </c>
      <c r="F4635" s="52" t="str">
        <f t="shared" si="2"/>
        <v>20.0%</v>
      </c>
      <c r="G4635" s="51" t="str">
        <f t="shared" si="3"/>
        <v>₹199,321.30</v>
      </c>
      <c r="H4635" s="51" t="str">
        <f t="shared" si="4"/>
        <v>₹16,610.11</v>
      </c>
      <c r="I4635" s="51" t="str">
        <f>75652.47-H4635</f>
        <v>₹59,042.36</v>
      </c>
    </row>
    <row r="4636" ht="15.75" customHeight="1">
      <c r="A4636" s="53" t="s">
        <v>4720</v>
      </c>
      <c r="B4636" s="53" t="s">
        <v>29</v>
      </c>
      <c r="C4636" s="53" t="s">
        <v>18</v>
      </c>
      <c r="D4636" s="54">
        <v>70542.42</v>
      </c>
      <c r="E4636" s="54" t="str">
        <f t="shared" si="1"/>
        <v>₹846,509.04</v>
      </c>
      <c r="F4636" s="55" t="str">
        <f t="shared" si="2"/>
        <v>20.0%</v>
      </c>
      <c r="G4636" s="54" t="str">
        <f t="shared" si="3"/>
        <v>₹169,301.81</v>
      </c>
      <c r="H4636" s="54" t="str">
        <f t="shared" si="4"/>
        <v>₹14,108.48</v>
      </c>
      <c r="I4636" s="54" t="str">
        <f>49440.64-H4636</f>
        <v>₹35,332.16</v>
      </c>
    </row>
    <row r="4637" ht="15.75" customHeight="1">
      <c r="A4637" s="50" t="s">
        <v>4721</v>
      </c>
      <c r="B4637" s="50" t="s">
        <v>17</v>
      </c>
      <c r="C4637" s="50" t="s">
        <v>54</v>
      </c>
      <c r="D4637" s="51">
        <v>74490.9</v>
      </c>
      <c r="E4637" s="51" t="str">
        <f t="shared" si="1"/>
        <v>₹893,890.80</v>
      </c>
      <c r="F4637" s="52" t="str">
        <f t="shared" si="2"/>
        <v>20.0%</v>
      </c>
      <c r="G4637" s="51" t="str">
        <f t="shared" si="3"/>
        <v>₹178,778.16</v>
      </c>
      <c r="H4637" s="51" t="str">
        <f t="shared" si="4"/>
        <v>₹14,898.18</v>
      </c>
      <c r="I4637" s="51" t="str">
        <f>72762.37-H4637</f>
        <v>₹57,864.19</v>
      </c>
    </row>
    <row r="4638" ht="15.75" customHeight="1">
      <c r="A4638" s="53" t="s">
        <v>4722</v>
      </c>
      <c r="B4638" s="53" t="s">
        <v>13</v>
      </c>
      <c r="C4638" s="53" t="s">
        <v>37</v>
      </c>
      <c r="D4638" s="54">
        <v>72469.05</v>
      </c>
      <c r="E4638" s="54" t="str">
        <f t="shared" si="1"/>
        <v>₹869,628.60</v>
      </c>
      <c r="F4638" s="55" t="str">
        <f t="shared" si="2"/>
        <v>20.0%</v>
      </c>
      <c r="G4638" s="54" t="str">
        <f t="shared" si="3"/>
        <v>₹173,925.72</v>
      </c>
      <c r="H4638" s="54" t="str">
        <f t="shared" si="4"/>
        <v>₹14,493.81</v>
      </c>
      <c r="I4638" s="54" t="str">
        <f>62252.13-H4638</f>
        <v>₹47,758.32</v>
      </c>
    </row>
    <row r="4639" ht="15.75" customHeight="1">
      <c r="A4639" s="50" t="s">
        <v>4723</v>
      </c>
      <c r="B4639" s="50" t="s">
        <v>53</v>
      </c>
      <c r="C4639" s="50" t="s">
        <v>33</v>
      </c>
      <c r="D4639" s="51">
        <v>68399.91</v>
      </c>
      <c r="E4639" s="51" t="str">
        <f t="shared" si="1"/>
        <v>₹820,798.92</v>
      </c>
      <c r="F4639" s="52" t="str">
        <f t="shared" si="2"/>
        <v>20.0%</v>
      </c>
      <c r="G4639" s="51" t="str">
        <f t="shared" si="3"/>
        <v>₹164,159.78</v>
      </c>
      <c r="H4639" s="51" t="str">
        <f t="shared" si="4"/>
        <v>₹13,679.98</v>
      </c>
      <c r="I4639" s="51" t="str">
        <f>58834.82-H4639</f>
        <v>₹45,154.84</v>
      </c>
    </row>
    <row r="4640" ht="15.75" customHeight="1">
      <c r="A4640" s="53" t="s">
        <v>4724</v>
      </c>
      <c r="B4640" s="53" t="s">
        <v>17</v>
      </c>
      <c r="C4640" s="53" t="s">
        <v>26</v>
      </c>
      <c r="D4640" s="54">
        <v>142685.94</v>
      </c>
      <c r="E4640" s="54" t="str">
        <f t="shared" si="1"/>
        <v>₹1,712,231.28</v>
      </c>
      <c r="F4640" s="55" t="str">
        <f t="shared" si="2"/>
        <v>30.0%</v>
      </c>
      <c r="G4640" s="54" t="str">
        <f t="shared" si="3"/>
        <v>₹513,669.38</v>
      </c>
      <c r="H4640" s="54" t="str">
        <f t="shared" si="4"/>
        <v>₹42,805.78</v>
      </c>
      <c r="I4640" s="54" t="str">
        <f>135208.33-H4640</f>
        <v>₹92,402.55</v>
      </c>
    </row>
    <row r="4641" ht="15.75" customHeight="1">
      <c r="A4641" s="50" t="s">
        <v>4725</v>
      </c>
      <c r="B4641" s="50" t="s">
        <v>51</v>
      </c>
      <c r="C4641" s="50" t="s">
        <v>18</v>
      </c>
      <c r="D4641" s="51">
        <v>82553.63</v>
      </c>
      <c r="E4641" s="51" t="str">
        <f t="shared" si="1"/>
        <v>₹990,643.56</v>
      </c>
      <c r="F4641" s="52" t="str">
        <f t="shared" si="2"/>
        <v>20.0%</v>
      </c>
      <c r="G4641" s="51" t="str">
        <f t="shared" si="3"/>
        <v>₹198,128.71</v>
      </c>
      <c r="H4641" s="51" t="str">
        <f t="shared" si="4"/>
        <v>₹16,510.73</v>
      </c>
      <c r="I4641" s="51" t="str">
        <f>59715.65-H4641</f>
        <v>₹43,204.92</v>
      </c>
    </row>
    <row r="4642" ht="15.75" customHeight="1">
      <c r="A4642" s="53" t="s">
        <v>4726</v>
      </c>
      <c r="B4642" s="53" t="s">
        <v>25</v>
      </c>
      <c r="C4642" s="53" t="s">
        <v>14</v>
      </c>
      <c r="D4642" s="54">
        <v>107556.06</v>
      </c>
      <c r="E4642" s="54" t="str">
        <f t="shared" si="1"/>
        <v>₹1,290,672.72</v>
      </c>
      <c r="F4642" s="55" t="str">
        <f t="shared" si="2"/>
        <v>30.0%</v>
      </c>
      <c r="G4642" s="54" t="str">
        <f t="shared" si="3"/>
        <v>₹387,201.82</v>
      </c>
      <c r="H4642" s="54" t="str">
        <f t="shared" si="4"/>
        <v>₹32,266.82</v>
      </c>
      <c r="I4642" s="54" t="str">
        <f>88658.31-H4642</f>
        <v>₹56,391.49</v>
      </c>
    </row>
    <row r="4643" ht="15.75" customHeight="1">
      <c r="A4643" s="50" t="s">
        <v>4727</v>
      </c>
      <c r="B4643" s="50" t="s">
        <v>29</v>
      </c>
      <c r="C4643" s="50" t="s">
        <v>14</v>
      </c>
      <c r="D4643" s="51">
        <v>159164.85</v>
      </c>
      <c r="E4643" s="51" t="str">
        <f t="shared" si="1"/>
        <v>₹1,909,978.20</v>
      </c>
      <c r="F4643" s="52" t="str">
        <f t="shared" si="2"/>
        <v>30.0%</v>
      </c>
      <c r="G4643" s="51" t="str">
        <f t="shared" si="3"/>
        <v>₹572,993.46</v>
      </c>
      <c r="H4643" s="51" t="str">
        <f t="shared" si="4"/>
        <v>₹47,749.46</v>
      </c>
      <c r="I4643" s="51" t="str">
        <f>157098.73-H4643</f>
        <v>₹109,349.28</v>
      </c>
    </row>
    <row r="4644" ht="15.75" customHeight="1">
      <c r="A4644" s="53" t="s">
        <v>4728</v>
      </c>
      <c r="B4644" s="53" t="s">
        <v>36</v>
      </c>
      <c r="C4644" s="53" t="s">
        <v>37</v>
      </c>
      <c r="D4644" s="54">
        <v>89333.22</v>
      </c>
      <c r="E4644" s="54" t="str">
        <f t="shared" si="1"/>
        <v>₹1,071,998.64</v>
      </c>
      <c r="F4644" s="55" t="str">
        <f t="shared" si="2"/>
        <v>30.0%</v>
      </c>
      <c r="G4644" s="54" t="str">
        <f t="shared" si="3"/>
        <v>₹321,599.59</v>
      </c>
      <c r="H4644" s="54" t="str">
        <f t="shared" si="4"/>
        <v>₹26,799.97</v>
      </c>
      <c r="I4644" s="54" t="str">
        <f>71323.38-H4644</f>
        <v>₹44,523.41</v>
      </c>
    </row>
    <row r="4645" ht="15.75" customHeight="1">
      <c r="A4645" s="50" t="s">
        <v>4729</v>
      </c>
      <c r="B4645" s="50" t="s">
        <v>36</v>
      </c>
      <c r="C4645" s="50" t="s">
        <v>18</v>
      </c>
      <c r="D4645" s="51">
        <v>147439.02</v>
      </c>
      <c r="E4645" s="51" t="str">
        <f t="shared" si="1"/>
        <v>₹1,769,268.24</v>
      </c>
      <c r="F4645" s="52" t="str">
        <f t="shared" si="2"/>
        <v>30.0%</v>
      </c>
      <c r="G4645" s="51" t="str">
        <f t="shared" si="3"/>
        <v>₹530,780.47</v>
      </c>
      <c r="H4645" s="51" t="str">
        <f t="shared" si="4"/>
        <v>₹44,231.71</v>
      </c>
      <c r="I4645" s="51" t="str">
        <f>134020.19-H4645</f>
        <v>₹89,788.48</v>
      </c>
    </row>
    <row r="4646" ht="15.75" customHeight="1">
      <c r="A4646" s="53" t="s">
        <v>4730</v>
      </c>
      <c r="B4646" s="53" t="s">
        <v>13</v>
      </c>
      <c r="C4646" s="53" t="s">
        <v>33</v>
      </c>
      <c r="D4646" s="54">
        <v>71344.23</v>
      </c>
      <c r="E4646" s="54" t="str">
        <f t="shared" si="1"/>
        <v>₹856,130.76</v>
      </c>
      <c r="F4646" s="55" t="str">
        <f t="shared" si="2"/>
        <v>20.0%</v>
      </c>
      <c r="G4646" s="54" t="str">
        <f t="shared" si="3"/>
        <v>₹171,226.15</v>
      </c>
      <c r="H4646" s="54" t="str">
        <f t="shared" si="4"/>
        <v>₹14,268.85</v>
      </c>
      <c r="I4646" s="54" t="str">
        <f>63177.06-H4646</f>
        <v>₹48,908.21</v>
      </c>
    </row>
    <row r="4647" ht="15.75" customHeight="1">
      <c r="A4647" s="50" t="s">
        <v>4731</v>
      </c>
      <c r="B4647" s="50" t="s">
        <v>13</v>
      </c>
      <c r="C4647" s="50" t="s">
        <v>30</v>
      </c>
      <c r="D4647" s="51">
        <v>132430.11</v>
      </c>
      <c r="E4647" s="51" t="str">
        <f t="shared" si="1"/>
        <v>₹1,589,161.32</v>
      </c>
      <c r="F4647" s="52" t="str">
        <f t="shared" si="2"/>
        <v>30.0%</v>
      </c>
      <c r="G4647" s="51" t="str">
        <f t="shared" si="3"/>
        <v>₹476,748.40</v>
      </c>
      <c r="H4647" s="51" t="str">
        <f t="shared" si="4"/>
        <v>₹39,729.03</v>
      </c>
      <c r="I4647" s="51" t="str">
        <f>117863.21-H4647</f>
        <v>₹78,134.18</v>
      </c>
    </row>
    <row r="4648" ht="15.75" customHeight="1">
      <c r="A4648" s="53" t="s">
        <v>4732</v>
      </c>
      <c r="B4648" s="53" t="s">
        <v>25</v>
      </c>
      <c r="C4648" s="53" t="s">
        <v>26</v>
      </c>
      <c r="D4648" s="54">
        <v>131448.57</v>
      </c>
      <c r="E4648" s="54" t="str">
        <f t="shared" si="1"/>
        <v>₹1,577,382.84</v>
      </c>
      <c r="F4648" s="55" t="str">
        <f t="shared" si="2"/>
        <v>30.0%</v>
      </c>
      <c r="G4648" s="54" t="str">
        <f t="shared" si="3"/>
        <v>₹473,214.85</v>
      </c>
      <c r="H4648" s="54" t="str">
        <f t="shared" si="4"/>
        <v>₹39,434.57</v>
      </c>
      <c r="I4648" s="54" t="str">
        <f>110892.39-H4648</f>
        <v>₹71,457.82</v>
      </c>
    </row>
    <row r="4649" ht="15.75" customHeight="1">
      <c r="A4649" s="50" t="s">
        <v>4733</v>
      </c>
      <c r="B4649" s="50" t="s">
        <v>36</v>
      </c>
      <c r="C4649" s="50" t="s">
        <v>37</v>
      </c>
      <c r="D4649" s="51">
        <v>131470.5</v>
      </c>
      <c r="E4649" s="51" t="str">
        <f t="shared" si="1"/>
        <v>₹1,577,646.00</v>
      </c>
      <c r="F4649" s="52" t="str">
        <f t="shared" si="2"/>
        <v>30.0%</v>
      </c>
      <c r="G4649" s="51" t="str">
        <f t="shared" si="3"/>
        <v>₹473,293.80</v>
      </c>
      <c r="H4649" s="51" t="str">
        <f t="shared" si="4"/>
        <v>₹39,441.15</v>
      </c>
      <c r="I4649" s="51" t="str">
        <f>110911.81-H4649</f>
        <v>₹71,470.66</v>
      </c>
    </row>
    <row r="4650" ht="15.75" customHeight="1">
      <c r="A4650" s="53" t="s">
        <v>4734</v>
      </c>
      <c r="B4650" s="53" t="s">
        <v>36</v>
      </c>
      <c r="C4650" s="53" t="s">
        <v>26</v>
      </c>
      <c r="D4650" s="54">
        <v>131492.43</v>
      </c>
      <c r="E4650" s="54" t="str">
        <f t="shared" si="1"/>
        <v>₹1,577,909.16</v>
      </c>
      <c r="F4650" s="55" t="str">
        <f t="shared" si="2"/>
        <v>30.0%</v>
      </c>
      <c r="G4650" s="54" t="str">
        <f t="shared" si="3"/>
        <v>₹473,372.75</v>
      </c>
      <c r="H4650" s="54" t="str">
        <f t="shared" si="4"/>
        <v>₹39,447.73</v>
      </c>
      <c r="I4650" s="54" t="str">
        <f>110931.24-H4650</f>
        <v>₹71,483.51</v>
      </c>
    </row>
    <row r="4651" ht="15.75" customHeight="1">
      <c r="A4651" s="50" t="s">
        <v>4735</v>
      </c>
      <c r="B4651" s="50" t="s">
        <v>36</v>
      </c>
      <c r="C4651" s="50" t="s">
        <v>54</v>
      </c>
      <c r="D4651" s="51">
        <v>131514.36</v>
      </c>
      <c r="E4651" s="51" t="str">
        <f t="shared" si="1"/>
        <v>₹1,578,172.32</v>
      </c>
      <c r="F4651" s="52" t="str">
        <f t="shared" si="2"/>
        <v>30.0%</v>
      </c>
      <c r="G4651" s="51" t="str">
        <f t="shared" si="3"/>
        <v>₹473,451.70</v>
      </c>
      <c r="H4651" s="51" t="str">
        <f t="shared" si="4"/>
        <v>₹39,454.31</v>
      </c>
      <c r="I4651" s="51" t="str">
        <f>117320-H4651</f>
        <v>₹77,865.69</v>
      </c>
    </row>
    <row r="4652" ht="15.75" customHeight="1">
      <c r="A4652" s="53" t="s">
        <v>4736</v>
      </c>
      <c r="B4652" s="53" t="s">
        <v>53</v>
      </c>
      <c r="C4652" s="53" t="s">
        <v>18</v>
      </c>
      <c r="D4652" s="54">
        <v>131558.22</v>
      </c>
      <c r="E4652" s="54" t="str">
        <f t="shared" si="1"/>
        <v>₹1,578,698.64</v>
      </c>
      <c r="F4652" s="55" t="str">
        <f t="shared" si="2"/>
        <v>30.0%</v>
      </c>
      <c r="G4652" s="54" t="str">
        <f t="shared" si="3"/>
        <v>₹473,609.59</v>
      </c>
      <c r="H4652" s="54" t="str">
        <f t="shared" si="4"/>
        <v>₹39,467.47</v>
      </c>
      <c r="I4652" s="54" t="str">
        <f>110989.51-H4652</f>
        <v>₹71,522.04</v>
      </c>
    </row>
    <row r="4653" ht="15.75" customHeight="1">
      <c r="A4653" s="50" t="s">
        <v>4737</v>
      </c>
      <c r="B4653" s="50" t="s">
        <v>13</v>
      </c>
      <c r="C4653" s="50" t="s">
        <v>54</v>
      </c>
      <c r="D4653" s="51">
        <v>131580.15</v>
      </c>
      <c r="E4653" s="51" t="str">
        <f t="shared" si="1"/>
        <v>₹1,578,961.80</v>
      </c>
      <c r="F4653" s="52" t="str">
        <f t="shared" si="2"/>
        <v>30.0%</v>
      </c>
      <c r="G4653" s="51" t="str">
        <f t="shared" si="3"/>
        <v>₹473,688.54</v>
      </c>
      <c r="H4653" s="51" t="str">
        <f t="shared" si="4"/>
        <v>₹39,474.05</v>
      </c>
      <c r="I4653" s="51" t="str">
        <f>111008.93-H4653</f>
        <v>₹71,534.89</v>
      </c>
    </row>
    <row r="4654" ht="15.75" customHeight="1">
      <c r="A4654" s="53" t="s">
        <v>4738</v>
      </c>
      <c r="B4654" s="53" t="s">
        <v>36</v>
      </c>
      <c r="C4654" s="53" t="s">
        <v>30</v>
      </c>
      <c r="D4654" s="54">
        <v>131602.08</v>
      </c>
      <c r="E4654" s="54" t="str">
        <f t="shared" si="1"/>
        <v>₹1,579,224.96</v>
      </c>
      <c r="F4654" s="55" t="str">
        <f t="shared" si="2"/>
        <v>30.0%</v>
      </c>
      <c r="G4654" s="54" t="str">
        <f t="shared" si="3"/>
        <v>₹473,767.49</v>
      </c>
      <c r="H4654" s="54" t="str">
        <f t="shared" si="4"/>
        <v>₹39,480.62</v>
      </c>
      <c r="I4654" s="54" t="str">
        <f>111028.35-H4654</f>
        <v>₹71,547.73</v>
      </c>
    </row>
    <row r="4655" ht="15.75" customHeight="1">
      <c r="A4655" s="50" t="s">
        <v>4739</v>
      </c>
      <c r="B4655" s="50" t="s">
        <v>17</v>
      </c>
      <c r="C4655" s="50" t="s">
        <v>18</v>
      </c>
      <c r="D4655" s="51">
        <v>131624.01</v>
      </c>
      <c r="E4655" s="51" t="str">
        <f t="shared" si="1"/>
        <v>₹1,579,488.12</v>
      </c>
      <c r="F4655" s="52" t="str">
        <f t="shared" si="2"/>
        <v>30.0%</v>
      </c>
      <c r="G4655" s="51" t="str">
        <f t="shared" si="3"/>
        <v>₹473,846.44</v>
      </c>
      <c r="H4655" s="51" t="str">
        <f t="shared" si="4"/>
        <v>₹39,487.20</v>
      </c>
      <c r="I4655" s="51" t="str">
        <f>111047.78-H4655</f>
        <v>₹71,560.58</v>
      </c>
    </row>
    <row r="4656" ht="15.75" customHeight="1">
      <c r="A4656" s="53" t="s">
        <v>4740</v>
      </c>
      <c r="B4656" s="53" t="s">
        <v>51</v>
      </c>
      <c r="C4656" s="53" t="s">
        <v>33</v>
      </c>
      <c r="D4656" s="54">
        <v>131645.94</v>
      </c>
      <c r="E4656" s="54" t="str">
        <f t="shared" si="1"/>
        <v>₹1,579,751.28</v>
      </c>
      <c r="F4656" s="55" t="str">
        <f t="shared" si="2"/>
        <v>30.0%</v>
      </c>
      <c r="G4656" s="54" t="str">
        <f t="shared" si="3"/>
        <v>₹473,925.38</v>
      </c>
      <c r="H4656" s="54" t="str">
        <f t="shared" si="4"/>
        <v>₹39,493.78</v>
      </c>
      <c r="I4656" s="54" t="str">
        <f>111067.2-H4656</f>
        <v>₹71,573.42</v>
      </c>
    </row>
    <row r="4657" ht="15.75" customHeight="1">
      <c r="A4657" s="50" t="s">
        <v>4741</v>
      </c>
      <c r="B4657" s="50" t="s">
        <v>17</v>
      </c>
      <c r="C4657" s="50" t="s">
        <v>14</v>
      </c>
      <c r="D4657" s="51">
        <v>131667.87</v>
      </c>
      <c r="E4657" s="51" t="str">
        <f t="shared" si="1"/>
        <v>₹1,580,014.44</v>
      </c>
      <c r="F4657" s="52" t="str">
        <f t="shared" si="2"/>
        <v>30.0%</v>
      </c>
      <c r="G4657" s="51" t="str">
        <f t="shared" si="3"/>
        <v>₹474,004.33</v>
      </c>
      <c r="H4657" s="51" t="str">
        <f t="shared" si="4"/>
        <v>₹39,500.36</v>
      </c>
      <c r="I4657" s="51" t="str">
        <f>111086.63-H4657</f>
        <v>₹71,586.27</v>
      </c>
    </row>
    <row r="4658" ht="15.75" customHeight="1">
      <c r="A4658" s="53" t="s">
        <v>4742</v>
      </c>
      <c r="B4658" s="53" t="s">
        <v>17</v>
      </c>
      <c r="C4658" s="53" t="s">
        <v>26</v>
      </c>
      <c r="D4658" s="54">
        <v>131689.8</v>
      </c>
      <c r="E4658" s="54" t="str">
        <f t="shared" si="1"/>
        <v>₹1,580,277.60</v>
      </c>
      <c r="F4658" s="55" t="str">
        <f t="shared" si="2"/>
        <v>30.0%</v>
      </c>
      <c r="G4658" s="54" t="str">
        <f t="shared" si="3"/>
        <v>₹474,083.28</v>
      </c>
      <c r="H4658" s="54" t="str">
        <f t="shared" si="4"/>
        <v>₹39,506.94</v>
      </c>
      <c r="I4658" s="54" t="str">
        <f>111106.05-H4658</f>
        <v>₹71,599.11</v>
      </c>
    </row>
    <row r="4659" ht="15.75" customHeight="1">
      <c r="A4659" s="50" t="s">
        <v>4743</v>
      </c>
      <c r="B4659" s="50" t="s">
        <v>53</v>
      </c>
      <c r="C4659" s="50" t="s">
        <v>14</v>
      </c>
      <c r="D4659" s="51">
        <v>131711.73</v>
      </c>
      <c r="E4659" s="51" t="str">
        <f t="shared" si="1"/>
        <v>₹1,580,540.76</v>
      </c>
      <c r="F4659" s="52" t="str">
        <f t="shared" si="2"/>
        <v>30.0%</v>
      </c>
      <c r="G4659" s="51" t="str">
        <f t="shared" si="3"/>
        <v>₹474,162.23</v>
      </c>
      <c r="H4659" s="51" t="str">
        <f t="shared" si="4"/>
        <v>₹39,513.52</v>
      </c>
      <c r="I4659" s="51" t="str">
        <f>111125.47-H4659</f>
        <v>₹71,611.95</v>
      </c>
    </row>
    <row r="4660" ht="15.75" customHeight="1">
      <c r="A4660" s="53" t="s">
        <v>4744</v>
      </c>
      <c r="B4660" s="53" t="s">
        <v>36</v>
      </c>
      <c r="C4660" s="53" t="s">
        <v>33</v>
      </c>
      <c r="D4660" s="54">
        <v>131733.66</v>
      </c>
      <c r="E4660" s="54" t="str">
        <f t="shared" si="1"/>
        <v>₹1,580,803.92</v>
      </c>
      <c r="F4660" s="55" t="str">
        <f t="shared" si="2"/>
        <v>30.0%</v>
      </c>
      <c r="G4660" s="54" t="str">
        <f t="shared" si="3"/>
        <v>₹474,241.18</v>
      </c>
      <c r="H4660" s="54" t="str">
        <f t="shared" si="4"/>
        <v>₹39,520.10</v>
      </c>
      <c r="I4660" s="54" t="str">
        <f>111144.9-H4660</f>
        <v>₹71,624.80</v>
      </c>
    </row>
    <row r="4661" ht="15.75" customHeight="1">
      <c r="A4661" s="50" t="s">
        <v>4745</v>
      </c>
      <c r="B4661" s="50" t="s">
        <v>25</v>
      </c>
      <c r="C4661" s="50" t="s">
        <v>37</v>
      </c>
      <c r="D4661" s="51">
        <v>131755.59</v>
      </c>
      <c r="E4661" s="51" t="str">
        <f t="shared" si="1"/>
        <v>₹1,581,067.08</v>
      </c>
      <c r="F4661" s="52" t="str">
        <f t="shared" si="2"/>
        <v>30.0%</v>
      </c>
      <c r="G4661" s="51" t="str">
        <f t="shared" si="3"/>
        <v>₹474,320.12</v>
      </c>
      <c r="H4661" s="51" t="str">
        <f t="shared" si="4"/>
        <v>₹39,526.68</v>
      </c>
      <c r="I4661" s="51" t="str">
        <f>111164.32-H4661</f>
        <v>₹71,637.64</v>
      </c>
    </row>
    <row r="4662" ht="15.75" customHeight="1">
      <c r="A4662" s="53" t="s">
        <v>4746</v>
      </c>
      <c r="B4662" s="53" t="s">
        <v>25</v>
      </c>
      <c r="C4662" s="53" t="s">
        <v>37</v>
      </c>
      <c r="D4662" s="54">
        <v>131777.52</v>
      </c>
      <c r="E4662" s="54" t="str">
        <f t="shared" si="1"/>
        <v>₹1,581,330.24</v>
      </c>
      <c r="F4662" s="55" t="str">
        <f t="shared" si="2"/>
        <v>30.0%</v>
      </c>
      <c r="G4662" s="54" t="str">
        <f t="shared" si="3"/>
        <v>₹474,399.07</v>
      </c>
      <c r="H4662" s="54" t="str">
        <f t="shared" si="4"/>
        <v>₹39,533.26</v>
      </c>
      <c r="I4662" s="54" t="str">
        <f>111183.75-H4662</f>
        <v>₹71,650.49</v>
      </c>
    </row>
    <row r="4663" ht="15.75" customHeight="1">
      <c r="A4663" s="50" t="s">
        <v>4747</v>
      </c>
      <c r="B4663" s="50" t="s">
        <v>25</v>
      </c>
      <c r="C4663" s="50" t="s">
        <v>30</v>
      </c>
      <c r="D4663" s="51">
        <v>131799.46</v>
      </c>
      <c r="E4663" s="51" t="str">
        <f t="shared" si="1"/>
        <v>₹1,581,593.52</v>
      </c>
      <c r="F4663" s="52" t="str">
        <f t="shared" si="2"/>
        <v>30.0%</v>
      </c>
      <c r="G4663" s="51" t="str">
        <f t="shared" si="3"/>
        <v>₹474,478.06</v>
      </c>
      <c r="H4663" s="51" t="str">
        <f t="shared" si="4"/>
        <v>₹39,539.84</v>
      </c>
      <c r="I4663" s="51" t="str">
        <f>111203.18-H4663</f>
        <v>₹71,663.34</v>
      </c>
    </row>
    <row r="4664" ht="15.75" customHeight="1">
      <c r="A4664" s="53" t="s">
        <v>4748</v>
      </c>
      <c r="B4664" s="53" t="s">
        <v>51</v>
      </c>
      <c r="C4664" s="53" t="s">
        <v>26</v>
      </c>
      <c r="D4664" s="54">
        <v>131821.39</v>
      </c>
      <c r="E4664" s="54" t="str">
        <f t="shared" si="1"/>
        <v>₹1,581,856.68</v>
      </c>
      <c r="F4664" s="55" t="str">
        <f t="shared" si="2"/>
        <v>30.0%</v>
      </c>
      <c r="G4664" s="54" t="str">
        <f t="shared" si="3"/>
        <v>₹474,557.00</v>
      </c>
      <c r="H4664" s="54" t="str">
        <f t="shared" si="4"/>
        <v>₹39,546.42</v>
      </c>
      <c r="I4664" s="54" t="str">
        <f>111222.6-H4664</f>
        <v>₹71,676.18</v>
      </c>
    </row>
    <row r="4665" ht="15.75" customHeight="1">
      <c r="A4665" s="50" t="s">
        <v>4749</v>
      </c>
      <c r="B4665" s="50" t="s">
        <v>29</v>
      </c>
      <c r="C4665" s="50" t="s">
        <v>30</v>
      </c>
      <c r="D4665" s="51">
        <v>131843.32</v>
      </c>
      <c r="E4665" s="51" t="str">
        <f t="shared" si="1"/>
        <v>₹1,582,119.84</v>
      </c>
      <c r="F4665" s="52" t="str">
        <f t="shared" si="2"/>
        <v>30.0%</v>
      </c>
      <c r="G4665" s="51" t="str">
        <f t="shared" si="3"/>
        <v>₹474,635.95</v>
      </c>
      <c r="H4665" s="51" t="str">
        <f t="shared" si="4"/>
        <v>₹39,553.00</v>
      </c>
      <c r="I4665" s="51" t="str">
        <f>111242.03-H4665</f>
        <v>₹71,689.03</v>
      </c>
    </row>
    <row r="4666" ht="15.75" customHeight="1">
      <c r="A4666" s="53" t="s">
        <v>4750</v>
      </c>
      <c r="B4666" s="53" t="s">
        <v>53</v>
      </c>
      <c r="C4666" s="53" t="s">
        <v>18</v>
      </c>
      <c r="D4666" s="54">
        <v>131865.25</v>
      </c>
      <c r="E4666" s="54" t="str">
        <f t="shared" si="1"/>
        <v>₹1,582,383.00</v>
      </c>
      <c r="F4666" s="55" t="str">
        <f t="shared" si="2"/>
        <v>30.0%</v>
      </c>
      <c r="G4666" s="54" t="str">
        <f t="shared" si="3"/>
        <v>₹474,714.90</v>
      </c>
      <c r="H4666" s="54" t="str">
        <f t="shared" si="4"/>
        <v>₹39,559.58</v>
      </c>
      <c r="I4666" s="54" t="str">
        <f>111261.45-H4666</f>
        <v>₹71,701.88</v>
      </c>
    </row>
    <row r="4667" ht="15.75" customHeight="1">
      <c r="A4667" s="50" t="s">
        <v>4751</v>
      </c>
      <c r="B4667" s="50" t="s">
        <v>17</v>
      </c>
      <c r="C4667" s="50" t="s">
        <v>14</v>
      </c>
      <c r="D4667" s="51">
        <v>131887.18</v>
      </c>
      <c r="E4667" s="51" t="str">
        <f t="shared" si="1"/>
        <v>₹1,582,646.16</v>
      </c>
      <c r="F4667" s="52" t="str">
        <f t="shared" si="2"/>
        <v>30.0%</v>
      </c>
      <c r="G4667" s="51" t="str">
        <f t="shared" si="3"/>
        <v>₹474,793.85</v>
      </c>
      <c r="H4667" s="51" t="str">
        <f t="shared" si="4"/>
        <v>₹39,566.15</v>
      </c>
      <c r="I4667" s="51" t="str">
        <f>111280.88-H4667</f>
        <v>₹71,714.73</v>
      </c>
    </row>
    <row r="4668" ht="15.75" customHeight="1">
      <c r="A4668" s="53" t="s">
        <v>4752</v>
      </c>
      <c r="B4668" s="53" t="s">
        <v>36</v>
      </c>
      <c r="C4668" s="53" t="s">
        <v>30</v>
      </c>
      <c r="D4668" s="54">
        <v>131909.11</v>
      </c>
      <c r="E4668" s="54" t="str">
        <f t="shared" si="1"/>
        <v>₹1,582,909.32</v>
      </c>
      <c r="F4668" s="55" t="str">
        <f t="shared" si="2"/>
        <v>30.0%</v>
      </c>
      <c r="G4668" s="54" t="str">
        <f t="shared" si="3"/>
        <v>₹474,872.80</v>
      </c>
      <c r="H4668" s="54" t="str">
        <f t="shared" si="4"/>
        <v>₹39,572.73</v>
      </c>
      <c r="I4668" s="54" t="str">
        <f>111300.3-H4668</f>
        <v>₹71,727.57</v>
      </c>
    </row>
    <row r="4669" ht="15.75" customHeight="1">
      <c r="A4669" s="50" t="s">
        <v>4753</v>
      </c>
      <c r="B4669" s="50" t="s">
        <v>53</v>
      </c>
      <c r="C4669" s="50" t="s">
        <v>30</v>
      </c>
      <c r="D4669" s="51">
        <v>131931.04</v>
      </c>
      <c r="E4669" s="51" t="str">
        <f t="shared" si="1"/>
        <v>₹1,583,172.48</v>
      </c>
      <c r="F4669" s="52" t="str">
        <f t="shared" si="2"/>
        <v>30.0%</v>
      </c>
      <c r="G4669" s="51" t="str">
        <f t="shared" si="3"/>
        <v>₹474,951.74</v>
      </c>
      <c r="H4669" s="51" t="str">
        <f t="shared" si="4"/>
        <v>₹39,579.31</v>
      </c>
      <c r="I4669" s="51" t="str">
        <f>111319.72-H4669</f>
        <v>₹71,740.41</v>
      </c>
    </row>
    <row r="4670" ht="15.75" customHeight="1">
      <c r="A4670" s="53" t="s">
        <v>4754</v>
      </c>
      <c r="B4670" s="53" t="s">
        <v>25</v>
      </c>
      <c r="C4670" s="53" t="s">
        <v>37</v>
      </c>
      <c r="D4670" s="54">
        <v>131952.97</v>
      </c>
      <c r="E4670" s="54" t="str">
        <f t="shared" si="1"/>
        <v>₹1,583,435.64</v>
      </c>
      <c r="F4670" s="55" t="str">
        <f t="shared" si="2"/>
        <v>30.0%</v>
      </c>
      <c r="G4670" s="54" t="str">
        <f t="shared" si="3"/>
        <v>₹475,030.69</v>
      </c>
      <c r="H4670" s="54" t="str">
        <f t="shared" si="4"/>
        <v>₹39,585.89</v>
      </c>
      <c r="I4670" s="54" t="str">
        <f>111339.15-H4670</f>
        <v>₹71,753.26</v>
      </c>
    </row>
    <row r="4671" ht="15.75" customHeight="1">
      <c r="A4671" s="50" t="s">
        <v>4755</v>
      </c>
      <c r="B4671" s="50" t="s">
        <v>25</v>
      </c>
      <c r="C4671" s="50" t="s">
        <v>18</v>
      </c>
      <c r="D4671" s="51">
        <v>131974.9</v>
      </c>
      <c r="E4671" s="51" t="str">
        <f t="shared" si="1"/>
        <v>₹1,583,698.80</v>
      </c>
      <c r="F4671" s="52" t="str">
        <f t="shared" si="2"/>
        <v>30.0%</v>
      </c>
      <c r="G4671" s="51" t="str">
        <f t="shared" si="3"/>
        <v>₹475,109.64</v>
      </c>
      <c r="H4671" s="51" t="str">
        <f t="shared" si="4"/>
        <v>₹39,592.47</v>
      </c>
      <c r="I4671" s="51" t="str">
        <f>111358.57-H4671</f>
        <v>₹71,766.10</v>
      </c>
    </row>
    <row r="4672" ht="15.75" customHeight="1">
      <c r="A4672" s="53" t="s">
        <v>4756</v>
      </c>
      <c r="B4672" s="53" t="s">
        <v>53</v>
      </c>
      <c r="C4672" s="53" t="s">
        <v>33</v>
      </c>
      <c r="D4672" s="54">
        <v>131996.83</v>
      </c>
      <c r="E4672" s="54" t="str">
        <f t="shared" si="1"/>
        <v>₹1,583,961.96</v>
      </c>
      <c r="F4672" s="55" t="str">
        <f t="shared" si="2"/>
        <v>30.0%</v>
      </c>
      <c r="G4672" s="54" t="str">
        <f t="shared" si="3"/>
        <v>₹475,188.59</v>
      </c>
      <c r="H4672" s="54" t="str">
        <f t="shared" si="4"/>
        <v>₹39,599.05</v>
      </c>
      <c r="I4672" s="54" t="str">
        <f>111377.99-H4672</f>
        <v>₹71,778.94</v>
      </c>
    </row>
    <row r="4673" ht="15.75" customHeight="1">
      <c r="A4673" s="50" t="s">
        <v>4757</v>
      </c>
      <c r="B4673" s="50" t="s">
        <v>53</v>
      </c>
      <c r="C4673" s="50" t="s">
        <v>18</v>
      </c>
      <c r="D4673" s="51">
        <v>132018.76</v>
      </c>
      <c r="E4673" s="51" t="str">
        <f t="shared" si="1"/>
        <v>₹1,584,225.12</v>
      </c>
      <c r="F4673" s="52" t="str">
        <f t="shared" si="2"/>
        <v>30.0%</v>
      </c>
      <c r="G4673" s="51" t="str">
        <f t="shared" si="3"/>
        <v>₹475,267.54</v>
      </c>
      <c r="H4673" s="51" t="str">
        <f t="shared" si="4"/>
        <v>₹39,605.63</v>
      </c>
      <c r="I4673" s="51" t="str">
        <f>111397.42-H4673</f>
        <v>₹71,791.79</v>
      </c>
    </row>
    <row r="4674" ht="15.75" customHeight="1">
      <c r="A4674" s="53" t="s">
        <v>4758</v>
      </c>
      <c r="B4674" s="53" t="s">
        <v>29</v>
      </c>
      <c r="C4674" s="53" t="s">
        <v>30</v>
      </c>
      <c r="D4674" s="54">
        <v>132040.69</v>
      </c>
      <c r="E4674" s="54" t="str">
        <f t="shared" si="1"/>
        <v>₹1,584,488.28</v>
      </c>
      <c r="F4674" s="55" t="str">
        <f t="shared" si="2"/>
        <v>30.0%</v>
      </c>
      <c r="G4674" s="54" t="str">
        <f t="shared" si="3"/>
        <v>₹475,346.48</v>
      </c>
      <c r="H4674" s="54" t="str">
        <f t="shared" si="4"/>
        <v>₹39,612.21</v>
      </c>
      <c r="I4674" s="54" t="str">
        <f>111416.84-H4674</f>
        <v>₹71,804.63</v>
      </c>
    </row>
    <row r="4675" ht="15.75" customHeight="1">
      <c r="A4675" s="50" t="s">
        <v>4759</v>
      </c>
      <c r="B4675" s="50" t="s">
        <v>13</v>
      </c>
      <c r="C4675" s="50" t="s">
        <v>30</v>
      </c>
      <c r="D4675" s="51">
        <v>132062.62</v>
      </c>
      <c r="E4675" s="51" t="str">
        <f t="shared" si="1"/>
        <v>₹1,584,751.44</v>
      </c>
      <c r="F4675" s="52" t="str">
        <f t="shared" si="2"/>
        <v>30.0%</v>
      </c>
      <c r="G4675" s="51" t="str">
        <f t="shared" si="3"/>
        <v>₹475,425.43</v>
      </c>
      <c r="H4675" s="51" t="str">
        <f t="shared" si="4"/>
        <v>₹39,618.79</v>
      </c>
      <c r="I4675" s="51" t="str">
        <f>111436.27-H4675</f>
        <v>₹71,817.48</v>
      </c>
    </row>
    <row r="4676" ht="15.75" customHeight="1">
      <c r="A4676" s="53" t="s">
        <v>4760</v>
      </c>
      <c r="B4676" s="53" t="s">
        <v>51</v>
      </c>
      <c r="C4676" s="53" t="s">
        <v>33</v>
      </c>
      <c r="D4676" s="54">
        <v>132084.55</v>
      </c>
      <c r="E4676" s="54" t="str">
        <f t="shared" si="1"/>
        <v>₹1,585,014.60</v>
      </c>
      <c r="F4676" s="55" t="str">
        <f t="shared" si="2"/>
        <v>30.0%</v>
      </c>
      <c r="G4676" s="54" t="str">
        <f t="shared" si="3"/>
        <v>₹475,504.38</v>
      </c>
      <c r="H4676" s="54" t="str">
        <f t="shared" si="4"/>
        <v>₹39,625.37</v>
      </c>
      <c r="I4676" s="54" t="str">
        <f>111455.69-H4676</f>
        <v>₹71,830.33</v>
      </c>
    </row>
    <row r="4677" ht="15.75" customHeight="1">
      <c r="A4677" s="50" t="s">
        <v>4761</v>
      </c>
      <c r="B4677" s="50" t="s">
        <v>25</v>
      </c>
      <c r="C4677" s="50" t="s">
        <v>14</v>
      </c>
      <c r="D4677" s="51">
        <v>132106.48</v>
      </c>
      <c r="E4677" s="51" t="str">
        <f t="shared" si="1"/>
        <v>₹1,585,277.76</v>
      </c>
      <c r="F4677" s="52" t="str">
        <f t="shared" si="2"/>
        <v>30.0%</v>
      </c>
      <c r="G4677" s="51" t="str">
        <f t="shared" si="3"/>
        <v>₹475,583.33</v>
      </c>
      <c r="H4677" s="51" t="str">
        <f t="shared" si="4"/>
        <v>₹39,631.94</v>
      </c>
      <c r="I4677" s="51" t="str">
        <f>111475.11-H4677</f>
        <v>₹71,843.17</v>
      </c>
    </row>
    <row r="4678" ht="15.75" customHeight="1">
      <c r="A4678" s="53" t="s">
        <v>4762</v>
      </c>
      <c r="B4678" s="53" t="s">
        <v>51</v>
      </c>
      <c r="C4678" s="53" t="s">
        <v>14</v>
      </c>
      <c r="D4678" s="54">
        <v>132128.41</v>
      </c>
      <c r="E4678" s="54" t="str">
        <f t="shared" si="1"/>
        <v>₹1,585,540.92</v>
      </c>
      <c r="F4678" s="55" t="str">
        <f t="shared" si="2"/>
        <v>30.0%</v>
      </c>
      <c r="G4678" s="54" t="str">
        <f t="shared" si="3"/>
        <v>₹475,662.28</v>
      </c>
      <c r="H4678" s="54" t="str">
        <f t="shared" si="4"/>
        <v>₹39,638.52</v>
      </c>
      <c r="I4678" s="54" t="str">
        <f>111494.54-H4678</f>
        <v>₹71,856.02</v>
      </c>
    </row>
    <row r="4679" ht="15.75" customHeight="1">
      <c r="A4679" s="50" t="s">
        <v>4763</v>
      </c>
      <c r="B4679" s="50" t="s">
        <v>17</v>
      </c>
      <c r="C4679" s="50" t="s">
        <v>26</v>
      </c>
      <c r="D4679" s="51">
        <v>132150.34</v>
      </c>
      <c r="E4679" s="51" t="str">
        <f t="shared" si="1"/>
        <v>₹1,585,804.08</v>
      </c>
      <c r="F4679" s="52" t="str">
        <f t="shared" si="2"/>
        <v>30.0%</v>
      </c>
      <c r="G4679" s="51" t="str">
        <f t="shared" si="3"/>
        <v>₹475,741.22</v>
      </c>
      <c r="H4679" s="51" t="str">
        <f t="shared" si="4"/>
        <v>₹39,645.10</v>
      </c>
      <c r="I4679" s="51" t="str">
        <f>111513.96-H4679</f>
        <v>₹71,868.86</v>
      </c>
    </row>
    <row r="4680" ht="15.75" customHeight="1">
      <c r="A4680" s="53" t="s">
        <v>4764</v>
      </c>
      <c r="B4680" s="53" t="s">
        <v>13</v>
      </c>
      <c r="C4680" s="53" t="s">
        <v>37</v>
      </c>
      <c r="D4680" s="54">
        <v>132172.28</v>
      </c>
      <c r="E4680" s="54" t="str">
        <f t="shared" si="1"/>
        <v>₹1,586,067.36</v>
      </c>
      <c r="F4680" s="55" t="str">
        <f t="shared" si="2"/>
        <v>30.0%</v>
      </c>
      <c r="G4680" s="54" t="str">
        <f t="shared" si="3"/>
        <v>₹475,820.21</v>
      </c>
      <c r="H4680" s="54" t="str">
        <f t="shared" si="4"/>
        <v>₹39,651.68</v>
      </c>
      <c r="I4680" s="54" t="str">
        <f>111533.4-H4680</f>
        <v>₹71,881.72</v>
      </c>
    </row>
    <row r="4681" ht="15.75" customHeight="1">
      <c r="A4681" s="50" t="s">
        <v>4765</v>
      </c>
      <c r="B4681" s="50" t="s">
        <v>13</v>
      </c>
      <c r="C4681" s="50" t="s">
        <v>18</v>
      </c>
      <c r="D4681" s="51">
        <v>132194.21</v>
      </c>
      <c r="E4681" s="51" t="str">
        <f t="shared" si="1"/>
        <v>₹1,586,330.52</v>
      </c>
      <c r="F4681" s="52" t="str">
        <f t="shared" si="2"/>
        <v>30.0%</v>
      </c>
      <c r="G4681" s="51" t="str">
        <f t="shared" si="3"/>
        <v>₹475,899.16</v>
      </c>
      <c r="H4681" s="51" t="str">
        <f t="shared" si="4"/>
        <v>₹39,658.26</v>
      </c>
      <c r="I4681" s="51" t="str">
        <f>111552.82-H4681</f>
        <v>₹71,894.56</v>
      </c>
    </row>
    <row r="4682" ht="15.75" customHeight="1">
      <c r="A4682" s="53" t="s">
        <v>4766</v>
      </c>
      <c r="B4682" s="53" t="s">
        <v>13</v>
      </c>
      <c r="C4682" s="53" t="s">
        <v>14</v>
      </c>
      <c r="D4682" s="54">
        <v>132216.14</v>
      </c>
      <c r="E4682" s="54" t="str">
        <f t="shared" si="1"/>
        <v>₹1,586,593.68</v>
      </c>
      <c r="F4682" s="55" t="str">
        <f t="shared" si="2"/>
        <v>30.0%</v>
      </c>
      <c r="G4682" s="54" t="str">
        <f t="shared" si="3"/>
        <v>₹475,978.10</v>
      </c>
      <c r="H4682" s="54" t="str">
        <f t="shared" si="4"/>
        <v>₹39,664.84</v>
      </c>
      <c r="I4682" s="54" t="str">
        <f>111572.24-H4682</f>
        <v>₹71,907.40</v>
      </c>
    </row>
    <row r="4683" ht="15.75" customHeight="1">
      <c r="A4683" s="50" t="s">
        <v>4767</v>
      </c>
      <c r="B4683" s="50" t="s">
        <v>51</v>
      </c>
      <c r="C4683" s="50" t="s">
        <v>54</v>
      </c>
      <c r="D4683" s="51">
        <v>132238.07</v>
      </c>
      <c r="E4683" s="51" t="str">
        <f t="shared" si="1"/>
        <v>₹1,586,856.84</v>
      </c>
      <c r="F4683" s="52" t="str">
        <f t="shared" si="2"/>
        <v>30.0%</v>
      </c>
      <c r="G4683" s="51" t="str">
        <f t="shared" si="3"/>
        <v>₹476,057.05</v>
      </c>
      <c r="H4683" s="51" t="str">
        <f t="shared" si="4"/>
        <v>₹39,671.42</v>
      </c>
      <c r="I4683" s="51" t="str">
        <f>111591.67-H4683</f>
        <v>₹71,920.25</v>
      </c>
    </row>
    <row r="4684" ht="15.75" customHeight="1">
      <c r="A4684" s="53" t="s">
        <v>4768</v>
      </c>
      <c r="B4684" s="53" t="s">
        <v>51</v>
      </c>
      <c r="C4684" s="53" t="s">
        <v>30</v>
      </c>
      <c r="D4684" s="54">
        <v>132260.0</v>
      </c>
      <c r="E4684" s="54" t="str">
        <f t="shared" si="1"/>
        <v>₹1,587,120.00</v>
      </c>
      <c r="F4684" s="55" t="str">
        <f t="shared" si="2"/>
        <v>30.0%</v>
      </c>
      <c r="G4684" s="54" t="str">
        <f t="shared" si="3"/>
        <v>₹476,136.00</v>
      </c>
      <c r="H4684" s="54" t="str">
        <f t="shared" si="4"/>
        <v>₹39,678.00</v>
      </c>
      <c r="I4684" s="54" t="str">
        <f>111611.09-H4684</f>
        <v>₹71,933.09</v>
      </c>
    </row>
    <row r="4685" ht="15.75" customHeight="1">
      <c r="A4685" s="50" t="s">
        <v>4769</v>
      </c>
      <c r="B4685" s="50" t="s">
        <v>36</v>
      </c>
      <c r="C4685" s="50" t="s">
        <v>37</v>
      </c>
      <c r="D4685" s="51">
        <v>132281.93</v>
      </c>
      <c r="E4685" s="51" t="str">
        <f t="shared" si="1"/>
        <v>₹1,587,383.16</v>
      </c>
      <c r="F4685" s="52" t="str">
        <f t="shared" si="2"/>
        <v>30.0%</v>
      </c>
      <c r="G4685" s="51" t="str">
        <f t="shared" si="3"/>
        <v>₹476,214.95</v>
      </c>
      <c r="H4685" s="51" t="str">
        <f t="shared" si="4"/>
        <v>₹39,684.58</v>
      </c>
      <c r="I4685" s="51" t="str">
        <f>111630.51-H4685</f>
        <v>₹71,945.93</v>
      </c>
    </row>
    <row r="4686" ht="15.75" customHeight="1">
      <c r="A4686" s="53" t="s">
        <v>4770</v>
      </c>
      <c r="B4686" s="53" t="s">
        <v>51</v>
      </c>
      <c r="C4686" s="53" t="s">
        <v>54</v>
      </c>
      <c r="D4686" s="54">
        <v>132303.86</v>
      </c>
      <c r="E4686" s="54" t="str">
        <f t="shared" si="1"/>
        <v>₹1,587,646.32</v>
      </c>
      <c r="F4686" s="55" t="str">
        <f t="shared" si="2"/>
        <v>30.0%</v>
      </c>
      <c r="G4686" s="54" t="str">
        <f t="shared" si="3"/>
        <v>₹476,293.90</v>
      </c>
      <c r="H4686" s="54" t="str">
        <f t="shared" si="4"/>
        <v>₹39,691.16</v>
      </c>
      <c r="I4686" s="54" t="str">
        <f>111649.94-H4686</f>
        <v>₹71,958.78</v>
      </c>
    </row>
    <row r="4687" ht="15.75" customHeight="1">
      <c r="A4687" s="50" t="s">
        <v>4771</v>
      </c>
      <c r="B4687" s="50" t="s">
        <v>51</v>
      </c>
      <c r="C4687" s="50" t="s">
        <v>18</v>
      </c>
      <c r="D4687" s="51">
        <v>132325.79</v>
      </c>
      <c r="E4687" s="51" t="str">
        <f t="shared" si="1"/>
        <v>₹1,587,909.48</v>
      </c>
      <c r="F4687" s="52" t="str">
        <f t="shared" si="2"/>
        <v>30.0%</v>
      </c>
      <c r="G4687" s="51" t="str">
        <f t="shared" si="3"/>
        <v>₹476,372.84</v>
      </c>
      <c r="H4687" s="51" t="str">
        <f t="shared" si="4"/>
        <v>₹39,697.74</v>
      </c>
      <c r="I4687" s="51" t="str">
        <f>111669.36-H4687</f>
        <v>₹71,971.62</v>
      </c>
    </row>
    <row r="4688" ht="15.75" customHeight="1">
      <c r="A4688" s="53" t="s">
        <v>4772</v>
      </c>
      <c r="B4688" s="53" t="s">
        <v>13</v>
      </c>
      <c r="C4688" s="53" t="s">
        <v>54</v>
      </c>
      <c r="D4688" s="54">
        <v>132347.72</v>
      </c>
      <c r="E4688" s="54" t="str">
        <f t="shared" si="1"/>
        <v>₹1,588,172.64</v>
      </c>
      <c r="F4688" s="55" t="str">
        <f t="shared" si="2"/>
        <v>30.0%</v>
      </c>
      <c r="G4688" s="54" t="str">
        <f t="shared" si="3"/>
        <v>₹476,451.79</v>
      </c>
      <c r="H4688" s="54" t="str">
        <f t="shared" si="4"/>
        <v>₹39,704.32</v>
      </c>
      <c r="I4688" s="54" t="str">
        <f>111688.79-H4688</f>
        <v>₹71,984.47</v>
      </c>
    </row>
    <row r="4689" ht="15.75" customHeight="1">
      <c r="A4689" s="50" t="s">
        <v>4773</v>
      </c>
      <c r="B4689" s="50" t="s">
        <v>29</v>
      </c>
      <c r="C4689" s="50" t="s">
        <v>18</v>
      </c>
      <c r="D4689" s="51">
        <v>132369.65</v>
      </c>
      <c r="E4689" s="51" t="str">
        <f t="shared" si="1"/>
        <v>₹1,588,435.80</v>
      </c>
      <c r="F4689" s="52" t="str">
        <f t="shared" si="2"/>
        <v>30.0%</v>
      </c>
      <c r="G4689" s="51" t="str">
        <f t="shared" si="3"/>
        <v>₹476,530.74</v>
      </c>
      <c r="H4689" s="51" t="str">
        <f t="shared" si="4"/>
        <v>₹39,710.90</v>
      </c>
      <c r="I4689" s="51" t="str">
        <f>111708.21-H4689</f>
        <v>₹71,997.32</v>
      </c>
    </row>
    <row r="4690" ht="15.75" customHeight="1">
      <c r="A4690" s="53" t="s">
        <v>4774</v>
      </c>
      <c r="B4690" s="53" t="s">
        <v>17</v>
      </c>
      <c r="C4690" s="53" t="s">
        <v>26</v>
      </c>
      <c r="D4690" s="54">
        <v>132391.58</v>
      </c>
      <c r="E4690" s="54" t="str">
        <f t="shared" si="1"/>
        <v>₹1,588,698.96</v>
      </c>
      <c r="F4690" s="55" t="str">
        <f t="shared" si="2"/>
        <v>30.0%</v>
      </c>
      <c r="G4690" s="54" t="str">
        <f t="shared" si="3"/>
        <v>₹476,609.69</v>
      </c>
      <c r="H4690" s="54" t="str">
        <f t="shared" si="4"/>
        <v>₹39,717.47</v>
      </c>
      <c r="I4690" s="54" t="str">
        <f>111727.63-H4690</f>
        <v>₹72,010.16</v>
      </c>
    </row>
    <row r="4691" ht="15.75" customHeight="1">
      <c r="A4691" s="50" t="s">
        <v>4775</v>
      </c>
      <c r="B4691" s="50" t="s">
        <v>53</v>
      </c>
      <c r="C4691" s="50" t="s">
        <v>37</v>
      </c>
      <c r="D4691" s="51">
        <v>132413.51</v>
      </c>
      <c r="E4691" s="51" t="str">
        <f t="shared" si="1"/>
        <v>₹1,588,962.12</v>
      </c>
      <c r="F4691" s="52" t="str">
        <f t="shared" si="2"/>
        <v>30.0%</v>
      </c>
      <c r="G4691" s="51" t="str">
        <f t="shared" si="3"/>
        <v>₹476,688.64</v>
      </c>
      <c r="H4691" s="51" t="str">
        <f t="shared" si="4"/>
        <v>₹39,724.05</v>
      </c>
      <c r="I4691" s="51" t="str">
        <f>111747.06-H4691</f>
        <v>₹72,023.01</v>
      </c>
    </row>
    <row r="4692" ht="15.75" customHeight="1">
      <c r="A4692" s="53" t="s">
        <v>4776</v>
      </c>
      <c r="B4692" s="53" t="s">
        <v>53</v>
      </c>
      <c r="C4692" s="53" t="s">
        <v>30</v>
      </c>
      <c r="D4692" s="54">
        <v>132435.44</v>
      </c>
      <c r="E4692" s="54" t="str">
        <f t="shared" si="1"/>
        <v>₹1,589,225.28</v>
      </c>
      <c r="F4692" s="55" t="str">
        <f t="shared" si="2"/>
        <v>30.0%</v>
      </c>
      <c r="G4692" s="54" t="str">
        <f t="shared" si="3"/>
        <v>₹476,767.58</v>
      </c>
      <c r="H4692" s="54" t="str">
        <f t="shared" si="4"/>
        <v>₹39,730.63</v>
      </c>
      <c r="I4692" s="54" t="str">
        <f>111766.48-H4692</f>
        <v>₹72,035.85</v>
      </c>
    </row>
    <row r="4693" ht="15.75" customHeight="1">
      <c r="A4693" s="50" t="s">
        <v>4777</v>
      </c>
      <c r="B4693" s="50" t="s">
        <v>53</v>
      </c>
      <c r="C4693" s="50" t="s">
        <v>30</v>
      </c>
      <c r="D4693" s="51">
        <v>132457.37</v>
      </c>
      <c r="E4693" s="51" t="str">
        <f t="shared" si="1"/>
        <v>₹1,589,488.44</v>
      </c>
      <c r="F4693" s="52" t="str">
        <f t="shared" si="2"/>
        <v>30.0%</v>
      </c>
      <c r="G4693" s="51" t="str">
        <f t="shared" si="3"/>
        <v>₹476,846.53</v>
      </c>
      <c r="H4693" s="51" t="str">
        <f t="shared" si="4"/>
        <v>₹39,737.21</v>
      </c>
      <c r="I4693" s="51" t="str">
        <f>111785.91-H4693</f>
        <v>₹72,048.70</v>
      </c>
    </row>
    <row r="4694" ht="15.75" customHeight="1">
      <c r="A4694" s="53" t="s">
        <v>4778</v>
      </c>
      <c r="B4694" s="53" t="s">
        <v>29</v>
      </c>
      <c r="C4694" s="53" t="s">
        <v>18</v>
      </c>
      <c r="D4694" s="54">
        <v>132479.3</v>
      </c>
      <c r="E4694" s="54" t="str">
        <f t="shared" si="1"/>
        <v>₹1,589,751.60</v>
      </c>
      <c r="F4694" s="55" t="str">
        <f t="shared" si="2"/>
        <v>30.0%</v>
      </c>
      <c r="G4694" s="54" t="str">
        <f t="shared" si="3"/>
        <v>₹476,925.48</v>
      </c>
      <c r="H4694" s="54" t="str">
        <f t="shared" si="4"/>
        <v>₹39,743.79</v>
      </c>
      <c r="I4694" s="54" t="str">
        <f>111805.33-H4694</f>
        <v>₹72,061.54</v>
      </c>
    </row>
    <row r="4695" ht="15.75" customHeight="1">
      <c r="A4695" s="50" t="s">
        <v>4779</v>
      </c>
      <c r="B4695" s="50" t="s">
        <v>17</v>
      </c>
      <c r="C4695" s="50" t="s">
        <v>30</v>
      </c>
      <c r="D4695" s="51">
        <v>132501.23</v>
      </c>
      <c r="E4695" s="51" t="str">
        <f t="shared" si="1"/>
        <v>₹1,590,014.76</v>
      </c>
      <c r="F4695" s="52" t="str">
        <f t="shared" si="2"/>
        <v>30.0%</v>
      </c>
      <c r="G4695" s="51" t="str">
        <f t="shared" si="3"/>
        <v>₹477,004.43</v>
      </c>
      <c r="H4695" s="51" t="str">
        <f t="shared" si="4"/>
        <v>₹39,750.37</v>
      </c>
      <c r="I4695" s="51" t="str">
        <f>111824.75-H4695</f>
        <v>₹72,074.38</v>
      </c>
    </row>
    <row r="4696" ht="15.75" customHeight="1">
      <c r="A4696" s="53" t="s">
        <v>4780</v>
      </c>
      <c r="B4696" s="53" t="s">
        <v>36</v>
      </c>
      <c r="C4696" s="53" t="s">
        <v>26</v>
      </c>
      <c r="D4696" s="54">
        <v>132523.16</v>
      </c>
      <c r="E4696" s="54" t="str">
        <f t="shared" si="1"/>
        <v>₹1,590,277.92</v>
      </c>
      <c r="F4696" s="55" t="str">
        <f t="shared" si="2"/>
        <v>30.0%</v>
      </c>
      <c r="G4696" s="54" t="str">
        <f t="shared" si="3"/>
        <v>₹477,083.38</v>
      </c>
      <c r="H4696" s="54" t="str">
        <f t="shared" si="4"/>
        <v>₹39,756.95</v>
      </c>
      <c r="I4696" s="54" t="str">
        <f>111844.18-H4696</f>
        <v>₹72,087.23</v>
      </c>
    </row>
    <row r="4697" ht="15.75" customHeight="1">
      <c r="A4697" s="50" t="s">
        <v>4781</v>
      </c>
      <c r="B4697" s="50" t="s">
        <v>53</v>
      </c>
      <c r="C4697" s="50" t="s">
        <v>14</v>
      </c>
      <c r="D4697" s="51">
        <v>132545.1</v>
      </c>
      <c r="E4697" s="51" t="str">
        <f t="shared" si="1"/>
        <v>₹1,590,541.20</v>
      </c>
      <c r="F4697" s="52" t="str">
        <f t="shared" si="2"/>
        <v>30.0%</v>
      </c>
      <c r="G4697" s="51" t="str">
        <f t="shared" si="3"/>
        <v>₹477,162.36</v>
      </c>
      <c r="H4697" s="51" t="str">
        <f t="shared" si="4"/>
        <v>₹39,763.53</v>
      </c>
      <c r="I4697" s="51" t="str">
        <f>111863.61-H4697</f>
        <v>₹72,100.08</v>
      </c>
    </row>
    <row r="4698" ht="15.75" customHeight="1">
      <c r="A4698" s="53" t="s">
        <v>4782</v>
      </c>
      <c r="B4698" s="53" t="s">
        <v>25</v>
      </c>
      <c r="C4698" s="53" t="s">
        <v>37</v>
      </c>
      <c r="D4698" s="54">
        <v>132567.03</v>
      </c>
      <c r="E4698" s="54" t="str">
        <f t="shared" si="1"/>
        <v>₹1,590,804.36</v>
      </c>
      <c r="F4698" s="55" t="str">
        <f t="shared" si="2"/>
        <v>30.0%</v>
      </c>
      <c r="G4698" s="54" t="str">
        <f t="shared" si="3"/>
        <v>₹477,241.31</v>
      </c>
      <c r="H4698" s="54" t="str">
        <f t="shared" si="4"/>
        <v>₹39,770.11</v>
      </c>
      <c r="I4698" s="54" t="str">
        <f>111883.03-H4698</f>
        <v>₹72,112.92</v>
      </c>
    </row>
    <row r="4699" ht="15.75" customHeight="1">
      <c r="A4699" s="50" t="s">
        <v>4783</v>
      </c>
      <c r="B4699" s="50" t="s">
        <v>51</v>
      </c>
      <c r="C4699" s="50" t="s">
        <v>54</v>
      </c>
      <c r="D4699" s="51">
        <v>132588.96</v>
      </c>
      <c r="E4699" s="51" t="str">
        <f t="shared" si="1"/>
        <v>₹1,591,067.52</v>
      </c>
      <c r="F4699" s="52" t="str">
        <f t="shared" si="2"/>
        <v>30.0%</v>
      </c>
      <c r="G4699" s="51" t="str">
        <f t="shared" si="3"/>
        <v>₹477,320.26</v>
      </c>
      <c r="H4699" s="51" t="str">
        <f t="shared" si="4"/>
        <v>₹39,776.69</v>
      </c>
      <c r="I4699" s="51" t="str">
        <f>111902.46-H4699</f>
        <v>₹72,125.77</v>
      </c>
    </row>
    <row r="4700" ht="15.75" customHeight="1">
      <c r="A4700" s="53" t="s">
        <v>4784</v>
      </c>
      <c r="B4700" s="53" t="s">
        <v>17</v>
      </c>
      <c r="C4700" s="53" t="s">
        <v>30</v>
      </c>
      <c r="D4700" s="54">
        <v>132610.89</v>
      </c>
      <c r="E4700" s="54" t="str">
        <f t="shared" si="1"/>
        <v>₹1,591,330.68</v>
      </c>
      <c r="F4700" s="55" t="str">
        <f t="shared" si="2"/>
        <v>30.0%</v>
      </c>
      <c r="G4700" s="54" t="str">
        <f t="shared" si="3"/>
        <v>₹477,399.20</v>
      </c>
      <c r="H4700" s="54" t="str">
        <f t="shared" si="4"/>
        <v>₹39,783.27</v>
      </c>
      <c r="I4700" s="54" t="str">
        <f>111921.88-H4700</f>
        <v>₹72,138.61</v>
      </c>
    </row>
    <row r="4701" ht="15.75" customHeight="1">
      <c r="A4701" s="50" t="s">
        <v>4785</v>
      </c>
      <c r="B4701" s="50" t="s">
        <v>17</v>
      </c>
      <c r="C4701" s="50" t="s">
        <v>54</v>
      </c>
      <c r="D4701" s="51">
        <v>132632.82</v>
      </c>
      <c r="E4701" s="51" t="str">
        <f t="shared" si="1"/>
        <v>₹1,591,593.84</v>
      </c>
      <c r="F4701" s="52" t="str">
        <f t="shared" si="2"/>
        <v>30.0%</v>
      </c>
      <c r="G4701" s="51" t="str">
        <f t="shared" si="3"/>
        <v>₹477,478.15</v>
      </c>
      <c r="H4701" s="51" t="str">
        <f t="shared" si="4"/>
        <v>₹39,789.85</v>
      </c>
      <c r="I4701" s="51" t="str">
        <f>111941.31-H4701</f>
        <v>₹72,151.46</v>
      </c>
    </row>
    <row r="4702" ht="15.75" customHeight="1">
      <c r="A4702" s="53" t="s">
        <v>4786</v>
      </c>
      <c r="B4702" s="53" t="s">
        <v>17</v>
      </c>
      <c r="C4702" s="53" t="s">
        <v>14</v>
      </c>
      <c r="D4702" s="54">
        <v>132654.75</v>
      </c>
      <c r="E4702" s="54" t="str">
        <f t="shared" si="1"/>
        <v>₹1,591,857.00</v>
      </c>
      <c r="F4702" s="55" t="str">
        <f t="shared" si="2"/>
        <v>30.0%</v>
      </c>
      <c r="G4702" s="54" t="str">
        <f t="shared" si="3"/>
        <v>₹477,557.10</v>
      </c>
      <c r="H4702" s="54" t="str">
        <f t="shared" si="4"/>
        <v>₹39,796.43</v>
      </c>
      <c r="I4702" s="54" t="str">
        <f>111960.73-H4702</f>
        <v>₹72,164.31</v>
      </c>
    </row>
    <row r="4703" ht="15.75" customHeight="1">
      <c r="A4703" s="50" t="s">
        <v>4787</v>
      </c>
      <c r="B4703" s="50" t="s">
        <v>17</v>
      </c>
      <c r="C4703" s="50" t="s">
        <v>26</v>
      </c>
      <c r="D4703" s="51">
        <v>132676.68</v>
      </c>
      <c r="E4703" s="51" t="str">
        <f t="shared" si="1"/>
        <v>₹1,592,120.16</v>
      </c>
      <c r="F4703" s="52" t="str">
        <f t="shared" si="2"/>
        <v>30.0%</v>
      </c>
      <c r="G4703" s="51" t="str">
        <f t="shared" si="3"/>
        <v>₹477,636.05</v>
      </c>
      <c r="H4703" s="51" t="str">
        <f t="shared" si="4"/>
        <v>₹39,803.00</v>
      </c>
      <c r="I4703" s="51" t="str">
        <f>111980.15-H4703</f>
        <v>₹72,177.15</v>
      </c>
    </row>
    <row r="4704" ht="15.75" customHeight="1">
      <c r="A4704" s="53" t="s">
        <v>4788</v>
      </c>
      <c r="B4704" s="53" t="s">
        <v>25</v>
      </c>
      <c r="C4704" s="53" t="s">
        <v>33</v>
      </c>
      <c r="D4704" s="54">
        <v>132720.54</v>
      </c>
      <c r="E4704" s="54" t="str">
        <f t="shared" si="1"/>
        <v>₹1,592,646.48</v>
      </c>
      <c r="F4704" s="55" t="str">
        <f t="shared" si="2"/>
        <v>30.0%</v>
      </c>
      <c r="G4704" s="54" t="str">
        <f t="shared" si="3"/>
        <v>₹477,793.94</v>
      </c>
      <c r="H4704" s="54" t="str">
        <f t="shared" si="4"/>
        <v>₹39,816.16</v>
      </c>
      <c r="I4704" s="54" t="str">
        <f>112019-H4704</f>
        <v>₹72,202.84</v>
      </c>
    </row>
    <row r="4705" ht="15.75" customHeight="1">
      <c r="A4705" s="50" t="s">
        <v>4789</v>
      </c>
      <c r="B4705" s="50" t="s">
        <v>29</v>
      </c>
      <c r="C4705" s="50" t="s">
        <v>54</v>
      </c>
      <c r="D4705" s="51">
        <v>132742.47</v>
      </c>
      <c r="E4705" s="51" t="str">
        <f t="shared" si="1"/>
        <v>₹1,592,909.64</v>
      </c>
      <c r="F4705" s="52" t="str">
        <f t="shared" si="2"/>
        <v>30.0%</v>
      </c>
      <c r="G4705" s="51" t="str">
        <f t="shared" si="3"/>
        <v>₹477,872.89</v>
      </c>
      <c r="H4705" s="51" t="str">
        <f t="shared" si="4"/>
        <v>₹39,822.74</v>
      </c>
      <c r="I4705" s="51" t="str">
        <f>112038.43-H4705</f>
        <v>₹72,215.69</v>
      </c>
    </row>
    <row r="4706" ht="15.75" customHeight="1">
      <c r="A4706" s="53" t="s">
        <v>4790</v>
      </c>
      <c r="B4706" s="53" t="s">
        <v>17</v>
      </c>
      <c r="C4706" s="53" t="s">
        <v>14</v>
      </c>
      <c r="D4706" s="54">
        <v>132764.4</v>
      </c>
      <c r="E4706" s="54" t="str">
        <f t="shared" si="1"/>
        <v>₹1,593,172.80</v>
      </c>
      <c r="F4706" s="55" t="str">
        <f t="shared" si="2"/>
        <v>30.0%</v>
      </c>
      <c r="G4706" s="54" t="str">
        <f t="shared" si="3"/>
        <v>₹477,951.84</v>
      </c>
      <c r="H4706" s="54" t="str">
        <f t="shared" si="4"/>
        <v>₹39,829.32</v>
      </c>
      <c r="I4706" s="54" t="str">
        <f>112057.85-H4706</f>
        <v>₹72,228.53</v>
      </c>
    </row>
    <row r="4707" ht="15.75" customHeight="1">
      <c r="A4707" s="50" t="s">
        <v>4791</v>
      </c>
      <c r="B4707" s="50" t="s">
        <v>13</v>
      </c>
      <c r="C4707" s="50" t="s">
        <v>33</v>
      </c>
      <c r="D4707" s="51">
        <v>132786.33</v>
      </c>
      <c r="E4707" s="51" t="str">
        <f t="shared" si="1"/>
        <v>₹1,593,435.96</v>
      </c>
      <c r="F4707" s="52" t="str">
        <f t="shared" si="2"/>
        <v>30.0%</v>
      </c>
      <c r="G4707" s="51" t="str">
        <f t="shared" si="3"/>
        <v>₹478,030.79</v>
      </c>
      <c r="H4707" s="51" t="str">
        <f t="shared" si="4"/>
        <v>₹39,835.90</v>
      </c>
      <c r="I4707" s="51" t="str">
        <f>112077.27-H4707</f>
        <v>₹72,241.37</v>
      </c>
    </row>
    <row r="4708" ht="15.75" customHeight="1">
      <c r="A4708" s="53" t="s">
        <v>4792</v>
      </c>
      <c r="B4708" s="53" t="s">
        <v>17</v>
      </c>
      <c r="C4708" s="53" t="s">
        <v>37</v>
      </c>
      <c r="D4708" s="54">
        <v>132808.26</v>
      </c>
      <c r="E4708" s="54" t="str">
        <f t="shared" si="1"/>
        <v>₹1,593,699.12</v>
      </c>
      <c r="F4708" s="55" t="str">
        <f t="shared" si="2"/>
        <v>30.0%</v>
      </c>
      <c r="G4708" s="54" t="str">
        <f t="shared" si="3"/>
        <v>₹478,109.74</v>
      </c>
      <c r="H4708" s="54" t="str">
        <f t="shared" si="4"/>
        <v>₹39,842.48</v>
      </c>
      <c r="I4708" s="54" t="str">
        <f>112096.7-H4708</f>
        <v>₹72,254.22</v>
      </c>
    </row>
    <row r="4709" ht="15.75" customHeight="1">
      <c r="A4709" s="50" t="s">
        <v>4793</v>
      </c>
      <c r="B4709" s="50" t="s">
        <v>53</v>
      </c>
      <c r="C4709" s="50" t="s">
        <v>18</v>
      </c>
      <c r="D4709" s="51">
        <v>132830.19</v>
      </c>
      <c r="E4709" s="51" t="str">
        <f t="shared" si="1"/>
        <v>₹1,593,962.28</v>
      </c>
      <c r="F4709" s="52" t="str">
        <f t="shared" si="2"/>
        <v>30.0%</v>
      </c>
      <c r="G4709" s="51" t="str">
        <f t="shared" si="3"/>
        <v>₹478,188.68</v>
      </c>
      <c r="H4709" s="51" t="str">
        <f t="shared" si="4"/>
        <v>₹39,849.06</v>
      </c>
      <c r="I4709" s="51" t="str">
        <f>112116.12-H4709</f>
        <v>₹72,267.06</v>
      </c>
    </row>
    <row r="4710" ht="15.75" customHeight="1">
      <c r="A4710" s="53" t="s">
        <v>4794</v>
      </c>
      <c r="B4710" s="53" t="s">
        <v>25</v>
      </c>
      <c r="C4710" s="53" t="s">
        <v>30</v>
      </c>
      <c r="D4710" s="54">
        <v>132852.12</v>
      </c>
      <c r="E4710" s="54" t="str">
        <f t="shared" si="1"/>
        <v>₹1,594,225.44</v>
      </c>
      <c r="F4710" s="55" t="str">
        <f t="shared" si="2"/>
        <v>30.0%</v>
      </c>
      <c r="G4710" s="54" t="str">
        <f t="shared" si="3"/>
        <v>₹478,267.63</v>
      </c>
      <c r="H4710" s="54" t="str">
        <f t="shared" si="4"/>
        <v>₹39,855.64</v>
      </c>
      <c r="I4710" s="54" t="str">
        <f>112135.54-H4710</f>
        <v>₹72,279.90</v>
      </c>
    </row>
    <row r="4711" ht="15.75" customHeight="1">
      <c r="A4711" s="50" t="s">
        <v>4795</v>
      </c>
      <c r="B4711" s="50" t="s">
        <v>51</v>
      </c>
      <c r="C4711" s="50" t="s">
        <v>33</v>
      </c>
      <c r="D4711" s="51">
        <v>142743.94</v>
      </c>
      <c r="E4711" s="51" t="str">
        <f t="shared" si="1"/>
        <v>₹1,712,927.28</v>
      </c>
      <c r="F4711" s="52" t="str">
        <f t="shared" si="2"/>
        <v>30.0%</v>
      </c>
      <c r="G4711" s="51" t="str">
        <f t="shared" si="3"/>
        <v>₹513,878.18</v>
      </c>
      <c r="H4711" s="51" t="str">
        <f t="shared" si="4"/>
        <v>₹42,823.18</v>
      </c>
      <c r="I4711" s="51" t="str">
        <f>122024.86-H4711</f>
        <v>₹79,201.68</v>
      </c>
    </row>
    <row r="4712" ht="15.75" customHeight="1">
      <c r="A4712" s="53" t="s">
        <v>4796</v>
      </c>
      <c r="B4712" s="53" t="s">
        <v>25</v>
      </c>
      <c r="C4712" s="53" t="s">
        <v>37</v>
      </c>
      <c r="D4712" s="54">
        <v>132895.98</v>
      </c>
      <c r="E4712" s="54" t="str">
        <f t="shared" si="1"/>
        <v>₹1,594,751.76</v>
      </c>
      <c r="F4712" s="55" t="str">
        <f t="shared" si="2"/>
        <v>30.0%</v>
      </c>
      <c r="G4712" s="54" t="str">
        <f t="shared" si="3"/>
        <v>₹478,425.53</v>
      </c>
      <c r="H4712" s="54" t="str">
        <f t="shared" si="4"/>
        <v>₹39,868.79</v>
      </c>
      <c r="I4712" s="54" t="str">
        <f>112174.39-H4712</f>
        <v>₹72,305.60</v>
      </c>
    </row>
    <row r="4713" ht="15.75" customHeight="1">
      <c r="A4713" s="50" t="s">
        <v>4797</v>
      </c>
      <c r="B4713" s="50" t="s">
        <v>25</v>
      </c>
      <c r="C4713" s="50" t="s">
        <v>14</v>
      </c>
      <c r="D4713" s="51">
        <v>132939.85</v>
      </c>
      <c r="E4713" s="51" t="str">
        <f t="shared" si="1"/>
        <v>₹1,595,278.20</v>
      </c>
      <c r="F4713" s="52" t="str">
        <f t="shared" si="2"/>
        <v>30.0%</v>
      </c>
      <c r="G4713" s="51" t="str">
        <f t="shared" si="3"/>
        <v>₹478,583.46</v>
      </c>
      <c r="H4713" s="51" t="str">
        <f t="shared" si="4"/>
        <v>₹39,881.96</v>
      </c>
      <c r="I4713" s="51" t="str">
        <f>112213.25-H4713</f>
        <v>₹72,331.30</v>
      </c>
    </row>
    <row r="4714" ht="15.75" customHeight="1">
      <c r="A4714" s="53" t="s">
        <v>4798</v>
      </c>
      <c r="B4714" s="53" t="s">
        <v>25</v>
      </c>
      <c r="C4714" s="53" t="s">
        <v>37</v>
      </c>
      <c r="D4714" s="54">
        <v>132961.78</v>
      </c>
      <c r="E4714" s="54" t="str">
        <f t="shared" si="1"/>
        <v>₹1,595,541.36</v>
      </c>
      <c r="F4714" s="55" t="str">
        <f t="shared" si="2"/>
        <v>30.0%</v>
      </c>
      <c r="G4714" s="54" t="str">
        <f t="shared" si="3"/>
        <v>₹478,662.41</v>
      </c>
      <c r="H4714" s="54" t="str">
        <f t="shared" si="4"/>
        <v>₹39,888.53</v>
      </c>
      <c r="I4714" s="54" t="str">
        <f>112232.67-H4714</f>
        <v>₹72,344.14</v>
      </c>
    </row>
    <row r="4715" ht="15.75" customHeight="1">
      <c r="A4715" s="50" t="s">
        <v>4799</v>
      </c>
      <c r="B4715" s="50" t="s">
        <v>51</v>
      </c>
      <c r="C4715" s="50" t="s">
        <v>37</v>
      </c>
      <c r="D4715" s="51">
        <v>95109.31</v>
      </c>
      <c r="E4715" s="51" t="str">
        <f t="shared" si="1"/>
        <v>₹1,141,311.72</v>
      </c>
      <c r="F4715" s="52" t="str">
        <f t="shared" si="2"/>
        <v>30.0%</v>
      </c>
      <c r="G4715" s="51" t="str">
        <f t="shared" si="3"/>
        <v>₹342,393.52</v>
      </c>
      <c r="H4715" s="51" t="str">
        <f t="shared" si="4"/>
        <v>₹28,532.79</v>
      </c>
      <c r="I4715" s="51" t="str">
        <f>74377.7-H4715</f>
        <v>₹45,844.91</v>
      </c>
    </row>
    <row r="4716" ht="15.75" customHeight="1">
      <c r="A4716" s="53" t="s">
        <v>4800</v>
      </c>
      <c r="B4716" s="53" t="s">
        <v>36</v>
      </c>
      <c r="C4716" s="53" t="s">
        <v>18</v>
      </c>
      <c r="D4716" s="54">
        <v>133005.64</v>
      </c>
      <c r="E4716" s="54" t="str">
        <f t="shared" si="1"/>
        <v>₹1,596,067.68</v>
      </c>
      <c r="F4716" s="55" t="str">
        <f t="shared" si="2"/>
        <v>30.0%</v>
      </c>
      <c r="G4716" s="54" t="str">
        <f t="shared" si="3"/>
        <v>₹478,820.30</v>
      </c>
      <c r="H4716" s="54" t="str">
        <f t="shared" si="4"/>
        <v>₹39,901.69</v>
      </c>
      <c r="I4716" s="54" t="str">
        <f>112271.52-H4716</f>
        <v>₹72,369.83</v>
      </c>
    </row>
    <row r="4717" ht="15.75" customHeight="1">
      <c r="A4717" s="50" t="s">
        <v>4801</v>
      </c>
      <c r="B4717" s="50" t="s">
        <v>53</v>
      </c>
      <c r="C4717" s="50" t="s">
        <v>30</v>
      </c>
      <c r="D4717" s="51">
        <v>133027.57</v>
      </c>
      <c r="E4717" s="51" t="str">
        <f t="shared" si="1"/>
        <v>₹1,596,330.84</v>
      </c>
      <c r="F4717" s="52" t="str">
        <f t="shared" si="2"/>
        <v>30.0%</v>
      </c>
      <c r="G4717" s="51" t="str">
        <f t="shared" si="3"/>
        <v>₹478,899.25</v>
      </c>
      <c r="H4717" s="51" t="str">
        <f t="shared" si="4"/>
        <v>₹39,908.27</v>
      </c>
      <c r="I4717" s="51" t="str">
        <f>112290.95-H4717</f>
        <v>₹72,382.68</v>
      </c>
    </row>
    <row r="4718" ht="15.75" customHeight="1">
      <c r="A4718" s="53" t="s">
        <v>4802</v>
      </c>
      <c r="B4718" s="53" t="s">
        <v>51</v>
      </c>
      <c r="C4718" s="53" t="s">
        <v>37</v>
      </c>
      <c r="D4718" s="54">
        <v>133049.5</v>
      </c>
      <c r="E4718" s="54" t="str">
        <f t="shared" si="1"/>
        <v>₹1,596,594.00</v>
      </c>
      <c r="F4718" s="55" t="str">
        <f t="shared" si="2"/>
        <v>30.0%</v>
      </c>
      <c r="G4718" s="54" t="str">
        <f t="shared" si="3"/>
        <v>₹478,978.20</v>
      </c>
      <c r="H4718" s="54" t="str">
        <f t="shared" si="4"/>
        <v>₹39,914.85</v>
      </c>
      <c r="I4718" s="54" t="str">
        <f>112310.37-H4718</f>
        <v>₹72,395.52</v>
      </c>
    </row>
    <row r="4719" ht="15.75" customHeight="1">
      <c r="A4719" s="50" t="s">
        <v>4803</v>
      </c>
      <c r="B4719" s="50" t="s">
        <v>13</v>
      </c>
      <c r="C4719" s="50" t="s">
        <v>14</v>
      </c>
      <c r="D4719" s="51">
        <v>95166.32</v>
      </c>
      <c r="E4719" s="51" t="str">
        <f t="shared" si="1"/>
        <v>₹1,141,995.84</v>
      </c>
      <c r="F4719" s="52" t="str">
        <f t="shared" si="2"/>
        <v>30.0%</v>
      </c>
      <c r="G4719" s="51" t="str">
        <f t="shared" si="3"/>
        <v>₹342,598.75</v>
      </c>
      <c r="H4719" s="51" t="str">
        <f t="shared" si="4"/>
        <v>₹28,549.90</v>
      </c>
      <c r="I4719" s="51" t="str">
        <f>74424.68-H4719</f>
        <v>₹45,874.78</v>
      </c>
    </row>
    <row r="4720" ht="15.75" customHeight="1">
      <c r="A4720" s="53" t="s">
        <v>4804</v>
      </c>
      <c r="B4720" s="53" t="s">
        <v>29</v>
      </c>
      <c r="C4720" s="53" t="s">
        <v>37</v>
      </c>
      <c r="D4720" s="54">
        <v>133093.36</v>
      </c>
      <c r="E4720" s="54" t="str">
        <f t="shared" si="1"/>
        <v>₹1,597,120.32</v>
      </c>
      <c r="F4720" s="55" t="str">
        <f t="shared" si="2"/>
        <v>30.0%</v>
      </c>
      <c r="G4720" s="54" t="str">
        <f t="shared" si="3"/>
        <v>₹479,136.10</v>
      </c>
      <c r="H4720" s="54" t="str">
        <f t="shared" si="4"/>
        <v>₹39,928.01</v>
      </c>
      <c r="I4720" s="54" t="str">
        <f>112349.22-H4720</f>
        <v>₹72,421.21</v>
      </c>
    </row>
    <row r="4721" ht="15.75" customHeight="1">
      <c r="A4721" s="50" t="s">
        <v>4805</v>
      </c>
      <c r="B4721" s="50" t="s">
        <v>53</v>
      </c>
      <c r="C4721" s="50" t="s">
        <v>37</v>
      </c>
      <c r="D4721" s="51">
        <v>133115.29</v>
      </c>
      <c r="E4721" s="51" t="str">
        <f t="shared" si="1"/>
        <v>₹1,597,383.48</v>
      </c>
      <c r="F4721" s="52" t="str">
        <f t="shared" si="2"/>
        <v>30.0%</v>
      </c>
      <c r="G4721" s="51" t="str">
        <f t="shared" si="3"/>
        <v>₹479,215.04</v>
      </c>
      <c r="H4721" s="51" t="str">
        <f t="shared" si="4"/>
        <v>₹39,934.59</v>
      </c>
      <c r="I4721" s="51" t="str">
        <f>112368.64-H4721</f>
        <v>₹72,434.05</v>
      </c>
    </row>
    <row r="4722" ht="15.75" customHeight="1">
      <c r="A4722" s="53" t="s">
        <v>4806</v>
      </c>
      <c r="B4722" s="53" t="s">
        <v>29</v>
      </c>
      <c r="C4722" s="53" t="s">
        <v>30</v>
      </c>
      <c r="D4722" s="54">
        <v>133159.15</v>
      </c>
      <c r="E4722" s="54" t="str">
        <f t="shared" si="1"/>
        <v>₹1,597,909.80</v>
      </c>
      <c r="F4722" s="55" t="str">
        <f t="shared" si="2"/>
        <v>30.0%</v>
      </c>
      <c r="G4722" s="54" t="str">
        <f t="shared" si="3"/>
        <v>₹479,372.94</v>
      </c>
      <c r="H4722" s="54" t="str">
        <f t="shared" si="4"/>
        <v>₹39,947.75</v>
      </c>
      <c r="I4722" s="54" t="str">
        <f>112407.49-H4722</f>
        <v>₹72,459.75</v>
      </c>
    </row>
    <row r="4723" ht="15.75" customHeight="1">
      <c r="A4723" s="50" t="s">
        <v>4807</v>
      </c>
      <c r="B4723" s="50" t="s">
        <v>13</v>
      </c>
      <c r="C4723" s="50" t="s">
        <v>14</v>
      </c>
      <c r="D4723" s="51">
        <v>133181.08</v>
      </c>
      <c r="E4723" s="51" t="str">
        <f t="shared" si="1"/>
        <v>₹1,598,172.96</v>
      </c>
      <c r="F4723" s="52" t="str">
        <f t="shared" si="2"/>
        <v>30.0%</v>
      </c>
      <c r="G4723" s="51" t="str">
        <f t="shared" si="3"/>
        <v>₹479,451.89</v>
      </c>
      <c r="H4723" s="51" t="str">
        <f t="shared" si="4"/>
        <v>₹39,954.32</v>
      </c>
      <c r="I4723" s="51" t="str">
        <f>112426.91-H4723</f>
        <v>₹72,472.59</v>
      </c>
    </row>
    <row r="4724" ht="15.75" customHeight="1">
      <c r="A4724" s="53" t="s">
        <v>4808</v>
      </c>
      <c r="B4724" s="53" t="s">
        <v>17</v>
      </c>
      <c r="C4724" s="53" t="s">
        <v>54</v>
      </c>
      <c r="D4724" s="54">
        <v>133203.01</v>
      </c>
      <c r="E4724" s="54" t="str">
        <f t="shared" si="1"/>
        <v>₹1,598,436.12</v>
      </c>
      <c r="F4724" s="55" t="str">
        <f t="shared" si="2"/>
        <v>30.0%</v>
      </c>
      <c r="G4724" s="54" t="str">
        <f t="shared" si="3"/>
        <v>₹479,530.84</v>
      </c>
      <c r="H4724" s="54" t="str">
        <f t="shared" si="4"/>
        <v>₹39,960.90</v>
      </c>
      <c r="I4724" s="54" t="str">
        <f>112446.34-H4724</f>
        <v>₹72,485.44</v>
      </c>
    </row>
    <row r="4725" ht="15.75" customHeight="1">
      <c r="A4725" s="50" t="s">
        <v>4809</v>
      </c>
      <c r="B4725" s="50" t="s">
        <v>53</v>
      </c>
      <c r="C4725" s="50" t="s">
        <v>33</v>
      </c>
      <c r="D4725" s="51">
        <v>98718.07</v>
      </c>
      <c r="E4725" s="51" t="str">
        <f t="shared" si="1"/>
        <v>₹1,184,616.84</v>
      </c>
      <c r="F4725" s="52" t="str">
        <f t="shared" si="2"/>
        <v>30.0%</v>
      </c>
      <c r="G4725" s="51" t="str">
        <f t="shared" si="3"/>
        <v>₹355,385.05</v>
      </c>
      <c r="H4725" s="51" t="str">
        <f t="shared" si="4"/>
        <v>₹29,615.42</v>
      </c>
      <c r="I4725" s="51" t="str">
        <f>77958.89-H4725</f>
        <v>₹48,343.47</v>
      </c>
    </row>
    <row r="4726" ht="15.75" customHeight="1">
      <c r="A4726" s="53" t="s">
        <v>4810</v>
      </c>
      <c r="B4726" s="53" t="s">
        <v>51</v>
      </c>
      <c r="C4726" s="53" t="s">
        <v>26</v>
      </c>
      <c r="D4726" s="54">
        <v>133246.87</v>
      </c>
      <c r="E4726" s="54" t="str">
        <f t="shared" si="1"/>
        <v>₹1,598,962.44</v>
      </c>
      <c r="F4726" s="55" t="str">
        <f t="shared" si="2"/>
        <v>30.0%</v>
      </c>
      <c r="G4726" s="54" t="str">
        <f t="shared" si="3"/>
        <v>₹479,688.73</v>
      </c>
      <c r="H4726" s="54" t="str">
        <f t="shared" si="4"/>
        <v>₹39,974.06</v>
      </c>
      <c r="I4726" s="54" t="str">
        <f>112485.18-H4726</f>
        <v>₹72,511.12</v>
      </c>
    </row>
    <row r="4727" ht="15.75" customHeight="1">
      <c r="A4727" s="50" t="s">
        <v>4811</v>
      </c>
      <c r="B4727" s="50" t="s">
        <v>36</v>
      </c>
      <c r="C4727" s="50" t="s">
        <v>30</v>
      </c>
      <c r="D4727" s="51">
        <v>133268.8</v>
      </c>
      <c r="E4727" s="51" t="str">
        <f t="shared" si="1"/>
        <v>₹1,599,225.60</v>
      </c>
      <c r="F4727" s="52" t="str">
        <f t="shared" si="2"/>
        <v>30.0%</v>
      </c>
      <c r="G4727" s="51" t="str">
        <f t="shared" si="3"/>
        <v>₹479,767.68</v>
      </c>
      <c r="H4727" s="51" t="str">
        <f t="shared" si="4"/>
        <v>₹39,980.64</v>
      </c>
      <c r="I4727" s="51" t="str">
        <f>112504.61-H4727</f>
        <v>₹72,523.97</v>
      </c>
    </row>
    <row r="4728" ht="15.75" customHeight="1">
      <c r="A4728" s="53" t="s">
        <v>4812</v>
      </c>
      <c r="B4728" s="53" t="s">
        <v>29</v>
      </c>
      <c r="C4728" s="53" t="s">
        <v>33</v>
      </c>
      <c r="D4728" s="54">
        <v>133290.74</v>
      </c>
      <c r="E4728" s="54" t="str">
        <f t="shared" si="1"/>
        <v>₹1,599,488.88</v>
      </c>
      <c r="F4728" s="55" t="str">
        <f t="shared" si="2"/>
        <v>30.0%</v>
      </c>
      <c r="G4728" s="54" t="str">
        <f t="shared" si="3"/>
        <v>₹479,846.66</v>
      </c>
      <c r="H4728" s="54" t="str">
        <f t="shared" si="4"/>
        <v>₹39,987.22</v>
      </c>
      <c r="I4728" s="54" t="str">
        <f>112524.04-H4728</f>
        <v>₹72,536.82</v>
      </c>
    </row>
    <row r="4729" ht="15.75" customHeight="1">
      <c r="A4729" s="50" t="s">
        <v>4813</v>
      </c>
      <c r="B4729" s="50" t="s">
        <v>29</v>
      </c>
      <c r="C4729" s="50" t="s">
        <v>26</v>
      </c>
      <c r="D4729" s="51">
        <v>133312.67</v>
      </c>
      <c r="E4729" s="51" t="str">
        <f t="shared" si="1"/>
        <v>₹1,599,752.04</v>
      </c>
      <c r="F4729" s="52" t="str">
        <f t="shared" si="2"/>
        <v>30.0%</v>
      </c>
      <c r="G4729" s="51" t="str">
        <f t="shared" si="3"/>
        <v>₹479,925.61</v>
      </c>
      <c r="H4729" s="51" t="str">
        <f t="shared" si="4"/>
        <v>₹39,993.80</v>
      </c>
      <c r="I4729" s="51" t="str">
        <f>112543.47-H4729</f>
        <v>₹72,549.67</v>
      </c>
    </row>
    <row r="4730" ht="15.75" customHeight="1">
      <c r="A4730" s="53" t="s">
        <v>4814</v>
      </c>
      <c r="B4730" s="53" t="s">
        <v>17</v>
      </c>
      <c r="C4730" s="53" t="s">
        <v>14</v>
      </c>
      <c r="D4730" s="54">
        <v>133334.6</v>
      </c>
      <c r="E4730" s="54" t="str">
        <f t="shared" si="1"/>
        <v>₹1,600,015.20</v>
      </c>
      <c r="F4730" s="55" t="str">
        <f t="shared" si="2"/>
        <v>30.0%</v>
      </c>
      <c r="G4730" s="54" t="str">
        <f t="shared" si="3"/>
        <v>₹480,004.56</v>
      </c>
      <c r="H4730" s="54" t="str">
        <f t="shared" si="4"/>
        <v>₹40,000.38</v>
      </c>
      <c r="I4730" s="54" t="str">
        <f>112562.89-H4730</f>
        <v>₹72,562.51</v>
      </c>
    </row>
    <row r="4731" ht="15.75" customHeight="1">
      <c r="A4731" s="50" t="s">
        <v>4815</v>
      </c>
      <c r="B4731" s="50" t="s">
        <v>53</v>
      </c>
      <c r="C4731" s="50" t="s">
        <v>54</v>
      </c>
      <c r="D4731" s="51">
        <v>133356.53</v>
      </c>
      <c r="E4731" s="51" t="str">
        <f t="shared" si="1"/>
        <v>₹1,600,278.36</v>
      </c>
      <c r="F4731" s="52" t="str">
        <f t="shared" si="2"/>
        <v>30.0%</v>
      </c>
      <c r="G4731" s="51" t="str">
        <f t="shared" si="3"/>
        <v>₹480,083.51</v>
      </c>
      <c r="H4731" s="51" t="str">
        <f t="shared" si="4"/>
        <v>₹40,006.96</v>
      </c>
      <c r="I4731" s="51" t="str">
        <f>112582.31-H4731</f>
        <v>₹72,575.35</v>
      </c>
    </row>
    <row r="4732" ht="15.75" customHeight="1">
      <c r="A4732" s="53" t="s">
        <v>4816</v>
      </c>
      <c r="B4732" s="53" t="s">
        <v>53</v>
      </c>
      <c r="C4732" s="53" t="s">
        <v>26</v>
      </c>
      <c r="D4732" s="54">
        <v>133378.46</v>
      </c>
      <c r="E4732" s="54" t="str">
        <f t="shared" si="1"/>
        <v>₹1,600,541.52</v>
      </c>
      <c r="F4732" s="55" t="str">
        <f t="shared" si="2"/>
        <v>30.0%</v>
      </c>
      <c r="G4732" s="54" t="str">
        <f t="shared" si="3"/>
        <v>₹480,162.46</v>
      </c>
      <c r="H4732" s="54" t="str">
        <f t="shared" si="4"/>
        <v>₹40,013.54</v>
      </c>
      <c r="I4732" s="54" t="str">
        <f>112601.74-H4732</f>
        <v>₹72,588.20</v>
      </c>
    </row>
    <row r="4733" ht="15.75" customHeight="1">
      <c r="A4733" s="50" t="s">
        <v>4817</v>
      </c>
      <c r="B4733" s="50" t="s">
        <v>17</v>
      </c>
      <c r="C4733" s="50" t="s">
        <v>33</v>
      </c>
      <c r="D4733" s="51">
        <v>133400.39</v>
      </c>
      <c r="E4733" s="51" t="str">
        <f t="shared" si="1"/>
        <v>₹1,600,804.68</v>
      </c>
      <c r="F4733" s="52" t="str">
        <f t="shared" si="2"/>
        <v>30.0%</v>
      </c>
      <c r="G4733" s="51" t="str">
        <f t="shared" si="3"/>
        <v>₹480,241.40</v>
      </c>
      <c r="H4733" s="51" t="str">
        <f t="shared" si="4"/>
        <v>₹40,020.12</v>
      </c>
      <c r="I4733" s="51" t="str">
        <f>112621.16-H4733</f>
        <v>₹72,601.04</v>
      </c>
    </row>
    <row r="4734" ht="15.75" customHeight="1">
      <c r="A4734" s="53" t="s">
        <v>4818</v>
      </c>
      <c r="B4734" s="53" t="s">
        <v>13</v>
      </c>
      <c r="C4734" s="53" t="s">
        <v>54</v>
      </c>
      <c r="D4734" s="54">
        <v>133422.32</v>
      </c>
      <c r="E4734" s="54" t="str">
        <f t="shared" si="1"/>
        <v>₹1,601,067.84</v>
      </c>
      <c r="F4734" s="55" t="str">
        <f t="shared" si="2"/>
        <v>30.0%</v>
      </c>
      <c r="G4734" s="54" t="str">
        <f t="shared" si="3"/>
        <v>₹480,320.35</v>
      </c>
      <c r="H4734" s="54" t="str">
        <f t="shared" si="4"/>
        <v>₹40,026.70</v>
      </c>
      <c r="I4734" s="54" t="str">
        <f>112640.58-H4734</f>
        <v>₹72,613.88</v>
      </c>
    </row>
    <row r="4735" ht="15.75" customHeight="1">
      <c r="A4735" s="50" t="s">
        <v>4819</v>
      </c>
      <c r="B4735" s="50" t="s">
        <v>29</v>
      </c>
      <c r="C4735" s="50" t="s">
        <v>37</v>
      </c>
      <c r="D4735" s="51">
        <v>133444.25</v>
      </c>
      <c r="E4735" s="51" t="str">
        <f t="shared" si="1"/>
        <v>₹1,601,331.00</v>
      </c>
      <c r="F4735" s="52" t="str">
        <f t="shared" si="2"/>
        <v>30.0%</v>
      </c>
      <c r="G4735" s="51" t="str">
        <f t="shared" si="3"/>
        <v>₹480,399.30</v>
      </c>
      <c r="H4735" s="51" t="str">
        <f t="shared" si="4"/>
        <v>₹40,033.28</v>
      </c>
      <c r="I4735" s="51" t="str">
        <f>112660.01-H4735</f>
        <v>₹72,626.74</v>
      </c>
    </row>
    <row r="4736" ht="15.75" customHeight="1">
      <c r="A4736" s="53" t="s">
        <v>4820</v>
      </c>
      <c r="B4736" s="53" t="s">
        <v>51</v>
      </c>
      <c r="C4736" s="53" t="s">
        <v>26</v>
      </c>
      <c r="D4736" s="54">
        <v>133466.18</v>
      </c>
      <c r="E4736" s="54" t="str">
        <f t="shared" si="1"/>
        <v>₹1,601,594.16</v>
      </c>
      <c r="F4736" s="55" t="str">
        <f t="shared" si="2"/>
        <v>30.0%</v>
      </c>
      <c r="G4736" s="54" t="str">
        <f t="shared" si="3"/>
        <v>₹480,478.25</v>
      </c>
      <c r="H4736" s="54" t="str">
        <f t="shared" si="4"/>
        <v>₹40,039.85</v>
      </c>
      <c r="I4736" s="54" t="str">
        <f>112679.43-H4736</f>
        <v>₹72,639.58</v>
      </c>
    </row>
    <row r="4737" ht="15.75" customHeight="1">
      <c r="A4737" s="50" t="s">
        <v>4821</v>
      </c>
      <c r="B4737" s="50" t="s">
        <v>13</v>
      </c>
      <c r="C4737" s="50" t="s">
        <v>37</v>
      </c>
      <c r="D4737" s="51">
        <v>133488.11</v>
      </c>
      <c r="E4737" s="51" t="str">
        <f t="shared" si="1"/>
        <v>₹1,601,857.32</v>
      </c>
      <c r="F4737" s="52" t="str">
        <f t="shared" si="2"/>
        <v>30.0%</v>
      </c>
      <c r="G4737" s="51" t="str">
        <f t="shared" si="3"/>
        <v>₹480,557.20</v>
      </c>
      <c r="H4737" s="51" t="str">
        <f t="shared" si="4"/>
        <v>₹40,046.43</v>
      </c>
      <c r="I4737" s="51" t="str">
        <f>112698.86-H4737</f>
        <v>₹72,652.43</v>
      </c>
    </row>
    <row r="4738" ht="15.75" customHeight="1">
      <c r="A4738" s="53" t="s">
        <v>4822</v>
      </c>
      <c r="B4738" s="53" t="s">
        <v>17</v>
      </c>
      <c r="C4738" s="53" t="s">
        <v>26</v>
      </c>
      <c r="D4738" s="54">
        <v>133510.04</v>
      </c>
      <c r="E4738" s="54" t="str">
        <f t="shared" si="1"/>
        <v>₹1,602,120.48</v>
      </c>
      <c r="F4738" s="55" t="str">
        <f t="shared" si="2"/>
        <v>30.0%</v>
      </c>
      <c r="G4738" s="54" t="str">
        <f t="shared" si="3"/>
        <v>₹480,636.14</v>
      </c>
      <c r="H4738" s="54" t="str">
        <f t="shared" si="4"/>
        <v>₹40,053.01</v>
      </c>
      <c r="I4738" s="54" t="str">
        <f>112718.28-H4738</f>
        <v>₹72,665.27</v>
      </c>
    </row>
    <row r="4739" ht="15.75" customHeight="1">
      <c r="A4739" s="50" t="s">
        <v>4823</v>
      </c>
      <c r="B4739" s="50" t="s">
        <v>29</v>
      </c>
      <c r="C4739" s="50" t="s">
        <v>26</v>
      </c>
      <c r="D4739" s="51">
        <v>133531.97</v>
      </c>
      <c r="E4739" s="51" t="str">
        <f t="shared" si="1"/>
        <v>₹1,602,383.64</v>
      </c>
      <c r="F4739" s="52" t="str">
        <f t="shared" si="2"/>
        <v>30.0%</v>
      </c>
      <c r="G4739" s="51" t="str">
        <f t="shared" si="3"/>
        <v>₹480,715.09</v>
      </c>
      <c r="H4739" s="51" t="str">
        <f t="shared" si="4"/>
        <v>₹40,059.59</v>
      </c>
      <c r="I4739" s="51" t="str">
        <f>112737.7-H4739</f>
        <v>₹72,678.11</v>
      </c>
    </row>
    <row r="4740" ht="15.75" customHeight="1">
      <c r="A4740" s="53" t="s">
        <v>4824</v>
      </c>
      <c r="B4740" s="53" t="s">
        <v>36</v>
      </c>
      <c r="C4740" s="53" t="s">
        <v>30</v>
      </c>
      <c r="D4740" s="54">
        <v>133553.9</v>
      </c>
      <c r="E4740" s="54" t="str">
        <f t="shared" si="1"/>
        <v>₹1,602,646.80</v>
      </c>
      <c r="F4740" s="55" t="str">
        <f t="shared" si="2"/>
        <v>30.0%</v>
      </c>
      <c r="G4740" s="54" t="str">
        <f t="shared" si="3"/>
        <v>₹480,794.04</v>
      </c>
      <c r="H4740" s="54" t="str">
        <f t="shared" si="4"/>
        <v>₹40,066.17</v>
      </c>
      <c r="I4740" s="54" t="str">
        <f>112757.13-H4740</f>
        <v>₹72,690.96</v>
      </c>
    </row>
    <row r="4741" ht="15.75" customHeight="1">
      <c r="A4741" s="50" t="s">
        <v>4825</v>
      </c>
      <c r="B4741" s="50" t="s">
        <v>36</v>
      </c>
      <c r="C4741" s="50" t="s">
        <v>26</v>
      </c>
      <c r="D4741" s="51">
        <v>133575.83</v>
      </c>
      <c r="E4741" s="51" t="str">
        <f t="shared" si="1"/>
        <v>₹1,602,909.96</v>
      </c>
      <c r="F4741" s="52" t="str">
        <f t="shared" si="2"/>
        <v>30.0%</v>
      </c>
      <c r="G4741" s="51" t="str">
        <f t="shared" si="3"/>
        <v>₹480,872.99</v>
      </c>
      <c r="H4741" s="51" t="str">
        <f t="shared" si="4"/>
        <v>₹40,072.75</v>
      </c>
      <c r="I4741" s="51" t="str">
        <f>112776.55-H4741</f>
        <v>₹72,703.80</v>
      </c>
    </row>
    <row r="4742" ht="15.75" customHeight="1">
      <c r="A4742" s="53" t="s">
        <v>4826</v>
      </c>
      <c r="B4742" s="53" t="s">
        <v>29</v>
      </c>
      <c r="C4742" s="53" t="s">
        <v>37</v>
      </c>
      <c r="D4742" s="54">
        <v>133597.76</v>
      </c>
      <c r="E4742" s="54" t="str">
        <f t="shared" si="1"/>
        <v>₹1,603,173.12</v>
      </c>
      <c r="F4742" s="55" t="str">
        <f t="shared" si="2"/>
        <v>30.0%</v>
      </c>
      <c r="G4742" s="54" t="str">
        <f t="shared" si="3"/>
        <v>₹480,951.94</v>
      </c>
      <c r="H4742" s="54" t="str">
        <f t="shared" si="4"/>
        <v>₹40,079.33</v>
      </c>
      <c r="I4742" s="54" t="str">
        <f>112795.98-H4742</f>
        <v>₹72,716.65</v>
      </c>
    </row>
    <row r="4743" ht="15.75" customHeight="1">
      <c r="A4743" s="50" t="s">
        <v>4827</v>
      </c>
      <c r="B4743" s="50" t="s">
        <v>51</v>
      </c>
      <c r="C4743" s="50" t="s">
        <v>37</v>
      </c>
      <c r="D4743" s="51">
        <v>133619.69</v>
      </c>
      <c r="E4743" s="51" t="str">
        <f t="shared" si="1"/>
        <v>₹1,603,436.28</v>
      </c>
      <c r="F4743" s="52" t="str">
        <f t="shared" si="2"/>
        <v>30.0%</v>
      </c>
      <c r="G4743" s="51" t="str">
        <f t="shared" si="3"/>
        <v>₹481,030.88</v>
      </c>
      <c r="H4743" s="51" t="str">
        <f t="shared" si="4"/>
        <v>₹40,085.91</v>
      </c>
      <c r="I4743" s="51" t="str">
        <f>112815.4-H4743</f>
        <v>₹72,729.49</v>
      </c>
    </row>
    <row r="4744" ht="15.75" customHeight="1">
      <c r="A4744" s="53" t="s">
        <v>4828</v>
      </c>
      <c r="B4744" s="53" t="s">
        <v>53</v>
      </c>
      <c r="C4744" s="53" t="s">
        <v>30</v>
      </c>
      <c r="D4744" s="54">
        <v>133641.62</v>
      </c>
      <c r="E4744" s="54" t="str">
        <f t="shared" si="1"/>
        <v>₹1,603,699.44</v>
      </c>
      <c r="F4744" s="55" t="str">
        <f t="shared" si="2"/>
        <v>30.0%</v>
      </c>
      <c r="G4744" s="54" t="str">
        <f t="shared" si="3"/>
        <v>₹481,109.83</v>
      </c>
      <c r="H4744" s="54" t="str">
        <f t="shared" si="4"/>
        <v>₹40,092.49</v>
      </c>
      <c r="I4744" s="54" t="str">
        <f>112834.82-H4744</f>
        <v>₹72,742.33</v>
      </c>
    </row>
    <row r="4745" ht="15.75" customHeight="1">
      <c r="A4745" s="50" t="s">
        <v>4829</v>
      </c>
      <c r="B4745" s="50" t="s">
        <v>29</v>
      </c>
      <c r="C4745" s="50" t="s">
        <v>30</v>
      </c>
      <c r="D4745" s="51">
        <v>95553.08</v>
      </c>
      <c r="E4745" s="51" t="str">
        <f t="shared" si="1"/>
        <v>₹1,146,636.96</v>
      </c>
      <c r="F4745" s="52" t="str">
        <f t="shared" si="2"/>
        <v>30.0%</v>
      </c>
      <c r="G4745" s="51" t="str">
        <f t="shared" si="3"/>
        <v>₹343,991.09</v>
      </c>
      <c r="H4745" s="51" t="str">
        <f t="shared" si="4"/>
        <v>₹28,665.92</v>
      </c>
      <c r="I4745" s="51" t="str">
        <f>74743.78-H4745</f>
        <v>₹46,077.86</v>
      </c>
    </row>
    <row r="4746" ht="15.75" customHeight="1">
      <c r="A4746" s="53" t="s">
        <v>4830</v>
      </c>
      <c r="B4746" s="53" t="s">
        <v>53</v>
      </c>
      <c r="C4746" s="53" t="s">
        <v>30</v>
      </c>
      <c r="D4746" s="54">
        <v>133685.49</v>
      </c>
      <c r="E4746" s="54" t="str">
        <f t="shared" si="1"/>
        <v>₹1,604,225.88</v>
      </c>
      <c r="F4746" s="55" t="str">
        <f t="shared" si="2"/>
        <v>30.0%</v>
      </c>
      <c r="G4746" s="54" t="str">
        <f t="shared" si="3"/>
        <v>₹481,267.76</v>
      </c>
      <c r="H4746" s="54" t="str">
        <f t="shared" si="4"/>
        <v>₹40,105.65</v>
      </c>
      <c r="I4746" s="54" t="str">
        <f>118920.18-H4746</f>
        <v>₹78,814.53</v>
      </c>
    </row>
    <row r="4747" ht="15.75" customHeight="1">
      <c r="A4747" s="50" t="s">
        <v>4831</v>
      </c>
      <c r="B4747" s="50" t="s">
        <v>51</v>
      </c>
      <c r="C4747" s="50" t="s">
        <v>37</v>
      </c>
      <c r="D4747" s="51">
        <v>143163.75</v>
      </c>
      <c r="E4747" s="51" t="str">
        <f t="shared" si="1"/>
        <v>₹1,717,965.00</v>
      </c>
      <c r="F4747" s="52" t="str">
        <f t="shared" si="2"/>
        <v>30.0%</v>
      </c>
      <c r="G4747" s="51" t="str">
        <f t="shared" si="3"/>
        <v>₹515,389.50</v>
      </c>
      <c r="H4747" s="51" t="str">
        <f t="shared" si="4"/>
        <v>₹42,949.13</v>
      </c>
      <c r="I4747" s="51" t="str">
        <f>122349.44-H4747</f>
        <v>₹79,400.32</v>
      </c>
    </row>
    <row r="4748" ht="15.75" customHeight="1">
      <c r="A4748" s="53" t="s">
        <v>4832</v>
      </c>
      <c r="B4748" s="53" t="s">
        <v>17</v>
      </c>
      <c r="C4748" s="53" t="s">
        <v>14</v>
      </c>
      <c r="D4748" s="54">
        <v>133729.35</v>
      </c>
      <c r="E4748" s="54" t="str">
        <f t="shared" si="1"/>
        <v>₹1,604,752.20</v>
      </c>
      <c r="F4748" s="55" t="str">
        <f t="shared" si="2"/>
        <v>30.0%</v>
      </c>
      <c r="G4748" s="54" t="str">
        <f t="shared" si="3"/>
        <v>₹481,425.66</v>
      </c>
      <c r="H4748" s="54" t="str">
        <f t="shared" si="4"/>
        <v>₹40,118.81</v>
      </c>
      <c r="I4748" s="54" t="str">
        <f>112912.53-H4748</f>
        <v>₹72,793.73</v>
      </c>
    </row>
    <row r="4749" ht="15.75" customHeight="1">
      <c r="A4749" s="50" t="s">
        <v>4833</v>
      </c>
      <c r="B4749" s="50" t="s">
        <v>51</v>
      </c>
      <c r="C4749" s="50" t="s">
        <v>54</v>
      </c>
      <c r="D4749" s="51">
        <v>133751.28</v>
      </c>
      <c r="E4749" s="51" t="str">
        <f t="shared" si="1"/>
        <v>₹1,605,015.36</v>
      </c>
      <c r="F4749" s="52" t="str">
        <f t="shared" si="2"/>
        <v>30.0%</v>
      </c>
      <c r="G4749" s="51" t="str">
        <f t="shared" si="3"/>
        <v>₹481,504.61</v>
      </c>
      <c r="H4749" s="51" t="str">
        <f t="shared" si="4"/>
        <v>₹40,125.38</v>
      </c>
      <c r="I4749" s="51" t="str">
        <f>112931.95-H4749</f>
        <v>₹72,806.57</v>
      </c>
    </row>
    <row r="4750" ht="15.75" customHeight="1">
      <c r="A4750" s="53" t="s">
        <v>4834</v>
      </c>
      <c r="B4750" s="53" t="s">
        <v>51</v>
      </c>
      <c r="C4750" s="53" t="s">
        <v>54</v>
      </c>
      <c r="D4750" s="54">
        <v>133773.21</v>
      </c>
      <c r="E4750" s="54" t="str">
        <f t="shared" si="1"/>
        <v>₹1,605,278.52</v>
      </c>
      <c r="F4750" s="55" t="str">
        <f t="shared" si="2"/>
        <v>30.0%</v>
      </c>
      <c r="G4750" s="54" t="str">
        <f t="shared" si="3"/>
        <v>₹481,583.56</v>
      </c>
      <c r="H4750" s="54" t="str">
        <f t="shared" si="4"/>
        <v>₹40,131.96</v>
      </c>
      <c r="I4750" s="54" t="str">
        <f>112951.38-H4750</f>
        <v>₹72,819.42</v>
      </c>
    </row>
    <row r="4751" ht="15.75" customHeight="1">
      <c r="A4751" s="50" t="s">
        <v>4835</v>
      </c>
      <c r="B4751" s="50" t="s">
        <v>25</v>
      </c>
      <c r="C4751" s="50" t="s">
        <v>26</v>
      </c>
      <c r="D4751" s="51">
        <v>133817.07</v>
      </c>
      <c r="E4751" s="51" t="str">
        <f t="shared" si="1"/>
        <v>₹1,605,804.84</v>
      </c>
      <c r="F4751" s="52" t="str">
        <f t="shared" si="2"/>
        <v>30.0%</v>
      </c>
      <c r="G4751" s="51" t="str">
        <f t="shared" si="3"/>
        <v>₹481,741.45</v>
      </c>
      <c r="H4751" s="51" t="str">
        <f t="shared" si="4"/>
        <v>₹40,145.12</v>
      </c>
      <c r="I4751" s="51" t="str">
        <f>119182.63-H4751</f>
        <v>₹79,037.51</v>
      </c>
    </row>
    <row r="4752" ht="15.75" customHeight="1">
      <c r="A4752" s="53" t="s">
        <v>4836</v>
      </c>
      <c r="B4752" s="53" t="s">
        <v>29</v>
      </c>
      <c r="C4752" s="53" t="s">
        <v>33</v>
      </c>
      <c r="D4752" s="54">
        <v>133839.0</v>
      </c>
      <c r="E4752" s="54" t="str">
        <f t="shared" si="1"/>
        <v>₹1,606,068.00</v>
      </c>
      <c r="F4752" s="55" t="str">
        <f t="shared" si="2"/>
        <v>30.0%</v>
      </c>
      <c r="G4752" s="54" t="str">
        <f t="shared" si="3"/>
        <v>₹481,820.40</v>
      </c>
      <c r="H4752" s="54" t="str">
        <f t="shared" si="4"/>
        <v>₹40,151.70</v>
      </c>
      <c r="I4752" s="54" t="str">
        <f>113009.65-H4752</f>
        <v>₹72,857.95</v>
      </c>
    </row>
    <row r="4753" ht="15.75" customHeight="1">
      <c r="A4753" s="50" t="s">
        <v>4837</v>
      </c>
      <c r="B4753" s="50" t="s">
        <v>36</v>
      </c>
      <c r="C4753" s="50" t="s">
        <v>14</v>
      </c>
      <c r="D4753" s="51">
        <v>133860.93</v>
      </c>
      <c r="E4753" s="51" t="str">
        <f t="shared" si="1"/>
        <v>₹1,606,331.16</v>
      </c>
      <c r="F4753" s="52" t="str">
        <f t="shared" si="2"/>
        <v>30.0%</v>
      </c>
      <c r="G4753" s="51" t="str">
        <f t="shared" si="3"/>
        <v>₹481,899.35</v>
      </c>
      <c r="H4753" s="51" t="str">
        <f t="shared" si="4"/>
        <v>₹40,158.28</v>
      </c>
      <c r="I4753" s="51" t="str">
        <f>113029.07-H4753</f>
        <v>₹72,870.79</v>
      </c>
    </row>
    <row r="4754" ht="15.75" customHeight="1">
      <c r="A4754" s="53" t="s">
        <v>4838</v>
      </c>
      <c r="B4754" s="53" t="s">
        <v>17</v>
      </c>
      <c r="C4754" s="53" t="s">
        <v>33</v>
      </c>
      <c r="D4754" s="54">
        <v>133882.86</v>
      </c>
      <c r="E4754" s="54" t="str">
        <f t="shared" si="1"/>
        <v>₹1,606,594.32</v>
      </c>
      <c r="F4754" s="55" t="str">
        <f t="shared" si="2"/>
        <v>30.0%</v>
      </c>
      <c r="G4754" s="54" t="str">
        <f t="shared" si="3"/>
        <v>₹481,978.30</v>
      </c>
      <c r="H4754" s="54" t="str">
        <f t="shared" si="4"/>
        <v>₹40,164.86</v>
      </c>
      <c r="I4754" s="54" t="str">
        <f>113048.5-H4754</f>
        <v>₹72,883.64</v>
      </c>
    </row>
  </sheetData>
  <autoFilter ref="$A$10:$I$4754"/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3" width="13.0"/>
    <col customWidth="1" min="4" max="5" width="14.0"/>
    <col customWidth="1" min="6" max="7" width="13.0"/>
    <col customWidth="1" min="8" max="8" width="22.43"/>
  </cols>
  <sheetData>
    <row r="1">
      <c r="A1" s="25" t="s">
        <v>4888</v>
      </c>
      <c r="B1" s="26"/>
      <c r="C1" s="26"/>
      <c r="D1" s="26"/>
      <c r="E1" s="26"/>
      <c r="F1" s="26"/>
      <c r="G1" s="26"/>
      <c r="H1" s="27"/>
    </row>
    <row r="2">
      <c r="A2" s="28" t="s">
        <v>4889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49" t="s">
        <v>1</v>
      </c>
      <c r="B4" s="49" t="s">
        <v>4890</v>
      </c>
      <c r="C4" s="49" t="s">
        <v>4891</v>
      </c>
      <c r="D4" s="49" t="s">
        <v>4892</v>
      </c>
      <c r="E4" s="49" t="s">
        <v>4893</v>
      </c>
      <c r="F4" s="49" t="s">
        <v>4894</v>
      </c>
      <c r="G4" s="49" t="s">
        <v>4895</v>
      </c>
      <c r="H4" s="49" t="s">
        <v>4896</v>
      </c>
    </row>
    <row r="5">
      <c r="A5" s="56" t="s">
        <v>17</v>
      </c>
      <c r="B5" s="56">
        <v>653.0</v>
      </c>
      <c r="C5" s="57">
        <v>72382.02857509025</v>
      </c>
      <c r="D5" s="57">
        <v>24448.51677875681</v>
      </c>
      <c r="E5" s="57">
        <v>14750.19433030698</v>
      </c>
      <c r="F5" s="57">
        <v>116727.8138437978</v>
      </c>
      <c r="G5" s="57">
        <v>101977.6196018377</v>
      </c>
      <c r="H5" s="57">
        <v>6.65913856E7</v>
      </c>
    </row>
    <row r="6">
      <c r="A6" s="50" t="s">
        <v>51</v>
      </c>
      <c r="B6" s="50">
        <v>697.0</v>
      </c>
      <c r="C6" s="51">
        <v>71687.87869895775</v>
      </c>
      <c r="D6" s="51">
        <v>24794.30971465461</v>
      </c>
      <c r="E6" s="51">
        <v>14499.96988205059</v>
      </c>
      <c r="F6" s="51">
        <v>116334.5403156384</v>
      </c>
      <c r="G6" s="51">
        <v>101834.5705164993</v>
      </c>
      <c r="H6" s="51">
        <v>7.097869565E7</v>
      </c>
    </row>
    <row r="7">
      <c r="A7" s="56" t="s">
        <v>29</v>
      </c>
      <c r="B7" s="56">
        <v>641.0</v>
      </c>
      <c r="C7" s="57">
        <v>72235.39641321592</v>
      </c>
      <c r="D7" s="57">
        <v>24622.53598709164</v>
      </c>
      <c r="E7" s="57">
        <v>14813.5254141396</v>
      </c>
      <c r="F7" s="57">
        <v>116590.5953354134</v>
      </c>
      <c r="G7" s="57">
        <v>101777.06975039</v>
      </c>
      <c r="H7" s="57">
        <v>6.523910171E7</v>
      </c>
    </row>
    <row r="8">
      <c r="A8" s="50" t="s">
        <v>53</v>
      </c>
      <c r="B8" s="50">
        <v>694.0</v>
      </c>
      <c r="C8" s="51">
        <v>72064.62799460572</v>
      </c>
      <c r="D8" s="51">
        <v>24186.99195048305</v>
      </c>
      <c r="E8" s="51">
        <v>14727.32742236919</v>
      </c>
      <c r="F8" s="51">
        <v>116289.9370172911</v>
      </c>
      <c r="G8" s="51">
        <v>101562.6094524496</v>
      </c>
      <c r="H8" s="51">
        <v>7.048445096E7</v>
      </c>
    </row>
    <row r="9">
      <c r="A9" s="56" t="s">
        <v>25</v>
      </c>
      <c r="B9" s="56">
        <v>619.0</v>
      </c>
      <c r="C9" s="57">
        <v>71905.38087430222</v>
      </c>
      <c r="D9" s="57">
        <v>24401.45034719025</v>
      </c>
      <c r="E9" s="57">
        <v>14590.70497759196</v>
      </c>
      <c r="F9" s="57">
        <v>116097.886720517</v>
      </c>
      <c r="G9" s="57">
        <v>101507.181825525</v>
      </c>
      <c r="H9" s="57">
        <v>6.283294555E7</v>
      </c>
    </row>
    <row r="10">
      <c r="A10" s="50" t="s">
        <v>13</v>
      </c>
      <c r="B10" s="50">
        <v>695.0</v>
      </c>
      <c r="C10" s="51">
        <v>71815.97574141584</v>
      </c>
      <c r="D10" s="51">
        <v>24274.6731099175</v>
      </c>
      <c r="E10" s="51">
        <v>14369.83832229489</v>
      </c>
      <c r="F10" s="51">
        <v>115486.3967194245</v>
      </c>
      <c r="G10" s="51">
        <v>101116.5583021583</v>
      </c>
      <c r="H10" s="51">
        <v>7.027600802E7</v>
      </c>
    </row>
    <row r="11">
      <c r="A11" s="56" t="s">
        <v>36</v>
      </c>
      <c r="B11" s="56">
        <v>745.0</v>
      </c>
      <c r="C11" s="57">
        <v>71053.54823326919</v>
      </c>
      <c r="D11" s="57">
        <v>23736.28528932795</v>
      </c>
      <c r="E11" s="57">
        <v>14274.2611210326</v>
      </c>
      <c r="F11" s="57">
        <v>113708.1195436242</v>
      </c>
      <c r="G11" s="57">
        <v>99433.85836241611</v>
      </c>
      <c r="H11" s="57">
        <v>7.407822448E7</v>
      </c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</sheetData>
  <autoFilter ref="$A$4:$H$11"/>
  <mergeCells count="2">
    <mergeCell ref="A2:H2"/>
    <mergeCell ref="A1:H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3" width="13.0"/>
    <col customWidth="1" min="4" max="5" width="14.0"/>
    <col customWidth="1" min="6" max="6" width="13.0"/>
    <col customWidth="1" min="7" max="7" width="17.14"/>
    <col customWidth="1" min="8" max="8" width="16.0"/>
  </cols>
  <sheetData>
    <row r="1">
      <c r="A1" s="25" t="s">
        <v>4897</v>
      </c>
      <c r="B1" s="26"/>
      <c r="C1" s="26"/>
      <c r="D1" s="26"/>
      <c r="E1" s="26"/>
      <c r="F1" s="26"/>
      <c r="G1" s="26"/>
      <c r="H1" s="27"/>
    </row>
    <row r="2">
      <c r="A2" s="28" t="s">
        <v>4889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49" t="s">
        <v>2</v>
      </c>
      <c r="B4" s="49" t="s">
        <v>4890</v>
      </c>
      <c r="C4" s="49" t="s">
        <v>4891</v>
      </c>
      <c r="D4" s="49" t="s">
        <v>4892</v>
      </c>
      <c r="E4" s="49" t="s">
        <v>4893</v>
      </c>
      <c r="F4" s="49" t="s">
        <v>4894</v>
      </c>
      <c r="G4" s="49" t="s">
        <v>4895</v>
      </c>
      <c r="H4" s="49" t="s">
        <v>4896</v>
      </c>
    </row>
    <row r="5">
      <c r="A5" s="58" t="s">
        <v>26</v>
      </c>
      <c r="B5" s="58">
        <v>755.0</v>
      </c>
      <c r="C5" s="59">
        <v>83908.05002191644</v>
      </c>
      <c r="D5" s="59">
        <v>27876.65169988148</v>
      </c>
      <c r="E5" s="59">
        <v>16225.97873347424</v>
      </c>
      <c r="F5" s="59">
        <v>132381.3963708609</v>
      </c>
      <c r="G5" s="59">
        <v>116155.4176423841</v>
      </c>
      <c r="H5" s="59">
        <v>8.769734032E7</v>
      </c>
    </row>
    <row r="6">
      <c r="A6" s="53" t="s">
        <v>18</v>
      </c>
      <c r="B6" s="53">
        <v>656.0</v>
      </c>
      <c r="C6" s="54">
        <v>76150.56509309565</v>
      </c>
      <c r="D6" s="54">
        <v>25753.00553588652</v>
      </c>
      <c r="E6" s="54">
        <v>15411.18887695605</v>
      </c>
      <c r="F6" s="54">
        <v>121892.466402439</v>
      </c>
      <c r="G6" s="54">
        <v>106481.2774542683</v>
      </c>
      <c r="H6" s="54">
        <v>6.985171801E7</v>
      </c>
    </row>
    <row r="7">
      <c r="A7" s="58" t="s">
        <v>37</v>
      </c>
      <c r="B7" s="58">
        <v>672.0</v>
      </c>
      <c r="C7" s="59">
        <v>72677.06070126967</v>
      </c>
      <c r="D7" s="59">
        <v>24352.1251303093</v>
      </c>
      <c r="E7" s="59">
        <v>14539.65829171755</v>
      </c>
      <c r="F7" s="59">
        <v>116775.2612202381</v>
      </c>
      <c r="G7" s="59">
        <v>102235.6029613095</v>
      </c>
      <c r="H7" s="59">
        <v>6.870232519E7</v>
      </c>
    </row>
    <row r="8">
      <c r="A8" s="53" t="s">
        <v>54</v>
      </c>
      <c r="B8" s="53">
        <v>645.0</v>
      </c>
      <c r="C8" s="54">
        <v>69564.47410884209</v>
      </c>
      <c r="D8" s="54">
        <v>23805.34015116908</v>
      </c>
      <c r="E8" s="54">
        <v>14344.02500553361</v>
      </c>
      <c r="F8" s="54">
        <v>112862.7160620155</v>
      </c>
      <c r="G8" s="54">
        <v>98518.69097674418</v>
      </c>
      <c r="H8" s="54">
        <v>6.354455568E7</v>
      </c>
    </row>
    <row r="9">
      <c r="A9" s="58" t="s">
        <v>33</v>
      </c>
      <c r="B9" s="58">
        <v>675.0</v>
      </c>
      <c r="C9" s="59">
        <v>66947.2473059921</v>
      </c>
      <c r="D9" s="59">
        <v>22978.31270075113</v>
      </c>
      <c r="E9" s="59">
        <v>13916.52652142774</v>
      </c>
      <c r="F9" s="59">
        <v>108910.7368592593</v>
      </c>
      <c r="G9" s="59">
        <v>94994.21028148147</v>
      </c>
      <c r="H9" s="59">
        <v>6.412109194E7</v>
      </c>
    </row>
    <row r="10">
      <c r="A10" s="53" t="s">
        <v>14</v>
      </c>
      <c r="B10" s="53">
        <v>706.0</v>
      </c>
      <c r="C10" s="54">
        <v>66676.44376592328</v>
      </c>
      <c r="D10" s="54">
        <v>22560.62243306755</v>
      </c>
      <c r="E10" s="54">
        <v>13662.103789869</v>
      </c>
      <c r="F10" s="54">
        <v>108430.3834560907</v>
      </c>
      <c r="G10" s="54">
        <v>94768.2795184136</v>
      </c>
      <c r="H10" s="54">
        <v>6.690640534E7</v>
      </c>
    </row>
    <row r="11">
      <c r="A11" s="58" t="s">
        <v>30</v>
      </c>
      <c r="B11" s="58">
        <v>635.0</v>
      </c>
      <c r="C11" s="59">
        <v>65555.43950824781</v>
      </c>
      <c r="D11" s="59">
        <v>22639.66104736929</v>
      </c>
      <c r="E11" s="59">
        <v>13678.10779856731</v>
      </c>
      <c r="F11" s="59">
        <v>107626.730519685</v>
      </c>
      <c r="G11" s="59">
        <v>93948.62281889764</v>
      </c>
      <c r="H11" s="59">
        <v>5.965737549E7</v>
      </c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</sheetData>
  <autoFilter ref="$A$4:$H$11"/>
  <mergeCells count="2">
    <mergeCell ref="A2:H2"/>
    <mergeCell ref="A1:H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1.0"/>
    <col customWidth="1" min="3" max="3" width="16.0"/>
    <col customWidth="1" min="4" max="4" width="15.43"/>
    <col customWidth="1" min="5" max="5" width="13.14"/>
    <col customWidth="1" min="6" max="6" width="14.0"/>
  </cols>
  <sheetData>
    <row r="1">
      <c r="A1" s="25" t="s">
        <v>4898</v>
      </c>
      <c r="B1" s="26"/>
      <c r="C1" s="26"/>
      <c r="D1" s="26"/>
      <c r="E1" s="26"/>
      <c r="F1" s="27"/>
    </row>
    <row r="2">
      <c r="A2" s="28" t="s">
        <v>4899</v>
      </c>
    </row>
    <row r="3">
      <c r="A3" s="1"/>
      <c r="B3" s="1"/>
      <c r="C3" s="1"/>
      <c r="D3" s="1"/>
      <c r="E3" s="1"/>
      <c r="F3" s="1"/>
    </row>
    <row r="4">
      <c r="A4" s="49" t="s">
        <v>9</v>
      </c>
      <c r="B4" s="49" t="s">
        <v>4890</v>
      </c>
      <c r="C4" s="49" t="s">
        <v>4900</v>
      </c>
      <c r="D4" s="49" t="s">
        <v>4901</v>
      </c>
      <c r="E4" s="49" t="s">
        <v>4895</v>
      </c>
      <c r="F4" s="49" t="s">
        <v>4893</v>
      </c>
    </row>
    <row r="5">
      <c r="A5" s="60">
        <v>45658.0</v>
      </c>
      <c r="B5" s="61">
        <v>362.0</v>
      </c>
      <c r="C5" s="62">
        <v>4.146757724E7</v>
      </c>
      <c r="D5" s="62">
        <v>3.631625403E7</v>
      </c>
      <c r="E5" s="62">
        <v>100321.1437292818</v>
      </c>
      <c r="F5" s="62">
        <v>14230.17430401452</v>
      </c>
    </row>
    <row r="6">
      <c r="A6" s="63">
        <v>45689.0</v>
      </c>
      <c r="B6" s="58">
        <v>356.0</v>
      </c>
      <c r="C6" s="59">
        <v>4.16281056E7</v>
      </c>
      <c r="D6" s="59">
        <v>3.644365909E7</v>
      </c>
      <c r="E6" s="59">
        <v>102369.8289044944</v>
      </c>
      <c r="F6" s="59">
        <v>14563.05167231212</v>
      </c>
    </row>
    <row r="7">
      <c r="A7" s="60">
        <v>45717.0</v>
      </c>
      <c r="B7" s="61">
        <v>351.0</v>
      </c>
      <c r="C7" s="62">
        <v>4.038255269E7</v>
      </c>
      <c r="D7" s="62">
        <v>3.523538265E7</v>
      </c>
      <c r="E7" s="62">
        <v>100385.7055555556</v>
      </c>
      <c r="F7" s="62">
        <v>14664.30211096813</v>
      </c>
    </row>
    <row r="8">
      <c r="A8" s="63">
        <v>45748.0</v>
      </c>
      <c r="B8" s="58">
        <v>384.0</v>
      </c>
      <c r="C8" s="59">
        <v>4.469227537E7</v>
      </c>
      <c r="D8" s="59">
        <v>3.900013989E7</v>
      </c>
      <c r="E8" s="59">
        <v>101562.864296875</v>
      </c>
      <c r="F8" s="59">
        <v>14823.26958721772</v>
      </c>
    </row>
    <row r="9">
      <c r="A9" s="60">
        <v>45778.0</v>
      </c>
      <c r="B9" s="61">
        <v>476.0</v>
      </c>
      <c r="C9" s="62">
        <v>5.426170097E7</v>
      </c>
      <c r="D9" s="62">
        <v>4.731855279E7</v>
      </c>
      <c r="E9" s="62">
        <v>99408.72434873949</v>
      </c>
      <c r="F9" s="62">
        <v>14586.44565734061</v>
      </c>
    </row>
    <row r="10">
      <c r="A10" s="63">
        <v>45809.0</v>
      </c>
      <c r="B10" s="58">
        <v>418.0</v>
      </c>
      <c r="C10" s="59">
        <v>4.875863995E7</v>
      </c>
      <c r="D10" s="59">
        <v>4.266095568E7</v>
      </c>
      <c r="E10" s="59">
        <v>102059.7025837321</v>
      </c>
      <c r="F10" s="59">
        <v>14587.76161153736</v>
      </c>
    </row>
    <row r="11">
      <c r="A11" s="60">
        <v>45839.0</v>
      </c>
      <c r="B11" s="61">
        <v>364.0</v>
      </c>
      <c r="C11" s="62">
        <v>4.252304024E7</v>
      </c>
      <c r="D11" s="62">
        <v>3.71071192E7</v>
      </c>
      <c r="E11" s="62">
        <v>101942.6351648352</v>
      </c>
      <c r="F11" s="62">
        <v>14878.90389100638</v>
      </c>
    </row>
    <row r="12">
      <c r="A12" s="63">
        <v>45870.0</v>
      </c>
      <c r="B12" s="58">
        <v>394.0</v>
      </c>
      <c r="C12" s="59">
        <v>4.547970995E7</v>
      </c>
      <c r="D12" s="59">
        <v>3.998771086E7</v>
      </c>
      <c r="E12" s="59">
        <v>101491.651928934</v>
      </c>
      <c r="F12" s="59">
        <v>13939.0838152727</v>
      </c>
    </row>
    <row r="13">
      <c r="A13" s="60">
        <v>45901.0</v>
      </c>
      <c r="B13" s="61">
        <v>389.0</v>
      </c>
      <c r="C13" s="62">
        <v>4.428487685E7</v>
      </c>
      <c r="D13" s="62">
        <v>3.858994003E7</v>
      </c>
      <c r="E13" s="62">
        <v>99202.93066838046</v>
      </c>
      <c r="F13" s="62">
        <v>14639.94047034272</v>
      </c>
    </row>
    <row r="14">
      <c r="A14" s="63">
        <v>45931.0</v>
      </c>
      <c r="B14" s="58">
        <v>381.0</v>
      </c>
      <c r="C14" s="59">
        <v>4.463202257E7</v>
      </c>
      <c r="D14" s="59">
        <v>3.901010477E7</v>
      </c>
      <c r="E14" s="59">
        <v>102388.7264304462</v>
      </c>
      <c r="F14" s="59">
        <v>14755.68967317043</v>
      </c>
    </row>
    <row r="15">
      <c r="A15" s="60">
        <v>45962.0</v>
      </c>
      <c r="B15" s="61">
        <v>463.0</v>
      </c>
      <c r="C15" s="62">
        <v>5.472648659E7</v>
      </c>
      <c r="D15" s="62">
        <v>4.798746094E7</v>
      </c>
      <c r="E15" s="62">
        <v>103644.6240604752</v>
      </c>
      <c r="F15" s="62">
        <v>14555.13111123017</v>
      </c>
    </row>
    <row r="16">
      <c r="A16" s="63">
        <v>45992.0</v>
      </c>
      <c r="B16" s="58">
        <v>406.0</v>
      </c>
      <c r="C16" s="59">
        <v>4.675142358E7</v>
      </c>
      <c r="D16" s="59">
        <v>4.082353204E7</v>
      </c>
      <c r="E16" s="59">
        <v>100550.5715270936</v>
      </c>
      <c r="F16" s="59">
        <v>14600.71818355159</v>
      </c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</sheetData>
  <autoFilter ref="$A$4:$F$16"/>
  <mergeCells count="2">
    <mergeCell ref="A2:F2"/>
    <mergeCell ref="A1:F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10.0"/>
    <col customWidth="1" min="4" max="6" width="12.0"/>
    <col customWidth="1" min="7" max="7" width="14.0"/>
    <col customWidth="1" min="8" max="10" width="12.0"/>
    <col customWidth="1" min="11" max="11" width="8.71"/>
    <col customWidth="1" min="12" max="13" width="14.0"/>
    <col customWidth="1" min="14" max="14" width="10.0"/>
  </cols>
  <sheetData>
    <row r="1">
      <c r="A1" s="64" t="s">
        <v>1</v>
      </c>
      <c r="B1" s="64" t="s">
        <v>2</v>
      </c>
      <c r="C1" s="64" t="s">
        <v>9</v>
      </c>
      <c r="D1" s="64" t="s">
        <v>0</v>
      </c>
      <c r="E1" s="64" t="s">
        <v>3</v>
      </c>
      <c r="F1" s="64" t="s">
        <v>4</v>
      </c>
      <c r="G1" s="64" t="s">
        <v>5</v>
      </c>
      <c r="H1" s="64" t="s">
        <v>6</v>
      </c>
      <c r="I1" s="64" t="s">
        <v>7</v>
      </c>
      <c r="J1" s="64" t="s">
        <v>8</v>
      </c>
      <c r="K1" s="1"/>
      <c r="L1" t="s">
        <v>4902</v>
      </c>
      <c r="M1" t="s">
        <v>4903</v>
      </c>
      <c r="N1" t="s">
        <v>4904</v>
      </c>
    </row>
    <row r="2">
      <c r="A2" t="s">
        <v>13</v>
      </c>
      <c r="B2" t="s">
        <v>14</v>
      </c>
      <c r="C2" t="s">
        <v>4905</v>
      </c>
      <c r="D2" t="s">
        <v>12</v>
      </c>
      <c r="E2">
        <v>18180.08</v>
      </c>
      <c r="F2">
        <v>5454.02</v>
      </c>
      <c r="G2">
        <v>1000.01</v>
      </c>
      <c r="H2">
        <v>1217.4</v>
      </c>
      <c r="I2">
        <v>24634.11</v>
      </c>
      <c r="J2">
        <v>23416.71</v>
      </c>
      <c r="K2" s="1"/>
      <c r="L2" t="s">
        <v>4906</v>
      </c>
      <c r="M2" t="s">
        <v>4906</v>
      </c>
      <c r="N2" t="s">
        <v>4906</v>
      </c>
    </row>
    <row r="3">
      <c r="A3" t="s">
        <v>17</v>
      </c>
      <c r="B3" t="s">
        <v>18</v>
      </c>
      <c r="C3" t="s">
        <v>4907</v>
      </c>
      <c r="D3" t="s">
        <v>16</v>
      </c>
      <c r="E3">
        <v>84257.36</v>
      </c>
      <c r="F3">
        <v>25277.21</v>
      </c>
      <c r="G3">
        <v>9190.23</v>
      </c>
      <c r="H3">
        <v>14926.0</v>
      </c>
      <c r="I3">
        <v>118724.8</v>
      </c>
      <c r="J3">
        <v>103798.8</v>
      </c>
      <c r="K3" s="1"/>
      <c r="L3" t="s">
        <v>25</v>
      </c>
      <c r="M3" t="s">
        <v>33</v>
      </c>
      <c r="N3" t="s">
        <v>4907</v>
      </c>
    </row>
    <row r="4">
      <c r="A4" t="s">
        <v>17</v>
      </c>
      <c r="B4" t="s">
        <v>14</v>
      </c>
      <c r="C4" t="s">
        <v>4908</v>
      </c>
      <c r="D4" t="s">
        <v>20</v>
      </c>
      <c r="E4">
        <v>19574.19</v>
      </c>
      <c r="F4">
        <v>5872.26</v>
      </c>
      <c r="G4">
        <v>1978.38</v>
      </c>
      <c r="H4">
        <v>155.83</v>
      </c>
      <c r="I4">
        <v>27424.83</v>
      </c>
      <c r="J4">
        <v>27269.0</v>
      </c>
      <c r="K4" s="1"/>
      <c r="L4" t="s">
        <v>51</v>
      </c>
      <c r="M4" t="s">
        <v>14</v>
      </c>
      <c r="N4" t="s">
        <v>4909</v>
      </c>
    </row>
    <row r="5">
      <c r="A5" t="s">
        <v>13</v>
      </c>
      <c r="B5" t="s">
        <v>18</v>
      </c>
      <c r="C5" t="s">
        <v>4910</v>
      </c>
      <c r="D5" t="s">
        <v>22</v>
      </c>
      <c r="E5">
        <v>83234.45</v>
      </c>
      <c r="F5">
        <v>24970.33</v>
      </c>
      <c r="G5">
        <v>6983.7</v>
      </c>
      <c r="H5">
        <v>11216.9</v>
      </c>
      <c r="I5">
        <v>115188.48</v>
      </c>
      <c r="J5">
        <v>103971.58</v>
      </c>
      <c r="K5" s="1"/>
      <c r="L5" t="s">
        <v>17</v>
      </c>
      <c r="M5" t="s">
        <v>26</v>
      </c>
      <c r="N5" t="s">
        <v>4911</v>
      </c>
    </row>
    <row r="6">
      <c r="A6" t="s">
        <v>25</v>
      </c>
      <c r="B6" t="s">
        <v>26</v>
      </c>
      <c r="C6" t="s">
        <v>4912</v>
      </c>
      <c r="D6" t="s">
        <v>24</v>
      </c>
      <c r="E6">
        <v>90233.96</v>
      </c>
      <c r="F6">
        <v>27070.19</v>
      </c>
      <c r="G6">
        <v>14542.45</v>
      </c>
      <c r="H6">
        <v>18898.76</v>
      </c>
      <c r="I6">
        <v>131846.6</v>
      </c>
      <c r="J6">
        <v>112947.84</v>
      </c>
      <c r="K6" s="1"/>
      <c r="L6" t="s">
        <v>29</v>
      </c>
      <c r="M6" t="s">
        <v>30</v>
      </c>
      <c r="N6" t="s">
        <v>4908</v>
      </c>
    </row>
    <row r="7">
      <c r="A7" t="s">
        <v>29</v>
      </c>
      <c r="B7" t="s">
        <v>30</v>
      </c>
      <c r="C7" t="s">
        <v>4913</v>
      </c>
      <c r="D7" t="s">
        <v>28</v>
      </c>
      <c r="E7">
        <v>23894.76</v>
      </c>
      <c r="F7">
        <v>7168.43</v>
      </c>
      <c r="G7">
        <v>3648.7</v>
      </c>
      <c r="H7">
        <v>732.69</v>
      </c>
      <c r="I7">
        <v>34711.89</v>
      </c>
      <c r="J7">
        <v>33979.2</v>
      </c>
      <c r="K7" s="1"/>
      <c r="L7" t="s">
        <v>36</v>
      </c>
      <c r="M7" t="s">
        <v>37</v>
      </c>
      <c r="N7" t="s">
        <v>4910</v>
      </c>
    </row>
    <row r="8">
      <c r="A8" t="s">
        <v>17</v>
      </c>
      <c r="B8" t="s">
        <v>33</v>
      </c>
      <c r="C8" t="s">
        <v>4905</v>
      </c>
      <c r="D8" t="s">
        <v>32</v>
      </c>
      <c r="E8">
        <v>33474.94</v>
      </c>
      <c r="F8">
        <v>10042.48</v>
      </c>
      <c r="G8">
        <v>4041.94</v>
      </c>
      <c r="H8">
        <v>8105.57</v>
      </c>
      <c r="I8">
        <v>47559.36</v>
      </c>
      <c r="J8">
        <v>39453.79</v>
      </c>
      <c r="K8" s="1"/>
      <c r="L8" t="s">
        <v>53</v>
      </c>
      <c r="M8" t="s">
        <v>18</v>
      </c>
      <c r="N8" t="s">
        <v>4912</v>
      </c>
    </row>
    <row r="9">
      <c r="A9" t="s">
        <v>36</v>
      </c>
      <c r="B9" t="s">
        <v>37</v>
      </c>
      <c r="C9" t="s">
        <v>4910</v>
      </c>
      <c r="D9" t="s">
        <v>35</v>
      </c>
      <c r="E9">
        <v>47246.87</v>
      </c>
      <c r="F9">
        <v>14174.06</v>
      </c>
      <c r="G9">
        <v>8715.11</v>
      </c>
      <c r="H9">
        <v>1116.92</v>
      </c>
      <c r="I9">
        <v>70136.04</v>
      </c>
      <c r="J9">
        <v>69019.12</v>
      </c>
      <c r="K9" s="1"/>
      <c r="L9" t="s">
        <v>13</v>
      </c>
      <c r="M9" t="s">
        <v>54</v>
      </c>
      <c r="N9" t="s">
        <v>4913</v>
      </c>
    </row>
    <row r="10">
      <c r="A10" t="s">
        <v>25</v>
      </c>
      <c r="B10" t="s">
        <v>18</v>
      </c>
      <c r="C10" t="s">
        <v>4905</v>
      </c>
      <c r="D10" t="s">
        <v>39</v>
      </c>
      <c r="E10">
        <v>81081.51</v>
      </c>
      <c r="F10">
        <v>24324.45</v>
      </c>
      <c r="G10">
        <v>13973.7</v>
      </c>
      <c r="H10">
        <v>14043.78</v>
      </c>
      <c r="I10">
        <v>119379.66</v>
      </c>
      <c r="J10">
        <v>105335.88</v>
      </c>
      <c r="K10" s="1"/>
      <c r="L10" s="1"/>
      <c r="M10" s="1"/>
      <c r="N10" t="s">
        <v>4914</v>
      </c>
    </row>
    <row r="11">
      <c r="A11" t="s">
        <v>17</v>
      </c>
      <c r="B11" t="s">
        <v>14</v>
      </c>
      <c r="C11" t="s">
        <v>4908</v>
      </c>
      <c r="D11" t="s">
        <v>41</v>
      </c>
      <c r="E11">
        <v>22761.1</v>
      </c>
      <c r="F11">
        <v>6828.33</v>
      </c>
      <c r="G11">
        <v>3519.18</v>
      </c>
      <c r="H11">
        <v>6727.42</v>
      </c>
      <c r="I11">
        <v>33108.61</v>
      </c>
      <c r="J11">
        <v>26381.19</v>
      </c>
      <c r="K11" s="1"/>
      <c r="L11" s="1"/>
      <c r="M11" s="1"/>
      <c r="N11" t="s">
        <v>4915</v>
      </c>
    </row>
    <row r="12">
      <c r="A12" t="s">
        <v>25</v>
      </c>
      <c r="B12" t="s">
        <v>14</v>
      </c>
      <c r="C12" t="s">
        <v>4911</v>
      </c>
      <c r="D12" t="s">
        <v>43</v>
      </c>
      <c r="E12">
        <v>20736.91</v>
      </c>
      <c r="F12">
        <v>6221.07</v>
      </c>
      <c r="G12">
        <v>1880.47</v>
      </c>
      <c r="H12">
        <v>5189.06</v>
      </c>
      <c r="I12">
        <v>28838.45</v>
      </c>
      <c r="J12">
        <v>23649.39</v>
      </c>
      <c r="K12" s="1"/>
      <c r="L12" s="1"/>
      <c r="M12" s="1"/>
      <c r="N12" t="s">
        <v>4916</v>
      </c>
    </row>
    <row r="13">
      <c r="A13" t="s">
        <v>29</v>
      </c>
      <c r="B13" t="s">
        <v>33</v>
      </c>
      <c r="C13" t="s">
        <v>4917</v>
      </c>
      <c r="D13" t="s">
        <v>44</v>
      </c>
      <c r="E13">
        <v>27095.07</v>
      </c>
      <c r="F13">
        <v>8128.52</v>
      </c>
      <c r="G13">
        <v>1446.76</v>
      </c>
      <c r="H13">
        <v>7613.62</v>
      </c>
      <c r="I13">
        <v>36670.35</v>
      </c>
      <c r="J13">
        <v>29056.73</v>
      </c>
      <c r="K13" s="1"/>
      <c r="L13" s="1"/>
      <c r="M13" s="1"/>
      <c r="N13" t="s">
        <v>4917</v>
      </c>
    </row>
    <row r="14">
      <c r="A14" t="s">
        <v>17</v>
      </c>
      <c r="B14" t="s">
        <v>37</v>
      </c>
      <c r="C14" t="s">
        <v>4914</v>
      </c>
      <c r="D14" t="s">
        <v>45</v>
      </c>
      <c r="E14">
        <v>56429.61</v>
      </c>
      <c r="F14">
        <v>16928.88</v>
      </c>
      <c r="G14">
        <v>6028.26</v>
      </c>
      <c r="H14">
        <v>4144.38</v>
      </c>
      <c r="I14">
        <v>79386.75</v>
      </c>
      <c r="J14">
        <v>75242.37</v>
      </c>
      <c r="K14" s="1"/>
      <c r="L14" s="1"/>
      <c r="M14" s="1"/>
      <c r="N14" t="s">
        <v>4905</v>
      </c>
    </row>
    <row r="15">
      <c r="A15" t="s">
        <v>36</v>
      </c>
      <c r="B15" t="s">
        <v>33</v>
      </c>
      <c r="C15" t="s">
        <v>4917</v>
      </c>
      <c r="D15" t="s">
        <v>46</v>
      </c>
      <c r="E15">
        <v>34895.23</v>
      </c>
      <c r="F15">
        <v>10468.57</v>
      </c>
      <c r="G15">
        <v>4466.59</v>
      </c>
      <c r="H15">
        <v>5830.47</v>
      </c>
      <c r="I15">
        <v>49830.39</v>
      </c>
      <c r="J15">
        <v>43999.92</v>
      </c>
      <c r="K15" s="1"/>
      <c r="L15" s="1"/>
      <c r="M15" s="1"/>
      <c r="N15" s="1"/>
    </row>
    <row r="16">
      <c r="A16" t="s">
        <v>29</v>
      </c>
      <c r="B16" t="s">
        <v>26</v>
      </c>
      <c r="C16" t="s">
        <v>4912</v>
      </c>
      <c r="D16" t="s">
        <v>47</v>
      </c>
      <c r="E16">
        <v>117659.29</v>
      </c>
      <c r="F16">
        <v>35297.79</v>
      </c>
      <c r="G16">
        <v>1316.32</v>
      </c>
      <c r="H16">
        <v>29007.81</v>
      </c>
      <c r="I16">
        <v>154273.4</v>
      </c>
      <c r="J16">
        <v>125265.59</v>
      </c>
      <c r="K16" s="1"/>
      <c r="L16" s="1"/>
      <c r="M16" s="1"/>
      <c r="N16" s="1"/>
    </row>
    <row r="17">
      <c r="A17" t="s">
        <v>36</v>
      </c>
      <c r="B17" t="s">
        <v>33</v>
      </c>
      <c r="C17" t="s">
        <v>4905</v>
      </c>
      <c r="D17" t="s">
        <v>48</v>
      </c>
      <c r="E17">
        <v>25661.89</v>
      </c>
      <c r="F17">
        <v>7698.57</v>
      </c>
      <c r="G17">
        <v>4686.56</v>
      </c>
      <c r="H17">
        <v>4366.47</v>
      </c>
      <c r="I17">
        <v>38047.02</v>
      </c>
      <c r="J17">
        <v>33680.55</v>
      </c>
      <c r="K17" s="1"/>
      <c r="L17" s="1"/>
      <c r="M17" s="1"/>
      <c r="N17" s="1"/>
    </row>
    <row r="18">
      <c r="A18" t="s">
        <v>29</v>
      </c>
      <c r="B18" t="s">
        <v>30</v>
      </c>
      <c r="C18" t="s">
        <v>4914</v>
      </c>
      <c r="D18" t="s">
        <v>49</v>
      </c>
      <c r="E18">
        <v>27767.86</v>
      </c>
      <c r="F18">
        <v>8330.36</v>
      </c>
      <c r="G18">
        <v>2197.17</v>
      </c>
      <c r="H18">
        <v>7618.51</v>
      </c>
      <c r="I18">
        <v>38295.39</v>
      </c>
      <c r="J18">
        <v>30676.88</v>
      </c>
      <c r="K18" s="1"/>
      <c r="L18" s="1"/>
      <c r="M18" s="1"/>
      <c r="N18" s="1"/>
    </row>
    <row r="19">
      <c r="A19" t="s">
        <v>51</v>
      </c>
      <c r="B19" t="s">
        <v>33</v>
      </c>
      <c r="C19" t="s">
        <v>4905</v>
      </c>
      <c r="D19" t="s">
        <v>50</v>
      </c>
      <c r="E19">
        <v>26396.3</v>
      </c>
      <c r="F19">
        <v>7918.89</v>
      </c>
      <c r="G19">
        <v>3932.99</v>
      </c>
      <c r="H19">
        <v>4268.1</v>
      </c>
      <c r="I19">
        <v>38248.18</v>
      </c>
      <c r="J19">
        <v>33980.08</v>
      </c>
      <c r="K19" s="1"/>
      <c r="L19" s="1"/>
      <c r="M19" s="1"/>
      <c r="N19" s="1"/>
    </row>
    <row r="20">
      <c r="A20" t="s">
        <v>53</v>
      </c>
      <c r="B20" t="s">
        <v>54</v>
      </c>
      <c r="C20" t="s">
        <v>4911</v>
      </c>
      <c r="D20" t="s">
        <v>52</v>
      </c>
      <c r="E20">
        <v>47569.52</v>
      </c>
      <c r="F20">
        <v>14270.86</v>
      </c>
      <c r="G20">
        <v>3799.86</v>
      </c>
      <c r="H20">
        <v>3129.89</v>
      </c>
      <c r="I20">
        <v>65640.24</v>
      </c>
      <c r="J20">
        <v>62510.35</v>
      </c>
      <c r="K20" s="1"/>
      <c r="L20" s="1"/>
      <c r="M20" s="1"/>
      <c r="N20" s="1"/>
    </row>
    <row r="21" ht="15.75" customHeight="1">
      <c r="A21" t="s">
        <v>53</v>
      </c>
      <c r="B21" t="s">
        <v>54</v>
      </c>
      <c r="C21" t="s">
        <v>4917</v>
      </c>
      <c r="D21" t="s">
        <v>55</v>
      </c>
      <c r="E21">
        <v>36272.73</v>
      </c>
      <c r="F21">
        <v>10881.82</v>
      </c>
      <c r="G21">
        <v>341.81</v>
      </c>
      <c r="H21">
        <v>1193.18</v>
      </c>
      <c r="I21">
        <v>47496.36</v>
      </c>
      <c r="J21">
        <v>46303.18</v>
      </c>
      <c r="K21" s="1"/>
      <c r="L21" s="1"/>
      <c r="M21" s="1"/>
      <c r="N21" s="1"/>
    </row>
    <row r="22" ht="15.75" customHeight="1">
      <c r="A22" t="s">
        <v>51</v>
      </c>
      <c r="B22" t="s">
        <v>26</v>
      </c>
      <c r="C22" t="s">
        <v>4916</v>
      </c>
      <c r="D22" t="s">
        <v>56</v>
      </c>
      <c r="E22">
        <v>114497.32</v>
      </c>
      <c r="F22">
        <v>34349.2</v>
      </c>
      <c r="G22">
        <v>13657.45</v>
      </c>
      <c r="H22">
        <v>13216.45</v>
      </c>
      <c r="I22">
        <v>162503.97</v>
      </c>
      <c r="J22">
        <v>149287.52</v>
      </c>
      <c r="K22" s="1"/>
      <c r="L22" s="1"/>
      <c r="M22" s="1"/>
      <c r="N22" s="1"/>
    </row>
    <row r="23" ht="15.75" customHeight="1">
      <c r="A23" t="s">
        <v>36</v>
      </c>
      <c r="B23" t="s">
        <v>37</v>
      </c>
      <c r="C23" t="s">
        <v>4917</v>
      </c>
      <c r="D23" t="s">
        <v>58</v>
      </c>
      <c r="E23">
        <v>49525.45</v>
      </c>
      <c r="F23">
        <v>14857.63</v>
      </c>
      <c r="G23">
        <v>5479.75</v>
      </c>
      <c r="H23">
        <v>14002.29</v>
      </c>
      <c r="I23">
        <v>69862.83</v>
      </c>
      <c r="J23">
        <v>55860.54</v>
      </c>
      <c r="K23" s="1"/>
      <c r="L23" s="1"/>
      <c r="M23" s="1"/>
      <c r="N23" s="1"/>
    </row>
    <row r="24" ht="15.75" customHeight="1">
      <c r="A24" t="s">
        <v>13</v>
      </c>
      <c r="B24" t="s">
        <v>14</v>
      </c>
      <c r="C24" t="s">
        <v>4917</v>
      </c>
      <c r="D24" t="s">
        <v>59</v>
      </c>
      <c r="E24">
        <v>22908.31</v>
      </c>
      <c r="F24">
        <v>6872.49</v>
      </c>
      <c r="G24">
        <v>2460.22</v>
      </c>
      <c r="H24">
        <v>14327.38295125808</v>
      </c>
      <c r="I24">
        <v>32241.02</v>
      </c>
      <c r="J24">
        <v>17913.64</v>
      </c>
      <c r="K24" s="1"/>
      <c r="L24" s="1"/>
      <c r="M24" s="1"/>
      <c r="N24" s="1"/>
    </row>
    <row r="25" ht="15.75" customHeight="1">
      <c r="A25" t="s">
        <v>29</v>
      </c>
      <c r="B25" t="s">
        <v>14</v>
      </c>
      <c r="C25" t="s">
        <v>4907</v>
      </c>
      <c r="D25" t="s">
        <v>60</v>
      </c>
      <c r="E25">
        <v>20113.2</v>
      </c>
      <c r="F25">
        <v>6033.96</v>
      </c>
      <c r="G25">
        <v>636.21</v>
      </c>
      <c r="H25">
        <v>19.58</v>
      </c>
      <c r="I25">
        <v>26783.37</v>
      </c>
      <c r="J25">
        <v>26763.79</v>
      </c>
      <c r="K25" s="1"/>
      <c r="L25" s="1"/>
      <c r="M25" s="1"/>
      <c r="N25" s="1"/>
    </row>
    <row r="26" ht="15.75" customHeight="1">
      <c r="A26" t="s">
        <v>13</v>
      </c>
      <c r="B26" t="s">
        <v>33</v>
      </c>
      <c r="C26" t="s">
        <v>4909</v>
      </c>
      <c r="D26" t="s">
        <v>62</v>
      </c>
      <c r="E26">
        <v>34718.88</v>
      </c>
      <c r="F26">
        <v>10415.66</v>
      </c>
      <c r="G26">
        <v>5290.89</v>
      </c>
      <c r="H26">
        <v>5287.84</v>
      </c>
      <c r="I26">
        <v>50425.43</v>
      </c>
      <c r="J26">
        <v>45137.59</v>
      </c>
      <c r="K26" s="1"/>
      <c r="L26" s="1"/>
      <c r="M26" s="1"/>
      <c r="N26" s="1"/>
    </row>
    <row r="27" ht="15.75" customHeight="1">
      <c r="A27" t="s">
        <v>25</v>
      </c>
      <c r="B27" t="s">
        <v>18</v>
      </c>
      <c r="C27" t="s">
        <v>4911</v>
      </c>
      <c r="D27" t="s">
        <v>63</v>
      </c>
      <c r="E27">
        <v>72759.56</v>
      </c>
      <c r="F27">
        <v>21827.87</v>
      </c>
      <c r="G27">
        <v>9297.94</v>
      </c>
      <c r="H27">
        <v>13292.52</v>
      </c>
      <c r="I27">
        <v>103885.37</v>
      </c>
      <c r="J27">
        <v>90592.85</v>
      </c>
      <c r="K27" s="1"/>
      <c r="L27" s="1"/>
      <c r="M27" s="1"/>
      <c r="N27" s="1"/>
    </row>
    <row r="28" ht="15.75" customHeight="1">
      <c r="A28" t="s">
        <v>29</v>
      </c>
      <c r="B28" t="s">
        <v>26</v>
      </c>
      <c r="C28" t="s">
        <v>4907</v>
      </c>
      <c r="D28" t="s">
        <v>64</v>
      </c>
      <c r="E28">
        <v>95815.77</v>
      </c>
      <c r="F28">
        <v>28744.73</v>
      </c>
      <c r="G28">
        <v>18272.06</v>
      </c>
      <c r="H28">
        <v>26515.12</v>
      </c>
      <c r="I28">
        <v>142832.56</v>
      </c>
      <c r="J28">
        <v>116317.44</v>
      </c>
      <c r="K28" s="1"/>
      <c r="L28" s="1"/>
      <c r="M28" s="1"/>
      <c r="N28" s="1"/>
    </row>
    <row r="29" ht="15.75" customHeight="1">
      <c r="A29" t="s">
        <v>53</v>
      </c>
      <c r="B29" t="s">
        <v>33</v>
      </c>
      <c r="C29" t="s">
        <v>4910</v>
      </c>
      <c r="D29" t="s">
        <v>65</v>
      </c>
      <c r="E29">
        <v>29886.06</v>
      </c>
      <c r="F29">
        <v>8965.82</v>
      </c>
      <c r="G29">
        <v>668.66</v>
      </c>
      <c r="H29">
        <v>3254.42</v>
      </c>
      <c r="I29">
        <v>39520.54</v>
      </c>
      <c r="J29">
        <v>36266.12</v>
      </c>
      <c r="K29" s="1"/>
      <c r="L29" s="1"/>
      <c r="M29" s="1"/>
      <c r="N29" s="1"/>
    </row>
    <row r="30" ht="15.75" customHeight="1">
      <c r="A30" t="s">
        <v>51</v>
      </c>
      <c r="B30" t="s">
        <v>14</v>
      </c>
      <c r="C30" t="s">
        <v>4905</v>
      </c>
      <c r="D30" t="s">
        <v>66</v>
      </c>
      <c r="E30">
        <v>19734.28</v>
      </c>
      <c r="F30">
        <v>5920.28</v>
      </c>
      <c r="G30">
        <v>2239.28</v>
      </c>
      <c r="H30">
        <v>466.26</v>
      </c>
      <c r="I30">
        <v>27893.84</v>
      </c>
      <c r="J30">
        <v>27427.58</v>
      </c>
      <c r="K30" s="1"/>
      <c r="L30" s="1"/>
      <c r="M30" s="1"/>
      <c r="N30" s="1"/>
    </row>
    <row r="31" ht="15.75" customHeight="1">
      <c r="A31" t="s">
        <v>36</v>
      </c>
      <c r="B31" t="s">
        <v>26</v>
      </c>
      <c r="C31" t="s">
        <v>4911</v>
      </c>
      <c r="D31" t="s">
        <v>67</v>
      </c>
      <c r="E31">
        <v>92491.65</v>
      </c>
      <c r="F31">
        <v>27747.49</v>
      </c>
      <c r="G31">
        <v>14069.87</v>
      </c>
      <c r="H31">
        <v>21249.99</v>
      </c>
      <c r="I31">
        <v>134309.01</v>
      </c>
      <c r="J31">
        <v>113059.02</v>
      </c>
      <c r="K31" s="1"/>
      <c r="L31" s="1"/>
      <c r="M31" s="1"/>
      <c r="N31" s="1"/>
    </row>
    <row r="32" ht="15.75" customHeight="1">
      <c r="A32" t="s">
        <v>13</v>
      </c>
      <c r="B32" t="s">
        <v>54</v>
      </c>
      <c r="C32" t="s">
        <v>4916</v>
      </c>
      <c r="D32" t="s">
        <v>68</v>
      </c>
      <c r="E32">
        <v>48255.88</v>
      </c>
      <c r="F32">
        <v>14476.76</v>
      </c>
      <c r="G32">
        <v>1593.67</v>
      </c>
      <c r="H32">
        <v>7639.01</v>
      </c>
      <c r="I32">
        <v>64326.31</v>
      </c>
      <c r="J32">
        <v>56687.3</v>
      </c>
      <c r="K32" s="1"/>
      <c r="L32" s="1"/>
      <c r="M32" s="1"/>
      <c r="N32" s="1"/>
    </row>
    <row r="33" ht="15.75" customHeight="1">
      <c r="A33" t="s">
        <v>36</v>
      </c>
      <c r="B33" t="s">
        <v>30</v>
      </c>
      <c r="C33" t="s">
        <v>4905</v>
      </c>
      <c r="D33" t="s">
        <v>69</v>
      </c>
      <c r="E33">
        <v>30174.44</v>
      </c>
      <c r="F33">
        <v>9052.33</v>
      </c>
      <c r="G33">
        <v>4557.94</v>
      </c>
      <c r="H33">
        <v>6244.91</v>
      </c>
      <c r="I33">
        <v>43784.71</v>
      </c>
      <c r="J33">
        <v>37539.8</v>
      </c>
      <c r="K33" s="1"/>
      <c r="L33" s="1"/>
      <c r="M33" s="1"/>
      <c r="N33" s="1"/>
    </row>
    <row r="34" ht="15.75" customHeight="1">
      <c r="A34" t="s">
        <v>29</v>
      </c>
      <c r="B34" t="s">
        <v>54</v>
      </c>
      <c r="C34" t="s">
        <v>4915</v>
      </c>
      <c r="D34" t="s">
        <v>70</v>
      </c>
      <c r="E34">
        <v>48932.09</v>
      </c>
      <c r="F34">
        <v>14679.63</v>
      </c>
      <c r="G34">
        <v>6359.98</v>
      </c>
      <c r="H34">
        <v>6431.15</v>
      </c>
      <c r="I34">
        <v>69971.7</v>
      </c>
      <c r="J34">
        <v>63540.55</v>
      </c>
      <c r="K34" s="1"/>
      <c r="L34" s="1"/>
      <c r="M34" s="1"/>
      <c r="N34" s="1"/>
    </row>
    <row r="35" ht="15.75" customHeight="1">
      <c r="A35" t="s">
        <v>36</v>
      </c>
      <c r="B35" t="s">
        <v>14</v>
      </c>
      <c r="C35" t="s">
        <v>4915</v>
      </c>
      <c r="D35" t="s">
        <v>71</v>
      </c>
      <c r="E35">
        <v>19784.92</v>
      </c>
      <c r="F35">
        <v>5935.48</v>
      </c>
      <c r="G35">
        <v>253.35</v>
      </c>
      <c r="H35">
        <v>124.85</v>
      </c>
      <c r="I35">
        <v>25973.75</v>
      </c>
      <c r="J35">
        <v>25848.9</v>
      </c>
      <c r="K35" s="1"/>
      <c r="L35" s="1"/>
      <c r="M35" s="1"/>
      <c r="N35" s="1"/>
    </row>
    <row r="36" ht="15.75" customHeight="1">
      <c r="A36" t="s">
        <v>51</v>
      </c>
      <c r="B36" t="s">
        <v>37</v>
      </c>
      <c r="C36" t="s">
        <v>4908</v>
      </c>
      <c r="D36" t="s">
        <v>72</v>
      </c>
      <c r="E36">
        <v>48963.91</v>
      </c>
      <c r="F36">
        <v>14689.17</v>
      </c>
      <c r="G36">
        <v>695.22</v>
      </c>
      <c r="H36">
        <v>9270.38</v>
      </c>
      <c r="I36">
        <v>64348.3</v>
      </c>
      <c r="J36">
        <v>55077.92</v>
      </c>
      <c r="K36" s="1"/>
      <c r="L36" s="1"/>
      <c r="M36" s="1"/>
      <c r="N36" s="1"/>
    </row>
    <row r="37" ht="15.75" customHeight="1">
      <c r="A37" t="s">
        <v>36</v>
      </c>
      <c r="B37" t="s">
        <v>30</v>
      </c>
      <c r="C37" t="s">
        <v>4916</v>
      </c>
      <c r="D37" t="s">
        <v>73</v>
      </c>
      <c r="E37">
        <v>26745.26</v>
      </c>
      <c r="F37">
        <v>8023.58</v>
      </c>
      <c r="G37">
        <v>3869.25</v>
      </c>
      <c r="H37">
        <v>7079.87</v>
      </c>
      <c r="I37">
        <v>38638.09</v>
      </c>
      <c r="J37">
        <v>31558.22</v>
      </c>
      <c r="K37" s="1"/>
      <c r="L37" s="1"/>
      <c r="M37" s="1"/>
      <c r="N37" s="1"/>
    </row>
    <row r="38" ht="15.75" customHeight="1">
      <c r="A38" t="s">
        <v>36</v>
      </c>
      <c r="B38" t="s">
        <v>30</v>
      </c>
      <c r="C38" t="s">
        <v>4909</v>
      </c>
      <c r="D38" t="s">
        <v>74</v>
      </c>
      <c r="E38">
        <v>28904.65</v>
      </c>
      <c r="F38">
        <v>8671.4</v>
      </c>
      <c r="G38">
        <v>4668.08</v>
      </c>
      <c r="H38">
        <v>1651.12</v>
      </c>
      <c r="I38">
        <v>42244.13</v>
      </c>
      <c r="J38">
        <v>40593.01</v>
      </c>
      <c r="K38" s="1"/>
      <c r="L38" s="1"/>
      <c r="M38" s="1"/>
      <c r="N38" s="1"/>
    </row>
    <row r="39" ht="15.75" customHeight="1">
      <c r="A39" t="s">
        <v>13</v>
      </c>
      <c r="B39" t="s">
        <v>54</v>
      </c>
      <c r="C39" t="s">
        <v>4907</v>
      </c>
      <c r="D39" t="s">
        <v>75</v>
      </c>
      <c r="E39">
        <v>39960.17</v>
      </c>
      <c r="F39">
        <v>11988.05</v>
      </c>
      <c r="G39">
        <v>3285.54</v>
      </c>
      <c r="H39">
        <v>10355.72</v>
      </c>
      <c r="I39">
        <v>55233.76</v>
      </c>
      <c r="J39">
        <v>44878.04</v>
      </c>
      <c r="K39" s="1"/>
      <c r="L39" s="1"/>
      <c r="M39" s="1"/>
      <c r="N39" s="1"/>
    </row>
    <row r="40" ht="15.75" customHeight="1">
      <c r="A40" t="s">
        <v>13</v>
      </c>
      <c r="B40" t="s">
        <v>18</v>
      </c>
      <c r="C40" t="s">
        <v>4912</v>
      </c>
      <c r="D40" t="s">
        <v>76</v>
      </c>
      <c r="E40">
        <v>90588.3</v>
      </c>
      <c r="F40">
        <v>27176.49</v>
      </c>
      <c r="G40">
        <v>1783.1</v>
      </c>
      <c r="H40">
        <v>10941.83</v>
      </c>
      <c r="I40">
        <v>119547.89</v>
      </c>
      <c r="J40">
        <v>108606.06</v>
      </c>
      <c r="K40" s="1"/>
      <c r="L40" s="1"/>
      <c r="M40" s="1"/>
      <c r="N40" s="1"/>
    </row>
    <row r="41" ht="15.75" customHeight="1">
      <c r="A41" t="s">
        <v>25</v>
      </c>
      <c r="B41" t="s">
        <v>26</v>
      </c>
      <c r="C41" t="s">
        <v>4911</v>
      </c>
      <c r="D41" t="s">
        <v>77</v>
      </c>
      <c r="E41">
        <v>93933.69</v>
      </c>
      <c r="F41">
        <v>28180.11</v>
      </c>
      <c r="G41">
        <v>3599.35</v>
      </c>
      <c r="H41">
        <v>14634.43925924574</v>
      </c>
      <c r="I41">
        <v>125713.15</v>
      </c>
      <c r="J41">
        <v>111078.71</v>
      </c>
      <c r="K41" s="1"/>
      <c r="L41" s="1"/>
      <c r="M41" s="1"/>
      <c r="N41" s="1"/>
    </row>
    <row r="42" ht="15.75" customHeight="1">
      <c r="A42" t="s">
        <v>36</v>
      </c>
      <c r="B42" t="s">
        <v>30</v>
      </c>
      <c r="C42" t="s">
        <v>4914</v>
      </c>
      <c r="D42" t="s">
        <v>78</v>
      </c>
      <c r="E42">
        <v>24451.2</v>
      </c>
      <c r="F42">
        <v>7335.36</v>
      </c>
      <c r="G42">
        <v>1221.61</v>
      </c>
      <c r="H42">
        <v>6772.49</v>
      </c>
      <c r="I42">
        <v>33008.17</v>
      </c>
      <c r="J42">
        <v>26235.68</v>
      </c>
      <c r="K42" s="1"/>
      <c r="L42" s="1"/>
      <c r="M42" s="1"/>
      <c r="N42" s="1"/>
    </row>
    <row r="43" ht="15.75" customHeight="1">
      <c r="A43" t="s">
        <v>25</v>
      </c>
      <c r="B43" t="s">
        <v>26</v>
      </c>
      <c r="C43" t="s">
        <v>4915</v>
      </c>
      <c r="D43" t="s">
        <v>79</v>
      </c>
      <c r="E43">
        <v>120814.81</v>
      </c>
      <c r="F43">
        <v>36244.44</v>
      </c>
      <c r="G43">
        <v>2365.76</v>
      </c>
      <c r="H43">
        <v>23636.63</v>
      </c>
      <c r="I43">
        <v>159425.01</v>
      </c>
      <c r="J43">
        <v>135788.38</v>
      </c>
      <c r="K43" s="1"/>
      <c r="L43" s="1"/>
      <c r="M43" s="1"/>
      <c r="N43" s="1"/>
    </row>
    <row r="44" ht="15.75" customHeight="1">
      <c r="A44" t="s">
        <v>25</v>
      </c>
      <c r="B44" t="s">
        <v>14</v>
      </c>
      <c r="C44" t="s">
        <v>4911</v>
      </c>
      <c r="D44" t="s">
        <v>80</v>
      </c>
      <c r="E44">
        <v>24976.77</v>
      </c>
      <c r="F44">
        <v>7493.03</v>
      </c>
      <c r="G44">
        <v>4627.53</v>
      </c>
      <c r="H44">
        <v>6359.3</v>
      </c>
      <c r="I44">
        <v>37097.33</v>
      </c>
      <c r="J44">
        <v>30738.03</v>
      </c>
      <c r="K44" s="1"/>
      <c r="L44" s="1"/>
      <c r="M44" s="1"/>
      <c r="N44" s="1"/>
    </row>
    <row r="45" ht="15.75" customHeight="1">
      <c r="A45" t="s">
        <v>36</v>
      </c>
      <c r="B45" t="s">
        <v>54</v>
      </c>
      <c r="C45" t="s">
        <v>4911</v>
      </c>
      <c r="D45" t="s">
        <v>81</v>
      </c>
      <c r="E45">
        <v>41739.02</v>
      </c>
      <c r="F45">
        <v>12521.71</v>
      </c>
      <c r="G45">
        <v>7217.93</v>
      </c>
      <c r="H45">
        <v>11300.12</v>
      </c>
      <c r="I45">
        <v>61478.66</v>
      </c>
      <c r="J45">
        <v>50178.54</v>
      </c>
      <c r="K45" s="1"/>
      <c r="L45" s="1"/>
      <c r="M45" s="1"/>
      <c r="N45" s="1"/>
    </row>
    <row r="46" ht="15.75" customHeight="1">
      <c r="A46" t="s">
        <v>36</v>
      </c>
      <c r="B46" t="s">
        <v>14</v>
      </c>
      <c r="C46" t="s">
        <v>4914</v>
      </c>
      <c r="D46" t="s">
        <v>82</v>
      </c>
      <c r="E46">
        <v>25094.22</v>
      </c>
      <c r="F46">
        <v>7528.27</v>
      </c>
      <c r="G46">
        <v>1331.01</v>
      </c>
      <c r="H46">
        <v>5902.69</v>
      </c>
      <c r="I46">
        <v>33953.5</v>
      </c>
      <c r="J46">
        <v>28050.81</v>
      </c>
      <c r="K46" s="1"/>
      <c r="L46" s="1"/>
      <c r="M46" s="1"/>
      <c r="N46" s="1"/>
    </row>
    <row r="47" ht="15.75" customHeight="1">
      <c r="A47" t="s">
        <v>29</v>
      </c>
      <c r="B47" t="s">
        <v>54</v>
      </c>
      <c r="C47" t="s">
        <v>4917</v>
      </c>
      <c r="D47" t="s">
        <v>83</v>
      </c>
      <c r="E47">
        <v>44752.28</v>
      </c>
      <c r="F47">
        <v>13425.68</v>
      </c>
      <c r="G47">
        <v>6538.36</v>
      </c>
      <c r="H47">
        <v>10517.16</v>
      </c>
      <c r="I47">
        <v>64716.32</v>
      </c>
      <c r="J47">
        <v>54199.16</v>
      </c>
      <c r="K47" s="1"/>
      <c r="L47" s="1"/>
      <c r="M47" s="1"/>
      <c r="N47" s="1"/>
    </row>
    <row r="48" ht="15.75" customHeight="1">
      <c r="A48" t="s">
        <v>13</v>
      </c>
      <c r="B48" t="s">
        <v>54</v>
      </c>
      <c r="C48" t="s">
        <v>4916</v>
      </c>
      <c r="D48" t="s">
        <v>85</v>
      </c>
      <c r="E48">
        <v>37167.16</v>
      </c>
      <c r="F48">
        <v>11150.15</v>
      </c>
      <c r="G48">
        <v>2205.56</v>
      </c>
      <c r="H48">
        <v>10801.25</v>
      </c>
      <c r="I48">
        <v>50522.87</v>
      </c>
      <c r="J48">
        <v>39721.62</v>
      </c>
      <c r="K48" s="1"/>
      <c r="L48" s="1"/>
      <c r="M48" s="1"/>
      <c r="N48" s="1"/>
    </row>
    <row r="49" ht="15.75" customHeight="1">
      <c r="A49" t="s">
        <v>13</v>
      </c>
      <c r="B49" t="s">
        <v>37</v>
      </c>
      <c r="C49" t="s">
        <v>4914</v>
      </c>
      <c r="D49" t="s">
        <v>86</v>
      </c>
      <c r="E49">
        <v>46097.24</v>
      </c>
      <c r="F49">
        <v>13829.17</v>
      </c>
      <c r="G49">
        <v>2891.26</v>
      </c>
      <c r="H49">
        <v>693.43</v>
      </c>
      <c r="I49">
        <v>62817.67</v>
      </c>
      <c r="J49">
        <v>62124.24</v>
      </c>
      <c r="K49" s="1"/>
      <c r="L49" s="1"/>
      <c r="M49" s="1"/>
      <c r="N49" s="1"/>
    </row>
    <row r="50" ht="15.75" customHeight="1">
      <c r="A50" t="s">
        <v>53</v>
      </c>
      <c r="B50" t="s">
        <v>26</v>
      </c>
      <c r="C50" t="s">
        <v>4911</v>
      </c>
      <c r="D50" t="s">
        <v>87</v>
      </c>
      <c r="E50">
        <v>109120.54</v>
      </c>
      <c r="F50">
        <v>32736.16</v>
      </c>
      <c r="G50">
        <v>1241.35</v>
      </c>
      <c r="H50">
        <v>16624.36</v>
      </c>
      <c r="I50">
        <v>143098.05</v>
      </c>
      <c r="J50">
        <v>126473.69</v>
      </c>
      <c r="K50" s="1"/>
      <c r="L50" s="1"/>
      <c r="M50" s="1"/>
      <c r="N50" s="1"/>
    </row>
    <row r="51" ht="15.75" customHeight="1">
      <c r="A51" t="s">
        <v>17</v>
      </c>
      <c r="B51" t="s">
        <v>37</v>
      </c>
      <c r="C51" t="s">
        <v>4916</v>
      </c>
      <c r="D51" t="s">
        <v>88</v>
      </c>
      <c r="E51">
        <v>46223.3</v>
      </c>
      <c r="F51">
        <v>13866.99</v>
      </c>
      <c r="G51">
        <v>7967.23</v>
      </c>
      <c r="H51">
        <v>5599.15</v>
      </c>
      <c r="I51">
        <v>68057.52</v>
      </c>
      <c r="J51">
        <v>62458.37</v>
      </c>
      <c r="K51" s="1"/>
      <c r="L51" s="1"/>
      <c r="M51" s="1"/>
      <c r="N51" s="1"/>
    </row>
    <row r="52" ht="15.75" customHeight="1">
      <c r="A52" t="s">
        <v>51</v>
      </c>
      <c r="B52" t="s">
        <v>37</v>
      </c>
      <c r="C52" t="s">
        <v>4916</v>
      </c>
      <c r="D52" t="s">
        <v>89</v>
      </c>
      <c r="E52">
        <v>55701.34</v>
      </c>
      <c r="F52">
        <v>16710.4</v>
      </c>
      <c r="G52">
        <v>6900.08</v>
      </c>
      <c r="H52">
        <v>7005.42</v>
      </c>
      <c r="I52">
        <v>79311.82</v>
      </c>
      <c r="J52">
        <v>72306.4</v>
      </c>
      <c r="K52" s="1"/>
      <c r="L52" s="1"/>
      <c r="M52" s="1"/>
      <c r="N52" s="1"/>
    </row>
    <row r="53" ht="15.75" customHeight="1">
      <c r="A53" t="s">
        <v>53</v>
      </c>
      <c r="B53" t="s">
        <v>37</v>
      </c>
      <c r="C53" t="s">
        <v>4912</v>
      </c>
      <c r="D53" t="s">
        <v>90</v>
      </c>
      <c r="E53">
        <v>50694.66</v>
      </c>
      <c r="F53">
        <v>15208.4</v>
      </c>
      <c r="G53">
        <v>2643.89</v>
      </c>
      <c r="H53">
        <v>10185.46</v>
      </c>
      <c r="I53">
        <v>68546.95</v>
      </c>
      <c r="J53">
        <v>58361.49</v>
      </c>
      <c r="K53" s="1"/>
      <c r="L53" s="1"/>
      <c r="M53" s="1"/>
      <c r="N53" s="1"/>
    </row>
    <row r="54" ht="15.75" customHeight="1">
      <c r="A54" t="s">
        <v>36</v>
      </c>
      <c r="B54" t="s">
        <v>33</v>
      </c>
      <c r="C54" t="s">
        <v>4912</v>
      </c>
      <c r="D54" t="s">
        <v>91</v>
      </c>
      <c r="E54">
        <v>28957.86</v>
      </c>
      <c r="F54">
        <v>8687.36</v>
      </c>
      <c r="G54">
        <v>3890.14</v>
      </c>
      <c r="H54">
        <v>2606.18</v>
      </c>
      <c r="I54">
        <v>41535.36</v>
      </c>
      <c r="J54">
        <v>38929.18</v>
      </c>
      <c r="K54" s="1"/>
      <c r="L54" s="1"/>
      <c r="M54" s="1"/>
      <c r="N54" s="1"/>
    </row>
    <row r="55" ht="15.75" customHeight="1">
      <c r="A55" t="s">
        <v>25</v>
      </c>
      <c r="B55" t="s">
        <v>14</v>
      </c>
      <c r="C55" t="s">
        <v>4909</v>
      </c>
      <c r="D55" t="s">
        <v>92</v>
      </c>
      <c r="E55">
        <v>71780.1808858172</v>
      </c>
      <c r="F55">
        <v>5420.12</v>
      </c>
      <c r="G55">
        <v>2244.51</v>
      </c>
      <c r="H55">
        <v>3051.49</v>
      </c>
      <c r="I55">
        <v>79444.81</v>
      </c>
      <c r="J55">
        <v>76393.32</v>
      </c>
      <c r="K55" s="1"/>
      <c r="L55" s="1"/>
      <c r="M55" s="1"/>
      <c r="N55" s="1"/>
    </row>
    <row r="56" ht="15.75" customHeight="1">
      <c r="A56" t="s">
        <v>17</v>
      </c>
      <c r="B56" t="s">
        <v>37</v>
      </c>
      <c r="C56" t="s">
        <v>4909</v>
      </c>
      <c r="D56" t="s">
        <v>93</v>
      </c>
      <c r="E56">
        <v>48836.78</v>
      </c>
      <c r="F56">
        <v>14651.03</v>
      </c>
      <c r="G56">
        <v>2590.31</v>
      </c>
      <c r="H56">
        <v>13673.21</v>
      </c>
      <c r="I56">
        <v>66078.12</v>
      </c>
      <c r="J56">
        <v>52404.91</v>
      </c>
      <c r="K56" s="1"/>
      <c r="L56" s="1"/>
      <c r="M56" s="1"/>
      <c r="N56" s="1"/>
    </row>
    <row r="57" ht="15.75" customHeight="1">
      <c r="A57" t="s">
        <v>51</v>
      </c>
      <c r="B57" t="s">
        <v>33</v>
      </c>
      <c r="C57" t="s">
        <v>4910</v>
      </c>
      <c r="D57" t="s">
        <v>94</v>
      </c>
      <c r="E57">
        <v>27849.87</v>
      </c>
      <c r="F57">
        <v>8354.96</v>
      </c>
      <c r="G57">
        <v>2440.68</v>
      </c>
      <c r="H57">
        <v>4538.56</v>
      </c>
      <c r="I57">
        <v>38645.51</v>
      </c>
      <c r="J57">
        <v>34106.95</v>
      </c>
      <c r="K57" s="1"/>
      <c r="L57" s="1"/>
      <c r="M57" s="1"/>
      <c r="N57" s="1"/>
    </row>
    <row r="58" ht="15.75" customHeight="1">
      <c r="A58" t="s">
        <v>53</v>
      </c>
      <c r="B58" t="s">
        <v>26</v>
      </c>
      <c r="C58" t="s">
        <v>4910</v>
      </c>
      <c r="D58" t="s">
        <v>95</v>
      </c>
      <c r="E58">
        <v>113543.15</v>
      </c>
      <c r="F58">
        <v>34062.94</v>
      </c>
      <c r="G58">
        <v>177.65</v>
      </c>
      <c r="H58">
        <v>27832.97</v>
      </c>
      <c r="I58">
        <v>147783.74</v>
      </c>
      <c r="J58">
        <v>119950.77</v>
      </c>
      <c r="K58" s="1"/>
      <c r="L58" s="1"/>
      <c r="M58" s="1"/>
      <c r="N58" s="1"/>
    </row>
    <row r="59" ht="15.75" customHeight="1">
      <c r="A59" t="s">
        <v>13</v>
      </c>
      <c r="B59" t="s">
        <v>14</v>
      </c>
      <c r="C59" t="s">
        <v>4909</v>
      </c>
      <c r="D59" t="s">
        <v>96</v>
      </c>
      <c r="E59">
        <v>24760.3</v>
      </c>
      <c r="F59">
        <v>7428.09</v>
      </c>
      <c r="G59">
        <v>665.02</v>
      </c>
      <c r="H59">
        <v>857.41</v>
      </c>
      <c r="I59">
        <v>32853.41</v>
      </c>
      <c r="J59">
        <v>31996.0</v>
      </c>
      <c r="K59" s="1"/>
      <c r="L59" s="1"/>
      <c r="M59" s="1"/>
      <c r="N59" s="1"/>
    </row>
    <row r="60" ht="15.75" customHeight="1">
      <c r="A60" t="s">
        <v>13</v>
      </c>
      <c r="B60" t="s">
        <v>37</v>
      </c>
      <c r="C60" t="s">
        <v>4912</v>
      </c>
      <c r="D60" t="s">
        <v>97</v>
      </c>
      <c r="E60">
        <v>47798.06</v>
      </c>
      <c r="F60">
        <v>14339.42</v>
      </c>
      <c r="G60">
        <v>2693.48</v>
      </c>
      <c r="H60">
        <v>3020.31</v>
      </c>
      <c r="I60">
        <v>64830.96</v>
      </c>
      <c r="J60">
        <v>61810.65</v>
      </c>
      <c r="K60" s="1"/>
      <c r="L60" s="1"/>
      <c r="M60" s="1"/>
      <c r="N60" s="1"/>
    </row>
    <row r="61" ht="15.75" customHeight="1">
      <c r="A61" t="s">
        <v>51</v>
      </c>
      <c r="B61" t="s">
        <v>18</v>
      </c>
      <c r="C61" t="s">
        <v>4907</v>
      </c>
      <c r="D61" t="s">
        <v>98</v>
      </c>
      <c r="E61">
        <v>81490.19</v>
      </c>
      <c r="F61">
        <v>24447.06</v>
      </c>
      <c r="G61">
        <v>4302.42</v>
      </c>
      <c r="H61">
        <v>11943.17</v>
      </c>
      <c r="I61">
        <v>110239.67</v>
      </c>
      <c r="J61">
        <v>98296.5</v>
      </c>
      <c r="K61" s="1"/>
      <c r="L61" s="1"/>
      <c r="M61" s="1"/>
      <c r="N61" s="1"/>
    </row>
    <row r="62" ht="15.75" customHeight="1">
      <c r="A62" t="s">
        <v>17</v>
      </c>
      <c r="B62" t="s">
        <v>18</v>
      </c>
      <c r="C62" t="s">
        <v>4911</v>
      </c>
      <c r="D62" t="s">
        <v>99</v>
      </c>
      <c r="E62">
        <v>76012.97</v>
      </c>
      <c r="F62">
        <v>22803.89</v>
      </c>
      <c r="G62">
        <v>4206.26</v>
      </c>
      <c r="H62">
        <v>80.86</v>
      </c>
      <c r="I62">
        <v>103023.12</v>
      </c>
      <c r="J62">
        <v>102942.26</v>
      </c>
      <c r="K62" s="1"/>
      <c r="L62" s="1"/>
      <c r="M62" s="1"/>
      <c r="N62" s="1"/>
    </row>
    <row r="63" ht="15.75" customHeight="1">
      <c r="A63" t="s">
        <v>13</v>
      </c>
      <c r="B63" t="s">
        <v>33</v>
      </c>
      <c r="C63" t="s">
        <v>4915</v>
      </c>
      <c r="D63" t="s">
        <v>100</v>
      </c>
      <c r="E63">
        <v>26615.82</v>
      </c>
      <c r="F63">
        <v>7984.75</v>
      </c>
      <c r="G63">
        <v>2351.96</v>
      </c>
      <c r="H63">
        <v>5634.58</v>
      </c>
      <c r="I63">
        <v>36952.53</v>
      </c>
      <c r="J63">
        <v>31317.95</v>
      </c>
      <c r="K63" s="1"/>
      <c r="L63" s="1"/>
      <c r="M63" s="1"/>
      <c r="N63" s="1"/>
    </row>
    <row r="64" ht="15.75" customHeight="1">
      <c r="A64" t="s">
        <v>17</v>
      </c>
      <c r="B64" t="s">
        <v>14</v>
      </c>
      <c r="C64" t="s">
        <v>4915</v>
      </c>
      <c r="D64" t="s">
        <v>101</v>
      </c>
      <c r="E64">
        <v>18541.76</v>
      </c>
      <c r="F64">
        <v>5562.53</v>
      </c>
      <c r="G64">
        <v>3274.87</v>
      </c>
      <c r="H64">
        <v>5028.13</v>
      </c>
      <c r="I64">
        <v>27379.16</v>
      </c>
      <c r="J64">
        <v>22351.03</v>
      </c>
      <c r="K64" s="1"/>
      <c r="L64" s="1"/>
      <c r="M64" s="1"/>
      <c r="N64" s="1"/>
    </row>
    <row r="65" ht="15.75" customHeight="1">
      <c r="A65" t="s">
        <v>17</v>
      </c>
      <c r="B65" t="s">
        <v>26</v>
      </c>
      <c r="C65" t="s">
        <v>4907</v>
      </c>
      <c r="D65" t="s">
        <v>102</v>
      </c>
      <c r="E65">
        <v>103291.78</v>
      </c>
      <c r="F65">
        <v>30987.53</v>
      </c>
      <c r="G65">
        <v>11414.26</v>
      </c>
      <c r="H65">
        <v>13318.03</v>
      </c>
      <c r="I65">
        <v>145693.57</v>
      </c>
      <c r="J65">
        <v>132375.54</v>
      </c>
      <c r="K65" s="1"/>
      <c r="L65" s="1"/>
      <c r="M65" s="1"/>
      <c r="N65" s="1"/>
    </row>
    <row r="66" ht="15.75" customHeight="1">
      <c r="A66" t="s">
        <v>29</v>
      </c>
      <c r="B66" t="s">
        <v>33</v>
      </c>
      <c r="C66" t="s">
        <v>4912</v>
      </c>
      <c r="D66" t="s">
        <v>103</v>
      </c>
      <c r="E66">
        <v>33989.81</v>
      </c>
      <c r="F66">
        <v>10196.94</v>
      </c>
      <c r="G66">
        <v>5412.01</v>
      </c>
      <c r="H66">
        <v>8776.54</v>
      </c>
      <c r="I66">
        <v>49598.76</v>
      </c>
      <c r="J66">
        <v>40822.22</v>
      </c>
      <c r="K66" s="1"/>
      <c r="L66" s="1"/>
      <c r="M66" s="1"/>
      <c r="N66" s="1"/>
    </row>
    <row r="67" ht="15.75" customHeight="1">
      <c r="A67" t="s">
        <v>51</v>
      </c>
      <c r="B67" t="s">
        <v>18</v>
      </c>
      <c r="C67" t="s">
        <v>4913</v>
      </c>
      <c r="D67" t="s">
        <v>104</v>
      </c>
      <c r="E67">
        <v>71487.77</v>
      </c>
      <c r="F67">
        <v>21446.33</v>
      </c>
      <c r="G67">
        <v>1469.7</v>
      </c>
      <c r="H67">
        <v>16730.63</v>
      </c>
      <c r="I67">
        <v>94403.8</v>
      </c>
      <c r="J67">
        <v>77673.17</v>
      </c>
      <c r="K67" s="1"/>
      <c r="L67" s="1"/>
      <c r="M67" s="1"/>
      <c r="N67" s="1"/>
    </row>
    <row r="68" ht="15.75" customHeight="1">
      <c r="A68" t="s">
        <v>53</v>
      </c>
      <c r="B68" t="s">
        <v>18</v>
      </c>
      <c r="C68" t="s">
        <v>4911</v>
      </c>
      <c r="D68" t="s">
        <v>105</v>
      </c>
      <c r="E68">
        <v>69018.39</v>
      </c>
      <c r="F68">
        <v>20705.52</v>
      </c>
      <c r="G68">
        <v>12835.78</v>
      </c>
      <c r="H68">
        <v>17902.11</v>
      </c>
      <c r="I68">
        <v>102559.69</v>
      </c>
      <c r="J68">
        <v>84657.58</v>
      </c>
      <c r="K68" s="1"/>
      <c r="L68" s="1"/>
      <c r="M68" s="1"/>
      <c r="N68" s="1"/>
    </row>
    <row r="69" ht="15.75" customHeight="1">
      <c r="A69" t="s">
        <v>36</v>
      </c>
      <c r="B69" t="s">
        <v>14</v>
      </c>
      <c r="C69" t="s">
        <v>4913</v>
      </c>
      <c r="D69" t="s">
        <v>106</v>
      </c>
      <c r="E69">
        <v>19291.4</v>
      </c>
      <c r="F69">
        <v>5787.42</v>
      </c>
      <c r="G69">
        <v>3566.93</v>
      </c>
      <c r="H69">
        <v>4528.0</v>
      </c>
      <c r="I69">
        <v>28645.75</v>
      </c>
      <c r="J69">
        <v>24117.75</v>
      </c>
      <c r="K69" s="1"/>
      <c r="L69" s="1"/>
      <c r="M69" s="1"/>
      <c r="N69" s="1"/>
    </row>
    <row r="70" ht="15.75" customHeight="1">
      <c r="A70" t="s">
        <v>25</v>
      </c>
      <c r="B70" t="s">
        <v>18</v>
      </c>
      <c r="C70" t="s">
        <v>4905</v>
      </c>
      <c r="D70" t="s">
        <v>107</v>
      </c>
      <c r="E70">
        <v>87465.66</v>
      </c>
      <c r="F70">
        <v>26239.7</v>
      </c>
      <c r="G70">
        <v>14182.54</v>
      </c>
      <c r="H70">
        <v>7000.9</v>
      </c>
      <c r="I70">
        <v>127887.9</v>
      </c>
      <c r="J70">
        <v>120887.0</v>
      </c>
      <c r="K70" s="1"/>
      <c r="L70" s="1"/>
      <c r="M70" s="1"/>
      <c r="N70" s="1"/>
    </row>
    <row r="71" ht="15.75" customHeight="1">
      <c r="A71" t="s">
        <v>17</v>
      </c>
      <c r="B71" t="s">
        <v>54</v>
      </c>
      <c r="C71" t="s">
        <v>4914</v>
      </c>
      <c r="D71" t="s">
        <v>108</v>
      </c>
      <c r="E71">
        <v>47210.33</v>
      </c>
      <c r="F71">
        <v>14163.1</v>
      </c>
      <c r="G71">
        <v>8106.89</v>
      </c>
      <c r="H71">
        <v>3150.35</v>
      </c>
      <c r="I71">
        <v>69480.32</v>
      </c>
      <c r="J71">
        <v>66329.97</v>
      </c>
      <c r="K71" s="1"/>
      <c r="L71" s="1"/>
      <c r="M71" s="1"/>
      <c r="N71" s="1"/>
    </row>
    <row r="72" ht="15.75" customHeight="1">
      <c r="A72" t="s">
        <v>29</v>
      </c>
      <c r="B72" t="s">
        <v>33</v>
      </c>
      <c r="C72" t="s">
        <v>4917</v>
      </c>
      <c r="D72" t="s">
        <v>109</v>
      </c>
      <c r="E72">
        <v>33205.36</v>
      </c>
      <c r="F72">
        <v>9961.61</v>
      </c>
      <c r="G72">
        <v>5786.52</v>
      </c>
      <c r="H72">
        <v>2220.68</v>
      </c>
      <c r="I72">
        <v>48953.49</v>
      </c>
      <c r="J72">
        <v>46732.81</v>
      </c>
      <c r="K72" s="1"/>
      <c r="L72" s="1"/>
      <c r="M72" s="1"/>
      <c r="N72" s="1"/>
    </row>
    <row r="73" ht="15.75" customHeight="1">
      <c r="A73" t="s">
        <v>51</v>
      </c>
      <c r="B73" t="s">
        <v>54</v>
      </c>
      <c r="C73" t="s">
        <v>4910</v>
      </c>
      <c r="D73" t="s">
        <v>110</v>
      </c>
      <c r="E73">
        <v>39595.67</v>
      </c>
      <c r="F73">
        <v>11878.7</v>
      </c>
      <c r="G73">
        <v>6844.93</v>
      </c>
      <c r="H73">
        <v>11485.39</v>
      </c>
      <c r="I73">
        <v>58319.3</v>
      </c>
      <c r="J73">
        <v>46833.91</v>
      </c>
      <c r="K73" s="1"/>
      <c r="L73" s="1"/>
      <c r="M73" s="1"/>
      <c r="N73" s="1"/>
    </row>
    <row r="74" ht="15.75" customHeight="1">
      <c r="A74" t="s">
        <v>29</v>
      </c>
      <c r="B74" t="s">
        <v>18</v>
      </c>
      <c r="C74" t="s">
        <v>4912</v>
      </c>
      <c r="D74" t="s">
        <v>111</v>
      </c>
      <c r="E74">
        <v>72210.86634532797</v>
      </c>
      <c r="F74">
        <v>23473.37</v>
      </c>
      <c r="G74">
        <v>10633.72</v>
      </c>
      <c r="H74">
        <v>19803.57</v>
      </c>
      <c r="I74">
        <v>106317.96</v>
      </c>
      <c r="J74">
        <v>86514.39</v>
      </c>
      <c r="K74" s="1"/>
      <c r="L74" s="1"/>
      <c r="M74" s="1"/>
      <c r="N74" s="1"/>
    </row>
    <row r="75" ht="15.75" customHeight="1">
      <c r="A75" t="s">
        <v>17</v>
      </c>
      <c r="B75" t="s">
        <v>14</v>
      </c>
      <c r="C75" t="s">
        <v>4910</v>
      </c>
      <c r="D75" t="s">
        <v>112</v>
      </c>
      <c r="E75">
        <v>24314.68</v>
      </c>
      <c r="F75">
        <v>7294.4</v>
      </c>
      <c r="G75">
        <v>1270.27</v>
      </c>
      <c r="H75">
        <v>4235.06</v>
      </c>
      <c r="I75">
        <v>32879.35</v>
      </c>
      <c r="J75">
        <v>28644.29</v>
      </c>
      <c r="K75" s="1"/>
      <c r="L75" s="1"/>
      <c r="M75" s="1"/>
      <c r="N75" s="1"/>
    </row>
    <row r="76" ht="15.75" customHeight="1">
      <c r="A76" t="s">
        <v>17</v>
      </c>
      <c r="B76" t="s">
        <v>14</v>
      </c>
      <c r="C76" t="s">
        <v>4913</v>
      </c>
      <c r="D76" t="s">
        <v>113</v>
      </c>
      <c r="E76">
        <v>22295.31</v>
      </c>
      <c r="F76">
        <v>6688.59</v>
      </c>
      <c r="G76">
        <v>1541.44</v>
      </c>
      <c r="H76">
        <v>5260.1</v>
      </c>
      <c r="I76">
        <v>30525.34</v>
      </c>
      <c r="J76">
        <v>25265.24</v>
      </c>
      <c r="K76" s="1"/>
      <c r="L76" s="1"/>
      <c r="M76" s="1"/>
      <c r="N76" s="1"/>
    </row>
    <row r="77" ht="15.75" customHeight="1">
      <c r="A77" t="s">
        <v>53</v>
      </c>
      <c r="B77" t="s">
        <v>37</v>
      </c>
      <c r="C77" t="s">
        <v>4907</v>
      </c>
      <c r="D77" t="s">
        <v>114</v>
      </c>
      <c r="E77">
        <v>47081.62</v>
      </c>
      <c r="F77">
        <v>14124.49</v>
      </c>
      <c r="G77">
        <v>8470.03</v>
      </c>
      <c r="H77">
        <v>2684.76</v>
      </c>
      <c r="I77">
        <v>69676.14</v>
      </c>
      <c r="J77">
        <v>66991.38</v>
      </c>
      <c r="K77" s="1"/>
      <c r="L77" s="1"/>
      <c r="M77" s="1"/>
      <c r="N77" s="1"/>
    </row>
    <row r="78" ht="15.75" customHeight="1">
      <c r="A78" t="s">
        <v>13</v>
      </c>
      <c r="B78" t="s">
        <v>54</v>
      </c>
      <c r="C78" t="s">
        <v>4905</v>
      </c>
      <c r="D78" t="s">
        <v>115</v>
      </c>
      <c r="E78">
        <v>35023.68</v>
      </c>
      <c r="F78">
        <v>10507.1</v>
      </c>
      <c r="G78">
        <v>6483.41</v>
      </c>
      <c r="H78">
        <v>5657.57</v>
      </c>
      <c r="I78">
        <v>52014.19</v>
      </c>
      <c r="J78">
        <v>46356.62</v>
      </c>
      <c r="K78" s="1"/>
      <c r="L78" s="1"/>
      <c r="M78" s="1"/>
      <c r="N78" s="1"/>
    </row>
    <row r="79" ht="15.75" customHeight="1">
      <c r="A79" t="s">
        <v>13</v>
      </c>
      <c r="B79" t="s">
        <v>18</v>
      </c>
      <c r="C79" t="s">
        <v>4917</v>
      </c>
      <c r="D79" t="s">
        <v>116</v>
      </c>
      <c r="E79">
        <v>82436.34</v>
      </c>
      <c r="F79">
        <v>24730.9</v>
      </c>
      <c r="G79">
        <v>6005.02</v>
      </c>
      <c r="H79">
        <v>1730.52</v>
      </c>
      <c r="I79">
        <v>113172.26</v>
      </c>
      <c r="J79">
        <v>111441.74</v>
      </c>
      <c r="K79" s="1"/>
      <c r="L79" s="1"/>
      <c r="M79" s="1"/>
      <c r="N79" s="1"/>
    </row>
    <row r="80" ht="15.75" customHeight="1">
      <c r="A80" t="s">
        <v>29</v>
      </c>
      <c r="B80" t="s">
        <v>37</v>
      </c>
      <c r="C80" t="s">
        <v>4910</v>
      </c>
      <c r="D80" t="s">
        <v>117</v>
      </c>
      <c r="E80">
        <v>50650.48</v>
      </c>
      <c r="F80">
        <v>15195.14</v>
      </c>
      <c r="G80">
        <v>8590.48</v>
      </c>
      <c r="H80">
        <v>10936.77</v>
      </c>
      <c r="I80">
        <v>74436.1</v>
      </c>
      <c r="J80">
        <v>63499.33</v>
      </c>
      <c r="K80" s="1"/>
      <c r="L80" s="1"/>
      <c r="M80" s="1"/>
      <c r="N80" s="1"/>
    </row>
    <row r="81" ht="15.75" customHeight="1">
      <c r="A81" t="s">
        <v>53</v>
      </c>
      <c r="B81" t="s">
        <v>33</v>
      </c>
      <c r="C81" t="s">
        <v>4915</v>
      </c>
      <c r="D81" t="s">
        <v>118</v>
      </c>
      <c r="E81">
        <v>31668.93</v>
      </c>
      <c r="F81">
        <v>9500.68</v>
      </c>
      <c r="G81">
        <v>2065.97</v>
      </c>
      <c r="H81">
        <v>6623.95</v>
      </c>
      <c r="I81">
        <v>43235.58</v>
      </c>
      <c r="J81">
        <v>36611.63</v>
      </c>
      <c r="K81" s="1"/>
      <c r="L81" s="1"/>
      <c r="M81" s="1"/>
      <c r="N81" s="1"/>
    </row>
    <row r="82" ht="15.75" customHeight="1">
      <c r="A82" t="s">
        <v>51</v>
      </c>
      <c r="B82" t="s">
        <v>30</v>
      </c>
      <c r="C82" t="s">
        <v>4911</v>
      </c>
      <c r="D82" t="s">
        <v>119</v>
      </c>
      <c r="E82">
        <v>25699.93</v>
      </c>
      <c r="F82">
        <v>7709.98</v>
      </c>
      <c r="G82">
        <v>4833.46</v>
      </c>
      <c r="H82">
        <v>5222.11</v>
      </c>
      <c r="I82">
        <v>38243.37</v>
      </c>
      <c r="J82">
        <v>33021.26</v>
      </c>
      <c r="K82" s="1"/>
      <c r="L82" s="1"/>
      <c r="M82" s="1"/>
      <c r="N82" s="1"/>
    </row>
    <row r="83" ht="15.75" customHeight="1">
      <c r="A83" t="s">
        <v>53</v>
      </c>
      <c r="B83" t="s">
        <v>37</v>
      </c>
      <c r="C83" t="s">
        <v>4910</v>
      </c>
      <c r="D83" t="s">
        <v>120</v>
      </c>
      <c r="E83">
        <v>50417.1</v>
      </c>
      <c r="F83">
        <v>15125.13</v>
      </c>
      <c r="G83">
        <v>5525.08</v>
      </c>
      <c r="H83">
        <v>6.14</v>
      </c>
      <c r="I83">
        <v>71067.31</v>
      </c>
      <c r="J83">
        <v>71061.17</v>
      </c>
      <c r="K83" s="1"/>
      <c r="L83" s="1"/>
      <c r="M83" s="1"/>
      <c r="N83" s="1"/>
    </row>
    <row r="84" ht="15.75" customHeight="1">
      <c r="A84" t="s">
        <v>51</v>
      </c>
      <c r="B84" t="s">
        <v>54</v>
      </c>
      <c r="C84" t="s">
        <v>4914</v>
      </c>
      <c r="D84" t="s">
        <v>121</v>
      </c>
      <c r="E84">
        <v>46000.62</v>
      </c>
      <c r="F84">
        <v>13800.19</v>
      </c>
      <c r="G84">
        <v>5581.36</v>
      </c>
      <c r="H84">
        <v>4447.1</v>
      </c>
      <c r="I84">
        <v>65382.17</v>
      </c>
      <c r="J84">
        <v>60935.07</v>
      </c>
      <c r="K84" s="1"/>
      <c r="L84" s="1"/>
      <c r="M84" s="1"/>
      <c r="N84" s="1"/>
    </row>
    <row r="85" ht="15.75" customHeight="1">
      <c r="A85" t="s">
        <v>36</v>
      </c>
      <c r="B85" t="s">
        <v>18</v>
      </c>
      <c r="C85" t="s">
        <v>4905</v>
      </c>
      <c r="D85" t="s">
        <v>123</v>
      </c>
      <c r="E85">
        <v>70556.24</v>
      </c>
      <c r="F85">
        <v>21166.87</v>
      </c>
      <c r="G85">
        <v>6677.25</v>
      </c>
      <c r="H85">
        <v>19075.18</v>
      </c>
      <c r="I85">
        <v>98400.36</v>
      </c>
      <c r="J85">
        <v>79325.18</v>
      </c>
      <c r="K85" s="1"/>
      <c r="L85" s="1"/>
      <c r="M85" s="1"/>
      <c r="N85" s="1"/>
    </row>
    <row r="86" ht="15.75" customHeight="1">
      <c r="A86" t="s">
        <v>51</v>
      </c>
      <c r="B86" t="s">
        <v>18</v>
      </c>
      <c r="C86" t="s">
        <v>4912</v>
      </c>
      <c r="D86" t="s">
        <v>124</v>
      </c>
      <c r="E86">
        <v>67204.68</v>
      </c>
      <c r="F86">
        <v>20161.4</v>
      </c>
      <c r="G86">
        <v>6928.16</v>
      </c>
      <c r="H86">
        <v>12760.98</v>
      </c>
      <c r="I86">
        <v>94294.24</v>
      </c>
      <c r="J86">
        <v>81533.26</v>
      </c>
      <c r="K86" s="1"/>
      <c r="L86" s="1"/>
      <c r="M86" s="1"/>
      <c r="N86" s="1"/>
    </row>
    <row r="87" ht="15.75" customHeight="1">
      <c r="A87" t="s">
        <v>17</v>
      </c>
      <c r="B87" t="s">
        <v>26</v>
      </c>
      <c r="C87" t="s">
        <v>4908</v>
      </c>
      <c r="D87" t="s">
        <v>125</v>
      </c>
      <c r="E87">
        <v>124271.99</v>
      </c>
      <c r="F87">
        <v>37281.6</v>
      </c>
      <c r="G87">
        <v>5837.52</v>
      </c>
      <c r="H87">
        <v>11572.93</v>
      </c>
      <c r="I87">
        <v>167391.11</v>
      </c>
      <c r="J87">
        <v>155818.18</v>
      </c>
      <c r="K87" s="1"/>
      <c r="L87" s="1"/>
      <c r="M87" s="1"/>
      <c r="N87" s="1"/>
    </row>
    <row r="88" ht="15.75" customHeight="1">
      <c r="A88" t="s">
        <v>51</v>
      </c>
      <c r="B88" t="s">
        <v>14</v>
      </c>
      <c r="C88" t="s">
        <v>4909</v>
      </c>
      <c r="D88" t="s">
        <v>126</v>
      </c>
      <c r="E88">
        <v>18332.74</v>
      </c>
      <c r="F88">
        <v>5499.82</v>
      </c>
      <c r="G88">
        <v>3607.65</v>
      </c>
      <c r="H88">
        <v>3361.9</v>
      </c>
      <c r="I88">
        <v>27440.21</v>
      </c>
      <c r="J88">
        <v>24078.31</v>
      </c>
      <c r="K88" s="1"/>
      <c r="L88" s="1"/>
      <c r="M88" s="1"/>
      <c r="N88" s="1"/>
    </row>
    <row r="89" ht="15.75" customHeight="1">
      <c r="A89" t="s">
        <v>36</v>
      </c>
      <c r="B89" t="s">
        <v>54</v>
      </c>
      <c r="C89" t="s">
        <v>4913</v>
      </c>
      <c r="D89" t="s">
        <v>127</v>
      </c>
      <c r="E89">
        <v>47405.92</v>
      </c>
      <c r="F89">
        <v>14221.78</v>
      </c>
      <c r="G89">
        <v>5458.04</v>
      </c>
      <c r="H89">
        <v>10216.15</v>
      </c>
      <c r="I89">
        <v>67085.74</v>
      </c>
      <c r="J89">
        <v>56869.59</v>
      </c>
      <c r="K89" s="1"/>
      <c r="L89" s="1"/>
      <c r="M89" s="1"/>
      <c r="N89" s="1"/>
    </row>
    <row r="90" ht="15.75" customHeight="1">
      <c r="A90" t="s">
        <v>36</v>
      </c>
      <c r="B90" t="s">
        <v>54</v>
      </c>
      <c r="C90" t="s">
        <v>4909</v>
      </c>
      <c r="D90" t="s">
        <v>128</v>
      </c>
      <c r="E90">
        <v>38415.78</v>
      </c>
      <c r="F90">
        <v>11524.73</v>
      </c>
      <c r="G90">
        <v>5040.6</v>
      </c>
      <c r="H90">
        <v>63.9</v>
      </c>
      <c r="I90">
        <v>54981.11</v>
      </c>
      <c r="J90">
        <v>54917.21</v>
      </c>
      <c r="K90" s="1"/>
      <c r="L90" s="1"/>
      <c r="M90" s="1"/>
      <c r="N90" s="1"/>
    </row>
    <row r="91" ht="15.75" customHeight="1">
      <c r="A91" t="s">
        <v>25</v>
      </c>
      <c r="B91" t="s">
        <v>54</v>
      </c>
      <c r="C91" t="s">
        <v>4914</v>
      </c>
      <c r="D91" t="s">
        <v>129</v>
      </c>
      <c r="E91">
        <v>38063.78</v>
      </c>
      <c r="F91">
        <v>11419.13</v>
      </c>
      <c r="G91">
        <v>6121.49</v>
      </c>
      <c r="H91">
        <v>7946.71</v>
      </c>
      <c r="I91">
        <v>55604.4</v>
      </c>
      <c r="J91">
        <v>47657.69</v>
      </c>
      <c r="K91" s="1"/>
      <c r="L91" s="1"/>
      <c r="M91" s="1"/>
      <c r="N91" s="1"/>
    </row>
    <row r="92" ht="15.75" customHeight="1">
      <c r="A92" t="s">
        <v>17</v>
      </c>
      <c r="B92" t="s">
        <v>37</v>
      </c>
      <c r="C92" t="s">
        <v>4914</v>
      </c>
      <c r="D92" t="s">
        <v>130</v>
      </c>
      <c r="E92">
        <v>49485.57</v>
      </c>
      <c r="F92">
        <v>14845.67</v>
      </c>
      <c r="G92">
        <v>8396.08</v>
      </c>
      <c r="H92">
        <v>6776.48</v>
      </c>
      <c r="I92">
        <v>72727.32</v>
      </c>
      <c r="J92">
        <v>65950.84</v>
      </c>
      <c r="K92" s="1"/>
      <c r="L92" s="1"/>
      <c r="M92" s="1"/>
      <c r="N92" s="1"/>
    </row>
    <row r="93" ht="15.75" customHeight="1">
      <c r="A93" t="s">
        <v>13</v>
      </c>
      <c r="B93" t="s">
        <v>37</v>
      </c>
      <c r="C93" t="s">
        <v>4914</v>
      </c>
      <c r="D93" t="s">
        <v>131</v>
      </c>
      <c r="E93">
        <v>62782.06</v>
      </c>
      <c r="F93">
        <v>18834.62</v>
      </c>
      <c r="G93">
        <v>7476.74</v>
      </c>
      <c r="H93">
        <v>17893.63</v>
      </c>
      <c r="I93">
        <v>89093.42</v>
      </c>
      <c r="J93">
        <v>71199.79</v>
      </c>
      <c r="K93" s="1"/>
      <c r="L93" s="1"/>
      <c r="M93" s="1"/>
      <c r="N93" s="1"/>
    </row>
    <row r="94" ht="15.75" customHeight="1">
      <c r="A94" t="s">
        <v>53</v>
      </c>
      <c r="B94" t="s">
        <v>26</v>
      </c>
      <c r="C94" t="s">
        <v>4915</v>
      </c>
      <c r="D94" t="s">
        <v>132</v>
      </c>
      <c r="E94">
        <v>115893.86</v>
      </c>
      <c r="F94">
        <v>34768.16</v>
      </c>
      <c r="G94">
        <v>11700.14</v>
      </c>
      <c r="H94">
        <v>28877.36</v>
      </c>
      <c r="I94">
        <v>162362.16</v>
      </c>
      <c r="J94">
        <v>133484.8</v>
      </c>
      <c r="K94" s="1"/>
      <c r="L94" s="1"/>
      <c r="M94" s="1"/>
      <c r="N94" s="1"/>
    </row>
    <row r="95" ht="15.75" customHeight="1">
      <c r="A95" t="s">
        <v>36</v>
      </c>
      <c r="B95" t="s">
        <v>30</v>
      </c>
      <c r="C95" t="s">
        <v>4908</v>
      </c>
      <c r="D95" t="s">
        <v>133</v>
      </c>
      <c r="E95">
        <v>28544.17</v>
      </c>
      <c r="F95">
        <v>8563.25</v>
      </c>
      <c r="G95">
        <v>2709.84</v>
      </c>
      <c r="H95">
        <v>2219.52</v>
      </c>
      <c r="I95">
        <v>39817.26</v>
      </c>
      <c r="J95">
        <v>37597.74</v>
      </c>
      <c r="K95" s="1"/>
      <c r="L95" s="1"/>
      <c r="M95" s="1"/>
      <c r="N95" s="1"/>
    </row>
    <row r="96" ht="15.75" customHeight="1">
      <c r="A96" t="s">
        <v>25</v>
      </c>
      <c r="B96" t="s">
        <v>18</v>
      </c>
      <c r="C96" t="s">
        <v>4908</v>
      </c>
      <c r="D96" t="s">
        <v>135</v>
      </c>
      <c r="E96">
        <v>72210.1</v>
      </c>
      <c r="F96">
        <v>21663.03</v>
      </c>
      <c r="G96">
        <v>11231.2</v>
      </c>
      <c r="H96">
        <v>10497.84</v>
      </c>
      <c r="I96">
        <v>105104.33</v>
      </c>
      <c r="J96">
        <v>94606.49</v>
      </c>
      <c r="K96" s="1"/>
      <c r="L96" s="1"/>
      <c r="M96" s="1"/>
      <c r="N96" s="1"/>
    </row>
    <row r="97" ht="15.75" customHeight="1">
      <c r="A97" t="s">
        <v>29</v>
      </c>
      <c r="B97" t="s">
        <v>54</v>
      </c>
      <c r="C97" t="s">
        <v>4912</v>
      </c>
      <c r="D97" t="s">
        <v>136</v>
      </c>
      <c r="E97">
        <v>36084.77</v>
      </c>
      <c r="F97">
        <v>10825.43</v>
      </c>
      <c r="G97">
        <v>2062.09</v>
      </c>
      <c r="H97">
        <v>2941.43</v>
      </c>
      <c r="I97">
        <v>48972.29</v>
      </c>
      <c r="J97">
        <v>46030.86</v>
      </c>
      <c r="K97" s="1"/>
      <c r="L97" s="1"/>
      <c r="M97" s="1"/>
      <c r="N97" s="1"/>
    </row>
    <row r="98" ht="15.75" customHeight="1">
      <c r="A98" t="s">
        <v>51</v>
      </c>
      <c r="B98" t="s">
        <v>14</v>
      </c>
      <c r="C98" t="s">
        <v>4907</v>
      </c>
      <c r="D98" t="s">
        <v>137</v>
      </c>
      <c r="E98">
        <v>20987.05</v>
      </c>
      <c r="F98">
        <v>6296.11</v>
      </c>
      <c r="G98">
        <v>1388.84</v>
      </c>
      <c r="H98">
        <v>2933.51</v>
      </c>
      <c r="I98">
        <v>28672.0</v>
      </c>
      <c r="J98">
        <v>25738.49</v>
      </c>
      <c r="K98" s="1"/>
      <c r="L98" s="1"/>
      <c r="M98" s="1"/>
      <c r="N98" s="1"/>
    </row>
    <row r="99" ht="15.75" customHeight="1">
      <c r="A99" t="s">
        <v>51</v>
      </c>
      <c r="B99" t="s">
        <v>26</v>
      </c>
      <c r="C99" t="s">
        <v>4905</v>
      </c>
      <c r="D99" t="s">
        <v>138</v>
      </c>
      <c r="E99">
        <v>105125.17</v>
      </c>
      <c r="F99">
        <v>31537.55</v>
      </c>
      <c r="G99">
        <v>19024.26</v>
      </c>
      <c r="H99">
        <v>18420.43</v>
      </c>
      <c r="I99">
        <v>155686.98</v>
      </c>
      <c r="J99">
        <v>137266.55</v>
      </c>
      <c r="K99" s="1"/>
      <c r="L99" s="1"/>
      <c r="M99" s="1"/>
      <c r="N99" s="1"/>
    </row>
    <row r="100" ht="15.75" customHeight="1">
      <c r="A100" t="s">
        <v>17</v>
      </c>
      <c r="B100" t="s">
        <v>26</v>
      </c>
      <c r="C100" t="s">
        <v>4912</v>
      </c>
      <c r="D100" t="s">
        <v>139</v>
      </c>
      <c r="E100">
        <v>121703.64</v>
      </c>
      <c r="F100">
        <v>36511.09</v>
      </c>
      <c r="G100">
        <v>14012.72</v>
      </c>
      <c r="H100">
        <v>17415.05</v>
      </c>
      <c r="I100">
        <v>172227.45</v>
      </c>
      <c r="J100">
        <v>154812.4</v>
      </c>
      <c r="K100" s="1"/>
      <c r="L100" s="1"/>
      <c r="M100" s="1"/>
      <c r="N100" s="1"/>
    </row>
    <row r="101" ht="15.75" customHeight="1">
      <c r="A101" t="s">
        <v>29</v>
      </c>
      <c r="B101" t="s">
        <v>26</v>
      </c>
      <c r="C101" t="s">
        <v>4915</v>
      </c>
      <c r="D101" t="s">
        <v>140</v>
      </c>
      <c r="E101">
        <v>104039.52</v>
      </c>
      <c r="F101">
        <v>31211.86</v>
      </c>
      <c r="G101">
        <v>18553.19</v>
      </c>
      <c r="H101">
        <v>26084.64</v>
      </c>
      <c r="I101">
        <v>153804.57</v>
      </c>
      <c r="J101">
        <v>127719.93</v>
      </c>
      <c r="K101" s="1"/>
      <c r="L101" s="1"/>
      <c r="M101" s="1"/>
      <c r="N101" s="1"/>
    </row>
    <row r="102" ht="15.75" customHeight="1">
      <c r="A102" t="s">
        <v>13</v>
      </c>
      <c r="B102" t="s">
        <v>18</v>
      </c>
      <c r="C102" t="s">
        <v>4907</v>
      </c>
      <c r="D102" t="s">
        <v>141</v>
      </c>
      <c r="E102">
        <v>79199.44</v>
      </c>
      <c r="F102">
        <v>23759.83</v>
      </c>
      <c r="G102">
        <v>9555.45</v>
      </c>
      <c r="H102">
        <v>5239.96</v>
      </c>
      <c r="I102">
        <v>112514.72</v>
      </c>
      <c r="J102">
        <v>107274.76</v>
      </c>
      <c r="K102" s="1"/>
      <c r="L102" s="1"/>
      <c r="M102" s="1"/>
      <c r="N102" s="1"/>
    </row>
    <row r="103" ht="15.75" customHeight="1">
      <c r="A103" t="s">
        <v>29</v>
      </c>
      <c r="B103" t="s">
        <v>54</v>
      </c>
      <c r="C103" t="s">
        <v>4913</v>
      </c>
      <c r="D103" t="s">
        <v>143</v>
      </c>
      <c r="E103">
        <v>41798.99</v>
      </c>
      <c r="F103">
        <v>12539.7</v>
      </c>
      <c r="G103">
        <v>3250.77</v>
      </c>
      <c r="H103">
        <v>8387.47</v>
      </c>
      <c r="I103">
        <v>57589.46</v>
      </c>
      <c r="J103">
        <v>49201.99</v>
      </c>
      <c r="K103" s="1"/>
      <c r="L103" s="1"/>
      <c r="M103" s="1"/>
      <c r="N103" s="1"/>
    </row>
    <row r="104" ht="15.75" customHeight="1">
      <c r="A104" t="s">
        <v>13</v>
      </c>
      <c r="B104" t="s">
        <v>30</v>
      </c>
      <c r="C104" t="s">
        <v>4915</v>
      </c>
      <c r="D104" t="s">
        <v>144</v>
      </c>
      <c r="E104">
        <v>29396.45</v>
      </c>
      <c r="F104">
        <v>8818.93</v>
      </c>
      <c r="G104">
        <v>5406.25</v>
      </c>
      <c r="H104">
        <v>8648.92</v>
      </c>
      <c r="I104">
        <v>43621.63</v>
      </c>
      <c r="J104">
        <v>34972.71</v>
      </c>
      <c r="K104" s="1"/>
      <c r="L104" s="1"/>
      <c r="M104" s="1"/>
      <c r="N104" s="1"/>
    </row>
    <row r="105" ht="15.75" customHeight="1">
      <c r="A105" t="s">
        <v>17</v>
      </c>
      <c r="B105" t="s">
        <v>54</v>
      </c>
      <c r="C105" t="s">
        <v>4913</v>
      </c>
      <c r="D105" t="s">
        <v>145</v>
      </c>
      <c r="E105">
        <v>43286.5</v>
      </c>
      <c r="F105">
        <v>12985.95</v>
      </c>
      <c r="G105">
        <v>5739.79</v>
      </c>
      <c r="H105">
        <v>1090.14</v>
      </c>
      <c r="I105">
        <v>62012.24</v>
      </c>
      <c r="J105">
        <v>60922.1</v>
      </c>
      <c r="K105" s="1"/>
      <c r="L105" s="1"/>
      <c r="M105" s="1"/>
      <c r="N105" s="1"/>
    </row>
    <row r="106" ht="15.75" customHeight="1">
      <c r="A106" t="s">
        <v>51</v>
      </c>
      <c r="B106" t="s">
        <v>26</v>
      </c>
      <c r="C106" t="s">
        <v>4908</v>
      </c>
      <c r="D106" t="s">
        <v>146</v>
      </c>
      <c r="E106">
        <v>106621.14</v>
      </c>
      <c r="F106">
        <v>31986.34</v>
      </c>
      <c r="G106">
        <v>1072.28</v>
      </c>
      <c r="H106">
        <v>12126.15</v>
      </c>
      <c r="I106">
        <v>139679.76</v>
      </c>
      <c r="J106">
        <v>127553.61</v>
      </c>
      <c r="K106" s="1"/>
      <c r="L106" s="1"/>
      <c r="M106" s="1"/>
      <c r="N106" s="1"/>
    </row>
    <row r="107" ht="15.75" customHeight="1">
      <c r="A107" t="s">
        <v>36</v>
      </c>
      <c r="B107" t="s">
        <v>33</v>
      </c>
      <c r="C107" t="s">
        <v>4913</v>
      </c>
      <c r="D107" t="s">
        <v>147</v>
      </c>
      <c r="E107">
        <v>28375.01</v>
      </c>
      <c r="F107">
        <v>8512.5</v>
      </c>
      <c r="G107">
        <v>4991.96</v>
      </c>
      <c r="H107">
        <v>2368.66</v>
      </c>
      <c r="I107">
        <v>41879.47</v>
      </c>
      <c r="J107">
        <v>39510.81</v>
      </c>
      <c r="K107" s="1"/>
      <c r="L107" s="1"/>
      <c r="M107" s="1"/>
      <c r="N107" s="1"/>
    </row>
    <row r="108" ht="15.75" customHeight="1">
      <c r="A108" t="s">
        <v>29</v>
      </c>
      <c r="B108" t="s">
        <v>26</v>
      </c>
      <c r="C108" t="s">
        <v>4912</v>
      </c>
      <c r="D108" t="s">
        <v>148</v>
      </c>
      <c r="E108">
        <v>92948.62</v>
      </c>
      <c r="F108">
        <v>27884.59</v>
      </c>
      <c r="G108">
        <v>360.33</v>
      </c>
      <c r="H108">
        <v>15041.48</v>
      </c>
      <c r="I108">
        <v>121193.54</v>
      </c>
      <c r="J108">
        <v>106152.06</v>
      </c>
      <c r="K108" s="1"/>
      <c r="L108" s="1"/>
      <c r="M108" s="1"/>
      <c r="N108" s="1"/>
    </row>
    <row r="109" ht="15.75" customHeight="1">
      <c r="A109" t="s">
        <v>51</v>
      </c>
      <c r="B109" t="s">
        <v>18</v>
      </c>
      <c r="C109" t="s">
        <v>4907</v>
      </c>
      <c r="D109" t="s">
        <v>149</v>
      </c>
      <c r="E109">
        <v>66784.08</v>
      </c>
      <c r="F109">
        <v>20035.22</v>
      </c>
      <c r="G109">
        <v>12786.29</v>
      </c>
      <c r="H109">
        <v>806.58</v>
      </c>
      <c r="I109">
        <v>99605.59</v>
      </c>
      <c r="J109">
        <v>98799.01</v>
      </c>
      <c r="K109" s="1"/>
      <c r="L109" s="1"/>
      <c r="M109" s="1"/>
      <c r="N109" s="1"/>
    </row>
    <row r="110" ht="15.75" customHeight="1">
      <c r="A110" t="s">
        <v>51</v>
      </c>
      <c r="B110" t="s">
        <v>30</v>
      </c>
      <c r="C110" t="s">
        <v>4914</v>
      </c>
      <c r="D110" t="s">
        <v>150</v>
      </c>
      <c r="E110">
        <v>29385.21</v>
      </c>
      <c r="F110">
        <v>8815.56</v>
      </c>
      <c r="G110">
        <v>3651.62</v>
      </c>
      <c r="H110">
        <v>2102.91</v>
      </c>
      <c r="I110">
        <v>41852.39</v>
      </c>
      <c r="J110">
        <v>39749.48</v>
      </c>
      <c r="K110" s="1"/>
      <c r="L110" s="1"/>
      <c r="M110" s="1"/>
      <c r="N110" s="1"/>
    </row>
    <row r="111" ht="15.75" customHeight="1">
      <c r="A111" t="s">
        <v>51</v>
      </c>
      <c r="B111" t="s">
        <v>37</v>
      </c>
      <c r="C111" t="s">
        <v>4911</v>
      </c>
      <c r="D111" t="s">
        <v>151</v>
      </c>
      <c r="E111">
        <v>55930.45</v>
      </c>
      <c r="F111">
        <v>16779.13</v>
      </c>
      <c r="G111">
        <v>8366.36</v>
      </c>
      <c r="H111">
        <v>1921.76</v>
      </c>
      <c r="I111">
        <v>81075.94</v>
      </c>
      <c r="J111">
        <v>79154.18</v>
      </c>
      <c r="K111" s="1"/>
      <c r="L111" s="1"/>
      <c r="M111" s="1"/>
      <c r="N111" s="1"/>
    </row>
    <row r="112" ht="15.75" customHeight="1">
      <c r="A112" t="s">
        <v>29</v>
      </c>
      <c r="B112" t="s">
        <v>14</v>
      </c>
      <c r="C112" t="s">
        <v>4913</v>
      </c>
      <c r="D112" t="s">
        <v>152</v>
      </c>
      <c r="E112">
        <v>22166.53</v>
      </c>
      <c r="F112">
        <v>6649.96</v>
      </c>
      <c r="G112">
        <v>4118.04</v>
      </c>
      <c r="H112">
        <v>3829.02</v>
      </c>
      <c r="I112">
        <v>32934.53</v>
      </c>
      <c r="J112">
        <v>29105.51</v>
      </c>
      <c r="K112" s="1"/>
      <c r="L112" s="1"/>
      <c r="M112" s="1"/>
      <c r="N112" s="1"/>
    </row>
    <row r="113" ht="15.75" customHeight="1">
      <c r="A113" t="s">
        <v>36</v>
      </c>
      <c r="B113" t="s">
        <v>18</v>
      </c>
      <c r="C113" t="s">
        <v>4908</v>
      </c>
      <c r="D113" t="s">
        <v>153</v>
      </c>
      <c r="E113">
        <v>70156.57</v>
      </c>
      <c r="F113">
        <v>21046.97</v>
      </c>
      <c r="G113">
        <v>8307.91</v>
      </c>
      <c r="H113">
        <v>17481.02</v>
      </c>
      <c r="I113">
        <v>99511.45</v>
      </c>
      <c r="J113">
        <v>82030.43</v>
      </c>
      <c r="K113" s="1"/>
      <c r="L113" s="1"/>
      <c r="M113" s="1"/>
      <c r="N113" s="1"/>
    </row>
    <row r="114" ht="15.75" customHeight="1">
      <c r="A114" t="s">
        <v>17</v>
      </c>
      <c r="B114" t="s">
        <v>18</v>
      </c>
      <c r="C114" t="s">
        <v>4909</v>
      </c>
      <c r="D114" t="s">
        <v>154</v>
      </c>
      <c r="E114">
        <v>85084.5</v>
      </c>
      <c r="F114">
        <v>25525.35</v>
      </c>
      <c r="G114">
        <v>14469.36</v>
      </c>
      <c r="H114">
        <v>15325.72</v>
      </c>
      <c r="I114">
        <v>125079.21</v>
      </c>
      <c r="J114">
        <v>109753.49</v>
      </c>
      <c r="K114" s="1"/>
      <c r="L114" s="1"/>
      <c r="M114" s="1"/>
      <c r="N114" s="1"/>
    </row>
    <row r="115" ht="15.75" customHeight="1">
      <c r="A115" t="s">
        <v>25</v>
      </c>
      <c r="B115" t="s">
        <v>37</v>
      </c>
      <c r="C115" t="s">
        <v>4912</v>
      </c>
      <c r="D115" t="s">
        <v>155</v>
      </c>
      <c r="E115">
        <v>59087.44</v>
      </c>
      <c r="F115">
        <v>17726.23</v>
      </c>
      <c r="G115">
        <v>4103.08</v>
      </c>
      <c r="H115">
        <v>7593.53</v>
      </c>
      <c r="I115">
        <v>80916.75</v>
      </c>
      <c r="J115">
        <v>73323.22</v>
      </c>
      <c r="K115" s="1"/>
      <c r="L115" s="1"/>
      <c r="M115" s="1"/>
      <c r="N115" s="1"/>
    </row>
    <row r="116" ht="15.75" customHeight="1">
      <c r="A116" t="s">
        <v>17</v>
      </c>
      <c r="B116" t="s">
        <v>37</v>
      </c>
      <c r="C116" t="s">
        <v>4914</v>
      </c>
      <c r="D116" t="s">
        <v>156</v>
      </c>
      <c r="E116">
        <v>56655.78</v>
      </c>
      <c r="F116">
        <v>16996.73</v>
      </c>
      <c r="G116">
        <v>143.36</v>
      </c>
      <c r="H116">
        <v>7139.63</v>
      </c>
      <c r="I116">
        <v>73795.87</v>
      </c>
      <c r="J116">
        <v>66656.24</v>
      </c>
      <c r="K116" s="1"/>
      <c r="L116" s="1"/>
      <c r="M116" s="1"/>
      <c r="N116" s="1"/>
    </row>
    <row r="117" ht="15.75" customHeight="1">
      <c r="A117" t="s">
        <v>17</v>
      </c>
      <c r="B117" t="s">
        <v>54</v>
      </c>
      <c r="C117" t="s">
        <v>4905</v>
      </c>
      <c r="D117" t="s">
        <v>157</v>
      </c>
      <c r="E117">
        <v>48451.03</v>
      </c>
      <c r="F117">
        <v>14535.31</v>
      </c>
      <c r="G117">
        <v>6158.95</v>
      </c>
      <c r="H117">
        <v>12045.52</v>
      </c>
      <c r="I117">
        <v>69145.29</v>
      </c>
      <c r="J117">
        <v>57099.77</v>
      </c>
      <c r="K117" s="1"/>
      <c r="L117" s="1"/>
      <c r="M117" s="1"/>
      <c r="N117" s="1"/>
    </row>
    <row r="118" ht="15.75" customHeight="1">
      <c r="A118" t="s">
        <v>51</v>
      </c>
      <c r="B118" t="s">
        <v>54</v>
      </c>
      <c r="C118" t="s">
        <v>4916</v>
      </c>
      <c r="D118" t="s">
        <v>158</v>
      </c>
      <c r="E118">
        <v>37465.92</v>
      </c>
      <c r="F118">
        <v>11239.78</v>
      </c>
      <c r="G118">
        <v>3909.54</v>
      </c>
      <c r="H118">
        <v>7311.0</v>
      </c>
      <c r="I118">
        <v>52615.24</v>
      </c>
      <c r="J118">
        <v>45304.24</v>
      </c>
      <c r="K118" s="1"/>
      <c r="L118" s="1"/>
      <c r="M118" s="1"/>
      <c r="N118" s="1"/>
    </row>
    <row r="119" ht="15.75" customHeight="1">
      <c r="A119" t="s">
        <v>25</v>
      </c>
      <c r="B119" t="s">
        <v>37</v>
      </c>
      <c r="C119" t="s">
        <v>4916</v>
      </c>
      <c r="D119" t="s">
        <v>159</v>
      </c>
      <c r="E119">
        <v>58943.55</v>
      </c>
      <c r="F119">
        <v>17683.06</v>
      </c>
      <c r="G119">
        <v>5480.26</v>
      </c>
      <c r="H119">
        <v>14601.52</v>
      </c>
      <c r="I119">
        <v>82106.87</v>
      </c>
      <c r="J119">
        <v>67505.35</v>
      </c>
      <c r="K119" s="1"/>
      <c r="L119" s="1"/>
      <c r="M119" s="1"/>
      <c r="N119" s="1"/>
    </row>
    <row r="120" ht="15.75" customHeight="1">
      <c r="A120" t="s">
        <v>29</v>
      </c>
      <c r="B120" t="s">
        <v>33</v>
      </c>
      <c r="C120" t="s">
        <v>4914</v>
      </c>
      <c r="D120" t="s">
        <v>160</v>
      </c>
      <c r="E120">
        <v>33517.13</v>
      </c>
      <c r="F120">
        <v>10055.14</v>
      </c>
      <c r="G120">
        <v>5568.74</v>
      </c>
      <c r="H120">
        <v>871.41</v>
      </c>
      <c r="I120">
        <v>49141.01</v>
      </c>
      <c r="J120">
        <v>48269.6</v>
      </c>
      <c r="K120" s="1"/>
      <c r="L120" s="1"/>
      <c r="M120" s="1"/>
      <c r="N120" s="1"/>
    </row>
    <row r="121" ht="15.75" customHeight="1">
      <c r="A121" t="s">
        <v>51</v>
      </c>
      <c r="B121" t="s">
        <v>26</v>
      </c>
      <c r="C121" t="s">
        <v>4907</v>
      </c>
      <c r="D121" t="s">
        <v>161</v>
      </c>
      <c r="E121">
        <v>106729.5</v>
      </c>
      <c r="F121">
        <v>32018.85</v>
      </c>
      <c r="G121">
        <v>13028.08</v>
      </c>
      <c r="H121">
        <v>12134.8</v>
      </c>
      <c r="I121">
        <v>151776.43</v>
      </c>
      <c r="J121">
        <v>139641.63</v>
      </c>
      <c r="K121" s="1"/>
      <c r="L121" s="1"/>
      <c r="M121" s="1"/>
      <c r="N121" s="1"/>
    </row>
    <row r="122" ht="15.75" customHeight="1">
      <c r="A122" t="s">
        <v>36</v>
      </c>
      <c r="B122" t="s">
        <v>26</v>
      </c>
      <c r="C122" t="s">
        <v>4910</v>
      </c>
      <c r="D122" t="s">
        <v>162</v>
      </c>
      <c r="E122">
        <v>101700.51</v>
      </c>
      <c r="F122">
        <v>30510.15</v>
      </c>
      <c r="G122">
        <v>9916.82</v>
      </c>
      <c r="H122">
        <v>10825.76</v>
      </c>
      <c r="I122">
        <v>142127.48</v>
      </c>
      <c r="J122">
        <v>131301.72</v>
      </c>
      <c r="K122" s="1"/>
      <c r="L122" s="1"/>
      <c r="M122" s="1"/>
      <c r="N122" s="1"/>
    </row>
    <row r="123" ht="15.75" customHeight="1">
      <c r="A123" t="s">
        <v>36</v>
      </c>
      <c r="B123" t="s">
        <v>33</v>
      </c>
      <c r="C123" t="s">
        <v>4907</v>
      </c>
      <c r="D123" t="s">
        <v>163</v>
      </c>
      <c r="E123">
        <v>33803.2</v>
      </c>
      <c r="F123">
        <v>10140.96</v>
      </c>
      <c r="G123">
        <v>4740.45</v>
      </c>
      <c r="H123">
        <v>2801.63</v>
      </c>
      <c r="I123">
        <v>48684.61</v>
      </c>
      <c r="J123">
        <v>45882.98</v>
      </c>
      <c r="K123" s="1"/>
      <c r="L123" s="1"/>
      <c r="M123" s="1"/>
      <c r="N123" s="1"/>
    </row>
    <row r="124" ht="15.75" customHeight="1">
      <c r="A124" t="s">
        <v>53</v>
      </c>
      <c r="B124" t="s">
        <v>30</v>
      </c>
      <c r="C124" t="s">
        <v>4908</v>
      </c>
      <c r="D124" t="s">
        <v>164</v>
      </c>
      <c r="E124">
        <v>22753.39</v>
      </c>
      <c r="F124">
        <v>6826.02</v>
      </c>
      <c r="G124">
        <v>3276.83</v>
      </c>
      <c r="H124">
        <v>3335.04</v>
      </c>
      <c r="I124">
        <v>32856.24</v>
      </c>
      <c r="J124">
        <v>29521.2</v>
      </c>
      <c r="K124" s="1"/>
      <c r="L124" s="1"/>
      <c r="M124" s="1"/>
      <c r="N124" s="1"/>
    </row>
    <row r="125" ht="15.75" customHeight="1">
      <c r="A125" t="s">
        <v>13</v>
      </c>
      <c r="B125" t="s">
        <v>54</v>
      </c>
      <c r="C125" t="s">
        <v>4909</v>
      </c>
      <c r="D125" t="s">
        <v>165</v>
      </c>
      <c r="E125">
        <v>44042.64</v>
      </c>
      <c r="F125">
        <v>13212.79</v>
      </c>
      <c r="G125">
        <v>4323.41</v>
      </c>
      <c r="H125">
        <v>10476.86</v>
      </c>
      <c r="I125">
        <v>61578.84</v>
      </c>
      <c r="J125">
        <v>51101.98</v>
      </c>
      <c r="K125" s="1"/>
      <c r="L125" s="1"/>
      <c r="M125" s="1"/>
      <c r="N125" s="1"/>
    </row>
    <row r="126" ht="15.75" customHeight="1">
      <c r="A126" t="s">
        <v>29</v>
      </c>
      <c r="B126" t="s">
        <v>30</v>
      </c>
      <c r="C126" t="s">
        <v>4912</v>
      </c>
      <c r="D126" t="s">
        <v>166</v>
      </c>
      <c r="E126">
        <v>25558.73</v>
      </c>
      <c r="F126">
        <v>7667.62</v>
      </c>
      <c r="G126">
        <v>1243.71</v>
      </c>
      <c r="H126">
        <v>5090.99</v>
      </c>
      <c r="I126">
        <v>34470.06</v>
      </c>
      <c r="J126">
        <v>29379.07</v>
      </c>
      <c r="K126" s="1"/>
      <c r="L126" s="1"/>
      <c r="M126" s="1"/>
      <c r="N126" s="1"/>
    </row>
    <row r="127" ht="15.75" customHeight="1">
      <c r="A127" t="s">
        <v>36</v>
      </c>
      <c r="B127" t="s">
        <v>37</v>
      </c>
      <c r="C127" t="s">
        <v>4912</v>
      </c>
      <c r="D127" t="s">
        <v>167</v>
      </c>
      <c r="E127">
        <v>54556.59</v>
      </c>
      <c r="F127">
        <v>16366.98</v>
      </c>
      <c r="G127">
        <v>4642.81</v>
      </c>
      <c r="H127">
        <v>12208.71</v>
      </c>
      <c r="I127">
        <v>75566.38</v>
      </c>
      <c r="J127">
        <v>63357.67</v>
      </c>
      <c r="K127" s="1"/>
      <c r="L127" s="1"/>
      <c r="M127" s="1"/>
      <c r="N127" s="1"/>
    </row>
    <row r="128" ht="15.75" customHeight="1">
      <c r="A128" t="s">
        <v>29</v>
      </c>
      <c r="B128" t="s">
        <v>18</v>
      </c>
      <c r="C128" t="s">
        <v>4905</v>
      </c>
      <c r="D128" t="s">
        <v>168</v>
      </c>
      <c r="E128">
        <v>76797.38</v>
      </c>
      <c r="F128">
        <v>23039.21</v>
      </c>
      <c r="G128">
        <v>4709.57</v>
      </c>
      <c r="H128">
        <v>5311.42</v>
      </c>
      <c r="I128">
        <v>104546.16</v>
      </c>
      <c r="J128">
        <v>99234.74</v>
      </c>
      <c r="K128" s="1"/>
      <c r="L128" s="1"/>
      <c r="M128" s="1"/>
      <c r="N128" s="1"/>
    </row>
    <row r="129" ht="15.75" customHeight="1">
      <c r="A129" t="s">
        <v>51</v>
      </c>
      <c r="B129" t="s">
        <v>33</v>
      </c>
      <c r="C129" t="s">
        <v>4911</v>
      </c>
      <c r="D129" t="s">
        <v>169</v>
      </c>
      <c r="E129">
        <v>26195.55</v>
      </c>
      <c r="F129">
        <v>7858.66</v>
      </c>
      <c r="G129">
        <v>2807.45</v>
      </c>
      <c r="H129">
        <v>5989.79</v>
      </c>
      <c r="I129">
        <v>36861.66</v>
      </c>
      <c r="J129">
        <v>30871.87</v>
      </c>
      <c r="K129" s="1"/>
      <c r="L129" s="1"/>
      <c r="M129" s="1"/>
      <c r="N129" s="1"/>
    </row>
    <row r="130" ht="15.75" customHeight="1">
      <c r="A130" t="s">
        <v>51</v>
      </c>
      <c r="B130" t="s">
        <v>30</v>
      </c>
      <c r="C130" t="s">
        <v>4915</v>
      </c>
      <c r="D130" t="s">
        <v>170</v>
      </c>
      <c r="E130">
        <v>28499.72</v>
      </c>
      <c r="F130">
        <v>8549.92</v>
      </c>
      <c r="G130">
        <v>1576.03</v>
      </c>
      <c r="H130">
        <v>5040.92</v>
      </c>
      <c r="I130">
        <v>38625.67</v>
      </c>
      <c r="J130">
        <v>33584.75</v>
      </c>
      <c r="K130" s="1"/>
      <c r="L130" s="1"/>
      <c r="M130" s="1"/>
      <c r="N130" s="1"/>
    </row>
    <row r="131" ht="15.75" customHeight="1">
      <c r="A131" t="s">
        <v>53</v>
      </c>
      <c r="B131" t="s">
        <v>33</v>
      </c>
      <c r="C131" t="s">
        <v>4912</v>
      </c>
      <c r="D131" t="s">
        <v>171</v>
      </c>
      <c r="E131">
        <v>34805.11</v>
      </c>
      <c r="F131">
        <v>10441.53</v>
      </c>
      <c r="G131">
        <v>5795.94</v>
      </c>
      <c r="H131">
        <v>3093.27</v>
      </c>
      <c r="I131">
        <v>51042.58</v>
      </c>
      <c r="J131">
        <v>47949.31</v>
      </c>
      <c r="K131" s="1"/>
      <c r="L131" s="1"/>
      <c r="M131" s="1"/>
      <c r="N131" s="1"/>
    </row>
    <row r="132" ht="15.75" customHeight="1">
      <c r="A132" t="s">
        <v>51</v>
      </c>
      <c r="B132" t="s">
        <v>33</v>
      </c>
      <c r="C132" t="s">
        <v>4907</v>
      </c>
      <c r="D132" t="s">
        <v>172</v>
      </c>
      <c r="E132">
        <v>25141.48</v>
      </c>
      <c r="F132">
        <v>7542.44</v>
      </c>
      <c r="G132">
        <v>2685.79</v>
      </c>
      <c r="H132">
        <v>2068.98</v>
      </c>
      <c r="I132">
        <v>35369.71</v>
      </c>
      <c r="J132">
        <v>33300.73</v>
      </c>
      <c r="K132" s="1"/>
      <c r="L132" s="1"/>
      <c r="M132" s="1"/>
      <c r="N132" s="1"/>
    </row>
    <row r="133" ht="15.75" customHeight="1">
      <c r="A133" t="s">
        <v>53</v>
      </c>
      <c r="B133" t="s">
        <v>33</v>
      </c>
      <c r="C133" t="s">
        <v>4914</v>
      </c>
      <c r="D133" t="s">
        <v>173</v>
      </c>
      <c r="E133">
        <v>31974.17</v>
      </c>
      <c r="F133">
        <v>9592.25</v>
      </c>
      <c r="G133">
        <v>807.54</v>
      </c>
      <c r="H133">
        <v>8330.5</v>
      </c>
      <c r="I133">
        <v>42373.96</v>
      </c>
      <c r="J133">
        <v>34043.46</v>
      </c>
      <c r="K133" s="1"/>
      <c r="L133" s="1"/>
      <c r="M133" s="1"/>
      <c r="N133" s="1"/>
    </row>
    <row r="134" ht="15.75" customHeight="1">
      <c r="A134" t="s">
        <v>17</v>
      </c>
      <c r="B134" t="s">
        <v>26</v>
      </c>
      <c r="C134" t="s">
        <v>4912</v>
      </c>
      <c r="D134" t="s">
        <v>174</v>
      </c>
      <c r="E134">
        <v>90441.55</v>
      </c>
      <c r="F134">
        <v>27132.47</v>
      </c>
      <c r="G134">
        <v>5143.22</v>
      </c>
      <c r="H134">
        <v>12988.7</v>
      </c>
      <c r="I134">
        <v>122717.24</v>
      </c>
      <c r="J134">
        <v>109728.54</v>
      </c>
      <c r="K134" s="1"/>
      <c r="L134" s="1"/>
      <c r="M134" s="1"/>
      <c r="N134" s="1"/>
    </row>
    <row r="135" ht="15.75" customHeight="1">
      <c r="A135" t="s">
        <v>51</v>
      </c>
      <c r="B135" t="s">
        <v>14</v>
      </c>
      <c r="C135" t="s">
        <v>4909</v>
      </c>
      <c r="D135" t="s">
        <v>175</v>
      </c>
      <c r="E135">
        <v>19817.84</v>
      </c>
      <c r="F135">
        <v>5945.35</v>
      </c>
      <c r="G135">
        <v>3415.5</v>
      </c>
      <c r="H135">
        <v>678.29</v>
      </c>
      <c r="I135">
        <v>29178.69</v>
      </c>
      <c r="J135">
        <v>28500.4</v>
      </c>
      <c r="K135" s="1"/>
      <c r="L135" s="1"/>
      <c r="M135" s="1"/>
      <c r="N135" s="1"/>
    </row>
    <row r="136" ht="15.75" customHeight="1">
      <c r="A136" t="s">
        <v>36</v>
      </c>
      <c r="B136" t="s">
        <v>54</v>
      </c>
      <c r="C136" t="s">
        <v>4911</v>
      </c>
      <c r="D136" t="s">
        <v>176</v>
      </c>
      <c r="E136">
        <v>36037.15</v>
      </c>
      <c r="F136">
        <v>10811.15</v>
      </c>
      <c r="G136">
        <v>4536.69</v>
      </c>
      <c r="H136">
        <v>579.58</v>
      </c>
      <c r="I136">
        <v>51384.99</v>
      </c>
      <c r="J136">
        <v>50805.41</v>
      </c>
      <c r="K136" s="1"/>
      <c r="L136" s="1"/>
      <c r="M136" s="1"/>
      <c r="N136" s="1"/>
    </row>
    <row r="137" ht="15.75" customHeight="1">
      <c r="A137" t="s">
        <v>25</v>
      </c>
      <c r="B137" t="s">
        <v>37</v>
      </c>
      <c r="C137" t="s">
        <v>4915</v>
      </c>
      <c r="D137" t="s">
        <v>177</v>
      </c>
      <c r="E137">
        <v>62084.26</v>
      </c>
      <c r="F137">
        <v>18625.28</v>
      </c>
      <c r="G137">
        <v>1057.68</v>
      </c>
      <c r="H137">
        <v>4622.63</v>
      </c>
      <c r="I137">
        <v>81767.22</v>
      </c>
      <c r="J137">
        <v>77144.59</v>
      </c>
      <c r="K137" s="1"/>
      <c r="L137" s="1"/>
      <c r="M137" s="1"/>
      <c r="N137" s="1"/>
    </row>
    <row r="138" ht="15.75" customHeight="1">
      <c r="A138" t="s">
        <v>25</v>
      </c>
      <c r="B138" t="s">
        <v>54</v>
      </c>
      <c r="C138" t="s">
        <v>4915</v>
      </c>
      <c r="D138" t="s">
        <v>178</v>
      </c>
      <c r="E138">
        <v>43488.45</v>
      </c>
      <c r="F138">
        <v>13046.53</v>
      </c>
      <c r="G138">
        <v>6877.62</v>
      </c>
      <c r="H138">
        <v>2944.44</v>
      </c>
      <c r="I138">
        <v>63412.6</v>
      </c>
      <c r="J138">
        <v>60468.16</v>
      </c>
      <c r="K138" s="1"/>
      <c r="L138" s="1"/>
      <c r="M138" s="1"/>
      <c r="N138" s="1"/>
    </row>
    <row r="139" ht="15.75" customHeight="1">
      <c r="A139" t="s">
        <v>36</v>
      </c>
      <c r="B139" t="s">
        <v>54</v>
      </c>
      <c r="C139" t="s">
        <v>4913</v>
      </c>
      <c r="D139" t="s">
        <v>179</v>
      </c>
      <c r="E139">
        <v>47719.06</v>
      </c>
      <c r="F139">
        <v>14315.72</v>
      </c>
      <c r="G139">
        <v>2837.88</v>
      </c>
      <c r="H139">
        <v>8425.16</v>
      </c>
      <c r="I139">
        <v>64872.66</v>
      </c>
      <c r="J139">
        <v>56447.5</v>
      </c>
      <c r="K139" s="1"/>
      <c r="L139" s="1"/>
      <c r="M139" s="1"/>
      <c r="N139" s="1"/>
    </row>
    <row r="140" ht="15.75" customHeight="1">
      <c r="A140" t="s">
        <v>29</v>
      </c>
      <c r="B140" t="s">
        <v>37</v>
      </c>
      <c r="C140" t="s">
        <v>4908</v>
      </c>
      <c r="D140" t="s">
        <v>180</v>
      </c>
      <c r="E140">
        <v>56178.49</v>
      </c>
      <c r="F140">
        <v>16853.55</v>
      </c>
      <c r="G140">
        <v>6849.63</v>
      </c>
      <c r="H140">
        <v>12473.13</v>
      </c>
      <c r="I140">
        <v>79881.67</v>
      </c>
      <c r="J140">
        <v>67408.54</v>
      </c>
      <c r="K140" s="1"/>
      <c r="L140" s="1"/>
      <c r="M140" s="1"/>
      <c r="N140" s="1"/>
    </row>
    <row r="141" ht="15.75" customHeight="1">
      <c r="A141" t="s">
        <v>13</v>
      </c>
      <c r="B141" t="s">
        <v>30</v>
      </c>
      <c r="C141" t="s">
        <v>4915</v>
      </c>
      <c r="D141" t="s">
        <v>181</v>
      </c>
      <c r="E141">
        <v>24328.89</v>
      </c>
      <c r="F141">
        <v>7298.67</v>
      </c>
      <c r="G141">
        <v>395.04</v>
      </c>
      <c r="H141">
        <v>1750.7</v>
      </c>
      <c r="I141">
        <v>32022.6</v>
      </c>
      <c r="J141">
        <v>30271.9</v>
      </c>
      <c r="K141" s="1"/>
      <c r="L141" s="1"/>
      <c r="M141" s="1"/>
      <c r="N141" s="1"/>
    </row>
    <row r="142" ht="15.75" customHeight="1">
      <c r="A142" t="s">
        <v>17</v>
      </c>
      <c r="B142" t="s">
        <v>30</v>
      </c>
      <c r="C142" t="s">
        <v>4910</v>
      </c>
      <c r="D142" t="s">
        <v>182</v>
      </c>
      <c r="E142">
        <v>22023.55</v>
      </c>
      <c r="F142">
        <v>6607.06</v>
      </c>
      <c r="G142">
        <v>1984.34</v>
      </c>
      <c r="H142">
        <v>3923.35</v>
      </c>
      <c r="I142">
        <v>30614.95</v>
      </c>
      <c r="J142">
        <v>26691.6</v>
      </c>
      <c r="K142" s="1"/>
      <c r="L142" s="1"/>
      <c r="M142" s="1"/>
      <c r="N142" s="1"/>
    </row>
    <row r="143" ht="15.75" customHeight="1">
      <c r="A143" t="s">
        <v>17</v>
      </c>
      <c r="B143" t="s">
        <v>30</v>
      </c>
      <c r="C143" t="s">
        <v>4909</v>
      </c>
      <c r="D143" t="s">
        <v>183</v>
      </c>
      <c r="E143">
        <v>24535.32</v>
      </c>
      <c r="F143">
        <v>7360.6</v>
      </c>
      <c r="G143">
        <v>1387.32</v>
      </c>
      <c r="H143">
        <v>6327.22</v>
      </c>
      <c r="I143">
        <v>33283.24</v>
      </c>
      <c r="J143">
        <v>26956.02</v>
      </c>
      <c r="K143" s="1"/>
      <c r="L143" s="1"/>
      <c r="M143" s="1"/>
      <c r="N143" s="1"/>
    </row>
    <row r="144" ht="15.75" customHeight="1">
      <c r="A144" t="s">
        <v>13</v>
      </c>
      <c r="B144" t="s">
        <v>30</v>
      </c>
      <c r="C144" t="s">
        <v>4917</v>
      </c>
      <c r="D144" t="s">
        <v>184</v>
      </c>
      <c r="E144">
        <v>30130.42</v>
      </c>
      <c r="F144">
        <v>9039.13</v>
      </c>
      <c r="G144">
        <v>4747.52</v>
      </c>
      <c r="H144">
        <v>5649.98</v>
      </c>
      <c r="I144">
        <v>43917.07</v>
      </c>
      <c r="J144">
        <v>38267.09</v>
      </c>
      <c r="K144" s="1"/>
      <c r="L144" s="1"/>
      <c r="M144" s="1"/>
      <c r="N144" s="1"/>
    </row>
    <row r="145" ht="15.75" customHeight="1">
      <c r="A145" t="s">
        <v>25</v>
      </c>
      <c r="B145" t="s">
        <v>30</v>
      </c>
      <c r="C145" t="s">
        <v>4910</v>
      </c>
      <c r="D145" t="s">
        <v>185</v>
      </c>
      <c r="E145">
        <v>25741.22</v>
      </c>
      <c r="F145">
        <v>7722.37</v>
      </c>
      <c r="G145">
        <v>2803.54</v>
      </c>
      <c r="H145">
        <v>5001.27</v>
      </c>
      <c r="I145">
        <v>36267.13</v>
      </c>
      <c r="J145">
        <v>31265.86</v>
      </c>
      <c r="K145" s="1"/>
      <c r="L145" s="1"/>
      <c r="M145" s="1"/>
      <c r="N145" s="1"/>
    </row>
    <row r="146" ht="15.75" customHeight="1">
      <c r="A146" t="s">
        <v>25</v>
      </c>
      <c r="B146" t="s">
        <v>30</v>
      </c>
      <c r="C146" t="s">
        <v>4905</v>
      </c>
      <c r="D146" t="s">
        <v>186</v>
      </c>
      <c r="E146">
        <v>22628.41</v>
      </c>
      <c r="F146">
        <v>6788.52</v>
      </c>
      <c r="G146">
        <v>750.91</v>
      </c>
      <c r="H146">
        <v>2088.23</v>
      </c>
      <c r="I146">
        <v>30167.84</v>
      </c>
      <c r="J146">
        <v>28079.61</v>
      </c>
      <c r="K146" s="1"/>
      <c r="L146" s="1"/>
      <c r="M146" s="1"/>
      <c r="N146" s="1"/>
    </row>
    <row r="147" ht="15.75" customHeight="1">
      <c r="A147" t="s">
        <v>25</v>
      </c>
      <c r="B147" t="s">
        <v>37</v>
      </c>
      <c r="C147" t="s">
        <v>4910</v>
      </c>
      <c r="D147" t="s">
        <v>187</v>
      </c>
      <c r="E147">
        <v>61581.47</v>
      </c>
      <c r="F147">
        <v>18474.44</v>
      </c>
      <c r="G147">
        <v>5408.74</v>
      </c>
      <c r="H147">
        <v>8658.93</v>
      </c>
      <c r="I147">
        <v>85464.65</v>
      </c>
      <c r="J147">
        <v>76805.72</v>
      </c>
      <c r="K147" s="1"/>
      <c r="L147" s="1"/>
      <c r="M147" s="1"/>
      <c r="N147" s="1"/>
    </row>
    <row r="148" ht="15.75" customHeight="1">
      <c r="A148" t="s">
        <v>13</v>
      </c>
      <c r="B148" t="s">
        <v>54</v>
      </c>
      <c r="C148" t="s">
        <v>4909</v>
      </c>
      <c r="D148" t="s">
        <v>188</v>
      </c>
      <c r="E148">
        <v>48197.47</v>
      </c>
      <c r="F148">
        <v>14459.24</v>
      </c>
      <c r="G148">
        <v>4824.3</v>
      </c>
      <c r="H148">
        <v>7139.9</v>
      </c>
      <c r="I148">
        <v>67481.01</v>
      </c>
      <c r="J148">
        <v>60341.11</v>
      </c>
      <c r="K148" s="1"/>
      <c r="L148" s="1"/>
      <c r="M148" s="1"/>
      <c r="N148" s="1"/>
    </row>
    <row r="149" ht="15.75" customHeight="1">
      <c r="A149" t="s">
        <v>17</v>
      </c>
      <c r="B149" t="s">
        <v>30</v>
      </c>
      <c r="C149" t="s">
        <v>4907</v>
      </c>
      <c r="D149" t="s">
        <v>189</v>
      </c>
      <c r="E149">
        <v>30464.82</v>
      </c>
      <c r="F149">
        <v>9139.45</v>
      </c>
      <c r="G149">
        <v>5093.47</v>
      </c>
      <c r="H149">
        <v>5257.0</v>
      </c>
      <c r="I149">
        <v>44697.74</v>
      </c>
      <c r="J149">
        <v>39440.74</v>
      </c>
      <c r="K149" s="1"/>
      <c r="L149" s="1"/>
      <c r="M149" s="1"/>
      <c r="N149" s="1"/>
    </row>
    <row r="150" ht="15.75" customHeight="1">
      <c r="A150" t="s">
        <v>25</v>
      </c>
      <c r="B150" t="s">
        <v>18</v>
      </c>
      <c r="C150" t="s">
        <v>4911</v>
      </c>
      <c r="D150" t="s">
        <v>191</v>
      </c>
      <c r="E150">
        <v>86356.95</v>
      </c>
      <c r="F150">
        <v>25907.08</v>
      </c>
      <c r="G150">
        <v>9952.59</v>
      </c>
      <c r="H150">
        <v>19769.93</v>
      </c>
      <c r="I150">
        <v>122216.62</v>
      </c>
      <c r="J150">
        <v>102446.69</v>
      </c>
      <c r="K150" s="1"/>
      <c r="L150" s="1"/>
      <c r="M150" s="1"/>
      <c r="N150" s="1"/>
    </row>
    <row r="151" ht="15.75" customHeight="1">
      <c r="A151" t="s">
        <v>36</v>
      </c>
      <c r="B151" t="s">
        <v>37</v>
      </c>
      <c r="C151" t="s">
        <v>4916</v>
      </c>
      <c r="D151" t="s">
        <v>192</v>
      </c>
      <c r="E151">
        <v>56727.17</v>
      </c>
      <c r="F151">
        <v>17018.15</v>
      </c>
      <c r="G151">
        <v>10393.24</v>
      </c>
      <c r="H151">
        <v>3088.61</v>
      </c>
      <c r="I151">
        <v>84138.56</v>
      </c>
      <c r="J151">
        <v>81049.95</v>
      </c>
      <c r="K151" s="1"/>
      <c r="L151" s="1"/>
      <c r="M151" s="1"/>
      <c r="N151" s="1"/>
    </row>
    <row r="152" ht="15.75" customHeight="1">
      <c r="A152" t="s">
        <v>36</v>
      </c>
      <c r="B152" t="s">
        <v>18</v>
      </c>
      <c r="C152" t="s">
        <v>4913</v>
      </c>
      <c r="D152" t="s">
        <v>193</v>
      </c>
      <c r="E152">
        <v>86170.37</v>
      </c>
      <c r="F152">
        <v>25851.11</v>
      </c>
      <c r="G152">
        <v>16700.77</v>
      </c>
      <c r="H152">
        <v>12150.29</v>
      </c>
      <c r="I152">
        <v>128722.25</v>
      </c>
      <c r="J152">
        <v>116571.96</v>
      </c>
      <c r="K152" s="1"/>
      <c r="L152" s="1"/>
      <c r="M152" s="1"/>
      <c r="N152" s="1"/>
    </row>
    <row r="153" ht="15.75" customHeight="1">
      <c r="A153" t="s">
        <v>29</v>
      </c>
      <c r="B153" t="s">
        <v>33</v>
      </c>
      <c r="C153" t="s">
        <v>4905</v>
      </c>
      <c r="D153" t="s">
        <v>194</v>
      </c>
      <c r="E153">
        <v>31701.34</v>
      </c>
      <c r="F153">
        <v>9510.4</v>
      </c>
      <c r="G153">
        <v>5438.26</v>
      </c>
      <c r="H153">
        <v>3136.57</v>
      </c>
      <c r="I153">
        <v>46650.0</v>
      </c>
      <c r="J153">
        <v>43513.43</v>
      </c>
      <c r="K153" s="1"/>
      <c r="L153" s="1"/>
      <c r="M153" s="1"/>
      <c r="N153" s="1"/>
    </row>
    <row r="154" ht="15.75" customHeight="1">
      <c r="A154" t="s">
        <v>36</v>
      </c>
      <c r="B154" t="s">
        <v>33</v>
      </c>
      <c r="C154" t="s">
        <v>4907</v>
      </c>
      <c r="D154" t="s">
        <v>195</v>
      </c>
      <c r="E154">
        <v>31625.84</v>
      </c>
      <c r="F154">
        <v>9487.75</v>
      </c>
      <c r="G154">
        <v>2532.93</v>
      </c>
      <c r="H154">
        <v>7215.43</v>
      </c>
      <c r="I154">
        <v>43646.52</v>
      </c>
      <c r="J154">
        <v>36431.09</v>
      </c>
      <c r="K154" s="1"/>
      <c r="L154" s="1"/>
      <c r="M154" s="1"/>
      <c r="N154" s="1"/>
    </row>
    <row r="155" ht="15.75" customHeight="1">
      <c r="A155" t="s">
        <v>36</v>
      </c>
      <c r="B155" t="s">
        <v>14</v>
      </c>
      <c r="C155" t="s">
        <v>4913</v>
      </c>
      <c r="D155" t="s">
        <v>196</v>
      </c>
      <c r="E155">
        <v>20264.52</v>
      </c>
      <c r="F155">
        <v>6079.36</v>
      </c>
      <c r="G155">
        <v>1310.2</v>
      </c>
      <c r="H155">
        <v>5898.1</v>
      </c>
      <c r="I155">
        <v>27654.08</v>
      </c>
      <c r="J155">
        <v>21755.98</v>
      </c>
      <c r="K155" s="1"/>
      <c r="L155" s="1"/>
      <c r="M155" s="1"/>
      <c r="N155" s="1"/>
    </row>
    <row r="156" ht="15.75" customHeight="1">
      <c r="A156" t="s">
        <v>25</v>
      </c>
      <c r="B156" t="s">
        <v>37</v>
      </c>
      <c r="C156" t="s">
        <v>4914</v>
      </c>
      <c r="D156" t="s">
        <v>198</v>
      </c>
      <c r="E156">
        <v>59848.69</v>
      </c>
      <c r="F156">
        <v>17954.61</v>
      </c>
      <c r="G156">
        <v>13.78</v>
      </c>
      <c r="H156">
        <v>15609.15</v>
      </c>
      <c r="I156">
        <v>77817.08</v>
      </c>
      <c r="J156">
        <v>62207.93</v>
      </c>
      <c r="K156" s="1"/>
      <c r="L156" s="1"/>
      <c r="M156" s="1"/>
      <c r="N156" s="1"/>
    </row>
    <row r="157" ht="15.75" customHeight="1">
      <c r="A157" t="s">
        <v>36</v>
      </c>
      <c r="B157" t="s">
        <v>14</v>
      </c>
      <c r="C157" t="s">
        <v>4917</v>
      </c>
      <c r="D157" t="s">
        <v>199</v>
      </c>
      <c r="E157">
        <v>19350.59</v>
      </c>
      <c r="F157">
        <v>5805.18</v>
      </c>
      <c r="G157">
        <v>1400.13</v>
      </c>
      <c r="H157">
        <v>4391.29</v>
      </c>
      <c r="I157">
        <v>26555.9</v>
      </c>
      <c r="J157">
        <v>22164.61</v>
      </c>
      <c r="K157" s="1"/>
      <c r="L157" s="1"/>
      <c r="M157" s="1"/>
      <c r="N157" s="1"/>
    </row>
    <row r="158" ht="15.75" customHeight="1">
      <c r="A158" t="s">
        <v>36</v>
      </c>
      <c r="B158" t="s">
        <v>26</v>
      </c>
      <c r="C158" t="s">
        <v>4910</v>
      </c>
      <c r="D158" t="s">
        <v>200</v>
      </c>
      <c r="E158">
        <v>91858.02</v>
      </c>
      <c r="F158">
        <v>27557.41</v>
      </c>
      <c r="G158">
        <v>4906.25</v>
      </c>
      <c r="H158">
        <v>3610.38</v>
      </c>
      <c r="I158">
        <v>124321.68</v>
      </c>
      <c r="J158">
        <v>120711.3</v>
      </c>
      <c r="K158" s="1"/>
      <c r="L158" s="1"/>
      <c r="M158" s="1"/>
      <c r="N158" s="1"/>
    </row>
    <row r="159" ht="15.75" customHeight="1">
      <c r="A159" t="s">
        <v>36</v>
      </c>
      <c r="B159" t="s">
        <v>18</v>
      </c>
      <c r="C159" t="s">
        <v>4908</v>
      </c>
      <c r="D159" t="s">
        <v>201</v>
      </c>
      <c r="E159">
        <v>77602.51</v>
      </c>
      <c r="F159">
        <v>23280.75</v>
      </c>
      <c r="G159">
        <v>448.07</v>
      </c>
      <c r="H159">
        <v>14667.39</v>
      </c>
      <c r="I159">
        <v>101331.33</v>
      </c>
      <c r="J159">
        <v>86663.94</v>
      </c>
      <c r="K159" s="1"/>
      <c r="L159" s="1"/>
      <c r="M159" s="1"/>
      <c r="N159" s="1"/>
    </row>
    <row r="160" ht="15.75" customHeight="1">
      <c r="A160" t="s">
        <v>13</v>
      </c>
      <c r="B160" t="s">
        <v>30</v>
      </c>
      <c r="C160" t="s">
        <v>4908</v>
      </c>
      <c r="D160" t="s">
        <v>202</v>
      </c>
      <c r="E160">
        <v>24734.6</v>
      </c>
      <c r="F160">
        <v>7420.38</v>
      </c>
      <c r="G160">
        <v>67.65</v>
      </c>
      <c r="H160">
        <v>3027.45</v>
      </c>
      <c r="I160">
        <v>32222.63</v>
      </c>
      <c r="J160">
        <v>29195.18</v>
      </c>
      <c r="K160" s="1"/>
      <c r="L160" s="1"/>
      <c r="M160" s="1"/>
      <c r="N160" s="1"/>
    </row>
    <row r="161" ht="15.75" customHeight="1">
      <c r="A161" t="s">
        <v>25</v>
      </c>
      <c r="B161" t="s">
        <v>14</v>
      </c>
      <c r="C161" t="s">
        <v>4914</v>
      </c>
      <c r="D161" t="s">
        <v>203</v>
      </c>
      <c r="E161">
        <v>21322.42</v>
      </c>
      <c r="F161">
        <v>6396.73</v>
      </c>
      <c r="G161">
        <v>500.93</v>
      </c>
      <c r="H161">
        <v>5322.99</v>
      </c>
      <c r="I161">
        <v>28220.08</v>
      </c>
      <c r="J161">
        <v>22897.09</v>
      </c>
      <c r="K161" s="1"/>
      <c r="L161" s="1"/>
      <c r="M161" s="1"/>
      <c r="N161" s="1"/>
    </row>
    <row r="162" ht="15.75" customHeight="1">
      <c r="A162" t="s">
        <v>13</v>
      </c>
      <c r="B162" t="s">
        <v>33</v>
      </c>
      <c r="C162" t="s">
        <v>4914</v>
      </c>
      <c r="D162" t="s">
        <v>204</v>
      </c>
      <c r="E162">
        <v>30088.72</v>
      </c>
      <c r="F162">
        <v>9026.62</v>
      </c>
      <c r="G162">
        <v>1645.4</v>
      </c>
      <c r="H162">
        <v>7534.73</v>
      </c>
      <c r="I162">
        <v>40760.74</v>
      </c>
      <c r="J162">
        <v>33226.01</v>
      </c>
      <c r="K162" s="1"/>
      <c r="L162" s="1"/>
      <c r="M162" s="1"/>
      <c r="N162" s="1"/>
    </row>
    <row r="163" ht="15.75" customHeight="1">
      <c r="A163" t="s">
        <v>51</v>
      </c>
      <c r="B163" t="s">
        <v>54</v>
      </c>
      <c r="C163" t="s">
        <v>4915</v>
      </c>
      <c r="D163" t="s">
        <v>205</v>
      </c>
      <c r="E163">
        <v>42717.71</v>
      </c>
      <c r="F163">
        <v>12815.31</v>
      </c>
      <c r="G163">
        <v>3277.18</v>
      </c>
      <c r="H163">
        <v>11814.03</v>
      </c>
      <c r="I163">
        <v>58810.2</v>
      </c>
      <c r="J163">
        <v>46996.17</v>
      </c>
      <c r="K163" s="1"/>
      <c r="L163" s="1"/>
      <c r="M163" s="1"/>
      <c r="N163" s="1"/>
    </row>
    <row r="164" ht="15.75" customHeight="1">
      <c r="A164" t="s">
        <v>13</v>
      </c>
      <c r="B164" t="s">
        <v>30</v>
      </c>
      <c r="C164" t="s">
        <v>4913</v>
      </c>
      <c r="D164" t="s">
        <v>206</v>
      </c>
      <c r="E164">
        <v>29603.44</v>
      </c>
      <c r="F164">
        <v>8881.03</v>
      </c>
      <c r="G164">
        <v>1635.57</v>
      </c>
      <c r="H164">
        <v>7016.07</v>
      </c>
      <c r="I164">
        <v>40120.04</v>
      </c>
      <c r="J164">
        <v>33103.97</v>
      </c>
      <c r="K164" s="1"/>
      <c r="L164" s="1"/>
      <c r="M164" s="1"/>
      <c r="N164" s="1"/>
    </row>
    <row r="165" ht="15.75" customHeight="1">
      <c r="A165" t="s">
        <v>29</v>
      </c>
      <c r="B165" t="s">
        <v>26</v>
      </c>
      <c r="C165" t="s">
        <v>4910</v>
      </c>
      <c r="D165" t="s">
        <v>207</v>
      </c>
      <c r="E165">
        <v>108278.56</v>
      </c>
      <c r="F165">
        <v>32483.57</v>
      </c>
      <c r="G165">
        <v>17769.58</v>
      </c>
      <c r="H165">
        <v>9187.62</v>
      </c>
      <c r="I165">
        <v>158531.71</v>
      </c>
      <c r="J165">
        <v>149344.09</v>
      </c>
      <c r="K165" s="1"/>
      <c r="L165" s="1"/>
      <c r="M165" s="1"/>
      <c r="N165" s="1"/>
    </row>
    <row r="166" ht="15.75" customHeight="1">
      <c r="A166" t="s">
        <v>25</v>
      </c>
      <c r="B166" t="s">
        <v>37</v>
      </c>
      <c r="C166" t="s">
        <v>4914</v>
      </c>
      <c r="D166" t="s">
        <v>208</v>
      </c>
      <c r="E166">
        <v>55438.62</v>
      </c>
      <c r="F166">
        <v>16631.59</v>
      </c>
      <c r="G166">
        <v>7317.24</v>
      </c>
      <c r="H166">
        <v>14390.66</v>
      </c>
      <c r="I166">
        <v>79387.45</v>
      </c>
      <c r="J166">
        <v>64996.79</v>
      </c>
      <c r="K166" s="1"/>
      <c r="L166" s="1"/>
      <c r="M166" s="1"/>
      <c r="N166" s="1"/>
    </row>
    <row r="167" ht="15.75" customHeight="1">
      <c r="A167" t="s">
        <v>29</v>
      </c>
      <c r="B167" t="s">
        <v>26</v>
      </c>
      <c r="C167" t="s">
        <v>4908</v>
      </c>
      <c r="D167" t="s">
        <v>209</v>
      </c>
      <c r="E167">
        <v>96791.49</v>
      </c>
      <c r="F167">
        <v>29037.45</v>
      </c>
      <c r="G167">
        <v>13502.38</v>
      </c>
      <c r="H167">
        <v>16603.54</v>
      </c>
      <c r="I167">
        <v>139331.32</v>
      </c>
      <c r="J167">
        <v>122727.78</v>
      </c>
      <c r="K167" s="1"/>
      <c r="L167" s="1"/>
      <c r="M167" s="1"/>
      <c r="N167" s="1"/>
    </row>
    <row r="168" ht="15.75" customHeight="1">
      <c r="A168" t="s">
        <v>25</v>
      </c>
      <c r="B168" t="s">
        <v>26</v>
      </c>
      <c r="C168" t="s">
        <v>4913</v>
      </c>
      <c r="D168" t="s">
        <v>210</v>
      </c>
      <c r="E168">
        <v>104787.9</v>
      </c>
      <c r="F168">
        <v>31436.37</v>
      </c>
      <c r="G168">
        <v>6668.21</v>
      </c>
      <c r="H168">
        <v>14868.66</v>
      </c>
      <c r="I168">
        <v>142892.48</v>
      </c>
      <c r="J168">
        <v>128023.82</v>
      </c>
      <c r="K168" s="1"/>
      <c r="L168" s="1"/>
      <c r="M168" s="1"/>
      <c r="N168" s="1"/>
    </row>
    <row r="169" ht="15.75" customHeight="1">
      <c r="A169" t="s">
        <v>36</v>
      </c>
      <c r="B169" t="s">
        <v>18</v>
      </c>
      <c r="C169" t="s">
        <v>4907</v>
      </c>
      <c r="D169" t="s">
        <v>211</v>
      </c>
      <c r="E169">
        <v>85602.24</v>
      </c>
      <c r="F169">
        <v>25680.67</v>
      </c>
      <c r="G169">
        <v>11162.86</v>
      </c>
      <c r="H169">
        <v>3906.17</v>
      </c>
      <c r="I169">
        <v>122445.77</v>
      </c>
      <c r="J169">
        <v>118539.6</v>
      </c>
      <c r="K169" s="1"/>
      <c r="L169" s="1"/>
      <c r="M169" s="1"/>
      <c r="N169" s="1"/>
    </row>
    <row r="170" ht="15.75" customHeight="1">
      <c r="A170" t="s">
        <v>51</v>
      </c>
      <c r="B170" t="s">
        <v>37</v>
      </c>
      <c r="C170" t="s">
        <v>4914</v>
      </c>
      <c r="D170" t="s">
        <v>212</v>
      </c>
      <c r="E170">
        <v>62376.36</v>
      </c>
      <c r="F170">
        <v>18712.91</v>
      </c>
      <c r="G170">
        <v>4141.72</v>
      </c>
      <c r="H170">
        <v>1878.11</v>
      </c>
      <c r="I170">
        <v>85230.99</v>
      </c>
      <c r="J170">
        <v>83352.88</v>
      </c>
      <c r="K170" s="1"/>
      <c r="L170" s="1"/>
      <c r="M170" s="1"/>
      <c r="N170" s="1"/>
    </row>
    <row r="171" ht="15.75" customHeight="1">
      <c r="A171" t="s">
        <v>17</v>
      </c>
      <c r="B171" t="s">
        <v>37</v>
      </c>
      <c r="C171" t="s">
        <v>4917</v>
      </c>
      <c r="D171" t="s">
        <v>213</v>
      </c>
      <c r="E171">
        <v>61387.95</v>
      </c>
      <c r="F171">
        <v>18416.38</v>
      </c>
      <c r="G171">
        <v>188.43</v>
      </c>
      <c r="H171">
        <v>2654.82</v>
      </c>
      <c r="I171">
        <v>79992.76</v>
      </c>
      <c r="J171">
        <v>77337.94</v>
      </c>
      <c r="K171" s="1"/>
      <c r="L171" s="1"/>
      <c r="M171" s="1"/>
      <c r="N171" s="1"/>
    </row>
    <row r="172" ht="15.75" customHeight="1">
      <c r="A172" t="s">
        <v>51</v>
      </c>
      <c r="B172" t="s">
        <v>14</v>
      </c>
      <c r="C172" t="s">
        <v>4905</v>
      </c>
      <c r="D172" t="s">
        <v>214</v>
      </c>
      <c r="E172">
        <v>21380.33</v>
      </c>
      <c r="F172">
        <v>6414.1</v>
      </c>
      <c r="G172">
        <v>4144.38</v>
      </c>
      <c r="H172">
        <v>2171.57</v>
      </c>
      <c r="I172">
        <v>31938.81</v>
      </c>
      <c r="J172">
        <v>29767.24</v>
      </c>
      <c r="K172" s="1"/>
      <c r="L172" s="1"/>
      <c r="M172" s="1"/>
      <c r="N172" s="1"/>
    </row>
    <row r="173" ht="15.75" customHeight="1">
      <c r="A173" t="s">
        <v>36</v>
      </c>
      <c r="B173" t="s">
        <v>18</v>
      </c>
      <c r="C173" t="s">
        <v>4915</v>
      </c>
      <c r="D173" t="s">
        <v>215</v>
      </c>
      <c r="E173">
        <v>67088.2</v>
      </c>
      <c r="F173">
        <v>20126.46</v>
      </c>
      <c r="G173">
        <v>4408.57</v>
      </c>
      <c r="H173">
        <v>13572.43</v>
      </c>
      <c r="I173">
        <v>91623.23</v>
      </c>
      <c r="J173">
        <v>78050.8</v>
      </c>
      <c r="K173" s="1"/>
      <c r="L173" s="1"/>
      <c r="M173" s="1"/>
      <c r="N173" s="1"/>
    </row>
    <row r="174" ht="15.75" customHeight="1">
      <c r="A174" t="s">
        <v>36</v>
      </c>
      <c r="B174" t="s">
        <v>33</v>
      </c>
      <c r="C174" t="s">
        <v>4915</v>
      </c>
      <c r="D174" t="s">
        <v>216</v>
      </c>
      <c r="E174">
        <v>31267.99</v>
      </c>
      <c r="F174">
        <v>9380.4</v>
      </c>
      <c r="G174">
        <v>5549.68</v>
      </c>
      <c r="H174">
        <v>4577.14</v>
      </c>
      <c r="I174">
        <v>46198.07</v>
      </c>
      <c r="J174">
        <v>41620.93</v>
      </c>
      <c r="K174" s="1"/>
      <c r="L174" s="1"/>
      <c r="M174" s="1"/>
      <c r="N174" s="1"/>
    </row>
    <row r="175" ht="15.75" customHeight="1">
      <c r="A175" t="s">
        <v>17</v>
      </c>
      <c r="B175" t="s">
        <v>37</v>
      </c>
      <c r="C175" t="s">
        <v>4908</v>
      </c>
      <c r="D175" t="s">
        <v>217</v>
      </c>
      <c r="E175">
        <v>46231.57</v>
      </c>
      <c r="F175">
        <v>13869.47</v>
      </c>
      <c r="G175">
        <v>5835.91</v>
      </c>
      <c r="H175">
        <v>12772.8</v>
      </c>
      <c r="I175">
        <v>65936.95</v>
      </c>
      <c r="J175">
        <v>53164.15</v>
      </c>
      <c r="K175" s="1"/>
      <c r="L175" s="1"/>
      <c r="M175" s="1"/>
      <c r="N175" s="1"/>
    </row>
    <row r="176" ht="15.75" customHeight="1">
      <c r="A176" t="s">
        <v>13</v>
      </c>
      <c r="B176" t="s">
        <v>14</v>
      </c>
      <c r="C176" t="s">
        <v>4909</v>
      </c>
      <c r="D176" t="s">
        <v>218</v>
      </c>
      <c r="E176">
        <v>21124.59</v>
      </c>
      <c r="F176">
        <v>6337.38</v>
      </c>
      <c r="G176">
        <v>415.91</v>
      </c>
      <c r="H176">
        <v>4016.3</v>
      </c>
      <c r="I176">
        <v>27877.88</v>
      </c>
      <c r="J176">
        <v>23861.58</v>
      </c>
      <c r="K176" s="1"/>
      <c r="L176" s="1"/>
      <c r="M176" s="1"/>
      <c r="N176" s="1"/>
    </row>
    <row r="177" ht="15.75" customHeight="1">
      <c r="A177" t="s">
        <v>36</v>
      </c>
      <c r="B177" t="s">
        <v>30</v>
      </c>
      <c r="C177" t="s">
        <v>4907</v>
      </c>
      <c r="D177" t="s">
        <v>219</v>
      </c>
      <c r="E177">
        <v>28107.21</v>
      </c>
      <c r="F177">
        <v>8432.16</v>
      </c>
      <c r="G177">
        <v>5078.55</v>
      </c>
      <c r="H177">
        <v>387.8</v>
      </c>
      <c r="I177">
        <v>41617.92</v>
      </c>
      <c r="J177">
        <v>41230.12</v>
      </c>
      <c r="K177" s="1"/>
      <c r="L177" s="1"/>
      <c r="M177" s="1"/>
      <c r="N177" s="1"/>
    </row>
    <row r="178" ht="15.75" customHeight="1">
      <c r="A178" t="s">
        <v>13</v>
      </c>
      <c r="B178" t="s">
        <v>26</v>
      </c>
      <c r="C178" t="s">
        <v>4913</v>
      </c>
      <c r="D178" t="s">
        <v>220</v>
      </c>
      <c r="E178">
        <v>96482.05</v>
      </c>
      <c r="F178">
        <v>28944.62</v>
      </c>
      <c r="G178">
        <v>3378.21</v>
      </c>
      <c r="H178">
        <v>17641.51</v>
      </c>
      <c r="I178">
        <v>128804.88</v>
      </c>
      <c r="J178">
        <v>111163.37</v>
      </c>
      <c r="K178" s="1"/>
      <c r="L178" s="1"/>
      <c r="M178" s="1"/>
      <c r="N178" s="1"/>
    </row>
    <row r="179" ht="15.75" customHeight="1">
      <c r="A179" t="s">
        <v>53</v>
      </c>
      <c r="B179" t="s">
        <v>18</v>
      </c>
      <c r="C179" t="s">
        <v>4914</v>
      </c>
      <c r="D179" t="s">
        <v>221</v>
      </c>
      <c r="E179">
        <v>71261.57</v>
      </c>
      <c r="F179">
        <v>21378.47</v>
      </c>
      <c r="G179">
        <v>13009.93</v>
      </c>
      <c r="H179">
        <v>3059.64</v>
      </c>
      <c r="I179">
        <v>105649.97</v>
      </c>
      <c r="J179">
        <v>102590.33</v>
      </c>
      <c r="K179" s="1"/>
      <c r="L179" s="1"/>
      <c r="M179" s="1"/>
      <c r="N179" s="1"/>
    </row>
    <row r="180" ht="15.75" customHeight="1">
      <c r="A180" t="s">
        <v>13</v>
      </c>
      <c r="B180" t="s">
        <v>33</v>
      </c>
      <c r="C180" t="s">
        <v>4914</v>
      </c>
      <c r="D180" t="s">
        <v>222</v>
      </c>
      <c r="E180">
        <v>29595.7</v>
      </c>
      <c r="F180">
        <v>8878.71</v>
      </c>
      <c r="G180">
        <v>3947.12</v>
      </c>
      <c r="H180">
        <v>7981.15</v>
      </c>
      <c r="I180">
        <v>42421.53</v>
      </c>
      <c r="J180">
        <v>34440.38</v>
      </c>
      <c r="K180" s="1"/>
      <c r="L180" s="1"/>
      <c r="M180" s="1"/>
      <c r="N180" s="1"/>
    </row>
    <row r="181" ht="15.75" customHeight="1">
      <c r="A181" t="s">
        <v>29</v>
      </c>
      <c r="B181" t="s">
        <v>18</v>
      </c>
      <c r="C181" t="s">
        <v>4916</v>
      </c>
      <c r="D181" t="s">
        <v>223</v>
      </c>
      <c r="E181">
        <v>79211.55</v>
      </c>
      <c r="F181">
        <v>23763.47</v>
      </c>
      <c r="G181">
        <v>1170.14</v>
      </c>
      <c r="H181">
        <v>22462.07</v>
      </c>
      <c r="I181">
        <v>104145.16</v>
      </c>
      <c r="J181">
        <v>81683.09</v>
      </c>
      <c r="K181" s="1"/>
      <c r="L181" s="1"/>
      <c r="M181" s="1"/>
      <c r="N181" s="1"/>
    </row>
    <row r="182" ht="15.75" customHeight="1">
      <c r="A182" t="s">
        <v>29</v>
      </c>
      <c r="B182" t="s">
        <v>18</v>
      </c>
      <c r="C182" t="s">
        <v>4910</v>
      </c>
      <c r="D182" t="s">
        <v>224</v>
      </c>
      <c r="E182">
        <v>90012.76</v>
      </c>
      <c r="F182">
        <v>27003.83</v>
      </c>
      <c r="G182">
        <v>12427.4</v>
      </c>
      <c r="H182">
        <v>12336.32</v>
      </c>
      <c r="I182">
        <v>129443.99</v>
      </c>
      <c r="J182">
        <v>117107.67</v>
      </c>
      <c r="K182" s="1"/>
      <c r="L182" s="1"/>
      <c r="M182" s="1"/>
      <c r="N182" s="1"/>
    </row>
    <row r="183" ht="15.75" customHeight="1">
      <c r="A183" t="s">
        <v>51</v>
      </c>
      <c r="B183" t="s">
        <v>54</v>
      </c>
      <c r="C183" t="s">
        <v>4912</v>
      </c>
      <c r="D183" t="s">
        <v>225</v>
      </c>
      <c r="E183">
        <v>46946.7</v>
      </c>
      <c r="F183">
        <v>14084.01</v>
      </c>
      <c r="G183">
        <v>1001.4</v>
      </c>
      <c r="H183">
        <v>5371.14</v>
      </c>
      <c r="I183">
        <v>62032.11</v>
      </c>
      <c r="J183">
        <v>56660.97</v>
      </c>
      <c r="K183" s="1"/>
      <c r="L183" s="1"/>
      <c r="M183" s="1"/>
      <c r="N183" s="1"/>
    </row>
    <row r="184" ht="15.75" customHeight="1">
      <c r="A184" t="s">
        <v>53</v>
      </c>
      <c r="B184" t="s">
        <v>33</v>
      </c>
      <c r="C184" t="s">
        <v>4917</v>
      </c>
      <c r="D184" t="s">
        <v>226</v>
      </c>
      <c r="E184">
        <v>34926.92</v>
      </c>
      <c r="F184">
        <v>10478.08</v>
      </c>
      <c r="G184">
        <v>2062.3</v>
      </c>
      <c r="H184">
        <v>14765.30618879032</v>
      </c>
      <c r="I184">
        <v>47467.3</v>
      </c>
      <c r="J184">
        <v>32701.99</v>
      </c>
      <c r="K184" s="1"/>
      <c r="L184" s="1"/>
      <c r="M184" s="1"/>
      <c r="N184" s="1"/>
    </row>
    <row r="185" ht="15.75" customHeight="1">
      <c r="A185" t="s">
        <v>36</v>
      </c>
      <c r="B185" t="s">
        <v>33</v>
      </c>
      <c r="C185" t="s">
        <v>4907</v>
      </c>
      <c r="D185" t="s">
        <v>227</v>
      </c>
      <c r="E185">
        <v>25080.98</v>
      </c>
      <c r="F185">
        <v>7524.29</v>
      </c>
      <c r="G185">
        <v>4339.35</v>
      </c>
      <c r="H185">
        <v>5856.25</v>
      </c>
      <c r="I185">
        <v>36944.62</v>
      </c>
      <c r="J185">
        <v>31088.37</v>
      </c>
      <c r="K185" s="1"/>
      <c r="L185" s="1"/>
      <c r="M185" s="1"/>
      <c r="N185" s="1"/>
    </row>
    <row r="186" ht="15.75" customHeight="1">
      <c r="A186" t="s">
        <v>53</v>
      </c>
      <c r="B186" t="s">
        <v>18</v>
      </c>
      <c r="C186" t="s">
        <v>4908</v>
      </c>
      <c r="D186" t="s">
        <v>228</v>
      </c>
      <c r="E186">
        <v>77914.91</v>
      </c>
      <c r="F186">
        <v>23374.47</v>
      </c>
      <c r="G186">
        <v>14089.44</v>
      </c>
      <c r="H186">
        <v>6689.64</v>
      </c>
      <c r="I186">
        <v>115378.82</v>
      </c>
      <c r="J186">
        <v>108689.18</v>
      </c>
      <c r="K186" s="1"/>
      <c r="L186" s="1"/>
      <c r="M186" s="1"/>
      <c r="N186" s="1"/>
    </row>
    <row r="187" ht="15.75" customHeight="1">
      <c r="A187" t="s">
        <v>53</v>
      </c>
      <c r="B187" t="s">
        <v>26</v>
      </c>
      <c r="C187" t="s">
        <v>4917</v>
      </c>
      <c r="D187" t="s">
        <v>229</v>
      </c>
      <c r="E187">
        <v>102683.55</v>
      </c>
      <c r="F187">
        <v>30805.06</v>
      </c>
      <c r="G187">
        <v>13074.04</v>
      </c>
      <c r="H187">
        <v>19126.59</v>
      </c>
      <c r="I187">
        <v>146562.65</v>
      </c>
      <c r="J187">
        <v>127436.06</v>
      </c>
      <c r="K187" s="1"/>
      <c r="L187" s="1"/>
      <c r="M187" s="1"/>
      <c r="N187" s="1"/>
    </row>
    <row r="188" ht="15.75" customHeight="1">
      <c r="A188" t="s">
        <v>25</v>
      </c>
      <c r="B188" t="s">
        <v>18</v>
      </c>
      <c r="C188" t="s">
        <v>4909</v>
      </c>
      <c r="D188" t="s">
        <v>230</v>
      </c>
      <c r="E188">
        <v>84954.24</v>
      </c>
      <c r="F188">
        <v>25486.27</v>
      </c>
      <c r="G188">
        <v>11568.31</v>
      </c>
      <c r="H188">
        <v>3485.99</v>
      </c>
      <c r="I188">
        <v>122008.82</v>
      </c>
      <c r="J188">
        <v>118522.83</v>
      </c>
      <c r="K188" s="1"/>
      <c r="L188" s="1"/>
      <c r="M188" s="1"/>
      <c r="N188" s="1"/>
    </row>
    <row r="189" ht="15.75" customHeight="1">
      <c r="A189" t="s">
        <v>13</v>
      </c>
      <c r="B189" t="s">
        <v>18</v>
      </c>
      <c r="C189" t="s">
        <v>4912</v>
      </c>
      <c r="D189" t="s">
        <v>231</v>
      </c>
      <c r="E189">
        <v>66024.99</v>
      </c>
      <c r="F189">
        <v>19807.5</v>
      </c>
      <c r="G189">
        <v>10413.6</v>
      </c>
      <c r="H189">
        <v>660.87</v>
      </c>
      <c r="I189">
        <v>96246.09</v>
      </c>
      <c r="J189">
        <v>95585.22</v>
      </c>
      <c r="K189" s="1"/>
      <c r="L189" s="1"/>
      <c r="M189" s="1"/>
      <c r="N189" s="1"/>
    </row>
    <row r="190" ht="15.75" customHeight="1">
      <c r="A190" t="s">
        <v>13</v>
      </c>
      <c r="B190" t="s">
        <v>30</v>
      </c>
      <c r="C190" t="s">
        <v>4911</v>
      </c>
      <c r="D190" t="s">
        <v>232</v>
      </c>
      <c r="E190">
        <v>22793.17</v>
      </c>
      <c r="F190">
        <v>6837.95</v>
      </c>
      <c r="G190">
        <v>1345.3</v>
      </c>
      <c r="H190">
        <v>5111.24</v>
      </c>
      <c r="I190">
        <v>30976.42</v>
      </c>
      <c r="J190">
        <v>25865.18</v>
      </c>
      <c r="K190" s="1"/>
      <c r="L190" s="1"/>
      <c r="M190" s="1"/>
      <c r="N190" s="1"/>
    </row>
    <row r="191" ht="15.75" customHeight="1">
      <c r="A191" t="s">
        <v>51</v>
      </c>
      <c r="B191" t="s">
        <v>30</v>
      </c>
      <c r="C191" t="s">
        <v>4915</v>
      </c>
      <c r="D191" t="s">
        <v>233</v>
      </c>
      <c r="E191">
        <v>28921.31</v>
      </c>
      <c r="F191">
        <v>8676.39</v>
      </c>
      <c r="G191">
        <v>5069.68</v>
      </c>
      <c r="H191">
        <v>3174.32</v>
      </c>
      <c r="I191">
        <v>42667.38</v>
      </c>
      <c r="J191">
        <v>39493.06</v>
      </c>
      <c r="K191" s="1"/>
      <c r="L191" s="1"/>
      <c r="M191" s="1"/>
      <c r="N191" s="1"/>
    </row>
    <row r="192" ht="15.75" customHeight="1">
      <c r="A192" t="s">
        <v>29</v>
      </c>
      <c r="B192" t="s">
        <v>26</v>
      </c>
      <c r="C192" t="s">
        <v>4910</v>
      </c>
      <c r="D192" t="s">
        <v>234</v>
      </c>
      <c r="E192">
        <v>95923.6</v>
      </c>
      <c r="F192">
        <v>28777.08</v>
      </c>
      <c r="G192">
        <v>17535.77</v>
      </c>
      <c r="H192">
        <v>27170.97</v>
      </c>
      <c r="I192">
        <v>142236.45</v>
      </c>
      <c r="J192">
        <v>115065.48</v>
      </c>
      <c r="K192" s="1"/>
      <c r="L192" s="1"/>
      <c r="M192" s="1"/>
      <c r="N192" s="1"/>
    </row>
    <row r="193" ht="15.75" customHeight="1">
      <c r="A193" t="s">
        <v>13</v>
      </c>
      <c r="B193" t="s">
        <v>26</v>
      </c>
      <c r="C193" t="s">
        <v>4911</v>
      </c>
      <c r="D193" t="s">
        <v>235</v>
      </c>
      <c r="E193">
        <v>102193.75</v>
      </c>
      <c r="F193">
        <v>30658.12</v>
      </c>
      <c r="G193">
        <v>2353.92</v>
      </c>
      <c r="H193">
        <v>29520.5</v>
      </c>
      <c r="I193">
        <v>135205.79</v>
      </c>
      <c r="J193">
        <v>105685.29</v>
      </c>
      <c r="K193" s="1"/>
      <c r="L193" s="1"/>
      <c r="M193" s="1"/>
      <c r="N193" s="1"/>
    </row>
    <row r="194" ht="15.75" customHeight="1">
      <c r="A194" t="s">
        <v>25</v>
      </c>
      <c r="B194" t="s">
        <v>30</v>
      </c>
      <c r="C194" t="s">
        <v>4915</v>
      </c>
      <c r="D194" t="s">
        <v>236</v>
      </c>
      <c r="E194">
        <v>29569.24</v>
      </c>
      <c r="F194">
        <v>8870.77</v>
      </c>
      <c r="G194">
        <v>4282.91</v>
      </c>
      <c r="H194">
        <v>8692.84</v>
      </c>
      <c r="I194">
        <v>42722.92</v>
      </c>
      <c r="J194">
        <v>34030.08</v>
      </c>
      <c r="K194" s="1"/>
      <c r="L194" s="1"/>
      <c r="M194" s="1"/>
      <c r="N194" s="1"/>
    </row>
    <row r="195" ht="15.75" customHeight="1">
      <c r="A195" t="s">
        <v>29</v>
      </c>
      <c r="B195" t="s">
        <v>14</v>
      </c>
      <c r="C195" t="s">
        <v>4914</v>
      </c>
      <c r="D195" t="s">
        <v>237</v>
      </c>
      <c r="E195">
        <v>23692.91</v>
      </c>
      <c r="F195">
        <v>7107.87</v>
      </c>
      <c r="G195">
        <v>65.95</v>
      </c>
      <c r="H195">
        <v>3813.89</v>
      </c>
      <c r="I195">
        <v>30866.73</v>
      </c>
      <c r="J195">
        <v>27052.84</v>
      </c>
      <c r="K195" s="1"/>
      <c r="L195" s="1"/>
      <c r="M195" s="1"/>
      <c r="N195" s="1"/>
    </row>
    <row r="196" ht="15.75" customHeight="1">
      <c r="A196" t="s">
        <v>29</v>
      </c>
      <c r="B196" t="s">
        <v>18</v>
      </c>
      <c r="C196" t="s">
        <v>4917</v>
      </c>
      <c r="D196" t="s">
        <v>238</v>
      </c>
      <c r="E196">
        <v>84474.3</v>
      </c>
      <c r="F196">
        <v>25342.29</v>
      </c>
      <c r="G196">
        <v>4429.18</v>
      </c>
      <c r="H196">
        <v>9656.06</v>
      </c>
      <c r="I196">
        <v>114245.77</v>
      </c>
      <c r="J196">
        <v>104589.71</v>
      </c>
      <c r="K196" s="1"/>
      <c r="L196" s="1"/>
      <c r="M196" s="1"/>
      <c r="N196" s="1"/>
    </row>
    <row r="197" ht="15.75" customHeight="1">
      <c r="A197" t="s">
        <v>29</v>
      </c>
      <c r="B197" t="s">
        <v>14</v>
      </c>
      <c r="C197" t="s">
        <v>4915</v>
      </c>
      <c r="D197" t="s">
        <v>239</v>
      </c>
      <c r="E197">
        <v>22858.82</v>
      </c>
      <c r="F197">
        <v>6857.65</v>
      </c>
      <c r="G197">
        <v>2155.48</v>
      </c>
      <c r="H197">
        <v>4248.63</v>
      </c>
      <c r="I197">
        <v>31871.95</v>
      </c>
      <c r="J197">
        <v>27623.32</v>
      </c>
      <c r="K197" s="1"/>
      <c r="L197" s="1"/>
      <c r="M197" s="1"/>
      <c r="N197" s="1"/>
    </row>
    <row r="198" ht="15.75" customHeight="1">
      <c r="A198" t="s">
        <v>29</v>
      </c>
      <c r="B198" t="s">
        <v>37</v>
      </c>
      <c r="C198" t="s">
        <v>4905</v>
      </c>
      <c r="D198" t="s">
        <v>240</v>
      </c>
      <c r="E198">
        <v>48984.61</v>
      </c>
      <c r="F198">
        <v>14695.38</v>
      </c>
      <c r="G198">
        <v>619.33</v>
      </c>
      <c r="H198">
        <v>12106.87</v>
      </c>
      <c r="I198">
        <v>64299.32</v>
      </c>
      <c r="J198">
        <v>52192.45</v>
      </c>
      <c r="K198" s="1"/>
      <c r="L198" s="1"/>
      <c r="M198" s="1"/>
      <c r="N198" s="1"/>
    </row>
    <row r="199" ht="15.75" customHeight="1">
      <c r="A199" t="s">
        <v>29</v>
      </c>
      <c r="B199" t="s">
        <v>18</v>
      </c>
      <c r="C199" t="s">
        <v>4910</v>
      </c>
      <c r="D199" t="s">
        <v>241</v>
      </c>
      <c r="E199">
        <v>75615.69</v>
      </c>
      <c r="F199">
        <v>22684.71</v>
      </c>
      <c r="G199">
        <v>2113.87</v>
      </c>
      <c r="H199">
        <v>21465.67</v>
      </c>
      <c r="I199">
        <v>100414.27</v>
      </c>
      <c r="J199">
        <v>78948.6</v>
      </c>
      <c r="K199" s="1"/>
      <c r="L199" s="1"/>
      <c r="M199" s="1"/>
      <c r="N199" s="1"/>
    </row>
    <row r="200" ht="15.75" customHeight="1">
      <c r="A200" t="s">
        <v>36</v>
      </c>
      <c r="B200" t="s">
        <v>14</v>
      </c>
      <c r="C200" t="s">
        <v>4914</v>
      </c>
      <c r="D200" t="s">
        <v>242</v>
      </c>
      <c r="E200">
        <v>18699.78</v>
      </c>
      <c r="F200">
        <v>5609.93</v>
      </c>
      <c r="G200">
        <v>3318.31</v>
      </c>
      <c r="H200">
        <v>761.07</v>
      </c>
      <c r="I200">
        <v>27628.02</v>
      </c>
      <c r="J200">
        <v>26866.95</v>
      </c>
      <c r="K200" s="1"/>
      <c r="L200" s="1"/>
      <c r="M200" s="1"/>
      <c r="N200" s="1"/>
    </row>
    <row r="201" ht="15.75" customHeight="1">
      <c r="A201" t="s">
        <v>29</v>
      </c>
      <c r="B201" t="s">
        <v>18</v>
      </c>
      <c r="C201" t="s">
        <v>4916</v>
      </c>
      <c r="D201" t="s">
        <v>243</v>
      </c>
      <c r="E201">
        <v>89683.9</v>
      </c>
      <c r="F201">
        <v>26905.17</v>
      </c>
      <c r="G201">
        <v>12492.68</v>
      </c>
      <c r="H201">
        <v>14533.97</v>
      </c>
      <c r="I201">
        <v>129081.75</v>
      </c>
      <c r="J201">
        <v>114547.78</v>
      </c>
      <c r="K201" s="1"/>
      <c r="L201" s="1"/>
      <c r="M201" s="1"/>
      <c r="N201" s="1"/>
    </row>
    <row r="202" ht="15.75" customHeight="1">
      <c r="A202" t="s">
        <v>13</v>
      </c>
      <c r="B202" t="s">
        <v>18</v>
      </c>
      <c r="C202" t="s">
        <v>4914</v>
      </c>
      <c r="D202" t="s">
        <v>244</v>
      </c>
      <c r="E202">
        <v>69017.6</v>
      </c>
      <c r="F202">
        <v>20705.28</v>
      </c>
      <c r="G202">
        <v>5726.87</v>
      </c>
      <c r="H202">
        <v>14327.38295125808</v>
      </c>
      <c r="I202">
        <v>95449.75</v>
      </c>
      <c r="J202">
        <v>81122.37</v>
      </c>
      <c r="K202" s="1"/>
      <c r="L202" s="1"/>
      <c r="M202" s="1"/>
      <c r="N202" s="1"/>
    </row>
    <row r="203" ht="15.75" customHeight="1">
      <c r="A203" t="s">
        <v>36</v>
      </c>
      <c r="B203" t="s">
        <v>54</v>
      </c>
      <c r="C203" t="s">
        <v>4917</v>
      </c>
      <c r="D203" t="s">
        <v>245</v>
      </c>
      <c r="E203">
        <v>48307.77</v>
      </c>
      <c r="F203">
        <v>14492.33</v>
      </c>
      <c r="G203">
        <v>8264.98</v>
      </c>
      <c r="H203">
        <v>1439.88</v>
      </c>
      <c r="I203">
        <v>71065.08</v>
      </c>
      <c r="J203">
        <v>69625.2</v>
      </c>
      <c r="K203" s="1"/>
      <c r="L203" s="1"/>
      <c r="M203" s="1"/>
      <c r="N203" s="1"/>
    </row>
    <row r="204" ht="15.75" customHeight="1">
      <c r="A204" t="s">
        <v>29</v>
      </c>
      <c r="B204" t="s">
        <v>37</v>
      </c>
      <c r="C204" t="s">
        <v>4910</v>
      </c>
      <c r="D204" t="s">
        <v>246</v>
      </c>
      <c r="E204">
        <v>61230.53</v>
      </c>
      <c r="F204">
        <v>18369.16</v>
      </c>
      <c r="G204">
        <v>7896.62</v>
      </c>
      <c r="H204">
        <v>1112.25</v>
      </c>
      <c r="I204">
        <v>87496.31</v>
      </c>
      <c r="J204">
        <v>86384.06</v>
      </c>
      <c r="K204" s="1"/>
      <c r="L204" s="1"/>
      <c r="M204" s="1"/>
      <c r="N204" s="1"/>
    </row>
    <row r="205" ht="15.75" customHeight="1">
      <c r="A205" t="s">
        <v>13</v>
      </c>
      <c r="B205" t="s">
        <v>18</v>
      </c>
      <c r="C205" t="s">
        <v>4908</v>
      </c>
      <c r="D205" t="s">
        <v>247</v>
      </c>
      <c r="E205">
        <v>80525.79</v>
      </c>
      <c r="F205">
        <v>24157.74</v>
      </c>
      <c r="G205">
        <v>343.97</v>
      </c>
      <c r="H205">
        <v>19007.18</v>
      </c>
      <c r="I205">
        <v>105027.5</v>
      </c>
      <c r="J205">
        <v>86020.32</v>
      </c>
      <c r="K205" s="1"/>
      <c r="L205" s="1"/>
      <c r="M205" s="1"/>
      <c r="N205" s="1"/>
    </row>
    <row r="206" ht="15.75" customHeight="1">
      <c r="A206" t="s">
        <v>51</v>
      </c>
      <c r="B206" t="s">
        <v>26</v>
      </c>
      <c r="C206" t="s">
        <v>4908</v>
      </c>
      <c r="D206" t="s">
        <v>248</v>
      </c>
      <c r="E206">
        <v>110324.81</v>
      </c>
      <c r="F206">
        <v>33097.44</v>
      </c>
      <c r="G206">
        <v>1513.88</v>
      </c>
      <c r="H206">
        <v>25324.75</v>
      </c>
      <c r="I206">
        <v>144936.13</v>
      </c>
      <c r="J206">
        <v>119611.38</v>
      </c>
      <c r="K206" s="1"/>
      <c r="L206" s="1"/>
      <c r="M206" s="1"/>
      <c r="N206" s="1"/>
    </row>
    <row r="207" ht="15.75" customHeight="1">
      <c r="A207" t="s">
        <v>53</v>
      </c>
      <c r="B207" t="s">
        <v>30</v>
      </c>
      <c r="C207" t="s">
        <v>4916</v>
      </c>
      <c r="D207" t="s">
        <v>249</v>
      </c>
      <c r="E207">
        <v>72159.94658517206</v>
      </c>
      <c r="F207">
        <v>8746.46</v>
      </c>
      <c r="G207">
        <v>1358.61</v>
      </c>
      <c r="H207">
        <v>6772.98</v>
      </c>
      <c r="I207">
        <v>82265.02</v>
      </c>
      <c r="J207">
        <v>75492.04</v>
      </c>
      <c r="K207" s="1"/>
      <c r="L207" s="1"/>
      <c r="M207" s="1"/>
      <c r="N207" s="1"/>
    </row>
    <row r="208" ht="15.75" customHeight="1">
      <c r="A208" t="s">
        <v>17</v>
      </c>
      <c r="B208" t="s">
        <v>33</v>
      </c>
      <c r="C208" t="s">
        <v>4910</v>
      </c>
      <c r="D208" t="s">
        <v>250</v>
      </c>
      <c r="E208">
        <v>33584.06</v>
      </c>
      <c r="F208">
        <v>10075.22</v>
      </c>
      <c r="G208">
        <v>971.84</v>
      </c>
      <c r="H208">
        <v>1309.7</v>
      </c>
      <c r="I208">
        <v>44631.12</v>
      </c>
      <c r="J208">
        <v>43321.42</v>
      </c>
      <c r="K208" s="1"/>
      <c r="L208" s="1"/>
      <c r="M208" s="1"/>
      <c r="N208" s="1"/>
    </row>
    <row r="209" ht="15.75" customHeight="1">
      <c r="A209" t="s">
        <v>25</v>
      </c>
      <c r="B209" t="s">
        <v>30</v>
      </c>
      <c r="C209" t="s">
        <v>4912</v>
      </c>
      <c r="D209" t="s">
        <v>251</v>
      </c>
      <c r="E209">
        <v>22967.35</v>
      </c>
      <c r="F209">
        <v>6890.2</v>
      </c>
      <c r="G209">
        <v>3980.0</v>
      </c>
      <c r="H209">
        <v>908.15</v>
      </c>
      <c r="I209">
        <v>33837.55</v>
      </c>
      <c r="J209">
        <v>32929.4</v>
      </c>
      <c r="K209" s="1"/>
      <c r="L209" s="1"/>
      <c r="M209" s="1"/>
      <c r="N209" s="1"/>
    </row>
    <row r="210" ht="15.75" customHeight="1">
      <c r="A210" t="s">
        <v>25</v>
      </c>
      <c r="B210" t="s">
        <v>26</v>
      </c>
      <c r="C210" t="s">
        <v>4907</v>
      </c>
      <c r="D210" t="s">
        <v>252</v>
      </c>
      <c r="E210">
        <v>98565.54</v>
      </c>
      <c r="F210">
        <v>29569.66</v>
      </c>
      <c r="G210">
        <v>6382.54</v>
      </c>
      <c r="H210">
        <v>5152.4</v>
      </c>
      <c r="I210">
        <v>134517.74</v>
      </c>
      <c r="J210">
        <v>129365.34</v>
      </c>
      <c r="K210" s="1"/>
      <c r="L210" s="1"/>
      <c r="M210" s="1"/>
      <c r="N210" s="1"/>
    </row>
    <row r="211" ht="15.75" customHeight="1">
      <c r="A211" t="s">
        <v>51</v>
      </c>
      <c r="B211" t="s">
        <v>18</v>
      </c>
      <c r="C211" t="s">
        <v>4914</v>
      </c>
      <c r="D211" t="s">
        <v>253</v>
      </c>
      <c r="E211">
        <v>75944.97</v>
      </c>
      <c r="F211">
        <v>22783.49</v>
      </c>
      <c r="G211">
        <v>1726.22</v>
      </c>
      <c r="H211">
        <v>1448.07</v>
      </c>
      <c r="I211">
        <v>100454.68</v>
      </c>
      <c r="J211">
        <v>99006.61</v>
      </c>
      <c r="K211" s="1"/>
      <c r="L211" s="1"/>
      <c r="M211" s="1"/>
      <c r="N211" s="1"/>
    </row>
    <row r="212" ht="15.75" customHeight="1">
      <c r="A212" t="s">
        <v>25</v>
      </c>
      <c r="B212" t="s">
        <v>33</v>
      </c>
      <c r="C212" t="s">
        <v>4916</v>
      </c>
      <c r="D212" t="s">
        <v>254</v>
      </c>
      <c r="E212">
        <v>30132.38</v>
      </c>
      <c r="F212">
        <v>9039.71</v>
      </c>
      <c r="G212">
        <v>657.21</v>
      </c>
      <c r="H212">
        <v>4554.56</v>
      </c>
      <c r="I212">
        <v>39829.3</v>
      </c>
      <c r="J212">
        <v>35274.74</v>
      </c>
      <c r="K212" s="1"/>
      <c r="L212" s="1"/>
      <c r="M212" s="1"/>
      <c r="N212" s="1"/>
    </row>
    <row r="213" ht="15.75" customHeight="1">
      <c r="A213" t="s">
        <v>17</v>
      </c>
      <c r="B213" t="s">
        <v>18</v>
      </c>
      <c r="C213" t="s">
        <v>4914</v>
      </c>
      <c r="D213" t="s">
        <v>255</v>
      </c>
      <c r="E213">
        <v>85363.9</v>
      </c>
      <c r="F213">
        <v>25609.17</v>
      </c>
      <c r="G213">
        <v>14801.77</v>
      </c>
      <c r="H213">
        <v>13353.93</v>
      </c>
      <c r="I213">
        <v>125774.84</v>
      </c>
      <c r="J213">
        <v>112420.91</v>
      </c>
      <c r="K213" s="1"/>
      <c r="L213" s="1"/>
      <c r="M213" s="1"/>
      <c r="N213" s="1"/>
    </row>
    <row r="214" ht="15.75" customHeight="1">
      <c r="A214" t="s">
        <v>13</v>
      </c>
      <c r="B214" t="s">
        <v>14</v>
      </c>
      <c r="C214" t="s">
        <v>4917</v>
      </c>
      <c r="D214" t="s">
        <v>256</v>
      </c>
      <c r="E214">
        <v>18437.94</v>
      </c>
      <c r="F214">
        <v>5531.38</v>
      </c>
      <c r="G214">
        <v>1766.29</v>
      </c>
      <c r="H214">
        <v>2221.5</v>
      </c>
      <c r="I214">
        <v>25735.61</v>
      </c>
      <c r="J214">
        <v>23514.11</v>
      </c>
      <c r="K214" s="1"/>
      <c r="L214" s="1"/>
      <c r="M214" s="1"/>
      <c r="N214" s="1"/>
    </row>
    <row r="215" ht="15.75" customHeight="1">
      <c r="A215" t="s">
        <v>17</v>
      </c>
      <c r="B215" t="s">
        <v>54</v>
      </c>
      <c r="C215" t="s">
        <v>4912</v>
      </c>
      <c r="D215" t="s">
        <v>257</v>
      </c>
      <c r="E215">
        <v>44973.62</v>
      </c>
      <c r="F215">
        <v>13492.09</v>
      </c>
      <c r="G215">
        <v>3989.72</v>
      </c>
      <c r="H215">
        <v>12132.98</v>
      </c>
      <c r="I215">
        <v>62455.43</v>
      </c>
      <c r="J215">
        <v>50322.45</v>
      </c>
      <c r="K215" s="1"/>
      <c r="L215" s="1"/>
      <c r="M215" s="1"/>
      <c r="N215" s="1"/>
    </row>
    <row r="216" ht="15.75" customHeight="1">
      <c r="A216" t="s">
        <v>53</v>
      </c>
      <c r="B216" t="s">
        <v>30</v>
      </c>
      <c r="C216" t="s">
        <v>4915</v>
      </c>
      <c r="D216" t="s">
        <v>258</v>
      </c>
      <c r="E216">
        <v>22578.0</v>
      </c>
      <c r="F216">
        <v>6773.4</v>
      </c>
      <c r="G216">
        <v>1241.86</v>
      </c>
      <c r="H216">
        <v>4288.08</v>
      </c>
      <c r="I216">
        <v>30593.26</v>
      </c>
      <c r="J216">
        <v>26305.18</v>
      </c>
      <c r="K216" s="1"/>
      <c r="L216" s="1"/>
      <c r="M216" s="1"/>
      <c r="N216" s="1"/>
    </row>
    <row r="217" ht="15.75" customHeight="1">
      <c r="A217" t="s">
        <v>13</v>
      </c>
      <c r="B217" t="s">
        <v>33</v>
      </c>
      <c r="C217" t="s">
        <v>4915</v>
      </c>
      <c r="D217" t="s">
        <v>259</v>
      </c>
      <c r="E217">
        <v>28809.04</v>
      </c>
      <c r="F217">
        <v>8642.71</v>
      </c>
      <c r="G217">
        <v>3442.06</v>
      </c>
      <c r="H217">
        <v>2548.72</v>
      </c>
      <c r="I217">
        <v>40893.81</v>
      </c>
      <c r="J217">
        <v>38345.09</v>
      </c>
      <c r="K217" s="1"/>
      <c r="L217" s="1"/>
      <c r="M217" s="1"/>
      <c r="N217" s="1"/>
    </row>
    <row r="218" ht="15.75" customHeight="1">
      <c r="A218" t="s">
        <v>53</v>
      </c>
      <c r="B218" t="s">
        <v>54</v>
      </c>
      <c r="C218" t="s">
        <v>4917</v>
      </c>
      <c r="D218" t="s">
        <v>260</v>
      </c>
      <c r="E218">
        <v>36388.5</v>
      </c>
      <c r="F218">
        <v>10916.55</v>
      </c>
      <c r="G218">
        <v>5107.34</v>
      </c>
      <c r="H218">
        <v>9309.55</v>
      </c>
      <c r="I218">
        <v>52412.39</v>
      </c>
      <c r="J218">
        <v>43102.84</v>
      </c>
      <c r="K218" s="1"/>
      <c r="L218" s="1"/>
      <c r="M218" s="1"/>
      <c r="N218" s="1"/>
    </row>
    <row r="219" ht="15.75" customHeight="1">
      <c r="A219" t="s">
        <v>25</v>
      </c>
      <c r="B219" t="s">
        <v>37</v>
      </c>
      <c r="C219" t="s">
        <v>4908</v>
      </c>
      <c r="D219" t="s">
        <v>261</v>
      </c>
      <c r="E219">
        <v>57975.12</v>
      </c>
      <c r="F219">
        <v>17392.54</v>
      </c>
      <c r="G219">
        <v>2493.2</v>
      </c>
      <c r="H219">
        <v>7853.69</v>
      </c>
      <c r="I219">
        <v>77860.86</v>
      </c>
      <c r="J219">
        <v>70007.17</v>
      </c>
      <c r="K219" s="1"/>
      <c r="L219" s="1"/>
      <c r="M219" s="1"/>
      <c r="N219" s="1"/>
    </row>
    <row r="220" ht="15.75" customHeight="1">
      <c r="A220" t="s">
        <v>36</v>
      </c>
      <c r="B220" t="s">
        <v>33</v>
      </c>
      <c r="C220" t="s">
        <v>4912</v>
      </c>
      <c r="D220" t="s">
        <v>262</v>
      </c>
      <c r="E220">
        <v>33274.19</v>
      </c>
      <c r="F220">
        <v>9982.26</v>
      </c>
      <c r="G220">
        <v>2653.48</v>
      </c>
      <c r="H220">
        <v>7283.18</v>
      </c>
      <c r="I220">
        <v>45909.93</v>
      </c>
      <c r="J220">
        <v>38626.75</v>
      </c>
      <c r="K220" s="1"/>
      <c r="L220" s="1"/>
      <c r="M220" s="1"/>
      <c r="N220" s="1"/>
    </row>
    <row r="221" ht="15.75" customHeight="1">
      <c r="A221" t="s">
        <v>36</v>
      </c>
      <c r="B221" t="s">
        <v>33</v>
      </c>
      <c r="C221" t="s">
        <v>4914</v>
      </c>
      <c r="D221" t="s">
        <v>263</v>
      </c>
      <c r="E221">
        <v>31651.08</v>
      </c>
      <c r="F221">
        <v>9495.32</v>
      </c>
      <c r="G221">
        <v>2369.41</v>
      </c>
      <c r="H221">
        <v>1449.36</v>
      </c>
      <c r="I221">
        <v>43515.81</v>
      </c>
      <c r="J221">
        <v>42066.45</v>
      </c>
      <c r="K221" s="1"/>
      <c r="L221" s="1"/>
      <c r="M221" s="1"/>
      <c r="N221" s="1"/>
    </row>
    <row r="222" ht="15.75" customHeight="1">
      <c r="A222" t="s">
        <v>17</v>
      </c>
      <c r="B222" t="s">
        <v>14</v>
      </c>
      <c r="C222" t="s">
        <v>4905</v>
      </c>
      <c r="D222" t="s">
        <v>264</v>
      </c>
      <c r="E222">
        <v>23988.76</v>
      </c>
      <c r="F222">
        <v>7196.63</v>
      </c>
      <c r="G222">
        <v>447.29</v>
      </c>
      <c r="H222">
        <v>694.94</v>
      </c>
      <c r="I222">
        <v>31632.68</v>
      </c>
      <c r="J222">
        <v>30937.74</v>
      </c>
      <c r="K222" s="1"/>
      <c r="L222" s="1"/>
      <c r="M222" s="1"/>
      <c r="N222" s="1"/>
    </row>
    <row r="223" ht="15.75" customHeight="1">
      <c r="A223" t="s">
        <v>29</v>
      </c>
      <c r="B223" t="s">
        <v>26</v>
      </c>
      <c r="C223" t="s">
        <v>4915</v>
      </c>
      <c r="D223" t="s">
        <v>265</v>
      </c>
      <c r="E223">
        <v>94684.16</v>
      </c>
      <c r="F223">
        <v>28405.25</v>
      </c>
      <c r="G223">
        <v>1135.85</v>
      </c>
      <c r="H223">
        <v>27173.16</v>
      </c>
      <c r="I223">
        <v>124225.26</v>
      </c>
      <c r="J223">
        <v>97052.1</v>
      </c>
      <c r="K223" s="1"/>
      <c r="L223" s="1"/>
      <c r="M223" s="1"/>
      <c r="N223" s="1"/>
    </row>
    <row r="224" ht="15.75" customHeight="1">
      <c r="A224" t="s">
        <v>29</v>
      </c>
      <c r="B224" t="s">
        <v>18</v>
      </c>
      <c r="C224" t="s">
        <v>4913</v>
      </c>
      <c r="D224" t="s">
        <v>266</v>
      </c>
      <c r="E224">
        <v>68178.01</v>
      </c>
      <c r="F224">
        <v>20453.4</v>
      </c>
      <c r="G224">
        <v>4821.52</v>
      </c>
      <c r="H224">
        <v>13608.48</v>
      </c>
      <c r="I224">
        <v>93452.93</v>
      </c>
      <c r="J224">
        <v>79844.45</v>
      </c>
      <c r="K224" s="1"/>
      <c r="L224" s="1"/>
      <c r="M224" s="1"/>
      <c r="N224" s="1"/>
    </row>
    <row r="225" ht="15.75" customHeight="1">
      <c r="A225" t="s">
        <v>25</v>
      </c>
      <c r="B225" t="s">
        <v>18</v>
      </c>
      <c r="C225" t="s">
        <v>4909</v>
      </c>
      <c r="D225" t="s">
        <v>267</v>
      </c>
      <c r="E225">
        <v>71780.1808858172</v>
      </c>
      <c r="F225">
        <v>19901.28</v>
      </c>
      <c r="G225">
        <v>3816.13</v>
      </c>
      <c r="H225">
        <v>6218.13</v>
      </c>
      <c r="I225">
        <v>95497.59</v>
      </c>
      <c r="J225">
        <v>89279.46</v>
      </c>
      <c r="K225" s="1"/>
      <c r="L225" s="1"/>
      <c r="M225" s="1"/>
      <c r="N225" s="1"/>
    </row>
    <row r="226" ht="15.75" customHeight="1">
      <c r="A226" t="s">
        <v>53</v>
      </c>
      <c r="B226" t="s">
        <v>37</v>
      </c>
      <c r="C226" t="s">
        <v>4909</v>
      </c>
      <c r="D226" t="s">
        <v>268</v>
      </c>
      <c r="E226">
        <v>48829.3</v>
      </c>
      <c r="F226">
        <v>14648.79</v>
      </c>
      <c r="G226">
        <v>6413.59</v>
      </c>
      <c r="H226">
        <v>3284.92</v>
      </c>
      <c r="I226">
        <v>69891.68</v>
      </c>
      <c r="J226">
        <v>66606.76</v>
      </c>
      <c r="K226" s="1"/>
      <c r="L226" s="1"/>
      <c r="M226" s="1"/>
      <c r="N226" s="1"/>
    </row>
    <row r="227" ht="15.75" customHeight="1">
      <c r="A227" t="s">
        <v>29</v>
      </c>
      <c r="B227" t="s">
        <v>26</v>
      </c>
      <c r="C227" t="s">
        <v>4908</v>
      </c>
      <c r="D227" t="s">
        <v>269</v>
      </c>
      <c r="E227">
        <v>110025.56</v>
      </c>
      <c r="F227">
        <v>33007.67</v>
      </c>
      <c r="G227">
        <v>2528.06</v>
      </c>
      <c r="H227">
        <v>9194.89</v>
      </c>
      <c r="I227">
        <v>145561.29</v>
      </c>
      <c r="J227">
        <v>136366.4</v>
      </c>
      <c r="K227" s="1"/>
      <c r="L227" s="1"/>
      <c r="M227" s="1"/>
      <c r="N227" s="1"/>
    </row>
    <row r="228" ht="15.75" customHeight="1">
      <c r="A228" t="s">
        <v>25</v>
      </c>
      <c r="B228" t="s">
        <v>54</v>
      </c>
      <c r="C228" t="s">
        <v>4916</v>
      </c>
      <c r="D228" t="s">
        <v>270</v>
      </c>
      <c r="E228">
        <v>46832.17</v>
      </c>
      <c r="F228">
        <v>14049.65</v>
      </c>
      <c r="G228">
        <v>9128.03</v>
      </c>
      <c r="H228">
        <v>11498.61</v>
      </c>
      <c r="I228">
        <v>70009.85</v>
      </c>
      <c r="J228">
        <v>58511.24</v>
      </c>
      <c r="K228" s="1"/>
      <c r="L228" s="1"/>
      <c r="M228" s="1"/>
      <c r="N228" s="1"/>
    </row>
    <row r="229" ht="15.75" customHeight="1">
      <c r="A229" t="s">
        <v>13</v>
      </c>
      <c r="B229" t="s">
        <v>18</v>
      </c>
      <c r="C229" t="s">
        <v>4905</v>
      </c>
      <c r="D229" t="s">
        <v>271</v>
      </c>
      <c r="E229">
        <v>79475.23</v>
      </c>
      <c r="F229">
        <v>23842.57</v>
      </c>
      <c r="G229">
        <v>9680.0</v>
      </c>
      <c r="H229">
        <v>15684.39</v>
      </c>
      <c r="I229">
        <v>112997.8</v>
      </c>
      <c r="J229">
        <v>97313.41</v>
      </c>
      <c r="K229" s="1"/>
      <c r="L229" s="1"/>
      <c r="M229" s="1"/>
      <c r="N229" s="1"/>
    </row>
    <row r="230" ht="15.75" customHeight="1">
      <c r="A230" t="s">
        <v>29</v>
      </c>
      <c r="B230" t="s">
        <v>14</v>
      </c>
      <c r="C230" t="s">
        <v>4912</v>
      </c>
      <c r="D230" t="s">
        <v>272</v>
      </c>
      <c r="E230">
        <v>19299.0</v>
      </c>
      <c r="F230">
        <v>5789.7</v>
      </c>
      <c r="G230">
        <v>2712.28</v>
      </c>
      <c r="H230">
        <v>1788.93</v>
      </c>
      <c r="I230">
        <v>27800.98</v>
      </c>
      <c r="J230">
        <v>26012.05</v>
      </c>
      <c r="K230" s="1"/>
      <c r="L230" s="1"/>
      <c r="M230" s="1"/>
      <c r="N230" s="1"/>
    </row>
    <row r="231" ht="15.75" customHeight="1">
      <c r="A231" t="s">
        <v>29</v>
      </c>
      <c r="B231" t="s">
        <v>14</v>
      </c>
      <c r="C231" t="s">
        <v>4909</v>
      </c>
      <c r="D231" t="s">
        <v>273</v>
      </c>
      <c r="E231">
        <v>19306.12</v>
      </c>
      <c r="F231">
        <v>5791.84</v>
      </c>
      <c r="G231">
        <v>553.13</v>
      </c>
      <c r="H231">
        <v>3807.23</v>
      </c>
      <c r="I231">
        <v>25651.09</v>
      </c>
      <c r="J231">
        <v>21843.86</v>
      </c>
      <c r="K231" s="1"/>
      <c r="L231" s="1"/>
      <c r="M231" s="1"/>
      <c r="N231" s="1"/>
    </row>
    <row r="232" ht="15.75" customHeight="1">
      <c r="A232" t="s">
        <v>51</v>
      </c>
      <c r="B232" t="s">
        <v>18</v>
      </c>
      <c r="C232" t="s">
        <v>4908</v>
      </c>
      <c r="D232" t="s">
        <v>274</v>
      </c>
      <c r="E232">
        <v>81462.47</v>
      </c>
      <c r="F232">
        <v>24438.74</v>
      </c>
      <c r="G232">
        <v>499.48</v>
      </c>
      <c r="H232">
        <v>18234.03</v>
      </c>
      <c r="I232">
        <v>106400.69</v>
      </c>
      <c r="J232">
        <v>88166.66</v>
      </c>
      <c r="K232" s="1"/>
      <c r="L232" s="1"/>
      <c r="M232" s="1"/>
      <c r="N232" s="1"/>
    </row>
    <row r="233" ht="15.75" customHeight="1">
      <c r="A233" t="s">
        <v>36</v>
      </c>
      <c r="B233" t="s">
        <v>54</v>
      </c>
      <c r="C233" t="s">
        <v>4907</v>
      </c>
      <c r="D233" t="s">
        <v>275</v>
      </c>
      <c r="E233">
        <v>41351.04</v>
      </c>
      <c r="F233">
        <v>12405.31</v>
      </c>
      <c r="G233">
        <v>1301.81</v>
      </c>
      <c r="H233">
        <v>3865.96</v>
      </c>
      <c r="I233">
        <v>55058.16</v>
      </c>
      <c r="J233">
        <v>51192.2</v>
      </c>
      <c r="K233" s="1"/>
      <c r="L233" s="1"/>
      <c r="M233" s="1"/>
      <c r="N233" s="1"/>
    </row>
    <row r="234" ht="15.75" customHeight="1">
      <c r="A234" t="s">
        <v>25</v>
      </c>
      <c r="B234" t="s">
        <v>37</v>
      </c>
      <c r="C234" t="s">
        <v>4916</v>
      </c>
      <c r="D234" t="s">
        <v>277</v>
      </c>
      <c r="E234">
        <v>55732.03</v>
      </c>
      <c r="F234">
        <v>16719.61</v>
      </c>
      <c r="G234">
        <v>9846.09</v>
      </c>
      <c r="H234">
        <v>2601.24</v>
      </c>
      <c r="I234">
        <v>82297.73</v>
      </c>
      <c r="J234">
        <v>79696.49</v>
      </c>
      <c r="K234" s="1"/>
      <c r="L234" s="1"/>
      <c r="M234" s="1"/>
      <c r="N234" s="1"/>
    </row>
    <row r="235" ht="15.75" customHeight="1">
      <c r="A235" t="s">
        <v>17</v>
      </c>
      <c r="B235" t="s">
        <v>18</v>
      </c>
      <c r="C235" t="s">
        <v>4916</v>
      </c>
      <c r="D235" t="s">
        <v>278</v>
      </c>
      <c r="E235">
        <v>67121.12</v>
      </c>
      <c r="F235">
        <v>20136.34</v>
      </c>
      <c r="G235">
        <v>5948.45</v>
      </c>
      <c r="H235">
        <v>8538.1</v>
      </c>
      <c r="I235">
        <v>93205.91</v>
      </c>
      <c r="J235">
        <v>84667.81</v>
      </c>
      <c r="K235" s="1"/>
      <c r="L235" s="1"/>
      <c r="M235" s="1"/>
      <c r="N235" s="1"/>
    </row>
    <row r="236" ht="15.75" customHeight="1">
      <c r="A236" t="s">
        <v>36</v>
      </c>
      <c r="B236" t="s">
        <v>54</v>
      </c>
      <c r="C236" t="s">
        <v>4913</v>
      </c>
      <c r="D236" t="s">
        <v>279</v>
      </c>
      <c r="E236">
        <v>38824.34</v>
      </c>
      <c r="F236">
        <v>11647.3</v>
      </c>
      <c r="G236">
        <v>5862.03</v>
      </c>
      <c r="H236">
        <v>1325.67</v>
      </c>
      <c r="I236">
        <v>56333.67</v>
      </c>
      <c r="J236">
        <v>55008.0</v>
      </c>
      <c r="K236" s="1"/>
      <c r="L236" s="1"/>
      <c r="M236" s="1"/>
      <c r="N236" s="1"/>
    </row>
    <row r="237" ht="15.75" customHeight="1">
      <c r="A237" t="s">
        <v>17</v>
      </c>
      <c r="B237" t="s">
        <v>33</v>
      </c>
      <c r="C237" t="s">
        <v>4910</v>
      </c>
      <c r="D237" t="s">
        <v>280</v>
      </c>
      <c r="E237">
        <v>31782.18</v>
      </c>
      <c r="F237">
        <v>9534.65</v>
      </c>
      <c r="G237">
        <v>3770.22</v>
      </c>
      <c r="H237">
        <v>5024.13</v>
      </c>
      <c r="I237">
        <v>45087.05</v>
      </c>
      <c r="J237">
        <v>40062.92</v>
      </c>
      <c r="K237" s="1"/>
      <c r="L237" s="1"/>
      <c r="M237" s="1"/>
      <c r="N237" s="1"/>
    </row>
    <row r="238" ht="15.75" customHeight="1">
      <c r="A238" t="s">
        <v>36</v>
      </c>
      <c r="B238" t="s">
        <v>30</v>
      </c>
      <c r="C238" t="s">
        <v>4910</v>
      </c>
      <c r="D238" t="s">
        <v>281</v>
      </c>
      <c r="E238">
        <v>25478.32</v>
      </c>
      <c r="F238">
        <v>7643.5</v>
      </c>
      <c r="G238">
        <v>3053.96</v>
      </c>
      <c r="H238">
        <v>58.76</v>
      </c>
      <c r="I238">
        <v>36175.78</v>
      </c>
      <c r="J238">
        <v>36117.02</v>
      </c>
      <c r="K238" s="1"/>
      <c r="L238" s="1"/>
      <c r="M238" s="1"/>
      <c r="N238" s="1"/>
    </row>
    <row r="239" ht="15.75" customHeight="1">
      <c r="A239" t="s">
        <v>51</v>
      </c>
      <c r="B239" t="s">
        <v>26</v>
      </c>
      <c r="C239" t="s">
        <v>4907</v>
      </c>
      <c r="D239" t="s">
        <v>282</v>
      </c>
      <c r="E239">
        <v>94940.45</v>
      </c>
      <c r="F239">
        <v>28482.13</v>
      </c>
      <c r="G239">
        <v>4851.83</v>
      </c>
      <c r="H239">
        <v>9345.63</v>
      </c>
      <c r="I239">
        <v>128274.41</v>
      </c>
      <c r="J239">
        <v>118928.78</v>
      </c>
      <c r="K239" s="1"/>
      <c r="L239" s="1"/>
      <c r="M239" s="1"/>
      <c r="N239" s="1"/>
    </row>
    <row r="240" ht="15.75" customHeight="1">
      <c r="A240" t="s">
        <v>36</v>
      </c>
      <c r="B240" t="s">
        <v>18</v>
      </c>
      <c r="C240" t="s">
        <v>4908</v>
      </c>
      <c r="D240" t="s">
        <v>283</v>
      </c>
      <c r="E240">
        <v>76197.03</v>
      </c>
      <c r="F240">
        <v>22859.11</v>
      </c>
      <c r="G240">
        <v>1968.71</v>
      </c>
      <c r="H240">
        <v>12174.36</v>
      </c>
      <c r="I240">
        <v>101024.85</v>
      </c>
      <c r="J240">
        <v>88850.49</v>
      </c>
      <c r="K240" s="1"/>
      <c r="L240" s="1"/>
      <c r="M240" s="1"/>
      <c r="N240" s="1"/>
    </row>
    <row r="241" ht="15.75" customHeight="1">
      <c r="A241" t="s">
        <v>53</v>
      </c>
      <c r="B241" t="s">
        <v>37</v>
      </c>
      <c r="C241" t="s">
        <v>4905</v>
      </c>
      <c r="D241" t="s">
        <v>284</v>
      </c>
      <c r="E241">
        <v>60000.38</v>
      </c>
      <c r="F241">
        <v>18000.11</v>
      </c>
      <c r="G241">
        <v>9674.46</v>
      </c>
      <c r="H241">
        <v>1297.37</v>
      </c>
      <c r="I241">
        <v>87674.95</v>
      </c>
      <c r="J241">
        <v>86377.58</v>
      </c>
      <c r="K241" s="1"/>
      <c r="L241" s="1"/>
      <c r="M241" s="1"/>
      <c r="N241" s="1"/>
    </row>
    <row r="242" ht="15.75" customHeight="1">
      <c r="A242" t="s">
        <v>17</v>
      </c>
      <c r="B242" t="s">
        <v>54</v>
      </c>
      <c r="C242" t="s">
        <v>4916</v>
      </c>
      <c r="D242" t="s">
        <v>285</v>
      </c>
      <c r="E242">
        <v>35262.38</v>
      </c>
      <c r="F242">
        <v>10578.71</v>
      </c>
      <c r="G242">
        <v>6496.48</v>
      </c>
      <c r="H242">
        <v>9120.02</v>
      </c>
      <c r="I242">
        <v>52337.57</v>
      </c>
      <c r="J242">
        <v>43217.55</v>
      </c>
      <c r="K242" s="1"/>
      <c r="L242" s="1"/>
      <c r="M242" s="1"/>
      <c r="N242" s="1"/>
    </row>
    <row r="243" ht="15.75" customHeight="1">
      <c r="A243" t="s">
        <v>36</v>
      </c>
      <c r="B243" t="s">
        <v>37</v>
      </c>
      <c r="C243" t="s">
        <v>4913</v>
      </c>
      <c r="D243" t="s">
        <v>286</v>
      </c>
      <c r="E243">
        <v>52279.61</v>
      </c>
      <c r="F243">
        <v>15683.88</v>
      </c>
      <c r="G243">
        <v>6693.27</v>
      </c>
      <c r="H243">
        <v>4540.72</v>
      </c>
      <c r="I243">
        <v>74656.76</v>
      </c>
      <c r="J243">
        <v>70116.04</v>
      </c>
      <c r="K243" s="1"/>
      <c r="L243" s="1"/>
      <c r="M243" s="1"/>
      <c r="N243" s="1"/>
    </row>
    <row r="244" ht="15.75" customHeight="1">
      <c r="A244" t="s">
        <v>17</v>
      </c>
      <c r="B244" t="s">
        <v>33</v>
      </c>
      <c r="C244" t="s">
        <v>4905</v>
      </c>
      <c r="D244" t="s">
        <v>287</v>
      </c>
      <c r="E244">
        <v>26718.73</v>
      </c>
      <c r="F244">
        <v>8015.62</v>
      </c>
      <c r="G244">
        <v>5063.81</v>
      </c>
      <c r="H244">
        <v>14735.51589897765</v>
      </c>
      <c r="I244">
        <v>39798.16</v>
      </c>
      <c r="J244">
        <v>25062.64</v>
      </c>
      <c r="K244" s="1"/>
      <c r="L244" s="1"/>
      <c r="M244" s="1"/>
      <c r="N244" s="1"/>
    </row>
    <row r="245" ht="15.75" customHeight="1">
      <c r="A245" t="s">
        <v>29</v>
      </c>
      <c r="B245" t="s">
        <v>14</v>
      </c>
      <c r="C245" t="s">
        <v>4913</v>
      </c>
      <c r="D245" t="s">
        <v>288</v>
      </c>
      <c r="E245">
        <v>21144.32</v>
      </c>
      <c r="F245">
        <v>6343.3</v>
      </c>
      <c r="G245">
        <v>447.68</v>
      </c>
      <c r="H245">
        <v>2763.63</v>
      </c>
      <c r="I245">
        <v>27935.3</v>
      </c>
      <c r="J245">
        <v>25171.67</v>
      </c>
      <c r="K245" s="1"/>
      <c r="L245" s="1"/>
      <c r="M245" s="1"/>
      <c r="N245" s="1"/>
    </row>
    <row r="246" ht="15.75" customHeight="1">
      <c r="A246" t="s">
        <v>53</v>
      </c>
      <c r="B246" t="s">
        <v>14</v>
      </c>
      <c r="C246" t="s">
        <v>4912</v>
      </c>
      <c r="D246" t="s">
        <v>289</v>
      </c>
      <c r="E246">
        <v>20849.52</v>
      </c>
      <c r="F246">
        <v>6254.86</v>
      </c>
      <c r="G246">
        <v>1293.82</v>
      </c>
      <c r="H246">
        <v>14765.30618879032</v>
      </c>
      <c r="I246">
        <v>28398.2</v>
      </c>
      <c r="J246">
        <v>13632.89</v>
      </c>
      <c r="K246" s="1"/>
      <c r="L246" s="1"/>
      <c r="M246" s="1"/>
      <c r="N246" s="1"/>
    </row>
    <row r="247" ht="15.75" customHeight="1">
      <c r="A247" t="s">
        <v>25</v>
      </c>
      <c r="B247" t="s">
        <v>30</v>
      </c>
      <c r="C247" t="s">
        <v>4908</v>
      </c>
      <c r="D247" t="s">
        <v>290</v>
      </c>
      <c r="E247">
        <v>22672.14</v>
      </c>
      <c r="F247">
        <v>6801.64</v>
      </c>
      <c r="G247">
        <v>2871.31</v>
      </c>
      <c r="H247">
        <v>3608.98</v>
      </c>
      <c r="I247">
        <v>32345.09</v>
      </c>
      <c r="J247">
        <v>28736.11</v>
      </c>
      <c r="K247" s="1"/>
      <c r="L247" s="1"/>
      <c r="M247" s="1"/>
      <c r="N247" s="1"/>
    </row>
    <row r="248" ht="15.75" customHeight="1">
      <c r="A248" t="s">
        <v>25</v>
      </c>
      <c r="B248" t="s">
        <v>33</v>
      </c>
      <c r="C248" t="s">
        <v>4911</v>
      </c>
      <c r="D248" t="s">
        <v>291</v>
      </c>
      <c r="E248">
        <v>28511.0</v>
      </c>
      <c r="F248">
        <v>8553.3</v>
      </c>
      <c r="G248">
        <v>5463.98</v>
      </c>
      <c r="H248">
        <v>5520.67</v>
      </c>
      <c r="I248">
        <v>42528.28</v>
      </c>
      <c r="J248">
        <v>37007.61</v>
      </c>
      <c r="K248" s="1"/>
      <c r="L248" s="1"/>
      <c r="M248" s="1"/>
      <c r="N248" s="1"/>
    </row>
    <row r="249" ht="15.75" customHeight="1">
      <c r="A249" t="s">
        <v>51</v>
      </c>
      <c r="B249" t="s">
        <v>14</v>
      </c>
      <c r="C249" t="s">
        <v>4917</v>
      </c>
      <c r="D249" t="s">
        <v>292</v>
      </c>
      <c r="E249">
        <v>19054.4</v>
      </c>
      <c r="F249">
        <v>5716.32</v>
      </c>
      <c r="G249">
        <v>751.78</v>
      </c>
      <c r="H249">
        <v>3443.51</v>
      </c>
      <c r="I249">
        <v>25522.5</v>
      </c>
      <c r="J249">
        <v>22078.99</v>
      </c>
      <c r="K249" s="1"/>
      <c r="L249" s="1"/>
      <c r="M249" s="1"/>
      <c r="N249" s="1"/>
    </row>
    <row r="250" ht="15.75" customHeight="1">
      <c r="A250" t="s">
        <v>17</v>
      </c>
      <c r="B250" t="s">
        <v>30</v>
      </c>
      <c r="C250" t="s">
        <v>4916</v>
      </c>
      <c r="D250" t="s">
        <v>293</v>
      </c>
      <c r="E250">
        <v>30371.37</v>
      </c>
      <c r="F250">
        <v>9111.41</v>
      </c>
      <c r="G250">
        <v>3814.33</v>
      </c>
      <c r="H250">
        <v>4227.27</v>
      </c>
      <c r="I250">
        <v>43297.11</v>
      </c>
      <c r="J250">
        <v>39069.84</v>
      </c>
      <c r="K250" s="1"/>
      <c r="L250" s="1"/>
      <c r="M250" s="1"/>
      <c r="N250" s="1"/>
    </row>
    <row r="251" ht="15.75" customHeight="1">
      <c r="A251" t="s">
        <v>25</v>
      </c>
      <c r="B251" t="s">
        <v>37</v>
      </c>
      <c r="C251" t="s">
        <v>4917</v>
      </c>
      <c r="D251" t="s">
        <v>294</v>
      </c>
      <c r="E251">
        <v>53080.29</v>
      </c>
      <c r="F251">
        <v>15924.09</v>
      </c>
      <c r="G251">
        <v>9810.88</v>
      </c>
      <c r="H251">
        <v>8989.02</v>
      </c>
      <c r="I251">
        <v>78815.26</v>
      </c>
      <c r="J251">
        <v>69826.24</v>
      </c>
      <c r="K251" s="1"/>
      <c r="L251" s="1"/>
      <c r="M251" s="1"/>
      <c r="N251" s="1"/>
    </row>
    <row r="252" ht="15.75" customHeight="1">
      <c r="A252" t="s">
        <v>53</v>
      </c>
      <c r="B252" t="s">
        <v>33</v>
      </c>
      <c r="C252" t="s">
        <v>4909</v>
      </c>
      <c r="D252" t="s">
        <v>295</v>
      </c>
      <c r="E252">
        <v>33642.47</v>
      </c>
      <c r="F252">
        <v>10092.74</v>
      </c>
      <c r="G252">
        <v>4220.23</v>
      </c>
      <c r="H252">
        <v>1523.57</v>
      </c>
      <c r="I252">
        <v>47955.44</v>
      </c>
      <c r="J252">
        <v>46431.87</v>
      </c>
      <c r="K252" s="1"/>
      <c r="L252" s="1"/>
      <c r="M252" s="1"/>
      <c r="N252" s="1"/>
    </row>
    <row r="253" ht="15.75" customHeight="1">
      <c r="A253" t="s">
        <v>36</v>
      </c>
      <c r="B253" t="s">
        <v>54</v>
      </c>
      <c r="C253" t="s">
        <v>4912</v>
      </c>
      <c r="D253" t="s">
        <v>296</v>
      </c>
      <c r="E253">
        <v>43839.39</v>
      </c>
      <c r="F253">
        <v>13151.82</v>
      </c>
      <c r="G253">
        <v>6982.12</v>
      </c>
      <c r="H253">
        <v>7778.24</v>
      </c>
      <c r="I253">
        <v>63973.33</v>
      </c>
      <c r="J253">
        <v>56195.09</v>
      </c>
      <c r="K253" s="1"/>
      <c r="L253" s="1"/>
      <c r="M253" s="1"/>
      <c r="N253" s="1"/>
    </row>
    <row r="254" ht="15.75" customHeight="1">
      <c r="A254" t="s">
        <v>53</v>
      </c>
      <c r="B254" t="s">
        <v>14</v>
      </c>
      <c r="C254" t="s">
        <v>4910</v>
      </c>
      <c r="D254" t="s">
        <v>297</v>
      </c>
      <c r="E254">
        <v>20234.94</v>
      </c>
      <c r="F254">
        <v>6070.48</v>
      </c>
      <c r="G254">
        <v>1828.89</v>
      </c>
      <c r="H254">
        <v>345.35</v>
      </c>
      <c r="I254">
        <v>28134.31</v>
      </c>
      <c r="J254">
        <v>27788.96</v>
      </c>
      <c r="K254" s="1"/>
      <c r="L254" s="1"/>
      <c r="M254" s="1"/>
      <c r="N254" s="1"/>
    </row>
    <row r="255" ht="15.75" customHeight="1">
      <c r="A255" t="s">
        <v>17</v>
      </c>
      <c r="B255" t="s">
        <v>18</v>
      </c>
      <c r="C255" t="s">
        <v>4915</v>
      </c>
      <c r="D255" t="s">
        <v>298</v>
      </c>
      <c r="E255">
        <v>87470.5</v>
      </c>
      <c r="F255">
        <v>26241.15</v>
      </c>
      <c r="G255">
        <v>14962.59</v>
      </c>
      <c r="H255">
        <v>16138.53</v>
      </c>
      <c r="I255">
        <v>128674.24</v>
      </c>
      <c r="J255">
        <v>112535.71</v>
      </c>
      <c r="K255" s="1"/>
      <c r="L255" s="1"/>
      <c r="M255" s="1"/>
      <c r="N255" s="1"/>
    </row>
    <row r="256" ht="15.75" customHeight="1">
      <c r="A256" t="s">
        <v>36</v>
      </c>
      <c r="B256" t="s">
        <v>54</v>
      </c>
      <c r="C256" t="s">
        <v>4907</v>
      </c>
      <c r="D256" t="s">
        <v>299</v>
      </c>
      <c r="E256">
        <v>43124.61</v>
      </c>
      <c r="F256">
        <v>12937.38</v>
      </c>
      <c r="G256">
        <v>8230.17</v>
      </c>
      <c r="H256">
        <v>9559.7</v>
      </c>
      <c r="I256">
        <v>64292.16</v>
      </c>
      <c r="J256">
        <v>54732.46</v>
      </c>
      <c r="K256" s="1"/>
      <c r="L256" s="1"/>
      <c r="M256" s="1"/>
      <c r="N256" s="1"/>
    </row>
    <row r="257" ht="15.75" customHeight="1">
      <c r="A257" t="s">
        <v>36</v>
      </c>
      <c r="B257" t="s">
        <v>26</v>
      </c>
      <c r="C257" t="s">
        <v>4915</v>
      </c>
      <c r="D257" t="s">
        <v>300</v>
      </c>
      <c r="E257">
        <v>110579.64</v>
      </c>
      <c r="F257">
        <v>33173.89</v>
      </c>
      <c r="G257">
        <v>4163.09</v>
      </c>
      <c r="H257">
        <v>20070.4</v>
      </c>
      <c r="I257">
        <v>147916.62</v>
      </c>
      <c r="J257">
        <v>127846.22</v>
      </c>
      <c r="K257" s="1"/>
      <c r="L257" s="1"/>
      <c r="M257" s="1"/>
      <c r="N257" s="1"/>
    </row>
    <row r="258" ht="15.75" customHeight="1">
      <c r="A258" t="s">
        <v>51</v>
      </c>
      <c r="B258" t="s">
        <v>14</v>
      </c>
      <c r="C258" t="s">
        <v>4905</v>
      </c>
      <c r="D258" t="s">
        <v>301</v>
      </c>
      <c r="E258">
        <v>21243.77</v>
      </c>
      <c r="F258">
        <v>6373.13</v>
      </c>
      <c r="G258">
        <v>3445.6</v>
      </c>
      <c r="H258">
        <v>5336.71</v>
      </c>
      <c r="I258">
        <v>31062.5</v>
      </c>
      <c r="J258">
        <v>25725.79</v>
      </c>
      <c r="K258" s="1"/>
      <c r="L258" s="1"/>
      <c r="M258" s="1"/>
      <c r="N258" s="1"/>
    </row>
    <row r="259" ht="15.75" customHeight="1">
      <c r="A259" t="s">
        <v>17</v>
      </c>
      <c r="B259" t="s">
        <v>37</v>
      </c>
      <c r="C259" t="s">
        <v>4914</v>
      </c>
      <c r="D259" t="s">
        <v>302</v>
      </c>
      <c r="E259">
        <v>56630.29</v>
      </c>
      <c r="F259">
        <v>16989.09</v>
      </c>
      <c r="G259">
        <v>443.33</v>
      </c>
      <c r="H259">
        <v>12021.85</v>
      </c>
      <c r="I259">
        <v>74062.71</v>
      </c>
      <c r="J259">
        <v>62040.86</v>
      </c>
      <c r="K259" s="1"/>
      <c r="L259" s="1"/>
      <c r="M259" s="1"/>
      <c r="N259" s="1"/>
    </row>
    <row r="260" ht="15.75" customHeight="1">
      <c r="A260" t="s">
        <v>53</v>
      </c>
      <c r="B260" t="s">
        <v>37</v>
      </c>
      <c r="C260" t="s">
        <v>4913</v>
      </c>
      <c r="D260" t="s">
        <v>303</v>
      </c>
      <c r="E260">
        <v>55976.5</v>
      </c>
      <c r="F260">
        <v>16792.95</v>
      </c>
      <c r="G260">
        <v>4073.95</v>
      </c>
      <c r="H260">
        <v>15414.87</v>
      </c>
      <c r="I260">
        <v>76843.4</v>
      </c>
      <c r="J260">
        <v>61428.53</v>
      </c>
      <c r="K260" s="1"/>
      <c r="L260" s="1"/>
      <c r="M260" s="1"/>
      <c r="N260" s="1"/>
    </row>
    <row r="261" ht="15.75" customHeight="1">
      <c r="A261" t="s">
        <v>36</v>
      </c>
      <c r="B261" t="s">
        <v>26</v>
      </c>
      <c r="C261" t="s">
        <v>4917</v>
      </c>
      <c r="D261" t="s">
        <v>304</v>
      </c>
      <c r="E261">
        <v>102181.22</v>
      </c>
      <c r="F261">
        <v>30654.37</v>
      </c>
      <c r="G261">
        <v>12218.54</v>
      </c>
      <c r="H261">
        <v>24193.25</v>
      </c>
      <c r="I261">
        <v>145054.13</v>
      </c>
      <c r="J261">
        <v>120860.88</v>
      </c>
      <c r="K261" s="1"/>
      <c r="L261" s="1"/>
      <c r="M261" s="1"/>
      <c r="N261" s="1"/>
    </row>
    <row r="262" ht="15.75" customHeight="1">
      <c r="A262" t="s">
        <v>29</v>
      </c>
      <c r="B262" t="s">
        <v>14</v>
      </c>
      <c r="C262" t="s">
        <v>4910</v>
      </c>
      <c r="D262" t="s">
        <v>305</v>
      </c>
      <c r="E262">
        <v>20373.77</v>
      </c>
      <c r="F262">
        <v>6112.13</v>
      </c>
      <c r="G262">
        <v>2273.56</v>
      </c>
      <c r="H262">
        <v>2362.73</v>
      </c>
      <c r="I262">
        <v>28759.46</v>
      </c>
      <c r="J262">
        <v>26396.73</v>
      </c>
      <c r="K262" s="1"/>
      <c r="L262" s="1"/>
      <c r="M262" s="1"/>
      <c r="N262" s="1"/>
    </row>
    <row r="263" ht="15.75" customHeight="1">
      <c r="A263" t="s">
        <v>13</v>
      </c>
      <c r="B263" t="s">
        <v>26</v>
      </c>
      <c r="C263" t="s">
        <v>4912</v>
      </c>
      <c r="D263" t="s">
        <v>306</v>
      </c>
      <c r="E263">
        <v>113636.31</v>
      </c>
      <c r="F263">
        <v>34090.89</v>
      </c>
      <c r="G263">
        <v>20598.69</v>
      </c>
      <c r="H263">
        <v>29770.88</v>
      </c>
      <c r="I263">
        <v>168325.89</v>
      </c>
      <c r="J263">
        <v>138555.01</v>
      </c>
      <c r="K263" s="1"/>
      <c r="L263" s="1"/>
      <c r="M263" s="1"/>
      <c r="N263" s="1"/>
    </row>
    <row r="264" ht="15.75" customHeight="1">
      <c r="A264" t="s">
        <v>17</v>
      </c>
      <c r="B264" t="s">
        <v>37</v>
      </c>
      <c r="C264" t="s">
        <v>4917</v>
      </c>
      <c r="D264" t="s">
        <v>307</v>
      </c>
      <c r="E264">
        <v>56945.02</v>
      </c>
      <c r="F264">
        <v>17083.51</v>
      </c>
      <c r="G264">
        <v>10440.83</v>
      </c>
      <c r="H264">
        <v>5299.85</v>
      </c>
      <c r="I264">
        <v>84469.36</v>
      </c>
      <c r="J264">
        <v>79169.51</v>
      </c>
      <c r="K264" s="1"/>
      <c r="L264" s="1"/>
      <c r="M264" s="1"/>
      <c r="N264" s="1"/>
    </row>
    <row r="265" ht="15.75" customHeight="1">
      <c r="A265" t="s">
        <v>13</v>
      </c>
      <c r="B265" t="s">
        <v>18</v>
      </c>
      <c r="C265" t="s">
        <v>4910</v>
      </c>
      <c r="D265" t="s">
        <v>308</v>
      </c>
      <c r="E265">
        <v>75190.91</v>
      </c>
      <c r="F265">
        <v>22557.27</v>
      </c>
      <c r="G265">
        <v>8948.34</v>
      </c>
      <c r="H265">
        <v>21158.77</v>
      </c>
      <c r="I265">
        <v>106696.52</v>
      </c>
      <c r="J265">
        <v>85537.75</v>
      </c>
      <c r="K265" s="1"/>
      <c r="L265" s="1"/>
      <c r="M265" s="1"/>
      <c r="N265" s="1"/>
    </row>
    <row r="266" ht="15.75" customHeight="1">
      <c r="A266" t="s">
        <v>53</v>
      </c>
      <c r="B266" t="s">
        <v>54</v>
      </c>
      <c r="C266" t="s">
        <v>4905</v>
      </c>
      <c r="D266" t="s">
        <v>309</v>
      </c>
      <c r="E266">
        <v>44008.91</v>
      </c>
      <c r="F266">
        <v>13202.67</v>
      </c>
      <c r="G266">
        <v>2891.18</v>
      </c>
      <c r="H266">
        <v>1687.22</v>
      </c>
      <c r="I266">
        <v>60102.76</v>
      </c>
      <c r="J266">
        <v>58415.54</v>
      </c>
      <c r="K266" s="1"/>
      <c r="L266" s="1"/>
      <c r="M266" s="1"/>
      <c r="N266" s="1"/>
    </row>
    <row r="267" ht="15.75" customHeight="1">
      <c r="A267" t="s">
        <v>25</v>
      </c>
      <c r="B267" t="s">
        <v>18</v>
      </c>
      <c r="C267" t="s">
        <v>4917</v>
      </c>
      <c r="D267" t="s">
        <v>310</v>
      </c>
      <c r="E267">
        <v>90926.27</v>
      </c>
      <c r="F267">
        <v>27277.88</v>
      </c>
      <c r="G267">
        <v>16593.1</v>
      </c>
      <c r="H267">
        <v>2549.2</v>
      </c>
      <c r="I267">
        <v>134797.25</v>
      </c>
      <c r="J267">
        <v>132248.05</v>
      </c>
      <c r="K267" s="1"/>
      <c r="L267" s="1"/>
      <c r="M267" s="1"/>
      <c r="N267" s="1"/>
    </row>
    <row r="268" ht="15.75" customHeight="1">
      <c r="A268" t="s">
        <v>36</v>
      </c>
      <c r="B268" t="s">
        <v>37</v>
      </c>
      <c r="C268" t="s">
        <v>4908</v>
      </c>
      <c r="D268" t="s">
        <v>311</v>
      </c>
      <c r="E268">
        <v>51512.91</v>
      </c>
      <c r="F268">
        <v>15453.87</v>
      </c>
      <c r="G268">
        <v>3735.69</v>
      </c>
      <c r="H268">
        <v>2785.76</v>
      </c>
      <c r="I268">
        <v>70702.47</v>
      </c>
      <c r="J268">
        <v>67916.71</v>
      </c>
      <c r="K268" s="1"/>
      <c r="L268" s="1"/>
      <c r="M268" s="1"/>
      <c r="N268" s="1"/>
    </row>
    <row r="269" ht="15.75" customHeight="1">
      <c r="A269" t="s">
        <v>29</v>
      </c>
      <c r="B269" t="s">
        <v>26</v>
      </c>
      <c r="C269" t="s">
        <v>4909</v>
      </c>
      <c r="D269" t="s">
        <v>312</v>
      </c>
      <c r="E269">
        <v>107505.75</v>
      </c>
      <c r="F269">
        <v>32251.72</v>
      </c>
      <c r="G269">
        <v>4870.94</v>
      </c>
      <c r="H269">
        <v>4436.72</v>
      </c>
      <c r="I269">
        <v>144628.41</v>
      </c>
      <c r="J269">
        <v>140191.69</v>
      </c>
      <c r="K269" s="1"/>
      <c r="L269" s="1"/>
      <c r="M269" s="1"/>
      <c r="N269" s="1"/>
    </row>
    <row r="270" ht="15.75" customHeight="1">
      <c r="A270" t="s">
        <v>29</v>
      </c>
      <c r="B270" t="s">
        <v>26</v>
      </c>
      <c r="C270" t="s">
        <v>4905</v>
      </c>
      <c r="D270" t="s">
        <v>313</v>
      </c>
      <c r="E270">
        <v>118372.33</v>
      </c>
      <c r="F270">
        <v>35511.7</v>
      </c>
      <c r="G270">
        <v>12019.28</v>
      </c>
      <c r="H270">
        <v>19168.18</v>
      </c>
      <c r="I270">
        <v>165903.31</v>
      </c>
      <c r="J270">
        <v>146735.13</v>
      </c>
      <c r="K270" s="1"/>
      <c r="L270" s="1"/>
      <c r="M270" s="1"/>
      <c r="N270" s="1"/>
    </row>
    <row r="271" ht="15.75" customHeight="1">
      <c r="A271" t="s">
        <v>53</v>
      </c>
      <c r="B271" t="s">
        <v>14</v>
      </c>
      <c r="C271" t="s">
        <v>4916</v>
      </c>
      <c r="D271" t="s">
        <v>314</v>
      </c>
      <c r="E271">
        <v>22765.89</v>
      </c>
      <c r="F271">
        <v>6829.77</v>
      </c>
      <c r="G271">
        <v>3990.37</v>
      </c>
      <c r="H271">
        <v>4221.01</v>
      </c>
      <c r="I271">
        <v>33586.03</v>
      </c>
      <c r="J271">
        <v>29365.02</v>
      </c>
      <c r="K271" s="1"/>
      <c r="L271" s="1"/>
      <c r="M271" s="1"/>
      <c r="N271" s="1"/>
    </row>
    <row r="272" ht="15.75" customHeight="1">
      <c r="A272" t="s">
        <v>36</v>
      </c>
      <c r="B272" t="s">
        <v>30</v>
      </c>
      <c r="C272" t="s">
        <v>4911</v>
      </c>
      <c r="D272" t="s">
        <v>315</v>
      </c>
      <c r="E272">
        <v>23427.78</v>
      </c>
      <c r="F272">
        <v>7028.33</v>
      </c>
      <c r="G272">
        <v>3895.31</v>
      </c>
      <c r="H272">
        <v>5419.53</v>
      </c>
      <c r="I272">
        <v>34351.42</v>
      </c>
      <c r="J272">
        <v>28931.89</v>
      </c>
      <c r="K272" s="1"/>
      <c r="L272" s="1"/>
      <c r="M272" s="1"/>
      <c r="N272" s="1"/>
    </row>
    <row r="273" ht="15.75" customHeight="1">
      <c r="A273" t="s">
        <v>13</v>
      </c>
      <c r="B273" t="s">
        <v>54</v>
      </c>
      <c r="C273" t="s">
        <v>4914</v>
      </c>
      <c r="D273" t="s">
        <v>316</v>
      </c>
      <c r="E273">
        <v>35611.69</v>
      </c>
      <c r="F273">
        <v>10683.51</v>
      </c>
      <c r="G273">
        <v>2594.66</v>
      </c>
      <c r="H273">
        <v>7687.7</v>
      </c>
      <c r="I273">
        <v>48889.86</v>
      </c>
      <c r="J273">
        <v>41202.16</v>
      </c>
      <c r="K273" s="1"/>
      <c r="L273" s="1"/>
      <c r="M273" s="1"/>
      <c r="N273" s="1"/>
    </row>
    <row r="274" ht="15.75" customHeight="1">
      <c r="A274" t="s">
        <v>53</v>
      </c>
      <c r="B274" t="s">
        <v>33</v>
      </c>
      <c r="C274" t="s">
        <v>4908</v>
      </c>
      <c r="D274" t="s">
        <v>317</v>
      </c>
      <c r="E274">
        <v>32523.91</v>
      </c>
      <c r="F274">
        <v>9757.17</v>
      </c>
      <c r="G274">
        <v>5098.45</v>
      </c>
      <c r="H274">
        <v>14765.30618879032</v>
      </c>
      <c r="I274">
        <v>47379.53</v>
      </c>
      <c r="J274">
        <v>32614.22</v>
      </c>
      <c r="K274" s="1"/>
      <c r="L274" s="1"/>
      <c r="M274" s="1"/>
      <c r="N274" s="1"/>
    </row>
    <row r="275" ht="15.75" customHeight="1">
      <c r="A275" t="s">
        <v>29</v>
      </c>
      <c r="B275" t="s">
        <v>26</v>
      </c>
      <c r="C275" t="s">
        <v>4917</v>
      </c>
      <c r="D275" t="s">
        <v>318</v>
      </c>
      <c r="E275">
        <v>72210.86634532797</v>
      </c>
      <c r="F275">
        <v>35471.2</v>
      </c>
      <c r="G275">
        <v>21376.7</v>
      </c>
      <c r="H275">
        <v>6881.99</v>
      </c>
      <c r="I275">
        <v>129058.77</v>
      </c>
      <c r="J275">
        <v>122176.78</v>
      </c>
      <c r="K275" s="1"/>
      <c r="L275" s="1"/>
      <c r="M275" s="1"/>
      <c r="N275" s="1"/>
    </row>
    <row r="276" ht="15.75" customHeight="1">
      <c r="A276" t="s">
        <v>53</v>
      </c>
      <c r="B276" t="s">
        <v>54</v>
      </c>
      <c r="C276" t="s">
        <v>4915</v>
      </c>
      <c r="D276" t="s">
        <v>319</v>
      </c>
      <c r="E276">
        <v>41463.52</v>
      </c>
      <c r="F276">
        <v>12439.06</v>
      </c>
      <c r="G276">
        <v>2336.65</v>
      </c>
      <c r="H276">
        <v>4750.13</v>
      </c>
      <c r="I276">
        <v>56239.23</v>
      </c>
      <c r="J276">
        <v>51489.1</v>
      </c>
      <c r="K276" s="1"/>
      <c r="L276" s="1"/>
      <c r="M276" s="1"/>
      <c r="N276" s="1"/>
    </row>
    <row r="277" ht="15.75" customHeight="1">
      <c r="A277" t="s">
        <v>36</v>
      </c>
      <c r="B277" t="s">
        <v>30</v>
      </c>
      <c r="C277" t="s">
        <v>4910</v>
      </c>
      <c r="D277" t="s">
        <v>320</v>
      </c>
      <c r="E277">
        <v>29188.64</v>
      </c>
      <c r="F277">
        <v>8756.59</v>
      </c>
      <c r="G277">
        <v>4677.53</v>
      </c>
      <c r="H277">
        <v>1211.9</v>
      </c>
      <c r="I277">
        <v>42622.76</v>
      </c>
      <c r="J277">
        <v>41410.86</v>
      </c>
      <c r="K277" s="1"/>
      <c r="L277" s="1"/>
      <c r="M277" s="1"/>
      <c r="N277" s="1"/>
    </row>
    <row r="278" ht="15.75" customHeight="1">
      <c r="A278" t="s">
        <v>17</v>
      </c>
      <c r="B278" t="s">
        <v>18</v>
      </c>
      <c r="C278" t="s">
        <v>4905</v>
      </c>
      <c r="D278" t="s">
        <v>321</v>
      </c>
      <c r="E278">
        <v>77495.36</v>
      </c>
      <c r="F278">
        <v>23248.61</v>
      </c>
      <c r="G278">
        <v>5753.44</v>
      </c>
      <c r="H278">
        <v>21721.02</v>
      </c>
      <c r="I278">
        <v>106497.41</v>
      </c>
      <c r="J278">
        <v>84776.39</v>
      </c>
      <c r="K278" s="1"/>
      <c r="L278" s="1"/>
      <c r="M278" s="1"/>
      <c r="N278" s="1"/>
    </row>
    <row r="279" ht="15.75" customHeight="1">
      <c r="A279" t="s">
        <v>36</v>
      </c>
      <c r="B279" t="s">
        <v>37</v>
      </c>
      <c r="C279" t="s">
        <v>4908</v>
      </c>
      <c r="D279" t="s">
        <v>322</v>
      </c>
      <c r="E279">
        <v>47652.28</v>
      </c>
      <c r="F279">
        <v>14295.68</v>
      </c>
      <c r="G279">
        <v>4169.31</v>
      </c>
      <c r="H279">
        <v>13529.62</v>
      </c>
      <c r="I279">
        <v>66117.27</v>
      </c>
      <c r="J279">
        <v>52587.65</v>
      </c>
      <c r="K279" s="1"/>
      <c r="L279" s="1"/>
      <c r="M279" s="1"/>
      <c r="N279" s="1"/>
    </row>
    <row r="280" ht="15.75" customHeight="1">
      <c r="A280" t="s">
        <v>25</v>
      </c>
      <c r="B280" t="s">
        <v>54</v>
      </c>
      <c r="C280" t="s">
        <v>4913</v>
      </c>
      <c r="D280" t="s">
        <v>323</v>
      </c>
      <c r="E280">
        <v>47384.82</v>
      </c>
      <c r="F280">
        <v>14215.45</v>
      </c>
      <c r="G280">
        <v>8818.05</v>
      </c>
      <c r="H280">
        <v>5897.94</v>
      </c>
      <c r="I280">
        <v>70418.32</v>
      </c>
      <c r="J280">
        <v>64520.38</v>
      </c>
      <c r="K280" s="1"/>
      <c r="L280" s="1"/>
      <c r="M280" s="1"/>
      <c r="N280" s="1"/>
    </row>
    <row r="281" ht="15.75" customHeight="1">
      <c r="A281" t="s">
        <v>53</v>
      </c>
      <c r="B281" t="s">
        <v>33</v>
      </c>
      <c r="C281" t="s">
        <v>4907</v>
      </c>
      <c r="D281" t="s">
        <v>324</v>
      </c>
      <c r="E281">
        <v>27357.78</v>
      </c>
      <c r="F281">
        <v>8207.33</v>
      </c>
      <c r="G281">
        <v>5441.6</v>
      </c>
      <c r="H281">
        <v>3077.03</v>
      </c>
      <c r="I281">
        <v>41006.71</v>
      </c>
      <c r="J281">
        <v>37929.68</v>
      </c>
      <c r="K281" s="1"/>
      <c r="L281" s="1"/>
      <c r="M281" s="1"/>
      <c r="N281" s="1"/>
    </row>
    <row r="282" ht="15.75" customHeight="1">
      <c r="A282" t="s">
        <v>29</v>
      </c>
      <c r="B282" t="s">
        <v>14</v>
      </c>
      <c r="C282" t="s">
        <v>4911</v>
      </c>
      <c r="D282" t="s">
        <v>325</v>
      </c>
      <c r="E282">
        <v>24042.07</v>
      </c>
      <c r="F282">
        <v>7212.62</v>
      </c>
      <c r="G282">
        <v>3125.28</v>
      </c>
      <c r="H282">
        <v>5707.93</v>
      </c>
      <c r="I282">
        <v>34379.97</v>
      </c>
      <c r="J282">
        <v>28672.04</v>
      </c>
      <c r="K282" s="1"/>
      <c r="L282" s="1"/>
      <c r="M282" s="1"/>
      <c r="N282" s="1"/>
    </row>
    <row r="283" ht="15.75" customHeight="1">
      <c r="A283" t="s">
        <v>17</v>
      </c>
      <c r="B283" t="s">
        <v>33</v>
      </c>
      <c r="C283" t="s">
        <v>4905</v>
      </c>
      <c r="D283" t="s">
        <v>326</v>
      </c>
      <c r="E283">
        <v>34173.96</v>
      </c>
      <c r="F283">
        <v>10252.19</v>
      </c>
      <c r="G283">
        <v>3229.13</v>
      </c>
      <c r="H283">
        <v>8520.7</v>
      </c>
      <c r="I283">
        <v>47655.28</v>
      </c>
      <c r="J283">
        <v>39134.58</v>
      </c>
      <c r="K283" s="1"/>
      <c r="L283" s="1"/>
      <c r="M283" s="1"/>
      <c r="N283" s="1"/>
    </row>
    <row r="284" ht="15.75" customHeight="1">
      <c r="A284" t="s">
        <v>36</v>
      </c>
      <c r="B284" t="s">
        <v>54</v>
      </c>
      <c r="C284" t="s">
        <v>4908</v>
      </c>
      <c r="D284" t="s">
        <v>327</v>
      </c>
      <c r="E284">
        <v>43614.88</v>
      </c>
      <c r="F284">
        <v>13084.46</v>
      </c>
      <c r="G284">
        <v>7901.77</v>
      </c>
      <c r="H284">
        <v>248.66</v>
      </c>
      <c r="I284">
        <v>64601.11</v>
      </c>
      <c r="J284">
        <v>64352.45</v>
      </c>
      <c r="K284" s="1"/>
      <c r="L284" s="1"/>
      <c r="M284" s="1"/>
      <c r="N284" s="1"/>
    </row>
    <row r="285" ht="15.75" customHeight="1">
      <c r="A285" t="s">
        <v>25</v>
      </c>
      <c r="B285" t="s">
        <v>30</v>
      </c>
      <c r="C285" t="s">
        <v>4909</v>
      </c>
      <c r="D285" t="s">
        <v>328</v>
      </c>
      <c r="E285">
        <v>26829.48</v>
      </c>
      <c r="F285">
        <v>8048.84</v>
      </c>
      <c r="G285">
        <v>3902.27</v>
      </c>
      <c r="H285">
        <v>4247.95</v>
      </c>
      <c r="I285">
        <v>38780.59</v>
      </c>
      <c r="J285">
        <v>34532.64</v>
      </c>
      <c r="K285" s="1"/>
      <c r="L285" s="1"/>
      <c r="M285" s="1"/>
      <c r="N285" s="1"/>
    </row>
    <row r="286" ht="15.75" customHeight="1">
      <c r="A286" t="s">
        <v>25</v>
      </c>
      <c r="B286" t="s">
        <v>33</v>
      </c>
      <c r="C286" t="s">
        <v>4917</v>
      </c>
      <c r="D286" t="s">
        <v>329</v>
      </c>
      <c r="E286">
        <v>27376.4</v>
      </c>
      <c r="F286">
        <v>8212.92</v>
      </c>
      <c r="G286">
        <v>667.15</v>
      </c>
      <c r="H286">
        <v>1958.28</v>
      </c>
      <c r="I286">
        <v>36256.47</v>
      </c>
      <c r="J286">
        <v>34298.19</v>
      </c>
      <c r="K286" s="1"/>
      <c r="L286" s="1"/>
      <c r="M286" s="1"/>
      <c r="N286" s="1"/>
    </row>
    <row r="287" ht="15.75" customHeight="1">
      <c r="A287" t="s">
        <v>25</v>
      </c>
      <c r="B287" t="s">
        <v>37</v>
      </c>
      <c r="C287" t="s">
        <v>4916</v>
      </c>
      <c r="D287" t="s">
        <v>330</v>
      </c>
      <c r="E287">
        <v>53228.05</v>
      </c>
      <c r="F287">
        <v>15968.42</v>
      </c>
      <c r="G287">
        <v>1180.15</v>
      </c>
      <c r="H287">
        <v>14453.76</v>
      </c>
      <c r="I287">
        <v>70376.62</v>
      </c>
      <c r="J287">
        <v>55922.86</v>
      </c>
      <c r="K287" s="1"/>
      <c r="L287" s="1"/>
      <c r="M287" s="1"/>
      <c r="N287" s="1"/>
    </row>
    <row r="288" ht="15.75" customHeight="1">
      <c r="A288" t="s">
        <v>53</v>
      </c>
      <c r="B288" t="s">
        <v>14</v>
      </c>
      <c r="C288" t="s">
        <v>4910</v>
      </c>
      <c r="D288" t="s">
        <v>331</v>
      </c>
      <c r="E288">
        <v>22550.08</v>
      </c>
      <c r="F288">
        <v>6765.02</v>
      </c>
      <c r="G288">
        <v>2593.47</v>
      </c>
      <c r="H288">
        <v>4860.97</v>
      </c>
      <c r="I288">
        <v>31908.57</v>
      </c>
      <c r="J288">
        <v>27047.6</v>
      </c>
      <c r="K288" s="1"/>
      <c r="L288" s="1"/>
      <c r="M288" s="1"/>
      <c r="N288" s="1"/>
    </row>
    <row r="289" ht="15.75" customHeight="1">
      <c r="A289" t="s">
        <v>36</v>
      </c>
      <c r="B289" t="s">
        <v>14</v>
      </c>
      <c r="C289" t="s">
        <v>4917</v>
      </c>
      <c r="D289" t="s">
        <v>332</v>
      </c>
      <c r="E289">
        <v>22426.63</v>
      </c>
      <c r="F289">
        <v>6727.99</v>
      </c>
      <c r="G289">
        <v>1079.01</v>
      </c>
      <c r="H289">
        <v>2802.66</v>
      </c>
      <c r="I289">
        <v>30233.63</v>
      </c>
      <c r="J289">
        <v>27430.97</v>
      </c>
      <c r="K289" s="1"/>
      <c r="L289" s="1"/>
      <c r="M289" s="1"/>
      <c r="N289" s="1"/>
    </row>
    <row r="290" ht="15.75" customHeight="1">
      <c r="A290" t="s">
        <v>13</v>
      </c>
      <c r="B290" t="s">
        <v>14</v>
      </c>
      <c r="C290" t="s">
        <v>4915</v>
      </c>
      <c r="D290" t="s">
        <v>333</v>
      </c>
      <c r="E290">
        <v>21769.09</v>
      </c>
      <c r="F290">
        <v>6530.73</v>
      </c>
      <c r="G290">
        <v>1570.0</v>
      </c>
      <c r="H290">
        <v>6226.42</v>
      </c>
      <c r="I290">
        <v>29869.82</v>
      </c>
      <c r="J290">
        <v>23643.4</v>
      </c>
      <c r="K290" s="1"/>
      <c r="L290" s="1"/>
      <c r="M290" s="1"/>
      <c r="N290" s="1"/>
    </row>
    <row r="291" ht="15.75" customHeight="1">
      <c r="A291" t="s">
        <v>53</v>
      </c>
      <c r="B291" t="s">
        <v>26</v>
      </c>
      <c r="C291" t="s">
        <v>4914</v>
      </c>
      <c r="D291" t="s">
        <v>334</v>
      </c>
      <c r="E291">
        <v>125579.93</v>
      </c>
      <c r="F291">
        <v>37673.98</v>
      </c>
      <c r="G291">
        <v>13918.07</v>
      </c>
      <c r="H291">
        <v>14709.95</v>
      </c>
      <c r="I291">
        <v>177171.98</v>
      </c>
      <c r="J291">
        <v>162462.03</v>
      </c>
      <c r="K291" s="1"/>
      <c r="L291" s="1"/>
      <c r="M291" s="1"/>
      <c r="N291" s="1"/>
    </row>
    <row r="292" ht="15.75" customHeight="1">
      <c r="A292" t="s">
        <v>17</v>
      </c>
      <c r="B292" t="s">
        <v>18</v>
      </c>
      <c r="C292" t="s">
        <v>4912</v>
      </c>
      <c r="D292" t="s">
        <v>335</v>
      </c>
      <c r="E292">
        <v>75058.91</v>
      </c>
      <c r="F292">
        <v>22517.67</v>
      </c>
      <c r="G292">
        <v>5603.93</v>
      </c>
      <c r="H292">
        <v>16827.83</v>
      </c>
      <c r="I292">
        <v>103180.51</v>
      </c>
      <c r="J292">
        <v>86352.68</v>
      </c>
      <c r="K292" s="1"/>
      <c r="L292" s="1"/>
      <c r="M292" s="1"/>
      <c r="N292" s="1"/>
    </row>
    <row r="293" ht="15.75" customHeight="1">
      <c r="A293" t="s">
        <v>25</v>
      </c>
      <c r="B293" t="s">
        <v>14</v>
      </c>
      <c r="C293" t="s">
        <v>4916</v>
      </c>
      <c r="D293" t="s">
        <v>336</v>
      </c>
      <c r="E293">
        <v>20482.58</v>
      </c>
      <c r="F293">
        <v>6144.77</v>
      </c>
      <c r="G293">
        <v>3002.5</v>
      </c>
      <c r="H293">
        <v>3860.5</v>
      </c>
      <c r="I293">
        <v>29629.85</v>
      </c>
      <c r="J293">
        <v>25769.35</v>
      </c>
      <c r="K293" s="1"/>
      <c r="L293" s="1"/>
      <c r="M293" s="1"/>
      <c r="N293" s="1"/>
    </row>
    <row r="294" ht="15.75" customHeight="1">
      <c r="A294" t="s">
        <v>13</v>
      </c>
      <c r="B294" t="s">
        <v>26</v>
      </c>
      <c r="C294" t="s">
        <v>4917</v>
      </c>
      <c r="D294" t="s">
        <v>337</v>
      </c>
      <c r="E294">
        <v>101970.67</v>
      </c>
      <c r="F294">
        <v>30591.2</v>
      </c>
      <c r="G294">
        <v>904.19</v>
      </c>
      <c r="H294">
        <v>16703.22</v>
      </c>
      <c r="I294">
        <v>133466.06</v>
      </c>
      <c r="J294">
        <v>116762.84</v>
      </c>
      <c r="K294" s="1"/>
      <c r="L294" s="1"/>
      <c r="M294" s="1"/>
      <c r="N294" s="1"/>
    </row>
    <row r="295" ht="15.75" customHeight="1">
      <c r="A295" t="s">
        <v>51</v>
      </c>
      <c r="B295" t="s">
        <v>26</v>
      </c>
      <c r="C295" t="s">
        <v>4917</v>
      </c>
      <c r="D295" t="s">
        <v>338</v>
      </c>
      <c r="E295">
        <v>118049.13</v>
      </c>
      <c r="F295">
        <v>35414.74</v>
      </c>
      <c r="G295">
        <v>10969.67</v>
      </c>
      <c r="H295">
        <v>24627.03</v>
      </c>
      <c r="I295">
        <v>164433.54</v>
      </c>
      <c r="J295">
        <v>139806.51</v>
      </c>
      <c r="K295" s="1"/>
      <c r="L295" s="1"/>
      <c r="M295" s="1"/>
      <c r="N295" s="1"/>
    </row>
    <row r="296" ht="15.75" customHeight="1">
      <c r="A296" t="s">
        <v>51</v>
      </c>
      <c r="B296" t="s">
        <v>26</v>
      </c>
      <c r="C296" t="s">
        <v>4907</v>
      </c>
      <c r="D296" t="s">
        <v>339</v>
      </c>
      <c r="E296">
        <v>94854.69</v>
      </c>
      <c r="F296">
        <v>28456.41</v>
      </c>
      <c r="G296">
        <v>13584.05</v>
      </c>
      <c r="H296">
        <v>26851.61</v>
      </c>
      <c r="I296">
        <v>136895.15</v>
      </c>
      <c r="J296">
        <v>110043.54</v>
      </c>
      <c r="K296" s="1"/>
      <c r="L296" s="1"/>
      <c r="M296" s="1"/>
      <c r="N296" s="1"/>
    </row>
    <row r="297" ht="15.75" customHeight="1">
      <c r="A297" t="s">
        <v>29</v>
      </c>
      <c r="B297" t="s">
        <v>30</v>
      </c>
      <c r="C297" t="s">
        <v>4910</v>
      </c>
      <c r="D297" t="s">
        <v>340</v>
      </c>
      <c r="E297">
        <v>22385.5</v>
      </c>
      <c r="F297">
        <v>6715.65</v>
      </c>
      <c r="G297">
        <v>893.05</v>
      </c>
      <c r="H297">
        <v>281.43</v>
      </c>
      <c r="I297">
        <v>29994.2</v>
      </c>
      <c r="J297">
        <v>29712.77</v>
      </c>
      <c r="K297" s="1"/>
      <c r="L297" s="1"/>
      <c r="M297" s="1"/>
      <c r="N297" s="1"/>
    </row>
    <row r="298" ht="15.75" customHeight="1">
      <c r="A298" t="s">
        <v>51</v>
      </c>
      <c r="B298" t="s">
        <v>33</v>
      </c>
      <c r="C298" t="s">
        <v>4912</v>
      </c>
      <c r="D298" t="s">
        <v>341</v>
      </c>
      <c r="E298">
        <v>28569.74</v>
      </c>
      <c r="F298">
        <v>8570.92</v>
      </c>
      <c r="G298">
        <v>4461.69</v>
      </c>
      <c r="H298">
        <v>7420.69</v>
      </c>
      <c r="I298">
        <v>41602.35</v>
      </c>
      <c r="J298">
        <v>34181.66</v>
      </c>
      <c r="K298" s="1"/>
      <c r="L298" s="1"/>
      <c r="M298" s="1"/>
      <c r="N298" s="1"/>
    </row>
    <row r="299" ht="15.75" customHeight="1">
      <c r="A299" t="s">
        <v>29</v>
      </c>
      <c r="B299" t="s">
        <v>14</v>
      </c>
      <c r="C299" t="s">
        <v>4914</v>
      </c>
      <c r="D299" t="s">
        <v>342</v>
      </c>
      <c r="E299">
        <v>23755.27</v>
      </c>
      <c r="F299">
        <v>7126.58</v>
      </c>
      <c r="G299">
        <v>2075.98</v>
      </c>
      <c r="H299">
        <v>2850.79</v>
      </c>
      <c r="I299">
        <v>32957.83</v>
      </c>
      <c r="J299">
        <v>30107.04</v>
      </c>
      <c r="K299" s="1"/>
      <c r="L299" s="1"/>
      <c r="M299" s="1"/>
      <c r="N299" s="1"/>
    </row>
    <row r="300" ht="15.75" customHeight="1">
      <c r="A300" t="s">
        <v>36</v>
      </c>
      <c r="B300" t="s">
        <v>33</v>
      </c>
      <c r="C300" t="s">
        <v>4915</v>
      </c>
      <c r="D300" t="s">
        <v>343</v>
      </c>
      <c r="E300">
        <v>34737.24</v>
      </c>
      <c r="F300">
        <v>10421.17</v>
      </c>
      <c r="G300">
        <v>3447.35</v>
      </c>
      <c r="H300">
        <v>5184.78</v>
      </c>
      <c r="I300">
        <v>48605.76</v>
      </c>
      <c r="J300">
        <v>43420.98</v>
      </c>
      <c r="K300" s="1"/>
      <c r="L300" s="1"/>
      <c r="M300" s="1"/>
      <c r="N300" s="1"/>
    </row>
    <row r="301" ht="15.75" customHeight="1">
      <c r="A301" t="s">
        <v>29</v>
      </c>
      <c r="B301" t="s">
        <v>26</v>
      </c>
      <c r="C301" t="s">
        <v>4911</v>
      </c>
      <c r="D301" t="s">
        <v>345</v>
      </c>
      <c r="E301">
        <v>92974.01</v>
      </c>
      <c r="F301">
        <v>27892.2</v>
      </c>
      <c r="G301">
        <v>7893.49</v>
      </c>
      <c r="H301">
        <v>12010.58</v>
      </c>
      <c r="I301">
        <v>128759.7</v>
      </c>
      <c r="J301">
        <v>116749.12</v>
      </c>
      <c r="K301" s="1"/>
      <c r="L301" s="1"/>
      <c r="M301" s="1"/>
      <c r="N301" s="1"/>
    </row>
    <row r="302" ht="15.75" customHeight="1">
      <c r="A302" t="s">
        <v>53</v>
      </c>
      <c r="B302" t="s">
        <v>33</v>
      </c>
      <c r="C302" t="s">
        <v>4910</v>
      </c>
      <c r="D302" t="s">
        <v>346</v>
      </c>
      <c r="E302">
        <v>28212.11</v>
      </c>
      <c r="F302">
        <v>8463.63</v>
      </c>
      <c r="G302">
        <v>451.78</v>
      </c>
      <c r="H302">
        <v>5593.78</v>
      </c>
      <c r="I302">
        <v>37127.52</v>
      </c>
      <c r="J302">
        <v>31533.74</v>
      </c>
      <c r="K302" s="1"/>
      <c r="L302" s="1"/>
      <c r="M302" s="1"/>
      <c r="N302" s="1"/>
    </row>
    <row r="303" ht="15.75" customHeight="1">
      <c r="A303" t="s">
        <v>36</v>
      </c>
      <c r="B303" t="s">
        <v>37</v>
      </c>
      <c r="C303" t="s">
        <v>4914</v>
      </c>
      <c r="D303" t="s">
        <v>347</v>
      </c>
      <c r="E303">
        <v>57917.93</v>
      </c>
      <c r="F303">
        <v>17375.38</v>
      </c>
      <c r="G303">
        <v>1930.34</v>
      </c>
      <c r="H303">
        <v>7713.08</v>
      </c>
      <c r="I303">
        <v>77223.65</v>
      </c>
      <c r="J303">
        <v>69510.57</v>
      </c>
      <c r="K303" s="1"/>
      <c r="L303" s="1"/>
      <c r="M303" s="1"/>
      <c r="N303" s="1"/>
    </row>
    <row r="304" ht="15.75" customHeight="1">
      <c r="A304" t="s">
        <v>17</v>
      </c>
      <c r="B304" t="s">
        <v>18</v>
      </c>
      <c r="C304" t="s">
        <v>4910</v>
      </c>
      <c r="D304" t="s">
        <v>348</v>
      </c>
      <c r="E304">
        <v>87620.97</v>
      </c>
      <c r="F304">
        <v>26286.29</v>
      </c>
      <c r="G304">
        <v>6178.32</v>
      </c>
      <c r="H304">
        <v>26237.68</v>
      </c>
      <c r="I304">
        <v>120085.58</v>
      </c>
      <c r="J304">
        <v>93847.9</v>
      </c>
      <c r="K304" s="1"/>
      <c r="L304" s="1"/>
      <c r="M304" s="1"/>
      <c r="N304" s="1"/>
    </row>
    <row r="305" ht="15.75" customHeight="1">
      <c r="A305" t="s">
        <v>13</v>
      </c>
      <c r="B305" t="s">
        <v>26</v>
      </c>
      <c r="C305" t="s">
        <v>4912</v>
      </c>
      <c r="D305" t="s">
        <v>349</v>
      </c>
      <c r="E305">
        <v>124124.56</v>
      </c>
      <c r="F305">
        <v>37237.37</v>
      </c>
      <c r="G305">
        <v>1862.89</v>
      </c>
      <c r="H305">
        <v>23739.29</v>
      </c>
      <c r="I305">
        <v>163224.82</v>
      </c>
      <c r="J305">
        <v>139485.53</v>
      </c>
      <c r="K305" s="1"/>
      <c r="L305" s="1"/>
      <c r="M305" s="1"/>
      <c r="N305" s="1"/>
    </row>
    <row r="306" ht="15.75" customHeight="1">
      <c r="A306" t="s">
        <v>53</v>
      </c>
      <c r="B306" t="s">
        <v>26</v>
      </c>
      <c r="C306" t="s">
        <v>4916</v>
      </c>
      <c r="D306" t="s">
        <v>350</v>
      </c>
      <c r="E306">
        <v>116996.33</v>
      </c>
      <c r="F306">
        <v>35098.9</v>
      </c>
      <c r="G306">
        <v>3743.57</v>
      </c>
      <c r="H306">
        <v>1093.0</v>
      </c>
      <c r="I306">
        <v>155838.8</v>
      </c>
      <c r="J306">
        <v>154745.8</v>
      </c>
      <c r="K306" s="1"/>
      <c r="L306" s="1"/>
      <c r="M306" s="1"/>
      <c r="N306" s="1"/>
    </row>
    <row r="307" ht="15.75" customHeight="1">
      <c r="A307" t="s">
        <v>13</v>
      </c>
      <c r="B307" t="s">
        <v>26</v>
      </c>
      <c r="C307" t="s">
        <v>4917</v>
      </c>
      <c r="D307" t="s">
        <v>351</v>
      </c>
      <c r="E307">
        <v>105774.22</v>
      </c>
      <c r="F307">
        <v>31732.27</v>
      </c>
      <c r="G307">
        <v>2670.38</v>
      </c>
      <c r="H307">
        <v>7488.67</v>
      </c>
      <c r="I307">
        <v>140176.87</v>
      </c>
      <c r="J307">
        <v>132688.2</v>
      </c>
      <c r="K307" s="1"/>
      <c r="L307" s="1"/>
      <c r="M307" s="1"/>
      <c r="N307" s="1"/>
    </row>
    <row r="308" ht="15.75" customHeight="1">
      <c r="A308" t="s">
        <v>29</v>
      </c>
      <c r="B308" t="s">
        <v>33</v>
      </c>
      <c r="C308" t="s">
        <v>4917</v>
      </c>
      <c r="D308" t="s">
        <v>352</v>
      </c>
      <c r="E308">
        <v>28828.54</v>
      </c>
      <c r="F308">
        <v>8648.56</v>
      </c>
      <c r="G308">
        <v>3270.57</v>
      </c>
      <c r="H308">
        <v>5233.2</v>
      </c>
      <c r="I308">
        <v>40747.67</v>
      </c>
      <c r="J308">
        <v>35514.47</v>
      </c>
      <c r="K308" s="1"/>
      <c r="L308" s="1"/>
      <c r="M308" s="1"/>
      <c r="N308" s="1"/>
    </row>
    <row r="309" ht="15.75" customHeight="1">
      <c r="A309" t="s">
        <v>36</v>
      </c>
      <c r="B309" t="s">
        <v>33</v>
      </c>
      <c r="C309" t="s">
        <v>4915</v>
      </c>
      <c r="D309" t="s">
        <v>353</v>
      </c>
      <c r="E309">
        <v>28720.13</v>
      </c>
      <c r="F309">
        <v>8616.04</v>
      </c>
      <c r="G309">
        <v>4383.18</v>
      </c>
      <c r="H309">
        <v>4944.93</v>
      </c>
      <c r="I309">
        <v>41719.35</v>
      </c>
      <c r="J309">
        <v>36774.42</v>
      </c>
      <c r="K309" s="1"/>
      <c r="L309" s="1"/>
      <c r="M309" s="1"/>
      <c r="N309" s="1"/>
    </row>
    <row r="310" ht="15.75" customHeight="1">
      <c r="A310" t="s">
        <v>29</v>
      </c>
      <c r="B310" t="s">
        <v>54</v>
      </c>
      <c r="C310" t="s">
        <v>4907</v>
      </c>
      <c r="D310" t="s">
        <v>354</v>
      </c>
      <c r="E310">
        <v>39401.4</v>
      </c>
      <c r="F310">
        <v>11820.42</v>
      </c>
      <c r="G310">
        <v>2196.15</v>
      </c>
      <c r="H310">
        <v>11353.75</v>
      </c>
      <c r="I310">
        <v>53417.97</v>
      </c>
      <c r="J310">
        <v>42064.22</v>
      </c>
      <c r="K310" s="1"/>
      <c r="L310" s="1"/>
      <c r="M310" s="1"/>
      <c r="N310" s="1"/>
    </row>
    <row r="311" ht="15.75" customHeight="1">
      <c r="A311" t="s">
        <v>13</v>
      </c>
      <c r="B311" t="s">
        <v>30</v>
      </c>
      <c r="C311" t="s">
        <v>4910</v>
      </c>
      <c r="D311" t="s">
        <v>355</v>
      </c>
      <c r="E311">
        <v>26391.59</v>
      </c>
      <c r="F311">
        <v>7917.48</v>
      </c>
      <c r="G311">
        <v>2042.64</v>
      </c>
      <c r="H311">
        <v>4447.03</v>
      </c>
      <c r="I311">
        <v>36351.71</v>
      </c>
      <c r="J311">
        <v>31904.68</v>
      </c>
      <c r="K311" s="1"/>
      <c r="L311" s="1"/>
      <c r="M311" s="1"/>
      <c r="N311" s="1"/>
    </row>
    <row r="312" ht="15.75" customHeight="1">
      <c r="A312" t="s">
        <v>25</v>
      </c>
      <c r="B312" t="s">
        <v>33</v>
      </c>
      <c r="C312" t="s">
        <v>4905</v>
      </c>
      <c r="D312" t="s">
        <v>356</v>
      </c>
      <c r="E312">
        <v>32040.38</v>
      </c>
      <c r="F312">
        <v>9612.11</v>
      </c>
      <c r="G312">
        <v>1374.98</v>
      </c>
      <c r="H312">
        <v>5881.43</v>
      </c>
      <c r="I312">
        <v>43027.47</v>
      </c>
      <c r="J312">
        <v>37146.04</v>
      </c>
      <c r="K312" s="1"/>
      <c r="L312" s="1"/>
      <c r="M312" s="1"/>
      <c r="N312" s="1"/>
    </row>
    <row r="313" ht="15.75" customHeight="1">
      <c r="A313" t="s">
        <v>36</v>
      </c>
      <c r="B313" t="s">
        <v>30</v>
      </c>
      <c r="C313" t="s">
        <v>4905</v>
      </c>
      <c r="D313" t="s">
        <v>357</v>
      </c>
      <c r="E313">
        <v>23079.21</v>
      </c>
      <c r="F313">
        <v>6923.76</v>
      </c>
      <c r="G313">
        <v>3936.51</v>
      </c>
      <c r="H313">
        <v>3129.84</v>
      </c>
      <c r="I313">
        <v>33939.48</v>
      </c>
      <c r="J313">
        <v>30809.64</v>
      </c>
      <c r="K313" s="1"/>
      <c r="L313" s="1"/>
      <c r="M313" s="1"/>
      <c r="N313" s="1"/>
    </row>
    <row r="314" ht="15.75" customHeight="1">
      <c r="A314" t="s">
        <v>36</v>
      </c>
      <c r="B314" t="s">
        <v>14</v>
      </c>
      <c r="C314" t="s">
        <v>4917</v>
      </c>
      <c r="D314" t="s">
        <v>358</v>
      </c>
      <c r="E314">
        <v>23835.7</v>
      </c>
      <c r="F314">
        <v>7150.71</v>
      </c>
      <c r="G314">
        <v>4612.5</v>
      </c>
      <c r="H314">
        <v>7054.71</v>
      </c>
      <c r="I314">
        <v>35598.91</v>
      </c>
      <c r="J314">
        <v>28544.2</v>
      </c>
      <c r="K314" s="1"/>
      <c r="L314" s="1"/>
      <c r="M314" s="1"/>
      <c r="N314" s="1"/>
    </row>
    <row r="315" ht="15.75" customHeight="1">
      <c r="A315" t="s">
        <v>29</v>
      </c>
      <c r="B315" t="s">
        <v>18</v>
      </c>
      <c r="C315" t="s">
        <v>4911</v>
      </c>
      <c r="D315" t="s">
        <v>359</v>
      </c>
      <c r="E315">
        <v>66688.42</v>
      </c>
      <c r="F315">
        <v>20006.53</v>
      </c>
      <c r="G315">
        <v>7231.31</v>
      </c>
      <c r="H315">
        <v>17832.45</v>
      </c>
      <c r="I315">
        <v>93926.26</v>
      </c>
      <c r="J315">
        <v>76093.81</v>
      </c>
      <c r="K315" s="1"/>
      <c r="L315" s="1"/>
      <c r="M315" s="1"/>
      <c r="N315" s="1"/>
    </row>
    <row r="316" ht="15.75" customHeight="1">
      <c r="A316" t="s">
        <v>13</v>
      </c>
      <c r="B316" t="s">
        <v>18</v>
      </c>
      <c r="C316" t="s">
        <v>4915</v>
      </c>
      <c r="D316" t="s">
        <v>360</v>
      </c>
      <c r="E316">
        <v>89110.44</v>
      </c>
      <c r="F316">
        <v>26733.13</v>
      </c>
      <c r="G316">
        <v>11365.15</v>
      </c>
      <c r="H316">
        <v>21217.99</v>
      </c>
      <c r="I316">
        <v>127208.72</v>
      </c>
      <c r="J316">
        <v>105990.73</v>
      </c>
      <c r="K316" s="1"/>
      <c r="L316" s="1"/>
      <c r="M316" s="1"/>
      <c r="N316" s="1"/>
    </row>
    <row r="317" ht="15.75" customHeight="1">
      <c r="A317" t="s">
        <v>17</v>
      </c>
      <c r="B317" t="s">
        <v>33</v>
      </c>
      <c r="C317" t="s">
        <v>4915</v>
      </c>
      <c r="D317" t="s">
        <v>361</v>
      </c>
      <c r="E317">
        <v>30540.21</v>
      </c>
      <c r="F317">
        <v>9162.06</v>
      </c>
      <c r="G317">
        <v>2253.32</v>
      </c>
      <c r="H317">
        <v>7363.2</v>
      </c>
      <c r="I317">
        <v>41955.59</v>
      </c>
      <c r="J317">
        <v>34592.39</v>
      </c>
      <c r="K317" s="1"/>
      <c r="L317" s="1"/>
      <c r="M317" s="1"/>
      <c r="N317" s="1"/>
    </row>
    <row r="318" ht="15.75" customHeight="1">
      <c r="A318" t="s">
        <v>51</v>
      </c>
      <c r="B318" t="s">
        <v>37</v>
      </c>
      <c r="C318" t="s">
        <v>4905</v>
      </c>
      <c r="D318" t="s">
        <v>362</v>
      </c>
      <c r="E318">
        <v>60916.44</v>
      </c>
      <c r="F318">
        <v>18274.93</v>
      </c>
      <c r="G318">
        <v>801.03</v>
      </c>
      <c r="H318">
        <v>7276.35</v>
      </c>
      <c r="I318">
        <v>79992.4</v>
      </c>
      <c r="J318">
        <v>72716.05</v>
      </c>
      <c r="K318" s="1"/>
      <c r="L318" s="1"/>
      <c r="M318" s="1"/>
      <c r="N318" s="1"/>
    </row>
    <row r="319" ht="15.75" customHeight="1">
      <c r="A319" t="s">
        <v>13</v>
      </c>
      <c r="B319" t="s">
        <v>54</v>
      </c>
      <c r="C319" t="s">
        <v>4909</v>
      </c>
      <c r="D319" t="s">
        <v>363</v>
      </c>
      <c r="E319">
        <v>42359.74</v>
      </c>
      <c r="F319">
        <v>12707.92</v>
      </c>
      <c r="G319">
        <v>6516.32</v>
      </c>
      <c r="H319">
        <v>10462.93</v>
      </c>
      <c r="I319">
        <v>61583.98</v>
      </c>
      <c r="J319">
        <v>51121.05</v>
      </c>
      <c r="K319" s="1"/>
      <c r="L319" s="1"/>
      <c r="M319" s="1"/>
      <c r="N319" s="1"/>
    </row>
    <row r="320" ht="15.75" customHeight="1">
      <c r="A320" t="s">
        <v>51</v>
      </c>
      <c r="B320" t="s">
        <v>33</v>
      </c>
      <c r="C320" t="s">
        <v>4912</v>
      </c>
      <c r="D320" t="s">
        <v>364</v>
      </c>
      <c r="E320">
        <v>31423.39</v>
      </c>
      <c r="F320">
        <v>9427.02</v>
      </c>
      <c r="G320">
        <v>2827.94</v>
      </c>
      <c r="H320">
        <v>6411.4</v>
      </c>
      <c r="I320">
        <v>43678.35</v>
      </c>
      <c r="J320">
        <v>37266.95</v>
      </c>
      <c r="K320" s="1"/>
      <c r="L320" s="1"/>
      <c r="M320" s="1"/>
      <c r="N320" s="1"/>
    </row>
    <row r="321" ht="15.75" customHeight="1">
      <c r="A321" t="s">
        <v>51</v>
      </c>
      <c r="B321" t="s">
        <v>26</v>
      </c>
      <c r="C321" t="s">
        <v>4911</v>
      </c>
      <c r="D321" t="s">
        <v>365</v>
      </c>
      <c r="E321">
        <v>118089.47</v>
      </c>
      <c r="F321">
        <v>35426.84</v>
      </c>
      <c r="G321">
        <v>15110.59</v>
      </c>
      <c r="H321">
        <v>6446.38</v>
      </c>
      <c r="I321">
        <v>168626.9</v>
      </c>
      <c r="J321">
        <v>162180.52</v>
      </c>
      <c r="K321" s="1"/>
      <c r="L321" s="1"/>
      <c r="M321" s="1"/>
      <c r="N321" s="1"/>
    </row>
    <row r="322" ht="15.75" customHeight="1">
      <c r="A322" t="s">
        <v>36</v>
      </c>
      <c r="B322" t="s">
        <v>37</v>
      </c>
      <c r="C322" t="s">
        <v>4911</v>
      </c>
      <c r="D322" t="s">
        <v>366</v>
      </c>
      <c r="E322">
        <v>61392.82</v>
      </c>
      <c r="F322">
        <v>18417.85</v>
      </c>
      <c r="G322">
        <v>680.39</v>
      </c>
      <c r="H322">
        <v>2286.78</v>
      </c>
      <c r="I322">
        <v>80491.06</v>
      </c>
      <c r="J322">
        <v>78204.28</v>
      </c>
      <c r="K322" s="1"/>
      <c r="L322" s="1"/>
      <c r="M322" s="1"/>
      <c r="N322" s="1"/>
    </row>
    <row r="323" ht="15.75" customHeight="1">
      <c r="A323" t="s">
        <v>29</v>
      </c>
      <c r="B323" t="s">
        <v>30</v>
      </c>
      <c r="C323" t="s">
        <v>4915</v>
      </c>
      <c r="D323" t="s">
        <v>367</v>
      </c>
      <c r="E323">
        <v>23425.31</v>
      </c>
      <c r="F323">
        <v>7027.59</v>
      </c>
      <c r="G323">
        <v>4379.3</v>
      </c>
      <c r="H323">
        <v>1584.51</v>
      </c>
      <c r="I323">
        <v>34832.2</v>
      </c>
      <c r="J323">
        <v>33247.69</v>
      </c>
      <c r="K323" s="1"/>
      <c r="L323" s="1"/>
      <c r="M323" s="1"/>
      <c r="N323" s="1"/>
    </row>
    <row r="324" ht="15.75" customHeight="1">
      <c r="A324" t="s">
        <v>29</v>
      </c>
      <c r="B324" t="s">
        <v>26</v>
      </c>
      <c r="C324" t="s">
        <v>4910</v>
      </c>
      <c r="D324" t="s">
        <v>368</v>
      </c>
      <c r="E324">
        <v>92838.96</v>
      </c>
      <c r="F324">
        <v>27851.69</v>
      </c>
      <c r="G324">
        <v>3644.89</v>
      </c>
      <c r="H324">
        <v>26636.01</v>
      </c>
      <c r="I324">
        <v>124335.54</v>
      </c>
      <c r="J324">
        <v>97699.53</v>
      </c>
      <c r="K324" s="1"/>
      <c r="L324" s="1"/>
      <c r="M324" s="1"/>
      <c r="N324" s="1"/>
    </row>
    <row r="325" ht="15.75" customHeight="1">
      <c r="A325" t="s">
        <v>51</v>
      </c>
      <c r="B325" t="s">
        <v>18</v>
      </c>
      <c r="C325" t="s">
        <v>4911</v>
      </c>
      <c r="D325" t="s">
        <v>369</v>
      </c>
      <c r="E325">
        <v>72873.44</v>
      </c>
      <c r="F325">
        <v>21862.03</v>
      </c>
      <c r="G325">
        <v>7775.28</v>
      </c>
      <c r="H325">
        <v>10987.27</v>
      </c>
      <c r="I325">
        <v>102510.75</v>
      </c>
      <c r="J325">
        <v>91523.48</v>
      </c>
      <c r="K325" s="1"/>
      <c r="L325" s="1"/>
      <c r="M325" s="1"/>
      <c r="N325" s="1"/>
    </row>
    <row r="326" ht="15.75" customHeight="1">
      <c r="A326" t="s">
        <v>53</v>
      </c>
      <c r="B326" t="s">
        <v>37</v>
      </c>
      <c r="C326" t="s">
        <v>4916</v>
      </c>
      <c r="D326" t="s">
        <v>370</v>
      </c>
      <c r="E326">
        <v>47775.5</v>
      </c>
      <c r="F326">
        <v>14332.65</v>
      </c>
      <c r="G326">
        <v>6294.26</v>
      </c>
      <c r="H326">
        <v>10328.58</v>
      </c>
      <c r="I326">
        <v>68402.41</v>
      </c>
      <c r="J326">
        <v>58073.83</v>
      </c>
      <c r="K326" s="1"/>
      <c r="L326" s="1"/>
      <c r="M326" s="1"/>
      <c r="N326" s="1"/>
    </row>
    <row r="327" ht="15.75" customHeight="1">
      <c r="A327" t="s">
        <v>29</v>
      </c>
      <c r="B327" t="s">
        <v>26</v>
      </c>
      <c r="C327" t="s">
        <v>4909</v>
      </c>
      <c r="D327" t="s">
        <v>371</v>
      </c>
      <c r="E327">
        <v>123261.47</v>
      </c>
      <c r="F327">
        <v>36978.44</v>
      </c>
      <c r="G327">
        <v>1015.53</v>
      </c>
      <c r="H327">
        <v>31941.28</v>
      </c>
      <c r="I327">
        <v>161255.44</v>
      </c>
      <c r="J327">
        <v>129314.16</v>
      </c>
      <c r="K327" s="1"/>
      <c r="L327" s="1"/>
      <c r="M327" s="1"/>
      <c r="N327" s="1"/>
    </row>
    <row r="328" ht="15.75" customHeight="1">
      <c r="A328" t="s">
        <v>17</v>
      </c>
      <c r="B328" t="s">
        <v>18</v>
      </c>
      <c r="C328" t="s">
        <v>4916</v>
      </c>
      <c r="D328" t="s">
        <v>372</v>
      </c>
      <c r="E328">
        <v>85046.58</v>
      </c>
      <c r="F328">
        <v>25513.97</v>
      </c>
      <c r="G328">
        <v>4501.62</v>
      </c>
      <c r="H328">
        <v>5378.56</v>
      </c>
      <c r="I328">
        <v>115062.17</v>
      </c>
      <c r="J328">
        <v>109683.61</v>
      </c>
      <c r="K328" s="1"/>
      <c r="L328" s="1"/>
      <c r="M328" s="1"/>
      <c r="N328" s="1"/>
    </row>
    <row r="329" ht="15.75" customHeight="1">
      <c r="A329" t="s">
        <v>36</v>
      </c>
      <c r="B329" t="s">
        <v>37</v>
      </c>
      <c r="C329" t="s">
        <v>4910</v>
      </c>
      <c r="D329" t="s">
        <v>373</v>
      </c>
      <c r="E329">
        <v>70778.92354084158</v>
      </c>
      <c r="F329">
        <v>16950.55</v>
      </c>
      <c r="G329">
        <v>5628.01</v>
      </c>
      <c r="H329">
        <v>10630.78</v>
      </c>
      <c r="I329">
        <v>93357.48</v>
      </c>
      <c r="J329">
        <v>82726.7</v>
      </c>
      <c r="K329" s="1"/>
      <c r="L329" s="1"/>
      <c r="M329" s="1"/>
      <c r="N329" s="1"/>
    </row>
    <row r="330" ht="15.75" customHeight="1">
      <c r="A330" t="s">
        <v>13</v>
      </c>
      <c r="B330" t="s">
        <v>33</v>
      </c>
      <c r="C330" t="s">
        <v>4910</v>
      </c>
      <c r="D330" t="s">
        <v>374</v>
      </c>
      <c r="E330">
        <v>29829.45</v>
      </c>
      <c r="F330">
        <v>8948.83</v>
      </c>
      <c r="G330">
        <v>4800.68</v>
      </c>
      <c r="H330">
        <v>6129.87</v>
      </c>
      <c r="I330">
        <v>43578.96</v>
      </c>
      <c r="J330">
        <v>37449.09</v>
      </c>
      <c r="K330" s="1"/>
      <c r="L330" s="1"/>
      <c r="M330" s="1"/>
      <c r="N330" s="1"/>
    </row>
    <row r="331" ht="15.75" customHeight="1">
      <c r="A331" t="s">
        <v>36</v>
      </c>
      <c r="B331" t="s">
        <v>14</v>
      </c>
      <c r="C331" t="s">
        <v>4914</v>
      </c>
      <c r="D331" t="s">
        <v>375</v>
      </c>
      <c r="E331">
        <v>22958.02</v>
      </c>
      <c r="F331">
        <v>6887.41</v>
      </c>
      <c r="G331">
        <v>725.84</v>
      </c>
      <c r="H331">
        <v>2862.56</v>
      </c>
      <c r="I331">
        <v>30571.27</v>
      </c>
      <c r="J331">
        <v>27708.71</v>
      </c>
      <c r="K331" s="1"/>
      <c r="L331" s="1"/>
      <c r="M331" s="1"/>
      <c r="N331" s="1"/>
    </row>
    <row r="332" ht="15.75" customHeight="1">
      <c r="A332" t="s">
        <v>51</v>
      </c>
      <c r="B332" t="s">
        <v>33</v>
      </c>
      <c r="C332" t="s">
        <v>4905</v>
      </c>
      <c r="D332" t="s">
        <v>376</v>
      </c>
      <c r="E332">
        <v>31066.6</v>
      </c>
      <c r="F332">
        <v>9319.98</v>
      </c>
      <c r="G332">
        <v>1942.18</v>
      </c>
      <c r="H332">
        <v>6695.13</v>
      </c>
      <c r="I332">
        <v>42328.76</v>
      </c>
      <c r="J332">
        <v>35633.63</v>
      </c>
      <c r="K332" s="1"/>
      <c r="L332" s="1"/>
      <c r="M332" s="1"/>
      <c r="N332" s="1"/>
    </row>
    <row r="333" ht="15.75" customHeight="1">
      <c r="A333" t="s">
        <v>25</v>
      </c>
      <c r="B333" t="s">
        <v>33</v>
      </c>
      <c r="C333" t="s">
        <v>4915</v>
      </c>
      <c r="D333" t="s">
        <v>377</v>
      </c>
      <c r="E333">
        <v>34753.74</v>
      </c>
      <c r="F333">
        <v>10426.12</v>
      </c>
      <c r="G333">
        <v>908.92</v>
      </c>
      <c r="H333">
        <v>3863.3</v>
      </c>
      <c r="I333">
        <v>46088.78</v>
      </c>
      <c r="J333">
        <v>42225.48</v>
      </c>
      <c r="K333" s="1"/>
      <c r="L333" s="1"/>
      <c r="M333" s="1"/>
      <c r="N333" s="1"/>
    </row>
    <row r="334" ht="15.75" customHeight="1">
      <c r="A334" t="s">
        <v>17</v>
      </c>
      <c r="B334" t="s">
        <v>33</v>
      </c>
      <c r="C334" t="s">
        <v>4911</v>
      </c>
      <c r="D334" t="s">
        <v>378</v>
      </c>
      <c r="E334">
        <v>27417.38</v>
      </c>
      <c r="F334">
        <v>8225.21</v>
      </c>
      <c r="G334">
        <v>671.85</v>
      </c>
      <c r="H334">
        <v>3698.02</v>
      </c>
      <c r="I334">
        <v>36314.44</v>
      </c>
      <c r="J334">
        <v>32616.42</v>
      </c>
      <c r="K334" s="1"/>
      <c r="L334" s="1"/>
      <c r="M334" s="1"/>
      <c r="N334" s="1"/>
    </row>
    <row r="335" ht="15.75" customHeight="1">
      <c r="A335" t="s">
        <v>17</v>
      </c>
      <c r="B335" t="s">
        <v>14</v>
      </c>
      <c r="C335" t="s">
        <v>4908</v>
      </c>
      <c r="D335" t="s">
        <v>379</v>
      </c>
      <c r="E335">
        <v>20089.53</v>
      </c>
      <c r="F335">
        <v>6026.86</v>
      </c>
      <c r="G335">
        <v>1543.48</v>
      </c>
      <c r="H335">
        <v>3708.79</v>
      </c>
      <c r="I335">
        <v>27659.87</v>
      </c>
      <c r="J335">
        <v>23951.08</v>
      </c>
      <c r="K335" s="1"/>
      <c r="L335" s="1"/>
      <c r="M335" s="1"/>
      <c r="N335" s="1"/>
    </row>
    <row r="336" ht="15.75" customHeight="1">
      <c r="A336" t="s">
        <v>25</v>
      </c>
      <c r="B336" t="s">
        <v>30</v>
      </c>
      <c r="C336" t="s">
        <v>4908</v>
      </c>
      <c r="D336" t="s">
        <v>380</v>
      </c>
      <c r="E336">
        <v>29158.61</v>
      </c>
      <c r="F336">
        <v>8747.58</v>
      </c>
      <c r="G336">
        <v>5445.38</v>
      </c>
      <c r="H336">
        <v>6308.13</v>
      </c>
      <c r="I336">
        <v>43351.57</v>
      </c>
      <c r="J336">
        <v>37043.44</v>
      </c>
      <c r="K336" s="1"/>
      <c r="L336" s="1"/>
      <c r="M336" s="1"/>
      <c r="N336" s="1"/>
    </row>
    <row r="337" ht="15.75" customHeight="1">
      <c r="A337" t="s">
        <v>25</v>
      </c>
      <c r="B337" t="s">
        <v>30</v>
      </c>
      <c r="C337" t="s">
        <v>4910</v>
      </c>
      <c r="D337" t="s">
        <v>381</v>
      </c>
      <c r="E337">
        <v>26384.74</v>
      </c>
      <c r="F337">
        <v>7915.42</v>
      </c>
      <c r="G337">
        <v>2716.18</v>
      </c>
      <c r="H337">
        <v>3947.89</v>
      </c>
      <c r="I337">
        <v>37016.34</v>
      </c>
      <c r="J337">
        <v>33068.45</v>
      </c>
      <c r="K337" s="1"/>
      <c r="L337" s="1"/>
      <c r="M337" s="1"/>
      <c r="N337" s="1"/>
    </row>
    <row r="338" ht="15.75" customHeight="1">
      <c r="A338" t="s">
        <v>36</v>
      </c>
      <c r="B338" t="s">
        <v>14</v>
      </c>
      <c r="C338" t="s">
        <v>4908</v>
      </c>
      <c r="D338" t="s">
        <v>382</v>
      </c>
      <c r="E338">
        <v>18648.35</v>
      </c>
      <c r="F338">
        <v>5594.5</v>
      </c>
      <c r="G338">
        <v>1466.66</v>
      </c>
      <c r="H338">
        <v>2557.98</v>
      </c>
      <c r="I338">
        <v>25709.51</v>
      </c>
      <c r="J338">
        <v>23151.53</v>
      </c>
      <c r="K338" s="1"/>
      <c r="L338" s="1"/>
      <c r="M338" s="1"/>
      <c r="N338" s="1"/>
    </row>
    <row r="339" ht="15.75" customHeight="1">
      <c r="A339" t="s">
        <v>51</v>
      </c>
      <c r="B339" t="s">
        <v>37</v>
      </c>
      <c r="C339" t="s">
        <v>4917</v>
      </c>
      <c r="D339" t="s">
        <v>383</v>
      </c>
      <c r="E339">
        <v>51352.11</v>
      </c>
      <c r="F339">
        <v>15405.63</v>
      </c>
      <c r="G339">
        <v>519.07</v>
      </c>
      <c r="H339">
        <v>7624.16</v>
      </c>
      <c r="I339">
        <v>67276.81</v>
      </c>
      <c r="J339">
        <v>59652.65</v>
      </c>
      <c r="K339" s="1"/>
      <c r="L339" s="1"/>
      <c r="M339" s="1"/>
      <c r="N339" s="1"/>
    </row>
    <row r="340" ht="15.75" customHeight="1">
      <c r="A340" t="s">
        <v>13</v>
      </c>
      <c r="B340" t="s">
        <v>54</v>
      </c>
      <c r="C340" t="s">
        <v>4911</v>
      </c>
      <c r="D340" t="s">
        <v>384</v>
      </c>
      <c r="E340">
        <v>39000.48</v>
      </c>
      <c r="F340">
        <v>11700.14</v>
      </c>
      <c r="G340">
        <v>63.78</v>
      </c>
      <c r="H340">
        <v>1257.73</v>
      </c>
      <c r="I340">
        <v>50764.4</v>
      </c>
      <c r="J340">
        <v>49506.67</v>
      </c>
      <c r="K340" s="1"/>
      <c r="L340" s="1"/>
      <c r="M340" s="1"/>
      <c r="N340" s="1"/>
    </row>
    <row r="341" ht="15.75" customHeight="1">
      <c r="A341" t="s">
        <v>36</v>
      </c>
      <c r="B341" t="s">
        <v>18</v>
      </c>
      <c r="C341" t="s">
        <v>4907</v>
      </c>
      <c r="D341" t="s">
        <v>385</v>
      </c>
      <c r="E341">
        <v>74510.22</v>
      </c>
      <c r="F341">
        <v>22353.07</v>
      </c>
      <c r="G341">
        <v>6009.31</v>
      </c>
      <c r="H341">
        <v>1011.31</v>
      </c>
      <c r="I341">
        <v>102872.6</v>
      </c>
      <c r="J341">
        <v>101861.29</v>
      </c>
      <c r="K341" s="1"/>
      <c r="L341" s="1"/>
      <c r="M341" s="1"/>
      <c r="N341" s="1"/>
    </row>
    <row r="342" ht="15.75" customHeight="1">
      <c r="A342" t="s">
        <v>53</v>
      </c>
      <c r="B342" t="s">
        <v>37</v>
      </c>
      <c r="C342" t="s">
        <v>4915</v>
      </c>
      <c r="D342" t="s">
        <v>386</v>
      </c>
      <c r="E342">
        <v>48503.8</v>
      </c>
      <c r="F342">
        <v>14551.14</v>
      </c>
      <c r="G342">
        <v>5366.68</v>
      </c>
      <c r="H342">
        <v>1069.97</v>
      </c>
      <c r="I342">
        <v>68421.62</v>
      </c>
      <c r="J342">
        <v>67351.65</v>
      </c>
      <c r="K342" s="1"/>
      <c r="L342" s="1"/>
      <c r="M342" s="1"/>
      <c r="N342" s="1"/>
    </row>
    <row r="343" ht="15.75" customHeight="1">
      <c r="A343" t="s">
        <v>36</v>
      </c>
      <c r="B343" t="s">
        <v>26</v>
      </c>
      <c r="C343" t="s">
        <v>4916</v>
      </c>
      <c r="D343" t="s">
        <v>387</v>
      </c>
      <c r="E343">
        <v>109794.86</v>
      </c>
      <c r="F343">
        <v>32938.46</v>
      </c>
      <c r="G343">
        <v>18122.99</v>
      </c>
      <c r="H343">
        <v>20528.62</v>
      </c>
      <c r="I343">
        <v>160856.31</v>
      </c>
      <c r="J343">
        <v>140327.69</v>
      </c>
      <c r="K343" s="1"/>
      <c r="L343" s="1"/>
      <c r="M343" s="1"/>
      <c r="N343" s="1"/>
    </row>
    <row r="344" ht="15.75" customHeight="1">
      <c r="A344" t="s">
        <v>17</v>
      </c>
      <c r="B344" t="s">
        <v>30</v>
      </c>
      <c r="C344" t="s">
        <v>4912</v>
      </c>
      <c r="D344" t="s">
        <v>388</v>
      </c>
      <c r="E344">
        <v>30580.73</v>
      </c>
      <c r="F344">
        <v>9174.22</v>
      </c>
      <c r="G344">
        <v>2409.17</v>
      </c>
      <c r="H344">
        <v>7292.56</v>
      </c>
      <c r="I344">
        <v>42164.12</v>
      </c>
      <c r="J344">
        <v>34871.56</v>
      </c>
      <c r="K344" s="1"/>
      <c r="L344" s="1"/>
      <c r="M344" s="1"/>
      <c r="N344" s="1"/>
    </row>
    <row r="345" ht="15.75" customHeight="1">
      <c r="A345" t="s">
        <v>53</v>
      </c>
      <c r="B345" t="s">
        <v>33</v>
      </c>
      <c r="C345" t="s">
        <v>4915</v>
      </c>
      <c r="D345" t="s">
        <v>389</v>
      </c>
      <c r="E345">
        <v>32549.65</v>
      </c>
      <c r="F345">
        <v>9764.9</v>
      </c>
      <c r="G345">
        <v>1295.85</v>
      </c>
      <c r="H345">
        <v>4971.53</v>
      </c>
      <c r="I345">
        <v>43610.4</v>
      </c>
      <c r="J345">
        <v>38638.87</v>
      </c>
      <c r="K345" s="1"/>
      <c r="L345" s="1"/>
      <c r="M345" s="1"/>
      <c r="N345" s="1"/>
    </row>
    <row r="346" ht="15.75" customHeight="1">
      <c r="A346" t="s">
        <v>17</v>
      </c>
      <c r="B346" t="s">
        <v>14</v>
      </c>
      <c r="C346" t="s">
        <v>4915</v>
      </c>
      <c r="D346" t="s">
        <v>390</v>
      </c>
      <c r="E346">
        <v>18280.18</v>
      </c>
      <c r="F346">
        <v>5484.05</v>
      </c>
      <c r="G346">
        <v>2608.92</v>
      </c>
      <c r="H346">
        <v>4408.99</v>
      </c>
      <c r="I346">
        <v>26373.15</v>
      </c>
      <c r="J346">
        <v>21964.16</v>
      </c>
      <c r="K346" s="1"/>
      <c r="L346" s="1"/>
      <c r="M346" s="1"/>
      <c r="N346" s="1"/>
    </row>
    <row r="347" ht="15.75" customHeight="1">
      <c r="A347" t="s">
        <v>36</v>
      </c>
      <c r="B347" t="s">
        <v>30</v>
      </c>
      <c r="C347" t="s">
        <v>4916</v>
      </c>
      <c r="D347" t="s">
        <v>391</v>
      </c>
      <c r="E347">
        <v>27335.09</v>
      </c>
      <c r="F347">
        <v>8200.53</v>
      </c>
      <c r="G347">
        <v>2818.28</v>
      </c>
      <c r="H347">
        <v>2689.49</v>
      </c>
      <c r="I347">
        <v>38353.9</v>
      </c>
      <c r="J347">
        <v>35664.41</v>
      </c>
      <c r="K347" s="1"/>
      <c r="L347" s="1"/>
      <c r="M347" s="1"/>
      <c r="N347" s="1"/>
    </row>
    <row r="348" ht="15.75" customHeight="1">
      <c r="A348" t="s">
        <v>29</v>
      </c>
      <c r="B348" t="s">
        <v>30</v>
      </c>
      <c r="C348" t="s">
        <v>4916</v>
      </c>
      <c r="D348" t="s">
        <v>392</v>
      </c>
      <c r="E348">
        <v>25458.0</v>
      </c>
      <c r="F348">
        <v>7637.4</v>
      </c>
      <c r="G348">
        <v>3138.97</v>
      </c>
      <c r="H348">
        <v>6435.29</v>
      </c>
      <c r="I348">
        <v>36234.37</v>
      </c>
      <c r="J348">
        <v>29799.08</v>
      </c>
      <c r="K348" s="1"/>
      <c r="L348" s="1"/>
      <c r="M348" s="1"/>
      <c r="N348" s="1"/>
    </row>
    <row r="349" ht="15.75" customHeight="1">
      <c r="A349" t="s">
        <v>29</v>
      </c>
      <c r="B349" t="s">
        <v>37</v>
      </c>
      <c r="C349" t="s">
        <v>4910</v>
      </c>
      <c r="D349" t="s">
        <v>393</v>
      </c>
      <c r="E349">
        <v>59909.21</v>
      </c>
      <c r="F349">
        <v>17972.76</v>
      </c>
      <c r="G349">
        <v>6378.41</v>
      </c>
      <c r="H349">
        <v>12738.01</v>
      </c>
      <c r="I349">
        <v>84260.38</v>
      </c>
      <c r="J349">
        <v>71522.37</v>
      </c>
      <c r="K349" s="1"/>
      <c r="L349" s="1"/>
      <c r="M349" s="1"/>
      <c r="N349" s="1"/>
    </row>
    <row r="350" ht="15.75" customHeight="1">
      <c r="A350" t="s">
        <v>36</v>
      </c>
      <c r="B350" t="s">
        <v>26</v>
      </c>
      <c r="C350" t="s">
        <v>4913</v>
      </c>
      <c r="D350" t="s">
        <v>394</v>
      </c>
      <c r="E350">
        <v>90598.93</v>
      </c>
      <c r="F350">
        <v>27179.68</v>
      </c>
      <c r="G350">
        <v>6001.99</v>
      </c>
      <c r="H350">
        <v>2979.02</v>
      </c>
      <c r="I350">
        <v>123780.6</v>
      </c>
      <c r="J350">
        <v>120801.58</v>
      </c>
      <c r="K350" s="1"/>
      <c r="L350" s="1"/>
      <c r="M350" s="1"/>
      <c r="N350" s="1"/>
    </row>
    <row r="351" ht="15.75" customHeight="1">
      <c r="A351" t="s">
        <v>53</v>
      </c>
      <c r="B351" t="s">
        <v>33</v>
      </c>
      <c r="C351" t="s">
        <v>4907</v>
      </c>
      <c r="D351" t="s">
        <v>395</v>
      </c>
      <c r="E351">
        <v>32967.55</v>
      </c>
      <c r="F351">
        <v>9890.27</v>
      </c>
      <c r="G351">
        <v>4782.43</v>
      </c>
      <c r="H351">
        <v>6804.93</v>
      </c>
      <c r="I351">
        <v>47640.25</v>
      </c>
      <c r="J351">
        <v>40835.32</v>
      </c>
      <c r="K351" s="1"/>
      <c r="L351" s="1"/>
      <c r="M351" s="1"/>
      <c r="N351" s="1"/>
    </row>
    <row r="352" ht="15.75" customHeight="1">
      <c r="A352" t="s">
        <v>53</v>
      </c>
      <c r="B352" t="s">
        <v>54</v>
      </c>
      <c r="C352" t="s">
        <v>4916</v>
      </c>
      <c r="D352" t="s">
        <v>396</v>
      </c>
      <c r="E352">
        <v>38717.43</v>
      </c>
      <c r="F352">
        <v>11615.23</v>
      </c>
      <c r="G352">
        <v>5076.56</v>
      </c>
      <c r="H352">
        <v>11290.66</v>
      </c>
      <c r="I352">
        <v>55409.22</v>
      </c>
      <c r="J352">
        <v>44118.56</v>
      </c>
      <c r="K352" s="1"/>
      <c r="L352" s="1"/>
      <c r="M352" s="1"/>
      <c r="N352" s="1"/>
    </row>
    <row r="353" ht="15.75" customHeight="1">
      <c r="A353" t="s">
        <v>53</v>
      </c>
      <c r="B353" t="s">
        <v>30</v>
      </c>
      <c r="C353" t="s">
        <v>4917</v>
      </c>
      <c r="D353" t="s">
        <v>397</v>
      </c>
      <c r="E353">
        <v>28348.32</v>
      </c>
      <c r="F353">
        <v>8504.5</v>
      </c>
      <c r="G353">
        <v>3308.38</v>
      </c>
      <c r="H353">
        <v>1450.12</v>
      </c>
      <c r="I353">
        <v>40161.2</v>
      </c>
      <c r="J353">
        <v>38711.08</v>
      </c>
      <c r="K353" s="1"/>
      <c r="L353" s="1"/>
      <c r="M353" s="1"/>
      <c r="N353" s="1"/>
    </row>
    <row r="354" ht="15.75" customHeight="1">
      <c r="A354" t="s">
        <v>13</v>
      </c>
      <c r="B354" t="s">
        <v>37</v>
      </c>
      <c r="C354" t="s">
        <v>4908</v>
      </c>
      <c r="D354" t="s">
        <v>398</v>
      </c>
      <c r="E354">
        <v>58942.91</v>
      </c>
      <c r="F354">
        <v>17682.87</v>
      </c>
      <c r="G354">
        <v>4481.9</v>
      </c>
      <c r="H354">
        <v>14529.33</v>
      </c>
      <c r="I354">
        <v>81107.68</v>
      </c>
      <c r="J354">
        <v>66578.35</v>
      </c>
      <c r="K354" s="1"/>
      <c r="L354" s="1"/>
      <c r="M354" s="1"/>
      <c r="N354" s="1"/>
    </row>
    <row r="355" ht="15.75" customHeight="1">
      <c r="A355" t="s">
        <v>17</v>
      </c>
      <c r="B355" t="s">
        <v>37</v>
      </c>
      <c r="C355" t="s">
        <v>4912</v>
      </c>
      <c r="D355" t="s">
        <v>399</v>
      </c>
      <c r="E355">
        <v>62067.69</v>
      </c>
      <c r="F355">
        <v>18620.31</v>
      </c>
      <c r="G355">
        <v>1364.19</v>
      </c>
      <c r="H355">
        <v>352.62</v>
      </c>
      <c r="I355">
        <v>82052.19</v>
      </c>
      <c r="J355">
        <v>81699.57</v>
      </c>
      <c r="K355" s="1"/>
      <c r="L355" s="1"/>
      <c r="M355" s="1"/>
      <c r="N355" s="1"/>
    </row>
    <row r="356" ht="15.75" customHeight="1">
      <c r="A356" t="s">
        <v>36</v>
      </c>
      <c r="B356" t="s">
        <v>30</v>
      </c>
      <c r="C356" t="s">
        <v>4916</v>
      </c>
      <c r="D356" t="s">
        <v>400</v>
      </c>
      <c r="E356">
        <v>25634.05</v>
      </c>
      <c r="F356">
        <v>7690.21</v>
      </c>
      <c r="G356">
        <v>1045.31</v>
      </c>
      <c r="H356">
        <v>3859.1</v>
      </c>
      <c r="I356">
        <v>34369.57</v>
      </c>
      <c r="J356">
        <v>30510.47</v>
      </c>
      <c r="K356" s="1"/>
      <c r="L356" s="1"/>
      <c r="M356" s="1"/>
      <c r="N356" s="1"/>
    </row>
    <row r="357" ht="15.75" customHeight="1">
      <c r="A357" t="s">
        <v>36</v>
      </c>
      <c r="B357" t="s">
        <v>26</v>
      </c>
      <c r="C357" t="s">
        <v>4915</v>
      </c>
      <c r="D357" t="s">
        <v>401</v>
      </c>
      <c r="E357">
        <v>120541.57</v>
      </c>
      <c r="F357">
        <v>36162.47</v>
      </c>
      <c r="G357">
        <v>17536.44</v>
      </c>
      <c r="H357">
        <v>25522.58</v>
      </c>
      <c r="I357">
        <v>174240.48</v>
      </c>
      <c r="J357">
        <v>148717.9</v>
      </c>
      <c r="K357" s="1"/>
      <c r="L357" s="1"/>
      <c r="M357" s="1"/>
      <c r="N357" s="1"/>
    </row>
    <row r="358" ht="15.75" customHeight="1">
      <c r="A358" t="s">
        <v>51</v>
      </c>
      <c r="B358" t="s">
        <v>54</v>
      </c>
      <c r="C358" t="s">
        <v>4905</v>
      </c>
      <c r="D358" t="s">
        <v>402</v>
      </c>
      <c r="E358">
        <v>47769.74</v>
      </c>
      <c r="F358">
        <v>14330.92</v>
      </c>
      <c r="G358">
        <v>3270.57</v>
      </c>
      <c r="H358">
        <v>5077.26</v>
      </c>
      <c r="I358">
        <v>65371.23</v>
      </c>
      <c r="J358">
        <v>60293.97</v>
      </c>
      <c r="K358" s="1"/>
      <c r="L358" s="1"/>
      <c r="M358" s="1"/>
      <c r="N358" s="1"/>
    </row>
    <row r="359" ht="15.75" customHeight="1">
      <c r="A359" t="s">
        <v>13</v>
      </c>
      <c r="B359" t="s">
        <v>18</v>
      </c>
      <c r="C359" t="s">
        <v>4908</v>
      </c>
      <c r="D359" t="s">
        <v>403</v>
      </c>
      <c r="E359">
        <v>85894.97</v>
      </c>
      <c r="F359">
        <v>25768.49</v>
      </c>
      <c r="G359">
        <v>4541.48</v>
      </c>
      <c r="H359">
        <v>12476.59</v>
      </c>
      <c r="I359">
        <v>116204.94</v>
      </c>
      <c r="J359">
        <v>103728.35</v>
      </c>
      <c r="K359" s="1"/>
      <c r="L359" s="1"/>
      <c r="M359" s="1"/>
      <c r="N359" s="1"/>
    </row>
    <row r="360" ht="15.75" customHeight="1">
      <c r="A360" t="s">
        <v>29</v>
      </c>
      <c r="B360" t="s">
        <v>37</v>
      </c>
      <c r="C360" t="s">
        <v>4910</v>
      </c>
      <c r="D360" t="s">
        <v>404</v>
      </c>
      <c r="E360">
        <v>50372.98</v>
      </c>
      <c r="F360">
        <v>15111.89</v>
      </c>
      <c r="G360">
        <v>9485.09</v>
      </c>
      <c r="H360">
        <v>14843.81</v>
      </c>
      <c r="I360">
        <v>74969.96</v>
      </c>
      <c r="J360">
        <v>60126.15</v>
      </c>
      <c r="K360" s="1"/>
      <c r="L360" s="1"/>
      <c r="M360" s="1"/>
      <c r="N360" s="1"/>
    </row>
    <row r="361" ht="15.75" customHeight="1">
      <c r="A361" t="s">
        <v>13</v>
      </c>
      <c r="B361" t="s">
        <v>30</v>
      </c>
      <c r="C361" t="s">
        <v>4915</v>
      </c>
      <c r="D361" t="s">
        <v>405</v>
      </c>
      <c r="E361">
        <v>28074.11</v>
      </c>
      <c r="F361">
        <v>8422.23</v>
      </c>
      <c r="G361">
        <v>2745.67</v>
      </c>
      <c r="H361">
        <v>4041.02</v>
      </c>
      <c r="I361">
        <v>39242.01</v>
      </c>
      <c r="J361">
        <v>35200.99</v>
      </c>
      <c r="K361" s="1"/>
      <c r="L361" s="1"/>
      <c r="M361" s="1"/>
      <c r="N361" s="1"/>
    </row>
    <row r="362" ht="15.75" customHeight="1">
      <c r="A362" t="s">
        <v>25</v>
      </c>
      <c r="B362" t="s">
        <v>18</v>
      </c>
      <c r="C362" t="s">
        <v>4913</v>
      </c>
      <c r="D362" t="s">
        <v>406</v>
      </c>
      <c r="E362">
        <v>72109.9</v>
      </c>
      <c r="F362">
        <v>21632.97</v>
      </c>
      <c r="G362">
        <v>1757.67</v>
      </c>
      <c r="H362">
        <v>14637.35</v>
      </c>
      <c r="I362">
        <v>95500.54</v>
      </c>
      <c r="J362">
        <v>80863.19</v>
      </c>
      <c r="K362" s="1"/>
      <c r="L362" s="1"/>
      <c r="M362" s="1"/>
      <c r="N362" s="1"/>
    </row>
    <row r="363" ht="15.75" customHeight="1">
      <c r="A363" t="s">
        <v>36</v>
      </c>
      <c r="B363" t="s">
        <v>26</v>
      </c>
      <c r="C363" t="s">
        <v>4907</v>
      </c>
      <c r="D363" t="s">
        <v>407</v>
      </c>
      <c r="E363">
        <v>102424.85</v>
      </c>
      <c r="F363">
        <v>30727.46</v>
      </c>
      <c r="G363">
        <v>15836.2</v>
      </c>
      <c r="H363">
        <v>4500.84</v>
      </c>
      <c r="I363">
        <v>148988.51</v>
      </c>
      <c r="J363">
        <v>144487.67</v>
      </c>
      <c r="K363" s="1"/>
      <c r="L363" s="1"/>
      <c r="M363" s="1"/>
      <c r="N363" s="1"/>
    </row>
    <row r="364" ht="15.75" customHeight="1">
      <c r="A364" t="s">
        <v>29</v>
      </c>
      <c r="B364" t="s">
        <v>18</v>
      </c>
      <c r="C364" t="s">
        <v>4905</v>
      </c>
      <c r="D364" t="s">
        <v>408</v>
      </c>
      <c r="E364">
        <v>67054.77</v>
      </c>
      <c r="F364">
        <v>20116.43</v>
      </c>
      <c r="G364">
        <v>12391.85</v>
      </c>
      <c r="H364">
        <v>13195.82</v>
      </c>
      <c r="I364">
        <v>99563.05</v>
      </c>
      <c r="J364">
        <v>86367.23</v>
      </c>
      <c r="K364" s="1"/>
      <c r="L364" s="1"/>
      <c r="M364" s="1"/>
      <c r="N364" s="1"/>
    </row>
    <row r="365" ht="15.75" customHeight="1">
      <c r="A365" t="s">
        <v>36</v>
      </c>
      <c r="B365" t="s">
        <v>30</v>
      </c>
      <c r="C365" t="s">
        <v>4905</v>
      </c>
      <c r="D365" t="s">
        <v>409</v>
      </c>
      <c r="E365">
        <v>23778.2</v>
      </c>
      <c r="F365">
        <v>7133.46</v>
      </c>
      <c r="G365">
        <v>2561.28</v>
      </c>
      <c r="H365">
        <v>6655.69</v>
      </c>
      <c r="I365">
        <v>33472.94</v>
      </c>
      <c r="J365">
        <v>26817.25</v>
      </c>
      <c r="K365" s="1"/>
      <c r="L365" s="1"/>
      <c r="M365" s="1"/>
      <c r="N365" s="1"/>
    </row>
    <row r="366" ht="15.75" customHeight="1">
      <c r="A366" t="s">
        <v>29</v>
      </c>
      <c r="B366" t="s">
        <v>30</v>
      </c>
      <c r="C366" t="s">
        <v>4907</v>
      </c>
      <c r="D366" t="s">
        <v>410</v>
      </c>
      <c r="E366">
        <v>22961.19</v>
      </c>
      <c r="F366">
        <v>6888.36</v>
      </c>
      <c r="G366">
        <v>3402.35</v>
      </c>
      <c r="H366">
        <v>14830.17958067168</v>
      </c>
      <c r="I366">
        <v>33251.9</v>
      </c>
      <c r="J366">
        <v>18421.72</v>
      </c>
      <c r="K366" s="1"/>
      <c r="L366" s="1"/>
      <c r="M366" s="1"/>
      <c r="N366" s="1"/>
    </row>
    <row r="367" ht="15.75" customHeight="1">
      <c r="A367" t="s">
        <v>13</v>
      </c>
      <c r="B367" t="s">
        <v>37</v>
      </c>
      <c r="C367" t="s">
        <v>4912</v>
      </c>
      <c r="D367" t="s">
        <v>411</v>
      </c>
      <c r="E367">
        <v>49062.09</v>
      </c>
      <c r="F367">
        <v>14718.63</v>
      </c>
      <c r="G367">
        <v>2284.69</v>
      </c>
      <c r="H367">
        <v>1474.78</v>
      </c>
      <c r="I367">
        <v>66065.41</v>
      </c>
      <c r="J367">
        <v>64590.63</v>
      </c>
      <c r="K367" s="1"/>
      <c r="L367" s="1"/>
      <c r="M367" s="1"/>
      <c r="N367" s="1"/>
    </row>
    <row r="368" ht="15.75" customHeight="1">
      <c r="A368" t="s">
        <v>13</v>
      </c>
      <c r="B368" t="s">
        <v>54</v>
      </c>
      <c r="C368" t="s">
        <v>4915</v>
      </c>
      <c r="D368" t="s">
        <v>412</v>
      </c>
      <c r="E368">
        <v>36407.63</v>
      </c>
      <c r="F368">
        <v>10922.29</v>
      </c>
      <c r="G368">
        <v>5612.35</v>
      </c>
      <c r="H368">
        <v>14327.38295125808</v>
      </c>
      <c r="I368">
        <v>52942.27</v>
      </c>
      <c r="J368">
        <v>38614.89</v>
      </c>
      <c r="K368" s="1"/>
      <c r="L368" s="1"/>
      <c r="M368" s="1"/>
      <c r="N368" s="1"/>
    </row>
    <row r="369" ht="15.75" customHeight="1">
      <c r="A369" t="s">
        <v>51</v>
      </c>
      <c r="B369" t="s">
        <v>54</v>
      </c>
      <c r="C369" t="s">
        <v>4917</v>
      </c>
      <c r="D369" t="s">
        <v>413</v>
      </c>
      <c r="E369">
        <v>44140.5</v>
      </c>
      <c r="F369">
        <v>13242.15</v>
      </c>
      <c r="G369">
        <v>7774.44</v>
      </c>
      <c r="H369">
        <v>6299.29</v>
      </c>
      <c r="I369">
        <v>65157.09</v>
      </c>
      <c r="J369">
        <v>58857.8</v>
      </c>
      <c r="K369" s="1"/>
      <c r="L369" s="1"/>
      <c r="M369" s="1"/>
      <c r="N369" s="1"/>
    </row>
    <row r="370" ht="15.75" customHeight="1">
      <c r="A370" t="s">
        <v>51</v>
      </c>
      <c r="B370" t="s">
        <v>26</v>
      </c>
      <c r="C370" t="s">
        <v>4909</v>
      </c>
      <c r="D370" t="s">
        <v>414</v>
      </c>
      <c r="E370">
        <v>124700.91</v>
      </c>
      <c r="F370">
        <v>37410.27</v>
      </c>
      <c r="G370">
        <v>8009.98</v>
      </c>
      <c r="H370">
        <v>24163.22</v>
      </c>
      <c r="I370">
        <v>170121.16</v>
      </c>
      <c r="J370">
        <v>145957.94</v>
      </c>
      <c r="K370" s="1"/>
      <c r="L370" s="1"/>
      <c r="M370" s="1"/>
      <c r="N370" s="1"/>
    </row>
    <row r="371" ht="15.75" customHeight="1">
      <c r="A371" t="s">
        <v>13</v>
      </c>
      <c r="B371" t="s">
        <v>37</v>
      </c>
      <c r="C371" t="s">
        <v>4907</v>
      </c>
      <c r="D371" t="s">
        <v>415</v>
      </c>
      <c r="E371">
        <v>49179.96</v>
      </c>
      <c r="F371">
        <v>14753.99</v>
      </c>
      <c r="G371">
        <v>7265.71</v>
      </c>
      <c r="H371">
        <v>12545.8</v>
      </c>
      <c r="I371">
        <v>71199.66</v>
      </c>
      <c r="J371">
        <v>58653.86</v>
      </c>
      <c r="K371" s="1"/>
      <c r="L371" s="1"/>
      <c r="M371" s="1"/>
      <c r="N371" s="1"/>
    </row>
    <row r="372" ht="15.75" customHeight="1">
      <c r="A372" t="s">
        <v>51</v>
      </c>
      <c r="B372" t="s">
        <v>54</v>
      </c>
      <c r="C372" t="s">
        <v>4913</v>
      </c>
      <c r="D372" t="s">
        <v>416</v>
      </c>
      <c r="E372">
        <v>47351.43</v>
      </c>
      <c r="F372">
        <v>14205.43</v>
      </c>
      <c r="G372">
        <v>1664.77</v>
      </c>
      <c r="H372">
        <v>13063.81</v>
      </c>
      <c r="I372">
        <v>63221.63</v>
      </c>
      <c r="J372">
        <v>50157.82</v>
      </c>
      <c r="K372" s="1"/>
      <c r="L372" s="1"/>
      <c r="M372" s="1"/>
      <c r="N372" s="1"/>
    </row>
    <row r="373" ht="15.75" customHeight="1">
      <c r="A373" t="s">
        <v>25</v>
      </c>
      <c r="B373" t="s">
        <v>54</v>
      </c>
      <c r="C373" t="s">
        <v>4910</v>
      </c>
      <c r="D373" t="s">
        <v>417</v>
      </c>
      <c r="E373">
        <v>37608.36</v>
      </c>
      <c r="F373">
        <v>11282.51</v>
      </c>
      <c r="G373">
        <v>5633.76</v>
      </c>
      <c r="H373">
        <v>9841.63</v>
      </c>
      <c r="I373">
        <v>54524.63</v>
      </c>
      <c r="J373">
        <v>44683.0</v>
      </c>
      <c r="K373" s="1"/>
      <c r="L373" s="1"/>
      <c r="M373" s="1"/>
      <c r="N373" s="1"/>
    </row>
    <row r="374" ht="15.75" customHeight="1">
      <c r="A374" t="s">
        <v>17</v>
      </c>
      <c r="B374" t="s">
        <v>14</v>
      </c>
      <c r="C374" t="s">
        <v>4912</v>
      </c>
      <c r="D374" t="s">
        <v>418</v>
      </c>
      <c r="E374">
        <v>20148.42</v>
      </c>
      <c r="F374">
        <v>6044.53</v>
      </c>
      <c r="G374">
        <v>2429.02</v>
      </c>
      <c r="H374">
        <v>5612.07</v>
      </c>
      <c r="I374">
        <v>28621.97</v>
      </c>
      <c r="J374">
        <v>23009.9</v>
      </c>
      <c r="K374" s="1"/>
      <c r="L374" s="1"/>
      <c r="M374" s="1"/>
      <c r="N374" s="1"/>
    </row>
    <row r="375" ht="15.75" customHeight="1">
      <c r="A375" t="s">
        <v>25</v>
      </c>
      <c r="B375" t="s">
        <v>37</v>
      </c>
      <c r="C375" t="s">
        <v>4911</v>
      </c>
      <c r="D375" t="s">
        <v>419</v>
      </c>
      <c r="E375">
        <v>53424.37</v>
      </c>
      <c r="F375">
        <v>16027.31</v>
      </c>
      <c r="G375">
        <v>2060.17</v>
      </c>
      <c r="H375">
        <v>1805.42</v>
      </c>
      <c r="I375">
        <v>71511.85</v>
      </c>
      <c r="J375">
        <v>69706.43</v>
      </c>
      <c r="K375" s="1"/>
      <c r="L375" s="1"/>
      <c r="M375" s="1"/>
      <c r="N375" s="1"/>
    </row>
    <row r="376" ht="15.75" customHeight="1">
      <c r="A376" t="s">
        <v>13</v>
      </c>
      <c r="B376" t="s">
        <v>54</v>
      </c>
      <c r="C376" t="s">
        <v>4912</v>
      </c>
      <c r="D376" t="s">
        <v>420</v>
      </c>
      <c r="E376">
        <v>44075.99</v>
      </c>
      <c r="F376">
        <v>13222.8</v>
      </c>
      <c r="G376">
        <v>6334.59</v>
      </c>
      <c r="H376">
        <v>186.23</v>
      </c>
      <c r="I376">
        <v>63633.38</v>
      </c>
      <c r="J376">
        <v>63447.15</v>
      </c>
      <c r="K376" s="1"/>
      <c r="L376" s="1"/>
      <c r="M376" s="1"/>
      <c r="N376" s="1"/>
    </row>
    <row r="377" ht="15.75" customHeight="1">
      <c r="A377" t="s">
        <v>25</v>
      </c>
      <c r="B377" t="s">
        <v>33</v>
      </c>
      <c r="C377" t="s">
        <v>4917</v>
      </c>
      <c r="D377" t="s">
        <v>421</v>
      </c>
      <c r="E377">
        <v>30677.81</v>
      </c>
      <c r="F377">
        <v>9203.34</v>
      </c>
      <c r="G377">
        <v>4646.36</v>
      </c>
      <c r="H377">
        <v>1615.14</v>
      </c>
      <c r="I377">
        <v>44527.51</v>
      </c>
      <c r="J377">
        <v>42912.37</v>
      </c>
      <c r="K377" s="1"/>
      <c r="L377" s="1"/>
      <c r="M377" s="1"/>
      <c r="N377" s="1"/>
    </row>
    <row r="378" ht="15.75" customHeight="1">
      <c r="A378" t="s">
        <v>36</v>
      </c>
      <c r="B378" t="s">
        <v>26</v>
      </c>
      <c r="C378" t="s">
        <v>4909</v>
      </c>
      <c r="D378" t="s">
        <v>422</v>
      </c>
      <c r="E378">
        <v>105397.32</v>
      </c>
      <c r="F378">
        <v>31619.2</v>
      </c>
      <c r="G378">
        <v>6912.52</v>
      </c>
      <c r="H378">
        <v>12674.02</v>
      </c>
      <c r="I378">
        <v>143929.04</v>
      </c>
      <c r="J378">
        <v>131255.02</v>
      </c>
      <c r="K378" s="1"/>
      <c r="L378" s="1"/>
      <c r="M378" s="1"/>
      <c r="N378" s="1"/>
    </row>
    <row r="379" ht="15.75" customHeight="1">
      <c r="A379" t="s">
        <v>51</v>
      </c>
      <c r="B379" t="s">
        <v>30</v>
      </c>
      <c r="C379" t="s">
        <v>4913</v>
      </c>
      <c r="D379" t="s">
        <v>423</v>
      </c>
      <c r="E379">
        <v>26201.6</v>
      </c>
      <c r="F379">
        <v>7860.48</v>
      </c>
      <c r="G379">
        <v>4904.02</v>
      </c>
      <c r="H379">
        <v>53.69</v>
      </c>
      <c r="I379">
        <v>38966.1</v>
      </c>
      <c r="J379">
        <v>38912.41</v>
      </c>
      <c r="K379" s="1"/>
      <c r="L379" s="1"/>
      <c r="M379" s="1"/>
      <c r="N379" s="1"/>
    </row>
    <row r="380" ht="15.75" customHeight="1">
      <c r="A380" t="s">
        <v>51</v>
      </c>
      <c r="B380" t="s">
        <v>54</v>
      </c>
      <c r="C380" t="s">
        <v>4905</v>
      </c>
      <c r="D380" t="s">
        <v>424</v>
      </c>
      <c r="E380">
        <v>71902.66457289942</v>
      </c>
      <c r="F380">
        <v>13665.78</v>
      </c>
      <c r="G380">
        <v>8691.75</v>
      </c>
      <c r="H380">
        <v>4126.32</v>
      </c>
      <c r="I380">
        <v>94260.19</v>
      </c>
      <c r="J380">
        <v>90133.87</v>
      </c>
      <c r="K380" s="1"/>
      <c r="L380" s="1"/>
      <c r="M380" s="1"/>
      <c r="N380" s="1"/>
    </row>
    <row r="381" ht="15.75" customHeight="1">
      <c r="A381" t="s">
        <v>53</v>
      </c>
      <c r="B381" t="s">
        <v>14</v>
      </c>
      <c r="C381" t="s">
        <v>4917</v>
      </c>
      <c r="D381" t="s">
        <v>425</v>
      </c>
      <c r="E381">
        <v>19883.18</v>
      </c>
      <c r="F381">
        <v>5964.95</v>
      </c>
      <c r="G381">
        <v>1429.81</v>
      </c>
      <c r="H381">
        <v>1409.53</v>
      </c>
      <c r="I381">
        <v>27277.94</v>
      </c>
      <c r="J381">
        <v>25868.41</v>
      </c>
      <c r="K381" s="1"/>
      <c r="L381" s="1"/>
      <c r="M381" s="1"/>
      <c r="N381" s="1"/>
    </row>
    <row r="382" ht="15.75" customHeight="1">
      <c r="A382" t="s">
        <v>25</v>
      </c>
      <c r="B382" t="s">
        <v>33</v>
      </c>
      <c r="C382" t="s">
        <v>4912</v>
      </c>
      <c r="D382" t="s">
        <v>426</v>
      </c>
      <c r="E382">
        <v>31902.9</v>
      </c>
      <c r="F382">
        <v>9570.87</v>
      </c>
      <c r="G382">
        <v>4075.35</v>
      </c>
      <c r="H382">
        <v>9002.7</v>
      </c>
      <c r="I382">
        <v>45549.12</v>
      </c>
      <c r="J382">
        <v>36546.42</v>
      </c>
      <c r="K382" s="1"/>
      <c r="L382" s="1"/>
      <c r="M382" s="1"/>
      <c r="N382" s="1"/>
    </row>
    <row r="383" ht="15.75" customHeight="1">
      <c r="A383" t="s">
        <v>53</v>
      </c>
      <c r="B383" t="s">
        <v>30</v>
      </c>
      <c r="C383" t="s">
        <v>4905</v>
      </c>
      <c r="D383" t="s">
        <v>427</v>
      </c>
      <c r="E383">
        <v>72159.94658517206</v>
      </c>
      <c r="F383">
        <v>7178.5</v>
      </c>
      <c r="G383">
        <v>639.22</v>
      </c>
      <c r="H383">
        <v>1099.64</v>
      </c>
      <c r="I383">
        <v>79977.67</v>
      </c>
      <c r="J383">
        <v>78878.03</v>
      </c>
      <c r="K383" s="1"/>
      <c r="L383" s="1"/>
      <c r="M383" s="1"/>
      <c r="N383" s="1"/>
    </row>
    <row r="384" ht="15.75" customHeight="1">
      <c r="A384" t="s">
        <v>53</v>
      </c>
      <c r="B384" t="s">
        <v>33</v>
      </c>
      <c r="C384" t="s">
        <v>4915</v>
      </c>
      <c r="D384" t="s">
        <v>428</v>
      </c>
      <c r="E384">
        <v>29158.46</v>
      </c>
      <c r="F384">
        <v>8747.54</v>
      </c>
      <c r="G384">
        <v>3202.97</v>
      </c>
      <c r="H384">
        <v>4118.59</v>
      </c>
      <c r="I384">
        <v>41108.97</v>
      </c>
      <c r="J384">
        <v>36990.38</v>
      </c>
      <c r="K384" s="1"/>
      <c r="L384" s="1"/>
      <c r="M384" s="1"/>
      <c r="N384" s="1"/>
    </row>
    <row r="385" ht="15.75" customHeight="1">
      <c r="A385" t="s">
        <v>25</v>
      </c>
      <c r="B385" t="s">
        <v>18</v>
      </c>
      <c r="C385" t="s">
        <v>4916</v>
      </c>
      <c r="D385" t="s">
        <v>429</v>
      </c>
      <c r="E385">
        <v>86465.69</v>
      </c>
      <c r="F385">
        <v>25939.71</v>
      </c>
      <c r="G385">
        <v>13174.94</v>
      </c>
      <c r="H385">
        <v>17647.87</v>
      </c>
      <c r="I385">
        <v>125580.34</v>
      </c>
      <c r="J385">
        <v>107932.47</v>
      </c>
      <c r="K385" s="1"/>
      <c r="L385" s="1"/>
      <c r="M385" s="1"/>
      <c r="N385" s="1"/>
    </row>
    <row r="386" ht="15.75" customHeight="1">
      <c r="A386" t="s">
        <v>25</v>
      </c>
      <c r="B386" t="s">
        <v>26</v>
      </c>
      <c r="C386" t="s">
        <v>4909</v>
      </c>
      <c r="D386" t="s">
        <v>430</v>
      </c>
      <c r="E386">
        <v>92947.33</v>
      </c>
      <c r="F386">
        <v>27884.2</v>
      </c>
      <c r="G386">
        <v>8304.81</v>
      </c>
      <c r="H386">
        <v>19623.95</v>
      </c>
      <c r="I386">
        <v>129136.34</v>
      </c>
      <c r="J386">
        <v>109512.39</v>
      </c>
      <c r="K386" s="1"/>
      <c r="L386" s="1"/>
      <c r="M386" s="1"/>
      <c r="N386" s="1"/>
    </row>
    <row r="387" ht="15.75" customHeight="1">
      <c r="A387" t="s">
        <v>53</v>
      </c>
      <c r="B387" t="s">
        <v>14</v>
      </c>
      <c r="C387" t="s">
        <v>4916</v>
      </c>
      <c r="D387" t="s">
        <v>431</v>
      </c>
      <c r="E387">
        <v>18444.66</v>
      </c>
      <c r="F387">
        <v>5533.4</v>
      </c>
      <c r="G387">
        <v>2020.24</v>
      </c>
      <c r="H387">
        <v>2797.06</v>
      </c>
      <c r="I387">
        <v>25998.3</v>
      </c>
      <c r="J387">
        <v>23201.24</v>
      </c>
      <c r="K387" s="1"/>
      <c r="L387" s="1"/>
      <c r="M387" s="1"/>
      <c r="N387" s="1"/>
    </row>
    <row r="388" ht="15.75" customHeight="1">
      <c r="A388" t="s">
        <v>53</v>
      </c>
      <c r="B388" t="s">
        <v>30</v>
      </c>
      <c r="C388" t="s">
        <v>4917</v>
      </c>
      <c r="D388" t="s">
        <v>433</v>
      </c>
      <c r="E388">
        <v>23447.93</v>
      </c>
      <c r="F388">
        <v>7034.38</v>
      </c>
      <c r="G388">
        <v>4007.19</v>
      </c>
      <c r="H388">
        <v>3108.07</v>
      </c>
      <c r="I388">
        <v>34489.5</v>
      </c>
      <c r="J388">
        <v>31381.43</v>
      </c>
      <c r="K388" s="1"/>
      <c r="L388" s="1"/>
      <c r="M388" s="1"/>
      <c r="N388" s="1"/>
    </row>
    <row r="389" ht="15.75" customHeight="1">
      <c r="A389" t="s">
        <v>51</v>
      </c>
      <c r="B389" t="s">
        <v>18</v>
      </c>
      <c r="C389" t="s">
        <v>4907</v>
      </c>
      <c r="D389" t="s">
        <v>434</v>
      </c>
      <c r="E389">
        <v>80161.84</v>
      </c>
      <c r="F389">
        <v>24048.55</v>
      </c>
      <c r="G389">
        <v>1458.01</v>
      </c>
      <c r="H389">
        <v>12273.79</v>
      </c>
      <c r="I389">
        <v>105668.4</v>
      </c>
      <c r="J389">
        <v>93394.61</v>
      </c>
      <c r="K389" s="1"/>
      <c r="L389" s="1"/>
      <c r="M389" s="1"/>
      <c r="N389" s="1"/>
    </row>
    <row r="390" ht="15.75" customHeight="1">
      <c r="A390" t="s">
        <v>36</v>
      </c>
      <c r="B390" t="s">
        <v>30</v>
      </c>
      <c r="C390" t="s">
        <v>4914</v>
      </c>
      <c r="D390" t="s">
        <v>435</v>
      </c>
      <c r="E390">
        <v>26516.58</v>
      </c>
      <c r="F390">
        <v>7954.97</v>
      </c>
      <c r="G390">
        <v>2422.55</v>
      </c>
      <c r="H390">
        <v>459.29</v>
      </c>
      <c r="I390">
        <v>36894.1</v>
      </c>
      <c r="J390">
        <v>36434.81</v>
      </c>
      <c r="K390" s="1"/>
      <c r="L390" s="1"/>
      <c r="M390" s="1"/>
      <c r="N390" s="1"/>
    </row>
    <row r="391" ht="15.75" customHeight="1">
      <c r="A391" t="s">
        <v>13</v>
      </c>
      <c r="B391" t="s">
        <v>26</v>
      </c>
      <c r="C391" t="s">
        <v>4907</v>
      </c>
      <c r="D391" t="s">
        <v>436</v>
      </c>
      <c r="E391">
        <v>101094.1</v>
      </c>
      <c r="F391">
        <v>30328.23</v>
      </c>
      <c r="G391">
        <v>440.17</v>
      </c>
      <c r="H391">
        <v>7717.24</v>
      </c>
      <c r="I391">
        <v>131862.5</v>
      </c>
      <c r="J391">
        <v>124145.26</v>
      </c>
      <c r="K391" s="1"/>
      <c r="L391" s="1"/>
      <c r="M391" s="1"/>
      <c r="N391" s="1"/>
    </row>
    <row r="392" ht="15.75" customHeight="1">
      <c r="A392" t="s">
        <v>13</v>
      </c>
      <c r="B392" t="s">
        <v>30</v>
      </c>
      <c r="C392" t="s">
        <v>4909</v>
      </c>
      <c r="D392" t="s">
        <v>437</v>
      </c>
      <c r="E392">
        <v>27089.14</v>
      </c>
      <c r="F392">
        <v>8126.74</v>
      </c>
      <c r="G392">
        <v>245.37</v>
      </c>
      <c r="H392">
        <v>2799.9</v>
      </c>
      <c r="I392">
        <v>35461.25</v>
      </c>
      <c r="J392">
        <v>32661.35</v>
      </c>
      <c r="K392" s="1"/>
      <c r="L392" s="1"/>
      <c r="M392" s="1"/>
      <c r="N392" s="1"/>
    </row>
    <row r="393" ht="15.75" customHeight="1">
      <c r="A393" t="s">
        <v>53</v>
      </c>
      <c r="B393" t="s">
        <v>14</v>
      </c>
      <c r="C393" t="s">
        <v>4907</v>
      </c>
      <c r="D393" t="s">
        <v>439</v>
      </c>
      <c r="E393">
        <v>24729.0</v>
      </c>
      <c r="F393">
        <v>7418.7</v>
      </c>
      <c r="G393">
        <v>341.35</v>
      </c>
      <c r="H393">
        <v>6927.4</v>
      </c>
      <c r="I393">
        <v>32489.05</v>
      </c>
      <c r="J393">
        <v>25561.65</v>
      </c>
      <c r="K393" s="1"/>
      <c r="L393" s="1"/>
      <c r="M393" s="1"/>
      <c r="N393" s="1"/>
    </row>
    <row r="394" ht="15.75" customHeight="1">
      <c r="A394" t="s">
        <v>29</v>
      </c>
      <c r="B394" t="s">
        <v>54</v>
      </c>
      <c r="C394" t="s">
        <v>4905</v>
      </c>
      <c r="D394" t="s">
        <v>440</v>
      </c>
      <c r="E394">
        <v>37519.74</v>
      </c>
      <c r="F394">
        <v>11255.92</v>
      </c>
      <c r="G394">
        <v>1016.25</v>
      </c>
      <c r="H394">
        <v>7220.96</v>
      </c>
      <c r="I394">
        <v>49791.91</v>
      </c>
      <c r="J394">
        <v>42570.95</v>
      </c>
      <c r="K394" s="1"/>
      <c r="L394" s="1"/>
      <c r="M394" s="1"/>
      <c r="N394" s="1"/>
    </row>
    <row r="395" ht="15.75" customHeight="1">
      <c r="A395" t="s">
        <v>13</v>
      </c>
      <c r="B395" t="s">
        <v>54</v>
      </c>
      <c r="C395" t="s">
        <v>4913</v>
      </c>
      <c r="D395" t="s">
        <v>441</v>
      </c>
      <c r="E395">
        <v>40242.45</v>
      </c>
      <c r="F395">
        <v>12072.73</v>
      </c>
      <c r="G395">
        <v>7173.89</v>
      </c>
      <c r="H395">
        <v>5415.07</v>
      </c>
      <c r="I395">
        <v>59489.07</v>
      </c>
      <c r="J395">
        <v>54074.0</v>
      </c>
      <c r="K395" s="1"/>
      <c r="L395" s="1"/>
      <c r="M395" s="1"/>
      <c r="N395" s="1"/>
    </row>
    <row r="396" ht="15.75" customHeight="1">
      <c r="A396" t="s">
        <v>25</v>
      </c>
      <c r="B396" t="s">
        <v>33</v>
      </c>
      <c r="C396" t="s">
        <v>4911</v>
      </c>
      <c r="D396" t="s">
        <v>442</v>
      </c>
      <c r="E396">
        <v>26186.33</v>
      </c>
      <c r="F396">
        <v>7855.9</v>
      </c>
      <c r="G396">
        <v>5199.8</v>
      </c>
      <c r="H396">
        <v>3087.83</v>
      </c>
      <c r="I396">
        <v>39242.03</v>
      </c>
      <c r="J396">
        <v>36154.2</v>
      </c>
      <c r="K396" s="1"/>
      <c r="L396" s="1"/>
      <c r="M396" s="1"/>
      <c r="N396" s="1"/>
    </row>
    <row r="397" ht="15.75" customHeight="1">
      <c r="A397" t="s">
        <v>13</v>
      </c>
      <c r="B397" t="s">
        <v>30</v>
      </c>
      <c r="C397" t="s">
        <v>4914</v>
      </c>
      <c r="D397" t="s">
        <v>443</v>
      </c>
      <c r="E397">
        <v>29346.43</v>
      </c>
      <c r="F397">
        <v>8803.93</v>
      </c>
      <c r="G397">
        <v>4438.23</v>
      </c>
      <c r="H397">
        <v>8614.56</v>
      </c>
      <c r="I397">
        <v>42588.59</v>
      </c>
      <c r="J397">
        <v>33974.03</v>
      </c>
      <c r="K397" s="1"/>
      <c r="L397" s="1"/>
      <c r="M397" s="1"/>
      <c r="N397" s="1"/>
    </row>
    <row r="398" ht="15.75" customHeight="1">
      <c r="A398" t="s">
        <v>13</v>
      </c>
      <c r="B398" t="s">
        <v>18</v>
      </c>
      <c r="C398" t="s">
        <v>4908</v>
      </c>
      <c r="D398" t="s">
        <v>444</v>
      </c>
      <c r="E398">
        <v>79155.58</v>
      </c>
      <c r="F398">
        <v>23746.67</v>
      </c>
      <c r="G398">
        <v>8421.1</v>
      </c>
      <c r="H398">
        <v>19552.07</v>
      </c>
      <c r="I398">
        <v>111323.35</v>
      </c>
      <c r="J398">
        <v>91771.28</v>
      </c>
      <c r="K398" s="1"/>
      <c r="L398" s="1"/>
      <c r="M398" s="1"/>
      <c r="N398" s="1"/>
    </row>
    <row r="399" ht="15.75" customHeight="1">
      <c r="A399" t="s">
        <v>36</v>
      </c>
      <c r="B399" t="s">
        <v>33</v>
      </c>
      <c r="C399" t="s">
        <v>4909</v>
      </c>
      <c r="D399" t="s">
        <v>445</v>
      </c>
      <c r="E399">
        <v>26551.21</v>
      </c>
      <c r="F399">
        <v>7965.36</v>
      </c>
      <c r="G399">
        <v>1000.88</v>
      </c>
      <c r="H399">
        <v>6971.35</v>
      </c>
      <c r="I399">
        <v>35517.45</v>
      </c>
      <c r="J399">
        <v>28546.1</v>
      </c>
      <c r="K399" s="1"/>
      <c r="L399" s="1"/>
      <c r="M399" s="1"/>
      <c r="N399" s="1"/>
    </row>
    <row r="400" ht="15.75" customHeight="1">
      <c r="A400" t="s">
        <v>17</v>
      </c>
      <c r="B400" t="s">
        <v>26</v>
      </c>
      <c r="C400" t="s">
        <v>4907</v>
      </c>
      <c r="D400" t="s">
        <v>446</v>
      </c>
      <c r="E400">
        <v>72475.40820418281</v>
      </c>
      <c r="F400">
        <v>34130.14</v>
      </c>
      <c r="G400">
        <v>13991.61</v>
      </c>
      <c r="H400">
        <v>31953.93</v>
      </c>
      <c r="I400">
        <v>120597.16</v>
      </c>
      <c r="J400">
        <v>88643.23</v>
      </c>
      <c r="K400" s="1"/>
      <c r="L400" s="1"/>
      <c r="M400" s="1"/>
      <c r="N400" s="1"/>
    </row>
    <row r="401" ht="15.75" customHeight="1">
      <c r="A401" t="s">
        <v>51</v>
      </c>
      <c r="B401" t="s">
        <v>30</v>
      </c>
      <c r="C401" t="s">
        <v>4917</v>
      </c>
      <c r="D401" t="s">
        <v>447</v>
      </c>
      <c r="E401">
        <v>22592.16</v>
      </c>
      <c r="F401">
        <v>6777.65</v>
      </c>
      <c r="G401">
        <v>2683.7</v>
      </c>
      <c r="H401">
        <v>3025.82</v>
      </c>
      <c r="I401">
        <v>32053.51</v>
      </c>
      <c r="J401">
        <v>29027.69</v>
      </c>
      <c r="K401" s="1"/>
      <c r="L401" s="1"/>
      <c r="M401" s="1"/>
      <c r="N401" s="1"/>
    </row>
    <row r="402" ht="15.75" customHeight="1">
      <c r="A402" t="s">
        <v>13</v>
      </c>
      <c r="B402" t="s">
        <v>26</v>
      </c>
      <c r="C402" t="s">
        <v>4908</v>
      </c>
      <c r="D402" t="s">
        <v>448</v>
      </c>
      <c r="E402">
        <v>91752.35</v>
      </c>
      <c r="F402">
        <v>27525.71</v>
      </c>
      <c r="G402">
        <v>13589.28</v>
      </c>
      <c r="H402">
        <v>11072.64</v>
      </c>
      <c r="I402">
        <v>132867.34</v>
      </c>
      <c r="J402">
        <v>121794.7</v>
      </c>
      <c r="K402" s="1"/>
      <c r="L402" s="1"/>
      <c r="M402" s="1"/>
      <c r="N402" s="1"/>
    </row>
    <row r="403" ht="15.75" customHeight="1">
      <c r="A403" t="s">
        <v>53</v>
      </c>
      <c r="B403" t="s">
        <v>30</v>
      </c>
      <c r="C403" t="s">
        <v>4910</v>
      </c>
      <c r="D403" t="s">
        <v>449</v>
      </c>
      <c r="E403">
        <v>28638.59</v>
      </c>
      <c r="F403">
        <v>8591.58</v>
      </c>
      <c r="G403">
        <v>4445.07</v>
      </c>
      <c r="H403">
        <v>1203.99</v>
      </c>
      <c r="I403">
        <v>41675.24</v>
      </c>
      <c r="J403">
        <v>40471.25</v>
      </c>
      <c r="K403" s="1"/>
      <c r="L403" s="1"/>
      <c r="M403" s="1"/>
      <c r="N403" s="1"/>
    </row>
    <row r="404" ht="15.75" customHeight="1">
      <c r="A404" t="s">
        <v>51</v>
      </c>
      <c r="B404" t="s">
        <v>26</v>
      </c>
      <c r="C404" t="s">
        <v>4917</v>
      </c>
      <c r="D404" t="s">
        <v>450</v>
      </c>
      <c r="E404">
        <v>122990.29</v>
      </c>
      <c r="F404">
        <v>36897.09</v>
      </c>
      <c r="G404">
        <v>14171.2</v>
      </c>
      <c r="H404">
        <v>21307.14</v>
      </c>
      <c r="I404">
        <v>174058.58</v>
      </c>
      <c r="J404">
        <v>152751.44</v>
      </c>
      <c r="K404" s="1"/>
      <c r="L404" s="1"/>
      <c r="M404" s="1"/>
      <c r="N404" s="1"/>
    </row>
    <row r="405" ht="15.75" customHeight="1">
      <c r="A405" t="s">
        <v>25</v>
      </c>
      <c r="B405" t="s">
        <v>33</v>
      </c>
      <c r="C405" t="s">
        <v>4915</v>
      </c>
      <c r="D405" t="s">
        <v>451</v>
      </c>
      <c r="E405">
        <v>27369.04</v>
      </c>
      <c r="F405">
        <v>8210.71</v>
      </c>
      <c r="G405">
        <v>4796.47</v>
      </c>
      <c r="H405">
        <v>8093.26</v>
      </c>
      <c r="I405">
        <v>40376.22</v>
      </c>
      <c r="J405">
        <v>32282.96</v>
      </c>
      <c r="K405" s="1"/>
      <c r="L405" s="1"/>
      <c r="M405" s="1"/>
      <c r="N405" s="1"/>
    </row>
    <row r="406" ht="15.75" customHeight="1">
      <c r="A406" t="s">
        <v>51</v>
      </c>
      <c r="B406" t="s">
        <v>54</v>
      </c>
      <c r="C406" t="s">
        <v>4905</v>
      </c>
      <c r="D406" t="s">
        <v>452</v>
      </c>
      <c r="E406">
        <v>39207.01</v>
      </c>
      <c r="F406">
        <v>11762.1</v>
      </c>
      <c r="G406">
        <v>477.99</v>
      </c>
      <c r="H406">
        <v>11156.59</v>
      </c>
      <c r="I406">
        <v>51447.1</v>
      </c>
      <c r="J406">
        <v>40290.51</v>
      </c>
      <c r="K406" s="1"/>
      <c r="L406" s="1"/>
      <c r="M406" s="1"/>
      <c r="N406" s="1"/>
    </row>
    <row r="407" ht="15.75" customHeight="1">
      <c r="A407" t="s">
        <v>51</v>
      </c>
      <c r="B407" t="s">
        <v>18</v>
      </c>
      <c r="C407" t="s">
        <v>4912</v>
      </c>
      <c r="D407" t="s">
        <v>453</v>
      </c>
      <c r="E407">
        <v>82647.5</v>
      </c>
      <c r="F407">
        <v>24794.25</v>
      </c>
      <c r="G407">
        <v>9187.93</v>
      </c>
      <c r="H407">
        <v>1162.46</v>
      </c>
      <c r="I407">
        <v>116629.68</v>
      </c>
      <c r="J407">
        <v>115467.22</v>
      </c>
      <c r="K407" s="1"/>
      <c r="L407" s="1"/>
      <c r="M407" s="1"/>
      <c r="N407" s="1"/>
    </row>
    <row r="408" ht="15.75" customHeight="1">
      <c r="A408" t="s">
        <v>51</v>
      </c>
      <c r="B408" t="s">
        <v>33</v>
      </c>
      <c r="C408" t="s">
        <v>4908</v>
      </c>
      <c r="D408" t="s">
        <v>454</v>
      </c>
      <c r="E408">
        <v>28764.6</v>
      </c>
      <c r="F408">
        <v>8629.38</v>
      </c>
      <c r="G408">
        <v>4340.1</v>
      </c>
      <c r="H408">
        <v>4086.17</v>
      </c>
      <c r="I408">
        <v>41734.08</v>
      </c>
      <c r="J408">
        <v>37647.91</v>
      </c>
      <c r="K408" s="1"/>
      <c r="L408" s="1"/>
      <c r="M408" s="1"/>
      <c r="N408" s="1"/>
    </row>
    <row r="409" ht="15.75" customHeight="1">
      <c r="A409" t="s">
        <v>36</v>
      </c>
      <c r="B409" t="s">
        <v>54</v>
      </c>
      <c r="C409" t="s">
        <v>4908</v>
      </c>
      <c r="D409" t="s">
        <v>455</v>
      </c>
      <c r="E409">
        <v>42802.01</v>
      </c>
      <c r="F409">
        <v>12840.6</v>
      </c>
      <c r="G409">
        <v>1147.89</v>
      </c>
      <c r="H409">
        <v>3118.45</v>
      </c>
      <c r="I409">
        <v>56790.5</v>
      </c>
      <c r="J409">
        <v>53672.05</v>
      </c>
      <c r="K409" s="1"/>
      <c r="L409" s="1"/>
      <c r="M409" s="1"/>
      <c r="N409" s="1"/>
    </row>
    <row r="410" ht="15.75" customHeight="1">
      <c r="A410" t="s">
        <v>29</v>
      </c>
      <c r="B410" t="s">
        <v>18</v>
      </c>
      <c r="C410" t="s">
        <v>4915</v>
      </c>
      <c r="D410" t="s">
        <v>456</v>
      </c>
      <c r="E410">
        <v>67055.83</v>
      </c>
      <c r="F410">
        <v>20116.75</v>
      </c>
      <c r="G410">
        <v>6032.17</v>
      </c>
      <c r="H410">
        <v>7464.87</v>
      </c>
      <c r="I410">
        <v>93204.75</v>
      </c>
      <c r="J410">
        <v>85739.88</v>
      </c>
      <c r="K410" s="1"/>
      <c r="L410" s="1"/>
      <c r="M410" s="1"/>
      <c r="N410" s="1"/>
    </row>
    <row r="411" ht="15.75" customHeight="1">
      <c r="A411" t="s">
        <v>13</v>
      </c>
      <c r="B411" t="s">
        <v>26</v>
      </c>
      <c r="C411" t="s">
        <v>4916</v>
      </c>
      <c r="D411" t="s">
        <v>457</v>
      </c>
      <c r="E411">
        <v>96857.34</v>
      </c>
      <c r="F411">
        <v>29057.2</v>
      </c>
      <c r="G411">
        <v>5200.5</v>
      </c>
      <c r="H411">
        <v>19575.02</v>
      </c>
      <c r="I411">
        <v>131115.04</v>
      </c>
      <c r="J411">
        <v>111540.02</v>
      </c>
      <c r="K411" s="1"/>
      <c r="L411" s="1"/>
      <c r="M411" s="1"/>
      <c r="N411" s="1"/>
    </row>
    <row r="412" ht="15.75" customHeight="1">
      <c r="A412" t="s">
        <v>17</v>
      </c>
      <c r="B412" t="s">
        <v>26</v>
      </c>
      <c r="C412" t="s">
        <v>4917</v>
      </c>
      <c r="D412" t="s">
        <v>458</v>
      </c>
      <c r="E412">
        <v>92620.24</v>
      </c>
      <c r="F412">
        <v>27786.07</v>
      </c>
      <c r="G412">
        <v>14905.39</v>
      </c>
      <c r="H412">
        <v>16326.64</v>
      </c>
      <c r="I412">
        <v>135311.7</v>
      </c>
      <c r="J412">
        <v>118985.06</v>
      </c>
      <c r="K412" s="1"/>
      <c r="L412" s="1"/>
      <c r="M412" s="1"/>
      <c r="N412" s="1"/>
    </row>
    <row r="413" ht="15.75" customHeight="1">
      <c r="A413" t="s">
        <v>53</v>
      </c>
      <c r="B413" t="s">
        <v>30</v>
      </c>
      <c r="C413" t="s">
        <v>4907</v>
      </c>
      <c r="D413" t="s">
        <v>459</v>
      </c>
      <c r="E413">
        <v>26218.67</v>
      </c>
      <c r="F413">
        <v>7865.6</v>
      </c>
      <c r="G413">
        <v>4559.29</v>
      </c>
      <c r="H413">
        <v>2618.96</v>
      </c>
      <c r="I413">
        <v>38643.56</v>
      </c>
      <c r="J413">
        <v>36024.6</v>
      </c>
      <c r="K413" s="1"/>
      <c r="L413" s="1"/>
      <c r="M413" s="1"/>
      <c r="N413" s="1"/>
    </row>
    <row r="414" ht="15.75" customHeight="1">
      <c r="A414" t="s">
        <v>51</v>
      </c>
      <c r="B414" t="s">
        <v>30</v>
      </c>
      <c r="C414" t="s">
        <v>4914</v>
      </c>
      <c r="D414" t="s">
        <v>460</v>
      </c>
      <c r="E414">
        <v>30466.28</v>
      </c>
      <c r="F414">
        <v>9139.88</v>
      </c>
      <c r="G414">
        <v>714.84</v>
      </c>
      <c r="H414">
        <v>9135.97</v>
      </c>
      <c r="I414">
        <v>40321.0</v>
      </c>
      <c r="J414">
        <v>31185.03</v>
      </c>
      <c r="K414" s="1"/>
      <c r="L414" s="1"/>
      <c r="M414" s="1"/>
      <c r="N414" s="1"/>
    </row>
    <row r="415" ht="15.75" customHeight="1">
      <c r="A415" t="s">
        <v>51</v>
      </c>
      <c r="B415" t="s">
        <v>18</v>
      </c>
      <c r="C415" t="s">
        <v>4915</v>
      </c>
      <c r="D415" t="s">
        <v>461</v>
      </c>
      <c r="E415">
        <v>80714.44</v>
      </c>
      <c r="F415">
        <v>24214.33</v>
      </c>
      <c r="G415">
        <v>3301.43</v>
      </c>
      <c r="H415">
        <v>22159.18</v>
      </c>
      <c r="I415">
        <v>108230.2</v>
      </c>
      <c r="J415">
        <v>86071.02</v>
      </c>
      <c r="K415" s="1"/>
      <c r="L415" s="1"/>
      <c r="M415" s="1"/>
      <c r="N415" s="1"/>
    </row>
    <row r="416" ht="15.75" customHeight="1">
      <c r="A416" t="s">
        <v>29</v>
      </c>
      <c r="B416" t="s">
        <v>26</v>
      </c>
      <c r="C416" t="s">
        <v>4910</v>
      </c>
      <c r="D416" t="s">
        <v>462</v>
      </c>
      <c r="E416">
        <v>100190.13</v>
      </c>
      <c r="F416">
        <v>30057.04</v>
      </c>
      <c r="G416">
        <v>9342.74</v>
      </c>
      <c r="H416">
        <v>19498.64</v>
      </c>
      <c r="I416">
        <v>139589.91</v>
      </c>
      <c r="J416">
        <v>120091.27</v>
      </c>
      <c r="K416" s="1"/>
      <c r="L416" s="1"/>
      <c r="M416" s="1"/>
      <c r="N416" s="1"/>
    </row>
    <row r="417" ht="15.75" customHeight="1">
      <c r="A417" t="s">
        <v>36</v>
      </c>
      <c r="B417" t="s">
        <v>26</v>
      </c>
      <c r="C417" t="s">
        <v>4913</v>
      </c>
      <c r="D417" t="s">
        <v>463</v>
      </c>
      <c r="E417">
        <v>120230.32</v>
      </c>
      <c r="F417">
        <v>36069.1</v>
      </c>
      <c r="G417">
        <v>21986.05</v>
      </c>
      <c r="H417">
        <v>13370.99</v>
      </c>
      <c r="I417">
        <v>178285.47</v>
      </c>
      <c r="J417">
        <v>164914.48</v>
      </c>
      <c r="K417" s="1"/>
      <c r="L417" s="1"/>
      <c r="M417" s="1"/>
      <c r="N417" s="1"/>
    </row>
    <row r="418" ht="15.75" customHeight="1">
      <c r="A418" t="s">
        <v>17</v>
      </c>
      <c r="B418" t="s">
        <v>37</v>
      </c>
      <c r="C418" t="s">
        <v>4915</v>
      </c>
      <c r="D418" t="s">
        <v>464</v>
      </c>
      <c r="E418">
        <v>60553.53</v>
      </c>
      <c r="F418">
        <v>18166.06</v>
      </c>
      <c r="G418">
        <v>8977.09</v>
      </c>
      <c r="H418">
        <v>294.65</v>
      </c>
      <c r="I418">
        <v>87696.68</v>
      </c>
      <c r="J418">
        <v>87402.03</v>
      </c>
      <c r="K418" s="1"/>
      <c r="L418" s="1"/>
      <c r="M418" s="1"/>
      <c r="N418" s="1"/>
    </row>
    <row r="419" ht="15.75" customHeight="1">
      <c r="A419" t="s">
        <v>53</v>
      </c>
      <c r="B419" t="s">
        <v>37</v>
      </c>
      <c r="C419" t="s">
        <v>4908</v>
      </c>
      <c r="D419" t="s">
        <v>465</v>
      </c>
      <c r="E419">
        <v>57960.21</v>
      </c>
      <c r="F419">
        <v>17388.06</v>
      </c>
      <c r="G419">
        <v>3421.88</v>
      </c>
      <c r="H419">
        <v>3411.4</v>
      </c>
      <c r="I419">
        <v>78770.15</v>
      </c>
      <c r="J419">
        <v>75358.75</v>
      </c>
      <c r="K419" s="1"/>
      <c r="L419" s="1"/>
      <c r="M419" s="1"/>
      <c r="N419" s="1"/>
    </row>
    <row r="420" ht="15.75" customHeight="1">
      <c r="A420" t="s">
        <v>36</v>
      </c>
      <c r="B420" t="s">
        <v>37</v>
      </c>
      <c r="C420" t="s">
        <v>4917</v>
      </c>
      <c r="D420" t="s">
        <v>466</v>
      </c>
      <c r="E420">
        <v>60000.53</v>
      </c>
      <c r="F420">
        <v>18000.16</v>
      </c>
      <c r="G420">
        <v>5991.67</v>
      </c>
      <c r="H420">
        <v>11783.05</v>
      </c>
      <c r="I420">
        <v>83992.36</v>
      </c>
      <c r="J420">
        <v>72209.31</v>
      </c>
      <c r="K420" s="1"/>
      <c r="L420" s="1"/>
      <c r="M420" s="1"/>
      <c r="N420" s="1"/>
    </row>
    <row r="421" ht="15.75" customHeight="1">
      <c r="A421" t="s">
        <v>29</v>
      </c>
      <c r="B421" t="s">
        <v>33</v>
      </c>
      <c r="C421" t="s">
        <v>4905</v>
      </c>
      <c r="D421" t="s">
        <v>467</v>
      </c>
      <c r="E421">
        <v>32633.61</v>
      </c>
      <c r="F421">
        <v>9790.08</v>
      </c>
      <c r="G421">
        <v>3189.09</v>
      </c>
      <c r="H421">
        <v>7083.69</v>
      </c>
      <c r="I421">
        <v>45612.78</v>
      </c>
      <c r="J421">
        <v>38529.09</v>
      </c>
      <c r="K421" s="1"/>
      <c r="L421" s="1"/>
      <c r="M421" s="1"/>
      <c r="N421" s="1"/>
    </row>
    <row r="422" ht="15.75" customHeight="1">
      <c r="A422" t="s">
        <v>36</v>
      </c>
      <c r="B422" t="s">
        <v>54</v>
      </c>
      <c r="C422" t="s">
        <v>4905</v>
      </c>
      <c r="D422" t="s">
        <v>468</v>
      </c>
      <c r="E422">
        <v>37355.27</v>
      </c>
      <c r="F422">
        <v>11206.58</v>
      </c>
      <c r="G422">
        <v>5939.3</v>
      </c>
      <c r="H422">
        <v>1896.89</v>
      </c>
      <c r="I422">
        <v>54501.15</v>
      </c>
      <c r="J422">
        <v>52604.26</v>
      </c>
      <c r="K422" s="1"/>
      <c r="L422" s="1"/>
      <c r="M422" s="1"/>
      <c r="N422" s="1"/>
    </row>
    <row r="423" ht="15.75" customHeight="1">
      <c r="A423" t="s">
        <v>53</v>
      </c>
      <c r="B423" t="s">
        <v>54</v>
      </c>
      <c r="C423" t="s">
        <v>4907</v>
      </c>
      <c r="D423" t="s">
        <v>469</v>
      </c>
      <c r="E423">
        <v>37576.67</v>
      </c>
      <c r="F423">
        <v>11273.0</v>
      </c>
      <c r="G423">
        <v>6683.87</v>
      </c>
      <c r="H423">
        <v>11163.92</v>
      </c>
      <c r="I423">
        <v>55533.54</v>
      </c>
      <c r="J423">
        <v>44369.62</v>
      </c>
      <c r="K423" s="1"/>
      <c r="L423" s="1"/>
      <c r="M423" s="1"/>
      <c r="N423" s="1"/>
    </row>
    <row r="424" ht="15.75" customHeight="1">
      <c r="A424" t="s">
        <v>13</v>
      </c>
      <c r="B424" t="s">
        <v>37</v>
      </c>
      <c r="C424" t="s">
        <v>4915</v>
      </c>
      <c r="D424" t="s">
        <v>470</v>
      </c>
      <c r="E424">
        <v>61429.53</v>
      </c>
      <c r="F424">
        <v>18428.86</v>
      </c>
      <c r="G424">
        <v>8099.91</v>
      </c>
      <c r="H424">
        <v>14327.38295125808</v>
      </c>
      <c r="I424">
        <v>87958.3</v>
      </c>
      <c r="J424">
        <v>73630.92</v>
      </c>
      <c r="K424" s="1"/>
      <c r="L424" s="1"/>
      <c r="M424" s="1"/>
      <c r="N424" s="1"/>
    </row>
    <row r="425" ht="15.75" customHeight="1">
      <c r="A425" t="s">
        <v>53</v>
      </c>
      <c r="B425" t="s">
        <v>54</v>
      </c>
      <c r="C425" t="s">
        <v>4910</v>
      </c>
      <c r="D425" t="s">
        <v>471</v>
      </c>
      <c r="E425">
        <v>35165.91</v>
      </c>
      <c r="F425">
        <v>10549.77</v>
      </c>
      <c r="G425">
        <v>3723.49</v>
      </c>
      <c r="H425">
        <v>2898.45</v>
      </c>
      <c r="I425">
        <v>49439.17</v>
      </c>
      <c r="J425">
        <v>46540.72</v>
      </c>
      <c r="K425" s="1"/>
      <c r="L425" s="1"/>
      <c r="M425" s="1"/>
      <c r="N425" s="1"/>
    </row>
    <row r="426" ht="15.75" customHeight="1">
      <c r="A426" t="s">
        <v>17</v>
      </c>
      <c r="B426" t="s">
        <v>37</v>
      </c>
      <c r="C426" t="s">
        <v>4911</v>
      </c>
      <c r="D426" t="s">
        <v>472</v>
      </c>
      <c r="E426">
        <v>59636.83</v>
      </c>
      <c r="F426">
        <v>17891.05</v>
      </c>
      <c r="G426">
        <v>8039.44</v>
      </c>
      <c r="H426">
        <v>14423.19</v>
      </c>
      <c r="I426">
        <v>85567.32</v>
      </c>
      <c r="J426">
        <v>71144.13</v>
      </c>
      <c r="K426" s="1"/>
      <c r="L426" s="1"/>
      <c r="M426" s="1"/>
      <c r="N426" s="1"/>
    </row>
    <row r="427" ht="15.75" customHeight="1">
      <c r="A427" t="s">
        <v>17</v>
      </c>
      <c r="B427" t="s">
        <v>14</v>
      </c>
      <c r="C427" t="s">
        <v>4910</v>
      </c>
      <c r="D427" t="s">
        <v>473</v>
      </c>
      <c r="E427">
        <v>21775.57</v>
      </c>
      <c r="F427">
        <v>6532.67</v>
      </c>
      <c r="G427">
        <v>1049.45</v>
      </c>
      <c r="H427">
        <v>4048.82</v>
      </c>
      <c r="I427">
        <v>29357.69</v>
      </c>
      <c r="J427">
        <v>25308.87</v>
      </c>
      <c r="K427" s="1"/>
      <c r="L427" s="1"/>
      <c r="M427" s="1"/>
      <c r="N427" s="1"/>
    </row>
    <row r="428" ht="15.75" customHeight="1">
      <c r="A428" t="s">
        <v>36</v>
      </c>
      <c r="B428" t="s">
        <v>37</v>
      </c>
      <c r="C428" t="s">
        <v>4909</v>
      </c>
      <c r="D428" t="s">
        <v>474</v>
      </c>
      <c r="E428">
        <v>49377.74</v>
      </c>
      <c r="F428">
        <v>14813.32</v>
      </c>
      <c r="G428">
        <v>6885.59</v>
      </c>
      <c r="H428">
        <v>4443.62</v>
      </c>
      <c r="I428">
        <v>71076.65</v>
      </c>
      <c r="J428">
        <v>66633.03</v>
      </c>
      <c r="K428" s="1"/>
      <c r="L428" s="1"/>
      <c r="M428" s="1"/>
      <c r="N428" s="1"/>
    </row>
    <row r="429" ht="15.75" customHeight="1">
      <c r="A429" t="s">
        <v>13</v>
      </c>
      <c r="B429" t="s">
        <v>26</v>
      </c>
      <c r="C429" t="s">
        <v>4913</v>
      </c>
      <c r="D429" t="s">
        <v>475</v>
      </c>
      <c r="E429">
        <v>113396.2</v>
      </c>
      <c r="F429">
        <v>34018.86</v>
      </c>
      <c r="G429">
        <v>718.58</v>
      </c>
      <c r="H429">
        <v>13787.11</v>
      </c>
      <c r="I429">
        <v>148133.64</v>
      </c>
      <c r="J429">
        <v>134346.53</v>
      </c>
      <c r="K429" s="1"/>
      <c r="L429" s="1"/>
      <c r="M429" s="1"/>
      <c r="N429" s="1"/>
    </row>
    <row r="430" ht="15.75" customHeight="1">
      <c r="A430" t="s">
        <v>53</v>
      </c>
      <c r="B430" t="s">
        <v>54</v>
      </c>
      <c r="C430" t="s">
        <v>4914</v>
      </c>
      <c r="D430" t="s">
        <v>476</v>
      </c>
      <c r="E430">
        <v>35785.61</v>
      </c>
      <c r="F430">
        <v>10735.68</v>
      </c>
      <c r="G430">
        <v>67.64</v>
      </c>
      <c r="H430">
        <v>1839.92</v>
      </c>
      <c r="I430">
        <v>46588.93</v>
      </c>
      <c r="J430">
        <v>44749.01</v>
      </c>
      <c r="K430" s="1"/>
      <c r="L430" s="1"/>
      <c r="M430" s="1"/>
      <c r="N430" s="1"/>
    </row>
    <row r="431" ht="15.75" customHeight="1">
      <c r="A431" t="s">
        <v>25</v>
      </c>
      <c r="B431" t="s">
        <v>54</v>
      </c>
      <c r="C431" t="s">
        <v>4909</v>
      </c>
      <c r="D431" t="s">
        <v>477</v>
      </c>
      <c r="E431">
        <v>44028.7</v>
      </c>
      <c r="F431">
        <v>13208.61</v>
      </c>
      <c r="G431">
        <v>2917.08</v>
      </c>
      <c r="H431">
        <v>12909.16</v>
      </c>
      <c r="I431">
        <v>60154.39</v>
      </c>
      <c r="J431">
        <v>47245.23</v>
      </c>
      <c r="K431" s="1"/>
      <c r="L431" s="1"/>
      <c r="M431" s="1"/>
      <c r="N431" s="1"/>
    </row>
    <row r="432" ht="15.75" customHeight="1">
      <c r="A432" t="s">
        <v>53</v>
      </c>
      <c r="B432" t="s">
        <v>14</v>
      </c>
      <c r="C432" t="s">
        <v>4916</v>
      </c>
      <c r="D432" t="s">
        <v>478</v>
      </c>
      <c r="E432">
        <v>19654.32</v>
      </c>
      <c r="F432">
        <v>5896.3</v>
      </c>
      <c r="G432">
        <v>3542.78</v>
      </c>
      <c r="H432">
        <v>4081.93</v>
      </c>
      <c r="I432">
        <v>29093.4</v>
      </c>
      <c r="J432">
        <v>25011.47</v>
      </c>
      <c r="K432" s="1"/>
      <c r="L432" s="1"/>
      <c r="M432" s="1"/>
      <c r="N432" s="1"/>
    </row>
    <row r="433" ht="15.75" customHeight="1">
      <c r="A433" t="s">
        <v>36</v>
      </c>
      <c r="B433" t="s">
        <v>33</v>
      </c>
      <c r="C433" t="s">
        <v>4915</v>
      </c>
      <c r="D433" t="s">
        <v>479</v>
      </c>
      <c r="E433">
        <v>25465.62</v>
      </c>
      <c r="F433">
        <v>7639.69</v>
      </c>
      <c r="G433">
        <v>378.66</v>
      </c>
      <c r="H433">
        <v>7071.18</v>
      </c>
      <c r="I433">
        <v>33483.97</v>
      </c>
      <c r="J433">
        <v>26412.79</v>
      </c>
      <c r="K433" s="1"/>
      <c r="L433" s="1"/>
      <c r="M433" s="1"/>
      <c r="N433" s="1"/>
    </row>
    <row r="434" ht="15.75" customHeight="1">
      <c r="A434" t="s">
        <v>53</v>
      </c>
      <c r="B434" t="s">
        <v>18</v>
      </c>
      <c r="C434" t="s">
        <v>4908</v>
      </c>
      <c r="D434" t="s">
        <v>480</v>
      </c>
      <c r="E434">
        <v>65855.45</v>
      </c>
      <c r="F434">
        <v>19756.63</v>
      </c>
      <c r="G434">
        <v>12232.87</v>
      </c>
      <c r="H434">
        <v>6213.16</v>
      </c>
      <c r="I434">
        <v>97844.95</v>
      </c>
      <c r="J434">
        <v>91631.79</v>
      </c>
      <c r="K434" s="1"/>
      <c r="L434" s="1"/>
      <c r="M434" s="1"/>
      <c r="N434" s="1"/>
    </row>
    <row r="435" ht="15.75" customHeight="1">
      <c r="A435" t="s">
        <v>53</v>
      </c>
      <c r="B435" t="s">
        <v>30</v>
      </c>
      <c r="C435" t="s">
        <v>4909</v>
      </c>
      <c r="D435" t="s">
        <v>481</v>
      </c>
      <c r="E435">
        <v>28619.84</v>
      </c>
      <c r="F435">
        <v>8585.95</v>
      </c>
      <c r="G435">
        <v>4079.54</v>
      </c>
      <c r="H435">
        <v>3419.75</v>
      </c>
      <c r="I435">
        <v>41285.33</v>
      </c>
      <c r="J435">
        <v>37865.58</v>
      </c>
      <c r="K435" s="1"/>
      <c r="L435" s="1"/>
      <c r="M435" s="1"/>
      <c r="N435" s="1"/>
    </row>
    <row r="436" ht="15.75" customHeight="1">
      <c r="A436" t="s">
        <v>29</v>
      </c>
      <c r="B436" t="s">
        <v>30</v>
      </c>
      <c r="C436" t="s">
        <v>4917</v>
      </c>
      <c r="D436" t="s">
        <v>483</v>
      </c>
      <c r="E436">
        <v>26962.83</v>
      </c>
      <c r="F436">
        <v>8088.85</v>
      </c>
      <c r="G436">
        <v>3055.95</v>
      </c>
      <c r="H436">
        <v>6871.01</v>
      </c>
      <c r="I436">
        <v>38107.63</v>
      </c>
      <c r="J436">
        <v>31236.62</v>
      </c>
      <c r="K436" s="1"/>
      <c r="L436" s="1"/>
      <c r="M436" s="1"/>
      <c r="N436" s="1"/>
    </row>
    <row r="437" ht="15.75" customHeight="1">
      <c r="A437" t="s">
        <v>53</v>
      </c>
      <c r="B437" t="s">
        <v>33</v>
      </c>
      <c r="C437" t="s">
        <v>4905</v>
      </c>
      <c r="D437" t="s">
        <v>484</v>
      </c>
      <c r="E437">
        <v>28838.46</v>
      </c>
      <c r="F437">
        <v>8651.54</v>
      </c>
      <c r="G437">
        <v>4266.62</v>
      </c>
      <c r="H437">
        <v>6839.02</v>
      </c>
      <c r="I437">
        <v>41756.62</v>
      </c>
      <c r="J437">
        <v>34917.6</v>
      </c>
      <c r="K437" s="1"/>
      <c r="L437" s="1"/>
      <c r="M437" s="1"/>
      <c r="N437" s="1"/>
    </row>
    <row r="438" ht="15.75" customHeight="1">
      <c r="A438" t="s">
        <v>13</v>
      </c>
      <c r="B438" t="s">
        <v>14</v>
      </c>
      <c r="C438" t="s">
        <v>4913</v>
      </c>
      <c r="D438" t="s">
        <v>485</v>
      </c>
      <c r="E438">
        <v>21605.71</v>
      </c>
      <c r="F438">
        <v>6481.71</v>
      </c>
      <c r="G438">
        <v>4210.19</v>
      </c>
      <c r="H438">
        <v>348.04</v>
      </c>
      <c r="I438">
        <v>32297.61</v>
      </c>
      <c r="J438">
        <v>31949.57</v>
      </c>
      <c r="K438" s="1"/>
      <c r="L438" s="1"/>
      <c r="M438" s="1"/>
      <c r="N438" s="1"/>
    </row>
    <row r="439" ht="15.75" customHeight="1">
      <c r="A439" t="s">
        <v>51</v>
      </c>
      <c r="B439" t="s">
        <v>26</v>
      </c>
      <c r="C439" t="s">
        <v>4916</v>
      </c>
      <c r="D439" t="s">
        <v>486</v>
      </c>
      <c r="E439">
        <v>92736.66</v>
      </c>
      <c r="F439">
        <v>27821.0</v>
      </c>
      <c r="G439">
        <v>11224.27</v>
      </c>
      <c r="H439">
        <v>17078.34</v>
      </c>
      <c r="I439">
        <v>131781.93</v>
      </c>
      <c r="J439">
        <v>114703.59</v>
      </c>
      <c r="K439" s="1"/>
      <c r="L439" s="1"/>
      <c r="M439" s="1"/>
      <c r="N439" s="1"/>
    </row>
    <row r="440" ht="15.75" customHeight="1">
      <c r="A440" t="s">
        <v>36</v>
      </c>
      <c r="B440" t="s">
        <v>26</v>
      </c>
      <c r="C440" t="s">
        <v>4914</v>
      </c>
      <c r="D440" t="s">
        <v>487</v>
      </c>
      <c r="E440">
        <v>101749.56</v>
      </c>
      <c r="F440">
        <v>30524.87</v>
      </c>
      <c r="G440">
        <v>12904.35</v>
      </c>
      <c r="H440">
        <v>23917.7</v>
      </c>
      <c r="I440">
        <v>145178.78</v>
      </c>
      <c r="J440">
        <v>121261.08</v>
      </c>
      <c r="K440" s="1"/>
      <c r="L440" s="1"/>
      <c r="M440" s="1"/>
      <c r="N440" s="1"/>
    </row>
    <row r="441" ht="15.75" customHeight="1">
      <c r="A441" t="s">
        <v>36</v>
      </c>
      <c r="B441" t="s">
        <v>30</v>
      </c>
      <c r="C441" t="s">
        <v>4917</v>
      </c>
      <c r="D441" t="s">
        <v>488</v>
      </c>
      <c r="E441">
        <v>25131.14</v>
      </c>
      <c r="F441">
        <v>7539.34</v>
      </c>
      <c r="G441">
        <v>4730.4</v>
      </c>
      <c r="H441">
        <v>3255.85</v>
      </c>
      <c r="I441">
        <v>37400.88</v>
      </c>
      <c r="J441">
        <v>34145.03</v>
      </c>
      <c r="K441" s="1"/>
      <c r="L441" s="1"/>
      <c r="M441" s="1"/>
      <c r="N441" s="1"/>
    </row>
    <row r="442" ht="15.75" customHeight="1">
      <c r="A442" t="s">
        <v>53</v>
      </c>
      <c r="B442" t="s">
        <v>18</v>
      </c>
      <c r="C442" t="s">
        <v>4908</v>
      </c>
      <c r="D442" t="s">
        <v>489</v>
      </c>
      <c r="E442">
        <v>74881.89</v>
      </c>
      <c r="F442">
        <v>22464.57</v>
      </c>
      <c r="G442">
        <v>11564.27</v>
      </c>
      <c r="H442">
        <v>6635.57</v>
      </c>
      <c r="I442">
        <v>108910.73</v>
      </c>
      <c r="J442">
        <v>102275.16</v>
      </c>
      <c r="K442" s="1"/>
      <c r="L442" s="1"/>
      <c r="M442" s="1"/>
      <c r="N442" s="1"/>
    </row>
    <row r="443" ht="15.75" customHeight="1">
      <c r="A443" t="s">
        <v>13</v>
      </c>
      <c r="B443" t="s">
        <v>14</v>
      </c>
      <c r="C443" t="s">
        <v>4917</v>
      </c>
      <c r="D443" t="s">
        <v>490</v>
      </c>
      <c r="E443">
        <v>18590.67</v>
      </c>
      <c r="F443">
        <v>5577.2</v>
      </c>
      <c r="G443">
        <v>573.41</v>
      </c>
      <c r="H443">
        <v>3969.17</v>
      </c>
      <c r="I443">
        <v>24741.28</v>
      </c>
      <c r="J443">
        <v>20772.11</v>
      </c>
      <c r="K443" s="1"/>
      <c r="L443" s="1"/>
      <c r="M443" s="1"/>
      <c r="N443" s="1"/>
    </row>
    <row r="444" ht="15.75" customHeight="1">
      <c r="A444" t="s">
        <v>51</v>
      </c>
      <c r="B444" t="s">
        <v>18</v>
      </c>
      <c r="C444" t="s">
        <v>4910</v>
      </c>
      <c r="D444" t="s">
        <v>491</v>
      </c>
      <c r="E444">
        <v>75130.17</v>
      </c>
      <c r="F444">
        <v>22539.05</v>
      </c>
      <c r="G444">
        <v>5419.89</v>
      </c>
      <c r="H444">
        <v>2062.78</v>
      </c>
      <c r="I444">
        <v>103089.11</v>
      </c>
      <c r="J444">
        <v>101026.33</v>
      </c>
      <c r="K444" s="1"/>
      <c r="L444" s="1"/>
      <c r="M444" s="1"/>
      <c r="N444" s="1"/>
    </row>
    <row r="445" ht="15.75" customHeight="1">
      <c r="A445" t="s">
        <v>36</v>
      </c>
      <c r="B445" t="s">
        <v>33</v>
      </c>
      <c r="C445" t="s">
        <v>4913</v>
      </c>
      <c r="D445" t="s">
        <v>492</v>
      </c>
      <c r="E445">
        <v>32613.46</v>
      </c>
      <c r="F445">
        <v>9784.04</v>
      </c>
      <c r="G445">
        <v>666.82</v>
      </c>
      <c r="H445">
        <v>854.12</v>
      </c>
      <c r="I445">
        <v>43064.32</v>
      </c>
      <c r="J445">
        <v>42210.2</v>
      </c>
      <c r="K445" s="1"/>
      <c r="L445" s="1"/>
      <c r="M445" s="1"/>
      <c r="N445" s="1"/>
    </row>
    <row r="446" ht="15.75" customHeight="1">
      <c r="A446" t="s">
        <v>36</v>
      </c>
      <c r="B446" t="s">
        <v>37</v>
      </c>
      <c r="C446" t="s">
        <v>4912</v>
      </c>
      <c r="D446" t="s">
        <v>493</v>
      </c>
      <c r="E446">
        <v>54985.32</v>
      </c>
      <c r="F446">
        <v>16495.6</v>
      </c>
      <c r="G446">
        <v>4487.29</v>
      </c>
      <c r="H446">
        <v>433.21</v>
      </c>
      <c r="I446">
        <v>75968.21</v>
      </c>
      <c r="J446">
        <v>75535.0</v>
      </c>
      <c r="K446" s="1"/>
      <c r="L446" s="1"/>
      <c r="M446" s="1"/>
      <c r="N446" s="1"/>
    </row>
    <row r="447" ht="15.75" customHeight="1">
      <c r="A447" t="s">
        <v>53</v>
      </c>
      <c r="B447" t="s">
        <v>14</v>
      </c>
      <c r="C447" t="s">
        <v>4907</v>
      </c>
      <c r="D447" t="s">
        <v>494</v>
      </c>
      <c r="E447">
        <v>22297.86</v>
      </c>
      <c r="F447">
        <v>6689.36</v>
      </c>
      <c r="G447">
        <v>3498.26</v>
      </c>
      <c r="H447">
        <v>5777.72</v>
      </c>
      <c r="I447">
        <v>32485.48</v>
      </c>
      <c r="J447">
        <v>26707.76</v>
      </c>
      <c r="K447" s="1"/>
      <c r="L447" s="1"/>
      <c r="M447" s="1"/>
      <c r="N447" s="1"/>
    </row>
    <row r="448" ht="15.75" customHeight="1">
      <c r="A448" t="s">
        <v>29</v>
      </c>
      <c r="B448" t="s">
        <v>54</v>
      </c>
      <c r="C448" t="s">
        <v>4908</v>
      </c>
      <c r="D448" t="s">
        <v>495</v>
      </c>
      <c r="E448">
        <v>40429.19</v>
      </c>
      <c r="F448">
        <v>12128.76</v>
      </c>
      <c r="G448">
        <v>684.87</v>
      </c>
      <c r="H448">
        <v>10929.66</v>
      </c>
      <c r="I448">
        <v>53242.82</v>
      </c>
      <c r="J448">
        <v>42313.16</v>
      </c>
      <c r="K448" s="1"/>
      <c r="L448" s="1"/>
      <c r="M448" s="1"/>
      <c r="N448" s="1"/>
    </row>
    <row r="449" ht="15.75" customHeight="1">
      <c r="A449" t="s">
        <v>29</v>
      </c>
      <c r="B449" t="s">
        <v>54</v>
      </c>
      <c r="C449" t="s">
        <v>4910</v>
      </c>
      <c r="D449" t="s">
        <v>496</v>
      </c>
      <c r="E449">
        <v>37043.09</v>
      </c>
      <c r="F449">
        <v>11112.93</v>
      </c>
      <c r="G449">
        <v>1238.78</v>
      </c>
      <c r="H449">
        <v>3066.74</v>
      </c>
      <c r="I449">
        <v>49394.8</v>
      </c>
      <c r="J449">
        <v>46328.06</v>
      </c>
      <c r="K449" s="1"/>
      <c r="L449" s="1"/>
      <c r="M449" s="1"/>
      <c r="N449" s="1"/>
    </row>
    <row r="450" ht="15.75" customHeight="1">
      <c r="A450" t="s">
        <v>36</v>
      </c>
      <c r="B450" t="s">
        <v>26</v>
      </c>
      <c r="C450" t="s">
        <v>4917</v>
      </c>
      <c r="D450" t="s">
        <v>497</v>
      </c>
      <c r="E450">
        <v>92769.17</v>
      </c>
      <c r="F450">
        <v>27830.75</v>
      </c>
      <c r="G450">
        <v>4670.0</v>
      </c>
      <c r="H450">
        <v>6862.79</v>
      </c>
      <c r="I450">
        <v>125269.92</v>
      </c>
      <c r="J450">
        <v>118407.13</v>
      </c>
      <c r="K450" s="1"/>
      <c r="L450" s="1"/>
      <c r="M450" s="1"/>
      <c r="N450" s="1"/>
    </row>
    <row r="451" ht="15.75" customHeight="1">
      <c r="A451" t="s">
        <v>36</v>
      </c>
      <c r="B451" t="s">
        <v>33</v>
      </c>
      <c r="C451" t="s">
        <v>4914</v>
      </c>
      <c r="D451" t="s">
        <v>498</v>
      </c>
      <c r="E451">
        <v>33416.13</v>
      </c>
      <c r="F451">
        <v>10024.84</v>
      </c>
      <c r="G451">
        <v>2538.89</v>
      </c>
      <c r="H451">
        <v>8643.4</v>
      </c>
      <c r="I451">
        <v>45979.86</v>
      </c>
      <c r="J451">
        <v>37336.46</v>
      </c>
      <c r="K451" s="1"/>
      <c r="L451" s="1"/>
      <c r="M451" s="1"/>
      <c r="N451" s="1"/>
    </row>
    <row r="452" ht="15.75" customHeight="1">
      <c r="A452" t="s">
        <v>29</v>
      </c>
      <c r="B452" t="s">
        <v>54</v>
      </c>
      <c r="C452" t="s">
        <v>4911</v>
      </c>
      <c r="D452" t="s">
        <v>499</v>
      </c>
      <c r="E452">
        <v>46416.66</v>
      </c>
      <c r="F452">
        <v>13925.0</v>
      </c>
      <c r="G452">
        <v>7979.1</v>
      </c>
      <c r="H452">
        <v>13566.09</v>
      </c>
      <c r="I452">
        <v>68320.76</v>
      </c>
      <c r="J452">
        <v>54754.67</v>
      </c>
      <c r="K452" s="1"/>
      <c r="L452" s="1"/>
      <c r="M452" s="1"/>
      <c r="N452" s="1"/>
    </row>
    <row r="453" ht="15.75" customHeight="1">
      <c r="A453" t="s">
        <v>29</v>
      </c>
      <c r="B453" t="s">
        <v>33</v>
      </c>
      <c r="C453" t="s">
        <v>4911</v>
      </c>
      <c r="D453" t="s">
        <v>500</v>
      </c>
      <c r="E453">
        <v>31032.11</v>
      </c>
      <c r="F453">
        <v>9309.63</v>
      </c>
      <c r="G453">
        <v>4315.28</v>
      </c>
      <c r="H453">
        <v>4459.4</v>
      </c>
      <c r="I453">
        <v>44657.02</v>
      </c>
      <c r="J453">
        <v>40197.62</v>
      </c>
      <c r="K453" s="1"/>
      <c r="L453" s="1"/>
      <c r="M453" s="1"/>
      <c r="N453" s="1"/>
    </row>
    <row r="454" ht="15.75" customHeight="1">
      <c r="A454" t="s">
        <v>36</v>
      </c>
      <c r="B454" t="s">
        <v>33</v>
      </c>
      <c r="C454" t="s">
        <v>4907</v>
      </c>
      <c r="D454" t="s">
        <v>501</v>
      </c>
      <c r="E454">
        <v>27914.48</v>
      </c>
      <c r="F454">
        <v>8374.34</v>
      </c>
      <c r="G454">
        <v>3879.88</v>
      </c>
      <c r="H454">
        <v>4111.86</v>
      </c>
      <c r="I454">
        <v>40168.7</v>
      </c>
      <c r="J454">
        <v>36056.84</v>
      </c>
      <c r="K454" s="1"/>
      <c r="L454" s="1"/>
      <c r="M454" s="1"/>
      <c r="N454" s="1"/>
    </row>
    <row r="455" ht="15.75" customHeight="1">
      <c r="A455" t="s">
        <v>25</v>
      </c>
      <c r="B455" t="s">
        <v>30</v>
      </c>
      <c r="C455" t="s">
        <v>4912</v>
      </c>
      <c r="D455" t="s">
        <v>503</v>
      </c>
      <c r="E455">
        <v>24867.8</v>
      </c>
      <c r="F455">
        <v>7460.34</v>
      </c>
      <c r="G455">
        <v>1394.09</v>
      </c>
      <c r="H455">
        <v>5862.83</v>
      </c>
      <c r="I455">
        <v>33722.23</v>
      </c>
      <c r="J455">
        <v>27859.4</v>
      </c>
      <c r="K455" s="1"/>
      <c r="L455" s="1"/>
      <c r="M455" s="1"/>
      <c r="N455" s="1"/>
    </row>
    <row r="456" ht="15.75" customHeight="1">
      <c r="A456" t="s">
        <v>17</v>
      </c>
      <c r="B456" t="s">
        <v>18</v>
      </c>
      <c r="C456" t="s">
        <v>4910</v>
      </c>
      <c r="D456" t="s">
        <v>504</v>
      </c>
      <c r="E456">
        <v>77002.18</v>
      </c>
      <c r="F456">
        <v>23100.65</v>
      </c>
      <c r="G456">
        <v>10909.16</v>
      </c>
      <c r="H456">
        <v>10128.6</v>
      </c>
      <c r="I456">
        <v>111011.99</v>
      </c>
      <c r="J456">
        <v>100883.39</v>
      </c>
      <c r="K456" s="1"/>
      <c r="L456" s="1"/>
      <c r="M456" s="1"/>
      <c r="N456" s="1"/>
    </row>
    <row r="457" ht="15.75" customHeight="1">
      <c r="A457" t="s">
        <v>25</v>
      </c>
      <c r="B457" t="s">
        <v>18</v>
      </c>
      <c r="C457" t="s">
        <v>4917</v>
      </c>
      <c r="D457" t="s">
        <v>505</v>
      </c>
      <c r="E457">
        <v>66798.13</v>
      </c>
      <c r="F457">
        <v>20039.44</v>
      </c>
      <c r="G457">
        <v>11326.13</v>
      </c>
      <c r="H457">
        <v>15932.27</v>
      </c>
      <c r="I457">
        <v>98163.7</v>
      </c>
      <c r="J457">
        <v>82231.43</v>
      </c>
      <c r="K457" s="1"/>
      <c r="L457" s="1"/>
      <c r="M457" s="1"/>
      <c r="N457" s="1"/>
    </row>
    <row r="458" ht="15.75" customHeight="1">
      <c r="A458" t="s">
        <v>36</v>
      </c>
      <c r="B458" t="s">
        <v>30</v>
      </c>
      <c r="C458" t="s">
        <v>4905</v>
      </c>
      <c r="D458" t="s">
        <v>506</v>
      </c>
      <c r="E458">
        <v>27573.36</v>
      </c>
      <c r="F458">
        <v>8272.01</v>
      </c>
      <c r="G458">
        <v>1334.67</v>
      </c>
      <c r="H458">
        <v>5448.47</v>
      </c>
      <c r="I458">
        <v>37180.04</v>
      </c>
      <c r="J458">
        <v>31731.57</v>
      </c>
      <c r="K458" s="1"/>
      <c r="L458" s="1"/>
      <c r="M458" s="1"/>
      <c r="N458" s="1"/>
    </row>
    <row r="459" ht="15.75" customHeight="1">
      <c r="A459" t="s">
        <v>36</v>
      </c>
      <c r="B459" t="s">
        <v>26</v>
      </c>
      <c r="C459" t="s">
        <v>4916</v>
      </c>
      <c r="D459" t="s">
        <v>507</v>
      </c>
      <c r="E459">
        <v>103571.67</v>
      </c>
      <c r="F459">
        <v>31071.5</v>
      </c>
      <c r="G459">
        <v>9302.12</v>
      </c>
      <c r="H459">
        <v>18578.7</v>
      </c>
      <c r="I459">
        <v>143945.29</v>
      </c>
      <c r="J459">
        <v>125366.59</v>
      </c>
      <c r="K459" s="1"/>
      <c r="L459" s="1"/>
      <c r="M459" s="1"/>
      <c r="N459" s="1"/>
    </row>
    <row r="460" ht="15.75" customHeight="1">
      <c r="A460" t="s">
        <v>36</v>
      </c>
      <c r="B460" t="s">
        <v>37</v>
      </c>
      <c r="C460" t="s">
        <v>4915</v>
      </c>
      <c r="D460" t="s">
        <v>508</v>
      </c>
      <c r="E460">
        <v>54119.03</v>
      </c>
      <c r="F460">
        <v>16235.71</v>
      </c>
      <c r="G460">
        <v>9962.15</v>
      </c>
      <c r="H460">
        <v>11230.38</v>
      </c>
      <c r="I460">
        <v>80316.89</v>
      </c>
      <c r="J460">
        <v>69086.51</v>
      </c>
      <c r="K460" s="1"/>
      <c r="L460" s="1"/>
      <c r="M460" s="1"/>
      <c r="N460" s="1"/>
    </row>
    <row r="461" ht="15.75" customHeight="1">
      <c r="A461" t="s">
        <v>17</v>
      </c>
      <c r="B461" t="s">
        <v>26</v>
      </c>
      <c r="C461" t="s">
        <v>4916</v>
      </c>
      <c r="D461" t="s">
        <v>509</v>
      </c>
      <c r="E461">
        <v>124863.41</v>
      </c>
      <c r="F461">
        <v>37459.02</v>
      </c>
      <c r="G461">
        <v>17521.69</v>
      </c>
      <c r="H461">
        <v>30427.85</v>
      </c>
      <c r="I461">
        <v>179844.12</v>
      </c>
      <c r="J461">
        <v>149416.27</v>
      </c>
      <c r="K461" s="1"/>
      <c r="L461" s="1"/>
      <c r="M461" s="1"/>
      <c r="N461" s="1"/>
    </row>
    <row r="462" ht="15.75" customHeight="1">
      <c r="A462" t="s">
        <v>13</v>
      </c>
      <c r="B462" t="s">
        <v>14</v>
      </c>
      <c r="C462" t="s">
        <v>4911</v>
      </c>
      <c r="D462" t="s">
        <v>510</v>
      </c>
      <c r="E462">
        <v>18787.46</v>
      </c>
      <c r="F462">
        <v>5636.24</v>
      </c>
      <c r="G462">
        <v>932.73</v>
      </c>
      <c r="H462">
        <v>3746.37</v>
      </c>
      <c r="I462">
        <v>25356.43</v>
      </c>
      <c r="J462">
        <v>21610.06</v>
      </c>
      <c r="K462" s="1"/>
      <c r="L462" s="1"/>
      <c r="M462" s="1"/>
      <c r="N462" s="1"/>
    </row>
    <row r="463" ht="15.75" customHeight="1">
      <c r="A463" t="s">
        <v>13</v>
      </c>
      <c r="B463" t="s">
        <v>37</v>
      </c>
      <c r="C463" t="s">
        <v>4913</v>
      </c>
      <c r="D463" t="s">
        <v>511</v>
      </c>
      <c r="E463">
        <v>45797.34</v>
      </c>
      <c r="F463">
        <v>13739.2</v>
      </c>
      <c r="G463">
        <v>9009.33</v>
      </c>
      <c r="H463">
        <v>9307.92</v>
      </c>
      <c r="I463">
        <v>68545.87</v>
      </c>
      <c r="J463">
        <v>59237.95</v>
      </c>
      <c r="K463" s="1"/>
      <c r="L463" s="1"/>
      <c r="M463" s="1"/>
      <c r="N463" s="1"/>
    </row>
    <row r="464" ht="15.75" customHeight="1">
      <c r="A464" t="s">
        <v>25</v>
      </c>
      <c r="B464" t="s">
        <v>33</v>
      </c>
      <c r="C464" t="s">
        <v>4910</v>
      </c>
      <c r="D464" t="s">
        <v>512</v>
      </c>
      <c r="E464">
        <v>34657.17</v>
      </c>
      <c r="F464">
        <v>10397.15</v>
      </c>
      <c r="G464">
        <v>2983.67</v>
      </c>
      <c r="H464">
        <v>109.67</v>
      </c>
      <c r="I464">
        <v>48037.99</v>
      </c>
      <c r="J464">
        <v>47928.32</v>
      </c>
      <c r="K464" s="1"/>
      <c r="L464" s="1"/>
      <c r="M464" s="1"/>
      <c r="N464" s="1"/>
    </row>
    <row r="465" ht="15.75" customHeight="1">
      <c r="A465" t="s">
        <v>51</v>
      </c>
      <c r="B465" t="s">
        <v>37</v>
      </c>
      <c r="C465" t="s">
        <v>4908</v>
      </c>
      <c r="D465" t="s">
        <v>513</v>
      </c>
      <c r="E465">
        <v>58443.35</v>
      </c>
      <c r="F465">
        <v>17533.0</v>
      </c>
      <c r="G465">
        <v>6522.2</v>
      </c>
      <c r="H465">
        <v>12056.82</v>
      </c>
      <c r="I465">
        <v>82498.55</v>
      </c>
      <c r="J465">
        <v>70441.73</v>
      </c>
      <c r="K465" s="1"/>
      <c r="L465" s="1"/>
      <c r="M465" s="1"/>
      <c r="N465" s="1"/>
    </row>
    <row r="466" ht="15.75" customHeight="1">
      <c r="A466" t="s">
        <v>36</v>
      </c>
      <c r="B466" t="s">
        <v>33</v>
      </c>
      <c r="C466" t="s">
        <v>4915</v>
      </c>
      <c r="D466" t="s">
        <v>514</v>
      </c>
      <c r="E466">
        <v>28911.34</v>
      </c>
      <c r="F466">
        <v>8673.4</v>
      </c>
      <c r="G466">
        <v>4465.89</v>
      </c>
      <c r="H466">
        <v>5105.08</v>
      </c>
      <c r="I466">
        <v>42050.63</v>
      </c>
      <c r="J466">
        <v>36945.55</v>
      </c>
      <c r="K466" s="1"/>
      <c r="L466" s="1"/>
      <c r="M466" s="1"/>
      <c r="N466" s="1"/>
    </row>
    <row r="467" ht="15.75" customHeight="1">
      <c r="A467" t="s">
        <v>51</v>
      </c>
      <c r="B467" t="s">
        <v>33</v>
      </c>
      <c r="C467" t="s">
        <v>4909</v>
      </c>
      <c r="D467" t="s">
        <v>515</v>
      </c>
      <c r="E467">
        <v>34977.03</v>
      </c>
      <c r="F467">
        <v>10493.11</v>
      </c>
      <c r="G467">
        <v>3377.18</v>
      </c>
      <c r="H467">
        <v>3100.0</v>
      </c>
      <c r="I467">
        <v>48847.32</v>
      </c>
      <c r="J467">
        <v>45747.32</v>
      </c>
      <c r="K467" s="1"/>
      <c r="L467" s="1"/>
      <c r="M467" s="1"/>
      <c r="N467" s="1"/>
    </row>
    <row r="468" ht="15.75" customHeight="1">
      <c r="A468" t="s">
        <v>17</v>
      </c>
      <c r="B468" t="s">
        <v>26</v>
      </c>
      <c r="C468" t="s">
        <v>4914</v>
      </c>
      <c r="D468" t="s">
        <v>516</v>
      </c>
      <c r="E468">
        <v>123864.34</v>
      </c>
      <c r="F468">
        <v>37159.3</v>
      </c>
      <c r="G468">
        <v>3509.7</v>
      </c>
      <c r="H468">
        <v>11589.63</v>
      </c>
      <c r="I468">
        <v>164533.34</v>
      </c>
      <c r="J468">
        <v>152943.71</v>
      </c>
      <c r="K468" s="1"/>
      <c r="L468" s="1"/>
      <c r="M468" s="1"/>
      <c r="N468" s="1"/>
    </row>
    <row r="469" ht="15.75" customHeight="1">
      <c r="A469" t="s">
        <v>25</v>
      </c>
      <c r="B469" t="s">
        <v>30</v>
      </c>
      <c r="C469" t="s">
        <v>4905</v>
      </c>
      <c r="D469" t="s">
        <v>517</v>
      </c>
      <c r="E469">
        <v>26585.81</v>
      </c>
      <c r="F469">
        <v>7975.74</v>
      </c>
      <c r="G469">
        <v>1851.97</v>
      </c>
      <c r="H469">
        <v>778.62</v>
      </c>
      <c r="I469">
        <v>36413.52</v>
      </c>
      <c r="J469">
        <v>35634.9</v>
      </c>
      <c r="K469" s="1"/>
      <c r="L469" s="1"/>
      <c r="M469" s="1"/>
      <c r="N469" s="1"/>
    </row>
    <row r="470" ht="15.75" customHeight="1">
      <c r="A470" t="s">
        <v>13</v>
      </c>
      <c r="B470" t="s">
        <v>54</v>
      </c>
      <c r="C470" t="s">
        <v>4909</v>
      </c>
      <c r="D470" t="s">
        <v>518</v>
      </c>
      <c r="E470">
        <v>39464.73</v>
      </c>
      <c r="F470">
        <v>11839.42</v>
      </c>
      <c r="G470">
        <v>2369.97</v>
      </c>
      <c r="H470">
        <v>9592.13</v>
      </c>
      <c r="I470">
        <v>53674.12</v>
      </c>
      <c r="J470">
        <v>44081.99</v>
      </c>
      <c r="K470" s="1"/>
      <c r="L470" s="1"/>
      <c r="M470" s="1"/>
      <c r="N470" s="1"/>
    </row>
    <row r="471" ht="15.75" customHeight="1">
      <c r="A471" t="s">
        <v>17</v>
      </c>
      <c r="B471" t="s">
        <v>26</v>
      </c>
      <c r="C471" t="s">
        <v>4905</v>
      </c>
      <c r="D471" t="s">
        <v>519</v>
      </c>
      <c r="E471">
        <v>102350.81</v>
      </c>
      <c r="F471">
        <v>30705.24</v>
      </c>
      <c r="G471">
        <v>2238.67</v>
      </c>
      <c r="H471">
        <v>24565.73</v>
      </c>
      <c r="I471">
        <v>135294.72</v>
      </c>
      <c r="J471">
        <v>110728.99</v>
      </c>
      <c r="K471" s="1"/>
      <c r="L471" s="1"/>
      <c r="M471" s="1"/>
      <c r="N471" s="1"/>
    </row>
    <row r="472" ht="15.75" customHeight="1">
      <c r="A472" t="s">
        <v>51</v>
      </c>
      <c r="B472" t="s">
        <v>37</v>
      </c>
      <c r="C472" t="s">
        <v>4914</v>
      </c>
      <c r="D472" t="s">
        <v>520</v>
      </c>
      <c r="E472">
        <v>48140.16</v>
      </c>
      <c r="F472">
        <v>14442.05</v>
      </c>
      <c r="G472">
        <v>1541.79</v>
      </c>
      <c r="H472">
        <v>8085.37</v>
      </c>
      <c r="I472">
        <v>64124.0</v>
      </c>
      <c r="J472">
        <v>56038.63</v>
      </c>
      <c r="K472" s="1"/>
      <c r="L472" s="1"/>
      <c r="M472" s="1"/>
      <c r="N472" s="1"/>
    </row>
    <row r="473" ht="15.75" customHeight="1">
      <c r="A473" t="s">
        <v>51</v>
      </c>
      <c r="B473" t="s">
        <v>26</v>
      </c>
      <c r="C473" t="s">
        <v>4913</v>
      </c>
      <c r="D473" t="s">
        <v>521</v>
      </c>
      <c r="E473">
        <v>104581.71</v>
      </c>
      <c r="F473">
        <v>31374.51</v>
      </c>
      <c r="G473">
        <v>3858.06</v>
      </c>
      <c r="H473">
        <v>20094.71</v>
      </c>
      <c r="I473">
        <v>139814.28</v>
      </c>
      <c r="J473">
        <v>119719.57</v>
      </c>
      <c r="K473" s="1"/>
      <c r="L473" s="1"/>
      <c r="M473" s="1"/>
      <c r="N473" s="1"/>
    </row>
    <row r="474" ht="15.75" customHeight="1">
      <c r="A474" t="s">
        <v>36</v>
      </c>
      <c r="B474" t="s">
        <v>14</v>
      </c>
      <c r="C474" t="s">
        <v>4913</v>
      </c>
      <c r="D474" t="s">
        <v>522</v>
      </c>
      <c r="E474">
        <v>23309.2</v>
      </c>
      <c r="F474">
        <v>6992.76</v>
      </c>
      <c r="G474">
        <v>4116.86</v>
      </c>
      <c r="H474">
        <v>3143.77</v>
      </c>
      <c r="I474">
        <v>34418.82</v>
      </c>
      <c r="J474">
        <v>31275.05</v>
      </c>
      <c r="K474" s="1"/>
      <c r="L474" s="1"/>
      <c r="M474" s="1"/>
      <c r="N474" s="1"/>
    </row>
    <row r="475" ht="15.75" customHeight="1">
      <c r="A475" t="s">
        <v>36</v>
      </c>
      <c r="B475" t="s">
        <v>14</v>
      </c>
      <c r="C475" t="s">
        <v>4909</v>
      </c>
      <c r="D475" t="s">
        <v>523</v>
      </c>
      <c r="E475">
        <v>23074.1</v>
      </c>
      <c r="F475">
        <v>6922.23</v>
      </c>
      <c r="G475">
        <v>949.66</v>
      </c>
      <c r="H475">
        <v>5207.77</v>
      </c>
      <c r="I475">
        <v>30945.99</v>
      </c>
      <c r="J475">
        <v>25738.22</v>
      </c>
      <c r="K475" s="1"/>
      <c r="L475" s="1"/>
      <c r="M475" s="1"/>
      <c r="N475" s="1"/>
    </row>
    <row r="476" ht="15.75" customHeight="1">
      <c r="A476" t="s">
        <v>53</v>
      </c>
      <c r="B476" t="s">
        <v>14</v>
      </c>
      <c r="C476" t="s">
        <v>4908</v>
      </c>
      <c r="D476" t="s">
        <v>524</v>
      </c>
      <c r="E476">
        <v>23756.42</v>
      </c>
      <c r="F476">
        <v>7126.93</v>
      </c>
      <c r="G476">
        <v>2550.91</v>
      </c>
      <c r="H476">
        <v>2606.98</v>
      </c>
      <c r="I476">
        <v>33434.26</v>
      </c>
      <c r="J476">
        <v>30827.28</v>
      </c>
      <c r="K476" s="1"/>
      <c r="L476" s="1"/>
      <c r="M476" s="1"/>
      <c r="N476" s="1"/>
    </row>
    <row r="477" ht="15.75" customHeight="1">
      <c r="A477" t="s">
        <v>36</v>
      </c>
      <c r="B477" t="s">
        <v>14</v>
      </c>
      <c r="C477" t="s">
        <v>4917</v>
      </c>
      <c r="D477" t="s">
        <v>525</v>
      </c>
      <c r="E477">
        <v>19888.94</v>
      </c>
      <c r="F477">
        <v>5966.68</v>
      </c>
      <c r="G477">
        <v>3431.39</v>
      </c>
      <c r="H477">
        <v>3148.71</v>
      </c>
      <c r="I477">
        <v>29287.01</v>
      </c>
      <c r="J477">
        <v>26138.3</v>
      </c>
      <c r="K477" s="1"/>
      <c r="L477" s="1"/>
      <c r="M477" s="1"/>
      <c r="N477" s="1"/>
    </row>
    <row r="478" ht="15.75" customHeight="1">
      <c r="A478" t="s">
        <v>29</v>
      </c>
      <c r="B478" t="s">
        <v>37</v>
      </c>
      <c r="C478" t="s">
        <v>4912</v>
      </c>
      <c r="D478" t="s">
        <v>526</v>
      </c>
      <c r="E478">
        <v>51995.51</v>
      </c>
      <c r="F478">
        <v>15598.65</v>
      </c>
      <c r="G478">
        <v>4082.11</v>
      </c>
      <c r="H478">
        <v>1781.87</v>
      </c>
      <c r="I478">
        <v>71676.27</v>
      </c>
      <c r="J478">
        <v>69894.4</v>
      </c>
      <c r="K478" s="1"/>
      <c r="L478" s="1"/>
      <c r="M478" s="1"/>
      <c r="N478" s="1"/>
    </row>
    <row r="479" ht="15.75" customHeight="1">
      <c r="A479" t="s">
        <v>25</v>
      </c>
      <c r="B479" t="s">
        <v>54</v>
      </c>
      <c r="C479" t="s">
        <v>4910</v>
      </c>
      <c r="D479" t="s">
        <v>527</v>
      </c>
      <c r="E479">
        <v>43643.08</v>
      </c>
      <c r="F479">
        <v>13092.92</v>
      </c>
      <c r="G479">
        <v>7102.81</v>
      </c>
      <c r="H479">
        <v>9243.45</v>
      </c>
      <c r="I479">
        <v>63838.81</v>
      </c>
      <c r="J479">
        <v>54595.36</v>
      </c>
      <c r="K479" s="1"/>
      <c r="L479" s="1"/>
      <c r="M479" s="1"/>
      <c r="N479" s="1"/>
    </row>
    <row r="480" ht="15.75" customHeight="1">
      <c r="A480" t="s">
        <v>53</v>
      </c>
      <c r="B480" t="s">
        <v>37</v>
      </c>
      <c r="C480" t="s">
        <v>4910</v>
      </c>
      <c r="D480" t="s">
        <v>528</v>
      </c>
      <c r="E480">
        <v>46525.54</v>
      </c>
      <c r="F480">
        <v>13957.66</v>
      </c>
      <c r="G480">
        <v>1246.4</v>
      </c>
      <c r="H480">
        <v>1645.07</v>
      </c>
      <c r="I480">
        <v>61729.6</v>
      </c>
      <c r="J480">
        <v>60084.53</v>
      </c>
      <c r="K480" s="1"/>
      <c r="L480" s="1"/>
      <c r="M480" s="1"/>
      <c r="N480" s="1"/>
    </row>
    <row r="481" ht="15.75" customHeight="1">
      <c r="A481" t="s">
        <v>17</v>
      </c>
      <c r="B481" t="s">
        <v>30</v>
      </c>
      <c r="C481" t="s">
        <v>4916</v>
      </c>
      <c r="D481" t="s">
        <v>529</v>
      </c>
      <c r="E481">
        <v>25285.09</v>
      </c>
      <c r="F481">
        <v>7585.53</v>
      </c>
      <c r="G481">
        <v>714.85</v>
      </c>
      <c r="H481">
        <v>2946.7</v>
      </c>
      <c r="I481">
        <v>33585.47</v>
      </c>
      <c r="J481">
        <v>30638.77</v>
      </c>
      <c r="K481" s="1"/>
      <c r="L481" s="1"/>
      <c r="M481" s="1"/>
      <c r="N481" s="1"/>
    </row>
    <row r="482" ht="15.75" customHeight="1">
      <c r="A482" t="s">
        <v>51</v>
      </c>
      <c r="B482" t="s">
        <v>37</v>
      </c>
      <c r="C482" t="s">
        <v>4905</v>
      </c>
      <c r="D482" t="s">
        <v>530</v>
      </c>
      <c r="E482">
        <v>51906.78</v>
      </c>
      <c r="F482">
        <v>15572.03</v>
      </c>
      <c r="G482">
        <v>1928.38</v>
      </c>
      <c r="H482">
        <v>9896.05</v>
      </c>
      <c r="I482">
        <v>69407.19</v>
      </c>
      <c r="J482">
        <v>59511.14</v>
      </c>
      <c r="K482" s="1"/>
      <c r="L482" s="1"/>
      <c r="M482" s="1"/>
      <c r="N482" s="1"/>
    </row>
    <row r="483" ht="15.75" customHeight="1">
      <c r="A483" t="s">
        <v>13</v>
      </c>
      <c r="B483" t="s">
        <v>30</v>
      </c>
      <c r="C483" t="s">
        <v>4912</v>
      </c>
      <c r="D483" t="s">
        <v>531</v>
      </c>
      <c r="E483">
        <v>26883.23</v>
      </c>
      <c r="F483">
        <v>8064.97</v>
      </c>
      <c r="G483">
        <v>2632.63</v>
      </c>
      <c r="H483">
        <v>1131.49</v>
      </c>
      <c r="I483">
        <v>37580.83</v>
      </c>
      <c r="J483">
        <v>36449.34</v>
      </c>
      <c r="K483" s="1"/>
      <c r="L483" s="1"/>
      <c r="M483" s="1"/>
      <c r="N483" s="1"/>
    </row>
    <row r="484" ht="15.75" customHeight="1">
      <c r="A484" t="s">
        <v>25</v>
      </c>
      <c r="B484" t="s">
        <v>54</v>
      </c>
      <c r="C484" t="s">
        <v>4914</v>
      </c>
      <c r="D484" t="s">
        <v>532</v>
      </c>
      <c r="E484">
        <v>43671.74</v>
      </c>
      <c r="F484">
        <v>13101.52</v>
      </c>
      <c r="G484">
        <v>7559.77</v>
      </c>
      <c r="H484">
        <v>12470.58</v>
      </c>
      <c r="I484">
        <v>64333.03</v>
      </c>
      <c r="J484">
        <v>51862.45</v>
      </c>
      <c r="K484" s="1"/>
      <c r="L484" s="1"/>
      <c r="M484" s="1"/>
      <c r="N484" s="1"/>
    </row>
    <row r="485" ht="15.75" customHeight="1">
      <c r="A485" t="s">
        <v>51</v>
      </c>
      <c r="B485" t="s">
        <v>30</v>
      </c>
      <c r="C485" t="s">
        <v>4914</v>
      </c>
      <c r="D485" t="s">
        <v>533</v>
      </c>
      <c r="E485">
        <v>29173.9</v>
      </c>
      <c r="F485">
        <v>8752.17</v>
      </c>
      <c r="G485">
        <v>5623.73</v>
      </c>
      <c r="H485">
        <v>4423.68</v>
      </c>
      <c r="I485">
        <v>43549.8</v>
      </c>
      <c r="J485">
        <v>39126.12</v>
      </c>
      <c r="K485" s="1"/>
      <c r="L485" s="1"/>
      <c r="M485" s="1"/>
      <c r="N485" s="1"/>
    </row>
    <row r="486" ht="15.75" customHeight="1">
      <c r="A486" t="s">
        <v>36</v>
      </c>
      <c r="B486" t="s">
        <v>18</v>
      </c>
      <c r="C486" t="s">
        <v>4911</v>
      </c>
      <c r="D486" t="s">
        <v>534</v>
      </c>
      <c r="E486">
        <v>77784.87</v>
      </c>
      <c r="F486">
        <v>23335.46</v>
      </c>
      <c r="G486">
        <v>11047.67</v>
      </c>
      <c r="H486">
        <v>10357.49</v>
      </c>
      <c r="I486">
        <v>112168.0</v>
      </c>
      <c r="J486">
        <v>101810.51</v>
      </c>
      <c r="K486" s="1"/>
      <c r="L486" s="1"/>
      <c r="M486" s="1"/>
      <c r="N486" s="1"/>
    </row>
    <row r="487" ht="15.75" customHeight="1">
      <c r="A487" t="s">
        <v>17</v>
      </c>
      <c r="B487" t="s">
        <v>37</v>
      </c>
      <c r="C487" t="s">
        <v>4910</v>
      </c>
      <c r="D487" t="s">
        <v>535</v>
      </c>
      <c r="E487">
        <v>45555.49</v>
      </c>
      <c r="F487">
        <v>13666.65</v>
      </c>
      <c r="G487">
        <v>6934.06</v>
      </c>
      <c r="H487">
        <v>3991.89</v>
      </c>
      <c r="I487">
        <v>66156.2</v>
      </c>
      <c r="J487">
        <v>62164.31</v>
      </c>
      <c r="K487" s="1"/>
      <c r="L487" s="1"/>
      <c r="M487" s="1"/>
      <c r="N487" s="1"/>
    </row>
    <row r="488" ht="15.75" customHeight="1">
      <c r="A488" t="s">
        <v>51</v>
      </c>
      <c r="B488" t="s">
        <v>37</v>
      </c>
      <c r="C488" t="s">
        <v>4914</v>
      </c>
      <c r="D488" t="s">
        <v>536</v>
      </c>
      <c r="E488">
        <v>50196.07</v>
      </c>
      <c r="F488">
        <v>15058.82</v>
      </c>
      <c r="G488">
        <v>7838.02</v>
      </c>
      <c r="H488">
        <v>8518.03</v>
      </c>
      <c r="I488">
        <v>73092.91</v>
      </c>
      <c r="J488">
        <v>64574.88</v>
      </c>
      <c r="K488" s="1"/>
      <c r="L488" s="1"/>
      <c r="M488" s="1"/>
      <c r="N488" s="1"/>
    </row>
    <row r="489" ht="15.75" customHeight="1">
      <c r="A489" t="s">
        <v>53</v>
      </c>
      <c r="B489" t="s">
        <v>37</v>
      </c>
      <c r="C489" t="s">
        <v>4912</v>
      </c>
      <c r="D489" t="s">
        <v>537</v>
      </c>
      <c r="E489">
        <v>47037.8</v>
      </c>
      <c r="F489">
        <v>14111.34</v>
      </c>
      <c r="G489">
        <v>1074.41</v>
      </c>
      <c r="H489">
        <v>10937.88</v>
      </c>
      <c r="I489">
        <v>62223.55</v>
      </c>
      <c r="J489">
        <v>51285.67</v>
      </c>
      <c r="K489" s="1"/>
      <c r="L489" s="1"/>
      <c r="M489" s="1"/>
      <c r="N489" s="1"/>
    </row>
    <row r="490" ht="15.75" customHeight="1">
      <c r="A490" t="s">
        <v>53</v>
      </c>
      <c r="B490" t="s">
        <v>26</v>
      </c>
      <c r="C490" t="s">
        <v>4908</v>
      </c>
      <c r="D490" t="s">
        <v>538</v>
      </c>
      <c r="E490">
        <v>117244.3</v>
      </c>
      <c r="F490">
        <v>35173.29</v>
      </c>
      <c r="G490">
        <v>17821.23</v>
      </c>
      <c r="H490">
        <v>15524.31</v>
      </c>
      <c r="I490">
        <v>170238.82</v>
      </c>
      <c r="J490">
        <v>154714.51</v>
      </c>
      <c r="K490" s="1"/>
      <c r="L490" s="1"/>
      <c r="M490" s="1"/>
      <c r="N490" s="1"/>
    </row>
    <row r="491" ht="15.75" customHeight="1">
      <c r="A491" t="s">
        <v>36</v>
      </c>
      <c r="B491" t="s">
        <v>14</v>
      </c>
      <c r="C491" t="s">
        <v>4907</v>
      </c>
      <c r="D491" t="s">
        <v>539</v>
      </c>
      <c r="E491">
        <v>23299.12</v>
      </c>
      <c r="F491">
        <v>6989.74</v>
      </c>
      <c r="G491">
        <v>3046.0</v>
      </c>
      <c r="H491">
        <v>1730.18</v>
      </c>
      <c r="I491">
        <v>33334.86</v>
      </c>
      <c r="J491">
        <v>31604.68</v>
      </c>
      <c r="K491" s="1"/>
      <c r="L491" s="1"/>
      <c r="M491" s="1"/>
      <c r="N491" s="1"/>
    </row>
    <row r="492" ht="15.75" customHeight="1">
      <c r="A492" t="s">
        <v>36</v>
      </c>
      <c r="B492" t="s">
        <v>33</v>
      </c>
      <c r="C492" t="s">
        <v>4909</v>
      </c>
      <c r="D492" t="s">
        <v>540</v>
      </c>
      <c r="E492">
        <v>28485.77</v>
      </c>
      <c r="F492">
        <v>8545.73</v>
      </c>
      <c r="G492">
        <v>4653.03</v>
      </c>
      <c r="H492">
        <v>3752.17</v>
      </c>
      <c r="I492">
        <v>41684.53</v>
      </c>
      <c r="J492">
        <v>37932.36</v>
      </c>
      <c r="K492" s="1"/>
      <c r="L492" s="1"/>
      <c r="M492" s="1"/>
      <c r="N492" s="1"/>
    </row>
    <row r="493" ht="15.75" customHeight="1">
      <c r="A493" t="s">
        <v>25</v>
      </c>
      <c r="B493" t="s">
        <v>26</v>
      </c>
      <c r="C493" t="s">
        <v>4912</v>
      </c>
      <c r="D493" t="s">
        <v>541</v>
      </c>
      <c r="E493">
        <v>98530.06</v>
      </c>
      <c r="F493">
        <v>29559.02</v>
      </c>
      <c r="G493">
        <v>15975.72</v>
      </c>
      <c r="H493">
        <v>17378.45</v>
      </c>
      <c r="I493">
        <v>144064.8</v>
      </c>
      <c r="J493">
        <v>126686.35</v>
      </c>
      <c r="K493" s="1"/>
      <c r="L493" s="1"/>
      <c r="M493" s="1"/>
      <c r="N493" s="1"/>
    </row>
    <row r="494" ht="15.75" customHeight="1">
      <c r="A494" t="s">
        <v>25</v>
      </c>
      <c r="B494" t="s">
        <v>18</v>
      </c>
      <c r="C494" t="s">
        <v>4908</v>
      </c>
      <c r="D494" t="s">
        <v>542</v>
      </c>
      <c r="E494">
        <v>80866.81</v>
      </c>
      <c r="F494">
        <v>24260.04</v>
      </c>
      <c r="G494">
        <v>6924.9</v>
      </c>
      <c r="H494">
        <v>14947.85</v>
      </c>
      <c r="I494">
        <v>112051.75</v>
      </c>
      <c r="J494">
        <v>97103.9</v>
      </c>
      <c r="K494" s="1"/>
      <c r="L494" s="1"/>
      <c r="M494" s="1"/>
      <c r="N494" s="1"/>
    </row>
    <row r="495" ht="15.75" customHeight="1">
      <c r="A495" t="s">
        <v>25</v>
      </c>
      <c r="B495" t="s">
        <v>30</v>
      </c>
      <c r="C495" t="s">
        <v>4916</v>
      </c>
      <c r="D495" t="s">
        <v>543</v>
      </c>
      <c r="E495">
        <v>29087.88</v>
      </c>
      <c r="F495">
        <v>8726.36</v>
      </c>
      <c r="G495">
        <v>3316.45</v>
      </c>
      <c r="H495">
        <v>4644.88</v>
      </c>
      <c r="I495">
        <v>41130.69</v>
      </c>
      <c r="J495">
        <v>36485.81</v>
      </c>
      <c r="K495" s="1"/>
      <c r="L495" s="1"/>
      <c r="M495" s="1"/>
      <c r="N495" s="1"/>
    </row>
    <row r="496" ht="15.75" customHeight="1">
      <c r="A496" t="s">
        <v>53</v>
      </c>
      <c r="B496" t="s">
        <v>30</v>
      </c>
      <c r="C496" t="s">
        <v>4910</v>
      </c>
      <c r="D496" t="s">
        <v>544</v>
      </c>
      <c r="E496">
        <v>24848.15</v>
      </c>
      <c r="F496">
        <v>7454.44</v>
      </c>
      <c r="G496">
        <v>3498.89</v>
      </c>
      <c r="H496">
        <v>2156.82</v>
      </c>
      <c r="I496">
        <v>35801.48</v>
      </c>
      <c r="J496">
        <v>33644.66</v>
      </c>
      <c r="K496" s="1"/>
      <c r="L496" s="1"/>
      <c r="M496" s="1"/>
      <c r="N496" s="1"/>
    </row>
    <row r="497" ht="15.75" customHeight="1">
      <c r="A497" t="s">
        <v>25</v>
      </c>
      <c r="B497" t="s">
        <v>37</v>
      </c>
      <c r="C497" t="s">
        <v>4913</v>
      </c>
      <c r="D497" t="s">
        <v>545</v>
      </c>
      <c r="E497">
        <v>62738.79</v>
      </c>
      <c r="F497">
        <v>18821.64</v>
      </c>
      <c r="G497">
        <v>8523.68</v>
      </c>
      <c r="H497">
        <v>1792.29</v>
      </c>
      <c r="I497">
        <v>90084.11</v>
      </c>
      <c r="J497">
        <v>88291.82</v>
      </c>
      <c r="K497" s="1"/>
      <c r="L497" s="1"/>
      <c r="M497" s="1"/>
      <c r="N497" s="1"/>
    </row>
    <row r="498" ht="15.75" customHeight="1">
      <c r="A498" t="s">
        <v>51</v>
      </c>
      <c r="B498" t="s">
        <v>18</v>
      </c>
      <c r="C498" t="s">
        <v>4913</v>
      </c>
      <c r="D498" t="s">
        <v>546</v>
      </c>
      <c r="E498">
        <v>73374.51</v>
      </c>
      <c r="F498">
        <v>22012.35</v>
      </c>
      <c r="G498">
        <v>3632.84</v>
      </c>
      <c r="H498">
        <v>18568.64</v>
      </c>
      <c r="I498">
        <v>99019.7</v>
      </c>
      <c r="J498">
        <v>80451.06</v>
      </c>
      <c r="K498" s="1"/>
      <c r="L498" s="1"/>
      <c r="M498" s="1"/>
      <c r="N498" s="1"/>
    </row>
    <row r="499" ht="15.75" customHeight="1">
      <c r="A499" t="s">
        <v>36</v>
      </c>
      <c r="B499" t="s">
        <v>30</v>
      </c>
      <c r="C499" t="s">
        <v>4914</v>
      </c>
      <c r="D499" t="s">
        <v>547</v>
      </c>
      <c r="E499">
        <v>27081.34</v>
      </c>
      <c r="F499">
        <v>8124.4</v>
      </c>
      <c r="G499">
        <v>1455.44</v>
      </c>
      <c r="H499">
        <v>3365.33</v>
      </c>
      <c r="I499">
        <v>36661.18</v>
      </c>
      <c r="J499">
        <v>33295.85</v>
      </c>
      <c r="K499" s="1"/>
      <c r="L499" s="1"/>
      <c r="M499" s="1"/>
      <c r="N499" s="1"/>
    </row>
    <row r="500" ht="15.75" customHeight="1">
      <c r="A500" t="s">
        <v>17</v>
      </c>
      <c r="B500" t="s">
        <v>18</v>
      </c>
      <c r="C500" t="s">
        <v>4905</v>
      </c>
      <c r="D500" t="s">
        <v>548</v>
      </c>
      <c r="E500">
        <v>85659.56</v>
      </c>
      <c r="F500">
        <v>25697.87</v>
      </c>
      <c r="G500">
        <v>13172.46</v>
      </c>
      <c r="H500">
        <v>10352.41</v>
      </c>
      <c r="I500">
        <v>124529.89</v>
      </c>
      <c r="J500">
        <v>114177.48</v>
      </c>
      <c r="K500" s="1"/>
      <c r="L500" s="1"/>
      <c r="M500" s="1"/>
      <c r="N500" s="1"/>
    </row>
    <row r="501" ht="15.75" customHeight="1">
      <c r="A501" t="s">
        <v>29</v>
      </c>
      <c r="B501" t="s">
        <v>18</v>
      </c>
      <c r="C501" t="s">
        <v>4912</v>
      </c>
      <c r="D501" t="s">
        <v>549</v>
      </c>
      <c r="E501">
        <v>89344.74</v>
      </c>
      <c r="F501">
        <v>26803.42</v>
      </c>
      <c r="G501">
        <v>6594.91</v>
      </c>
      <c r="H501">
        <v>25470.06</v>
      </c>
      <c r="I501">
        <v>122743.07</v>
      </c>
      <c r="J501">
        <v>97273.01</v>
      </c>
      <c r="K501" s="1"/>
      <c r="L501" s="1"/>
      <c r="M501" s="1"/>
      <c r="N501" s="1"/>
    </row>
    <row r="502" ht="15.75" customHeight="1">
      <c r="A502" t="s">
        <v>53</v>
      </c>
      <c r="B502" t="s">
        <v>14</v>
      </c>
      <c r="C502" t="s">
        <v>4914</v>
      </c>
      <c r="D502" t="s">
        <v>550</v>
      </c>
      <c r="E502">
        <v>24256.14</v>
      </c>
      <c r="F502">
        <v>7276.84</v>
      </c>
      <c r="G502">
        <v>4109.8</v>
      </c>
      <c r="H502">
        <v>677.78</v>
      </c>
      <c r="I502">
        <v>35642.78</v>
      </c>
      <c r="J502">
        <v>34965.0</v>
      </c>
      <c r="K502" s="1"/>
      <c r="L502" s="1"/>
      <c r="M502" s="1"/>
      <c r="N502" s="1"/>
    </row>
    <row r="503" ht="15.75" customHeight="1">
      <c r="A503" t="s">
        <v>13</v>
      </c>
      <c r="B503" t="s">
        <v>18</v>
      </c>
      <c r="C503" t="s">
        <v>4913</v>
      </c>
      <c r="D503" t="s">
        <v>551</v>
      </c>
      <c r="E503">
        <v>83129.51</v>
      </c>
      <c r="F503">
        <v>24938.85</v>
      </c>
      <c r="G503">
        <v>14133.78</v>
      </c>
      <c r="H503">
        <v>19843.29</v>
      </c>
      <c r="I503">
        <v>122202.14</v>
      </c>
      <c r="J503">
        <v>102358.85</v>
      </c>
      <c r="K503" s="1"/>
      <c r="L503" s="1"/>
      <c r="M503" s="1"/>
      <c r="N503" s="1"/>
    </row>
    <row r="504" ht="15.75" customHeight="1">
      <c r="A504" t="s">
        <v>51</v>
      </c>
      <c r="B504" t="s">
        <v>54</v>
      </c>
      <c r="C504" t="s">
        <v>4910</v>
      </c>
      <c r="D504" t="s">
        <v>552</v>
      </c>
      <c r="E504">
        <v>46547.87</v>
      </c>
      <c r="F504">
        <v>13964.36</v>
      </c>
      <c r="G504">
        <v>4605.59</v>
      </c>
      <c r="H504">
        <v>4508.61</v>
      </c>
      <c r="I504">
        <v>65117.82</v>
      </c>
      <c r="J504">
        <v>60609.21</v>
      </c>
      <c r="K504" s="1"/>
      <c r="L504" s="1"/>
      <c r="M504" s="1"/>
      <c r="N504" s="1"/>
    </row>
    <row r="505" ht="15.75" customHeight="1">
      <c r="A505" t="s">
        <v>29</v>
      </c>
      <c r="B505" t="s">
        <v>37</v>
      </c>
      <c r="C505" t="s">
        <v>4912</v>
      </c>
      <c r="D505" t="s">
        <v>553</v>
      </c>
      <c r="E505">
        <v>55402.81</v>
      </c>
      <c r="F505">
        <v>16620.84</v>
      </c>
      <c r="G505">
        <v>6273.17</v>
      </c>
      <c r="H505">
        <v>8066.73</v>
      </c>
      <c r="I505">
        <v>78296.82</v>
      </c>
      <c r="J505">
        <v>70230.09</v>
      </c>
      <c r="K505" s="1"/>
      <c r="L505" s="1"/>
      <c r="M505" s="1"/>
      <c r="N505" s="1"/>
    </row>
    <row r="506" ht="15.75" customHeight="1">
      <c r="A506" t="s">
        <v>13</v>
      </c>
      <c r="B506" t="s">
        <v>26</v>
      </c>
      <c r="C506" t="s">
        <v>4914</v>
      </c>
      <c r="D506" t="s">
        <v>554</v>
      </c>
      <c r="E506">
        <v>91742.73</v>
      </c>
      <c r="F506">
        <v>27522.82</v>
      </c>
      <c r="G506">
        <v>1827.05</v>
      </c>
      <c r="H506">
        <v>21574.86</v>
      </c>
      <c r="I506">
        <v>121092.6</v>
      </c>
      <c r="J506">
        <v>99517.74</v>
      </c>
      <c r="K506" s="1"/>
      <c r="L506" s="1"/>
      <c r="M506" s="1"/>
      <c r="N506" s="1"/>
    </row>
    <row r="507" ht="15.75" customHeight="1">
      <c r="A507" t="s">
        <v>17</v>
      </c>
      <c r="B507" t="s">
        <v>14</v>
      </c>
      <c r="C507" t="s">
        <v>4913</v>
      </c>
      <c r="D507" t="s">
        <v>555</v>
      </c>
      <c r="E507">
        <v>24691.92</v>
      </c>
      <c r="F507">
        <v>7407.58</v>
      </c>
      <c r="G507">
        <v>780.18</v>
      </c>
      <c r="H507">
        <v>3381.69</v>
      </c>
      <c r="I507">
        <v>32879.68</v>
      </c>
      <c r="J507">
        <v>29497.99</v>
      </c>
      <c r="K507" s="1"/>
      <c r="L507" s="1"/>
      <c r="M507" s="1"/>
      <c r="N507" s="1"/>
    </row>
    <row r="508" ht="15.75" customHeight="1">
      <c r="A508" t="s">
        <v>51</v>
      </c>
      <c r="B508" t="s">
        <v>18</v>
      </c>
      <c r="C508" t="s">
        <v>4910</v>
      </c>
      <c r="D508" t="s">
        <v>556</v>
      </c>
      <c r="E508">
        <v>88644.59</v>
      </c>
      <c r="F508">
        <v>26593.38</v>
      </c>
      <c r="G508">
        <v>15639.53</v>
      </c>
      <c r="H508">
        <v>8027.62</v>
      </c>
      <c r="I508">
        <v>130877.5</v>
      </c>
      <c r="J508">
        <v>122849.88</v>
      </c>
      <c r="K508" s="1"/>
      <c r="L508" s="1"/>
      <c r="M508" s="1"/>
      <c r="N508" s="1"/>
    </row>
    <row r="509" ht="15.75" customHeight="1">
      <c r="A509" t="s">
        <v>17</v>
      </c>
      <c r="B509" t="s">
        <v>18</v>
      </c>
      <c r="C509" t="s">
        <v>4917</v>
      </c>
      <c r="D509" t="s">
        <v>557</v>
      </c>
      <c r="E509">
        <v>74371.32</v>
      </c>
      <c r="F509">
        <v>22311.4</v>
      </c>
      <c r="G509">
        <v>1225.94</v>
      </c>
      <c r="H509">
        <v>14826.12</v>
      </c>
      <c r="I509">
        <v>97908.66</v>
      </c>
      <c r="J509">
        <v>83082.54</v>
      </c>
      <c r="K509" s="1"/>
      <c r="L509" s="1"/>
      <c r="M509" s="1"/>
      <c r="N509" s="1"/>
    </row>
    <row r="510" ht="15.75" customHeight="1">
      <c r="A510" t="s">
        <v>51</v>
      </c>
      <c r="B510" t="s">
        <v>14</v>
      </c>
      <c r="C510" t="s">
        <v>4908</v>
      </c>
      <c r="D510" t="s">
        <v>558</v>
      </c>
      <c r="E510">
        <v>20853.66</v>
      </c>
      <c r="F510">
        <v>6256.1</v>
      </c>
      <c r="G510">
        <v>1274.2</v>
      </c>
      <c r="H510">
        <v>4375.77</v>
      </c>
      <c r="I510">
        <v>28383.96</v>
      </c>
      <c r="J510">
        <v>24008.19</v>
      </c>
      <c r="K510" s="1"/>
      <c r="L510" s="1"/>
      <c r="M510" s="1"/>
      <c r="N510" s="1"/>
    </row>
    <row r="511" ht="15.75" customHeight="1">
      <c r="A511" t="s">
        <v>36</v>
      </c>
      <c r="B511" t="s">
        <v>18</v>
      </c>
      <c r="C511" t="s">
        <v>4909</v>
      </c>
      <c r="D511" t="s">
        <v>559</v>
      </c>
      <c r="E511">
        <v>67371.18</v>
      </c>
      <c r="F511">
        <v>20211.35</v>
      </c>
      <c r="G511">
        <v>1282.53</v>
      </c>
      <c r="H511">
        <v>14194.35617001081</v>
      </c>
      <c r="I511">
        <v>88865.06</v>
      </c>
      <c r="J511">
        <v>74670.7</v>
      </c>
      <c r="K511" s="1"/>
      <c r="L511" s="1"/>
      <c r="M511" s="1"/>
      <c r="N511" s="1"/>
    </row>
    <row r="512" ht="15.75" customHeight="1">
      <c r="A512" t="s">
        <v>51</v>
      </c>
      <c r="B512" t="s">
        <v>37</v>
      </c>
      <c r="C512" t="s">
        <v>4905</v>
      </c>
      <c r="D512" t="s">
        <v>560</v>
      </c>
      <c r="E512">
        <v>49071.44</v>
      </c>
      <c r="F512">
        <v>14721.43</v>
      </c>
      <c r="G512">
        <v>6673.55</v>
      </c>
      <c r="H512">
        <v>136.72</v>
      </c>
      <c r="I512">
        <v>70466.42</v>
      </c>
      <c r="J512">
        <v>70329.7</v>
      </c>
      <c r="K512" s="1"/>
      <c r="L512" s="1"/>
      <c r="M512" s="1"/>
      <c r="N512" s="1"/>
    </row>
    <row r="513" ht="15.75" customHeight="1">
      <c r="A513" t="s">
        <v>29</v>
      </c>
      <c r="B513" t="s">
        <v>26</v>
      </c>
      <c r="C513" t="s">
        <v>4914</v>
      </c>
      <c r="D513" t="s">
        <v>561</v>
      </c>
      <c r="E513">
        <v>94341.38</v>
      </c>
      <c r="F513">
        <v>28302.41</v>
      </c>
      <c r="G513">
        <v>16233.14</v>
      </c>
      <c r="H513">
        <v>19642.75</v>
      </c>
      <c r="I513">
        <v>138876.93</v>
      </c>
      <c r="J513">
        <v>119234.18</v>
      </c>
      <c r="K513" s="1"/>
      <c r="L513" s="1"/>
      <c r="M513" s="1"/>
      <c r="N513" s="1"/>
    </row>
    <row r="514" ht="15.75" customHeight="1">
      <c r="A514" t="s">
        <v>17</v>
      </c>
      <c r="B514" t="s">
        <v>30</v>
      </c>
      <c r="C514" t="s">
        <v>4912</v>
      </c>
      <c r="D514" t="s">
        <v>562</v>
      </c>
      <c r="E514">
        <v>25371.02</v>
      </c>
      <c r="F514">
        <v>7611.31</v>
      </c>
      <c r="G514">
        <v>3708.04</v>
      </c>
      <c r="H514">
        <v>779.6</v>
      </c>
      <c r="I514">
        <v>36690.37</v>
      </c>
      <c r="J514">
        <v>35910.77</v>
      </c>
      <c r="K514" s="1"/>
      <c r="L514" s="1"/>
      <c r="M514" s="1"/>
      <c r="N514" s="1"/>
    </row>
    <row r="515" ht="15.75" customHeight="1">
      <c r="A515" t="s">
        <v>29</v>
      </c>
      <c r="B515" t="s">
        <v>33</v>
      </c>
      <c r="C515" t="s">
        <v>4911</v>
      </c>
      <c r="D515" t="s">
        <v>563</v>
      </c>
      <c r="E515">
        <v>26371.29</v>
      </c>
      <c r="F515">
        <v>7911.39</v>
      </c>
      <c r="G515">
        <v>4079.43</v>
      </c>
      <c r="H515">
        <v>5958.52</v>
      </c>
      <c r="I515">
        <v>38362.11</v>
      </c>
      <c r="J515">
        <v>32403.59</v>
      </c>
      <c r="K515" s="1"/>
      <c r="L515" s="1"/>
      <c r="M515" s="1"/>
      <c r="N515" s="1"/>
    </row>
    <row r="516" ht="15.75" customHeight="1">
      <c r="A516" t="s">
        <v>13</v>
      </c>
      <c r="B516" t="s">
        <v>18</v>
      </c>
      <c r="C516" t="s">
        <v>4917</v>
      </c>
      <c r="D516" t="s">
        <v>564</v>
      </c>
      <c r="E516">
        <v>68714.18</v>
      </c>
      <c r="F516">
        <v>20614.25</v>
      </c>
      <c r="G516">
        <v>7290.69</v>
      </c>
      <c r="H516">
        <v>174.7</v>
      </c>
      <c r="I516">
        <v>96619.12</v>
      </c>
      <c r="J516">
        <v>96444.42</v>
      </c>
      <c r="K516" s="1"/>
      <c r="L516" s="1"/>
      <c r="M516" s="1"/>
      <c r="N516" s="1"/>
    </row>
    <row r="517" ht="15.75" customHeight="1">
      <c r="A517" t="s">
        <v>51</v>
      </c>
      <c r="B517" t="s">
        <v>54</v>
      </c>
      <c r="C517" t="s">
        <v>4913</v>
      </c>
      <c r="D517" t="s">
        <v>565</v>
      </c>
      <c r="E517">
        <v>39916.63</v>
      </c>
      <c r="F517">
        <v>11974.99</v>
      </c>
      <c r="G517">
        <v>1700.89</v>
      </c>
      <c r="H517">
        <v>8960.51</v>
      </c>
      <c r="I517">
        <v>53592.51</v>
      </c>
      <c r="J517">
        <v>44632.0</v>
      </c>
      <c r="K517" s="1"/>
      <c r="L517" s="1"/>
      <c r="M517" s="1"/>
      <c r="N517" s="1"/>
    </row>
    <row r="518" ht="15.75" customHeight="1">
      <c r="A518" t="s">
        <v>53</v>
      </c>
      <c r="B518" t="s">
        <v>18</v>
      </c>
      <c r="C518" t="s">
        <v>4911</v>
      </c>
      <c r="D518" t="s">
        <v>566</v>
      </c>
      <c r="E518">
        <v>76501.98</v>
      </c>
      <c r="F518">
        <v>22950.59</v>
      </c>
      <c r="G518">
        <v>3323.93</v>
      </c>
      <c r="H518">
        <v>20577.34</v>
      </c>
      <c r="I518">
        <v>102776.5</v>
      </c>
      <c r="J518">
        <v>82199.16</v>
      </c>
      <c r="K518" s="1"/>
      <c r="L518" s="1"/>
      <c r="M518" s="1"/>
      <c r="N518" s="1"/>
    </row>
    <row r="519" ht="15.75" customHeight="1">
      <c r="A519" t="s">
        <v>25</v>
      </c>
      <c r="B519" t="s">
        <v>14</v>
      </c>
      <c r="C519" t="s">
        <v>4912</v>
      </c>
      <c r="D519" t="s">
        <v>567</v>
      </c>
      <c r="E519">
        <v>22244.93</v>
      </c>
      <c r="F519">
        <v>6673.48</v>
      </c>
      <c r="G519">
        <v>1708.55</v>
      </c>
      <c r="H519">
        <v>6428.22</v>
      </c>
      <c r="I519">
        <v>30626.96</v>
      </c>
      <c r="J519">
        <v>24198.74</v>
      </c>
      <c r="K519" s="1"/>
      <c r="L519" s="1"/>
      <c r="M519" s="1"/>
      <c r="N519" s="1"/>
    </row>
    <row r="520" ht="15.75" customHeight="1">
      <c r="A520" t="s">
        <v>25</v>
      </c>
      <c r="B520" t="s">
        <v>30</v>
      </c>
      <c r="C520" t="s">
        <v>4916</v>
      </c>
      <c r="D520" t="s">
        <v>568</v>
      </c>
      <c r="E520">
        <v>24180.52</v>
      </c>
      <c r="F520">
        <v>7254.16</v>
      </c>
      <c r="G520">
        <v>3117.45</v>
      </c>
      <c r="H520">
        <v>1800.24</v>
      </c>
      <c r="I520">
        <v>34552.13</v>
      </c>
      <c r="J520">
        <v>32751.89</v>
      </c>
      <c r="K520" s="1"/>
      <c r="L520" s="1"/>
      <c r="M520" s="1"/>
      <c r="N520" s="1"/>
    </row>
    <row r="521" ht="15.75" customHeight="1">
      <c r="A521" t="s">
        <v>53</v>
      </c>
      <c r="B521" t="s">
        <v>18</v>
      </c>
      <c r="C521" t="s">
        <v>4917</v>
      </c>
      <c r="D521" t="s">
        <v>569</v>
      </c>
      <c r="E521">
        <v>80797.42</v>
      </c>
      <c r="F521">
        <v>24239.23</v>
      </c>
      <c r="G521">
        <v>12587.75</v>
      </c>
      <c r="H521">
        <v>16736.61</v>
      </c>
      <c r="I521">
        <v>117624.4</v>
      </c>
      <c r="J521">
        <v>100887.79</v>
      </c>
      <c r="K521" s="1"/>
      <c r="L521" s="1"/>
      <c r="M521" s="1"/>
      <c r="N521" s="1"/>
    </row>
    <row r="522" ht="15.75" customHeight="1">
      <c r="A522" t="s">
        <v>29</v>
      </c>
      <c r="B522" t="s">
        <v>30</v>
      </c>
      <c r="C522" t="s">
        <v>4910</v>
      </c>
      <c r="D522" t="s">
        <v>570</v>
      </c>
      <c r="E522">
        <v>26556.19</v>
      </c>
      <c r="F522">
        <v>7966.86</v>
      </c>
      <c r="G522">
        <v>2706.2</v>
      </c>
      <c r="H522">
        <v>5957.96</v>
      </c>
      <c r="I522">
        <v>37229.25</v>
      </c>
      <c r="J522">
        <v>31271.29</v>
      </c>
      <c r="K522" s="1"/>
      <c r="L522" s="1"/>
      <c r="M522" s="1"/>
      <c r="N522" s="1"/>
    </row>
    <row r="523" ht="15.75" customHeight="1">
      <c r="A523" t="s">
        <v>13</v>
      </c>
      <c r="B523" t="s">
        <v>14</v>
      </c>
      <c r="C523" t="s">
        <v>4913</v>
      </c>
      <c r="D523" t="s">
        <v>571</v>
      </c>
      <c r="E523">
        <v>23643.37</v>
      </c>
      <c r="F523">
        <v>7093.01</v>
      </c>
      <c r="G523">
        <v>3753.52</v>
      </c>
      <c r="H523">
        <v>1697.65</v>
      </c>
      <c r="I523">
        <v>34489.9</v>
      </c>
      <c r="J523">
        <v>32792.25</v>
      </c>
      <c r="K523" s="1"/>
      <c r="L523" s="1"/>
      <c r="M523" s="1"/>
      <c r="N523" s="1"/>
    </row>
    <row r="524" ht="15.75" customHeight="1">
      <c r="A524" t="s">
        <v>17</v>
      </c>
      <c r="B524" t="s">
        <v>30</v>
      </c>
      <c r="C524" t="s">
        <v>4907</v>
      </c>
      <c r="D524" t="s">
        <v>572</v>
      </c>
      <c r="E524">
        <v>26396.33</v>
      </c>
      <c r="F524">
        <v>7918.9</v>
      </c>
      <c r="G524">
        <v>3135.51</v>
      </c>
      <c r="H524">
        <v>4183.45</v>
      </c>
      <c r="I524">
        <v>37450.74</v>
      </c>
      <c r="J524">
        <v>33267.29</v>
      </c>
      <c r="K524" s="1"/>
      <c r="L524" s="1"/>
      <c r="M524" s="1"/>
      <c r="N524" s="1"/>
    </row>
    <row r="525" ht="15.75" customHeight="1">
      <c r="A525" t="s">
        <v>29</v>
      </c>
      <c r="B525" t="s">
        <v>33</v>
      </c>
      <c r="C525" t="s">
        <v>4912</v>
      </c>
      <c r="D525" t="s">
        <v>573</v>
      </c>
      <c r="E525">
        <v>26319.83</v>
      </c>
      <c r="F525">
        <v>7895.95</v>
      </c>
      <c r="G525">
        <v>4531.3</v>
      </c>
      <c r="H525">
        <v>4487.9</v>
      </c>
      <c r="I525">
        <v>38747.08</v>
      </c>
      <c r="J525">
        <v>34259.18</v>
      </c>
      <c r="K525" s="1"/>
      <c r="L525" s="1"/>
      <c r="M525" s="1"/>
      <c r="N525" s="1"/>
    </row>
    <row r="526" ht="15.75" customHeight="1">
      <c r="A526" t="s">
        <v>53</v>
      </c>
      <c r="B526" t="s">
        <v>18</v>
      </c>
      <c r="C526" t="s">
        <v>4909</v>
      </c>
      <c r="D526" t="s">
        <v>574</v>
      </c>
      <c r="E526">
        <v>69492.03</v>
      </c>
      <c r="F526">
        <v>20847.61</v>
      </c>
      <c r="G526">
        <v>6546.35</v>
      </c>
      <c r="H526">
        <v>20584.23</v>
      </c>
      <c r="I526">
        <v>96885.99</v>
      </c>
      <c r="J526">
        <v>76301.76</v>
      </c>
      <c r="K526" s="1"/>
      <c r="L526" s="1"/>
      <c r="M526" s="1"/>
      <c r="N526" s="1"/>
    </row>
    <row r="527" ht="15.75" customHeight="1">
      <c r="A527" t="s">
        <v>17</v>
      </c>
      <c r="B527" t="s">
        <v>37</v>
      </c>
      <c r="C527" t="s">
        <v>4907</v>
      </c>
      <c r="D527" t="s">
        <v>575</v>
      </c>
      <c r="E527">
        <v>46215.59</v>
      </c>
      <c r="F527">
        <v>13864.68</v>
      </c>
      <c r="G527">
        <v>2423.41</v>
      </c>
      <c r="H527">
        <v>552.19</v>
      </c>
      <c r="I527">
        <v>62503.68</v>
      </c>
      <c r="J527">
        <v>61951.49</v>
      </c>
      <c r="K527" s="1"/>
      <c r="L527" s="1"/>
      <c r="M527" s="1"/>
      <c r="N527" s="1"/>
    </row>
    <row r="528" ht="15.75" customHeight="1">
      <c r="A528" t="s">
        <v>25</v>
      </c>
      <c r="B528" t="s">
        <v>54</v>
      </c>
      <c r="C528" t="s">
        <v>4913</v>
      </c>
      <c r="D528" t="s">
        <v>576</v>
      </c>
      <c r="E528">
        <v>42092.55</v>
      </c>
      <c r="F528">
        <v>12627.77</v>
      </c>
      <c r="G528">
        <v>5291.63</v>
      </c>
      <c r="H528">
        <v>6327.13</v>
      </c>
      <c r="I528">
        <v>60011.95</v>
      </c>
      <c r="J528">
        <v>53684.82</v>
      </c>
      <c r="K528" s="1"/>
      <c r="L528" s="1"/>
      <c r="M528" s="1"/>
      <c r="N528" s="1"/>
    </row>
    <row r="529" ht="15.75" customHeight="1">
      <c r="A529" t="s">
        <v>36</v>
      </c>
      <c r="B529" t="s">
        <v>18</v>
      </c>
      <c r="C529" t="s">
        <v>4911</v>
      </c>
      <c r="D529" t="s">
        <v>577</v>
      </c>
      <c r="E529">
        <v>75459.21</v>
      </c>
      <c r="F529">
        <v>22637.76</v>
      </c>
      <c r="G529">
        <v>9666.89</v>
      </c>
      <c r="H529">
        <v>12171.31</v>
      </c>
      <c r="I529">
        <v>107763.86</v>
      </c>
      <c r="J529">
        <v>95592.55</v>
      </c>
      <c r="K529" s="1"/>
      <c r="L529" s="1"/>
      <c r="M529" s="1"/>
      <c r="N529" s="1"/>
    </row>
    <row r="530" ht="15.75" customHeight="1">
      <c r="A530" t="s">
        <v>29</v>
      </c>
      <c r="B530" t="s">
        <v>14</v>
      </c>
      <c r="C530" t="s">
        <v>4911</v>
      </c>
      <c r="D530" t="s">
        <v>578</v>
      </c>
      <c r="E530">
        <v>20231.33</v>
      </c>
      <c r="F530">
        <v>6069.4</v>
      </c>
      <c r="G530">
        <v>2068.87</v>
      </c>
      <c r="H530">
        <v>14830.17958067168</v>
      </c>
      <c r="I530">
        <v>28369.6</v>
      </c>
      <c r="J530">
        <v>13539.42</v>
      </c>
      <c r="K530" s="1"/>
      <c r="L530" s="1"/>
      <c r="M530" s="1"/>
      <c r="N530" s="1"/>
    </row>
    <row r="531" ht="15.75" customHeight="1">
      <c r="A531" t="s">
        <v>53</v>
      </c>
      <c r="B531" t="s">
        <v>33</v>
      </c>
      <c r="C531" t="s">
        <v>4917</v>
      </c>
      <c r="D531" t="s">
        <v>579</v>
      </c>
      <c r="E531">
        <v>28907.32</v>
      </c>
      <c r="F531">
        <v>8672.2</v>
      </c>
      <c r="G531">
        <v>3667.15</v>
      </c>
      <c r="H531">
        <v>7237.18</v>
      </c>
      <c r="I531">
        <v>41246.67</v>
      </c>
      <c r="J531">
        <v>34009.49</v>
      </c>
      <c r="K531" s="1"/>
      <c r="L531" s="1"/>
      <c r="M531" s="1"/>
      <c r="N531" s="1"/>
    </row>
    <row r="532" ht="15.75" customHeight="1">
      <c r="A532" t="s">
        <v>13</v>
      </c>
      <c r="B532" t="s">
        <v>14</v>
      </c>
      <c r="C532" t="s">
        <v>4908</v>
      </c>
      <c r="D532" t="s">
        <v>580</v>
      </c>
      <c r="E532">
        <v>20233.22</v>
      </c>
      <c r="F532">
        <v>6069.97</v>
      </c>
      <c r="G532">
        <v>1770.35</v>
      </c>
      <c r="H532">
        <v>5787.28</v>
      </c>
      <c r="I532">
        <v>28073.54</v>
      </c>
      <c r="J532">
        <v>22286.26</v>
      </c>
      <c r="K532" s="1"/>
      <c r="L532" s="1"/>
      <c r="M532" s="1"/>
      <c r="N532" s="1"/>
    </row>
    <row r="533" ht="15.75" customHeight="1">
      <c r="A533" t="s">
        <v>17</v>
      </c>
      <c r="B533" t="s">
        <v>33</v>
      </c>
      <c r="C533" t="s">
        <v>4907</v>
      </c>
      <c r="D533" t="s">
        <v>581</v>
      </c>
      <c r="E533">
        <v>31660.8</v>
      </c>
      <c r="F533">
        <v>9498.24</v>
      </c>
      <c r="G533">
        <v>4166.89</v>
      </c>
      <c r="H533">
        <v>1668.33</v>
      </c>
      <c r="I533">
        <v>45325.93</v>
      </c>
      <c r="J533">
        <v>43657.6</v>
      </c>
      <c r="K533" s="1"/>
      <c r="L533" s="1"/>
      <c r="M533" s="1"/>
      <c r="N533" s="1"/>
    </row>
    <row r="534" ht="15.75" customHeight="1">
      <c r="A534" t="s">
        <v>13</v>
      </c>
      <c r="B534" t="s">
        <v>30</v>
      </c>
      <c r="C534" t="s">
        <v>4915</v>
      </c>
      <c r="D534" t="s">
        <v>582</v>
      </c>
      <c r="E534">
        <v>28173.2</v>
      </c>
      <c r="F534">
        <v>8451.96</v>
      </c>
      <c r="G534">
        <v>923.14</v>
      </c>
      <c r="H534">
        <v>8054.85</v>
      </c>
      <c r="I534">
        <v>37548.3</v>
      </c>
      <c r="J534">
        <v>29493.45</v>
      </c>
      <c r="K534" s="1"/>
      <c r="L534" s="1"/>
      <c r="M534" s="1"/>
      <c r="N534" s="1"/>
    </row>
    <row r="535" ht="15.75" customHeight="1">
      <c r="A535" t="s">
        <v>53</v>
      </c>
      <c r="B535" t="s">
        <v>26</v>
      </c>
      <c r="C535" t="s">
        <v>4905</v>
      </c>
      <c r="D535" t="s">
        <v>583</v>
      </c>
      <c r="E535">
        <v>119610.25</v>
      </c>
      <c r="F535">
        <v>35883.07</v>
      </c>
      <c r="G535">
        <v>6201.72</v>
      </c>
      <c r="H535">
        <v>13343.82</v>
      </c>
      <c r="I535">
        <v>161695.04</v>
      </c>
      <c r="J535">
        <v>148351.22</v>
      </c>
      <c r="K535" s="1"/>
      <c r="L535" s="1"/>
      <c r="M535" s="1"/>
      <c r="N535" s="1"/>
    </row>
    <row r="536" ht="15.75" customHeight="1">
      <c r="A536" t="s">
        <v>25</v>
      </c>
      <c r="B536" t="s">
        <v>26</v>
      </c>
      <c r="C536" t="s">
        <v>4907</v>
      </c>
      <c r="D536" t="s">
        <v>584</v>
      </c>
      <c r="E536">
        <v>99675.52</v>
      </c>
      <c r="F536">
        <v>29902.66</v>
      </c>
      <c r="G536">
        <v>17670.77</v>
      </c>
      <c r="H536">
        <v>23067.81</v>
      </c>
      <c r="I536">
        <v>147248.95</v>
      </c>
      <c r="J536">
        <v>124181.14</v>
      </c>
      <c r="K536" s="1"/>
      <c r="L536" s="1"/>
      <c r="M536" s="1"/>
      <c r="N536" s="1"/>
    </row>
    <row r="537" ht="15.75" customHeight="1">
      <c r="A537" t="s">
        <v>29</v>
      </c>
      <c r="B537" t="s">
        <v>26</v>
      </c>
      <c r="C537" t="s">
        <v>4916</v>
      </c>
      <c r="D537" t="s">
        <v>585</v>
      </c>
      <c r="E537">
        <v>105455.68</v>
      </c>
      <c r="F537">
        <v>31636.7</v>
      </c>
      <c r="G537">
        <v>11048.68</v>
      </c>
      <c r="H537">
        <v>8318.86</v>
      </c>
      <c r="I537">
        <v>148141.06</v>
      </c>
      <c r="J537">
        <v>139822.2</v>
      </c>
      <c r="K537" s="1"/>
      <c r="L537" s="1"/>
      <c r="M537" s="1"/>
      <c r="N537" s="1"/>
    </row>
    <row r="538" ht="15.75" customHeight="1">
      <c r="A538" t="s">
        <v>13</v>
      </c>
      <c r="B538" t="s">
        <v>14</v>
      </c>
      <c r="C538" t="s">
        <v>4916</v>
      </c>
      <c r="D538" t="s">
        <v>586</v>
      </c>
      <c r="E538">
        <v>21572.26</v>
      </c>
      <c r="F538">
        <v>6471.68</v>
      </c>
      <c r="G538">
        <v>2203.74</v>
      </c>
      <c r="H538">
        <v>358.78</v>
      </c>
      <c r="I538">
        <v>30247.68</v>
      </c>
      <c r="J538">
        <v>29888.9</v>
      </c>
      <c r="K538" s="1"/>
      <c r="L538" s="1"/>
      <c r="M538" s="1"/>
      <c r="N538" s="1"/>
    </row>
    <row r="539" ht="15.75" customHeight="1">
      <c r="A539" t="s">
        <v>51</v>
      </c>
      <c r="B539" t="s">
        <v>33</v>
      </c>
      <c r="C539" t="s">
        <v>4917</v>
      </c>
      <c r="D539" t="s">
        <v>587</v>
      </c>
      <c r="E539">
        <v>26573.1</v>
      </c>
      <c r="F539">
        <v>7971.93</v>
      </c>
      <c r="G539">
        <v>4109.95</v>
      </c>
      <c r="H539">
        <v>7129.05</v>
      </c>
      <c r="I539">
        <v>38654.98</v>
      </c>
      <c r="J539">
        <v>31525.93</v>
      </c>
      <c r="K539" s="1"/>
      <c r="L539" s="1"/>
      <c r="M539" s="1"/>
      <c r="N539" s="1"/>
    </row>
    <row r="540" ht="15.75" customHeight="1">
      <c r="A540" t="s">
        <v>13</v>
      </c>
      <c r="B540" t="s">
        <v>14</v>
      </c>
      <c r="C540" t="s">
        <v>4907</v>
      </c>
      <c r="D540" t="s">
        <v>588</v>
      </c>
      <c r="E540">
        <v>19644.51</v>
      </c>
      <c r="F540">
        <v>5893.35</v>
      </c>
      <c r="G540">
        <v>1999.12</v>
      </c>
      <c r="H540">
        <v>259.53</v>
      </c>
      <c r="I540">
        <v>27536.98</v>
      </c>
      <c r="J540">
        <v>27277.45</v>
      </c>
      <c r="K540" s="1"/>
      <c r="L540" s="1"/>
      <c r="M540" s="1"/>
      <c r="N540" s="1"/>
    </row>
    <row r="541" ht="15.75" customHeight="1">
      <c r="A541" t="s">
        <v>51</v>
      </c>
      <c r="B541" t="s">
        <v>14</v>
      </c>
      <c r="C541" t="s">
        <v>4907</v>
      </c>
      <c r="D541" t="s">
        <v>589</v>
      </c>
      <c r="E541">
        <v>21396.71</v>
      </c>
      <c r="F541">
        <v>6419.01</v>
      </c>
      <c r="G541">
        <v>1638.9</v>
      </c>
      <c r="H541">
        <v>963.4</v>
      </c>
      <c r="I541">
        <v>29454.62</v>
      </c>
      <c r="J541">
        <v>28491.22</v>
      </c>
      <c r="K541" s="1"/>
      <c r="L541" s="1"/>
      <c r="M541" s="1"/>
      <c r="N541" s="1"/>
    </row>
    <row r="542" ht="15.75" customHeight="1">
      <c r="A542" t="s">
        <v>53</v>
      </c>
      <c r="B542" t="s">
        <v>26</v>
      </c>
      <c r="C542" t="s">
        <v>4912</v>
      </c>
      <c r="D542" t="s">
        <v>590</v>
      </c>
      <c r="E542">
        <v>122902.12</v>
      </c>
      <c r="F542">
        <v>36870.64</v>
      </c>
      <c r="G542">
        <v>18205.88</v>
      </c>
      <c r="H542">
        <v>15462.41</v>
      </c>
      <c r="I542">
        <v>177978.64</v>
      </c>
      <c r="J542">
        <v>162516.23</v>
      </c>
      <c r="K542" s="1"/>
      <c r="L542" s="1"/>
      <c r="M542" s="1"/>
      <c r="N542" s="1"/>
    </row>
    <row r="543" ht="15.75" customHeight="1">
      <c r="A543" t="s">
        <v>51</v>
      </c>
      <c r="B543" t="s">
        <v>54</v>
      </c>
      <c r="C543" t="s">
        <v>4916</v>
      </c>
      <c r="D543" t="s">
        <v>592</v>
      </c>
      <c r="E543">
        <v>47821.97</v>
      </c>
      <c r="F543">
        <v>14346.59</v>
      </c>
      <c r="G543">
        <v>3059.99</v>
      </c>
      <c r="H543">
        <v>11850.24</v>
      </c>
      <c r="I543">
        <v>65228.55</v>
      </c>
      <c r="J543">
        <v>53378.31</v>
      </c>
      <c r="K543" s="1"/>
      <c r="L543" s="1"/>
      <c r="M543" s="1"/>
      <c r="N543" s="1"/>
    </row>
    <row r="544" ht="15.75" customHeight="1">
      <c r="A544" t="s">
        <v>29</v>
      </c>
      <c r="B544" t="s">
        <v>14</v>
      </c>
      <c r="C544" t="s">
        <v>4915</v>
      </c>
      <c r="D544" t="s">
        <v>593</v>
      </c>
      <c r="E544">
        <v>21614.69</v>
      </c>
      <c r="F544">
        <v>6484.41</v>
      </c>
      <c r="G544">
        <v>3899.04</v>
      </c>
      <c r="H544">
        <v>1162.94</v>
      </c>
      <c r="I544">
        <v>31998.14</v>
      </c>
      <c r="J544">
        <v>30835.2</v>
      </c>
      <c r="K544" s="1"/>
      <c r="L544" s="1"/>
      <c r="M544" s="1"/>
      <c r="N544" s="1"/>
    </row>
    <row r="545" ht="15.75" customHeight="1">
      <c r="A545" t="s">
        <v>17</v>
      </c>
      <c r="B545" t="s">
        <v>54</v>
      </c>
      <c r="C545" t="s">
        <v>4910</v>
      </c>
      <c r="D545" t="s">
        <v>594</v>
      </c>
      <c r="E545">
        <v>35964.97</v>
      </c>
      <c r="F545">
        <v>10789.49</v>
      </c>
      <c r="G545">
        <v>3345.42</v>
      </c>
      <c r="H545">
        <v>14735.51589897765</v>
      </c>
      <c r="I545">
        <v>50099.88</v>
      </c>
      <c r="J545">
        <v>35364.36</v>
      </c>
      <c r="K545" s="1"/>
      <c r="L545" s="1"/>
      <c r="M545" s="1"/>
      <c r="N545" s="1"/>
    </row>
    <row r="546" ht="15.75" customHeight="1">
      <c r="A546" t="s">
        <v>29</v>
      </c>
      <c r="B546" t="s">
        <v>14</v>
      </c>
      <c r="C546" t="s">
        <v>4916</v>
      </c>
      <c r="D546" t="s">
        <v>595</v>
      </c>
      <c r="E546">
        <v>21982.26</v>
      </c>
      <c r="F546">
        <v>6594.68</v>
      </c>
      <c r="G546">
        <v>35.04</v>
      </c>
      <c r="H546">
        <v>1323.36</v>
      </c>
      <c r="I546">
        <v>28611.98</v>
      </c>
      <c r="J546">
        <v>27288.62</v>
      </c>
      <c r="K546" s="1"/>
      <c r="L546" s="1"/>
      <c r="M546" s="1"/>
      <c r="N546" s="1"/>
    </row>
    <row r="547" ht="15.75" customHeight="1">
      <c r="A547" t="s">
        <v>25</v>
      </c>
      <c r="B547" t="s">
        <v>33</v>
      </c>
      <c r="C547" t="s">
        <v>4914</v>
      </c>
      <c r="D547" t="s">
        <v>596</v>
      </c>
      <c r="E547">
        <v>32395.76</v>
      </c>
      <c r="F547">
        <v>9718.73</v>
      </c>
      <c r="G547">
        <v>1571.74</v>
      </c>
      <c r="H547">
        <v>3579.15</v>
      </c>
      <c r="I547">
        <v>43686.23</v>
      </c>
      <c r="J547">
        <v>40107.08</v>
      </c>
      <c r="K547" s="1"/>
      <c r="L547" s="1"/>
      <c r="M547" s="1"/>
      <c r="N547" s="1"/>
    </row>
    <row r="548" ht="15.75" customHeight="1">
      <c r="A548" t="s">
        <v>25</v>
      </c>
      <c r="B548" t="s">
        <v>26</v>
      </c>
      <c r="C548" t="s">
        <v>4908</v>
      </c>
      <c r="D548" t="s">
        <v>597</v>
      </c>
      <c r="E548">
        <v>97035.21</v>
      </c>
      <c r="F548">
        <v>29110.56</v>
      </c>
      <c r="G548">
        <v>17474.94</v>
      </c>
      <c r="H548">
        <v>22138.07</v>
      </c>
      <c r="I548">
        <v>143620.71</v>
      </c>
      <c r="J548">
        <v>121482.64</v>
      </c>
      <c r="K548" s="1"/>
      <c r="L548" s="1"/>
      <c r="M548" s="1"/>
      <c r="N548" s="1"/>
    </row>
    <row r="549" ht="15.75" customHeight="1">
      <c r="A549" t="s">
        <v>51</v>
      </c>
      <c r="B549" t="s">
        <v>14</v>
      </c>
      <c r="C549" t="s">
        <v>4917</v>
      </c>
      <c r="D549" t="s">
        <v>598</v>
      </c>
      <c r="E549">
        <v>24713.26</v>
      </c>
      <c r="F549">
        <v>7413.98</v>
      </c>
      <c r="G549">
        <v>118.18</v>
      </c>
      <c r="H549">
        <v>4015.0</v>
      </c>
      <c r="I549">
        <v>32245.42</v>
      </c>
      <c r="J549">
        <v>28230.42</v>
      </c>
      <c r="K549" s="1"/>
      <c r="L549" s="1"/>
      <c r="M549" s="1"/>
      <c r="N549" s="1"/>
    </row>
    <row r="550" ht="15.75" customHeight="1">
      <c r="A550" t="s">
        <v>25</v>
      </c>
      <c r="B550" t="s">
        <v>18</v>
      </c>
      <c r="C550" t="s">
        <v>4917</v>
      </c>
      <c r="D550" t="s">
        <v>599</v>
      </c>
      <c r="E550">
        <v>87807.16</v>
      </c>
      <c r="F550">
        <v>26342.15</v>
      </c>
      <c r="G550">
        <v>16700.75</v>
      </c>
      <c r="H550">
        <v>38.51</v>
      </c>
      <c r="I550">
        <v>130850.06</v>
      </c>
      <c r="J550">
        <v>130811.55</v>
      </c>
      <c r="K550" s="1"/>
      <c r="L550" s="1"/>
      <c r="M550" s="1"/>
      <c r="N550" s="1"/>
    </row>
    <row r="551" ht="15.75" customHeight="1">
      <c r="A551" t="s">
        <v>36</v>
      </c>
      <c r="B551" t="s">
        <v>26</v>
      </c>
      <c r="C551" t="s">
        <v>4908</v>
      </c>
      <c r="D551" t="s">
        <v>600</v>
      </c>
      <c r="E551">
        <v>116570.98</v>
      </c>
      <c r="F551">
        <v>34971.29</v>
      </c>
      <c r="G551">
        <v>7169.36</v>
      </c>
      <c r="H551">
        <v>7175.91</v>
      </c>
      <c r="I551">
        <v>158711.63</v>
      </c>
      <c r="J551">
        <v>151535.72</v>
      </c>
      <c r="K551" s="1"/>
      <c r="L551" s="1"/>
      <c r="M551" s="1"/>
      <c r="N551" s="1"/>
    </row>
    <row r="552" ht="15.75" customHeight="1">
      <c r="A552" t="s">
        <v>36</v>
      </c>
      <c r="B552" t="s">
        <v>54</v>
      </c>
      <c r="C552" t="s">
        <v>4910</v>
      </c>
      <c r="D552" t="s">
        <v>601</v>
      </c>
      <c r="E552">
        <v>48456.59</v>
      </c>
      <c r="F552">
        <v>14536.98</v>
      </c>
      <c r="G552">
        <v>9425.38</v>
      </c>
      <c r="H552">
        <v>2069.68</v>
      </c>
      <c r="I552">
        <v>72418.95</v>
      </c>
      <c r="J552">
        <v>70349.27</v>
      </c>
      <c r="K552" s="1"/>
      <c r="L552" s="1"/>
      <c r="M552" s="1"/>
      <c r="N552" s="1"/>
    </row>
    <row r="553" ht="15.75" customHeight="1">
      <c r="A553" t="s">
        <v>17</v>
      </c>
      <c r="B553" t="s">
        <v>14</v>
      </c>
      <c r="C553" t="s">
        <v>4905</v>
      </c>
      <c r="D553" t="s">
        <v>602</v>
      </c>
      <c r="E553">
        <v>24633.18</v>
      </c>
      <c r="F553">
        <v>7389.95</v>
      </c>
      <c r="G553">
        <v>4420.61</v>
      </c>
      <c r="H553">
        <v>3841.0</v>
      </c>
      <c r="I553">
        <v>36443.74</v>
      </c>
      <c r="J553">
        <v>32602.74</v>
      </c>
      <c r="K553" s="1"/>
      <c r="L553" s="1"/>
      <c r="M553" s="1"/>
      <c r="N553" s="1"/>
    </row>
    <row r="554" ht="15.75" customHeight="1">
      <c r="A554" t="s">
        <v>29</v>
      </c>
      <c r="B554" t="s">
        <v>54</v>
      </c>
      <c r="C554" t="s">
        <v>4911</v>
      </c>
      <c r="D554" t="s">
        <v>603</v>
      </c>
      <c r="E554">
        <v>48643.77</v>
      </c>
      <c r="F554">
        <v>14593.13</v>
      </c>
      <c r="G554">
        <v>825.99</v>
      </c>
      <c r="H554">
        <v>1394.77</v>
      </c>
      <c r="I554">
        <v>64062.89</v>
      </c>
      <c r="J554">
        <v>62668.12</v>
      </c>
      <c r="K554" s="1"/>
      <c r="L554" s="1"/>
      <c r="M554" s="1"/>
      <c r="N554" s="1"/>
    </row>
    <row r="555" ht="15.75" customHeight="1">
      <c r="A555" t="s">
        <v>13</v>
      </c>
      <c r="B555" t="s">
        <v>26</v>
      </c>
      <c r="C555" t="s">
        <v>4917</v>
      </c>
      <c r="D555" t="s">
        <v>604</v>
      </c>
      <c r="E555">
        <v>104196.65</v>
      </c>
      <c r="F555">
        <v>31258.99</v>
      </c>
      <c r="G555">
        <v>12334.71</v>
      </c>
      <c r="H555">
        <v>1946.9</v>
      </c>
      <c r="I555">
        <v>147790.35</v>
      </c>
      <c r="J555">
        <v>145843.45</v>
      </c>
      <c r="K555" s="1"/>
      <c r="L555" s="1"/>
      <c r="M555" s="1"/>
      <c r="N555" s="1"/>
    </row>
    <row r="556" ht="15.75" customHeight="1">
      <c r="A556" t="s">
        <v>51</v>
      </c>
      <c r="B556" t="s">
        <v>30</v>
      </c>
      <c r="C556" t="s">
        <v>4913</v>
      </c>
      <c r="D556" t="s">
        <v>605</v>
      </c>
      <c r="E556">
        <v>24566.75</v>
      </c>
      <c r="F556">
        <v>7370.02</v>
      </c>
      <c r="G556">
        <v>4180.84</v>
      </c>
      <c r="H556">
        <v>6824.95</v>
      </c>
      <c r="I556">
        <v>36117.61</v>
      </c>
      <c r="J556">
        <v>29292.66</v>
      </c>
      <c r="K556" s="1"/>
      <c r="L556" s="1"/>
      <c r="M556" s="1"/>
      <c r="N556" s="1"/>
    </row>
    <row r="557" ht="15.75" customHeight="1">
      <c r="A557" t="s">
        <v>13</v>
      </c>
      <c r="B557" t="s">
        <v>26</v>
      </c>
      <c r="C557" t="s">
        <v>4909</v>
      </c>
      <c r="D557" t="s">
        <v>606</v>
      </c>
      <c r="E557">
        <v>116472.7</v>
      </c>
      <c r="F557">
        <v>34941.81</v>
      </c>
      <c r="G557">
        <v>7409.01</v>
      </c>
      <c r="H557">
        <v>9502.63</v>
      </c>
      <c r="I557">
        <v>158823.52</v>
      </c>
      <c r="J557">
        <v>149320.89</v>
      </c>
      <c r="K557" s="1"/>
      <c r="L557" s="1"/>
      <c r="M557" s="1"/>
      <c r="N557" s="1"/>
    </row>
    <row r="558" ht="15.75" customHeight="1">
      <c r="A558" t="s">
        <v>36</v>
      </c>
      <c r="B558" t="s">
        <v>54</v>
      </c>
      <c r="C558" t="s">
        <v>4907</v>
      </c>
      <c r="D558" t="s">
        <v>607</v>
      </c>
      <c r="E558">
        <v>39396.47</v>
      </c>
      <c r="F558">
        <v>11818.94</v>
      </c>
      <c r="G558">
        <v>951.32</v>
      </c>
      <c r="H558">
        <v>4234.58</v>
      </c>
      <c r="I558">
        <v>52166.73</v>
      </c>
      <c r="J558">
        <v>47932.15</v>
      </c>
      <c r="K558" s="1"/>
      <c r="L558" s="1"/>
      <c r="M558" s="1"/>
      <c r="N558" s="1"/>
    </row>
    <row r="559" ht="15.75" customHeight="1">
      <c r="A559" t="s">
        <v>36</v>
      </c>
      <c r="B559" t="s">
        <v>33</v>
      </c>
      <c r="C559" t="s">
        <v>4917</v>
      </c>
      <c r="D559" t="s">
        <v>608</v>
      </c>
      <c r="E559">
        <v>29633.47</v>
      </c>
      <c r="F559">
        <v>8890.04</v>
      </c>
      <c r="G559">
        <v>5052.4</v>
      </c>
      <c r="H559">
        <v>803.85</v>
      </c>
      <c r="I559">
        <v>43575.91</v>
      </c>
      <c r="J559">
        <v>42772.06</v>
      </c>
      <c r="K559" s="1"/>
      <c r="L559" s="1"/>
      <c r="M559" s="1"/>
      <c r="N559" s="1"/>
    </row>
    <row r="560" ht="15.75" customHeight="1">
      <c r="A560" t="s">
        <v>29</v>
      </c>
      <c r="B560" t="s">
        <v>26</v>
      </c>
      <c r="C560" t="s">
        <v>4912</v>
      </c>
      <c r="D560" t="s">
        <v>609</v>
      </c>
      <c r="E560">
        <v>115369.37</v>
      </c>
      <c r="F560">
        <v>34610.81</v>
      </c>
      <c r="G560">
        <v>13920.53</v>
      </c>
      <c r="H560">
        <v>7442.04</v>
      </c>
      <c r="I560">
        <v>163900.71</v>
      </c>
      <c r="J560">
        <v>156458.67</v>
      </c>
      <c r="K560" s="1"/>
      <c r="L560" s="1"/>
      <c r="M560" s="1"/>
      <c r="N560" s="1"/>
    </row>
    <row r="561" ht="15.75" customHeight="1">
      <c r="A561" t="s">
        <v>51</v>
      </c>
      <c r="B561" t="s">
        <v>14</v>
      </c>
      <c r="C561" t="s">
        <v>4907</v>
      </c>
      <c r="D561" t="s">
        <v>610</v>
      </c>
      <c r="E561">
        <v>23120.33</v>
      </c>
      <c r="F561">
        <v>6936.1</v>
      </c>
      <c r="G561">
        <v>4477.95</v>
      </c>
      <c r="H561">
        <v>2748.39</v>
      </c>
      <c r="I561">
        <v>34534.38</v>
      </c>
      <c r="J561">
        <v>31785.99</v>
      </c>
      <c r="K561" s="1"/>
      <c r="L561" s="1"/>
      <c r="M561" s="1"/>
      <c r="N561" s="1"/>
    </row>
    <row r="562" ht="15.75" customHeight="1">
      <c r="A562" t="s">
        <v>13</v>
      </c>
      <c r="B562" t="s">
        <v>33</v>
      </c>
      <c r="C562" t="s">
        <v>4913</v>
      </c>
      <c r="D562" t="s">
        <v>611</v>
      </c>
      <c r="E562">
        <v>27601.67</v>
      </c>
      <c r="F562">
        <v>8280.5</v>
      </c>
      <c r="G562">
        <v>5468.87</v>
      </c>
      <c r="H562">
        <v>14327.38295125808</v>
      </c>
      <c r="I562">
        <v>41351.04</v>
      </c>
      <c r="J562">
        <v>27023.66</v>
      </c>
      <c r="K562" s="1"/>
      <c r="L562" s="1"/>
      <c r="M562" s="1"/>
      <c r="N562" s="1"/>
    </row>
    <row r="563" ht="15.75" customHeight="1">
      <c r="A563" t="s">
        <v>25</v>
      </c>
      <c r="B563" t="s">
        <v>54</v>
      </c>
      <c r="C563" t="s">
        <v>4909</v>
      </c>
      <c r="D563" t="s">
        <v>612</v>
      </c>
      <c r="E563">
        <v>42783.35</v>
      </c>
      <c r="F563">
        <v>12835.0</v>
      </c>
      <c r="G563">
        <v>4707.2</v>
      </c>
      <c r="H563">
        <v>1215.8</v>
      </c>
      <c r="I563">
        <v>60325.55</v>
      </c>
      <c r="J563">
        <v>59109.75</v>
      </c>
      <c r="K563" s="1"/>
      <c r="L563" s="1"/>
      <c r="M563" s="1"/>
      <c r="N563" s="1"/>
    </row>
    <row r="564" ht="15.75" customHeight="1">
      <c r="A564" t="s">
        <v>25</v>
      </c>
      <c r="B564" t="s">
        <v>26</v>
      </c>
      <c r="C564" t="s">
        <v>4908</v>
      </c>
      <c r="D564" t="s">
        <v>613</v>
      </c>
      <c r="E564">
        <v>95032.55</v>
      </c>
      <c r="F564">
        <v>28509.76</v>
      </c>
      <c r="G564">
        <v>227.26</v>
      </c>
      <c r="H564">
        <v>23673.72</v>
      </c>
      <c r="I564">
        <v>123769.57</v>
      </c>
      <c r="J564">
        <v>100095.85</v>
      </c>
      <c r="K564" s="1"/>
      <c r="L564" s="1"/>
      <c r="M564" s="1"/>
      <c r="N564" s="1"/>
    </row>
    <row r="565" ht="15.75" customHeight="1">
      <c r="A565" t="s">
        <v>51</v>
      </c>
      <c r="B565" t="s">
        <v>30</v>
      </c>
      <c r="C565" t="s">
        <v>4917</v>
      </c>
      <c r="D565" t="s">
        <v>614</v>
      </c>
      <c r="E565">
        <v>29248.33</v>
      </c>
      <c r="F565">
        <v>8774.5</v>
      </c>
      <c r="G565">
        <v>2177.48</v>
      </c>
      <c r="H565">
        <v>5530.55</v>
      </c>
      <c r="I565">
        <v>40200.31</v>
      </c>
      <c r="J565">
        <v>34669.76</v>
      </c>
      <c r="K565" s="1"/>
      <c r="L565" s="1"/>
      <c r="M565" s="1"/>
      <c r="N565" s="1"/>
    </row>
    <row r="566" ht="15.75" customHeight="1">
      <c r="A566" t="s">
        <v>17</v>
      </c>
      <c r="B566" t="s">
        <v>37</v>
      </c>
      <c r="C566" t="s">
        <v>4909</v>
      </c>
      <c r="D566" t="s">
        <v>615</v>
      </c>
      <c r="E566">
        <v>55550.14</v>
      </c>
      <c r="F566">
        <v>16665.04</v>
      </c>
      <c r="G566">
        <v>10192.66</v>
      </c>
      <c r="H566">
        <v>1249.66</v>
      </c>
      <c r="I566">
        <v>82407.84</v>
      </c>
      <c r="J566">
        <v>81158.18</v>
      </c>
      <c r="K566" s="1"/>
      <c r="L566" s="1"/>
      <c r="M566" s="1"/>
      <c r="N566" s="1"/>
    </row>
    <row r="567" ht="15.75" customHeight="1">
      <c r="A567" t="s">
        <v>51</v>
      </c>
      <c r="B567" t="s">
        <v>18</v>
      </c>
      <c r="C567" t="s">
        <v>4912</v>
      </c>
      <c r="D567" t="s">
        <v>616</v>
      </c>
      <c r="E567">
        <v>76529.21</v>
      </c>
      <c r="F567">
        <v>22958.76</v>
      </c>
      <c r="G567">
        <v>1971.26</v>
      </c>
      <c r="H567">
        <v>20779.47</v>
      </c>
      <c r="I567">
        <v>101459.23</v>
      </c>
      <c r="J567">
        <v>80679.76</v>
      </c>
      <c r="K567" s="1"/>
      <c r="L567" s="1"/>
      <c r="M567" s="1"/>
      <c r="N567" s="1"/>
    </row>
    <row r="568" ht="15.75" customHeight="1">
      <c r="A568" t="s">
        <v>17</v>
      </c>
      <c r="B568" t="s">
        <v>14</v>
      </c>
      <c r="C568" t="s">
        <v>4913</v>
      </c>
      <c r="D568" t="s">
        <v>617</v>
      </c>
      <c r="E568">
        <v>24784.42</v>
      </c>
      <c r="F568">
        <v>7435.33</v>
      </c>
      <c r="G568">
        <v>251.01</v>
      </c>
      <c r="H568">
        <v>6871.22</v>
      </c>
      <c r="I568">
        <v>32470.76</v>
      </c>
      <c r="J568">
        <v>25599.54</v>
      </c>
      <c r="K568" s="1"/>
      <c r="L568" s="1"/>
      <c r="M568" s="1"/>
      <c r="N568" s="1"/>
    </row>
    <row r="569" ht="15.75" customHeight="1">
      <c r="A569" t="s">
        <v>25</v>
      </c>
      <c r="B569" t="s">
        <v>18</v>
      </c>
      <c r="C569" t="s">
        <v>4911</v>
      </c>
      <c r="D569" t="s">
        <v>618</v>
      </c>
      <c r="E569">
        <v>75269.97</v>
      </c>
      <c r="F569">
        <v>22580.99</v>
      </c>
      <c r="G569">
        <v>443.83</v>
      </c>
      <c r="H569">
        <v>15427.62</v>
      </c>
      <c r="I569">
        <v>98294.79</v>
      </c>
      <c r="J569">
        <v>82867.17</v>
      </c>
      <c r="K569" s="1"/>
      <c r="L569" s="1"/>
      <c r="M569" s="1"/>
      <c r="N569" s="1"/>
    </row>
    <row r="570" ht="15.75" customHeight="1">
      <c r="A570" t="s">
        <v>29</v>
      </c>
      <c r="B570" t="s">
        <v>30</v>
      </c>
      <c r="C570" t="s">
        <v>4911</v>
      </c>
      <c r="D570" t="s">
        <v>619</v>
      </c>
      <c r="E570">
        <v>29993.08</v>
      </c>
      <c r="F570">
        <v>8997.92</v>
      </c>
      <c r="G570">
        <v>1649.51</v>
      </c>
      <c r="H570">
        <v>4013.18</v>
      </c>
      <c r="I570">
        <v>40640.51</v>
      </c>
      <c r="J570">
        <v>36627.33</v>
      </c>
      <c r="K570" s="1"/>
      <c r="L570" s="1"/>
      <c r="M570" s="1"/>
      <c r="N570" s="1"/>
    </row>
    <row r="571" ht="15.75" customHeight="1">
      <c r="A571" t="s">
        <v>17</v>
      </c>
      <c r="B571" t="s">
        <v>37</v>
      </c>
      <c r="C571" t="s">
        <v>4913</v>
      </c>
      <c r="D571" t="s">
        <v>620</v>
      </c>
      <c r="E571">
        <v>56145.18</v>
      </c>
      <c r="F571">
        <v>16843.55</v>
      </c>
      <c r="G571">
        <v>2759.93</v>
      </c>
      <c r="H571">
        <v>4970.62</v>
      </c>
      <c r="I571">
        <v>75748.66</v>
      </c>
      <c r="J571">
        <v>70778.04</v>
      </c>
      <c r="K571" s="1"/>
      <c r="L571" s="1"/>
      <c r="M571" s="1"/>
      <c r="N571" s="1"/>
    </row>
    <row r="572" ht="15.75" customHeight="1">
      <c r="A572" t="s">
        <v>53</v>
      </c>
      <c r="B572" t="s">
        <v>54</v>
      </c>
      <c r="C572" t="s">
        <v>4908</v>
      </c>
      <c r="D572" t="s">
        <v>621</v>
      </c>
      <c r="E572">
        <v>35853.71</v>
      </c>
      <c r="F572">
        <v>10756.11</v>
      </c>
      <c r="G572">
        <v>2006.2</v>
      </c>
      <c r="H572">
        <v>1476.13</v>
      </c>
      <c r="I572">
        <v>48616.02</v>
      </c>
      <c r="J572">
        <v>47139.89</v>
      </c>
      <c r="K572" s="1"/>
      <c r="L572" s="1"/>
      <c r="M572" s="1"/>
      <c r="N572" s="1"/>
    </row>
    <row r="573" ht="15.75" customHeight="1">
      <c r="A573" t="s">
        <v>13</v>
      </c>
      <c r="B573" t="s">
        <v>26</v>
      </c>
      <c r="C573" t="s">
        <v>4907</v>
      </c>
      <c r="D573" t="s">
        <v>622</v>
      </c>
      <c r="E573">
        <v>108929.31</v>
      </c>
      <c r="F573">
        <v>32678.79</v>
      </c>
      <c r="G573">
        <v>13741.53</v>
      </c>
      <c r="H573">
        <v>26213.88</v>
      </c>
      <c r="I573">
        <v>155349.63</v>
      </c>
      <c r="J573">
        <v>129135.75</v>
      </c>
      <c r="K573" s="1"/>
      <c r="L573" s="1"/>
      <c r="M573" s="1"/>
      <c r="N573" s="1"/>
    </row>
    <row r="574" ht="15.75" customHeight="1">
      <c r="A574" t="s">
        <v>36</v>
      </c>
      <c r="B574" t="s">
        <v>26</v>
      </c>
      <c r="C574" t="s">
        <v>4912</v>
      </c>
      <c r="D574" t="s">
        <v>623</v>
      </c>
      <c r="E574">
        <v>115681.34</v>
      </c>
      <c r="F574">
        <v>34704.4</v>
      </c>
      <c r="G574">
        <v>11098.11</v>
      </c>
      <c r="H574">
        <v>27119.24</v>
      </c>
      <c r="I574">
        <v>161483.85</v>
      </c>
      <c r="J574">
        <v>134364.61</v>
      </c>
      <c r="K574" s="1"/>
      <c r="L574" s="1"/>
      <c r="M574" s="1"/>
      <c r="N574" s="1"/>
    </row>
    <row r="575" ht="15.75" customHeight="1">
      <c r="A575" t="s">
        <v>53</v>
      </c>
      <c r="B575" t="s">
        <v>37</v>
      </c>
      <c r="C575" t="s">
        <v>4916</v>
      </c>
      <c r="D575" t="s">
        <v>624</v>
      </c>
      <c r="E575">
        <v>50788.88</v>
      </c>
      <c r="F575">
        <v>15236.66</v>
      </c>
      <c r="G575">
        <v>2747.03</v>
      </c>
      <c r="H575">
        <v>397.11</v>
      </c>
      <c r="I575">
        <v>68772.57</v>
      </c>
      <c r="J575">
        <v>68375.46</v>
      </c>
      <c r="K575" s="1"/>
      <c r="L575" s="1"/>
      <c r="M575" s="1"/>
      <c r="N575" s="1"/>
    </row>
    <row r="576" ht="15.75" customHeight="1">
      <c r="A576" t="s">
        <v>51</v>
      </c>
      <c r="B576" t="s">
        <v>14</v>
      </c>
      <c r="C576" t="s">
        <v>4914</v>
      </c>
      <c r="D576" t="s">
        <v>625</v>
      </c>
      <c r="E576">
        <v>24449.51</v>
      </c>
      <c r="F576">
        <v>7334.85</v>
      </c>
      <c r="G576">
        <v>3806.98</v>
      </c>
      <c r="H576">
        <v>429.76</v>
      </c>
      <c r="I576">
        <v>35591.34</v>
      </c>
      <c r="J576">
        <v>35161.58</v>
      </c>
      <c r="K576" s="1"/>
      <c r="L576" s="1"/>
      <c r="M576" s="1"/>
      <c r="N576" s="1"/>
    </row>
    <row r="577" ht="15.75" customHeight="1">
      <c r="A577" t="s">
        <v>53</v>
      </c>
      <c r="B577" t="s">
        <v>33</v>
      </c>
      <c r="C577" t="s">
        <v>4909</v>
      </c>
      <c r="D577" t="s">
        <v>626</v>
      </c>
      <c r="E577">
        <v>32668.42</v>
      </c>
      <c r="F577">
        <v>9800.53</v>
      </c>
      <c r="G577">
        <v>6531.11</v>
      </c>
      <c r="H577">
        <v>9545.51</v>
      </c>
      <c r="I577">
        <v>49000.06</v>
      </c>
      <c r="J577">
        <v>39454.55</v>
      </c>
      <c r="K577" s="1"/>
      <c r="L577" s="1"/>
      <c r="M577" s="1"/>
      <c r="N577" s="1"/>
    </row>
    <row r="578" ht="15.75" customHeight="1">
      <c r="A578" t="s">
        <v>51</v>
      </c>
      <c r="B578" t="s">
        <v>18</v>
      </c>
      <c r="C578" t="s">
        <v>4905</v>
      </c>
      <c r="D578" t="s">
        <v>627</v>
      </c>
      <c r="E578">
        <v>71269.97</v>
      </c>
      <c r="F578">
        <v>21380.99</v>
      </c>
      <c r="G578">
        <v>7607.21</v>
      </c>
      <c r="H578">
        <v>16917.44</v>
      </c>
      <c r="I578">
        <v>100258.17</v>
      </c>
      <c r="J578">
        <v>83340.73</v>
      </c>
      <c r="K578" s="1"/>
      <c r="L578" s="1"/>
      <c r="M578" s="1"/>
      <c r="N578" s="1"/>
    </row>
    <row r="579" ht="15.75" customHeight="1">
      <c r="A579" t="s">
        <v>17</v>
      </c>
      <c r="B579" t="s">
        <v>26</v>
      </c>
      <c r="C579" t="s">
        <v>4913</v>
      </c>
      <c r="D579" t="s">
        <v>628</v>
      </c>
      <c r="E579">
        <v>125870.11</v>
      </c>
      <c r="F579">
        <v>37761.03</v>
      </c>
      <c r="G579">
        <v>5523.47</v>
      </c>
      <c r="H579">
        <v>31964.91</v>
      </c>
      <c r="I579">
        <v>169154.61</v>
      </c>
      <c r="J579">
        <v>137189.7</v>
      </c>
      <c r="K579" s="1"/>
      <c r="L579" s="1"/>
      <c r="M579" s="1"/>
      <c r="N579" s="1"/>
    </row>
    <row r="580" ht="15.75" customHeight="1">
      <c r="A580" t="s">
        <v>29</v>
      </c>
      <c r="B580" t="s">
        <v>26</v>
      </c>
      <c r="C580" t="s">
        <v>4912</v>
      </c>
      <c r="D580" t="s">
        <v>629</v>
      </c>
      <c r="E580">
        <v>125695.51</v>
      </c>
      <c r="F580">
        <v>37708.65</v>
      </c>
      <c r="G580">
        <v>4366.96</v>
      </c>
      <c r="H580">
        <v>8920.02</v>
      </c>
      <c r="I580">
        <v>167771.12</v>
      </c>
      <c r="J580">
        <v>158851.1</v>
      </c>
      <c r="K580" s="1"/>
      <c r="L580" s="1"/>
      <c r="M580" s="1"/>
      <c r="N580" s="1"/>
    </row>
    <row r="581" ht="15.75" customHeight="1">
      <c r="A581" t="s">
        <v>25</v>
      </c>
      <c r="B581" t="s">
        <v>18</v>
      </c>
      <c r="C581" t="s">
        <v>4905</v>
      </c>
      <c r="D581" t="s">
        <v>630</v>
      </c>
      <c r="E581">
        <v>83138.29</v>
      </c>
      <c r="F581">
        <v>24941.49</v>
      </c>
      <c r="G581">
        <v>15197.35</v>
      </c>
      <c r="H581">
        <v>703.51</v>
      </c>
      <c r="I581">
        <v>123277.13</v>
      </c>
      <c r="J581">
        <v>122573.62</v>
      </c>
      <c r="K581" s="1"/>
      <c r="L581" s="1"/>
      <c r="M581" s="1"/>
      <c r="N581" s="1"/>
    </row>
    <row r="582" ht="15.75" customHeight="1">
      <c r="A582" t="s">
        <v>29</v>
      </c>
      <c r="B582" t="s">
        <v>37</v>
      </c>
      <c r="C582" t="s">
        <v>4914</v>
      </c>
      <c r="D582" t="s">
        <v>631</v>
      </c>
      <c r="E582">
        <v>55144.92</v>
      </c>
      <c r="F582">
        <v>16543.48</v>
      </c>
      <c r="G582">
        <v>6210.52</v>
      </c>
      <c r="H582">
        <v>3114.04</v>
      </c>
      <c r="I582">
        <v>77898.92</v>
      </c>
      <c r="J582">
        <v>74784.88</v>
      </c>
      <c r="K582" s="1"/>
      <c r="L582" s="1"/>
      <c r="M582" s="1"/>
      <c r="N582" s="1"/>
    </row>
    <row r="583" ht="15.75" customHeight="1">
      <c r="A583" t="s">
        <v>53</v>
      </c>
      <c r="B583" t="s">
        <v>33</v>
      </c>
      <c r="C583" t="s">
        <v>4916</v>
      </c>
      <c r="D583" t="s">
        <v>632</v>
      </c>
      <c r="E583">
        <v>26755.57</v>
      </c>
      <c r="F583">
        <v>8026.67</v>
      </c>
      <c r="G583">
        <v>203.15</v>
      </c>
      <c r="H583">
        <v>450.84</v>
      </c>
      <c r="I583">
        <v>34985.39</v>
      </c>
      <c r="J583">
        <v>34534.55</v>
      </c>
      <c r="K583" s="1"/>
      <c r="L583" s="1"/>
      <c r="M583" s="1"/>
      <c r="N583" s="1"/>
    </row>
    <row r="584" ht="15.75" customHeight="1">
      <c r="A584" t="s">
        <v>25</v>
      </c>
      <c r="B584" t="s">
        <v>30</v>
      </c>
      <c r="C584" t="s">
        <v>4912</v>
      </c>
      <c r="D584" t="s">
        <v>633</v>
      </c>
      <c r="E584">
        <v>24998.68</v>
      </c>
      <c r="F584">
        <v>7499.6</v>
      </c>
      <c r="G584">
        <v>887.25</v>
      </c>
      <c r="H584">
        <v>6017.87</v>
      </c>
      <c r="I584">
        <v>33385.53</v>
      </c>
      <c r="J584">
        <v>27367.66</v>
      </c>
      <c r="K584" s="1"/>
      <c r="L584" s="1"/>
      <c r="M584" s="1"/>
      <c r="N584" s="1"/>
    </row>
    <row r="585" ht="15.75" customHeight="1">
      <c r="A585" t="s">
        <v>17</v>
      </c>
      <c r="B585" t="s">
        <v>14</v>
      </c>
      <c r="C585" t="s">
        <v>4909</v>
      </c>
      <c r="D585" t="s">
        <v>634</v>
      </c>
      <c r="E585">
        <v>19063.53</v>
      </c>
      <c r="F585">
        <v>5719.06</v>
      </c>
      <c r="G585">
        <v>2686.8</v>
      </c>
      <c r="H585">
        <v>810.12</v>
      </c>
      <c r="I585">
        <v>27469.39</v>
      </c>
      <c r="J585">
        <v>26659.27</v>
      </c>
      <c r="K585" s="1"/>
      <c r="L585" s="1"/>
      <c r="M585" s="1"/>
      <c r="N585" s="1"/>
    </row>
    <row r="586" ht="15.75" customHeight="1">
      <c r="A586" t="s">
        <v>25</v>
      </c>
      <c r="B586" t="s">
        <v>37</v>
      </c>
      <c r="C586" t="s">
        <v>4917</v>
      </c>
      <c r="D586" t="s">
        <v>635</v>
      </c>
      <c r="E586">
        <v>60492.05</v>
      </c>
      <c r="F586">
        <v>18147.62</v>
      </c>
      <c r="G586">
        <v>11621.23</v>
      </c>
      <c r="H586">
        <v>6779.78</v>
      </c>
      <c r="I586">
        <v>90260.9</v>
      </c>
      <c r="J586">
        <v>83481.12</v>
      </c>
      <c r="K586" s="1"/>
      <c r="L586" s="1"/>
      <c r="M586" s="1"/>
      <c r="N586" s="1"/>
    </row>
    <row r="587" ht="15.75" customHeight="1">
      <c r="A587" t="s">
        <v>36</v>
      </c>
      <c r="B587" t="s">
        <v>37</v>
      </c>
      <c r="C587" t="s">
        <v>4911</v>
      </c>
      <c r="D587" t="s">
        <v>636</v>
      </c>
      <c r="E587">
        <v>46818.58</v>
      </c>
      <c r="F587">
        <v>14045.57</v>
      </c>
      <c r="G587">
        <v>2825.64</v>
      </c>
      <c r="H587">
        <v>1916.54</v>
      </c>
      <c r="I587">
        <v>63689.79</v>
      </c>
      <c r="J587">
        <v>61773.25</v>
      </c>
      <c r="K587" s="1"/>
      <c r="L587" s="1"/>
      <c r="M587" s="1"/>
      <c r="N587" s="1"/>
    </row>
    <row r="588" ht="15.75" customHeight="1">
      <c r="A588" t="s">
        <v>13</v>
      </c>
      <c r="B588" t="s">
        <v>54</v>
      </c>
      <c r="C588" t="s">
        <v>4911</v>
      </c>
      <c r="D588" t="s">
        <v>637</v>
      </c>
      <c r="E588">
        <v>46085.8</v>
      </c>
      <c r="F588">
        <v>13825.74</v>
      </c>
      <c r="G588">
        <v>8854.58</v>
      </c>
      <c r="H588">
        <v>8975.4</v>
      </c>
      <c r="I588">
        <v>68766.12</v>
      </c>
      <c r="J588">
        <v>59790.72</v>
      </c>
      <c r="K588" s="1"/>
      <c r="L588" s="1"/>
      <c r="M588" s="1"/>
      <c r="N588" s="1"/>
    </row>
    <row r="589" ht="15.75" customHeight="1">
      <c r="A589" t="s">
        <v>13</v>
      </c>
      <c r="B589" t="s">
        <v>37</v>
      </c>
      <c r="C589" t="s">
        <v>4908</v>
      </c>
      <c r="D589" t="s">
        <v>638</v>
      </c>
      <c r="E589">
        <v>57484.09</v>
      </c>
      <c r="F589">
        <v>17245.23</v>
      </c>
      <c r="G589">
        <v>10678.76</v>
      </c>
      <c r="H589">
        <v>13571.85</v>
      </c>
      <c r="I589">
        <v>85408.08</v>
      </c>
      <c r="J589">
        <v>71836.23</v>
      </c>
      <c r="K589" s="1"/>
      <c r="L589" s="1"/>
      <c r="M589" s="1"/>
      <c r="N589" s="1"/>
    </row>
    <row r="590" ht="15.75" customHeight="1">
      <c r="A590" t="s">
        <v>13</v>
      </c>
      <c r="B590" t="s">
        <v>37</v>
      </c>
      <c r="C590" t="s">
        <v>4910</v>
      </c>
      <c r="D590" t="s">
        <v>639</v>
      </c>
      <c r="E590">
        <v>59660.18</v>
      </c>
      <c r="F590">
        <v>17898.05</v>
      </c>
      <c r="G590">
        <v>4514.89</v>
      </c>
      <c r="H590">
        <v>13137.08</v>
      </c>
      <c r="I590">
        <v>82073.12</v>
      </c>
      <c r="J590">
        <v>68936.04</v>
      </c>
      <c r="K590" s="1"/>
      <c r="L590" s="1"/>
      <c r="M590" s="1"/>
      <c r="N590" s="1"/>
    </row>
    <row r="591" ht="15.75" customHeight="1">
      <c r="A591" t="s">
        <v>25</v>
      </c>
      <c r="B591" t="s">
        <v>26</v>
      </c>
      <c r="C591" t="s">
        <v>4916</v>
      </c>
      <c r="D591" t="s">
        <v>640</v>
      </c>
      <c r="E591">
        <v>124746.62</v>
      </c>
      <c r="F591">
        <v>37423.99</v>
      </c>
      <c r="G591">
        <v>807.93</v>
      </c>
      <c r="H591">
        <v>22543.79</v>
      </c>
      <c r="I591">
        <v>162978.54</v>
      </c>
      <c r="J591">
        <v>140434.75</v>
      </c>
      <c r="K591" s="1"/>
      <c r="L591" s="1"/>
      <c r="M591" s="1"/>
      <c r="N591" s="1"/>
    </row>
    <row r="592" ht="15.75" customHeight="1">
      <c r="A592" t="s">
        <v>51</v>
      </c>
      <c r="B592" t="s">
        <v>18</v>
      </c>
      <c r="C592" t="s">
        <v>4905</v>
      </c>
      <c r="D592" t="s">
        <v>641</v>
      </c>
      <c r="E592">
        <v>71902.66457289942</v>
      </c>
      <c r="F592">
        <v>23911.29</v>
      </c>
      <c r="G592">
        <v>14931.61</v>
      </c>
      <c r="H592">
        <v>3362.96</v>
      </c>
      <c r="I592">
        <v>110745.56</v>
      </c>
      <c r="J592">
        <v>107382.6</v>
      </c>
      <c r="K592" s="1"/>
      <c r="L592" s="1"/>
      <c r="M592" s="1"/>
      <c r="N592" s="1"/>
    </row>
    <row r="593" ht="15.75" customHeight="1">
      <c r="A593" t="s">
        <v>17</v>
      </c>
      <c r="B593" t="s">
        <v>30</v>
      </c>
      <c r="C593" t="s">
        <v>4909</v>
      </c>
      <c r="D593" t="s">
        <v>642</v>
      </c>
      <c r="E593">
        <v>25051.93</v>
      </c>
      <c r="F593">
        <v>7515.58</v>
      </c>
      <c r="G593">
        <v>1600.91</v>
      </c>
      <c r="H593">
        <v>4781.31</v>
      </c>
      <c r="I593">
        <v>34168.42</v>
      </c>
      <c r="J593">
        <v>29387.11</v>
      </c>
      <c r="K593" s="1"/>
      <c r="L593" s="1"/>
      <c r="M593" s="1"/>
      <c r="N593" s="1"/>
    </row>
    <row r="594" ht="15.75" customHeight="1">
      <c r="A594" t="s">
        <v>25</v>
      </c>
      <c r="B594" t="s">
        <v>18</v>
      </c>
      <c r="C594" t="s">
        <v>4907</v>
      </c>
      <c r="D594" t="s">
        <v>643</v>
      </c>
      <c r="E594">
        <v>82420.64</v>
      </c>
      <c r="F594">
        <v>24726.19</v>
      </c>
      <c r="G594">
        <v>12021.64</v>
      </c>
      <c r="H594">
        <v>8301.81</v>
      </c>
      <c r="I594">
        <v>119168.47</v>
      </c>
      <c r="J594">
        <v>110866.66</v>
      </c>
      <c r="K594" s="1"/>
      <c r="L594" s="1"/>
      <c r="M594" s="1"/>
      <c r="N594" s="1"/>
    </row>
    <row r="595" ht="15.75" customHeight="1">
      <c r="A595" t="s">
        <v>29</v>
      </c>
      <c r="B595" t="s">
        <v>30</v>
      </c>
      <c r="C595" t="s">
        <v>4909</v>
      </c>
      <c r="D595" t="s">
        <v>644</v>
      </c>
      <c r="E595">
        <v>24195.96</v>
      </c>
      <c r="F595">
        <v>7258.79</v>
      </c>
      <c r="G595">
        <v>328.07</v>
      </c>
      <c r="H595">
        <v>1863.03</v>
      </c>
      <c r="I595">
        <v>31782.82</v>
      </c>
      <c r="J595">
        <v>29919.79</v>
      </c>
      <c r="K595" s="1"/>
      <c r="L595" s="1"/>
      <c r="M595" s="1"/>
      <c r="N595" s="1"/>
    </row>
    <row r="596" ht="15.75" customHeight="1">
      <c r="A596" t="s">
        <v>13</v>
      </c>
      <c r="B596" t="s">
        <v>14</v>
      </c>
      <c r="C596" t="s">
        <v>4911</v>
      </c>
      <c r="D596" t="s">
        <v>645</v>
      </c>
      <c r="E596">
        <v>18346.66</v>
      </c>
      <c r="F596">
        <v>5504.0</v>
      </c>
      <c r="G596">
        <v>1607.98</v>
      </c>
      <c r="H596">
        <v>2309.77</v>
      </c>
      <c r="I596">
        <v>25458.64</v>
      </c>
      <c r="J596">
        <v>23148.87</v>
      </c>
      <c r="K596" s="1"/>
      <c r="L596" s="1"/>
      <c r="M596" s="1"/>
      <c r="N596" s="1"/>
    </row>
    <row r="597" ht="15.75" customHeight="1">
      <c r="A597" t="s">
        <v>25</v>
      </c>
      <c r="B597" t="s">
        <v>26</v>
      </c>
      <c r="C597" t="s">
        <v>4914</v>
      </c>
      <c r="D597" t="s">
        <v>646</v>
      </c>
      <c r="E597">
        <v>110810.0</v>
      </c>
      <c r="F597">
        <v>33243.0</v>
      </c>
      <c r="G597">
        <v>16804.19</v>
      </c>
      <c r="H597">
        <v>7499.05</v>
      </c>
      <c r="I597">
        <v>160857.19</v>
      </c>
      <c r="J597">
        <v>153358.14</v>
      </c>
      <c r="K597" s="1"/>
      <c r="L597" s="1"/>
      <c r="M597" s="1"/>
      <c r="N597" s="1"/>
    </row>
    <row r="598" ht="15.75" customHeight="1">
      <c r="A598" t="s">
        <v>17</v>
      </c>
      <c r="B598" t="s">
        <v>26</v>
      </c>
      <c r="C598" t="s">
        <v>4909</v>
      </c>
      <c r="D598" t="s">
        <v>647</v>
      </c>
      <c r="E598">
        <v>120447.45</v>
      </c>
      <c r="F598">
        <v>36134.24</v>
      </c>
      <c r="G598">
        <v>7104.2</v>
      </c>
      <c r="H598">
        <v>11516.59</v>
      </c>
      <c r="I598">
        <v>163685.89</v>
      </c>
      <c r="J598">
        <v>152169.3</v>
      </c>
      <c r="K598" s="1"/>
      <c r="L598" s="1"/>
      <c r="M598" s="1"/>
      <c r="N598" s="1"/>
    </row>
    <row r="599" ht="15.75" customHeight="1">
      <c r="A599" t="s">
        <v>17</v>
      </c>
      <c r="B599" t="s">
        <v>33</v>
      </c>
      <c r="C599" t="s">
        <v>4915</v>
      </c>
      <c r="D599" t="s">
        <v>648</v>
      </c>
      <c r="E599">
        <v>26701.05</v>
      </c>
      <c r="F599">
        <v>8010.31</v>
      </c>
      <c r="G599">
        <v>2005.02</v>
      </c>
      <c r="H599">
        <v>5863.43</v>
      </c>
      <c r="I599">
        <v>36716.38</v>
      </c>
      <c r="J599">
        <v>30852.95</v>
      </c>
      <c r="K599" s="1"/>
      <c r="L599" s="1"/>
      <c r="M599" s="1"/>
      <c r="N599" s="1"/>
    </row>
    <row r="600" ht="15.75" customHeight="1">
      <c r="A600" t="s">
        <v>17</v>
      </c>
      <c r="B600" t="s">
        <v>33</v>
      </c>
      <c r="C600" t="s">
        <v>4907</v>
      </c>
      <c r="D600" t="s">
        <v>649</v>
      </c>
      <c r="E600">
        <v>30940.31</v>
      </c>
      <c r="F600">
        <v>9282.09</v>
      </c>
      <c r="G600">
        <v>3797.27</v>
      </c>
      <c r="H600">
        <v>4480.81</v>
      </c>
      <c r="I600">
        <v>44019.67</v>
      </c>
      <c r="J600">
        <v>39538.86</v>
      </c>
      <c r="K600" s="1"/>
      <c r="L600" s="1"/>
      <c r="M600" s="1"/>
      <c r="N600" s="1"/>
    </row>
    <row r="601" ht="15.75" customHeight="1">
      <c r="A601" t="s">
        <v>36</v>
      </c>
      <c r="B601" t="s">
        <v>18</v>
      </c>
      <c r="C601" t="s">
        <v>4909</v>
      </c>
      <c r="D601" t="s">
        <v>650</v>
      </c>
      <c r="E601">
        <v>69289.93</v>
      </c>
      <c r="F601">
        <v>20786.98</v>
      </c>
      <c r="G601">
        <v>12330.19</v>
      </c>
      <c r="H601">
        <v>3265.71</v>
      </c>
      <c r="I601">
        <v>102407.1</v>
      </c>
      <c r="J601">
        <v>99141.39</v>
      </c>
      <c r="K601" s="1"/>
      <c r="L601" s="1"/>
      <c r="M601" s="1"/>
      <c r="N601" s="1"/>
    </row>
    <row r="602" ht="15.75" customHeight="1">
      <c r="A602" t="s">
        <v>29</v>
      </c>
      <c r="B602" t="s">
        <v>30</v>
      </c>
      <c r="C602" t="s">
        <v>4905</v>
      </c>
      <c r="D602" t="s">
        <v>651</v>
      </c>
      <c r="E602">
        <v>30574.71</v>
      </c>
      <c r="F602">
        <v>9172.41</v>
      </c>
      <c r="G602">
        <v>2502.72</v>
      </c>
      <c r="H602">
        <v>5082.55</v>
      </c>
      <c r="I602">
        <v>42249.84</v>
      </c>
      <c r="J602">
        <v>37167.29</v>
      </c>
      <c r="K602" s="1"/>
      <c r="L602" s="1"/>
      <c r="M602" s="1"/>
      <c r="N602" s="1"/>
    </row>
    <row r="603" ht="15.75" customHeight="1">
      <c r="A603" t="s">
        <v>53</v>
      </c>
      <c r="B603" t="s">
        <v>33</v>
      </c>
      <c r="C603" t="s">
        <v>4913</v>
      </c>
      <c r="D603" t="s">
        <v>652</v>
      </c>
      <c r="E603">
        <v>31605.98</v>
      </c>
      <c r="F603">
        <v>9481.79</v>
      </c>
      <c r="G603">
        <v>1879.93</v>
      </c>
      <c r="H603">
        <v>909.46</v>
      </c>
      <c r="I603">
        <v>42967.7</v>
      </c>
      <c r="J603">
        <v>42058.24</v>
      </c>
      <c r="K603" s="1"/>
      <c r="L603" s="1"/>
      <c r="M603" s="1"/>
      <c r="N603" s="1"/>
    </row>
    <row r="604" ht="15.75" customHeight="1">
      <c r="A604" t="s">
        <v>17</v>
      </c>
      <c r="B604" t="s">
        <v>33</v>
      </c>
      <c r="C604" t="s">
        <v>4909</v>
      </c>
      <c r="D604" t="s">
        <v>654</v>
      </c>
      <c r="E604">
        <v>33238.97</v>
      </c>
      <c r="F604">
        <v>9971.69</v>
      </c>
      <c r="G604">
        <v>4155.48</v>
      </c>
      <c r="H604">
        <v>4789.69</v>
      </c>
      <c r="I604">
        <v>47366.14</v>
      </c>
      <c r="J604">
        <v>42576.45</v>
      </c>
      <c r="K604" s="1"/>
      <c r="L604" s="1"/>
      <c r="M604" s="1"/>
      <c r="N604" s="1"/>
    </row>
    <row r="605" ht="15.75" customHeight="1">
      <c r="A605" t="s">
        <v>17</v>
      </c>
      <c r="B605" t="s">
        <v>30</v>
      </c>
      <c r="C605" t="s">
        <v>4909</v>
      </c>
      <c r="D605" t="s">
        <v>655</v>
      </c>
      <c r="E605">
        <v>23503.32</v>
      </c>
      <c r="F605">
        <v>7051.0</v>
      </c>
      <c r="G605">
        <v>1371.71</v>
      </c>
      <c r="H605">
        <v>577.73</v>
      </c>
      <c r="I605">
        <v>31926.03</v>
      </c>
      <c r="J605">
        <v>31348.3</v>
      </c>
      <c r="K605" s="1"/>
      <c r="L605" s="1"/>
      <c r="M605" s="1"/>
      <c r="N605" s="1"/>
    </row>
    <row r="606" ht="15.75" customHeight="1">
      <c r="A606" t="s">
        <v>29</v>
      </c>
      <c r="B606" t="s">
        <v>26</v>
      </c>
      <c r="C606" t="s">
        <v>4909</v>
      </c>
      <c r="D606" t="s">
        <v>656</v>
      </c>
      <c r="E606">
        <v>104308.82</v>
      </c>
      <c r="F606">
        <v>31292.65</v>
      </c>
      <c r="G606">
        <v>10203.42</v>
      </c>
      <c r="H606">
        <v>20685.69</v>
      </c>
      <c r="I606">
        <v>145804.89</v>
      </c>
      <c r="J606">
        <v>125119.2</v>
      </c>
      <c r="K606" s="1"/>
      <c r="L606" s="1"/>
      <c r="M606" s="1"/>
      <c r="N606" s="1"/>
    </row>
    <row r="607" ht="15.75" customHeight="1">
      <c r="A607" t="s">
        <v>13</v>
      </c>
      <c r="B607" t="s">
        <v>37</v>
      </c>
      <c r="C607" t="s">
        <v>4911</v>
      </c>
      <c r="D607" t="s">
        <v>657</v>
      </c>
      <c r="E607">
        <v>51975.49</v>
      </c>
      <c r="F607">
        <v>15592.65</v>
      </c>
      <c r="G607">
        <v>3856.79</v>
      </c>
      <c r="H607">
        <v>5947.74</v>
      </c>
      <c r="I607">
        <v>71424.93</v>
      </c>
      <c r="J607">
        <v>65477.19</v>
      </c>
      <c r="K607" s="1"/>
      <c r="L607" s="1"/>
      <c r="M607" s="1"/>
      <c r="N607" s="1"/>
    </row>
    <row r="608" ht="15.75" customHeight="1">
      <c r="A608" t="s">
        <v>36</v>
      </c>
      <c r="B608" t="s">
        <v>14</v>
      </c>
      <c r="C608" t="s">
        <v>4910</v>
      </c>
      <c r="D608" t="s">
        <v>658</v>
      </c>
      <c r="E608">
        <v>19895.73</v>
      </c>
      <c r="F608">
        <v>5968.72</v>
      </c>
      <c r="G608">
        <v>1850.53</v>
      </c>
      <c r="H608">
        <v>1350.38</v>
      </c>
      <c r="I608">
        <v>27714.98</v>
      </c>
      <c r="J608">
        <v>26364.6</v>
      </c>
      <c r="K608" s="1"/>
      <c r="L608" s="1"/>
      <c r="M608" s="1"/>
      <c r="N608" s="1"/>
    </row>
    <row r="609" ht="15.75" customHeight="1">
      <c r="A609" t="s">
        <v>53</v>
      </c>
      <c r="B609" t="s">
        <v>14</v>
      </c>
      <c r="C609" t="s">
        <v>4917</v>
      </c>
      <c r="D609" t="s">
        <v>659</v>
      </c>
      <c r="E609">
        <v>19088.14</v>
      </c>
      <c r="F609">
        <v>5726.44</v>
      </c>
      <c r="G609">
        <v>2658.87</v>
      </c>
      <c r="H609">
        <v>553.76</v>
      </c>
      <c r="I609">
        <v>27473.45</v>
      </c>
      <c r="J609">
        <v>26919.69</v>
      </c>
      <c r="K609" s="1"/>
      <c r="L609" s="1"/>
      <c r="M609" s="1"/>
      <c r="N609" s="1"/>
    </row>
    <row r="610" ht="15.75" customHeight="1">
      <c r="A610" t="s">
        <v>29</v>
      </c>
      <c r="B610" t="s">
        <v>26</v>
      </c>
      <c r="C610" t="s">
        <v>4915</v>
      </c>
      <c r="D610" t="s">
        <v>660</v>
      </c>
      <c r="E610">
        <v>109492.16</v>
      </c>
      <c r="F610">
        <v>32847.65</v>
      </c>
      <c r="G610">
        <v>21256.93</v>
      </c>
      <c r="H610">
        <v>19371.13</v>
      </c>
      <c r="I610">
        <v>163596.74</v>
      </c>
      <c r="J610">
        <v>144225.61</v>
      </c>
      <c r="K610" s="1"/>
      <c r="L610" s="1"/>
      <c r="M610" s="1"/>
      <c r="N610" s="1"/>
    </row>
    <row r="611" ht="15.75" customHeight="1">
      <c r="A611" t="s">
        <v>17</v>
      </c>
      <c r="B611" t="s">
        <v>26</v>
      </c>
      <c r="C611" t="s">
        <v>4917</v>
      </c>
      <c r="D611" t="s">
        <v>661</v>
      </c>
      <c r="E611">
        <v>103935.82</v>
      </c>
      <c r="F611">
        <v>31180.75</v>
      </c>
      <c r="G611">
        <v>10863.0</v>
      </c>
      <c r="H611">
        <v>30108.99</v>
      </c>
      <c r="I611">
        <v>145979.57</v>
      </c>
      <c r="J611">
        <v>115870.58</v>
      </c>
      <c r="K611" s="1"/>
      <c r="L611" s="1"/>
      <c r="M611" s="1"/>
      <c r="N611" s="1"/>
    </row>
    <row r="612" ht="15.75" customHeight="1">
      <c r="A612" t="s">
        <v>25</v>
      </c>
      <c r="B612" t="s">
        <v>54</v>
      </c>
      <c r="C612" t="s">
        <v>4913</v>
      </c>
      <c r="D612" t="s">
        <v>662</v>
      </c>
      <c r="E612">
        <v>43018.0</v>
      </c>
      <c r="F612">
        <v>12905.4</v>
      </c>
      <c r="G612">
        <v>2027.37</v>
      </c>
      <c r="H612">
        <v>3856.81</v>
      </c>
      <c r="I612">
        <v>57950.77</v>
      </c>
      <c r="J612">
        <v>54093.96</v>
      </c>
      <c r="K612" s="1"/>
      <c r="L612" s="1"/>
      <c r="M612" s="1"/>
      <c r="N612" s="1"/>
    </row>
    <row r="613" ht="15.75" customHeight="1">
      <c r="A613" t="s">
        <v>25</v>
      </c>
      <c r="B613" t="s">
        <v>18</v>
      </c>
      <c r="C613" t="s">
        <v>4916</v>
      </c>
      <c r="D613" t="s">
        <v>663</v>
      </c>
      <c r="E613">
        <v>65902.94</v>
      </c>
      <c r="F613">
        <v>19770.88</v>
      </c>
      <c r="G613">
        <v>7529.01</v>
      </c>
      <c r="H613">
        <v>14634.43925924574</v>
      </c>
      <c r="I613">
        <v>93202.83</v>
      </c>
      <c r="J613">
        <v>78568.39</v>
      </c>
      <c r="K613" s="1"/>
      <c r="L613" s="1"/>
      <c r="M613" s="1"/>
      <c r="N613" s="1"/>
    </row>
    <row r="614" ht="15.75" customHeight="1">
      <c r="A614" t="s">
        <v>13</v>
      </c>
      <c r="B614" t="s">
        <v>37</v>
      </c>
      <c r="C614" t="s">
        <v>4911</v>
      </c>
      <c r="D614" t="s">
        <v>664</v>
      </c>
      <c r="E614">
        <v>47654.06</v>
      </c>
      <c r="F614">
        <v>14296.22</v>
      </c>
      <c r="G614">
        <v>9047.17</v>
      </c>
      <c r="H614">
        <v>6419.57</v>
      </c>
      <c r="I614">
        <v>70997.45</v>
      </c>
      <c r="J614">
        <v>64577.88</v>
      </c>
      <c r="K614" s="1"/>
      <c r="L614" s="1"/>
      <c r="M614" s="1"/>
      <c r="N614" s="1"/>
    </row>
    <row r="615" ht="15.75" customHeight="1">
      <c r="A615" t="s">
        <v>51</v>
      </c>
      <c r="B615" t="s">
        <v>26</v>
      </c>
      <c r="C615" t="s">
        <v>4917</v>
      </c>
      <c r="D615" t="s">
        <v>665</v>
      </c>
      <c r="E615">
        <v>96938.14</v>
      </c>
      <c r="F615">
        <v>29081.44</v>
      </c>
      <c r="G615">
        <v>827.38</v>
      </c>
      <c r="H615">
        <v>2279.07</v>
      </c>
      <c r="I615">
        <v>126846.96</v>
      </c>
      <c r="J615">
        <v>124567.89</v>
      </c>
      <c r="K615" s="1"/>
      <c r="L615" s="1"/>
      <c r="M615" s="1"/>
      <c r="N615" s="1"/>
    </row>
    <row r="616" ht="15.75" customHeight="1">
      <c r="A616" t="s">
        <v>36</v>
      </c>
      <c r="B616" t="s">
        <v>30</v>
      </c>
      <c r="C616" t="s">
        <v>4910</v>
      </c>
      <c r="D616" t="s">
        <v>666</v>
      </c>
      <c r="E616">
        <v>30775.97</v>
      </c>
      <c r="F616">
        <v>9232.79</v>
      </c>
      <c r="G616">
        <v>3860.7</v>
      </c>
      <c r="H616">
        <v>7701.15</v>
      </c>
      <c r="I616">
        <v>43869.46</v>
      </c>
      <c r="J616">
        <v>36168.31</v>
      </c>
      <c r="K616" s="1"/>
      <c r="L616" s="1"/>
      <c r="M616" s="1"/>
      <c r="N616" s="1"/>
    </row>
    <row r="617" ht="15.75" customHeight="1">
      <c r="A617" t="s">
        <v>29</v>
      </c>
      <c r="B617" t="s">
        <v>18</v>
      </c>
      <c r="C617" t="s">
        <v>4913</v>
      </c>
      <c r="D617" t="s">
        <v>667</v>
      </c>
      <c r="E617">
        <v>88768.52</v>
      </c>
      <c r="F617">
        <v>26630.56</v>
      </c>
      <c r="G617">
        <v>1189.71</v>
      </c>
      <c r="H617">
        <v>10335.3</v>
      </c>
      <c r="I617">
        <v>116588.79</v>
      </c>
      <c r="J617">
        <v>106253.49</v>
      </c>
      <c r="K617" s="1"/>
      <c r="L617" s="1"/>
      <c r="M617" s="1"/>
      <c r="N617" s="1"/>
    </row>
    <row r="618" ht="15.75" customHeight="1">
      <c r="A618" t="s">
        <v>53</v>
      </c>
      <c r="B618" t="s">
        <v>33</v>
      </c>
      <c r="C618" t="s">
        <v>4907</v>
      </c>
      <c r="D618" t="s">
        <v>668</v>
      </c>
      <c r="E618">
        <v>33566.24</v>
      </c>
      <c r="F618">
        <v>10069.87</v>
      </c>
      <c r="G618">
        <v>3488.8</v>
      </c>
      <c r="H618">
        <v>9235.7</v>
      </c>
      <c r="I618">
        <v>47124.91</v>
      </c>
      <c r="J618">
        <v>37889.21</v>
      </c>
      <c r="K618" s="1"/>
      <c r="L618" s="1"/>
      <c r="M618" s="1"/>
      <c r="N618" s="1"/>
    </row>
    <row r="619" ht="15.75" customHeight="1">
      <c r="A619" t="s">
        <v>25</v>
      </c>
      <c r="B619" t="s">
        <v>18</v>
      </c>
      <c r="C619" t="s">
        <v>4913</v>
      </c>
      <c r="D619" t="s">
        <v>669</v>
      </c>
      <c r="E619">
        <v>81199.51</v>
      </c>
      <c r="F619">
        <v>24359.85</v>
      </c>
      <c r="G619">
        <v>8486.36</v>
      </c>
      <c r="H619">
        <v>10221.24</v>
      </c>
      <c r="I619">
        <v>114045.72</v>
      </c>
      <c r="J619">
        <v>103824.48</v>
      </c>
      <c r="K619" s="1"/>
      <c r="L619" s="1"/>
      <c r="M619" s="1"/>
      <c r="N619" s="1"/>
    </row>
    <row r="620" ht="15.75" customHeight="1">
      <c r="A620" t="s">
        <v>51</v>
      </c>
      <c r="B620" t="s">
        <v>30</v>
      </c>
      <c r="C620" t="s">
        <v>4909</v>
      </c>
      <c r="D620" t="s">
        <v>670</v>
      </c>
      <c r="E620">
        <v>26986.03</v>
      </c>
      <c r="F620">
        <v>8095.81</v>
      </c>
      <c r="G620">
        <v>3144.83</v>
      </c>
      <c r="H620">
        <v>7811.09</v>
      </c>
      <c r="I620">
        <v>38226.67</v>
      </c>
      <c r="J620">
        <v>30415.58</v>
      </c>
      <c r="K620" s="1"/>
      <c r="L620" s="1"/>
      <c r="M620" s="1"/>
      <c r="N620" s="1"/>
    </row>
    <row r="621" ht="15.75" customHeight="1">
      <c r="A621" t="s">
        <v>17</v>
      </c>
      <c r="B621" t="s">
        <v>37</v>
      </c>
      <c r="C621" t="s">
        <v>4912</v>
      </c>
      <c r="D621" t="s">
        <v>671</v>
      </c>
      <c r="E621">
        <v>59031.8</v>
      </c>
      <c r="F621">
        <v>17709.54</v>
      </c>
      <c r="G621">
        <v>9276.8</v>
      </c>
      <c r="H621">
        <v>15362.59</v>
      </c>
      <c r="I621">
        <v>86018.14</v>
      </c>
      <c r="J621">
        <v>70655.55</v>
      </c>
      <c r="K621" s="1"/>
      <c r="L621" s="1"/>
      <c r="M621" s="1"/>
      <c r="N621" s="1"/>
    </row>
    <row r="622" ht="15.75" customHeight="1">
      <c r="A622" t="s">
        <v>36</v>
      </c>
      <c r="B622" t="s">
        <v>33</v>
      </c>
      <c r="C622" t="s">
        <v>4907</v>
      </c>
      <c r="D622" t="s">
        <v>672</v>
      </c>
      <c r="E622">
        <v>28830.43</v>
      </c>
      <c r="F622">
        <v>8649.13</v>
      </c>
      <c r="G622">
        <v>2799.92</v>
      </c>
      <c r="H622">
        <v>5266.99</v>
      </c>
      <c r="I622">
        <v>40279.48</v>
      </c>
      <c r="J622">
        <v>35012.49</v>
      </c>
      <c r="K622" s="1"/>
      <c r="L622" s="1"/>
      <c r="M622" s="1"/>
      <c r="N622" s="1"/>
    </row>
    <row r="623" ht="15.75" customHeight="1">
      <c r="A623" t="s">
        <v>51</v>
      </c>
      <c r="B623" t="s">
        <v>33</v>
      </c>
      <c r="C623" t="s">
        <v>4913</v>
      </c>
      <c r="D623" t="s">
        <v>673</v>
      </c>
      <c r="E623">
        <v>29029.74</v>
      </c>
      <c r="F623">
        <v>8708.92</v>
      </c>
      <c r="G623">
        <v>3589.5</v>
      </c>
      <c r="H623">
        <v>5929.15</v>
      </c>
      <c r="I623">
        <v>41328.16</v>
      </c>
      <c r="J623">
        <v>35399.01</v>
      </c>
      <c r="K623" s="1"/>
      <c r="L623" s="1"/>
      <c r="M623" s="1"/>
      <c r="N623" s="1"/>
    </row>
    <row r="624" ht="15.75" customHeight="1">
      <c r="A624" t="s">
        <v>17</v>
      </c>
      <c r="B624" t="s">
        <v>54</v>
      </c>
      <c r="C624" t="s">
        <v>4905</v>
      </c>
      <c r="D624" t="s">
        <v>674</v>
      </c>
      <c r="E624">
        <v>47454.04</v>
      </c>
      <c r="F624">
        <v>14236.21</v>
      </c>
      <c r="G624">
        <v>3146.15</v>
      </c>
      <c r="H624">
        <v>3382.23</v>
      </c>
      <c r="I624">
        <v>64836.4</v>
      </c>
      <c r="J624">
        <v>61454.17</v>
      </c>
      <c r="K624" s="1"/>
      <c r="L624" s="1"/>
      <c r="M624" s="1"/>
      <c r="N624" s="1"/>
    </row>
    <row r="625" ht="15.75" customHeight="1">
      <c r="A625" t="s">
        <v>36</v>
      </c>
      <c r="B625" t="s">
        <v>33</v>
      </c>
      <c r="C625" t="s">
        <v>4910</v>
      </c>
      <c r="D625" t="s">
        <v>675</v>
      </c>
      <c r="E625">
        <v>33970.31</v>
      </c>
      <c r="F625">
        <v>10191.09</v>
      </c>
      <c r="G625">
        <v>137.46</v>
      </c>
      <c r="H625">
        <v>8330.06</v>
      </c>
      <c r="I625">
        <v>44298.86</v>
      </c>
      <c r="J625">
        <v>35968.8</v>
      </c>
      <c r="K625" s="1"/>
      <c r="L625" s="1"/>
      <c r="M625" s="1"/>
      <c r="N625" s="1"/>
    </row>
    <row r="626" ht="15.75" customHeight="1">
      <c r="A626" t="s">
        <v>29</v>
      </c>
      <c r="B626" t="s">
        <v>33</v>
      </c>
      <c r="C626" t="s">
        <v>4908</v>
      </c>
      <c r="D626" t="s">
        <v>677</v>
      </c>
      <c r="E626">
        <v>33428.47</v>
      </c>
      <c r="F626">
        <v>10028.54</v>
      </c>
      <c r="G626">
        <v>5737.9</v>
      </c>
      <c r="H626">
        <v>6868.07</v>
      </c>
      <c r="I626">
        <v>49194.91</v>
      </c>
      <c r="J626">
        <v>42326.84</v>
      </c>
      <c r="K626" s="1"/>
      <c r="L626" s="1"/>
      <c r="M626" s="1"/>
      <c r="N626" s="1"/>
    </row>
    <row r="627" ht="15.75" customHeight="1">
      <c r="A627" t="s">
        <v>51</v>
      </c>
      <c r="B627" t="s">
        <v>33</v>
      </c>
      <c r="C627" t="s">
        <v>4910</v>
      </c>
      <c r="D627" t="s">
        <v>678</v>
      </c>
      <c r="E627">
        <v>34742.19</v>
      </c>
      <c r="F627">
        <v>10422.66</v>
      </c>
      <c r="G627">
        <v>3078.93</v>
      </c>
      <c r="H627">
        <v>8607.27</v>
      </c>
      <c r="I627">
        <v>48243.78</v>
      </c>
      <c r="J627">
        <v>39636.51</v>
      </c>
      <c r="K627" s="1"/>
      <c r="L627" s="1"/>
      <c r="M627" s="1"/>
      <c r="N627" s="1"/>
    </row>
    <row r="628" ht="15.75" customHeight="1">
      <c r="A628" t="s">
        <v>13</v>
      </c>
      <c r="B628" t="s">
        <v>54</v>
      </c>
      <c r="C628" t="s">
        <v>4913</v>
      </c>
      <c r="D628" t="s">
        <v>679</v>
      </c>
      <c r="E628">
        <v>43469.71</v>
      </c>
      <c r="F628">
        <v>13040.91</v>
      </c>
      <c r="G628">
        <v>776.25</v>
      </c>
      <c r="H628">
        <v>5760.39</v>
      </c>
      <c r="I628">
        <v>57286.87</v>
      </c>
      <c r="J628">
        <v>51526.48</v>
      </c>
      <c r="K628" s="1"/>
      <c r="L628" s="1"/>
      <c r="M628" s="1"/>
      <c r="N628" s="1"/>
    </row>
    <row r="629" ht="15.75" customHeight="1">
      <c r="A629" t="s">
        <v>13</v>
      </c>
      <c r="B629" t="s">
        <v>54</v>
      </c>
      <c r="C629" t="s">
        <v>4915</v>
      </c>
      <c r="D629" t="s">
        <v>680</v>
      </c>
      <c r="E629">
        <v>45632.91</v>
      </c>
      <c r="F629">
        <v>13689.87</v>
      </c>
      <c r="G629">
        <v>7914.47</v>
      </c>
      <c r="H629">
        <v>11239.62</v>
      </c>
      <c r="I629">
        <v>67237.25</v>
      </c>
      <c r="J629">
        <v>55997.63</v>
      </c>
      <c r="K629" s="1"/>
      <c r="L629" s="1"/>
      <c r="M629" s="1"/>
      <c r="N629" s="1"/>
    </row>
    <row r="630" ht="15.75" customHeight="1">
      <c r="A630" t="s">
        <v>25</v>
      </c>
      <c r="B630" t="s">
        <v>30</v>
      </c>
      <c r="C630" t="s">
        <v>4915</v>
      </c>
      <c r="D630" t="s">
        <v>681</v>
      </c>
      <c r="E630">
        <v>22577.43</v>
      </c>
      <c r="F630">
        <v>6773.23</v>
      </c>
      <c r="G630">
        <v>3204.05</v>
      </c>
      <c r="H630">
        <v>2732.22</v>
      </c>
      <c r="I630">
        <v>32554.71</v>
      </c>
      <c r="J630">
        <v>29822.49</v>
      </c>
      <c r="K630" s="1"/>
      <c r="L630" s="1"/>
      <c r="M630" s="1"/>
      <c r="N630" s="1"/>
    </row>
    <row r="631" ht="15.75" customHeight="1">
      <c r="A631" t="s">
        <v>53</v>
      </c>
      <c r="B631" t="s">
        <v>14</v>
      </c>
      <c r="C631" t="s">
        <v>4907</v>
      </c>
      <c r="D631" t="s">
        <v>682</v>
      </c>
      <c r="E631">
        <v>19250.91</v>
      </c>
      <c r="F631">
        <v>5775.27</v>
      </c>
      <c r="G631">
        <v>3369.6</v>
      </c>
      <c r="H631">
        <v>1159.25</v>
      </c>
      <c r="I631">
        <v>28395.78</v>
      </c>
      <c r="J631">
        <v>27236.53</v>
      </c>
      <c r="K631" s="1"/>
      <c r="L631" s="1"/>
      <c r="M631" s="1"/>
      <c r="N631" s="1"/>
    </row>
    <row r="632" ht="15.75" customHeight="1">
      <c r="A632" t="s">
        <v>51</v>
      </c>
      <c r="B632" t="s">
        <v>14</v>
      </c>
      <c r="C632" t="s">
        <v>4910</v>
      </c>
      <c r="D632" t="s">
        <v>683</v>
      </c>
      <c r="E632">
        <v>21286.43</v>
      </c>
      <c r="F632">
        <v>6385.93</v>
      </c>
      <c r="G632">
        <v>3908.32</v>
      </c>
      <c r="H632">
        <v>4499.74</v>
      </c>
      <c r="I632">
        <v>31580.68</v>
      </c>
      <c r="J632">
        <v>27080.94</v>
      </c>
      <c r="K632" s="1"/>
      <c r="L632" s="1"/>
      <c r="M632" s="1"/>
      <c r="N632" s="1"/>
    </row>
    <row r="633" ht="15.75" customHeight="1">
      <c r="A633" t="s">
        <v>29</v>
      </c>
      <c r="B633" t="s">
        <v>26</v>
      </c>
      <c r="C633" t="s">
        <v>4917</v>
      </c>
      <c r="D633" t="s">
        <v>685</v>
      </c>
      <c r="E633">
        <v>106711.86</v>
      </c>
      <c r="F633">
        <v>32013.56</v>
      </c>
      <c r="G633">
        <v>8471.69</v>
      </c>
      <c r="H633">
        <v>29550.87</v>
      </c>
      <c r="I633">
        <v>147197.11</v>
      </c>
      <c r="J633">
        <v>117646.24</v>
      </c>
      <c r="K633" s="1"/>
      <c r="L633" s="1"/>
      <c r="M633" s="1"/>
      <c r="N633" s="1"/>
    </row>
    <row r="634" ht="15.75" customHeight="1">
      <c r="A634" t="s">
        <v>17</v>
      </c>
      <c r="B634" t="s">
        <v>30</v>
      </c>
      <c r="C634" t="s">
        <v>4914</v>
      </c>
      <c r="D634" t="s">
        <v>686</v>
      </c>
      <c r="E634">
        <v>25277.71</v>
      </c>
      <c r="F634">
        <v>7583.31</v>
      </c>
      <c r="G634">
        <v>3003.21</v>
      </c>
      <c r="H634">
        <v>1346.67</v>
      </c>
      <c r="I634">
        <v>35864.23</v>
      </c>
      <c r="J634">
        <v>34517.56</v>
      </c>
      <c r="K634" s="1"/>
      <c r="L634" s="1"/>
      <c r="M634" s="1"/>
      <c r="N634" s="1"/>
    </row>
    <row r="635" ht="15.75" customHeight="1">
      <c r="A635" t="s">
        <v>53</v>
      </c>
      <c r="B635" t="s">
        <v>37</v>
      </c>
      <c r="C635" t="s">
        <v>4905</v>
      </c>
      <c r="D635" t="s">
        <v>687</v>
      </c>
      <c r="E635">
        <v>51295.68</v>
      </c>
      <c r="F635">
        <v>15388.7</v>
      </c>
      <c r="G635">
        <v>1677.51</v>
      </c>
      <c r="H635">
        <v>13765.07</v>
      </c>
      <c r="I635">
        <v>68361.89</v>
      </c>
      <c r="J635">
        <v>54596.82</v>
      </c>
      <c r="K635" s="1"/>
      <c r="L635" s="1"/>
      <c r="M635" s="1"/>
      <c r="N635" s="1"/>
    </row>
    <row r="636" ht="15.75" customHeight="1">
      <c r="A636" t="s">
        <v>25</v>
      </c>
      <c r="B636" t="s">
        <v>18</v>
      </c>
      <c r="C636" t="s">
        <v>4916</v>
      </c>
      <c r="D636" t="s">
        <v>688</v>
      </c>
      <c r="E636">
        <v>67350.19</v>
      </c>
      <c r="F636">
        <v>20205.06</v>
      </c>
      <c r="G636">
        <v>369.76</v>
      </c>
      <c r="H636">
        <v>1003.2</v>
      </c>
      <c r="I636">
        <v>87925.01</v>
      </c>
      <c r="J636">
        <v>86921.81</v>
      </c>
      <c r="K636" s="1"/>
      <c r="L636" s="1"/>
      <c r="M636" s="1"/>
      <c r="N636" s="1"/>
    </row>
    <row r="637" ht="15.75" customHeight="1">
      <c r="A637" t="s">
        <v>25</v>
      </c>
      <c r="B637" t="s">
        <v>30</v>
      </c>
      <c r="C637" t="s">
        <v>4910</v>
      </c>
      <c r="D637" t="s">
        <v>689</v>
      </c>
      <c r="E637">
        <v>29542.58</v>
      </c>
      <c r="F637">
        <v>8862.77</v>
      </c>
      <c r="G637">
        <v>3825.05</v>
      </c>
      <c r="H637">
        <v>6006.26</v>
      </c>
      <c r="I637">
        <v>42230.4</v>
      </c>
      <c r="J637">
        <v>36224.14</v>
      </c>
      <c r="K637" s="1"/>
      <c r="L637" s="1"/>
      <c r="M637" s="1"/>
      <c r="N637" s="1"/>
    </row>
    <row r="638" ht="15.75" customHeight="1">
      <c r="A638" t="s">
        <v>13</v>
      </c>
      <c r="B638" t="s">
        <v>54</v>
      </c>
      <c r="C638" t="s">
        <v>4917</v>
      </c>
      <c r="D638" t="s">
        <v>690</v>
      </c>
      <c r="E638">
        <v>42185.94</v>
      </c>
      <c r="F638">
        <v>12655.78</v>
      </c>
      <c r="G638">
        <v>7295.05</v>
      </c>
      <c r="H638">
        <v>12239.89</v>
      </c>
      <c r="I638">
        <v>62136.77</v>
      </c>
      <c r="J638">
        <v>49896.88</v>
      </c>
      <c r="K638" s="1"/>
      <c r="L638" s="1"/>
      <c r="M638" s="1"/>
      <c r="N638" s="1"/>
    </row>
    <row r="639" ht="15.75" customHeight="1">
      <c r="A639" t="s">
        <v>17</v>
      </c>
      <c r="B639" t="s">
        <v>54</v>
      </c>
      <c r="C639" t="s">
        <v>4907</v>
      </c>
      <c r="D639" t="s">
        <v>691</v>
      </c>
      <c r="E639">
        <v>47761.22</v>
      </c>
      <c r="F639">
        <v>14328.37</v>
      </c>
      <c r="G639">
        <v>6183.85</v>
      </c>
      <c r="H639">
        <v>8613.38</v>
      </c>
      <c r="I639">
        <v>68273.44</v>
      </c>
      <c r="J639">
        <v>59660.06</v>
      </c>
      <c r="K639" s="1"/>
      <c r="L639" s="1"/>
      <c r="M639" s="1"/>
      <c r="N639" s="1"/>
    </row>
    <row r="640" ht="15.75" customHeight="1">
      <c r="A640" t="s">
        <v>51</v>
      </c>
      <c r="B640" t="s">
        <v>33</v>
      </c>
      <c r="C640" t="s">
        <v>4905</v>
      </c>
      <c r="D640" t="s">
        <v>692</v>
      </c>
      <c r="E640">
        <v>31083.44</v>
      </c>
      <c r="F640">
        <v>9325.03</v>
      </c>
      <c r="G640">
        <v>5862.37</v>
      </c>
      <c r="H640">
        <v>6646.33</v>
      </c>
      <c r="I640">
        <v>46270.84</v>
      </c>
      <c r="J640">
        <v>39624.51</v>
      </c>
      <c r="K640" s="1"/>
      <c r="L640" s="1"/>
      <c r="M640" s="1"/>
      <c r="N640" s="1"/>
    </row>
    <row r="641" ht="15.75" customHeight="1">
      <c r="A641" t="s">
        <v>13</v>
      </c>
      <c r="B641" t="s">
        <v>33</v>
      </c>
      <c r="C641" t="s">
        <v>4910</v>
      </c>
      <c r="D641" t="s">
        <v>693</v>
      </c>
      <c r="E641">
        <v>29238.07</v>
      </c>
      <c r="F641">
        <v>8771.42</v>
      </c>
      <c r="G641">
        <v>2201.48</v>
      </c>
      <c r="H641">
        <v>3058.68</v>
      </c>
      <c r="I641">
        <v>40210.97</v>
      </c>
      <c r="J641">
        <v>37152.29</v>
      </c>
      <c r="K641" s="1"/>
      <c r="L641" s="1"/>
      <c r="M641" s="1"/>
      <c r="N641" s="1"/>
    </row>
    <row r="642" ht="15.75" customHeight="1">
      <c r="A642" t="s">
        <v>51</v>
      </c>
      <c r="B642" t="s">
        <v>54</v>
      </c>
      <c r="C642" t="s">
        <v>4916</v>
      </c>
      <c r="D642" t="s">
        <v>694</v>
      </c>
      <c r="E642">
        <v>39230.03</v>
      </c>
      <c r="F642">
        <v>11769.01</v>
      </c>
      <c r="G642">
        <v>4084.93</v>
      </c>
      <c r="H642">
        <v>7339.23</v>
      </c>
      <c r="I642">
        <v>55083.97</v>
      </c>
      <c r="J642">
        <v>47744.74</v>
      </c>
      <c r="K642" s="1"/>
      <c r="L642" s="1"/>
      <c r="M642" s="1"/>
      <c r="N642" s="1"/>
    </row>
    <row r="643" ht="15.75" customHeight="1">
      <c r="A643" t="s">
        <v>17</v>
      </c>
      <c r="B643" t="s">
        <v>14</v>
      </c>
      <c r="C643" t="s">
        <v>4912</v>
      </c>
      <c r="D643" t="s">
        <v>695</v>
      </c>
      <c r="E643">
        <v>21682.9</v>
      </c>
      <c r="F643">
        <v>6504.87</v>
      </c>
      <c r="G643">
        <v>2872.36</v>
      </c>
      <c r="H643">
        <v>5485.45</v>
      </c>
      <c r="I643">
        <v>31060.13</v>
      </c>
      <c r="J643">
        <v>25574.68</v>
      </c>
      <c r="K643" s="1"/>
      <c r="L643" s="1"/>
      <c r="M643" s="1"/>
      <c r="N643" s="1"/>
    </row>
    <row r="644" ht="15.75" customHeight="1">
      <c r="A644" t="s">
        <v>53</v>
      </c>
      <c r="B644" t="s">
        <v>18</v>
      </c>
      <c r="C644" t="s">
        <v>4914</v>
      </c>
      <c r="D644" t="s">
        <v>696</v>
      </c>
      <c r="E644">
        <v>80438.09</v>
      </c>
      <c r="F644">
        <v>24131.43</v>
      </c>
      <c r="G644">
        <v>4547.6</v>
      </c>
      <c r="H644">
        <v>16515.87</v>
      </c>
      <c r="I644">
        <v>109117.12</v>
      </c>
      <c r="J644">
        <v>92601.25</v>
      </c>
      <c r="K644" s="1"/>
      <c r="L644" s="1"/>
      <c r="M644" s="1"/>
      <c r="N644" s="1"/>
    </row>
    <row r="645" ht="15.75" customHeight="1">
      <c r="A645" t="s">
        <v>17</v>
      </c>
      <c r="B645" t="s">
        <v>33</v>
      </c>
      <c r="C645" t="s">
        <v>4910</v>
      </c>
      <c r="D645" t="s">
        <v>697</v>
      </c>
      <c r="E645">
        <v>34883.61</v>
      </c>
      <c r="F645">
        <v>10465.08</v>
      </c>
      <c r="G645">
        <v>4469.25</v>
      </c>
      <c r="H645">
        <v>9015.58</v>
      </c>
      <c r="I645">
        <v>49817.94</v>
      </c>
      <c r="J645">
        <v>40802.36</v>
      </c>
      <c r="K645" s="1"/>
      <c r="L645" s="1"/>
      <c r="M645" s="1"/>
      <c r="N645" s="1"/>
    </row>
    <row r="646" ht="15.75" customHeight="1">
      <c r="A646" t="s">
        <v>25</v>
      </c>
      <c r="B646" t="s">
        <v>30</v>
      </c>
      <c r="C646" t="s">
        <v>4916</v>
      </c>
      <c r="D646" t="s">
        <v>698</v>
      </c>
      <c r="E646">
        <v>29917.25</v>
      </c>
      <c r="F646">
        <v>8975.17</v>
      </c>
      <c r="G646">
        <v>4819.25</v>
      </c>
      <c r="H646">
        <v>7201.36</v>
      </c>
      <c r="I646">
        <v>43711.67</v>
      </c>
      <c r="J646">
        <v>36510.31</v>
      </c>
      <c r="K646" s="1"/>
      <c r="L646" s="1"/>
      <c r="M646" s="1"/>
      <c r="N646" s="1"/>
    </row>
    <row r="647" ht="15.75" customHeight="1">
      <c r="A647" t="s">
        <v>36</v>
      </c>
      <c r="B647" t="s">
        <v>18</v>
      </c>
      <c r="C647" t="s">
        <v>4914</v>
      </c>
      <c r="D647" t="s">
        <v>699</v>
      </c>
      <c r="E647">
        <v>73309.23</v>
      </c>
      <c r="F647">
        <v>21992.77</v>
      </c>
      <c r="G647">
        <v>2051.62</v>
      </c>
      <c r="H647">
        <v>559.83</v>
      </c>
      <c r="I647">
        <v>97353.62</v>
      </c>
      <c r="J647">
        <v>96793.79</v>
      </c>
      <c r="K647" s="1"/>
      <c r="L647" s="1"/>
      <c r="M647" s="1"/>
      <c r="N647" s="1"/>
    </row>
    <row r="648" ht="15.75" customHeight="1">
      <c r="A648" t="s">
        <v>13</v>
      </c>
      <c r="B648" t="s">
        <v>37</v>
      </c>
      <c r="C648" t="s">
        <v>4917</v>
      </c>
      <c r="D648" t="s">
        <v>700</v>
      </c>
      <c r="E648">
        <v>59688.26</v>
      </c>
      <c r="F648">
        <v>17906.48</v>
      </c>
      <c r="G648">
        <v>4096.61</v>
      </c>
      <c r="H648">
        <v>12773.93</v>
      </c>
      <c r="I648">
        <v>81691.35</v>
      </c>
      <c r="J648">
        <v>68917.42</v>
      </c>
      <c r="K648" s="1"/>
      <c r="L648" s="1"/>
      <c r="M648" s="1"/>
      <c r="N648" s="1"/>
    </row>
    <row r="649" ht="15.75" customHeight="1">
      <c r="A649" t="s">
        <v>53</v>
      </c>
      <c r="B649" t="s">
        <v>18</v>
      </c>
      <c r="C649" t="s">
        <v>4915</v>
      </c>
      <c r="D649" t="s">
        <v>701</v>
      </c>
      <c r="E649">
        <v>85407.32</v>
      </c>
      <c r="F649">
        <v>25622.2</v>
      </c>
      <c r="G649">
        <v>15484.8</v>
      </c>
      <c r="H649">
        <v>17214.75</v>
      </c>
      <c r="I649">
        <v>126514.32</v>
      </c>
      <c r="J649">
        <v>109299.57</v>
      </c>
      <c r="K649" s="1"/>
      <c r="L649" s="1"/>
      <c r="M649" s="1"/>
      <c r="N649" s="1"/>
    </row>
    <row r="650" ht="15.75" customHeight="1">
      <c r="A650" t="s">
        <v>29</v>
      </c>
      <c r="B650" t="s">
        <v>26</v>
      </c>
      <c r="C650" t="s">
        <v>4910</v>
      </c>
      <c r="D650" t="s">
        <v>702</v>
      </c>
      <c r="E650">
        <v>96119.52</v>
      </c>
      <c r="F650">
        <v>28835.86</v>
      </c>
      <c r="G650">
        <v>12641.92</v>
      </c>
      <c r="H650">
        <v>16097.56</v>
      </c>
      <c r="I650">
        <v>137597.3</v>
      </c>
      <c r="J650">
        <v>121499.74</v>
      </c>
      <c r="K650" s="1"/>
      <c r="L650" s="1"/>
      <c r="M650" s="1"/>
      <c r="N650" s="1"/>
    </row>
    <row r="651" ht="15.75" customHeight="1">
      <c r="A651" t="s">
        <v>17</v>
      </c>
      <c r="B651" t="s">
        <v>54</v>
      </c>
      <c r="C651" t="s">
        <v>4911</v>
      </c>
      <c r="D651" t="s">
        <v>703</v>
      </c>
      <c r="E651">
        <v>36791.22</v>
      </c>
      <c r="F651">
        <v>11037.37</v>
      </c>
      <c r="G651">
        <v>1903.22</v>
      </c>
      <c r="H651">
        <v>8921.99</v>
      </c>
      <c r="I651">
        <v>49731.81</v>
      </c>
      <c r="J651">
        <v>40809.82</v>
      </c>
      <c r="K651" s="1"/>
      <c r="L651" s="1"/>
      <c r="M651" s="1"/>
      <c r="N651" s="1"/>
    </row>
    <row r="652" ht="15.75" customHeight="1">
      <c r="A652" t="s">
        <v>13</v>
      </c>
      <c r="B652" t="s">
        <v>33</v>
      </c>
      <c r="C652" t="s">
        <v>4910</v>
      </c>
      <c r="D652" t="s">
        <v>704</v>
      </c>
      <c r="E652">
        <v>31544.35</v>
      </c>
      <c r="F652">
        <v>9463.3</v>
      </c>
      <c r="G652">
        <v>1402.17</v>
      </c>
      <c r="H652">
        <v>2113.42</v>
      </c>
      <c r="I652">
        <v>42409.82</v>
      </c>
      <c r="J652">
        <v>40296.4</v>
      </c>
      <c r="K652" s="1"/>
      <c r="L652" s="1"/>
      <c r="M652" s="1"/>
      <c r="N652" s="1"/>
    </row>
    <row r="653" ht="15.75" customHeight="1">
      <c r="A653" t="s">
        <v>36</v>
      </c>
      <c r="B653" t="s">
        <v>26</v>
      </c>
      <c r="C653" t="s">
        <v>4914</v>
      </c>
      <c r="D653" t="s">
        <v>705</v>
      </c>
      <c r="E653">
        <v>121926.37</v>
      </c>
      <c r="F653">
        <v>36577.91</v>
      </c>
      <c r="G653">
        <v>9063.58</v>
      </c>
      <c r="H653">
        <v>21418.95</v>
      </c>
      <c r="I653">
        <v>167567.86</v>
      </c>
      <c r="J653">
        <v>146148.91</v>
      </c>
      <c r="K653" s="1"/>
      <c r="L653" s="1"/>
      <c r="M653" s="1"/>
      <c r="N653" s="1"/>
    </row>
    <row r="654" ht="15.75" customHeight="1">
      <c r="A654" t="s">
        <v>25</v>
      </c>
      <c r="B654" t="s">
        <v>14</v>
      </c>
      <c r="C654" t="s">
        <v>4916</v>
      </c>
      <c r="D654" t="s">
        <v>706</v>
      </c>
      <c r="E654">
        <v>21387.86</v>
      </c>
      <c r="F654">
        <v>6416.36</v>
      </c>
      <c r="G654">
        <v>3706.06</v>
      </c>
      <c r="H654">
        <v>3744.42</v>
      </c>
      <c r="I654">
        <v>31510.28</v>
      </c>
      <c r="J654">
        <v>27765.86</v>
      </c>
      <c r="K654" s="1"/>
      <c r="L654" s="1"/>
      <c r="M654" s="1"/>
      <c r="N654" s="1"/>
    </row>
    <row r="655" ht="15.75" customHeight="1">
      <c r="A655" t="s">
        <v>17</v>
      </c>
      <c r="B655" t="s">
        <v>54</v>
      </c>
      <c r="C655" t="s">
        <v>4913</v>
      </c>
      <c r="D655" t="s">
        <v>707</v>
      </c>
      <c r="E655">
        <v>47451.96</v>
      </c>
      <c r="F655">
        <v>14235.59</v>
      </c>
      <c r="G655">
        <v>4749.73</v>
      </c>
      <c r="H655">
        <v>12349.34</v>
      </c>
      <c r="I655">
        <v>66437.28</v>
      </c>
      <c r="J655">
        <v>54087.94</v>
      </c>
      <c r="K655" s="1"/>
      <c r="L655" s="1"/>
      <c r="M655" s="1"/>
      <c r="N655" s="1"/>
    </row>
    <row r="656" ht="15.75" customHeight="1">
      <c r="A656" t="s">
        <v>53</v>
      </c>
      <c r="B656" t="s">
        <v>33</v>
      </c>
      <c r="C656" t="s">
        <v>4908</v>
      </c>
      <c r="D656" t="s">
        <v>708</v>
      </c>
      <c r="E656">
        <v>29131.07</v>
      </c>
      <c r="F656">
        <v>8739.32</v>
      </c>
      <c r="G656">
        <v>5073.75</v>
      </c>
      <c r="H656">
        <v>1317.7</v>
      </c>
      <c r="I656">
        <v>42944.14</v>
      </c>
      <c r="J656">
        <v>41626.44</v>
      </c>
      <c r="K656" s="1"/>
      <c r="L656" s="1"/>
      <c r="M656" s="1"/>
      <c r="N656" s="1"/>
    </row>
    <row r="657" ht="15.75" customHeight="1">
      <c r="A657" t="s">
        <v>29</v>
      </c>
      <c r="B657" t="s">
        <v>54</v>
      </c>
      <c r="C657" t="s">
        <v>4911</v>
      </c>
      <c r="D657" t="s">
        <v>709</v>
      </c>
      <c r="E657">
        <v>48820.68</v>
      </c>
      <c r="F657">
        <v>14646.2</v>
      </c>
      <c r="G657">
        <v>8717.86</v>
      </c>
      <c r="H657">
        <v>14450.67</v>
      </c>
      <c r="I657">
        <v>72184.74</v>
      </c>
      <c r="J657">
        <v>57734.07</v>
      </c>
      <c r="K657" s="1"/>
      <c r="L657" s="1"/>
      <c r="M657" s="1"/>
      <c r="N657" s="1"/>
    </row>
    <row r="658" ht="15.75" customHeight="1">
      <c r="A658" t="s">
        <v>29</v>
      </c>
      <c r="B658" t="s">
        <v>26</v>
      </c>
      <c r="C658" t="s">
        <v>4917</v>
      </c>
      <c r="D658" t="s">
        <v>710</v>
      </c>
      <c r="E658">
        <v>115764.06</v>
      </c>
      <c r="F658">
        <v>34729.22</v>
      </c>
      <c r="G658">
        <v>18034.68</v>
      </c>
      <c r="H658">
        <v>16933.3</v>
      </c>
      <c r="I658">
        <v>168527.96</v>
      </c>
      <c r="J658">
        <v>151594.66</v>
      </c>
      <c r="K658" s="1"/>
      <c r="L658" s="1"/>
      <c r="M658" s="1"/>
      <c r="N658" s="1"/>
    </row>
    <row r="659" ht="15.75" customHeight="1">
      <c r="A659" t="s">
        <v>51</v>
      </c>
      <c r="B659" t="s">
        <v>33</v>
      </c>
      <c r="C659" t="s">
        <v>4911</v>
      </c>
      <c r="D659" t="s">
        <v>711</v>
      </c>
      <c r="E659">
        <v>31344.99</v>
      </c>
      <c r="F659">
        <v>9403.5</v>
      </c>
      <c r="G659">
        <v>29.55</v>
      </c>
      <c r="H659">
        <v>2572.12</v>
      </c>
      <c r="I659">
        <v>40778.04</v>
      </c>
      <c r="J659">
        <v>38205.92</v>
      </c>
      <c r="K659" s="1"/>
      <c r="L659" s="1"/>
      <c r="M659" s="1"/>
      <c r="N659" s="1"/>
    </row>
    <row r="660" ht="15.75" customHeight="1">
      <c r="A660" t="s">
        <v>53</v>
      </c>
      <c r="B660" t="s">
        <v>26</v>
      </c>
      <c r="C660" t="s">
        <v>4911</v>
      </c>
      <c r="D660" t="s">
        <v>712</v>
      </c>
      <c r="E660">
        <v>95703.66</v>
      </c>
      <c r="F660">
        <v>28711.1</v>
      </c>
      <c r="G660">
        <v>15029.51</v>
      </c>
      <c r="H660">
        <v>22387.55</v>
      </c>
      <c r="I660">
        <v>139444.27</v>
      </c>
      <c r="J660">
        <v>117056.72</v>
      </c>
      <c r="K660" s="1"/>
      <c r="L660" s="1"/>
      <c r="M660" s="1"/>
      <c r="N660" s="1"/>
    </row>
    <row r="661" ht="15.75" customHeight="1">
      <c r="A661" t="s">
        <v>36</v>
      </c>
      <c r="B661" t="s">
        <v>54</v>
      </c>
      <c r="C661" t="s">
        <v>4913</v>
      </c>
      <c r="D661" t="s">
        <v>713</v>
      </c>
      <c r="E661">
        <v>43868.83</v>
      </c>
      <c r="F661">
        <v>13160.65</v>
      </c>
      <c r="G661">
        <v>3539.28</v>
      </c>
      <c r="H661">
        <v>12704.34</v>
      </c>
      <c r="I661">
        <v>60568.76</v>
      </c>
      <c r="J661">
        <v>47864.42</v>
      </c>
      <c r="K661" s="1"/>
      <c r="L661" s="1"/>
      <c r="M661" s="1"/>
      <c r="N661" s="1"/>
    </row>
    <row r="662" ht="15.75" customHeight="1">
      <c r="A662" t="s">
        <v>17</v>
      </c>
      <c r="B662" t="s">
        <v>14</v>
      </c>
      <c r="C662" t="s">
        <v>4912</v>
      </c>
      <c r="D662" t="s">
        <v>714</v>
      </c>
      <c r="E662">
        <v>21843.23</v>
      </c>
      <c r="F662">
        <v>6552.97</v>
      </c>
      <c r="G662">
        <v>3191.99</v>
      </c>
      <c r="H662">
        <v>6225.77</v>
      </c>
      <c r="I662">
        <v>31588.19</v>
      </c>
      <c r="J662">
        <v>25362.42</v>
      </c>
      <c r="K662" s="1"/>
      <c r="L662" s="1"/>
      <c r="M662" s="1"/>
      <c r="N662" s="1"/>
    </row>
    <row r="663" ht="15.75" customHeight="1">
      <c r="A663" t="s">
        <v>25</v>
      </c>
      <c r="B663" t="s">
        <v>26</v>
      </c>
      <c r="C663" t="s">
        <v>4905</v>
      </c>
      <c r="D663" t="s">
        <v>715</v>
      </c>
      <c r="E663">
        <v>109117.22</v>
      </c>
      <c r="F663">
        <v>32735.17</v>
      </c>
      <c r="G663">
        <v>390.99</v>
      </c>
      <c r="H663">
        <v>134.99</v>
      </c>
      <c r="I663">
        <v>142243.38</v>
      </c>
      <c r="J663">
        <v>142108.39</v>
      </c>
      <c r="K663" s="1"/>
      <c r="L663" s="1"/>
      <c r="M663" s="1"/>
      <c r="N663" s="1"/>
    </row>
    <row r="664" ht="15.75" customHeight="1">
      <c r="A664" t="s">
        <v>51</v>
      </c>
      <c r="B664" t="s">
        <v>30</v>
      </c>
      <c r="C664" t="s">
        <v>4913</v>
      </c>
      <c r="D664" t="s">
        <v>716</v>
      </c>
      <c r="E664">
        <v>28103.02</v>
      </c>
      <c r="F664">
        <v>8430.91</v>
      </c>
      <c r="G664">
        <v>1935.45</v>
      </c>
      <c r="H664">
        <v>1087.0</v>
      </c>
      <c r="I664">
        <v>38469.38</v>
      </c>
      <c r="J664">
        <v>37382.38</v>
      </c>
      <c r="K664" s="1"/>
      <c r="L664" s="1"/>
      <c r="M664" s="1"/>
      <c r="N664" s="1"/>
    </row>
    <row r="665" ht="15.75" customHeight="1">
      <c r="A665" t="s">
        <v>53</v>
      </c>
      <c r="B665" t="s">
        <v>37</v>
      </c>
      <c r="C665" t="s">
        <v>4910</v>
      </c>
      <c r="D665" t="s">
        <v>717</v>
      </c>
      <c r="E665">
        <v>50510.07</v>
      </c>
      <c r="F665">
        <v>15153.02</v>
      </c>
      <c r="G665">
        <v>659.53</v>
      </c>
      <c r="H665">
        <v>692.77</v>
      </c>
      <c r="I665">
        <v>66322.62</v>
      </c>
      <c r="J665">
        <v>65629.85</v>
      </c>
      <c r="K665" s="1"/>
      <c r="L665" s="1"/>
      <c r="M665" s="1"/>
      <c r="N665" s="1"/>
    </row>
    <row r="666" ht="15.75" customHeight="1">
      <c r="A666" t="s">
        <v>36</v>
      </c>
      <c r="B666" t="s">
        <v>18</v>
      </c>
      <c r="C666" t="s">
        <v>4917</v>
      </c>
      <c r="D666" t="s">
        <v>718</v>
      </c>
      <c r="E666">
        <v>78527.5</v>
      </c>
      <c r="F666">
        <v>23558.25</v>
      </c>
      <c r="G666">
        <v>8231.53</v>
      </c>
      <c r="H666">
        <v>10216.39</v>
      </c>
      <c r="I666">
        <v>110317.28</v>
      </c>
      <c r="J666">
        <v>100100.89</v>
      </c>
      <c r="K666" s="1"/>
      <c r="L666" s="1"/>
      <c r="M666" s="1"/>
      <c r="N666" s="1"/>
    </row>
    <row r="667" ht="15.75" customHeight="1">
      <c r="A667" t="s">
        <v>25</v>
      </c>
      <c r="B667" t="s">
        <v>54</v>
      </c>
      <c r="C667" t="s">
        <v>4908</v>
      </c>
      <c r="D667" t="s">
        <v>719</v>
      </c>
      <c r="E667">
        <v>35267.75</v>
      </c>
      <c r="F667">
        <v>10580.32</v>
      </c>
      <c r="G667">
        <v>1582.26</v>
      </c>
      <c r="H667">
        <v>10420.35</v>
      </c>
      <c r="I667">
        <v>47430.33</v>
      </c>
      <c r="J667">
        <v>37009.98</v>
      </c>
      <c r="K667" s="1"/>
      <c r="L667" s="1"/>
      <c r="M667" s="1"/>
      <c r="N667" s="1"/>
    </row>
    <row r="668" ht="15.75" customHeight="1">
      <c r="A668" t="s">
        <v>13</v>
      </c>
      <c r="B668" t="s">
        <v>14</v>
      </c>
      <c r="C668" t="s">
        <v>4917</v>
      </c>
      <c r="D668" t="s">
        <v>720</v>
      </c>
      <c r="E668">
        <v>22245.79</v>
      </c>
      <c r="F668">
        <v>6673.74</v>
      </c>
      <c r="G668">
        <v>751.84</v>
      </c>
      <c r="H668">
        <v>2446.53</v>
      </c>
      <c r="I668">
        <v>29671.37</v>
      </c>
      <c r="J668">
        <v>27224.84</v>
      </c>
      <c r="K668" s="1"/>
      <c r="L668" s="1"/>
      <c r="M668" s="1"/>
      <c r="N668" s="1"/>
    </row>
    <row r="669" ht="15.75" customHeight="1">
      <c r="A669" t="s">
        <v>25</v>
      </c>
      <c r="B669" t="s">
        <v>14</v>
      </c>
      <c r="C669" t="s">
        <v>4916</v>
      </c>
      <c r="D669" t="s">
        <v>721</v>
      </c>
      <c r="E669">
        <v>20701.39</v>
      </c>
      <c r="F669">
        <v>6210.42</v>
      </c>
      <c r="G669">
        <v>2651.11</v>
      </c>
      <c r="H669">
        <v>4789.78</v>
      </c>
      <c r="I669">
        <v>29562.92</v>
      </c>
      <c r="J669">
        <v>24773.14</v>
      </c>
      <c r="K669" s="1"/>
      <c r="L669" s="1"/>
      <c r="M669" s="1"/>
      <c r="N669" s="1"/>
    </row>
    <row r="670" ht="15.75" customHeight="1">
      <c r="A670" t="s">
        <v>17</v>
      </c>
      <c r="B670" t="s">
        <v>37</v>
      </c>
      <c r="C670" t="s">
        <v>4907</v>
      </c>
      <c r="D670" t="s">
        <v>722</v>
      </c>
      <c r="E670">
        <v>62904.24</v>
      </c>
      <c r="F670">
        <v>18871.27</v>
      </c>
      <c r="G670">
        <v>8328.14</v>
      </c>
      <c r="H670">
        <v>12333.65</v>
      </c>
      <c r="I670">
        <v>90103.65</v>
      </c>
      <c r="J670">
        <v>77770.0</v>
      </c>
      <c r="K670" s="1"/>
      <c r="L670" s="1"/>
      <c r="M670" s="1"/>
      <c r="N670" s="1"/>
    </row>
    <row r="671" ht="15.75" customHeight="1">
      <c r="A671" t="s">
        <v>17</v>
      </c>
      <c r="B671" t="s">
        <v>18</v>
      </c>
      <c r="C671" t="s">
        <v>4910</v>
      </c>
      <c r="D671" t="s">
        <v>723</v>
      </c>
      <c r="E671">
        <v>68010.54</v>
      </c>
      <c r="F671">
        <v>20403.16</v>
      </c>
      <c r="G671">
        <v>6043.61</v>
      </c>
      <c r="H671">
        <v>2521.73</v>
      </c>
      <c r="I671">
        <v>94457.31</v>
      </c>
      <c r="J671">
        <v>91935.58</v>
      </c>
      <c r="K671" s="1"/>
      <c r="L671" s="1"/>
      <c r="M671" s="1"/>
      <c r="N671" s="1"/>
    </row>
    <row r="672" ht="15.75" customHeight="1">
      <c r="A672" t="s">
        <v>36</v>
      </c>
      <c r="B672" t="s">
        <v>18</v>
      </c>
      <c r="C672" t="s">
        <v>4910</v>
      </c>
      <c r="D672" t="s">
        <v>724</v>
      </c>
      <c r="E672">
        <v>68981.3</v>
      </c>
      <c r="F672">
        <v>20694.39</v>
      </c>
      <c r="G672">
        <v>9591.05</v>
      </c>
      <c r="H672">
        <v>13043.91</v>
      </c>
      <c r="I672">
        <v>99266.74</v>
      </c>
      <c r="J672">
        <v>86222.83</v>
      </c>
      <c r="K672" s="1"/>
      <c r="L672" s="1"/>
      <c r="M672" s="1"/>
      <c r="N672" s="1"/>
    </row>
    <row r="673" ht="15.75" customHeight="1">
      <c r="A673" t="s">
        <v>36</v>
      </c>
      <c r="B673" t="s">
        <v>18</v>
      </c>
      <c r="C673" t="s">
        <v>4905</v>
      </c>
      <c r="D673" t="s">
        <v>725</v>
      </c>
      <c r="E673">
        <v>67625.48</v>
      </c>
      <c r="F673">
        <v>20287.64</v>
      </c>
      <c r="G673">
        <v>7037.23</v>
      </c>
      <c r="H673">
        <v>12635.1</v>
      </c>
      <c r="I673">
        <v>94950.35</v>
      </c>
      <c r="J673">
        <v>82315.25</v>
      </c>
      <c r="K673" s="1"/>
      <c r="L673" s="1"/>
      <c r="M673" s="1"/>
      <c r="N673" s="1"/>
    </row>
    <row r="674" ht="15.75" customHeight="1">
      <c r="A674" t="s">
        <v>51</v>
      </c>
      <c r="B674" t="s">
        <v>54</v>
      </c>
      <c r="C674" t="s">
        <v>4909</v>
      </c>
      <c r="D674" t="s">
        <v>726</v>
      </c>
      <c r="E674">
        <v>46629.14</v>
      </c>
      <c r="F674">
        <v>13988.74</v>
      </c>
      <c r="G674">
        <v>978.41</v>
      </c>
      <c r="H674">
        <v>10054.64</v>
      </c>
      <c r="I674">
        <v>61596.29</v>
      </c>
      <c r="J674">
        <v>51541.65</v>
      </c>
      <c r="K674" s="1"/>
      <c r="L674" s="1"/>
      <c r="M674" s="1"/>
      <c r="N674" s="1"/>
    </row>
    <row r="675" ht="15.75" customHeight="1">
      <c r="A675" t="s">
        <v>29</v>
      </c>
      <c r="B675" t="s">
        <v>14</v>
      </c>
      <c r="C675" t="s">
        <v>4910</v>
      </c>
      <c r="D675" t="s">
        <v>727</v>
      </c>
      <c r="E675">
        <v>23650.27</v>
      </c>
      <c r="F675">
        <v>7095.08</v>
      </c>
      <c r="G675">
        <v>2354.33</v>
      </c>
      <c r="H675">
        <v>4320.92</v>
      </c>
      <c r="I675">
        <v>33099.68</v>
      </c>
      <c r="J675">
        <v>28778.76</v>
      </c>
      <c r="K675" s="1"/>
      <c r="L675" s="1"/>
      <c r="M675" s="1"/>
      <c r="N675" s="1"/>
    </row>
    <row r="676" ht="15.75" customHeight="1">
      <c r="A676" t="s">
        <v>25</v>
      </c>
      <c r="B676" t="s">
        <v>37</v>
      </c>
      <c r="C676" t="s">
        <v>4911</v>
      </c>
      <c r="D676" t="s">
        <v>728</v>
      </c>
      <c r="E676">
        <v>62516.16</v>
      </c>
      <c r="F676">
        <v>18754.85</v>
      </c>
      <c r="G676">
        <v>4475.18</v>
      </c>
      <c r="H676">
        <v>7684.92</v>
      </c>
      <c r="I676">
        <v>85746.19</v>
      </c>
      <c r="J676">
        <v>78061.27</v>
      </c>
      <c r="K676" s="1"/>
      <c r="L676" s="1"/>
      <c r="M676" s="1"/>
      <c r="N676" s="1"/>
    </row>
    <row r="677" ht="15.75" customHeight="1">
      <c r="A677" t="s">
        <v>17</v>
      </c>
      <c r="B677" t="s">
        <v>37</v>
      </c>
      <c r="C677" t="s">
        <v>4912</v>
      </c>
      <c r="D677" t="s">
        <v>729</v>
      </c>
      <c r="E677">
        <v>53934.38</v>
      </c>
      <c r="F677">
        <v>16180.31</v>
      </c>
      <c r="G677">
        <v>2240.37</v>
      </c>
      <c r="H677">
        <v>15098.24</v>
      </c>
      <c r="I677">
        <v>72355.06</v>
      </c>
      <c r="J677">
        <v>57256.82</v>
      </c>
      <c r="K677" s="1"/>
      <c r="L677" s="1"/>
      <c r="M677" s="1"/>
      <c r="N677" s="1"/>
    </row>
    <row r="678" ht="15.75" customHeight="1">
      <c r="A678" t="s">
        <v>51</v>
      </c>
      <c r="B678" t="s">
        <v>14</v>
      </c>
      <c r="C678" t="s">
        <v>4916</v>
      </c>
      <c r="D678" t="s">
        <v>730</v>
      </c>
      <c r="E678">
        <v>18091.8</v>
      </c>
      <c r="F678">
        <v>5427.54</v>
      </c>
      <c r="G678">
        <v>322.04</v>
      </c>
      <c r="H678">
        <v>599.37</v>
      </c>
      <c r="I678">
        <v>23841.38</v>
      </c>
      <c r="J678">
        <v>23242.01</v>
      </c>
      <c r="K678" s="1"/>
      <c r="L678" s="1"/>
      <c r="M678" s="1"/>
      <c r="N678" s="1"/>
    </row>
    <row r="679" ht="15.75" customHeight="1">
      <c r="A679" t="s">
        <v>13</v>
      </c>
      <c r="B679" t="s">
        <v>54</v>
      </c>
      <c r="C679" t="s">
        <v>4905</v>
      </c>
      <c r="D679" t="s">
        <v>731</v>
      </c>
      <c r="E679">
        <v>37088.02</v>
      </c>
      <c r="F679">
        <v>11126.41</v>
      </c>
      <c r="G679">
        <v>668.2</v>
      </c>
      <c r="H679">
        <v>5693.44</v>
      </c>
      <c r="I679">
        <v>48882.63</v>
      </c>
      <c r="J679">
        <v>43189.19</v>
      </c>
      <c r="K679" s="1"/>
      <c r="L679" s="1"/>
      <c r="M679" s="1"/>
      <c r="N679" s="1"/>
    </row>
    <row r="680" ht="15.75" customHeight="1">
      <c r="A680" t="s">
        <v>13</v>
      </c>
      <c r="B680" t="s">
        <v>14</v>
      </c>
      <c r="C680" t="s">
        <v>4910</v>
      </c>
      <c r="D680" t="s">
        <v>732</v>
      </c>
      <c r="E680">
        <v>24514.41</v>
      </c>
      <c r="F680">
        <v>7354.32</v>
      </c>
      <c r="G680">
        <v>3159.11</v>
      </c>
      <c r="H680">
        <v>3359.1</v>
      </c>
      <c r="I680">
        <v>35027.84</v>
      </c>
      <c r="J680">
        <v>31668.74</v>
      </c>
      <c r="K680" s="1"/>
      <c r="L680" s="1"/>
      <c r="M680" s="1"/>
      <c r="N680" s="1"/>
    </row>
    <row r="681" ht="15.75" customHeight="1">
      <c r="A681" t="s">
        <v>29</v>
      </c>
      <c r="B681" t="s">
        <v>54</v>
      </c>
      <c r="C681" t="s">
        <v>4910</v>
      </c>
      <c r="D681" t="s">
        <v>733</v>
      </c>
      <c r="E681">
        <v>35701.12</v>
      </c>
      <c r="F681">
        <v>10710.34</v>
      </c>
      <c r="G681">
        <v>5806.28</v>
      </c>
      <c r="H681">
        <v>9362.34</v>
      </c>
      <c r="I681">
        <v>52217.74</v>
      </c>
      <c r="J681">
        <v>42855.4</v>
      </c>
      <c r="K681" s="1"/>
      <c r="L681" s="1"/>
      <c r="M681" s="1"/>
      <c r="N681" s="1"/>
    </row>
    <row r="682" ht="15.75" customHeight="1">
      <c r="A682" t="s">
        <v>29</v>
      </c>
      <c r="B682" t="s">
        <v>26</v>
      </c>
      <c r="C682" t="s">
        <v>4907</v>
      </c>
      <c r="D682" t="s">
        <v>734</v>
      </c>
      <c r="E682">
        <v>114363.6</v>
      </c>
      <c r="F682">
        <v>34309.08</v>
      </c>
      <c r="G682">
        <v>9743.67</v>
      </c>
      <c r="H682">
        <v>3976.46</v>
      </c>
      <c r="I682">
        <v>158416.35</v>
      </c>
      <c r="J682">
        <v>154439.89</v>
      </c>
      <c r="K682" s="1"/>
      <c r="L682" s="1"/>
      <c r="M682" s="1"/>
      <c r="N682" s="1"/>
    </row>
    <row r="683" ht="15.75" customHeight="1">
      <c r="A683" t="s">
        <v>17</v>
      </c>
      <c r="B683" t="s">
        <v>26</v>
      </c>
      <c r="C683" t="s">
        <v>4914</v>
      </c>
      <c r="D683" t="s">
        <v>735</v>
      </c>
      <c r="E683">
        <v>94982.2</v>
      </c>
      <c r="F683">
        <v>28494.66</v>
      </c>
      <c r="G683">
        <v>12294.47</v>
      </c>
      <c r="H683">
        <v>9365.08</v>
      </c>
      <c r="I683">
        <v>135771.33</v>
      </c>
      <c r="J683">
        <v>126406.25</v>
      </c>
      <c r="K683" s="1"/>
      <c r="L683" s="1"/>
      <c r="M683" s="1"/>
      <c r="N683" s="1"/>
    </row>
    <row r="684" ht="15.75" customHeight="1">
      <c r="A684" t="s">
        <v>53</v>
      </c>
      <c r="B684" t="s">
        <v>33</v>
      </c>
      <c r="C684" t="s">
        <v>4911</v>
      </c>
      <c r="D684" t="s">
        <v>736</v>
      </c>
      <c r="E684">
        <v>33784.76</v>
      </c>
      <c r="F684">
        <v>10135.43</v>
      </c>
      <c r="G684">
        <v>628.07</v>
      </c>
      <c r="H684">
        <v>8260.01</v>
      </c>
      <c r="I684">
        <v>44548.26</v>
      </c>
      <c r="J684">
        <v>36288.25</v>
      </c>
      <c r="K684" s="1"/>
      <c r="L684" s="1"/>
      <c r="M684" s="1"/>
      <c r="N684" s="1"/>
    </row>
    <row r="685" ht="15.75" customHeight="1">
      <c r="A685" t="s">
        <v>17</v>
      </c>
      <c r="B685" t="s">
        <v>54</v>
      </c>
      <c r="C685" t="s">
        <v>4905</v>
      </c>
      <c r="D685" t="s">
        <v>737</v>
      </c>
      <c r="E685">
        <v>40603.5</v>
      </c>
      <c r="F685">
        <v>12181.05</v>
      </c>
      <c r="G685">
        <v>3707.41</v>
      </c>
      <c r="H685">
        <v>10179.81</v>
      </c>
      <c r="I685">
        <v>56491.96</v>
      </c>
      <c r="J685">
        <v>46312.15</v>
      </c>
      <c r="K685" s="1"/>
      <c r="L685" s="1"/>
      <c r="M685" s="1"/>
      <c r="N685" s="1"/>
    </row>
    <row r="686" ht="15.75" customHeight="1">
      <c r="A686" t="s">
        <v>25</v>
      </c>
      <c r="B686" t="s">
        <v>54</v>
      </c>
      <c r="C686" t="s">
        <v>4909</v>
      </c>
      <c r="D686" t="s">
        <v>738</v>
      </c>
      <c r="E686">
        <v>46198.59</v>
      </c>
      <c r="F686">
        <v>13859.58</v>
      </c>
      <c r="G686">
        <v>5995.16</v>
      </c>
      <c r="H686">
        <v>11044.83</v>
      </c>
      <c r="I686">
        <v>66053.33</v>
      </c>
      <c r="J686">
        <v>55008.5</v>
      </c>
      <c r="K686" s="1"/>
      <c r="L686" s="1"/>
      <c r="M686" s="1"/>
      <c r="N686" s="1"/>
    </row>
    <row r="687" ht="15.75" customHeight="1">
      <c r="A687" t="s">
        <v>51</v>
      </c>
      <c r="B687" t="s">
        <v>18</v>
      </c>
      <c r="C687" t="s">
        <v>4909</v>
      </c>
      <c r="D687" t="s">
        <v>739</v>
      </c>
      <c r="E687">
        <v>83886.69</v>
      </c>
      <c r="F687">
        <v>25166.01</v>
      </c>
      <c r="G687">
        <v>16468.12</v>
      </c>
      <c r="H687">
        <v>21248.91</v>
      </c>
      <c r="I687">
        <v>125520.82</v>
      </c>
      <c r="J687">
        <v>104271.91</v>
      </c>
      <c r="K687" s="1"/>
      <c r="L687" s="1"/>
      <c r="M687" s="1"/>
      <c r="N687" s="1"/>
    </row>
    <row r="688" ht="15.75" customHeight="1">
      <c r="A688" t="s">
        <v>36</v>
      </c>
      <c r="B688" t="s">
        <v>37</v>
      </c>
      <c r="C688" t="s">
        <v>4916</v>
      </c>
      <c r="D688" t="s">
        <v>740</v>
      </c>
      <c r="E688">
        <v>53688.15</v>
      </c>
      <c r="F688">
        <v>16106.44</v>
      </c>
      <c r="G688">
        <v>6109.1</v>
      </c>
      <c r="H688">
        <v>7057.25</v>
      </c>
      <c r="I688">
        <v>75903.69</v>
      </c>
      <c r="J688">
        <v>68846.44</v>
      </c>
      <c r="K688" s="1"/>
      <c r="L688" s="1"/>
      <c r="M688" s="1"/>
      <c r="N688" s="1"/>
    </row>
    <row r="689" ht="15.75" customHeight="1">
      <c r="A689" t="s">
        <v>51</v>
      </c>
      <c r="B689" t="s">
        <v>54</v>
      </c>
      <c r="C689" t="s">
        <v>4907</v>
      </c>
      <c r="D689" t="s">
        <v>741</v>
      </c>
      <c r="E689">
        <v>47885.57</v>
      </c>
      <c r="F689">
        <v>14365.67</v>
      </c>
      <c r="G689">
        <v>1081.62</v>
      </c>
      <c r="H689">
        <v>5908.37</v>
      </c>
      <c r="I689">
        <v>63332.86</v>
      </c>
      <c r="J689">
        <v>57424.49</v>
      </c>
      <c r="K689" s="1"/>
      <c r="L689" s="1"/>
      <c r="M689" s="1"/>
      <c r="N689" s="1"/>
    </row>
    <row r="690" ht="15.75" customHeight="1">
      <c r="A690" t="s">
        <v>17</v>
      </c>
      <c r="B690" t="s">
        <v>33</v>
      </c>
      <c r="C690" t="s">
        <v>4915</v>
      </c>
      <c r="D690" t="s">
        <v>742</v>
      </c>
      <c r="E690">
        <v>31549.74</v>
      </c>
      <c r="F690">
        <v>9464.92</v>
      </c>
      <c r="G690">
        <v>77.99</v>
      </c>
      <c r="H690">
        <v>8218.7</v>
      </c>
      <c r="I690">
        <v>41092.65</v>
      </c>
      <c r="J690">
        <v>32873.95</v>
      </c>
      <c r="K690" s="1"/>
      <c r="L690" s="1"/>
      <c r="M690" s="1"/>
      <c r="N690" s="1"/>
    </row>
    <row r="691" ht="15.75" customHeight="1">
      <c r="A691" t="s">
        <v>25</v>
      </c>
      <c r="B691" t="s">
        <v>18</v>
      </c>
      <c r="C691" t="s">
        <v>4917</v>
      </c>
      <c r="D691" t="s">
        <v>743</v>
      </c>
      <c r="E691">
        <v>79992.87</v>
      </c>
      <c r="F691">
        <v>23997.86</v>
      </c>
      <c r="G691">
        <v>9039.39</v>
      </c>
      <c r="H691">
        <v>23467.4</v>
      </c>
      <c r="I691">
        <v>113030.12</v>
      </c>
      <c r="J691">
        <v>89562.72</v>
      </c>
      <c r="K691" s="1"/>
      <c r="L691" s="1"/>
      <c r="M691" s="1"/>
      <c r="N691" s="1"/>
    </row>
    <row r="692" ht="15.75" customHeight="1">
      <c r="A692" t="s">
        <v>25</v>
      </c>
      <c r="B692" t="s">
        <v>33</v>
      </c>
      <c r="C692" t="s">
        <v>4913</v>
      </c>
      <c r="D692" t="s">
        <v>744</v>
      </c>
      <c r="E692">
        <v>30191.0</v>
      </c>
      <c r="F692">
        <v>9057.3</v>
      </c>
      <c r="G692">
        <v>4155.74</v>
      </c>
      <c r="H692">
        <v>5599.58</v>
      </c>
      <c r="I692">
        <v>43404.04</v>
      </c>
      <c r="J692">
        <v>37804.46</v>
      </c>
      <c r="K692" s="1"/>
      <c r="L692" s="1"/>
      <c r="M692" s="1"/>
      <c r="N692" s="1"/>
    </row>
    <row r="693" ht="15.75" customHeight="1">
      <c r="A693" t="s">
        <v>13</v>
      </c>
      <c r="B693" t="s">
        <v>18</v>
      </c>
      <c r="C693" t="s">
        <v>4913</v>
      </c>
      <c r="D693" t="s">
        <v>745</v>
      </c>
      <c r="E693">
        <v>71463.0</v>
      </c>
      <c r="F693">
        <v>21438.9</v>
      </c>
      <c r="G693">
        <v>4941.66</v>
      </c>
      <c r="H693">
        <v>14499.03</v>
      </c>
      <c r="I693">
        <v>97843.56</v>
      </c>
      <c r="J693">
        <v>83344.53</v>
      </c>
      <c r="K693" s="1"/>
      <c r="L693" s="1"/>
      <c r="M693" s="1"/>
      <c r="N693" s="1"/>
    </row>
    <row r="694" ht="15.75" customHeight="1">
      <c r="A694" t="s">
        <v>51</v>
      </c>
      <c r="B694" t="s">
        <v>26</v>
      </c>
      <c r="C694" t="s">
        <v>4907</v>
      </c>
      <c r="D694" t="s">
        <v>746</v>
      </c>
      <c r="E694">
        <v>119751.76</v>
      </c>
      <c r="F694">
        <v>35925.53</v>
      </c>
      <c r="G694">
        <v>21365.2</v>
      </c>
      <c r="H694">
        <v>22019.26</v>
      </c>
      <c r="I694">
        <v>177042.49</v>
      </c>
      <c r="J694">
        <v>155023.23</v>
      </c>
      <c r="K694" s="1"/>
      <c r="L694" s="1"/>
      <c r="M694" s="1"/>
      <c r="N694" s="1"/>
    </row>
    <row r="695" ht="15.75" customHeight="1">
      <c r="A695" t="s">
        <v>13</v>
      </c>
      <c r="B695" t="s">
        <v>30</v>
      </c>
      <c r="C695" t="s">
        <v>4911</v>
      </c>
      <c r="D695" t="s">
        <v>747</v>
      </c>
      <c r="E695">
        <v>26448.99</v>
      </c>
      <c r="F695">
        <v>7934.7</v>
      </c>
      <c r="G695">
        <v>2482.44</v>
      </c>
      <c r="H695">
        <v>3934.3</v>
      </c>
      <c r="I695">
        <v>36866.13</v>
      </c>
      <c r="J695">
        <v>32931.83</v>
      </c>
      <c r="K695" s="1"/>
      <c r="L695" s="1"/>
      <c r="M695" s="1"/>
      <c r="N695" s="1"/>
    </row>
    <row r="696" ht="15.75" customHeight="1">
      <c r="A696" t="s">
        <v>17</v>
      </c>
      <c r="B696" t="s">
        <v>26</v>
      </c>
      <c r="C696" t="s">
        <v>4907</v>
      </c>
      <c r="D696" t="s">
        <v>748</v>
      </c>
      <c r="E696">
        <v>107699.33</v>
      </c>
      <c r="F696">
        <v>32309.8</v>
      </c>
      <c r="G696">
        <v>5188.78</v>
      </c>
      <c r="H696">
        <v>31345.19</v>
      </c>
      <c r="I696">
        <v>145197.91</v>
      </c>
      <c r="J696">
        <v>113852.72</v>
      </c>
      <c r="K696" s="1"/>
      <c r="L696" s="1"/>
      <c r="M696" s="1"/>
      <c r="N696" s="1"/>
    </row>
    <row r="697" ht="15.75" customHeight="1">
      <c r="A697" t="s">
        <v>53</v>
      </c>
      <c r="B697" t="s">
        <v>30</v>
      </c>
      <c r="C697" t="s">
        <v>4909</v>
      </c>
      <c r="D697" t="s">
        <v>749</v>
      </c>
      <c r="E697">
        <v>26844.36</v>
      </c>
      <c r="F697">
        <v>8053.31</v>
      </c>
      <c r="G697">
        <v>2032.86</v>
      </c>
      <c r="H697">
        <v>6580.38</v>
      </c>
      <c r="I697">
        <v>36930.53</v>
      </c>
      <c r="J697">
        <v>30350.15</v>
      </c>
      <c r="K697" s="1"/>
      <c r="L697" s="1"/>
      <c r="M697" s="1"/>
      <c r="N697" s="1"/>
    </row>
    <row r="698" ht="15.75" customHeight="1">
      <c r="A698" t="s">
        <v>36</v>
      </c>
      <c r="B698" t="s">
        <v>54</v>
      </c>
      <c r="C698" t="s">
        <v>4914</v>
      </c>
      <c r="D698" t="s">
        <v>750</v>
      </c>
      <c r="E698">
        <v>46217.66</v>
      </c>
      <c r="F698">
        <v>13865.3</v>
      </c>
      <c r="G698">
        <v>4142.01</v>
      </c>
      <c r="H698">
        <v>11876.86</v>
      </c>
      <c r="I698">
        <v>64224.97</v>
      </c>
      <c r="J698">
        <v>52348.11</v>
      </c>
      <c r="K698" s="1"/>
      <c r="L698" s="1"/>
      <c r="M698" s="1"/>
      <c r="N698" s="1"/>
    </row>
    <row r="699" ht="15.75" customHeight="1">
      <c r="A699" t="s">
        <v>29</v>
      </c>
      <c r="B699" t="s">
        <v>14</v>
      </c>
      <c r="C699" t="s">
        <v>4913</v>
      </c>
      <c r="D699" t="s">
        <v>751</v>
      </c>
      <c r="E699">
        <v>25060.83</v>
      </c>
      <c r="F699">
        <v>7518.25</v>
      </c>
      <c r="G699">
        <v>3735.26</v>
      </c>
      <c r="H699">
        <v>133.59</v>
      </c>
      <c r="I699">
        <v>36314.34</v>
      </c>
      <c r="J699">
        <v>36180.75</v>
      </c>
      <c r="K699" s="1"/>
      <c r="L699" s="1"/>
      <c r="M699" s="1"/>
      <c r="N699" s="1"/>
    </row>
    <row r="700" ht="15.75" customHeight="1">
      <c r="A700" t="s">
        <v>36</v>
      </c>
      <c r="B700" t="s">
        <v>14</v>
      </c>
      <c r="C700" t="s">
        <v>4916</v>
      </c>
      <c r="D700" t="s">
        <v>752</v>
      </c>
      <c r="E700">
        <v>22011.34</v>
      </c>
      <c r="F700">
        <v>6603.4</v>
      </c>
      <c r="G700">
        <v>0.75</v>
      </c>
      <c r="H700">
        <v>600.22</v>
      </c>
      <c r="I700">
        <v>28615.49</v>
      </c>
      <c r="J700">
        <v>28015.27</v>
      </c>
      <c r="K700" s="1"/>
      <c r="L700" s="1"/>
      <c r="M700" s="1"/>
      <c r="N700" s="1"/>
    </row>
    <row r="701" ht="15.75" customHeight="1">
      <c r="A701" t="s">
        <v>53</v>
      </c>
      <c r="B701" t="s">
        <v>18</v>
      </c>
      <c r="C701" t="s">
        <v>4917</v>
      </c>
      <c r="D701" t="s">
        <v>753</v>
      </c>
      <c r="E701">
        <v>72919.55</v>
      </c>
      <c r="F701">
        <v>21875.87</v>
      </c>
      <c r="G701">
        <v>7413.55</v>
      </c>
      <c r="H701">
        <v>4525.05</v>
      </c>
      <c r="I701">
        <v>102208.97</v>
      </c>
      <c r="J701">
        <v>97683.92</v>
      </c>
      <c r="K701" s="1"/>
      <c r="L701" s="1"/>
      <c r="M701" s="1"/>
      <c r="N701" s="1"/>
    </row>
    <row r="702" ht="15.75" customHeight="1">
      <c r="A702" t="s">
        <v>36</v>
      </c>
      <c r="B702" t="s">
        <v>33</v>
      </c>
      <c r="C702" t="s">
        <v>4914</v>
      </c>
      <c r="D702" t="s">
        <v>754</v>
      </c>
      <c r="E702">
        <v>28633.42</v>
      </c>
      <c r="F702">
        <v>8590.03</v>
      </c>
      <c r="G702">
        <v>310.82</v>
      </c>
      <c r="H702">
        <v>1914.87</v>
      </c>
      <c r="I702">
        <v>37534.27</v>
      </c>
      <c r="J702">
        <v>35619.4</v>
      </c>
      <c r="K702" s="1"/>
      <c r="L702" s="1"/>
      <c r="M702" s="1"/>
      <c r="N702" s="1"/>
    </row>
    <row r="703" ht="15.75" customHeight="1">
      <c r="A703" t="s">
        <v>29</v>
      </c>
      <c r="B703" t="s">
        <v>37</v>
      </c>
      <c r="C703" t="s">
        <v>4912</v>
      </c>
      <c r="D703" t="s">
        <v>755</v>
      </c>
      <c r="E703">
        <v>58813.5</v>
      </c>
      <c r="F703">
        <v>17644.05</v>
      </c>
      <c r="G703">
        <v>7057.05</v>
      </c>
      <c r="H703">
        <v>12644.75</v>
      </c>
      <c r="I703">
        <v>83514.6</v>
      </c>
      <c r="J703">
        <v>70869.85</v>
      </c>
      <c r="K703" s="1"/>
      <c r="L703" s="1"/>
      <c r="M703" s="1"/>
      <c r="N703" s="1"/>
    </row>
    <row r="704" ht="15.75" customHeight="1">
      <c r="A704" t="s">
        <v>13</v>
      </c>
      <c r="B704" t="s">
        <v>54</v>
      </c>
      <c r="C704" t="s">
        <v>4912</v>
      </c>
      <c r="D704" t="s">
        <v>756</v>
      </c>
      <c r="E704">
        <v>36596.33</v>
      </c>
      <c r="F704">
        <v>10978.9</v>
      </c>
      <c r="G704">
        <v>5557.66</v>
      </c>
      <c r="H704">
        <v>2434.54</v>
      </c>
      <c r="I704">
        <v>53132.89</v>
      </c>
      <c r="J704">
        <v>50698.35</v>
      </c>
      <c r="K704" s="1"/>
      <c r="L704" s="1"/>
      <c r="M704" s="1"/>
      <c r="N704" s="1"/>
    </row>
    <row r="705" ht="15.75" customHeight="1">
      <c r="A705" t="s">
        <v>29</v>
      </c>
      <c r="B705" t="s">
        <v>26</v>
      </c>
      <c r="C705" t="s">
        <v>4912</v>
      </c>
      <c r="D705" t="s">
        <v>757</v>
      </c>
      <c r="E705">
        <v>112811.8</v>
      </c>
      <c r="F705">
        <v>33843.54</v>
      </c>
      <c r="G705">
        <v>18047.92</v>
      </c>
      <c r="H705">
        <v>18535.79</v>
      </c>
      <c r="I705">
        <v>164703.26</v>
      </c>
      <c r="J705">
        <v>146167.47</v>
      </c>
      <c r="K705" s="1"/>
      <c r="L705" s="1"/>
      <c r="M705" s="1"/>
      <c r="N705" s="1"/>
    </row>
    <row r="706" ht="15.75" customHeight="1">
      <c r="A706" t="s">
        <v>13</v>
      </c>
      <c r="B706" t="s">
        <v>18</v>
      </c>
      <c r="C706" t="s">
        <v>4909</v>
      </c>
      <c r="D706" t="s">
        <v>758</v>
      </c>
      <c r="E706">
        <v>71656.69906138915</v>
      </c>
      <c r="F706">
        <v>22691.84</v>
      </c>
      <c r="G706">
        <v>3846.86</v>
      </c>
      <c r="H706">
        <v>4445.82</v>
      </c>
      <c r="I706">
        <v>98195.4</v>
      </c>
      <c r="J706">
        <v>93749.58</v>
      </c>
      <c r="K706" s="1"/>
      <c r="L706" s="1"/>
      <c r="M706" s="1"/>
      <c r="N706" s="1"/>
    </row>
    <row r="707" ht="15.75" customHeight="1">
      <c r="A707" t="s">
        <v>25</v>
      </c>
      <c r="B707" t="s">
        <v>54</v>
      </c>
      <c r="C707" t="s">
        <v>4912</v>
      </c>
      <c r="D707" t="s">
        <v>759</v>
      </c>
      <c r="E707">
        <v>38018.25</v>
      </c>
      <c r="F707">
        <v>11405.48</v>
      </c>
      <c r="G707">
        <v>6269.62</v>
      </c>
      <c r="H707">
        <v>2173.64</v>
      </c>
      <c r="I707">
        <v>55693.35</v>
      </c>
      <c r="J707">
        <v>53519.71</v>
      </c>
      <c r="K707" s="1"/>
      <c r="L707" s="1"/>
      <c r="M707" s="1"/>
      <c r="N707" s="1"/>
    </row>
    <row r="708" ht="15.75" customHeight="1">
      <c r="A708" t="s">
        <v>17</v>
      </c>
      <c r="B708" t="s">
        <v>26</v>
      </c>
      <c r="C708" t="s">
        <v>4916</v>
      </c>
      <c r="D708" t="s">
        <v>760</v>
      </c>
      <c r="E708">
        <v>104920.93</v>
      </c>
      <c r="F708">
        <v>31476.28</v>
      </c>
      <c r="G708">
        <v>19444.5</v>
      </c>
      <c r="H708">
        <v>26360.32</v>
      </c>
      <c r="I708">
        <v>155841.71</v>
      </c>
      <c r="J708">
        <v>129481.39</v>
      </c>
      <c r="K708" s="1"/>
      <c r="L708" s="1"/>
      <c r="M708" s="1"/>
      <c r="N708" s="1"/>
    </row>
    <row r="709" ht="15.75" customHeight="1">
      <c r="A709" t="s">
        <v>17</v>
      </c>
      <c r="B709" t="s">
        <v>26</v>
      </c>
      <c r="C709" t="s">
        <v>4915</v>
      </c>
      <c r="D709" t="s">
        <v>761</v>
      </c>
      <c r="E709">
        <v>122103.16</v>
      </c>
      <c r="F709">
        <v>36630.95</v>
      </c>
      <c r="G709">
        <v>11169.7</v>
      </c>
      <c r="H709">
        <v>21587.21</v>
      </c>
      <c r="I709">
        <v>169903.81</v>
      </c>
      <c r="J709">
        <v>148316.6</v>
      </c>
      <c r="K709" s="1"/>
      <c r="L709" s="1"/>
      <c r="M709" s="1"/>
      <c r="N709" s="1"/>
    </row>
    <row r="710" ht="15.75" customHeight="1">
      <c r="A710" t="s">
        <v>51</v>
      </c>
      <c r="B710" t="s">
        <v>54</v>
      </c>
      <c r="C710" t="s">
        <v>4913</v>
      </c>
      <c r="D710" t="s">
        <v>762</v>
      </c>
      <c r="E710">
        <v>35060.73</v>
      </c>
      <c r="F710">
        <v>10518.22</v>
      </c>
      <c r="G710">
        <v>5162.44</v>
      </c>
      <c r="H710">
        <v>5818.96</v>
      </c>
      <c r="I710">
        <v>50741.39</v>
      </c>
      <c r="J710">
        <v>44922.43</v>
      </c>
      <c r="K710" s="1"/>
      <c r="L710" s="1"/>
      <c r="M710" s="1"/>
      <c r="N710" s="1"/>
    </row>
    <row r="711" ht="15.75" customHeight="1">
      <c r="A711" t="s">
        <v>25</v>
      </c>
      <c r="B711" t="s">
        <v>37</v>
      </c>
      <c r="C711" t="s">
        <v>4911</v>
      </c>
      <c r="D711" t="s">
        <v>763</v>
      </c>
      <c r="E711">
        <v>53692.78</v>
      </c>
      <c r="F711">
        <v>16107.83</v>
      </c>
      <c r="G711">
        <v>5458.76</v>
      </c>
      <c r="H711">
        <v>14837.93</v>
      </c>
      <c r="I711">
        <v>75259.37</v>
      </c>
      <c r="J711">
        <v>60421.44</v>
      </c>
      <c r="K711" s="1"/>
      <c r="L711" s="1"/>
      <c r="M711" s="1"/>
      <c r="N711" s="1"/>
    </row>
    <row r="712" ht="15.75" customHeight="1">
      <c r="A712" t="s">
        <v>13</v>
      </c>
      <c r="B712" t="s">
        <v>37</v>
      </c>
      <c r="C712" t="s">
        <v>4917</v>
      </c>
      <c r="D712" t="s">
        <v>764</v>
      </c>
      <c r="E712">
        <v>48125.7</v>
      </c>
      <c r="F712">
        <v>14437.71</v>
      </c>
      <c r="G712">
        <v>7846.84</v>
      </c>
      <c r="H712">
        <v>1495.08</v>
      </c>
      <c r="I712">
        <v>70410.25</v>
      </c>
      <c r="J712">
        <v>68915.17</v>
      </c>
      <c r="K712" s="1"/>
      <c r="L712" s="1"/>
      <c r="M712" s="1"/>
      <c r="N712" s="1"/>
    </row>
    <row r="713" ht="15.75" customHeight="1">
      <c r="A713" t="s">
        <v>53</v>
      </c>
      <c r="B713" t="s">
        <v>37</v>
      </c>
      <c r="C713" t="s">
        <v>4916</v>
      </c>
      <c r="D713" t="s">
        <v>765</v>
      </c>
      <c r="E713">
        <v>60888.53</v>
      </c>
      <c r="F713">
        <v>18266.56</v>
      </c>
      <c r="G713">
        <v>6138.9</v>
      </c>
      <c r="H713">
        <v>7026.46</v>
      </c>
      <c r="I713">
        <v>85293.99</v>
      </c>
      <c r="J713">
        <v>78267.53</v>
      </c>
      <c r="K713" s="1"/>
      <c r="L713" s="1"/>
      <c r="M713" s="1"/>
      <c r="N713" s="1"/>
    </row>
    <row r="714" ht="15.75" customHeight="1">
      <c r="A714" t="s">
        <v>13</v>
      </c>
      <c r="B714" t="s">
        <v>26</v>
      </c>
      <c r="C714" t="s">
        <v>4910</v>
      </c>
      <c r="D714" t="s">
        <v>767</v>
      </c>
      <c r="E714">
        <v>98936.6</v>
      </c>
      <c r="F714">
        <v>29680.98</v>
      </c>
      <c r="G714">
        <v>7872.78</v>
      </c>
      <c r="H714">
        <v>10176.39</v>
      </c>
      <c r="I714">
        <v>136490.36</v>
      </c>
      <c r="J714">
        <v>126313.97</v>
      </c>
      <c r="K714" s="1"/>
      <c r="L714" s="1"/>
      <c r="M714" s="1"/>
      <c r="N714" s="1"/>
    </row>
    <row r="715" ht="15.75" customHeight="1">
      <c r="A715" t="s">
        <v>53</v>
      </c>
      <c r="B715" t="s">
        <v>33</v>
      </c>
      <c r="C715" t="s">
        <v>4905</v>
      </c>
      <c r="D715" t="s">
        <v>768</v>
      </c>
      <c r="E715">
        <v>72159.94658517206</v>
      </c>
      <c r="F715">
        <v>10029.22</v>
      </c>
      <c r="G715">
        <v>3662.71</v>
      </c>
      <c r="H715">
        <v>3148.28</v>
      </c>
      <c r="I715">
        <v>85851.88</v>
      </c>
      <c r="J715">
        <v>82703.6</v>
      </c>
      <c r="K715" s="1"/>
      <c r="L715" s="1"/>
      <c r="M715" s="1"/>
      <c r="N715" s="1"/>
    </row>
    <row r="716" ht="15.75" customHeight="1">
      <c r="A716" t="s">
        <v>53</v>
      </c>
      <c r="B716" t="s">
        <v>18</v>
      </c>
      <c r="C716" t="s">
        <v>4917</v>
      </c>
      <c r="D716" t="s">
        <v>769</v>
      </c>
      <c r="E716">
        <v>70650.91</v>
      </c>
      <c r="F716">
        <v>21195.27</v>
      </c>
      <c r="G716">
        <v>2963.28</v>
      </c>
      <c r="H716">
        <v>15141.58</v>
      </c>
      <c r="I716">
        <v>94809.46</v>
      </c>
      <c r="J716">
        <v>79667.88</v>
      </c>
      <c r="K716" s="1"/>
      <c r="L716" s="1"/>
      <c r="M716" s="1"/>
      <c r="N716" s="1"/>
    </row>
    <row r="717" ht="15.75" customHeight="1">
      <c r="A717" t="s">
        <v>29</v>
      </c>
      <c r="B717" t="s">
        <v>18</v>
      </c>
      <c r="C717" t="s">
        <v>4911</v>
      </c>
      <c r="D717" t="s">
        <v>770</v>
      </c>
      <c r="E717">
        <v>68449.46</v>
      </c>
      <c r="F717">
        <v>20534.84</v>
      </c>
      <c r="G717">
        <v>9725.25</v>
      </c>
      <c r="H717">
        <v>20025.15</v>
      </c>
      <c r="I717">
        <v>98709.55</v>
      </c>
      <c r="J717">
        <v>78684.4</v>
      </c>
      <c r="K717" s="1"/>
      <c r="L717" s="1"/>
      <c r="M717" s="1"/>
      <c r="N717" s="1"/>
    </row>
    <row r="718" ht="15.75" customHeight="1">
      <c r="A718" t="s">
        <v>53</v>
      </c>
      <c r="B718" t="s">
        <v>37</v>
      </c>
      <c r="C718" t="s">
        <v>4912</v>
      </c>
      <c r="D718" t="s">
        <v>771</v>
      </c>
      <c r="E718">
        <v>57497.62</v>
      </c>
      <c r="F718">
        <v>17249.29</v>
      </c>
      <c r="G718">
        <v>3707.23</v>
      </c>
      <c r="H718">
        <v>1990.66</v>
      </c>
      <c r="I718">
        <v>78454.14</v>
      </c>
      <c r="J718">
        <v>76463.48</v>
      </c>
      <c r="K718" s="1"/>
      <c r="L718" s="1"/>
      <c r="M718" s="1"/>
      <c r="N718" s="1"/>
    </row>
    <row r="719" ht="15.75" customHeight="1">
      <c r="A719" t="s">
        <v>53</v>
      </c>
      <c r="B719" t="s">
        <v>54</v>
      </c>
      <c r="C719" t="s">
        <v>4917</v>
      </c>
      <c r="D719" t="s">
        <v>772</v>
      </c>
      <c r="E719">
        <v>43159.29</v>
      </c>
      <c r="F719">
        <v>12947.79</v>
      </c>
      <c r="G719">
        <v>8137.03</v>
      </c>
      <c r="H719">
        <v>9194.53</v>
      </c>
      <c r="I719">
        <v>64244.11</v>
      </c>
      <c r="J719">
        <v>55049.58</v>
      </c>
      <c r="K719" s="1"/>
      <c r="L719" s="1"/>
      <c r="M719" s="1"/>
      <c r="N719" s="1"/>
    </row>
    <row r="720" ht="15.75" customHeight="1">
      <c r="A720" t="s">
        <v>13</v>
      </c>
      <c r="B720" t="s">
        <v>26</v>
      </c>
      <c r="C720" t="s">
        <v>4907</v>
      </c>
      <c r="D720" t="s">
        <v>773</v>
      </c>
      <c r="E720">
        <v>109220.5</v>
      </c>
      <c r="F720">
        <v>32766.15</v>
      </c>
      <c r="G720">
        <v>19167.7</v>
      </c>
      <c r="H720">
        <v>13839.98</v>
      </c>
      <c r="I720">
        <v>161154.35</v>
      </c>
      <c r="J720">
        <v>147314.37</v>
      </c>
      <c r="K720" s="1"/>
      <c r="L720" s="1"/>
      <c r="M720" s="1"/>
      <c r="N720" s="1"/>
    </row>
    <row r="721" ht="15.75" customHeight="1">
      <c r="A721" t="s">
        <v>53</v>
      </c>
      <c r="B721" t="s">
        <v>14</v>
      </c>
      <c r="C721" t="s">
        <v>4908</v>
      </c>
      <c r="D721" t="s">
        <v>774</v>
      </c>
      <c r="E721">
        <v>18181.96</v>
      </c>
      <c r="F721">
        <v>5454.59</v>
      </c>
      <c r="G721">
        <v>528.46</v>
      </c>
      <c r="H721">
        <v>3655.96</v>
      </c>
      <c r="I721">
        <v>24165.01</v>
      </c>
      <c r="J721">
        <v>20509.05</v>
      </c>
      <c r="K721" s="1"/>
      <c r="L721" s="1"/>
      <c r="M721" s="1"/>
      <c r="N721" s="1"/>
    </row>
    <row r="722" ht="15.75" customHeight="1">
      <c r="A722" t="s">
        <v>29</v>
      </c>
      <c r="B722" t="s">
        <v>26</v>
      </c>
      <c r="C722" t="s">
        <v>4911</v>
      </c>
      <c r="D722" t="s">
        <v>775</v>
      </c>
      <c r="E722">
        <v>118279.16</v>
      </c>
      <c r="F722">
        <v>35483.75</v>
      </c>
      <c r="G722">
        <v>23266.28</v>
      </c>
      <c r="H722">
        <v>24249.25</v>
      </c>
      <c r="I722">
        <v>177029.19</v>
      </c>
      <c r="J722">
        <v>152779.94</v>
      </c>
      <c r="K722" s="1"/>
      <c r="L722" s="1"/>
      <c r="M722" s="1"/>
      <c r="N722" s="1"/>
    </row>
    <row r="723" ht="15.75" customHeight="1">
      <c r="A723" t="s">
        <v>25</v>
      </c>
      <c r="B723" t="s">
        <v>14</v>
      </c>
      <c r="C723" t="s">
        <v>4907</v>
      </c>
      <c r="D723" t="s">
        <v>776</v>
      </c>
      <c r="E723">
        <v>22972.28</v>
      </c>
      <c r="F723">
        <v>6891.68</v>
      </c>
      <c r="G723">
        <v>1356.01</v>
      </c>
      <c r="H723">
        <v>5193.53</v>
      </c>
      <c r="I723">
        <v>31219.97</v>
      </c>
      <c r="J723">
        <v>26026.44</v>
      </c>
      <c r="K723" s="1"/>
      <c r="L723" s="1"/>
      <c r="M723" s="1"/>
      <c r="N723" s="1"/>
    </row>
    <row r="724" ht="15.75" customHeight="1">
      <c r="A724" t="s">
        <v>29</v>
      </c>
      <c r="B724" t="s">
        <v>26</v>
      </c>
      <c r="C724" t="s">
        <v>4915</v>
      </c>
      <c r="D724" t="s">
        <v>777</v>
      </c>
      <c r="E724">
        <v>106293.4</v>
      </c>
      <c r="F724">
        <v>31888.02</v>
      </c>
      <c r="G724">
        <v>13097.66</v>
      </c>
      <c r="H724">
        <v>21541.19</v>
      </c>
      <c r="I724">
        <v>151279.08</v>
      </c>
      <c r="J724">
        <v>129737.89</v>
      </c>
      <c r="K724" s="1"/>
      <c r="L724" s="1"/>
      <c r="M724" s="1"/>
      <c r="N724" s="1"/>
    </row>
    <row r="725" ht="15.75" customHeight="1">
      <c r="A725" t="s">
        <v>25</v>
      </c>
      <c r="B725" t="s">
        <v>30</v>
      </c>
      <c r="C725" t="s">
        <v>4905</v>
      </c>
      <c r="D725" t="s">
        <v>778</v>
      </c>
      <c r="E725">
        <v>28533.23</v>
      </c>
      <c r="F725">
        <v>8559.97</v>
      </c>
      <c r="G725">
        <v>3202.97</v>
      </c>
      <c r="H725">
        <v>2033.81</v>
      </c>
      <c r="I725">
        <v>40296.17</v>
      </c>
      <c r="J725">
        <v>38262.36</v>
      </c>
      <c r="K725" s="1"/>
      <c r="L725" s="1"/>
      <c r="M725" s="1"/>
      <c r="N725" s="1"/>
    </row>
    <row r="726" ht="15.75" customHeight="1">
      <c r="A726" t="s">
        <v>29</v>
      </c>
      <c r="B726" t="s">
        <v>18</v>
      </c>
      <c r="C726" t="s">
        <v>4917</v>
      </c>
      <c r="D726" t="s">
        <v>779</v>
      </c>
      <c r="E726">
        <v>82276.83</v>
      </c>
      <c r="F726">
        <v>24683.05</v>
      </c>
      <c r="G726">
        <v>15245.65</v>
      </c>
      <c r="H726">
        <v>9566.03</v>
      </c>
      <c r="I726">
        <v>122205.53</v>
      </c>
      <c r="J726">
        <v>112639.5</v>
      </c>
      <c r="K726" s="1"/>
      <c r="L726" s="1"/>
      <c r="M726" s="1"/>
      <c r="N726" s="1"/>
    </row>
    <row r="727" ht="15.75" customHeight="1">
      <c r="A727" t="s">
        <v>29</v>
      </c>
      <c r="B727" t="s">
        <v>37</v>
      </c>
      <c r="C727" t="s">
        <v>4914</v>
      </c>
      <c r="D727" t="s">
        <v>780</v>
      </c>
      <c r="E727">
        <v>45968.44</v>
      </c>
      <c r="F727">
        <v>13790.53</v>
      </c>
      <c r="G727">
        <v>6837.07</v>
      </c>
      <c r="H727">
        <v>2800.68</v>
      </c>
      <c r="I727">
        <v>66596.04</v>
      </c>
      <c r="J727">
        <v>63795.36</v>
      </c>
      <c r="K727" s="1"/>
      <c r="L727" s="1"/>
      <c r="M727" s="1"/>
      <c r="N727" s="1"/>
    </row>
    <row r="728" ht="15.75" customHeight="1">
      <c r="A728" t="s">
        <v>25</v>
      </c>
      <c r="B728" t="s">
        <v>30</v>
      </c>
      <c r="C728" t="s">
        <v>4916</v>
      </c>
      <c r="D728" t="s">
        <v>781</v>
      </c>
      <c r="E728">
        <v>30021.08</v>
      </c>
      <c r="F728">
        <v>9006.32</v>
      </c>
      <c r="G728">
        <v>4230.75</v>
      </c>
      <c r="H728">
        <v>5832.79</v>
      </c>
      <c r="I728">
        <v>43258.15</v>
      </c>
      <c r="J728">
        <v>37425.36</v>
      </c>
      <c r="K728" s="1"/>
      <c r="L728" s="1"/>
      <c r="M728" s="1"/>
      <c r="N728" s="1"/>
    </row>
    <row r="729" ht="15.75" customHeight="1">
      <c r="A729" t="s">
        <v>53</v>
      </c>
      <c r="B729" t="s">
        <v>18</v>
      </c>
      <c r="C729" t="s">
        <v>4910</v>
      </c>
      <c r="D729" t="s">
        <v>782</v>
      </c>
      <c r="E729">
        <v>80688.06</v>
      </c>
      <c r="F729">
        <v>24206.42</v>
      </c>
      <c r="G729">
        <v>12525.16</v>
      </c>
      <c r="H729">
        <v>23342.0</v>
      </c>
      <c r="I729">
        <v>117419.64</v>
      </c>
      <c r="J729">
        <v>94077.64</v>
      </c>
      <c r="K729" s="1"/>
      <c r="L729" s="1"/>
      <c r="M729" s="1"/>
      <c r="N729" s="1"/>
    </row>
    <row r="730" ht="15.75" customHeight="1">
      <c r="A730" t="s">
        <v>36</v>
      </c>
      <c r="B730" t="s">
        <v>30</v>
      </c>
      <c r="C730" t="s">
        <v>4905</v>
      </c>
      <c r="D730" t="s">
        <v>783</v>
      </c>
      <c r="E730">
        <v>30654.39</v>
      </c>
      <c r="F730">
        <v>9196.32</v>
      </c>
      <c r="G730">
        <v>456.56</v>
      </c>
      <c r="H730">
        <v>8851.23</v>
      </c>
      <c r="I730">
        <v>40307.27</v>
      </c>
      <c r="J730">
        <v>31456.04</v>
      </c>
      <c r="K730" s="1"/>
      <c r="L730" s="1"/>
      <c r="M730" s="1"/>
      <c r="N730" s="1"/>
    </row>
    <row r="731" ht="15.75" customHeight="1">
      <c r="A731" t="s">
        <v>53</v>
      </c>
      <c r="B731" t="s">
        <v>14</v>
      </c>
      <c r="C731" t="s">
        <v>4911</v>
      </c>
      <c r="D731" t="s">
        <v>784</v>
      </c>
      <c r="E731">
        <v>20715.83</v>
      </c>
      <c r="F731">
        <v>6214.75</v>
      </c>
      <c r="G731">
        <v>1775.38</v>
      </c>
      <c r="H731">
        <v>3459.12</v>
      </c>
      <c r="I731">
        <v>28705.96</v>
      </c>
      <c r="J731">
        <v>25246.84</v>
      </c>
      <c r="K731" s="1"/>
      <c r="L731" s="1"/>
      <c r="M731" s="1"/>
      <c r="N731" s="1"/>
    </row>
    <row r="732" ht="15.75" customHeight="1">
      <c r="A732" t="s">
        <v>51</v>
      </c>
      <c r="B732" t="s">
        <v>37</v>
      </c>
      <c r="C732" t="s">
        <v>4911</v>
      </c>
      <c r="D732" t="s">
        <v>786</v>
      </c>
      <c r="E732">
        <v>60228.26</v>
      </c>
      <c r="F732">
        <v>18068.48</v>
      </c>
      <c r="G732">
        <v>68.0</v>
      </c>
      <c r="H732">
        <v>8425.9</v>
      </c>
      <c r="I732">
        <v>78364.74</v>
      </c>
      <c r="J732">
        <v>69938.84</v>
      </c>
      <c r="K732" s="1"/>
      <c r="L732" s="1"/>
      <c r="M732" s="1"/>
      <c r="N732" s="1"/>
    </row>
    <row r="733" ht="15.75" customHeight="1">
      <c r="A733" t="s">
        <v>17</v>
      </c>
      <c r="B733" t="s">
        <v>30</v>
      </c>
      <c r="C733" t="s">
        <v>4917</v>
      </c>
      <c r="D733" t="s">
        <v>787</v>
      </c>
      <c r="E733">
        <v>30171.93</v>
      </c>
      <c r="F733">
        <v>9051.58</v>
      </c>
      <c r="G733">
        <v>3601.81</v>
      </c>
      <c r="H733">
        <v>7002.85</v>
      </c>
      <c r="I733">
        <v>42825.32</v>
      </c>
      <c r="J733">
        <v>35822.47</v>
      </c>
      <c r="K733" s="1"/>
      <c r="L733" s="1"/>
      <c r="M733" s="1"/>
      <c r="N733" s="1"/>
    </row>
    <row r="734" ht="15.75" customHeight="1">
      <c r="A734" t="s">
        <v>53</v>
      </c>
      <c r="B734" t="s">
        <v>26</v>
      </c>
      <c r="C734" t="s">
        <v>4912</v>
      </c>
      <c r="D734" t="s">
        <v>789</v>
      </c>
      <c r="E734">
        <v>113828.05</v>
      </c>
      <c r="F734">
        <v>34148.42</v>
      </c>
      <c r="G734">
        <v>11167.69</v>
      </c>
      <c r="H734">
        <v>19556.01</v>
      </c>
      <c r="I734">
        <v>159144.16</v>
      </c>
      <c r="J734">
        <v>139588.15</v>
      </c>
      <c r="K734" s="1"/>
      <c r="L734" s="1"/>
      <c r="M734" s="1"/>
      <c r="N734" s="1"/>
    </row>
    <row r="735" ht="15.75" customHeight="1">
      <c r="A735" t="s">
        <v>17</v>
      </c>
      <c r="B735" t="s">
        <v>26</v>
      </c>
      <c r="C735" t="s">
        <v>4915</v>
      </c>
      <c r="D735" t="s">
        <v>790</v>
      </c>
      <c r="E735">
        <v>115476.54</v>
      </c>
      <c r="F735">
        <v>34642.96</v>
      </c>
      <c r="G735">
        <v>12134.16</v>
      </c>
      <c r="H735">
        <v>33152.89</v>
      </c>
      <c r="I735">
        <v>162253.66</v>
      </c>
      <c r="J735">
        <v>129100.77</v>
      </c>
      <c r="K735" s="1"/>
      <c r="L735" s="1"/>
      <c r="M735" s="1"/>
      <c r="N735" s="1"/>
    </row>
    <row r="736" ht="15.75" customHeight="1">
      <c r="A736" t="s">
        <v>17</v>
      </c>
      <c r="B736" t="s">
        <v>26</v>
      </c>
      <c r="C736" t="s">
        <v>4909</v>
      </c>
      <c r="D736" t="s">
        <v>791</v>
      </c>
      <c r="E736">
        <v>108185.05</v>
      </c>
      <c r="F736">
        <v>32455.51</v>
      </c>
      <c r="G736">
        <v>8999.51</v>
      </c>
      <c r="H736">
        <v>17429.78</v>
      </c>
      <c r="I736">
        <v>149640.07</v>
      </c>
      <c r="J736">
        <v>132210.29</v>
      </c>
      <c r="K736" s="1"/>
      <c r="L736" s="1"/>
      <c r="M736" s="1"/>
      <c r="N736" s="1"/>
    </row>
    <row r="737" ht="15.75" customHeight="1">
      <c r="A737" t="s">
        <v>29</v>
      </c>
      <c r="B737" t="s">
        <v>30</v>
      </c>
      <c r="C737" t="s">
        <v>4910</v>
      </c>
      <c r="D737" t="s">
        <v>792</v>
      </c>
      <c r="E737">
        <v>29773.89</v>
      </c>
      <c r="F737">
        <v>8932.17</v>
      </c>
      <c r="G737">
        <v>3950.01</v>
      </c>
      <c r="H737">
        <v>2957.14</v>
      </c>
      <c r="I737">
        <v>42656.07</v>
      </c>
      <c r="J737">
        <v>39698.93</v>
      </c>
      <c r="K737" s="1"/>
      <c r="L737" s="1"/>
      <c r="M737" s="1"/>
      <c r="N737" s="1"/>
    </row>
    <row r="738" ht="15.75" customHeight="1">
      <c r="A738" t="s">
        <v>51</v>
      </c>
      <c r="B738" t="s">
        <v>26</v>
      </c>
      <c r="C738" t="s">
        <v>4917</v>
      </c>
      <c r="D738" t="s">
        <v>793</v>
      </c>
      <c r="E738">
        <v>112258.1</v>
      </c>
      <c r="F738">
        <v>33677.43</v>
      </c>
      <c r="G738">
        <v>10661.31</v>
      </c>
      <c r="H738">
        <v>18904.31</v>
      </c>
      <c r="I738">
        <v>156596.84</v>
      </c>
      <c r="J738">
        <v>137692.53</v>
      </c>
      <c r="K738" s="1"/>
      <c r="L738" s="1"/>
      <c r="M738" s="1"/>
      <c r="N738" s="1"/>
    </row>
    <row r="739" ht="15.75" customHeight="1">
      <c r="A739" t="s">
        <v>53</v>
      </c>
      <c r="B739" t="s">
        <v>30</v>
      </c>
      <c r="C739" t="s">
        <v>4909</v>
      </c>
      <c r="D739" t="s">
        <v>794</v>
      </c>
      <c r="E739">
        <v>30438.29</v>
      </c>
      <c r="F739">
        <v>9131.49</v>
      </c>
      <c r="G739">
        <v>4155.14</v>
      </c>
      <c r="H739">
        <v>2930.63</v>
      </c>
      <c r="I739">
        <v>43724.92</v>
      </c>
      <c r="J739">
        <v>40794.29</v>
      </c>
      <c r="K739" s="1"/>
      <c r="L739" s="1"/>
      <c r="M739" s="1"/>
      <c r="N739" s="1"/>
    </row>
    <row r="740" ht="15.75" customHeight="1">
      <c r="A740" t="s">
        <v>36</v>
      </c>
      <c r="B740" t="s">
        <v>33</v>
      </c>
      <c r="C740" t="s">
        <v>4912</v>
      </c>
      <c r="D740" t="s">
        <v>795</v>
      </c>
      <c r="E740">
        <v>30402.37</v>
      </c>
      <c r="F740">
        <v>9120.71</v>
      </c>
      <c r="G740">
        <v>1719.73</v>
      </c>
      <c r="H740">
        <v>8312.03</v>
      </c>
      <c r="I740">
        <v>41242.81</v>
      </c>
      <c r="J740">
        <v>32930.78</v>
      </c>
      <c r="K740" s="1"/>
      <c r="L740" s="1"/>
      <c r="M740" s="1"/>
      <c r="N740" s="1"/>
    </row>
    <row r="741" ht="15.75" customHeight="1">
      <c r="A741" t="s">
        <v>53</v>
      </c>
      <c r="B741" t="s">
        <v>26</v>
      </c>
      <c r="C741" t="s">
        <v>4917</v>
      </c>
      <c r="D741" t="s">
        <v>796</v>
      </c>
      <c r="E741">
        <v>108314.48</v>
      </c>
      <c r="F741">
        <v>32494.34</v>
      </c>
      <c r="G741">
        <v>10545.6</v>
      </c>
      <c r="H741">
        <v>9632.43</v>
      </c>
      <c r="I741">
        <v>151354.42</v>
      </c>
      <c r="J741">
        <v>141721.99</v>
      </c>
      <c r="K741" s="1"/>
      <c r="L741" s="1"/>
      <c r="M741" s="1"/>
      <c r="N741" s="1"/>
    </row>
    <row r="742" ht="15.75" customHeight="1">
      <c r="A742" t="s">
        <v>51</v>
      </c>
      <c r="B742" t="s">
        <v>33</v>
      </c>
      <c r="C742" t="s">
        <v>4915</v>
      </c>
      <c r="D742" t="s">
        <v>797</v>
      </c>
      <c r="E742">
        <v>30138.95</v>
      </c>
      <c r="F742">
        <v>9041.68</v>
      </c>
      <c r="G742">
        <v>5715.62</v>
      </c>
      <c r="H742">
        <v>1513.53</v>
      </c>
      <c r="I742">
        <v>44896.25</v>
      </c>
      <c r="J742">
        <v>43382.72</v>
      </c>
      <c r="K742" s="1"/>
      <c r="L742" s="1"/>
      <c r="M742" s="1"/>
      <c r="N742" s="1"/>
    </row>
    <row r="743" ht="15.75" customHeight="1">
      <c r="A743" t="s">
        <v>53</v>
      </c>
      <c r="B743" t="s">
        <v>14</v>
      </c>
      <c r="C743" t="s">
        <v>4908</v>
      </c>
      <c r="D743" t="s">
        <v>798</v>
      </c>
      <c r="E743">
        <v>22513.92</v>
      </c>
      <c r="F743">
        <v>6754.18</v>
      </c>
      <c r="G743">
        <v>949.1</v>
      </c>
      <c r="H743">
        <v>4251.85</v>
      </c>
      <c r="I743">
        <v>30217.2</v>
      </c>
      <c r="J743">
        <v>25965.35</v>
      </c>
      <c r="K743" s="1"/>
      <c r="L743" s="1"/>
      <c r="M743" s="1"/>
      <c r="N743" s="1"/>
    </row>
    <row r="744" ht="15.75" customHeight="1">
      <c r="A744" t="s">
        <v>25</v>
      </c>
      <c r="B744" t="s">
        <v>18</v>
      </c>
      <c r="C744" t="s">
        <v>4905</v>
      </c>
      <c r="D744" t="s">
        <v>799</v>
      </c>
      <c r="E744">
        <v>76029.45</v>
      </c>
      <c r="F744">
        <v>22808.83</v>
      </c>
      <c r="G744">
        <v>1580.3</v>
      </c>
      <c r="H744">
        <v>12265.55</v>
      </c>
      <c r="I744">
        <v>100418.58</v>
      </c>
      <c r="J744">
        <v>88153.03</v>
      </c>
      <c r="K744" s="1"/>
      <c r="L744" s="1"/>
      <c r="M744" s="1"/>
      <c r="N744" s="1"/>
    </row>
    <row r="745" ht="15.75" customHeight="1">
      <c r="A745" t="s">
        <v>13</v>
      </c>
      <c r="B745" t="s">
        <v>26</v>
      </c>
      <c r="C745" t="s">
        <v>4917</v>
      </c>
      <c r="D745" t="s">
        <v>800</v>
      </c>
      <c r="E745">
        <v>105668.56</v>
      </c>
      <c r="F745">
        <v>31700.57</v>
      </c>
      <c r="G745">
        <v>17261.05</v>
      </c>
      <c r="H745">
        <v>2286.26</v>
      </c>
      <c r="I745">
        <v>154630.18</v>
      </c>
      <c r="J745">
        <v>152343.92</v>
      </c>
      <c r="K745" s="1"/>
      <c r="L745" s="1"/>
      <c r="M745" s="1"/>
      <c r="N745" s="1"/>
    </row>
    <row r="746" ht="15.75" customHeight="1">
      <c r="A746" t="s">
        <v>51</v>
      </c>
      <c r="B746" t="s">
        <v>14</v>
      </c>
      <c r="C746" t="s">
        <v>4907</v>
      </c>
      <c r="D746" t="s">
        <v>801</v>
      </c>
      <c r="E746">
        <v>21306.42</v>
      </c>
      <c r="F746">
        <v>6391.93</v>
      </c>
      <c r="G746">
        <v>1413.53</v>
      </c>
      <c r="H746">
        <v>559.43</v>
      </c>
      <c r="I746">
        <v>29111.88</v>
      </c>
      <c r="J746">
        <v>28552.45</v>
      </c>
      <c r="K746" s="1"/>
      <c r="L746" s="1"/>
      <c r="M746" s="1"/>
      <c r="N746" s="1"/>
    </row>
    <row r="747" ht="15.75" customHeight="1">
      <c r="A747" t="s">
        <v>51</v>
      </c>
      <c r="B747" t="s">
        <v>26</v>
      </c>
      <c r="C747" t="s">
        <v>4910</v>
      </c>
      <c r="D747" t="s">
        <v>802</v>
      </c>
      <c r="E747">
        <v>99068.69</v>
      </c>
      <c r="F747">
        <v>29720.61</v>
      </c>
      <c r="G747">
        <v>1395.72</v>
      </c>
      <c r="H747">
        <v>24419.02</v>
      </c>
      <c r="I747">
        <v>130185.02</v>
      </c>
      <c r="J747">
        <v>105766.0</v>
      </c>
      <c r="K747" s="1"/>
      <c r="L747" s="1"/>
      <c r="M747" s="1"/>
      <c r="N747" s="1"/>
    </row>
    <row r="748" ht="15.75" customHeight="1">
      <c r="A748" t="s">
        <v>36</v>
      </c>
      <c r="B748" t="s">
        <v>54</v>
      </c>
      <c r="C748" t="s">
        <v>4913</v>
      </c>
      <c r="D748" t="s">
        <v>803</v>
      </c>
      <c r="E748">
        <v>41315.76</v>
      </c>
      <c r="F748">
        <v>12394.73</v>
      </c>
      <c r="G748">
        <v>3342.02</v>
      </c>
      <c r="H748">
        <v>3921.74</v>
      </c>
      <c r="I748">
        <v>57052.51</v>
      </c>
      <c r="J748">
        <v>53130.77</v>
      </c>
      <c r="K748" s="1"/>
      <c r="L748" s="1"/>
      <c r="M748" s="1"/>
      <c r="N748" s="1"/>
    </row>
    <row r="749" ht="15.75" customHeight="1">
      <c r="A749" t="s">
        <v>13</v>
      </c>
      <c r="B749" t="s">
        <v>14</v>
      </c>
      <c r="C749" t="s">
        <v>4905</v>
      </c>
      <c r="D749" t="s">
        <v>804</v>
      </c>
      <c r="E749">
        <v>21850.81</v>
      </c>
      <c r="F749">
        <v>6555.24</v>
      </c>
      <c r="G749">
        <v>2803.12</v>
      </c>
      <c r="H749">
        <v>4053.43</v>
      </c>
      <c r="I749">
        <v>31209.17</v>
      </c>
      <c r="J749">
        <v>27155.74</v>
      </c>
      <c r="K749" s="1"/>
      <c r="L749" s="1"/>
      <c r="M749" s="1"/>
      <c r="N749" s="1"/>
    </row>
    <row r="750" ht="15.75" customHeight="1">
      <c r="A750" t="s">
        <v>53</v>
      </c>
      <c r="B750" t="s">
        <v>14</v>
      </c>
      <c r="C750" t="s">
        <v>4909</v>
      </c>
      <c r="D750" t="s">
        <v>805</v>
      </c>
      <c r="E750">
        <v>23046.35</v>
      </c>
      <c r="F750">
        <v>6913.9</v>
      </c>
      <c r="G750">
        <v>334.58</v>
      </c>
      <c r="H750">
        <v>6416.43</v>
      </c>
      <c r="I750">
        <v>30294.83</v>
      </c>
      <c r="J750">
        <v>23878.4</v>
      </c>
      <c r="K750" s="1"/>
      <c r="L750" s="1"/>
      <c r="M750" s="1"/>
      <c r="N750" s="1"/>
    </row>
    <row r="751" ht="15.75" customHeight="1">
      <c r="A751" t="s">
        <v>29</v>
      </c>
      <c r="B751" t="s">
        <v>26</v>
      </c>
      <c r="C751" t="s">
        <v>4914</v>
      </c>
      <c r="D751" t="s">
        <v>806</v>
      </c>
      <c r="E751">
        <v>114691.63</v>
      </c>
      <c r="F751">
        <v>34407.49</v>
      </c>
      <c r="G751">
        <v>13913.61</v>
      </c>
      <c r="H751">
        <v>9686.31</v>
      </c>
      <c r="I751">
        <v>163012.73</v>
      </c>
      <c r="J751">
        <v>153326.42</v>
      </c>
      <c r="K751" s="1"/>
      <c r="L751" s="1"/>
      <c r="M751" s="1"/>
      <c r="N751" s="1"/>
    </row>
    <row r="752" ht="15.75" customHeight="1">
      <c r="A752" t="s">
        <v>36</v>
      </c>
      <c r="B752" t="s">
        <v>54</v>
      </c>
      <c r="C752" t="s">
        <v>4908</v>
      </c>
      <c r="D752" t="s">
        <v>807</v>
      </c>
      <c r="E752">
        <v>46509.71</v>
      </c>
      <c r="F752">
        <v>13952.91</v>
      </c>
      <c r="G752">
        <v>286.68</v>
      </c>
      <c r="H752">
        <v>2181.17</v>
      </c>
      <c r="I752">
        <v>60749.3</v>
      </c>
      <c r="J752">
        <v>58568.13</v>
      </c>
      <c r="K752" s="1"/>
      <c r="L752" s="1"/>
      <c r="M752" s="1"/>
      <c r="N752" s="1"/>
    </row>
    <row r="753" ht="15.75" customHeight="1">
      <c r="A753" t="s">
        <v>51</v>
      </c>
      <c r="B753" t="s">
        <v>33</v>
      </c>
      <c r="C753" t="s">
        <v>4905</v>
      </c>
      <c r="D753" t="s">
        <v>808</v>
      </c>
      <c r="E753">
        <v>31772.89</v>
      </c>
      <c r="F753">
        <v>9531.87</v>
      </c>
      <c r="G753">
        <v>5809.16</v>
      </c>
      <c r="H753">
        <v>7578.0</v>
      </c>
      <c r="I753">
        <v>47113.92</v>
      </c>
      <c r="J753">
        <v>39535.92</v>
      </c>
      <c r="K753" s="1"/>
      <c r="L753" s="1"/>
      <c r="M753" s="1"/>
      <c r="N753" s="1"/>
    </row>
    <row r="754" ht="15.75" customHeight="1">
      <c r="A754" t="s">
        <v>13</v>
      </c>
      <c r="B754" t="s">
        <v>33</v>
      </c>
      <c r="C754" t="s">
        <v>4911</v>
      </c>
      <c r="D754" t="s">
        <v>809</v>
      </c>
      <c r="E754">
        <v>71656.69906138915</v>
      </c>
      <c r="F754">
        <v>10372.18</v>
      </c>
      <c r="G754">
        <v>77.1</v>
      </c>
      <c r="H754">
        <v>9073.24</v>
      </c>
      <c r="I754">
        <v>82105.98</v>
      </c>
      <c r="J754">
        <v>73032.74</v>
      </c>
      <c r="K754" s="1"/>
      <c r="L754" s="1"/>
      <c r="M754" s="1"/>
      <c r="N754" s="1"/>
    </row>
    <row r="755" ht="15.75" customHeight="1">
      <c r="A755" t="s">
        <v>29</v>
      </c>
      <c r="B755" t="s">
        <v>30</v>
      </c>
      <c r="C755" t="s">
        <v>4913</v>
      </c>
      <c r="D755" t="s">
        <v>810</v>
      </c>
      <c r="E755">
        <v>28585.01</v>
      </c>
      <c r="F755">
        <v>8575.5</v>
      </c>
      <c r="G755">
        <v>5165.58</v>
      </c>
      <c r="H755">
        <v>2948.7</v>
      </c>
      <c r="I755">
        <v>42326.09</v>
      </c>
      <c r="J755">
        <v>39377.39</v>
      </c>
      <c r="K755" s="1"/>
      <c r="L755" s="1"/>
      <c r="M755" s="1"/>
      <c r="N755" s="1"/>
    </row>
    <row r="756" ht="15.75" customHeight="1">
      <c r="A756" t="s">
        <v>13</v>
      </c>
      <c r="B756" t="s">
        <v>26</v>
      </c>
      <c r="C756" t="s">
        <v>4910</v>
      </c>
      <c r="D756" t="s">
        <v>811</v>
      </c>
      <c r="E756">
        <v>108451.9</v>
      </c>
      <c r="F756">
        <v>32535.57</v>
      </c>
      <c r="G756">
        <v>3491.16</v>
      </c>
      <c r="H756">
        <v>7183.46</v>
      </c>
      <c r="I756">
        <v>144478.63</v>
      </c>
      <c r="J756">
        <v>137295.17</v>
      </c>
      <c r="K756" s="1"/>
      <c r="L756" s="1"/>
      <c r="M756" s="1"/>
      <c r="N756" s="1"/>
    </row>
    <row r="757" ht="15.75" customHeight="1">
      <c r="A757" t="s">
        <v>51</v>
      </c>
      <c r="B757" t="s">
        <v>14</v>
      </c>
      <c r="C757" t="s">
        <v>4915</v>
      </c>
      <c r="D757" t="s">
        <v>812</v>
      </c>
      <c r="E757">
        <v>19305.78</v>
      </c>
      <c r="F757">
        <v>5791.73</v>
      </c>
      <c r="G757">
        <v>3087.61</v>
      </c>
      <c r="H757">
        <v>4936.01</v>
      </c>
      <c r="I757">
        <v>28185.12</v>
      </c>
      <c r="J757">
        <v>23249.11</v>
      </c>
      <c r="K757" s="1"/>
      <c r="L757" s="1"/>
      <c r="M757" s="1"/>
      <c r="N757" s="1"/>
    </row>
    <row r="758" ht="15.75" customHeight="1">
      <c r="A758" t="s">
        <v>36</v>
      </c>
      <c r="B758" t="s">
        <v>18</v>
      </c>
      <c r="C758" t="s">
        <v>4909</v>
      </c>
      <c r="D758" t="s">
        <v>813</v>
      </c>
      <c r="E758">
        <v>79291.28</v>
      </c>
      <c r="F758">
        <v>23787.38</v>
      </c>
      <c r="G758">
        <v>4609.24</v>
      </c>
      <c r="H758">
        <v>1602.38</v>
      </c>
      <c r="I758">
        <v>107687.9</v>
      </c>
      <c r="J758">
        <v>106085.52</v>
      </c>
      <c r="K758" s="1"/>
      <c r="L758" s="1"/>
      <c r="M758" s="1"/>
      <c r="N758" s="1"/>
    </row>
    <row r="759" ht="15.75" customHeight="1">
      <c r="A759" t="s">
        <v>51</v>
      </c>
      <c r="B759" t="s">
        <v>18</v>
      </c>
      <c r="C759" t="s">
        <v>4917</v>
      </c>
      <c r="D759" t="s">
        <v>814</v>
      </c>
      <c r="E759">
        <v>71902.66457289942</v>
      </c>
      <c r="F759">
        <v>24028.65</v>
      </c>
      <c r="G759">
        <v>15242.81</v>
      </c>
      <c r="H759">
        <v>8581.55</v>
      </c>
      <c r="I759">
        <v>111174.12</v>
      </c>
      <c r="J759">
        <v>102592.57</v>
      </c>
      <c r="K759" s="1"/>
      <c r="L759" s="1"/>
      <c r="M759" s="1"/>
      <c r="N759" s="1"/>
    </row>
    <row r="760" ht="15.75" customHeight="1">
      <c r="A760" t="s">
        <v>13</v>
      </c>
      <c r="B760" t="s">
        <v>30</v>
      </c>
      <c r="C760" t="s">
        <v>4912</v>
      </c>
      <c r="D760" t="s">
        <v>815</v>
      </c>
      <c r="E760">
        <v>22880.4</v>
      </c>
      <c r="F760">
        <v>6864.12</v>
      </c>
      <c r="G760">
        <v>2834.95</v>
      </c>
      <c r="H760">
        <v>6178.52</v>
      </c>
      <c r="I760">
        <v>32579.47</v>
      </c>
      <c r="J760">
        <v>26400.95</v>
      </c>
      <c r="K760" s="1"/>
      <c r="L760" s="1"/>
      <c r="M760" s="1"/>
      <c r="N760" s="1"/>
    </row>
    <row r="761" ht="15.75" customHeight="1">
      <c r="A761" t="s">
        <v>36</v>
      </c>
      <c r="B761" t="s">
        <v>54</v>
      </c>
      <c r="C761" t="s">
        <v>4911</v>
      </c>
      <c r="D761" t="s">
        <v>816</v>
      </c>
      <c r="E761">
        <v>39596.85</v>
      </c>
      <c r="F761">
        <v>11879.05</v>
      </c>
      <c r="G761">
        <v>5222.21</v>
      </c>
      <c r="H761">
        <v>8237.63</v>
      </c>
      <c r="I761">
        <v>56698.11</v>
      </c>
      <c r="J761">
        <v>48460.48</v>
      </c>
      <c r="K761" s="1"/>
      <c r="L761" s="1"/>
      <c r="M761" s="1"/>
      <c r="N761" s="1"/>
    </row>
    <row r="762" ht="15.75" customHeight="1">
      <c r="A762" t="s">
        <v>53</v>
      </c>
      <c r="B762" t="s">
        <v>37</v>
      </c>
      <c r="C762" t="s">
        <v>4907</v>
      </c>
      <c r="D762" t="s">
        <v>817</v>
      </c>
      <c r="E762">
        <v>51560.88</v>
      </c>
      <c r="F762">
        <v>15468.26</v>
      </c>
      <c r="G762">
        <v>3262.08</v>
      </c>
      <c r="H762">
        <v>14765.30618879032</v>
      </c>
      <c r="I762">
        <v>70291.22</v>
      </c>
      <c r="J762">
        <v>55525.91</v>
      </c>
      <c r="K762" s="1"/>
      <c r="L762" s="1"/>
      <c r="M762" s="1"/>
      <c r="N762" s="1"/>
    </row>
    <row r="763" ht="15.75" customHeight="1">
      <c r="A763" t="s">
        <v>29</v>
      </c>
      <c r="B763" t="s">
        <v>30</v>
      </c>
      <c r="C763" t="s">
        <v>4910</v>
      </c>
      <c r="D763" t="s">
        <v>818</v>
      </c>
      <c r="E763">
        <v>28913.81</v>
      </c>
      <c r="F763">
        <v>8674.14</v>
      </c>
      <c r="G763">
        <v>4118.48</v>
      </c>
      <c r="H763">
        <v>5558.73</v>
      </c>
      <c r="I763">
        <v>41706.43</v>
      </c>
      <c r="J763">
        <v>36147.7</v>
      </c>
      <c r="K763" s="1"/>
      <c r="L763" s="1"/>
      <c r="M763" s="1"/>
      <c r="N763" s="1"/>
    </row>
    <row r="764" ht="15.75" customHeight="1">
      <c r="A764" t="s">
        <v>25</v>
      </c>
      <c r="B764" t="s">
        <v>33</v>
      </c>
      <c r="C764" t="s">
        <v>4914</v>
      </c>
      <c r="D764" t="s">
        <v>819</v>
      </c>
      <c r="E764">
        <v>26343.06</v>
      </c>
      <c r="F764">
        <v>7902.92</v>
      </c>
      <c r="G764">
        <v>3861.75</v>
      </c>
      <c r="H764">
        <v>6937.86</v>
      </c>
      <c r="I764">
        <v>38107.73</v>
      </c>
      <c r="J764">
        <v>31169.87</v>
      </c>
      <c r="K764" s="1"/>
      <c r="L764" s="1"/>
      <c r="M764" s="1"/>
      <c r="N764" s="1"/>
    </row>
    <row r="765" ht="15.75" customHeight="1">
      <c r="A765" t="s">
        <v>36</v>
      </c>
      <c r="B765" t="s">
        <v>33</v>
      </c>
      <c r="C765" t="s">
        <v>4917</v>
      </c>
      <c r="D765" t="s">
        <v>820</v>
      </c>
      <c r="E765">
        <v>32747.67</v>
      </c>
      <c r="F765">
        <v>9824.3</v>
      </c>
      <c r="G765">
        <v>3189.44</v>
      </c>
      <c r="H765">
        <v>1069.2</v>
      </c>
      <c r="I765">
        <v>45761.41</v>
      </c>
      <c r="J765">
        <v>44692.21</v>
      </c>
      <c r="K765" s="1"/>
      <c r="L765" s="1"/>
      <c r="M765" s="1"/>
      <c r="N765" s="1"/>
    </row>
    <row r="766" ht="15.75" customHeight="1">
      <c r="A766" t="s">
        <v>53</v>
      </c>
      <c r="B766" t="s">
        <v>14</v>
      </c>
      <c r="C766" t="s">
        <v>4915</v>
      </c>
      <c r="D766" t="s">
        <v>821</v>
      </c>
      <c r="E766">
        <v>24060.91</v>
      </c>
      <c r="F766">
        <v>7218.27</v>
      </c>
      <c r="G766">
        <v>4132.29</v>
      </c>
      <c r="H766">
        <v>1010.57</v>
      </c>
      <c r="I766">
        <v>35411.47</v>
      </c>
      <c r="J766">
        <v>34400.9</v>
      </c>
      <c r="K766" s="1"/>
      <c r="L766" s="1"/>
      <c r="M766" s="1"/>
      <c r="N766" s="1"/>
    </row>
    <row r="767" ht="15.75" customHeight="1">
      <c r="A767" t="s">
        <v>51</v>
      </c>
      <c r="B767" t="s">
        <v>33</v>
      </c>
      <c r="C767" t="s">
        <v>4907</v>
      </c>
      <c r="D767" t="s">
        <v>822</v>
      </c>
      <c r="E767">
        <v>32335.45</v>
      </c>
      <c r="F767">
        <v>9700.64</v>
      </c>
      <c r="G767">
        <v>4052.4</v>
      </c>
      <c r="H767">
        <v>7056.49</v>
      </c>
      <c r="I767">
        <v>46088.49</v>
      </c>
      <c r="J767">
        <v>39032.0</v>
      </c>
      <c r="K767" s="1"/>
      <c r="L767" s="1"/>
      <c r="M767" s="1"/>
      <c r="N767" s="1"/>
    </row>
    <row r="768" ht="15.75" customHeight="1">
      <c r="A768" t="s">
        <v>25</v>
      </c>
      <c r="B768" t="s">
        <v>37</v>
      </c>
      <c r="C768" t="s">
        <v>4916</v>
      </c>
      <c r="D768" t="s">
        <v>823</v>
      </c>
      <c r="E768">
        <v>56369.28</v>
      </c>
      <c r="F768">
        <v>16910.78</v>
      </c>
      <c r="G768">
        <v>9161.61</v>
      </c>
      <c r="H768">
        <v>9789.67</v>
      </c>
      <c r="I768">
        <v>82441.67</v>
      </c>
      <c r="J768">
        <v>72652.0</v>
      </c>
      <c r="K768" s="1"/>
      <c r="L768" s="1"/>
      <c r="M768" s="1"/>
      <c r="N768" s="1"/>
    </row>
    <row r="769" ht="15.75" customHeight="1">
      <c r="A769" t="s">
        <v>51</v>
      </c>
      <c r="B769" t="s">
        <v>14</v>
      </c>
      <c r="C769" t="s">
        <v>4914</v>
      </c>
      <c r="D769" t="s">
        <v>824</v>
      </c>
      <c r="E769">
        <v>21971.48</v>
      </c>
      <c r="F769">
        <v>6591.44</v>
      </c>
      <c r="G769">
        <v>2388.17</v>
      </c>
      <c r="H769">
        <v>6583.06</v>
      </c>
      <c r="I769">
        <v>30951.09</v>
      </c>
      <c r="J769">
        <v>24368.03</v>
      </c>
      <c r="K769" s="1"/>
      <c r="L769" s="1"/>
      <c r="M769" s="1"/>
      <c r="N769" s="1"/>
    </row>
    <row r="770" ht="15.75" customHeight="1">
      <c r="A770" t="s">
        <v>13</v>
      </c>
      <c r="B770" t="s">
        <v>26</v>
      </c>
      <c r="C770" t="s">
        <v>4916</v>
      </c>
      <c r="D770" t="s">
        <v>825</v>
      </c>
      <c r="E770">
        <v>95350.79</v>
      </c>
      <c r="F770">
        <v>28605.24</v>
      </c>
      <c r="G770">
        <v>7485.01</v>
      </c>
      <c r="H770">
        <v>25499.78</v>
      </c>
      <c r="I770">
        <v>131441.04</v>
      </c>
      <c r="J770">
        <v>105941.26</v>
      </c>
      <c r="K770" s="1"/>
      <c r="L770" s="1"/>
      <c r="M770" s="1"/>
      <c r="N770" s="1"/>
    </row>
    <row r="771" ht="15.75" customHeight="1">
      <c r="A771" t="s">
        <v>13</v>
      </c>
      <c r="B771" t="s">
        <v>26</v>
      </c>
      <c r="C771" t="s">
        <v>4913</v>
      </c>
      <c r="D771" t="s">
        <v>826</v>
      </c>
      <c r="E771">
        <v>100475.97</v>
      </c>
      <c r="F771">
        <v>30142.79</v>
      </c>
      <c r="G771">
        <v>9338.26</v>
      </c>
      <c r="H771">
        <v>15385.24</v>
      </c>
      <c r="I771">
        <v>139957.02</v>
      </c>
      <c r="J771">
        <v>124571.78</v>
      </c>
      <c r="K771" s="1"/>
      <c r="L771" s="1"/>
      <c r="M771" s="1"/>
      <c r="N771" s="1"/>
    </row>
    <row r="772" ht="15.75" customHeight="1">
      <c r="A772" t="s">
        <v>29</v>
      </c>
      <c r="B772" t="s">
        <v>37</v>
      </c>
      <c r="C772" t="s">
        <v>4916</v>
      </c>
      <c r="D772" t="s">
        <v>827</v>
      </c>
      <c r="E772">
        <v>45190.65</v>
      </c>
      <c r="F772">
        <v>13557.19</v>
      </c>
      <c r="G772">
        <v>2159.04</v>
      </c>
      <c r="H772">
        <v>13069.14</v>
      </c>
      <c r="I772">
        <v>60906.88</v>
      </c>
      <c r="J772">
        <v>47837.74</v>
      </c>
      <c r="K772" s="1"/>
      <c r="L772" s="1"/>
      <c r="M772" s="1"/>
      <c r="N772" s="1"/>
    </row>
    <row r="773" ht="15.75" customHeight="1">
      <c r="A773" t="s">
        <v>13</v>
      </c>
      <c r="B773" t="s">
        <v>30</v>
      </c>
      <c r="C773" t="s">
        <v>4916</v>
      </c>
      <c r="D773" t="s">
        <v>828</v>
      </c>
      <c r="E773">
        <v>28663.41</v>
      </c>
      <c r="F773">
        <v>8599.02</v>
      </c>
      <c r="G773">
        <v>804.7</v>
      </c>
      <c r="H773">
        <v>1369.16</v>
      </c>
      <c r="I773">
        <v>38067.13</v>
      </c>
      <c r="J773">
        <v>36697.97</v>
      </c>
      <c r="K773" s="1"/>
      <c r="L773" s="1"/>
      <c r="M773" s="1"/>
      <c r="N773" s="1"/>
    </row>
    <row r="774" ht="15.75" customHeight="1">
      <c r="A774" t="s">
        <v>53</v>
      </c>
      <c r="B774" t="s">
        <v>18</v>
      </c>
      <c r="C774" t="s">
        <v>4912</v>
      </c>
      <c r="D774" t="s">
        <v>829</v>
      </c>
      <c r="E774">
        <v>87677.07</v>
      </c>
      <c r="F774">
        <v>26303.12</v>
      </c>
      <c r="G774">
        <v>2563.66</v>
      </c>
      <c r="H774">
        <v>19254.0</v>
      </c>
      <c r="I774">
        <v>116543.85</v>
      </c>
      <c r="J774">
        <v>97289.85</v>
      </c>
      <c r="K774" s="1"/>
      <c r="L774" s="1"/>
      <c r="M774" s="1"/>
      <c r="N774" s="1"/>
    </row>
    <row r="775" ht="15.75" customHeight="1">
      <c r="A775" t="s">
        <v>17</v>
      </c>
      <c r="B775" t="s">
        <v>30</v>
      </c>
      <c r="C775" t="s">
        <v>4908</v>
      </c>
      <c r="D775" t="s">
        <v>830</v>
      </c>
      <c r="E775">
        <v>28700.96</v>
      </c>
      <c r="F775">
        <v>8610.29</v>
      </c>
      <c r="G775">
        <v>1330.29</v>
      </c>
      <c r="H775">
        <v>2276.19</v>
      </c>
      <c r="I775">
        <v>38641.54</v>
      </c>
      <c r="J775">
        <v>36365.35</v>
      </c>
      <c r="K775" s="1"/>
      <c r="L775" s="1"/>
      <c r="M775" s="1"/>
      <c r="N775" s="1"/>
    </row>
    <row r="776" ht="15.75" customHeight="1">
      <c r="A776" t="s">
        <v>17</v>
      </c>
      <c r="B776" t="s">
        <v>18</v>
      </c>
      <c r="C776" t="s">
        <v>4914</v>
      </c>
      <c r="D776" t="s">
        <v>831</v>
      </c>
      <c r="E776">
        <v>70376.13</v>
      </c>
      <c r="F776">
        <v>21112.84</v>
      </c>
      <c r="G776">
        <v>12776.45</v>
      </c>
      <c r="H776">
        <v>7627.04</v>
      </c>
      <c r="I776">
        <v>104265.42</v>
      </c>
      <c r="J776">
        <v>96638.38</v>
      </c>
      <c r="K776" s="1"/>
      <c r="L776" s="1"/>
      <c r="M776" s="1"/>
      <c r="N776" s="1"/>
    </row>
    <row r="777" ht="15.75" customHeight="1">
      <c r="A777" t="s">
        <v>36</v>
      </c>
      <c r="B777" t="s">
        <v>14</v>
      </c>
      <c r="C777" t="s">
        <v>4915</v>
      </c>
      <c r="D777" t="s">
        <v>832</v>
      </c>
      <c r="E777">
        <v>18287.31</v>
      </c>
      <c r="F777">
        <v>5486.19</v>
      </c>
      <c r="G777">
        <v>2371.95</v>
      </c>
      <c r="H777">
        <v>566.31</v>
      </c>
      <c r="I777">
        <v>26145.45</v>
      </c>
      <c r="J777">
        <v>25579.14</v>
      </c>
      <c r="K777" s="1"/>
      <c r="L777" s="1"/>
      <c r="M777" s="1"/>
      <c r="N777" s="1"/>
    </row>
    <row r="778" ht="15.75" customHeight="1">
      <c r="A778" t="s">
        <v>13</v>
      </c>
      <c r="B778" t="s">
        <v>26</v>
      </c>
      <c r="C778" t="s">
        <v>4916</v>
      </c>
      <c r="D778" t="s">
        <v>833</v>
      </c>
      <c r="E778">
        <v>99845.83</v>
      </c>
      <c r="F778">
        <v>29953.75</v>
      </c>
      <c r="G778">
        <v>14815.32</v>
      </c>
      <c r="H778">
        <v>17332.18</v>
      </c>
      <c r="I778">
        <v>144614.9</v>
      </c>
      <c r="J778">
        <v>127282.72</v>
      </c>
      <c r="K778" s="1"/>
      <c r="L778" s="1"/>
      <c r="M778" s="1"/>
      <c r="N778" s="1"/>
    </row>
    <row r="779" ht="15.75" customHeight="1">
      <c r="A779" t="s">
        <v>51</v>
      </c>
      <c r="B779" t="s">
        <v>54</v>
      </c>
      <c r="C779" t="s">
        <v>4909</v>
      </c>
      <c r="D779" t="s">
        <v>834</v>
      </c>
      <c r="E779">
        <v>44151.45</v>
      </c>
      <c r="F779">
        <v>13245.43</v>
      </c>
      <c r="G779">
        <v>3225.68</v>
      </c>
      <c r="H779">
        <v>8653.73</v>
      </c>
      <c r="I779">
        <v>60622.56</v>
      </c>
      <c r="J779">
        <v>51968.83</v>
      </c>
      <c r="K779" s="1"/>
      <c r="L779" s="1"/>
      <c r="M779" s="1"/>
      <c r="N779" s="1"/>
    </row>
    <row r="780" ht="15.75" customHeight="1">
      <c r="A780" t="s">
        <v>53</v>
      </c>
      <c r="B780" t="s">
        <v>30</v>
      </c>
      <c r="C780" t="s">
        <v>4910</v>
      </c>
      <c r="D780" t="s">
        <v>835</v>
      </c>
      <c r="E780">
        <v>25871.11</v>
      </c>
      <c r="F780">
        <v>7761.33</v>
      </c>
      <c r="G780">
        <v>1190.02</v>
      </c>
      <c r="H780">
        <v>3993.53</v>
      </c>
      <c r="I780">
        <v>34822.46</v>
      </c>
      <c r="J780">
        <v>30828.93</v>
      </c>
      <c r="K780" s="1"/>
      <c r="L780" s="1"/>
      <c r="M780" s="1"/>
      <c r="N780" s="1"/>
    </row>
    <row r="781" ht="15.75" customHeight="1">
      <c r="A781" t="s">
        <v>51</v>
      </c>
      <c r="B781" t="s">
        <v>30</v>
      </c>
      <c r="C781" t="s">
        <v>4909</v>
      </c>
      <c r="D781" t="s">
        <v>836</v>
      </c>
      <c r="E781">
        <v>23644.77</v>
      </c>
      <c r="F781">
        <v>7093.43</v>
      </c>
      <c r="G781">
        <v>1712.94</v>
      </c>
      <c r="H781">
        <v>5088.14</v>
      </c>
      <c r="I781">
        <v>32451.14</v>
      </c>
      <c r="J781">
        <v>27363.0</v>
      </c>
      <c r="K781" s="1"/>
      <c r="L781" s="1"/>
      <c r="M781" s="1"/>
      <c r="N781" s="1"/>
    </row>
    <row r="782" ht="15.75" customHeight="1">
      <c r="A782" t="s">
        <v>13</v>
      </c>
      <c r="B782" t="s">
        <v>30</v>
      </c>
      <c r="C782" t="s">
        <v>4917</v>
      </c>
      <c r="D782" t="s">
        <v>837</v>
      </c>
      <c r="E782">
        <v>25648.6</v>
      </c>
      <c r="F782">
        <v>7694.58</v>
      </c>
      <c r="G782">
        <v>1693.96</v>
      </c>
      <c r="H782">
        <v>872.09</v>
      </c>
      <c r="I782">
        <v>35037.14</v>
      </c>
      <c r="J782">
        <v>34165.05</v>
      </c>
      <c r="K782" s="1"/>
      <c r="L782" s="1"/>
      <c r="M782" s="1"/>
      <c r="N782" s="1"/>
    </row>
    <row r="783" ht="15.75" customHeight="1">
      <c r="A783" t="s">
        <v>36</v>
      </c>
      <c r="B783" t="s">
        <v>54</v>
      </c>
      <c r="C783" t="s">
        <v>4907</v>
      </c>
      <c r="D783" t="s">
        <v>838</v>
      </c>
      <c r="E783">
        <v>37949.86</v>
      </c>
      <c r="F783">
        <v>11384.96</v>
      </c>
      <c r="G783">
        <v>1223.85</v>
      </c>
      <c r="H783">
        <v>9487.83</v>
      </c>
      <c r="I783">
        <v>50558.67</v>
      </c>
      <c r="J783">
        <v>41070.84</v>
      </c>
      <c r="K783" s="1"/>
      <c r="L783" s="1"/>
      <c r="M783" s="1"/>
      <c r="N783" s="1"/>
    </row>
    <row r="784" ht="15.75" customHeight="1">
      <c r="A784" t="s">
        <v>51</v>
      </c>
      <c r="B784" t="s">
        <v>14</v>
      </c>
      <c r="C784" t="s">
        <v>4915</v>
      </c>
      <c r="D784" t="s">
        <v>839</v>
      </c>
      <c r="E784">
        <v>18920.77</v>
      </c>
      <c r="F784">
        <v>5676.23</v>
      </c>
      <c r="G784">
        <v>2241.53</v>
      </c>
      <c r="H784">
        <v>764.72</v>
      </c>
      <c r="I784">
        <v>26838.53</v>
      </c>
      <c r="J784">
        <v>26073.81</v>
      </c>
      <c r="K784" s="1"/>
      <c r="L784" s="1"/>
      <c r="M784" s="1"/>
      <c r="N784" s="1"/>
    </row>
    <row r="785" ht="15.75" customHeight="1">
      <c r="A785" t="s">
        <v>17</v>
      </c>
      <c r="B785" t="s">
        <v>37</v>
      </c>
      <c r="C785" t="s">
        <v>4915</v>
      </c>
      <c r="D785" t="s">
        <v>840</v>
      </c>
      <c r="E785">
        <v>47643.57</v>
      </c>
      <c r="F785">
        <v>14293.07</v>
      </c>
      <c r="G785">
        <v>1585.02</v>
      </c>
      <c r="H785">
        <v>13184.6</v>
      </c>
      <c r="I785">
        <v>63521.66</v>
      </c>
      <c r="J785">
        <v>50337.06</v>
      </c>
      <c r="K785" s="1"/>
      <c r="L785" s="1"/>
      <c r="M785" s="1"/>
      <c r="N785" s="1"/>
    </row>
    <row r="786" ht="15.75" customHeight="1">
      <c r="A786" t="s">
        <v>36</v>
      </c>
      <c r="B786" t="s">
        <v>37</v>
      </c>
      <c r="C786" t="s">
        <v>4905</v>
      </c>
      <c r="D786" t="s">
        <v>841</v>
      </c>
      <c r="E786">
        <v>62446.39</v>
      </c>
      <c r="F786">
        <v>18733.92</v>
      </c>
      <c r="G786">
        <v>7963.45</v>
      </c>
      <c r="H786">
        <v>16457.91</v>
      </c>
      <c r="I786">
        <v>89143.76</v>
      </c>
      <c r="J786">
        <v>72685.85</v>
      </c>
      <c r="K786" s="1"/>
      <c r="L786" s="1"/>
      <c r="M786" s="1"/>
      <c r="N786" s="1"/>
    </row>
    <row r="787" ht="15.75" customHeight="1">
      <c r="A787" t="s">
        <v>13</v>
      </c>
      <c r="B787" t="s">
        <v>26</v>
      </c>
      <c r="C787" t="s">
        <v>4914</v>
      </c>
      <c r="D787" t="s">
        <v>842</v>
      </c>
      <c r="E787">
        <v>100204.37</v>
      </c>
      <c r="F787">
        <v>30061.31</v>
      </c>
      <c r="G787">
        <v>1718.47</v>
      </c>
      <c r="H787">
        <v>13503.64</v>
      </c>
      <c r="I787">
        <v>131984.15</v>
      </c>
      <c r="J787">
        <v>118480.51</v>
      </c>
      <c r="K787" s="1"/>
      <c r="L787" s="1"/>
      <c r="M787" s="1"/>
      <c r="N787" s="1"/>
    </row>
    <row r="788" ht="15.75" customHeight="1">
      <c r="A788" t="s">
        <v>25</v>
      </c>
      <c r="B788" t="s">
        <v>54</v>
      </c>
      <c r="C788" t="s">
        <v>4916</v>
      </c>
      <c r="D788" t="s">
        <v>843</v>
      </c>
      <c r="E788">
        <v>37387.93</v>
      </c>
      <c r="F788">
        <v>11216.38</v>
      </c>
      <c r="G788">
        <v>6209.12</v>
      </c>
      <c r="H788">
        <v>6739.23</v>
      </c>
      <c r="I788">
        <v>54813.43</v>
      </c>
      <c r="J788">
        <v>48074.2</v>
      </c>
      <c r="K788" s="1"/>
      <c r="L788" s="1"/>
      <c r="M788" s="1"/>
      <c r="N788" s="1"/>
    </row>
    <row r="789" ht="15.75" customHeight="1">
      <c r="A789" t="s">
        <v>25</v>
      </c>
      <c r="B789" t="s">
        <v>26</v>
      </c>
      <c r="C789" t="s">
        <v>4905</v>
      </c>
      <c r="D789" t="s">
        <v>844</v>
      </c>
      <c r="E789">
        <v>96547.83</v>
      </c>
      <c r="F789">
        <v>28964.35</v>
      </c>
      <c r="G789">
        <v>12737.53</v>
      </c>
      <c r="H789">
        <v>7661.67</v>
      </c>
      <c r="I789">
        <v>138249.71</v>
      </c>
      <c r="J789">
        <v>130588.04</v>
      </c>
      <c r="K789" s="1"/>
      <c r="L789" s="1"/>
      <c r="M789" s="1"/>
      <c r="N789" s="1"/>
    </row>
    <row r="790" ht="15.75" customHeight="1">
      <c r="A790" t="s">
        <v>13</v>
      </c>
      <c r="B790" t="s">
        <v>33</v>
      </c>
      <c r="C790" t="s">
        <v>4913</v>
      </c>
      <c r="D790" t="s">
        <v>845</v>
      </c>
      <c r="E790">
        <v>34223.52</v>
      </c>
      <c r="F790">
        <v>10267.06</v>
      </c>
      <c r="G790">
        <v>4083.09</v>
      </c>
      <c r="H790">
        <v>706.81</v>
      </c>
      <c r="I790">
        <v>48573.67</v>
      </c>
      <c r="J790">
        <v>47866.86</v>
      </c>
      <c r="K790" s="1"/>
      <c r="L790" s="1"/>
      <c r="M790" s="1"/>
      <c r="N790" s="1"/>
    </row>
    <row r="791" ht="15.75" customHeight="1">
      <c r="A791" t="s">
        <v>36</v>
      </c>
      <c r="B791" t="s">
        <v>30</v>
      </c>
      <c r="C791" t="s">
        <v>4915</v>
      </c>
      <c r="D791" t="s">
        <v>846</v>
      </c>
      <c r="E791">
        <v>22955.42</v>
      </c>
      <c r="F791">
        <v>6886.63</v>
      </c>
      <c r="G791">
        <v>929.0</v>
      </c>
      <c r="H791">
        <v>5919.69</v>
      </c>
      <c r="I791">
        <v>30771.05</v>
      </c>
      <c r="J791">
        <v>24851.36</v>
      </c>
      <c r="K791" s="1"/>
      <c r="L791" s="1"/>
      <c r="M791" s="1"/>
      <c r="N791" s="1"/>
    </row>
    <row r="792" ht="15.75" customHeight="1">
      <c r="A792" t="s">
        <v>13</v>
      </c>
      <c r="B792" t="s">
        <v>54</v>
      </c>
      <c r="C792" t="s">
        <v>4916</v>
      </c>
      <c r="D792" t="s">
        <v>847</v>
      </c>
      <c r="E792">
        <v>46571.2</v>
      </c>
      <c r="F792">
        <v>13971.36</v>
      </c>
      <c r="G792">
        <v>5639.87</v>
      </c>
      <c r="H792">
        <v>2478.83</v>
      </c>
      <c r="I792">
        <v>66182.43</v>
      </c>
      <c r="J792">
        <v>63703.6</v>
      </c>
      <c r="K792" s="1"/>
      <c r="L792" s="1"/>
      <c r="M792" s="1"/>
      <c r="N792" s="1"/>
    </row>
    <row r="793" ht="15.75" customHeight="1">
      <c r="A793" t="s">
        <v>53</v>
      </c>
      <c r="B793" t="s">
        <v>14</v>
      </c>
      <c r="C793" t="s">
        <v>4909</v>
      </c>
      <c r="D793" t="s">
        <v>848</v>
      </c>
      <c r="E793">
        <v>24319.82</v>
      </c>
      <c r="F793">
        <v>7295.95</v>
      </c>
      <c r="G793">
        <v>2584.86</v>
      </c>
      <c r="H793">
        <v>5489.35</v>
      </c>
      <c r="I793">
        <v>34200.63</v>
      </c>
      <c r="J793">
        <v>28711.28</v>
      </c>
      <c r="K793" s="1"/>
      <c r="L793" s="1"/>
      <c r="M793" s="1"/>
      <c r="N793" s="1"/>
    </row>
    <row r="794" ht="15.75" customHeight="1">
      <c r="A794" t="s">
        <v>36</v>
      </c>
      <c r="B794" t="s">
        <v>18</v>
      </c>
      <c r="C794" t="s">
        <v>4917</v>
      </c>
      <c r="D794" t="s">
        <v>849</v>
      </c>
      <c r="E794">
        <v>68388.55</v>
      </c>
      <c r="F794">
        <v>20516.56</v>
      </c>
      <c r="G794">
        <v>8254.15</v>
      </c>
      <c r="H794">
        <v>16977.9</v>
      </c>
      <c r="I794">
        <v>97159.26</v>
      </c>
      <c r="J794">
        <v>80181.36</v>
      </c>
      <c r="K794" s="1"/>
      <c r="L794" s="1"/>
      <c r="M794" s="1"/>
      <c r="N794" s="1"/>
    </row>
    <row r="795" ht="15.75" customHeight="1">
      <c r="A795" t="s">
        <v>13</v>
      </c>
      <c r="B795" t="s">
        <v>54</v>
      </c>
      <c r="C795" t="s">
        <v>4915</v>
      </c>
      <c r="D795" t="s">
        <v>850</v>
      </c>
      <c r="E795">
        <v>42308.62</v>
      </c>
      <c r="F795">
        <v>12692.59</v>
      </c>
      <c r="G795">
        <v>3134.03</v>
      </c>
      <c r="H795">
        <v>551.34</v>
      </c>
      <c r="I795">
        <v>58135.24</v>
      </c>
      <c r="J795">
        <v>57583.9</v>
      </c>
      <c r="K795" s="1"/>
      <c r="L795" s="1"/>
      <c r="M795" s="1"/>
      <c r="N795" s="1"/>
    </row>
    <row r="796" ht="15.75" customHeight="1">
      <c r="A796" t="s">
        <v>36</v>
      </c>
      <c r="B796" t="s">
        <v>30</v>
      </c>
      <c r="C796" t="s">
        <v>4912</v>
      </c>
      <c r="D796" t="s">
        <v>851</v>
      </c>
      <c r="E796">
        <v>30258.11</v>
      </c>
      <c r="F796">
        <v>9077.43</v>
      </c>
      <c r="G796">
        <v>2917.63</v>
      </c>
      <c r="H796">
        <v>6977.57</v>
      </c>
      <c r="I796">
        <v>42253.17</v>
      </c>
      <c r="J796">
        <v>35275.6</v>
      </c>
      <c r="K796" s="1"/>
      <c r="L796" s="1"/>
      <c r="M796" s="1"/>
      <c r="N796" s="1"/>
    </row>
    <row r="797" ht="15.75" customHeight="1">
      <c r="A797" t="s">
        <v>53</v>
      </c>
      <c r="B797" t="s">
        <v>26</v>
      </c>
      <c r="C797" t="s">
        <v>4909</v>
      </c>
      <c r="D797" t="s">
        <v>852</v>
      </c>
      <c r="E797">
        <v>116690.19</v>
      </c>
      <c r="F797">
        <v>35007.06</v>
      </c>
      <c r="G797">
        <v>17772.83</v>
      </c>
      <c r="H797">
        <v>24389.68</v>
      </c>
      <c r="I797">
        <v>169470.08</v>
      </c>
      <c r="J797">
        <v>145080.4</v>
      </c>
      <c r="K797" s="1"/>
      <c r="L797" s="1"/>
      <c r="M797" s="1"/>
      <c r="N797" s="1"/>
    </row>
    <row r="798" ht="15.75" customHeight="1">
      <c r="A798" t="s">
        <v>36</v>
      </c>
      <c r="B798" t="s">
        <v>30</v>
      </c>
      <c r="C798" t="s">
        <v>4907</v>
      </c>
      <c r="D798" t="s">
        <v>853</v>
      </c>
      <c r="E798">
        <v>24239.76</v>
      </c>
      <c r="F798">
        <v>7271.93</v>
      </c>
      <c r="G798">
        <v>3712.85</v>
      </c>
      <c r="H798">
        <v>6618.08</v>
      </c>
      <c r="I798">
        <v>35224.54</v>
      </c>
      <c r="J798">
        <v>28606.46</v>
      </c>
      <c r="K798" s="1"/>
      <c r="L798" s="1"/>
      <c r="M798" s="1"/>
      <c r="N798" s="1"/>
    </row>
    <row r="799" ht="15.75" customHeight="1">
      <c r="A799" t="s">
        <v>29</v>
      </c>
      <c r="B799" t="s">
        <v>37</v>
      </c>
      <c r="C799" t="s">
        <v>4905</v>
      </c>
      <c r="D799" t="s">
        <v>855</v>
      </c>
      <c r="E799">
        <v>60781.79</v>
      </c>
      <c r="F799">
        <v>18234.54</v>
      </c>
      <c r="G799">
        <v>4967.66</v>
      </c>
      <c r="H799">
        <v>3446.71</v>
      </c>
      <c r="I799">
        <v>83983.99</v>
      </c>
      <c r="J799">
        <v>80537.28</v>
      </c>
      <c r="K799" s="1"/>
      <c r="L799" s="1"/>
      <c r="M799" s="1"/>
      <c r="N799" s="1"/>
    </row>
    <row r="800" ht="15.75" customHeight="1">
      <c r="A800" t="s">
        <v>13</v>
      </c>
      <c r="B800" t="s">
        <v>26</v>
      </c>
      <c r="C800" t="s">
        <v>4913</v>
      </c>
      <c r="D800" t="s">
        <v>856</v>
      </c>
      <c r="E800">
        <v>90256.11</v>
      </c>
      <c r="F800">
        <v>27076.83</v>
      </c>
      <c r="G800">
        <v>9432.5</v>
      </c>
      <c r="H800">
        <v>14073.5</v>
      </c>
      <c r="I800">
        <v>126765.44</v>
      </c>
      <c r="J800">
        <v>112691.94</v>
      </c>
      <c r="K800" s="1"/>
      <c r="L800" s="1"/>
      <c r="M800" s="1"/>
      <c r="N800" s="1"/>
    </row>
    <row r="801" ht="15.75" customHeight="1">
      <c r="A801" t="s">
        <v>13</v>
      </c>
      <c r="B801" t="s">
        <v>30</v>
      </c>
      <c r="C801" t="s">
        <v>4911</v>
      </c>
      <c r="D801" t="s">
        <v>857</v>
      </c>
      <c r="E801">
        <v>28052.35</v>
      </c>
      <c r="F801">
        <v>8415.7</v>
      </c>
      <c r="G801">
        <v>1772.36</v>
      </c>
      <c r="H801">
        <v>3048.76</v>
      </c>
      <c r="I801">
        <v>38240.41</v>
      </c>
      <c r="J801">
        <v>35191.65</v>
      </c>
      <c r="K801" s="1"/>
      <c r="L801" s="1"/>
      <c r="M801" s="1"/>
      <c r="N801" s="1"/>
    </row>
    <row r="802" ht="15.75" customHeight="1">
      <c r="A802" t="s">
        <v>36</v>
      </c>
      <c r="B802" t="s">
        <v>18</v>
      </c>
      <c r="C802" t="s">
        <v>4916</v>
      </c>
      <c r="D802" t="s">
        <v>858</v>
      </c>
      <c r="E802">
        <v>80219.62</v>
      </c>
      <c r="F802">
        <v>24065.89</v>
      </c>
      <c r="G802">
        <v>4192.32</v>
      </c>
      <c r="H802">
        <v>12901.84</v>
      </c>
      <c r="I802">
        <v>108477.83</v>
      </c>
      <c r="J802">
        <v>95575.99</v>
      </c>
      <c r="K802" s="1"/>
      <c r="L802" s="1"/>
      <c r="M802" s="1"/>
      <c r="N802" s="1"/>
    </row>
    <row r="803" ht="15.75" customHeight="1">
      <c r="A803" t="s">
        <v>29</v>
      </c>
      <c r="B803" t="s">
        <v>37</v>
      </c>
      <c r="C803" t="s">
        <v>4913</v>
      </c>
      <c r="D803" t="s">
        <v>859</v>
      </c>
      <c r="E803">
        <v>49960.09</v>
      </c>
      <c r="F803">
        <v>14988.03</v>
      </c>
      <c r="G803">
        <v>6800.62</v>
      </c>
      <c r="H803">
        <v>11315.54</v>
      </c>
      <c r="I803">
        <v>71748.74</v>
      </c>
      <c r="J803">
        <v>60433.2</v>
      </c>
      <c r="K803" s="1"/>
      <c r="L803" s="1"/>
      <c r="M803" s="1"/>
      <c r="N803" s="1"/>
    </row>
    <row r="804" ht="15.75" customHeight="1">
      <c r="A804" t="s">
        <v>53</v>
      </c>
      <c r="B804" t="s">
        <v>26</v>
      </c>
      <c r="C804" t="s">
        <v>4914</v>
      </c>
      <c r="D804" t="s">
        <v>860</v>
      </c>
      <c r="E804">
        <v>110072.26</v>
      </c>
      <c r="F804">
        <v>33021.68</v>
      </c>
      <c r="G804">
        <v>3934.41</v>
      </c>
      <c r="H804">
        <v>18462.22</v>
      </c>
      <c r="I804">
        <v>147028.35</v>
      </c>
      <c r="J804">
        <v>128566.13</v>
      </c>
      <c r="K804" s="1"/>
      <c r="L804" s="1"/>
      <c r="M804" s="1"/>
      <c r="N804" s="1"/>
    </row>
    <row r="805" ht="15.75" customHeight="1">
      <c r="A805" t="s">
        <v>29</v>
      </c>
      <c r="B805" t="s">
        <v>33</v>
      </c>
      <c r="C805" t="s">
        <v>4911</v>
      </c>
      <c r="D805" t="s">
        <v>861</v>
      </c>
      <c r="E805">
        <v>30776.51</v>
      </c>
      <c r="F805">
        <v>9232.95</v>
      </c>
      <c r="G805">
        <v>4765.4</v>
      </c>
      <c r="H805">
        <v>3675.91</v>
      </c>
      <c r="I805">
        <v>44774.86</v>
      </c>
      <c r="J805">
        <v>41098.95</v>
      </c>
      <c r="K805" s="1"/>
      <c r="L805" s="1"/>
      <c r="M805" s="1"/>
      <c r="N805" s="1"/>
    </row>
    <row r="806" ht="15.75" customHeight="1">
      <c r="A806" t="s">
        <v>25</v>
      </c>
      <c r="B806" t="s">
        <v>26</v>
      </c>
      <c r="C806" t="s">
        <v>4905</v>
      </c>
      <c r="D806" t="s">
        <v>862</v>
      </c>
      <c r="E806">
        <v>113734.18</v>
      </c>
      <c r="F806">
        <v>34120.25</v>
      </c>
      <c r="G806">
        <v>17010.41</v>
      </c>
      <c r="H806">
        <v>15237.93</v>
      </c>
      <c r="I806">
        <v>164864.84</v>
      </c>
      <c r="J806">
        <v>149626.91</v>
      </c>
      <c r="K806" s="1"/>
      <c r="L806" s="1"/>
      <c r="M806" s="1"/>
      <c r="N806" s="1"/>
    </row>
    <row r="807" ht="15.75" customHeight="1">
      <c r="A807" t="s">
        <v>51</v>
      </c>
      <c r="B807" t="s">
        <v>14</v>
      </c>
      <c r="C807" t="s">
        <v>4915</v>
      </c>
      <c r="D807" t="s">
        <v>863</v>
      </c>
      <c r="E807">
        <v>19544.1</v>
      </c>
      <c r="F807">
        <v>5863.23</v>
      </c>
      <c r="G807">
        <v>1565.72</v>
      </c>
      <c r="H807">
        <v>1984.34</v>
      </c>
      <c r="I807">
        <v>26973.05</v>
      </c>
      <c r="J807">
        <v>24988.71</v>
      </c>
      <c r="K807" s="1"/>
      <c r="L807" s="1"/>
      <c r="M807" s="1"/>
      <c r="N807" s="1"/>
    </row>
    <row r="808" ht="15.75" customHeight="1">
      <c r="A808" t="s">
        <v>53</v>
      </c>
      <c r="B808" t="s">
        <v>18</v>
      </c>
      <c r="C808" t="s">
        <v>4917</v>
      </c>
      <c r="D808" t="s">
        <v>864</v>
      </c>
      <c r="E808">
        <v>82798.68</v>
      </c>
      <c r="F808">
        <v>24839.6</v>
      </c>
      <c r="G808">
        <v>861.98</v>
      </c>
      <c r="H808">
        <v>9665.18</v>
      </c>
      <c r="I808">
        <v>108500.26</v>
      </c>
      <c r="J808">
        <v>98835.08</v>
      </c>
      <c r="K808" s="1"/>
      <c r="L808" s="1"/>
      <c r="M808" s="1"/>
      <c r="N808" s="1"/>
    </row>
    <row r="809" ht="15.75" customHeight="1">
      <c r="A809" t="s">
        <v>17</v>
      </c>
      <c r="B809" t="s">
        <v>26</v>
      </c>
      <c r="C809" t="s">
        <v>4913</v>
      </c>
      <c r="D809" t="s">
        <v>865</v>
      </c>
      <c r="E809">
        <v>93279.19</v>
      </c>
      <c r="F809">
        <v>27983.76</v>
      </c>
      <c r="G809">
        <v>2711.22</v>
      </c>
      <c r="H809">
        <v>25909.09</v>
      </c>
      <c r="I809">
        <v>123974.17</v>
      </c>
      <c r="J809">
        <v>98065.08</v>
      </c>
      <c r="K809" s="1"/>
      <c r="L809" s="1"/>
      <c r="M809" s="1"/>
      <c r="N809" s="1"/>
    </row>
    <row r="810" ht="15.75" customHeight="1">
      <c r="A810" t="s">
        <v>17</v>
      </c>
      <c r="B810" t="s">
        <v>14</v>
      </c>
      <c r="C810" t="s">
        <v>4905</v>
      </c>
      <c r="D810" t="s">
        <v>866</v>
      </c>
      <c r="E810">
        <v>19894.26</v>
      </c>
      <c r="F810">
        <v>5968.28</v>
      </c>
      <c r="G810">
        <v>1475.5</v>
      </c>
      <c r="H810">
        <v>3634.85</v>
      </c>
      <c r="I810">
        <v>27338.04</v>
      </c>
      <c r="J810">
        <v>23703.19</v>
      </c>
      <c r="K810" s="1"/>
      <c r="L810" s="1"/>
      <c r="M810" s="1"/>
      <c r="N810" s="1"/>
    </row>
    <row r="811" ht="15.75" customHeight="1">
      <c r="A811" t="s">
        <v>36</v>
      </c>
      <c r="B811" t="s">
        <v>54</v>
      </c>
      <c r="C811" t="s">
        <v>4916</v>
      </c>
      <c r="D811" t="s">
        <v>867</v>
      </c>
      <c r="E811">
        <v>43595.52</v>
      </c>
      <c r="F811">
        <v>13078.66</v>
      </c>
      <c r="G811">
        <v>4542.7</v>
      </c>
      <c r="H811">
        <v>9306.85</v>
      </c>
      <c r="I811">
        <v>61216.88</v>
      </c>
      <c r="J811">
        <v>51910.03</v>
      </c>
      <c r="K811" s="1"/>
      <c r="L811" s="1"/>
      <c r="M811" s="1"/>
      <c r="N811" s="1"/>
    </row>
    <row r="812" ht="15.75" customHeight="1">
      <c r="A812" t="s">
        <v>17</v>
      </c>
      <c r="B812" t="s">
        <v>26</v>
      </c>
      <c r="C812" t="s">
        <v>4908</v>
      </c>
      <c r="D812" t="s">
        <v>868</v>
      </c>
      <c r="E812">
        <v>119528.23</v>
      </c>
      <c r="F812">
        <v>35858.47</v>
      </c>
      <c r="G812">
        <v>15306.58</v>
      </c>
      <c r="H812">
        <v>15740.87</v>
      </c>
      <c r="I812">
        <v>170693.28</v>
      </c>
      <c r="J812">
        <v>154952.41</v>
      </c>
      <c r="K812" s="1"/>
      <c r="L812" s="1"/>
      <c r="M812" s="1"/>
      <c r="N812" s="1"/>
    </row>
    <row r="813" ht="15.75" customHeight="1">
      <c r="A813" t="s">
        <v>25</v>
      </c>
      <c r="B813" t="s">
        <v>18</v>
      </c>
      <c r="C813" t="s">
        <v>4916</v>
      </c>
      <c r="D813" t="s">
        <v>869</v>
      </c>
      <c r="E813">
        <v>89199.72</v>
      </c>
      <c r="F813">
        <v>26759.92</v>
      </c>
      <c r="G813">
        <v>9243.83</v>
      </c>
      <c r="H813">
        <v>5211.4</v>
      </c>
      <c r="I813">
        <v>125203.47</v>
      </c>
      <c r="J813">
        <v>119992.07</v>
      </c>
      <c r="K813" s="1"/>
      <c r="L813" s="1"/>
      <c r="M813" s="1"/>
      <c r="N813" s="1"/>
    </row>
    <row r="814" ht="15.75" customHeight="1">
      <c r="A814" t="s">
        <v>53</v>
      </c>
      <c r="B814" t="s">
        <v>37</v>
      </c>
      <c r="C814" t="s">
        <v>4912</v>
      </c>
      <c r="D814" t="s">
        <v>870</v>
      </c>
      <c r="E814">
        <v>72159.94658517206</v>
      </c>
      <c r="F814">
        <v>17271.63</v>
      </c>
      <c r="G814">
        <v>7083.56</v>
      </c>
      <c r="H814">
        <v>11641.5</v>
      </c>
      <c r="I814">
        <v>96515.14</v>
      </c>
      <c r="J814">
        <v>84873.64</v>
      </c>
      <c r="K814" s="1"/>
      <c r="L814" s="1"/>
      <c r="M814" s="1"/>
      <c r="N814" s="1"/>
    </row>
    <row r="815" ht="15.75" customHeight="1">
      <c r="A815" t="s">
        <v>51</v>
      </c>
      <c r="B815" t="s">
        <v>18</v>
      </c>
      <c r="C815" t="s">
        <v>4913</v>
      </c>
      <c r="D815" t="s">
        <v>871</v>
      </c>
      <c r="E815">
        <v>65007.47</v>
      </c>
      <c r="F815">
        <v>19502.24</v>
      </c>
      <c r="G815">
        <v>2047.02</v>
      </c>
      <c r="H815">
        <v>19440.17</v>
      </c>
      <c r="I815">
        <v>86556.73</v>
      </c>
      <c r="J815">
        <v>67116.56</v>
      </c>
      <c r="K815" s="1"/>
      <c r="L815" s="1"/>
      <c r="M815" s="1"/>
      <c r="N815" s="1"/>
    </row>
    <row r="816" ht="15.75" customHeight="1">
      <c r="A816" t="s">
        <v>29</v>
      </c>
      <c r="B816" t="s">
        <v>18</v>
      </c>
      <c r="C816" t="s">
        <v>4905</v>
      </c>
      <c r="D816" t="s">
        <v>872</v>
      </c>
      <c r="E816">
        <v>75273.72</v>
      </c>
      <c r="F816">
        <v>22582.12</v>
      </c>
      <c r="G816">
        <v>8823.29</v>
      </c>
      <c r="H816">
        <v>11691.73</v>
      </c>
      <c r="I816">
        <v>106679.13</v>
      </c>
      <c r="J816">
        <v>94987.4</v>
      </c>
      <c r="K816" s="1"/>
      <c r="L816" s="1"/>
      <c r="M816" s="1"/>
      <c r="N816" s="1"/>
    </row>
    <row r="817" ht="15.75" customHeight="1">
      <c r="A817" t="s">
        <v>13</v>
      </c>
      <c r="B817" t="s">
        <v>14</v>
      </c>
      <c r="C817" t="s">
        <v>4915</v>
      </c>
      <c r="D817" t="s">
        <v>873</v>
      </c>
      <c r="E817">
        <v>24618.08</v>
      </c>
      <c r="F817">
        <v>7385.42</v>
      </c>
      <c r="G817">
        <v>2705.98</v>
      </c>
      <c r="H817">
        <v>5362.84</v>
      </c>
      <c r="I817">
        <v>34709.48</v>
      </c>
      <c r="J817">
        <v>29346.64</v>
      </c>
      <c r="K817" s="1"/>
      <c r="L817" s="1"/>
      <c r="M817" s="1"/>
      <c r="N817" s="1"/>
    </row>
    <row r="818" ht="15.75" customHeight="1">
      <c r="A818" t="s">
        <v>53</v>
      </c>
      <c r="B818" t="s">
        <v>33</v>
      </c>
      <c r="C818" t="s">
        <v>4907</v>
      </c>
      <c r="D818" t="s">
        <v>874</v>
      </c>
      <c r="E818">
        <v>28474.75</v>
      </c>
      <c r="F818">
        <v>8542.42</v>
      </c>
      <c r="G818">
        <v>4644.32</v>
      </c>
      <c r="H818">
        <v>1933.11</v>
      </c>
      <c r="I818">
        <v>41661.49</v>
      </c>
      <c r="J818">
        <v>39728.38</v>
      </c>
      <c r="K818" s="1"/>
      <c r="L818" s="1"/>
      <c r="M818" s="1"/>
      <c r="N818" s="1"/>
    </row>
    <row r="819" ht="15.75" customHeight="1">
      <c r="A819" t="s">
        <v>36</v>
      </c>
      <c r="B819" t="s">
        <v>54</v>
      </c>
      <c r="C819" t="s">
        <v>4909</v>
      </c>
      <c r="D819" t="s">
        <v>875</v>
      </c>
      <c r="E819">
        <v>43048.69</v>
      </c>
      <c r="F819">
        <v>12914.61</v>
      </c>
      <c r="G819">
        <v>2248.07</v>
      </c>
      <c r="H819">
        <v>5257.98</v>
      </c>
      <c r="I819">
        <v>58211.37</v>
      </c>
      <c r="J819">
        <v>52953.39</v>
      </c>
      <c r="K819" s="1"/>
      <c r="L819" s="1"/>
      <c r="M819" s="1"/>
      <c r="N819" s="1"/>
    </row>
    <row r="820" ht="15.75" customHeight="1">
      <c r="A820" t="s">
        <v>53</v>
      </c>
      <c r="B820" t="s">
        <v>14</v>
      </c>
      <c r="C820" t="s">
        <v>4915</v>
      </c>
      <c r="D820" t="s">
        <v>876</v>
      </c>
      <c r="E820">
        <v>21622.82</v>
      </c>
      <c r="F820">
        <v>6486.85</v>
      </c>
      <c r="G820">
        <v>1470.2</v>
      </c>
      <c r="H820">
        <v>759.02</v>
      </c>
      <c r="I820">
        <v>29579.87</v>
      </c>
      <c r="J820">
        <v>28820.85</v>
      </c>
      <c r="K820" s="1"/>
      <c r="L820" s="1"/>
      <c r="M820" s="1"/>
      <c r="N820" s="1"/>
    </row>
    <row r="821" ht="15.75" customHeight="1">
      <c r="A821" t="s">
        <v>29</v>
      </c>
      <c r="B821" t="s">
        <v>37</v>
      </c>
      <c r="C821" t="s">
        <v>4913</v>
      </c>
      <c r="D821" t="s">
        <v>877</v>
      </c>
      <c r="E821">
        <v>59636.65</v>
      </c>
      <c r="F821">
        <v>17890.99</v>
      </c>
      <c r="G821">
        <v>6856.95</v>
      </c>
      <c r="H821">
        <v>12419.78</v>
      </c>
      <c r="I821">
        <v>84384.59</v>
      </c>
      <c r="J821">
        <v>71964.81</v>
      </c>
      <c r="K821" s="1"/>
      <c r="L821" s="1"/>
      <c r="M821" s="1"/>
      <c r="N821" s="1"/>
    </row>
    <row r="822" ht="15.75" customHeight="1">
      <c r="A822" t="s">
        <v>53</v>
      </c>
      <c r="B822" t="s">
        <v>54</v>
      </c>
      <c r="C822" t="s">
        <v>4914</v>
      </c>
      <c r="D822" t="s">
        <v>878</v>
      </c>
      <c r="E822">
        <v>45779.54</v>
      </c>
      <c r="F822">
        <v>13733.86</v>
      </c>
      <c r="G822">
        <v>6935.36</v>
      </c>
      <c r="H822">
        <v>13201.52</v>
      </c>
      <c r="I822">
        <v>66448.76</v>
      </c>
      <c r="J822">
        <v>53247.24</v>
      </c>
      <c r="K822" s="1"/>
      <c r="L822" s="1"/>
      <c r="M822" s="1"/>
      <c r="N822" s="1"/>
    </row>
    <row r="823" ht="15.75" customHeight="1">
      <c r="A823" t="s">
        <v>36</v>
      </c>
      <c r="B823" t="s">
        <v>54</v>
      </c>
      <c r="C823" t="s">
        <v>4910</v>
      </c>
      <c r="D823" t="s">
        <v>879</v>
      </c>
      <c r="E823">
        <v>47551.33</v>
      </c>
      <c r="F823">
        <v>14265.4</v>
      </c>
      <c r="G823">
        <v>8198.07</v>
      </c>
      <c r="H823">
        <v>6875.5</v>
      </c>
      <c r="I823">
        <v>70014.8</v>
      </c>
      <c r="J823">
        <v>63139.3</v>
      </c>
      <c r="K823" s="1"/>
      <c r="L823" s="1"/>
      <c r="M823" s="1"/>
      <c r="N823" s="1"/>
    </row>
    <row r="824" ht="15.75" customHeight="1">
      <c r="A824" t="s">
        <v>17</v>
      </c>
      <c r="B824" t="s">
        <v>54</v>
      </c>
      <c r="C824" t="s">
        <v>4908</v>
      </c>
      <c r="D824" t="s">
        <v>880</v>
      </c>
      <c r="E824">
        <v>43871.27</v>
      </c>
      <c r="F824">
        <v>13161.38</v>
      </c>
      <c r="G824">
        <v>8723.35</v>
      </c>
      <c r="H824">
        <v>8909.11</v>
      </c>
      <c r="I824">
        <v>65756.0</v>
      </c>
      <c r="J824">
        <v>56846.89</v>
      </c>
      <c r="K824" s="1"/>
      <c r="L824" s="1"/>
      <c r="M824" s="1"/>
      <c r="N824" s="1"/>
    </row>
    <row r="825" ht="15.75" customHeight="1">
      <c r="A825" t="s">
        <v>25</v>
      </c>
      <c r="B825" t="s">
        <v>33</v>
      </c>
      <c r="C825" t="s">
        <v>4905</v>
      </c>
      <c r="D825" t="s">
        <v>881</v>
      </c>
      <c r="E825">
        <v>71780.1808858172</v>
      </c>
      <c r="F825">
        <v>8737.28</v>
      </c>
      <c r="G825">
        <v>2056.73</v>
      </c>
      <c r="H825">
        <v>4680.14</v>
      </c>
      <c r="I825">
        <v>82574.19</v>
      </c>
      <c r="J825">
        <v>77894.05</v>
      </c>
      <c r="K825" s="1"/>
      <c r="L825" s="1"/>
      <c r="M825" s="1"/>
      <c r="N825" s="1"/>
    </row>
    <row r="826" ht="15.75" customHeight="1">
      <c r="A826" t="s">
        <v>25</v>
      </c>
      <c r="B826" t="s">
        <v>33</v>
      </c>
      <c r="C826" t="s">
        <v>4912</v>
      </c>
      <c r="D826" t="s">
        <v>883</v>
      </c>
      <c r="E826">
        <v>27482.58</v>
      </c>
      <c r="F826">
        <v>8244.77</v>
      </c>
      <c r="G826">
        <v>511.23</v>
      </c>
      <c r="H826">
        <v>5554.49</v>
      </c>
      <c r="I826">
        <v>36238.58</v>
      </c>
      <c r="J826">
        <v>30684.09</v>
      </c>
      <c r="K826" s="1"/>
      <c r="L826" s="1"/>
      <c r="M826" s="1"/>
      <c r="N826" s="1"/>
    </row>
    <row r="827" ht="15.75" customHeight="1">
      <c r="A827" t="s">
        <v>17</v>
      </c>
      <c r="B827" t="s">
        <v>37</v>
      </c>
      <c r="C827" t="s">
        <v>4916</v>
      </c>
      <c r="D827" t="s">
        <v>884</v>
      </c>
      <c r="E827">
        <v>61765.13</v>
      </c>
      <c r="F827">
        <v>18529.54</v>
      </c>
      <c r="G827">
        <v>5886.9</v>
      </c>
      <c r="H827">
        <v>6550.89</v>
      </c>
      <c r="I827">
        <v>86181.57</v>
      </c>
      <c r="J827">
        <v>79630.68</v>
      </c>
      <c r="K827" s="1"/>
      <c r="L827" s="1"/>
      <c r="M827" s="1"/>
      <c r="N827" s="1"/>
    </row>
    <row r="828" ht="15.75" customHeight="1">
      <c r="A828" t="s">
        <v>29</v>
      </c>
      <c r="B828" t="s">
        <v>30</v>
      </c>
      <c r="C828" t="s">
        <v>4914</v>
      </c>
      <c r="D828" t="s">
        <v>885</v>
      </c>
      <c r="E828">
        <v>30334.64</v>
      </c>
      <c r="F828">
        <v>9100.39</v>
      </c>
      <c r="G828">
        <v>4144.36</v>
      </c>
      <c r="H828">
        <v>8280.7</v>
      </c>
      <c r="I828">
        <v>43579.39</v>
      </c>
      <c r="J828">
        <v>35298.69</v>
      </c>
      <c r="K828" s="1"/>
      <c r="L828" s="1"/>
      <c r="M828" s="1"/>
      <c r="N828" s="1"/>
    </row>
    <row r="829" ht="15.75" customHeight="1">
      <c r="A829" t="s">
        <v>51</v>
      </c>
      <c r="B829" t="s">
        <v>26</v>
      </c>
      <c r="C829" t="s">
        <v>4909</v>
      </c>
      <c r="D829" t="s">
        <v>886</v>
      </c>
      <c r="E829">
        <v>98989.04</v>
      </c>
      <c r="F829">
        <v>29696.71</v>
      </c>
      <c r="G829">
        <v>12246.86</v>
      </c>
      <c r="H829">
        <v>4632.56</v>
      </c>
      <c r="I829">
        <v>140932.61</v>
      </c>
      <c r="J829">
        <v>136300.05</v>
      </c>
      <c r="K829" s="1"/>
      <c r="L829" s="1"/>
      <c r="M829" s="1"/>
      <c r="N829" s="1"/>
    </row>
    <row r="830" ht="15.75" customHeight="1">
      <c r="A830" t="s">
        <v>17</v>
      </c>
      <c r="B830" t="s">
        <v>14</v>
      </c>
      <c r="C830" t="s">
        <v>4915</v>
      </c>
      <c r="D830" t="s">
        <v>887</v>
      </c>
      <c r="E830">
        <v>22865.85</v>
      </c>
      <c r="F830">
        <v>6859.75</v>
      </c>
      <c r="G830">
        <v>3033.95</v>
      </c>
      <c r="H830">
        <v>4210.7</v>
      </c>
      <c r="I830">
        <v>32759.55</v>
      </c>
      <c r="J830">
        <v>28548.85</v>
      </c>
      <c r="K830" s="1"/>
      <c r="L830" s="1"/>
      <c r="M830" s="1"/>
      <c r="N830" s="1"/>
    </row>
    <row r="831" ht="15.75" customHeight="1">
      <c r="A831" t="s">
        <v>17</v>
      </c>
      <c r="B831" t="s">
        <v>26</v>
      </c>
      <c r="C831" t="s">
        <v>4916</v>
      </c>
      <c r="D831" t="s">
        <v>888</v>
      </c>
      <c r="E831">
        <v>107362.51</v>
      </c>
      <c r="F831">
        <v>32208.75</v>
      </c>
      <c r="G831">
        <v>13327.28</v>
      </c>
      <c r="H831">
        <v>15857.67</v>
      </c>
      <c r="I831">
        <v>152898.54</v>
      </c>
      <c r="J831">
        <v>137040.87</v>
      </c>
      <c r="K831" s="1"/>
      <c r="L831" s="1"/>
      <c r="M831" s="1"/>
      <c r="N831" s="1"/>
    </row>
    <row r="832" ht="15.75" customHeight="1">
      <c r="A832" t="s">
        <v>25</v>
      </c>
      <c r="B832" t="s">
        <v>33</v>
      </c>
      <c r="C832" t="s">
        <v>4910</v>
      </c>
      <c r="D832" t="s">
        <v>889</v>
      </c>
      <c r="E832">
        <v>29908.05</v>
      </c>
      <c r="F832">
        <v>8972.41</v>
      </c>
      <c r="G832">
        <v>5888.27</v>
      </c>
      <c r="H832">
        <v>8218.79</v>
      </c>
      <c r="I832">
        <v>44768.73</v>
      </c>
      <c r="J832">
        <v>36549.94</v>
      </c>
      <c r="K832" s="1"/>
      <c r="L832" s="1"/>
      <c r="M832" s="1"/>
      <c r="N832" s="1"/>
    </row>
    <row r="833" ht="15.75" customHeight="1">
      <c r="A833" t="s">
        <v>36</v>
      </c>
      <c r="B833" t="s">
        <v>30</v>
      </c>
      <c r="C833" t="s">
        <v>4913</v>
      </c>
      <c r="D833" t="s">
        <v>890</v>
      </c>
      <c r="E833">
        <v>28601.49</v>
      </c>
      <c r="F833">
        <v>8580.45</v>
      </c>
      <c r="G833">
        <v>733.61</v>
      </c>
      <c r="H833">
        <v>4511.05</v>
      </c>
      <c r="I833">
        <v>37915.55</v>
      </c>
      <c r="J833">
        <v>33404.5</v>
      </c>
      <c r="K833" s="1"/>
      <c r="L833" s="1"/>
      <c r="M833" s="1"/>
      <c r="N833" s="1"/>
    </row>
    <row r="834" ht="15.75" customHeight="1">
      <c r="A834" t="s">
        <v>36</v>
      </c>
      <c r="B834" t="s">
        <v>37</v>
      </c>
      <c r="C834" t="s">
        <v>4911</v>
      </c>
      <c r="D834" t="s">
        <v>891</v>
      </c>
      <c r="E834">
        <v>45586.13</v>
      </c>
      <c r="F834">
        <v>13675.84</v>
      </c>
      <c r="G834">
        <v>3166.31</v>
      </c>
      <c r="H834">
        <v>11766.69</v>
      </c>
      <c r="I834">
        <v>62428.28</v>
      </c>
      <c r="J834">
        <v>50661.59</v>
      </c>
      <c r="K834" s="1"/>
      <c r="L834" s="1"/>
      <c r="M834" s="1"/>
      <c r="N834" s="1"/>
    </row>
    <row r="835" ht="15.75" customHeight="1">
      <c r="A835" t="s">
        <v>36</v>
      </c>
      <c r="B835" t="s">
        <v>14</v>
      </c>
      <c r="C835" t="s">
        <v>4907</v>
      </c>
      <c r="D835" t="s">
        <v>892</v>
      </c>
      <c r="E835">
        <v>23027.36</v>
      </c>
      <c r="F835">
        <v>6908.21</v>
      </c>
      <c r="G835">
        <v>2118.84</v>
      </c>
      <c r="H835">
        <v>4761.21</v>
      </c>
      <c r="I835">
        <v>32054.41</v>
      </c>
      <c r="J835">
        <v>27293.2</v>
      </c>
      <c r="K835" s="1"/>
      <c r="L835" s="1"/>
      <c r="M835" s="1"/>
      <c r="N835" s="1"/>
    </row>
    <row r="836" ht="15.75" customHeight="1">
      <c r="A836" t="s">
        <v>13</v>
      </c>
      <c r="B836" t="s">
        <v>30</v>
      </c>
      <c r="C836" t="s">
        <v>4910</v>
      </c>
      <c r="D836" t="s">
        <v>893</v>
      </c>
      <c r="E836">
        <v>25338.97</v>
      </c>
      <c r="F836">
        <v>7601.69</v>
      </c>
      <c r="G836">
        <v>510.57</v>
      </c>
      <c r="H836">
        <v>2748.79</v>
      </c>
      <c r="I836">
        <v>33451.23</v>
      </c>
      <c r="J836">
        <v>30702.44</v>
      </c>
      <c r="K836" s="1"/>
      <c r="L836" s="1"/>
      <c r="M836" s="1"/>
      <c r="N836" s="1"/>
    </row>
    <row r="837" ht="15.75" customHeight="1">
      <c r="A837" t="s">
        <v>29</v>
      </c>
      <c r="B837" t="s">
        <v>30</v>
      </c>
      <c r="C837" t="s">
        <v>4912</v>
      </c>
      <c r="D837" t="s">
        <v>894</v>
      </c>
      <c r="E837">
        <v>26389.18</v>
      </c>
      <c r="F837">
        <v>7916.75</v>
      </c>
      <c r="G837">
        <v>1111.16</v>
      </c>
      <c r="H837">
        <v>5547.37</v>
      </c>
      <c r="I837">
        <v>35417.09</v>
      </c>
      <c r="J837">
        <v>29869.72</v>
      </c>
      <c r="K837" s="1"/>
      <c r="L837" s="1"/>
      <c r="M837" s="1"/>
      <c r="N837" s="1"/>
    </row>
    <row r="838" ht="15.75" customHeight="1">
      <c r="A838" t="s">
        <v>29</v>
      </c>
      <c r="B838" t="s">
        <v>26</v>
      </c>
      <c r="C838" t="s">
        <v>4916</v>
      </c>
      <c r="D838" t="s">
        <v>895</v>
      </c>
      <c r="E838">
        <v>104421.33</v>
      </c>
      <c r="F838">
        <v>31326.4</v>
      </c>
      <c r="G838">
        <v>9413.14</v>
      </c>
      <c r="H838">
        <v>17900.21</v>
      </c>
      <c r="I838">
        <v>145160.87</v>
      </c>
      <c r="J838">
        <v>127260.66</v>
      </c>
      <c r="K838" s="1"/>
      <c r="L838" s="1"/>
      <c r="M838" s="1"/>
      <c r="N838" s="1"/>
    </row>
    <row r="839" ht="15.75" customHeight="1">
      <c r="A839" t="s">
        <v>13</v>
      </c>
      <c r="B839" t="s">
        <v>30</v>
      </c>
      <c r="C839" t="s">
        <v>4915</v>
      </c>
      <c r="D839" t="s">
        <v>896</v>
      </c>
      <c r="E839">
        <v>29164.88</v>
      </c>
      <c r="F839">
        <v>8749.46</v>
      </c>
      <c r="G839">
        <v>4204.5</v>
      </c>
      <c r="H839">
        <v>7035.34</v>
      </c>
      <c r="I839">
        <v>42118.84</v>
      </c>
      <c r="J839">
        <v>35083.5</v>
      </c>
      <c r="K839" s="1"/>
      <c r="L839" s="1"/>
      <c r="M839" s="1"/>
      <c r="N839" s="1"/>
    </row>
    <row r="840" ht="15.75" customHeight="1">
      <c r="A840" t="s">
        <v>36</v>
      </c>
      <c r="B840" t="s">
        <v>26</v>
      </c>
      <c r="C840" t="s">
        <v>4911</v>
      </c>
      <c r="D840" t="s">
        <v>897</v>
      </c>
      <c r="E840">
        <v>103711.8</v>
      </c>
      <c r="F840">
        <v>31113.54</v>
      </c>
      <c r="G840">
        <v>3025.14</v>
      </c>
      <c r="H840">
        <v>29842.49</v>
      </c>
      <c r="I840">
        <v>137850.48</v>
      </c>
      <c r="J840">
        <v>108007.99</v>
      </c>
      <c r="K840" s="1"/>
      <c r="L840" s="1"/>
      <c r="M840" s="1"/>
      <c r="N840" s="1"/>
    </row>
    <row r="841" ht="15.75" customHeight="1">
      <c r="A841" t="s">
        <v>36</v>
      </c>
      <c r="B841" t="s">
        <v>26</v>
      </c>
      <c r="C841" t="s">
        <v>4917</v>
      </c>
      <c r="D841" t="s">
        <v>898</v>
      </c>
      <c r="E841">
        <v>90350.72</v>
      </c>
      <c r="F841">
        <v>27105.22</v>
      </c>
      <c r="G841">
        <v>7616.94</v>
      </c>
      <c r="H841">
        <v>3644.88</v>
      </c>
      <c r="I841">
        <v>125072.88</v>
      </c>
      <c r="J841">
        <v>121428.0</v>
      </c>
      <c r="K841" s="1"/>
      <c r="L841" s="1"/>
      <c r="M841" s="1"/>
      <c r="N841" s="1"/>
    </row>
    <row r="842" ht="15.75" customHeight="1">
      <c r="A842" t="s">
        <v>53</v>
      </c>
      <c r="B842" t="s">
        <v>37</v>
      </c>
      <c r="C842" t="s">
        <v>4915</v>
      </c>
      <c r="D842" t="s">
        <v>899</v>
      </c>
      <c r="E842">
        <v>57970.09</v>
      </c>
      <c r="F842">
        <v>17391.03</v>
      </c>
      <c r="G842">
        <v>9105.16</v>
      </c>
      <c r="H842">
        <v>5217.9</v>
      </c>
      <c r="I842">
        <v>84466.28</v>
      </c>
      <c r="J842">
        <v>79248.38</v>
      </c>
      <c r="K842" s="1"/>
      <c r="L842" s="1"/>
      <c r="M842" s="1"/>
      <c r="N842" s="1"/>
    </row>
    <row r="843" ht="15.75" customHeight="1">
      <c r="A843" t="s">
        <v>25</v>
      </c>
      <c r="B843" t="s">
        <v>37</v>
      </c>
      <c r="C843" t="s">
        <v>4908</v>
      </c>
      <c r="D843" t="s">
        <v>900</v>
      </c>
      <c r="E843">
        <v>45858.77</v>
      </c>
      <c r="F843">
        <v>13757.63</v>
      </c>
      <c r="G843">
        <v>907.77</v>
      </c>
      <c r="H843">
        <v>2247.2</v>
      </c>
      <c r="I843">
        <v>60524.17</v>
      </c>
      <c r="J843">
        <v>58276.97</v>
      </c>
      <c r="K843" s="1"/>
      <c r="L843" s="1"/>
      <c r="M843" s="1"/>
      <c r="N843" s="1"/>
    </row>
    <row r="844" ht="15.75" customHeight="1">
      <c r="A844" t="s">
        <v>25</v>
      </c>
      <c r="B844" t="s">
        <v>33</v>
      </c>
      <c r="C844" t="s">
        <v>4912</v>
      </c>
      <c r="D844" t="s">
        <v>901</v>
      </c>
      <c r="E844">
        <v>29765.39</v>
      </c>
      <c r="F844">
        <v>8929.62</v>
      </c>
      <c r="G844">
        <v>3749.62</v>
      </c>
      <c r="H844">
        <v>4017.03</v>
      </c>
      <c r="I844">
        <v>42444.63</v>
      </c>
      <c r="J844">
        <v>38427.6</v>
      </c>
      <c r="K844" s="1"/>
      <c r="L844" s="1"/>
      <c r="M844" s="1"/>
      <c r="N844" s="1"/>
    </row>
    <row r="845" ht="15.75" customHeight="1">
      <c r="A845" t="s">
        <v>29</v>
      </c>
      <c r="B845" t="s">
        <v>33</v>
      </c>
      <c r="C845" t="s">
        <v>4912</v>
      </c>
      <c r="D845" t="s">
        <v>902</v>
      </c>
      <c r="E845">
        <v>28603.07</v>
      </c>
      <c r="F845">
        <v>8580.92</v>
      </c>
      <c r="G845">
        <v>3189.19</v>
      </c>
      <c r="H845">
        <v>6950.68</v>
      </c>
      <c r="I845">
        <v>40373.18</v>
      </c>
      <c r="J845">
        <v>33422.5</v>
      </c>
      <c r="K845" s="1"/>
      <c r="L845" s="1"/>
      <c r="M845" s="1"/>
      <c r="N845" s="1"/>
    </row>
    <row r="846" ht="15.75" customHeight="1">
      <c r="A846" t="s">
        <v>17</v>
      </c>
      <c r="B846" t="s">
        <v>54</v>
      </c>
      <c r="C846" t="s">
        <v>4908</v>
      </c>
      <c r="D846" t="s">
        <v>903</v>
      </c>
      <c r="E846">
        <v>36697.32</v>
      </c>
      <c r="F846">
        <v>11009.2</v>
      </c>
      <c r="G846">
        <v>6366.02</v>
      </c>
      <c r="H846">
        <v>10603.14</v>
      </c>
      <c r="I846">
        <v>54072.54</v>
      </c>
      <c r="J846">
        <v>43469.4</v>
      </c>
      <c r="K846" s="1"/>
      <c r="L846" s="1"/>
      <c r="M846" s="1"/>
      <c r="N846" s="1"/>
    </row>
    <row r="847" ht="15.75" customHeight="1">
      <c r="A847" t="s">
        <v>53</v>
      </c>
      <c r="B847" t="s">
        <v>37</v>
      </c>
      <c r="C847" t="s">
        <v>4910</v>
      </c>
      <c r="D847" t="s">
        <v>904</v>
      </c>
      <c r="E847">
        <v>56697.58</v>
      </c>
      <c r="F847">
        <v>17009.27</v>
      </c>
      <c r="G847">
        <v>6105.63</v>
      </c>
      <c r="H847">
        <v>16658.43</v>
      </c>
      <c r="I847">
        <v>79812.48</v>
      </c>
      <c r="J847">
        <v>63154.05</v>
      </c>
      <c r="K847" s="1"/>
      <c r="L847" s="1"/>
      <c r="M847" s="1"/>
      <c r="N847" s="1"/>
    </row>
    <row r="848" ht="15.75" customHeight="1">
      <c r="A848" t="s">
        <v>29</v>
      </c>
      <c r="B848" t="s">
        <v>33</v>
      </c>
      <c r="C848" t="s">
        <v>4909</v>
      </c>
      <c r="D848" t="s">
        <v>905</v>
      </c>
      <c r="E848">
        <v>31731.93</v>
      </c>
      <c r="F848">
        <v>9519.58</v>
      </c>
      <c r="G848">
        <v>3093.82</v>
      </c>
      <c r="H848">
        <v>7011.42</v>
      </c>
      <c r="I848">
        <v>44345.33</v>
      </c>
      <c r="J848">
        <v>37333.91</v>
      </c>
      <c r="K848" s="1"/>
      <c r="L848" s="1"/>
      <c r="M848" s="1"/>
      <c r="N848" s="1"/>
    </row>
    <row r="849" ht="15.75" customHeight="1">
      <c r="A849" t="s">
        <v>36</v>
      </c>
      <c r="B849" t="s">
        <v>37</v>
      </c>
      <c r="C849" t="s">
        <v>4911</v>
      </c>
      <c r="D849" t="s">
        <v>906</v>
      </c>
      <c r="E849">
        <v>50157.42</v>
      </c>
      <c r="F849">
        <v>15047.23</v>
      </c>
      <c r="G849">
        <v>6337.01</v>
      </c>
      <c r="H849">
        <v>2179.57</v>
      </c>
      <c r="I849">
        <v>71541.66</v>
      </c>
      <c r="J849">
        <v>69362.09</v>
      </c>
      <c r="K849" s="1"/>
      <c r="L849" s="1"/>
      <c r="M849" s="1"/>
      <c r="N849" s="1"/>
    </row>
    <row r="850" ht="15.75" customHeight="1">
      <c r="A850" t="s">
        <v>13</v>
      </c>
      <c r="B850" t="s">
        <v>26</v>
      </c>
      <c r="C850" t="s">
        <v>4913</v>
      </c>
      <c r="D850" t="s">
        <v>907</v>
      </c>
      <c r="E850">
        <v>123428.4</v>
      </c>
      <c r="F850">
        <v>37028.52</v>
      </c>
      <c r="G850">
        <v>10412.83</v>
      </c>
      <c r="H850">
        <v>22672.94</v>
      </c>
      <c r="I850">
        <v>170869.75</v>
      </c>
      <c r="J850">
        <v>148196.81</v>
      </c>
      <c r="K850" s="1"/>
      <c r="L850" s="1"/>
      <c r="M850" s="1"/>
      <c r="N850" s="1"/>
    </row>
    <row r="851" ht="15.75" customHeight="1">
      <c r="A851" t="s">
        <v>25</v>
      </c>
      <c r="B851" t="s">
        <v>14</v>
      </c>
      <c r="C851" t="s">
        <v>4917</v>
      </c>
      <c r="D851" t="s">
        <v>908</v>
      </c>
      <c r="E851">
        <v>18569.61</v>
      </c>
      <c r="F851">
        <v>5570.88</v>
      </c>
      <c r="G851">
        <v>1276.2</v>
      </c>
      <c r="H851">
        <v>1746.37</v>
      </c>
      <c r="I851">
        <v>25416.69</v>
      </c>
      <c r="J851">
        <v>23670.32</v>
      </c>
      <c r="K851" s="1"/>
      <c r="L851" s="1"/>
      <c r="M851" s="1"/>
      <c r="N851" s="1"/>
    </row>
    <row r="852" ht="15.75" customHeight="1">
      <c r="A852" t="s">
        <v>29</v>
      </c>
      <c r="B852" t="s">
        <v>18</v>
      </c>
      <c r="C852" t="s">
        <v>4914</v>
      </c>
      <c r="D852" t="s">
        <v>909</v>
      </c>
      <c r="E852">
        <v>71954.28</v>
      </c>
      <c r="F852">
        <v>21586.28</v>
      </c>
      <c r="G852">
        <v>9276.98</v>
      </c>
      <c r="H852">
        <v>5855.24</v>
      </c>
      <c r="I852">
        <v>102817.54</v>
      </c>
      <c r="J852">
        <v>96962.3</v>
      </c>
      <c r="K852" s="1"/>
      <c r="L852" s="1"/>
      <c r="M852" s="1"/>
      <c r="N852" s="1"/>
    </row>
    <row r="853" ht="15.75" customHeight="1">
      <c r="A853" t="s">
        <v>36</v>
      </c>
      <c r="B853" t="s">
        <v>30</v>
      </c>
      <c r="C853" t="s">
        <v>4917</v>
      </c>
      <c r="D853" t="s">
        <v>910</v>
      </c>
      <c r="E853">
        <v>70778.92354084158</v>
      </c>
      <c r="F853">
        <v>7085.46</v>
      </c>
      <c r="G853">
        <v>109.12</v>
      </c>
      <c r="H853">
        <v>5156.6</v>
      </c>
      <c r="I853">
        <v>77973.5</v>
      </c>
      <c r="J853">
        <v>72816.9</v>
      </c>
      <c r="K853" s="1"/>
      <c r="L853" s="1"/>
      <c r="M853" s="1"/>
      <c r="N853" s="1"/>
    </row>
    <row r="854" ht="15.75" customHeight="1">
      <c r="A854" t="s">
        <v>29</v>
      </c>
      <c r="B854" t="s">
        <v>18</v>
      </c>
      <c r="C854" t="s">
        <v>4909</v>
      </c>
      <c r="D854" t="s">
        <v>911</v>
      </c>
      <c r="E854">
        <v>83218.12</v>
      </c>
      <c r="F854">
        <v>24965.44</v>
      </c>
      <c r="G854">
        <v>1332.57</v>
      </c>
      <c r="H854">
        <v>4166.99</v>
      </c>
      <c r="I854">
        <v>109516.13</v>
      </c>
      <c r="J854">
        <v>105349.14</v>
      </c>
      <c r="K854" s="1"/>
      <c r="L854" s="1"/>
      <c r="M854" s="1"/>
      <c r="N854" s="1"/>
    </row>
    <row r="855" ht="15.75" customHeight="1">
      <c r="A855" t="s">
        <v>17</v>
      </c>
      <c r="B855" t="s">
        <v>14</v>
      </c>
      <c r="C855" t="s">
        <v>4913</v>
      </c>
      <c r="D855" t="s">
        <v>912</v>
      </c>
      <c r="E855">
        <v>24744.91</v>
      </c>
      <c r="F855">
        <v>7423.47</v>
      </c>
      <c r="G855">
        <v>2341.79</v>
      </c>
      <c r="H855">
        <v>399.57</v>
      </c>
      <c r="I855">
        <v>34510.17</v>
      </c>
      <c r="J855">
        <v>34110.6</v>
      </c>
      <c r="K855" s="1"/>
      <c r="L855" s="1"/>
      <c r="M855" s="1"/>
      <c r="N855" s="1"/>
    </row>
    <row r="856" ht="15.75" customHeight="1">
      <c r="A856" t="s">
        <v>53</v>
      </c>
      <c r="B856" t="s">
        <v>26</v>
      </c>
      <c r="C856" t="s">
        <v>4909</v>
      </c>
      <c r="D856" t="s">
        <v>913</v>
      </c>
      <c r="E856">
        <v>125856.49</v>
      </c>
      <c r="F856">
        <v>37756.95</v>
      </c>
      <c r="G856">
        <v>2616.01</v>
      </c>
      <c r="H856">
        <v>23337.65</v>
      </c>
      <c r="I856">
        <v>166229.45</v>
      </c>
      <c r="J856">
        <v>142891.8</v>
      </c>
      <c r="K856" s="1"/>
      <c r="L856" s="1"/>
      <c r="M856" s="1"/>
      <c r="N856" s="1"/>
    </row>
    <row r="857" ht="15.75" customHeight="1">
      <c r="A857" t="s">
        <v>13</v>
      </c>
      <c r="B857" t="s">
        <v>54</v>
      </c>
      <c r="C857" t="s">
        <v>4917</v>
      </c>
      <c r="D857" t="s">
        <v>914</v>
      </c>
      <c r="E857">
        <v>39331.19</v>
      </c>
      <c r="F857">
        <v>11799.36</v>
      </c>
      <c r="G857">
        <v>1946.08</v>
      </c>
      <c r="H857">
        <v>3353.09</v>
      </c>
      <c r="I857">
        <v>53076.63</v>
      </c>
      <c r="J857">
        <v>49723.54</v>
      </c>
      <c r="K857" s="1"/>
      <c r="L857" s="1"/>
      <c r="M857" s="1"/>
      <c r="N857" s="1"/>
    </row>
    <row r="858" ht="15.75" customHeight="1">
      <c r="A858" t="s">
        <v>51</v>
      </c>
      <c r="B858" t="s">
        <v>30</v>
      </c>
      <c r="C858" t="s">
        <v>4912</v>
      </c>
      <c r="D858" t="s">
        <v>915</v>
      </c>
      <c r="E858">
        <v>26635.33</v>
      </c>
      <c r="F858">
        <v>7990.6</v>
      </c>
      <c r="G858">
        <v>908.84</v>
      </c>
      <c r="H858">
        <v>280.91</v>
      </c>
      <c r="I858">
        <v>35534.77</v>
      </c>
      <c r="J858">
        <v>35253.86</v>
      </c>
      <c r="K858" s="1"/>
      <c r="L858" s="1"/>
      <c r="M858" s="1"/>
      <c r="N858" s="1"/>
    </row>
    <row r="859" ht="15.75" customHeight="1">
      <c r="A859" t="s">
        <v>25</v>
      </c>
      <c r="B859" t="s">
        <v>33</v>
      </c>
      <c r="C859" t="s">
        <v>4907</v>
      </c>
      <c r="D859" t="s">
        <v>916</v>
      </c>
      <c r="E859">
        <v>33642.41</v>
      </c>
      <c r="F859">
        <v>10092.72</v>
      </c>
      <c r="G859">
        <v>3143.5</v>
      </c>
      <c r="H859">
        <v>8789.74</v>
      </c>
      <c r="I859">
        <v>46878.63</v>
      </c>
      <c r="J859">
        <v>38088.89</v>
      </c>
      <c r="K859" s="1"/>
      <c r="L859" s="1"/>
      <c r="M859" s="1"/>
      <c r="N859" s="1"/>
    </row>
    <row r="860" ht="15.75" customHeight="1">
      <c r="A860" t="s">
        <v>53</v>
      </c>
      <c r="B860" t="s">
        <v>54</v>
      </c>
      <c r="C860" t="s">
        <v>4916</v>
      </c>
      <c r="D860" t="s">
        <v>918</v>
      </c>
      <c r="E860">
        <v>36891.61</v>
      </c>
      <c r="F860">
        <v>11067.48</v>
      </c>
      <c r="G860">
        <v>6998.24</v>
      </c>
      <c r="H860">
        <v>5968.56</v>
      </c>
      <c r="I860">
        <v>54957.33</v>
      </c>
      <c r="J860">
        <v>48988.77</v>
      </c>
      <c r="K860" s="1"/>
      <c r="L860" s="1"/>
      <c r="M860" s="1"/>
      <c r="N860" s="1"/>
    </row>
    <row r="861" ht="15.75" customHeight="1">
      <c r="A861" t="s">
        <v>53</v>
      </c>
      <c r="B861" t="s">
        <v>54</v>
      </c>
      <c r="C861" t="s">
        <v>4915</v>
      </c>
      <c r="D861" t="s">
        <v>919</v>
      </c>
      <c r="E861">
        <v>43834.67</v>
      </c>
      <c r="F861">
        <v>13150.4</v>
      </c>
      <c r="G861">
        <v>5574.46</v>
      </c>
      <c r="H861">
        <v>7416.62</v>
      </c>
      <c r="I861">
        <v>62559.53</v>
      </c>
      <c r="J861">
        <v>55142.91</v>
      </c>
      <c r="K861" s="1"/>
      <c r="L861" s="1"/>
      <c r="M861" s="1"/>
      <c r="N861" s="1"/>
    </row>
    <row r="862" ht="15.75" customHeight="1">
      <c r="A862" t="s">
        <v>13</v>
      </c>
      <c r="B862" t="s">
        <v>18</v>
      </c>
      <c r="C862" t="s">
        <v>4908</v>
      </c>
      <c r="D862" t="s">
        <v>920</v>
      </c>
      <c r="E862">
        <v>78878.39</v>
      </c>
      <c r="F862">
        <v>23663.52</v>
      </c>
      <c r="G862">
        <v>14338.88</v>
      </c>
      <c r="H862">
        <v>11397.57</v>
      </c>
      <c r="I862">
        <v>116880.79</v>
      </c>
      <c r="J862">
        <v>105483.22</v>
      </c>
      <c r="K862" s="1"/>
      <c r="L862" s="1"/>
      <c r="M862" s="1"/>
      <c r="N862" s="1"/>
    </row>
    <row r="863" ht="15.75" customHeight="1">
      <c r="A863" t="s">
        <v>25</v>
      </c>
      <c r="B863" t="s">
        <v>14</v>
      </c>
      <c r="C863" t="s">
        <v>4910</v>
      </c>
      <c r="D863" t="s">
        <v>921</v>
      </c>
      <c r="E863">
        <v>21181.39</v>
      </c>
      <c r="F863">
        <v>6354.42</v>
      </c>
      <c r="G863">
        <v>1549.56</v>
      </c>
      <c r="H863">
        <v>1650.92</v>
      </c>
      <c r="I863">
        <v>29085.37</v>
      </c>
      <c r="J863">
        <v>27434.45</v>
      </c>
      <c r="K863" s="1"/>
      <c r="L863" s="1"/>
      <c r="M863" s="1"/>
      <c r="N863" s="1"/>
    </row>
    <row r="864" ht="15.75" customHeight="1">
      <c r="A864" t="s">
        <v>17</v>
      </c>
      <c r="B864" t="s">
        <v>14</v>
      </c>
      <c r="C864" t="s">
        <v>4910</v>
      </c>
      <c r="D864" t="s">
        <v>922</v>
      </c>
      <c r="E864">
        <v>21767.88</v>
      </c>
      <c r="F864">
        <v>6530.36</v>
      </c>
      <c r="G864">
        <v>3301.29</v>
      </c>
      <c r="H864">
        <v>890.09</v>
      </c>
      <c r="I864">
        <v>31599.53</v>
      </c>
      <c r="J864">
        <v>30709.44</v>
      </c>
      <c r="K864" s="1"/>
      <c r="L864" s="1"/>
      <c r="M864" s="1"/>
      <c r="N864" s="1"/>
    </row>
    <row r="865" ht="15.75" customHeight="1">
      <c r="A865" t="s">
        <v>36</v>
      </c>
      <c r="B865" t="s">
        <v>37</v>
      </c>
      <c r="C865" t="s">
        <v>4914</v>
      </c>
      <c r="D865" t="s">
        <v>923</v>
      </c>
      <c r="E865">
        <v>45149.71</v>
      </c>
      <c r="F865">
        <v>13544.91</v>
      </c>
      <c r="G865">
        <v>8326.4</v>
      </c>
      <c r="H865">
        <v>12826.46</v>
      </c>
      <c r="I865">
        <v>67021.02</v>
      </c>
      <c r="J865">
        <v>54194.56</v>
      </c>
      <c r="K865" s="1"/>
      <c r="L865" s="1"/>
      <c r="M865" s="1"/>
      <c r="N865" s="1"/>
    </row>
    <row r="866" ht="15.75" customHeight="1">
      <c r="A866" t="s">
        <v>29</v>
      </c>
      <c r="B866" t="s">
        <v>14</v>
      </c>
      <c r="C866" t="s">
        <v>4907</v>
      </c>
      <c r="D866" t="s">
        <v>924</v>
      </c>
      <c r="E866">
        <v>23514.26</v>
      </c>
      <c r="F866">
        <v>7054.28</v>
      </c>
      <c r="G866">
        <v>3752.71</v>
      </c>
      <c r="H866">
        <v>4211.43</v>
      </c>
      <c r="I866">
        <v>34321.25</v>
      </c>
      <c r="J866">
        <v>30109.82</v>
      </c>
      <c r="K866" s="1"/>
      <c r="L866" s="1"/>
      <c r="M866" s="1"/>
      <c r="N866" s="1"/>
    </row>
    <row r="867" ht="15.75" customHeight="1">
      <c r="A867" t="s">
        <v>53</v>
      </c>
      <c r="B867" t="s">
        <v>33</v>
      </c>
      <c r="C867" t="s">
        <v>4908</v>
      </c>
      <c r="D867" t="s">
        <v>925</v>
      </c>
      <c r="E867">
        <v>26885.71</v>
      </c>
      <c r="F867">
        <v>8065.71</v>
      </c>
      <c r="G867">
        <v>4743.51</v>
      </c>
      <c r="H867">
        <v>3525.57</v>
      </c>
      <c r="I867">
        <v>39694.93</v>
      </c>
      <c r="J867">
        <v>36169.36</v>
      </c>
      <c r="K867" s="1"/>
      <c r="L867" s="1"/>
      <c r="M867" s="1"/>
      <c r="N867" s="1"/>
    </row>
    <row r="868" ht="15.75" customHeight="1">
      <c r="A868" t="s">
        <v>17</v>
      </c>
      <c r="B868" t="s">
        <v>54</v>
      </c>
      <c r="C868" t="s">
        <v>4916</v>
      </c>
      <c r="D868" t="s">
        <v>926</v>
      </c>
      <c r="E868">
        <v>43754.52</v>
      </c>
      <c r="F868">
        <v>13126.36</v>
      </c>
      <c r="G868">
        <v>4520.81</v>
      </c>
      <c r="H868">
        <v>10500.55</v>
      </c>
      <c r="I868">
        <v>61401.69</v>
      </c>
      <c r="J868">
        <v>50901.14</v>
      </c>
      <c r="K868" s="1"/>
      <c r="L868" s="1"/>
      <c r="M868" s="1"/>
      <c r="N868" s="1"/>
    </row>
    <row r="869" ht="15.75" customHeight="1">
      <c r="A869" t="s">
        <v>25</v>
      </c>
      <c r="B869" t="s">
        <v>18</v>
      </c>
      <c r="C869" t="s">
        <v>4910</v>
      </c>
      <c r="D869" t="s">
        <v>927</v>
      </c>
      <c r="E869">
        <v>82800.65</v>
      </c>
      <c r="F869">
        <v>24840.19</v>
      </c>
      <c r="G869">
        <v>4714.29</v>
      </c>
      <c r="H869">
        <v>18454.45</v>
      </c>
      <c r="I869">
        <v>112355.13</v>
      </c>
      <c r="J869">
        <v>93900.68</v>
      </c>
      <c r="K869" s="1"/>
      <c r="L869" s="1"/>
      <c r="M869" s="1"/>
      <c r="N869" s="1"/>
    </row>
    <row r="870" ht="15.75" customHeight="1">
      <c r="A870" t="s">
        <v>36</v>
      </c>
      <c r="B870" t="s">
        <v>30</v>
      </c>
      <c r="C870" t="s">
        <v>4917</v>
      </c>
      <c r="D870" t="s">
        <v>928</v>
      </c>
      <c r="E870">
        <v>29510.64</v>
      </c>
      <c r="F870">
        <v>8853.19</v>
      </c>
      <c r="G870">
        <v>1076.59</v>
      </c>
      <c r="H870">
        <v>2563.84</v>
      </c>
      <c r="I870">
        <v>39440.42</v>
      </c>
      <c r="J870">
        <v>36876.58</v>
      </c>
      <c r="K870" s="1"/>
      <c r="L870" s="1"/>
      <c r="M870" s="1"/>
      <c r="N870" s="1"/>
    </row>
    <row r="871" ht="15.75" customHeight="1">
      <c r="A871" t="s">
        <v>36</v>
      </c>
      <c r="B871" t="s">
        <v>37</v>
      </c>
      <c r="C871" t="s">
        <v>4912</v>
      </c>
      <c r="D871" t="s">
        <v>929</v>
      </c>
      <c r="E871">
        <v>53149.81</v>
      </c>
      <c r="F871">
        <v>15944.94</v>
      </c>
      <c r="G871">
        <v>7446.0</v>
      </c>
      <c r="H871">
        <v>7844.85</v>
      </c>
      <c r="I871">
        <v>76540.75</v>
      </c>
      <c r="J871">
        <v>68695.9</v>
      </c>
      <c r="K871" s="1"/>
      <c r="L871" s="1"/>
      <c r="M871" s="1"/>
      <c r="N871" s="1"/>
    </row>
    <row r="872" ht="15.75" customHeight="1">
      <c r="A872" t="s">
        <v>17</v>
      </c>
      <c r="B872" t="s">
        <v>30</v>
      </c>
      <c r="C872" t="s">
        <v>4909</v>
      </c>
      <c r="D872" t="s">
        <v>930</v>
      </c>
      <c r="E872">
        <v>22436.76</v>
      </c>
      <c r="F872">
        <v>6731.03</v>
      </c>
      <c r="G872">
        <v>2400.6</v>
      </c>
      <c r="H872">
        <v>1251.55</v>
      </c>
      <c r="I872">
        <v>31568.39</v>
      </c>
      <c r="J872">
        <v>30316.84</v>
      </c>
      <c r="K872" s="1"/>
      <c r="L872" s="1"/>
      <c r="M872" s="1"/>
      <c r="N872" s="1"/>
    </row>
    <row r="873" ht="15.75" customHeight="1">
      <c r="A873" t="s">
        <v>29</v>
      </c>
      <c r="B873" t="s">
        <v>33</v>
      </c>
      <c r="C873" t="s">
        <v>4909</v>
      </c>
      <c r="D873" t="s">
        <v>931</v>
      </c>
      <c r="E873">
        <v>26250.39</v>
      </c>
      <c r="F873">
        <v>7875.12</v>
      </c>
      <c r="G873">
        <v>2301.72</v>
      </c>
      <c r="H873">
        <v>64.61</v>
      </c>
      <c r="I873">
        <v>36427.23</v>
      </c>
      <c r="J873">
        <v>36362.62</v>
      </c>
      <c r="K873" s="1"/>
      <c r="L873" s="1"/>
      <c r="M873" s="1"/>
      <c r="N873" s="1"/>
    </row>
    <row r="874" ht="15.75" customHeight="1">
      <c r="A874" t="s">
        <v>51</v>
      </c>
      <c r="B874" t="s">
        <v>14</v>
      </c>
      <c r="C874" t="s">
        <v>4914</v>
      </c>
      <c r="D874" t="s">
        <v>932</v>
      </c>
      <c r="E874">
        <v>21553.77</v>
      </c>
      <c r="F874">
        <v>6466.13</v>
      </c>
      <c r="G874">
        <v>1473.9</v>
      </c>
      <c r="H874">
        <v>2014.7</v>
      </c>
      <c r="I874">
        <v>29493.8</v>
      </c>
      <c r="J874">
        <v>27479.1</v>
      </c>
      <c r="K874" s="1"/>
      <c r="L874" s="1"/>
      <c r="M874" s="1"/>
      <c r="N874" s="1"/>
    </row>
    <row r="875" ht="15.75" customHeight="1">
      <c r="A875" t="s">
        <v>29</v>
      </c>
      <c r="B875" t="s">
        <v>54</v>
      </c>
      <c r="C875" t="s">
        <v>4911</v>
      </c>
      <c r="D875" t="s">
        <v>933</v>
      </c>
      <c r="E875">
        <v>44757.09</v>
      </c>
      <c r="F875">
        <v>13427.13</v>
      </c>
      <c r="G875">
        <v>284.09</v>
      </c>
      <c r="H875">
        <v>1077.17</v>
      </c>
      <c r="I875">
        <v>58468.31</v>
      </c>
      <c r="J875">
        <v>57391.14</v>
      </c>
      <c r="K875" s="1"/>
      <c r="L875" s="1"/>
      <c r="M875" s="1"/>
      <c r="N875" s="1"/>
    </row>
    <row r="876" ht="15.75" customHeight="1">
      <c r="A876" t="s">
        <v>17</v>
      </c>
      <c r="B876" t="s">
        <v>33</v>
      </c>
      <c r="C876" t="s">
        <v>4908</v>
      </c>
      <c r="D876" t="s">
        <v>934</v>
      </c>
      <c r="E876">
        <v>32756.53</v>
      </c>
      <c r="F876">
        <v>9826.96</v>
      </c>
      <c r="G876">
        <v>467.66</v>
      </c>
      <c r="H876">
        <v>4620.11</v>
      </c>
      <c r="I876">
        <v>43051.15</v>
      </c>
      <c r="J876">
        <v>38431.04</v>
      </c>
      <c r="K876" s="1"/>
      <c r="L876" s="1"/>
      <c r="M876" s="1"/>
      <c r="N876" s="1"/>
    </row>
    <row r="877" ht="15.75" customHeight="1">
      <c r="A877" t="s">
        <v>25</v>
      </c>
      <c r="B877" t="s">
        <v>33</v>
      </c>
      <c r="C877" t="s">
        <v>4905</v>
      </c>
      <c r="D877" t="s">
        <v>935</v>
      </c>
      <c r="E877">
        <v>33172.51</v>
      </c>
      <c r="F877">
        <v>9951.75</v>
      </c>
      <c r="G877">
        <v>5495.04</v>
      </c>
      <c r="H877">
        <v>1213.73</v>
      </c>
      <c r="I877">
        <v>48619.3</v>
      </c>
      <c r="J877">
        <v>47405.57</v>
      </c>
      <c r="K877" s="1"/>
      <c r="L877" s="1"/>
      <c r="M877" s="1"/>
      <c r="N877" s="1"/>
    </row>
    <row r="878" ht="15.75" customHeight="1">
      <c r="A878" t="s">
        <v>51</v>
      </c>
      <c r="B878" t="s">
        <v>54</v>
      </c>
      <c r="C878" t="s">
        <v>4907</v>
      </c>
      <c r="D878" t="s">
        <v>936</v>
      </c>
      <c r="E878">
        <v>45797.15</v>
      </c>
      <c r="F878">
        <v>13739.15</v>
      </c>
      <c r="G878">
        <v>4057.27</v>
      </c>
      <c r="H878">
        <v>10134.25</v>
      </c>
      <c r="I878">
        <v>63593.57</v>
      </c>
      <c r="J878">
        <v>53459.32</v>
      </c>
      <c r="K878" s="1"/>
      <c r="L878" s="1"/>
      <c r="M878" s="1"/>
      <c r="N878" s="1"/>
    </row>
    <row r="879" ht="15.75" customHeight="1">
      <c r="A879" t="s">
        <v>51</v>
      </c>
      <c r="B879" t="s">
        <v>54</v>
      </c>
      <c r="C879" t="s">
        <v>4908</v>
      </c>
      <c r="D879" t="s">
        <v>937</v>
      </c>
      <c r="E879">
        <v>45294.52</v>
      </c>
      <c r="F879">
        <v>13588.36</v>
      </c>
      <c r="G879">
        <v>851.18</v>
      </c>
      <c r="H879">
        <v>9049.95</v>
      </c>
      <c r="I879">
        <v>59734.06</v>
      </c>
      <c r="J879">
        <v>50684.11</v>
      </c>
      <c r="K879" s="1"/>
      <c r="L879" s="1"/>
      <c r="M879" s="1"/>
      <c r="N879" s="1"/>
    </row>
    <row r="880" ht="15.75" customHeight="1">
      <c r="A880" t="s">
        <v>36</v>
      </c>
      <c r="B880" t="s">
        <v>54</v>
      </c>
      <c r="C880" t="s">
        <v>4917</v>
      </c>
      <c r="D880" t="s">
        <v>938</v>
      </c>
      <c r="E880">
        <v>44540.19</v>
      </c>
      <c r="F880">
        <v>13362.06</v>
      </c>
      <c r="G880">
        <v>2780.28</v>
      </c>
      <c r="H880">
        <v>4316.79</v>
      </c>
      <c r="I880">
        <v>60682.53</v>
      </c>
      <c r="J880">
        <v>56365.74</v>
      </c>
      <c r="K880" s="1"/>
      <c r="L880" s="1"/>
      <c r="M880" s="1"/>
      <c r="N880" s="1"/>
    </row>
    <row r="881" ht="15.75" customHeight="1">
      <c r="A881" t="s">
        <v>13</v>
      </c>
      <c r="B881" t="s">
        <v>14</v>
      </c>
      <c r="C881" t="s">
        <v>4914</v>
      </c>
      <c r="D881" t="s">
        <v>939</v>
      </c>
      <c r="E881">
        <v>23362.02</v>
      </c>
      <c r="F881">
        <v>7008.61</v>
      </c>
      <c r="G881">
        <v>2567.86</v>
      </c>
      <c r="H881">
        <v>856.04</v>
      </c>
      <c r="I881">
        <v>32938.49</v>
      </c>
      <c r="J881">
        <v>32082.45</v>
      </c>
      <c r="K881" s="1"/>
      <c r="L881" s="1"/>
      <c r="M881" s="1"/>
      <c r="N881" s="1"/>
    </row>
    <row r="882" ht="15.75" customHeight="1">
      <c r="A882" t="s">
        <v>13</v>
      </c>
      <c r="B882" t="s">
        <v>33</v>
      </c>
      <c r="C882" t="s">
        <v>4908</v>
      </c>
      <c r="D882" t="s">
        <v>940</v>
      </c>
      <c r="E882">
        <v>26987.24</v>
      </c>
      <c r="F882">
        <v>8096.17</v>
      </c>
      <c r="G882">
        <v>4790.34</v>
      </c>
      <c r="H882">
        <v>6992.32</v>
      </c>
      <c r="I882">
        <v>39873.75</v>
      </c>
      <c r="J882">
        <v>32881.43</v>
      </c>
      <c r="K882" s="1"/>
      <c r="L882" s="1"/>
      <c r="M882" s="1"/>
      <c r="N882" s="1"/>
    </row>
    <row r="883" ht="15.75" customHeight="1">
      <c r="A883" t="s">
        <v>17</v>
      </c>
      <c r="B883" t="s">
        <v>30</v>
      </c>
      <c r="C883" t="s">
        <v>4910</v>
      </c>
      <c r="D883" t="s">
        <v>941</v>
      </c>
      <c r="E883">
        <v>27569.6</v>
      </c>
      <c r="F883">
        <v>8270.88</v>
      </c>
      <c r="G883">
        <v>1789.34</v>
      </c>
      <c r="H883">
        <v>1384.22</v>
      </c>
      <c r="I883">
        <v>37629.82</v>
      </c>
      <c r="J883">
        <v>36245.6</v>
      </c>
      <c r="K883" s="1"/>
      <c r="L883" s="1"/>
      <c r="M883" s="1"/>
      <c r="N883" s="1"/>
    </row>
    <row r="884" ht="15.75" customHeight="1">
      <c r="A884" t="s">
        <v>53</v>
      </c>
      <c r="B884" t="s">
        <v>14</v>
      </c>
      <c r="C884" t="s">
        <v>4916</v>
      </c>
      <c r="D884" t="s">
        <v>942</v>
      </c>
      <c r="E884">
        <v>20849.82</v>
      </c>
      <c r="F884">
        <v>6254.95</v>
      </c>
      <c r="G884">
        <v>1013.67</v>
      </c>
      <c r="H884">
        <v>6060.01</v>
      </c>
      <c r="I884">
        <v>28118.44</v>
      </c>
      <c r="J884">
        <v>22058.43</v>
      </c>
      <c r="K884" s="1"/>
      <c r="L884" s="1"/>
      <c r="M884" s="1"/>
      <c r="N884" s="1"/>
    </row>
    <row r="885" ht="15.75" customHeight="1">
      <c r="A885" t="s">
        <v>25</v>
      </c>
      <c r="B885" t="s">
        <v>18</v>
      </c>
      <c r="C885" t="s">
        <v>4909</v>
      </c>
      <c r="D885" t="s">
        <v>943</v>
      </c>
      <c r="E885">
        <v>77357.04</v>
      </c>
      <c r="F885">
        <v>23207.11</v>
      </c>
      <c r="G885">
        <v>9224.24</v>
      </c>
      <c r="H885">
        <v>8619.09</v>
      </c>
      <c r="I885">
        <v>109788.39</v>
      </c>
      <c r="J885">
        <v>101169.3</v>
      </c>
      <c r="K885" s="1"/>
      <c r="L885" s="1"/>
      <c r="M885" s="1"/>
      <c r="N885" s="1"/>
    </row>
    <row r="886" ht="15.75" customHeight="1">
      <c r="A886" t="s">
        <v>51</v>
      </c>
      <c r="B886" t="s">
        <v>30</v>
      </c>
      <c r="C886" t="s">
        <v>4917</v>
      </c>
      <c r="D886" t="s">
        <v>944</v>
      </c>
      <c r="E886">
        <v>26399.29</v>
      </c>
      <c r="F886">
        <v>7919.79</v>
      </c>
      <c r="G886">
        <v>3621.69</v>
      </c>
      <c r="H886">
        <v>2680.23</v>
      </c>
      <c r="I886">
        <v>37940.77</v>
      </c>
      <c r="J886">
        <v>35260.54</v>
      </c>
      <c r="K886" s="1"/>
      <c r="L886" s="1"/>
      <c r="M886" s="1"/>
      <c r="N886" s="1"/>
    </row>
    <row r="887" ht="15.75" customHeight="1">
      <c r="A887" t="s">
        <v>17</v>
      </c>
      <c r="B887" t="s">
        <v>14</v>
      </c>
      <c r="C887" t="s">
        <v>4909</v>
      </c>
      <c r="D887" t="s">
        <v>945</v>
      </c>
      <c r="E887">
        <v>20559.73</v>
      </c>
      <c r="F887">
        <v>6167.92</v>
      </c>
      <c r="G887">
        <v>632.9</v>
      </c>
      <c r="H887">
        <v>3308.18</v>
      </c>
      <c r="I887">
        <v>27360.55</v>
      </c>
      <c r="J887">
        <v>24052.37</v>
      </c>
      <c r="K887" s="1"/>
      <c r="L887" s="1"/>
      <c r="M887" s="1"/>
      <c r="N887" s="1"/>
    </row>
    <row r="888" ht="15.75" customHeight="1">
      <c r="A888" t="s">
        <v>25</v>
      </c>
      <c r="B888" t="s">
        <v>54</v>
      </c>
      <c r="C888" t="s">
        <v>4905</v>
      </c>
      <c r="D888" t="s">
        <v>946</v>
      </c>
      <c r="E888">
        <v>45264.64</v>
      </c>
      <c r="F888">
        <v>13579.39</v>
      </c>
      <c r="G888">
        <v>193.31</v>
      </c>
      <c r="H888">
        <v>5129.87</v>
      </c>
      <c r="I888">
        <v>59037.34</v>
      </c>
      <c r="J888">
        <v>53907.47</v>
      </c>
      <c r="K888" s="1"/>
      <c r="L888" s="1"/>
      <c r="M888" s="1"/>
      <c r="N888" s="1"/>
    </row>
    <row r="889" ht="15.75" customHeight="1">
      <c r="A889" t="s">
        <v>51</v>
      </c>
      <c r="B889" t="s">
        <v>33</v>
      </c>
      <c r="C889" t="s">
        <v>4910</v>
      </c>
      <c r="D889" t="s">
        <v>947</v>
      </c>
      <c r="E889">
        <v>33986.63</v>
      </c>
      <c r="F889">
        <v>10195.99</v>
      </c>
      <c r="G889">
        <v>3298.76</v>
      </c>
      <c r="H889">
        <v>4460.75</v>
      </c>
      <c r="I889">
        <v>47481.38</v>
      </c>
      <c r="J889">
        <v>43020.63</v>
      </c>
      <c r="K889" s="1"/>
      <c r="L889" s="1"/>
      <c r="M889" s="1"/>
      <c r="N889" s="1"/>
    </row>
    <row r="890" ht="15.75" customHeight="1">
      <c r="A890" t="s">
        <v>53</v>
      </c>
      <c r="B890" t="s">
        <v>18</v>
      </c>
      <c r="C890" t="s">
        <v>4912</v>
      </c>
      <c r="D890" t="s">
        <v>948</v>
      </c>
      <c r="E890">
        <v>77742.39</v>
      </c>
      <c r="F890">
        <v>23322.72</v>
      </c>
      <c r="G890">
        <v>8811.35</v>
      </c>
      <c r="H890">
        <v>12678.71</v>
      </c>
      <c r="I890">
        <v>109876.46</v>
      </c>
      <c r="J890">
        <v>97197.75</v>
      </c>
      <c r="K890" s="1"/>
      <c r="L890" s="1"/>
      <c r="M890" s="1"/>
      <c r="N890" s="1"/>
    </row>
    <row r="891" ht="15.75" customHeight="1">
      <c r="A891" t="s">
        <v>13</v>
      </c>
      <c r="B891" t="s">
        <v>54</v>
      </c>
      <c r="C891" t="s">
        <v>4915</v>
      </c>
      <c r="D891" t="s">
        <v>949</v>
      </c>
      <c r="E891">
        <v>38854.54</v>
      </c>
      <c r="F891">
        <v>11656.36</v>
      </c>
      <c r="G891">
        <v>6460.34</v>
      </c>
      <c r="H891">
        <v>10659.44</v>
      </c>
      <c r="I891">
        <v>56971.24</v>
      </c>
      <c r="J891">
        <v>46311.8</v>
      </c>
      <c r="K891" s="1"/>
      <c r="L891" s="1"/>
      <c r="M891" s="1"/>
      <c r="N891" s="1"/>
    </row>
    <row r="892" ht="15.75" customHeight="1">
      <c r="A892" t="s">
        <v>51</v>
      </c>
      <c r="B892" t="s">
        <v>14</v>
      </c>
      <c r="C892" t="s">
        <v>4915</v>
      </c>
      <c r="D892" t="s">
        <v>950</v>
      </c>
      <c r="E892">
        <v>21824.19</v>
      </c>
      <c r="F892">
        <v>6547.26</v>
      </c>
      <c r="G892">
        <v>1961.49</v>
      </c>
      <c r="H892">
        <v>5364.94</v>
      </c>
      <c r="I892">
        <v>30332.94</v>
      </c>
      <c r="J892">
        <v>24968.0</v>
      </c>
      <c r="K892" s="1"/>
      <c r="L892" s="1"/>
      <c r="M892" s="1"/>
      <c r="N892" s="1"/>
    </row>
    <row r="893" ht="15.75" customHeight="1">
      <c r="A893" t="s">
        <v>29</v>
      </c>
      <c r="B893" t="s">
        <v>54</v>
      </c>
      <c r="C893" t="s">
        <v>4911</v>
      </c>
      <c r="D893" t="s">
        <v>951</v>
      </c>
      <c r="E893">
        <v>35010.08</v>
      </c>
      <c r="F893">
        <v>10503.02</v>
      </c>
      <c r="G893">
        <v>4467.47</v>
      </c>
      <c r="H893">
        <v>3981.1</v>
      </c>
      <c r="I893">
        <v>49980.57</v>
      </c>
      <c r="J893">
        <v>45999.47</v>
      </c>
      <c r="K893" s="1"/>
      <c r="L893" s="1"/>
      <c r="M893" s="1"/>
      <c r="N893" s="1"/>
    </row>
    <row r="894" ht="15.75" customHeight="1">
      <c r="A894" t="s">
        <v>17</v>
      </c>
      <c r="B894" t="s">
        <v>18</v>
      </c>
      <c r="C894" t="s">
        <v>4917</v>
      </c>
      <c r="D894" t="s">
        <v>952</v>
      </c>
      <c r="E894">
        <v>90146.24</v>
      </c>
      <c r="F894">
        <v>27043.87</v>
      </c>
      <c r="G894">
        <v>14766.85</v>
      </c>
      <c r="H894">
        <v>5134.81</v>
      </c>
      <c r="I894">
        <v>131956.96</v>
      </c>
      <c r="J894">
        <v>126822.15</v>
      </c>
      <c r="K894" s="1"/>
      <c r="L894" s="1"/>
      <c r="M894" s="1"/>
      <c r="N894" s="1"/>
    </row>
    <row r="895" ht="15.75" customHeight="1">
      <c r="A895" t="s">
        <v>36</v>
      </c>
      <c r="B895" t="s">
        <v>26</v>
      </c>
      <c r="C895" t="s">
        <v>4917</v>
      </c>
      <c r="D895" t="s">
        <v>953</v>
      </c>
      <c r="E895">
        <v>109852.84</v>
      </c>
      <c r="F895">
        <v>32955.85</v>
      </c>
      <c r="G895">
        <v>13468.82</v>
      </c>
      <c r="H895">
        <v>10631.56</v>
      </c>
      <c r="I895">
        <v>156277.51</v>
      </c>
      <c r="J895">
        <v>145645.95</v>
      </c>
      <c r="K895" s="1"/>
      <c r="L895" s="1"/>
      <c r="M895" s="1"/>
      <c r="N895" s="1"/>
    </row>
    <row r="896" ht="15.75" customHeight="1">
      <c r="A896" t="s">
        <v>29</v>
      </c>
      <c r="B896" t="s">
        <v>14</v>
      </c>
      <c r="C896" t="s">
        <v>4911</v>
      </c>
      <c r="D896" t="s">
        <v>954</v>
      </c>
      <c r="E896">
        <v>18693.05</v>
      </c>
      <c r="F896">
        <v>5607.91</v>
      </c>
      <c r="G896">
        <v>2463.34</v>
      </c>
      <c r="H896">
        <v>245.5</v>
      </c>
      <c r="I896">
        <v>26764.3</v>
      </c>
      <c r="J896">
        <v>26518.8</v>
      </c>
      <c r="K896" s="1"/>
      <c r="L896" s="1"/>
      <c r="M896" s="1"/>
      <c r="N896" s="1"/>
    </row>
    <row r="897" ht="15.75" customHeight="1">
      <c r="A897" t="s">
        <v>51</v>
      </c>
      <c r="B897" t="s">
        <v>26</v>
      </c>
      <c r="C897" t="s">
        <v>4907</v>
      </c>
      <c r="D897" t="s">
        <v>955</v>
      </c>
      <c r="E897">
        <v>91125.86</v>
      </c>
      <c r="F897">
        <v>27337.76</v>
      </c>
      <c r="G897">
        <v>1951.1</v>
      </c>
      <c r="H897">
        <v>5238.37</v>
      </c>
      <c r="I897">
        <v>120414.72</v>
      </c>
      <c r="J897">
        <v>115176.35</v>
      </c>
      <c r="K897" s="1"/>
      <c r="L897" s="1"/>
      <c r="M897" s="1"/>
      <c r="N897" s="1"/>
    </row>
    <row r="898" ht="15.75" customHeight="1">
      <c r="A898" t="s">
        <v>53</v>
      </c>
      <c r="B898" t="s">
        <v>18</v>
      </c>
      <c r="C898" t="s">
        <v>4905</v>
      </c>
      <c r="D898" t="s">
        <v>956</v>
      </c>
      <c r="E898">
        <v>86743.79</v>
      </c>
      <c r="F898">
        <v>26023.14</v>
      </c>
      <c r="G898">
        <v>11414.12</v>
      </c>
      <c r="H898">
        <v>13683.52</v>
      </c>
      <c r="I898">
        <v>124181.05</v>
      </c>
      <c r="J898">
        <v>110497.53</v>
      </c>
      <c r="K898" s="1"/>
      <c r="L898" s="1"/>
      <c r="M898" s="1"/>
      <c r="N898" s="1"/>
    </row>
    <row r="899" ht="15.75" customHeight="1">
      <c r="A899" t="s">
        <v>53</v>
      </c>
      <c r="B899" t="s">
        <v>33</v>
      </c>
      <c r="C899" t="s">
        <v>4907</v>
      </c>
      <c r="D899" t="s">
        <v>957</v>
      </c>
      <c r="E899">
        <v>25490.86</v>
      </c>
      <c r="F899">
        <v>7647.26</v>
      </c>
      <c r="G899">
        <v>1125.28</v>
      </c>
      <c r="H899">
        <v>5489.55</v>
      </c>
      <c r="I899">
        <v>34263.4</v>
      </c>
      <c r="J899">
        <v>28773.85</v>
      </c>
      <c r="K899" s="1"/>
      <c r="L899" s="1"/>
      <c r="M899" s="1"/>
      <c r="N899" s="1"/>
    </row>
    <row r="900" ht="15.75" customHeight="1">
      <c r="A900" t="s">
        <v>51</v>
      </c>
      <c r="B900" t="s">
        <v>18</v>
      </c>
      <c r="C900" t="s">
        <v>4917</v>
      </c>
      <c r="D900" t="s">
        <v>958</v>
      </c>
      <c r="E900">
        <v>77776.54</v>
      </c>
      <c r="F900">
        <v>23332.96</v>
      </c>
      <c r="G900">
        <v>13840.6</v>
      </c>
      <c r="H900">
        <v>1865.63</v>
      </c>
      <c r="I900">
        <v>114950.1</v>
      </c>
      <c r="J900">
        <v>113084.47</v>
      </c>
      <c r="K900" s="1"/>
      <c r="L900" s="1"/>
      <c r="M900" s="1"/>
      <c r="N900" s="1"/>
    </row>
    <row r="901" ht="15.75" customHeight="1">
      <c r="A901" t="s">
        <v>17</v>
      </c>
      <c r="B901" t="s">
        <v>33</v>
      </c>
      <c r="C901" t="s">
        <v>4912</v>
      </c>
      <c r="D901" t="s">
        <v>959</v>
      </c>
      <c r="E901">
        <v>30580.2</v>
      </c>
      <c r="F901">
        <v>9174.06</v>
      </c>
      <c r="G901">
        <v>5738.34</v>
      </c>
      <c r="H901">
        <v>3815.98</v>
      </c>
      <c r="I901">
        <v>45492.6</v>
      </c>
      <c r="J901">
        <v>41676.62</v>
      </c>
      <c r="K901" s="1"/>
      <c r="L901" s="1"/>
      <c r="M901" s="1"/>
      <c r="N901" s="1"/>
    </row>
    <row r="902" ht="15.75" customHeight="1">
      <c r="A902" t="s">
        <v>25</v>
      </c>
      <c r="B902" t="s">
        <v>18</v>
      </c>
      <c r="C902" t="s">
        <v>4905</v>
      </c>
      <c r="D902" t="s">
        <v>960</v>
      </c>
      <c r="E902">
        <v>66515.8</v>
      </c>
      <c r="F902">
        <v>19954.74</v>
      </c>
      <c r="G902">
        <v>8207.16</v>
      </c>
      <c r="H902">
        <v>10556.47</v>
      </c>
      <c r="I902">
        <v>94677.7</v>
      </c>
      <c r="J902">
        <v>84121.23</v>
      </c>
      <c r="K902" s="1"/>
      <c r="L902" s="1"/>
      <c r="M902" s="1"/>
      <c r="N902" s="1"/>
    </row>
    <row r="903" ht="15.75" customHeight="1">
      <c r="A903" t="s">
        <v>17</v>
      </c>
      <c r="B903" t="s">
        <v>26</v>
      </c>
      <c r="C903" t="s">
        <v>4909</v>
      </c>
      <c r="D903" t="s">
        <v>961</v>
      </c>
      <c r="E903">
        <v>100940.56</v>
      </c>
      <c r="F903">
        <v>30282.17</v>
      </c>
      <c r="G903">
        <v>19069.76</v>
      </c>
      <c r="H903">
        <v>29088.65</v>
      </c>
      <c r="I903">
        <v>150292.49</v>
      </c>
      <c r="J903">
        <v>121203.84</v>
      </c>
      <c r="K903" s="1"/>
      <c r="L903" s="1"/>
      <c r="M903" s="1"/>
      <c r="N903" s="1"/>
    </row>
    <row r="904" ht="15.75" customHeight="1">
      <c r="A904" t="s">
        <v>17</v>
      </c>
      <c r="B904" t="s">
        <v>18</v>
      </c>
      <c r="C904" t="s">
        <v>4917</v>
      </c>
      <c r="D904" t="s">
        <v>962</v>
      </c>
      <c r="E904">
        <v>71006.47</v>
      </c>
      <c r="F904">
        <v>21301.94</v>
      </c>
      <c r="G904">
        <v>5472.2</v>
      </c>
      <c r="H904">
        <v>4113.82</v>
      </c>
      <c r="I904">
        <v>97780.61</v>
      </c>
      <c r="J904">
        <v>93666.79</v>
      </c>
      <c r="K904" s="1"/>
      <c r="L904" s="1"/>
      <c r="M904" s="1"/>
      <c r="N904" s="1"/>
    </row>
    <row r="905" ht="15.75" customHeight="1">
      <c r="A905" t="s">
        <v>51</v>
      </c>
      <c r="B905" t="s">
        <v>37</v>
      </c>
      <c r="C905" t="s">
        <v>4913</v>
      </c>
      <c r="D905" t="s">
        <v>963</v>
      </c>
      <c r="E905">
        <v>71902.66457289942</v>
      </c>
      <c r="F905">
        <v>16876.75</v>
      </c>
      <c r="G905">
        <v>2012.81</v>
      </c>
      <c r="H905">
        <v>12643.97</v>
      </c>
      <c r="I905">
        <v>90792.22</v>
      </c>
      <c r="J905">
        <v>78148.25</v>
      </c>
      <c r="K905" s="1"/>
      <c r="L905" s="1"/>
      <c r="M905" s="1"/>
      <c r="N905" s="1"/>
    </row>
    <row r="906" ht="15.75" customHeight="1">
      <c r="A906" t="s">
        <v>13</v>
      </c>
      <c r="B906" t="s">
        <v>14</v>
      </c>
      <c r="C906" t="s">
        <v>4905</v>
      </c>
      <c r="D906" t="s">
        <v>964</v>
      </c>
      <c r="E906">
        <v>23517.24</v>
      </c>
      <c r="F906">
        <v>7055.17</v>
      </c>
      <c r="G906">
        <v>2711.84</v>
      </c>
      <c r="H906">
        <v>4758.66</v>
      </c>
      <c r="I906">
        <v>33284.25</v>
      </c>
      <c r="J906">
        <v>28525.59</v>
      </c>
      <c r="K906" s="1"/>
      <c r="L906" s="1"/>
      <c r="M906" s="1"/>
      <c r="N906" s="1"/>
    </row>
    <row r="907" ht="15.75" customHeight="1">
      <c r="A907" t="s">
        <v>13</v>
      </c>
      <c r="B907" t="s">
        <v>54</v>
      </c>
      <c r="C907" t="s">
        <v>4913</v>
      </c>
      <c r="D907" t="s">
        <v>965</v>
      </c>
      <c r="E907">
        <v>47359.54</v>
      </c>
      <c r="F907">
        <v>14207.86</v>
      </c>
      <c r="G907">
        <v>1580.0</v>
      </c>
      <c r="H907">
        <v>2563.05</v>
      </c>
      <c r="I907">
        <v>63147.4</v>
      </c>
      <c r="J907">
        <v>60584.35</v>
      </c>
      <c r="K907" s="1"/>
      <c r="L907" s="1"/>
      <c r="M907" s="1"/>
      <c r="N907" s="1"/>
    </row>
    <row r="908" ht="15.75" customHeight="1">
      <c r="A908" t="s">
        <v>53</v>
      </c>
      <c r="B908" t="s">
        <v>33</v>
      </c>
      <c r="C908" t="s">
        <v>4912</v>
      </c>
      <c r="D908" t="s">
        <v>966</v>
      </c>
      <c r="E908">
        <v>31575.32</v>
      </c>
      <c r="F908">
        <v>9472.6</v>
      </c>
      <c r="G908">
        <v>3371.62</v>
      </c>
      <c r="H908">
        <v>5682.76</v>
      </c>
      <c r="I908">
        <v>44419.54</v>
      </c>
      <c r="J908">
        <v>38736.78</v>
      </c>
      <c r="K908" s="1"/>
      <c r="L908" s="1"/>
      <c r="M908" s="1"/>
      <c r="N908" s="1"/>
    </row>
    <row r="909" ht="15.75" customHeight="1">
      <c r="A909" t="s">
        <v>29</v>
      </c>
      <c r="B909" t="s">
        <v>37</v>
      </c>
      <c r="C909" t="s">
        <v>4917</v>
      </c>
      <c r="D909" t="s">
        <v>967</v>
      </c>
      <c r="E909">
        <v>62846.33</v>
      </c>
      <c r="F909">
        <v>18853.9</v>
      </c>
      <c r="G909">
        <v>4080.66</v>
      </c>
      <c r="H909">
        <v>7008.36</v>
      </c>
      <c r="I909">
        <v>85780.89</v>
      </c>
      <c r="J909">
        <v>78772.53</v>
      </c>
      <c r="K909" s="1"/>
      <c r="L909" s="1"/>
      <c r="M909" s="1"/>
      <c r="N909" s="1"/>
    </row>
    <row r="910" ht="15.75" customHeight="1">
      <c r="A910" t="s">
        <v>36</v>
      </c>
      <c r="B910" t="s">
        <v>26</v>
      </c>
      <c r="C910" t="s">
        <v>4914</v>
      </c>
      <c r="D910" t="s">
        <v>968</v>
      </c>
      <c r="E910">
        <v>109808.59</v>
      </c>
      <c r="F910">
        <v>32942.58</v>
      </c>
      <c r="G910">
        <v>16352.22</v>
      </c>
      <c r="H910">
        <v>11859.61</v>
      </c>
      <c r="I910">
        <v>159103.39</v>
      </c>
      <c r="J910">
        <v>147243.78</v>
      </c>
      <c r="K910" s="1"/>
      <c r="L910" s="1"/>
      <c r="M910" s="1"/>
      <c r="N910" s="1"/>
    </row>
    <row r="911" ht="15.75" customHeight="1">
      <c r="A911" t="s">
        <v>36</v>
      </c>
      <c r="B911" t="s">
        <v>54</v>
      </c>
      <c r="C911" t="s">
        <v>4907</v>
      </c>
      <c r="D911" t="s">
        <v>969</v>
      </c>
      <c r="E911">
        <v>35002.74</v>
      </c>
      <c r="F911">
        <v>10500.82</v>
      </c>
      <c r="G911">
        <v>242.66</v>
      </c>
      <c r="H911">
        <v>2987.3</v>
      </c>
      <c r="I911">
        <v>45746.22</v>
      </c>
      <c r="J911">
        <v>42758.92</v>
      </c>
      <c r="K911" s="1"/>
      <c r="L911" s="1"/>
      <c r="M911" s="1"/>
      <c r="N911" s="1"/>
    </row>
    <row r="912" ht="15.75" customHeight="1">
      <c r="A912" t="s">
        <v>53</v>
      </c>
      <c r="B912" t="s">
        <v>30</v>
      </c>
      <c r="C912" t="s">
        <v>4908</v>
      </c>
      <c r="D912" t="s">
        <v>971</v>
      </c>
      <c r="E912">
        <v>30742.03</v>
      </c>
      <c r="F912">
        <v>9222.61</v>
      </c>
      <c r="G912">
        <v>1855.85</v>
      </c>
      <c r="H912">
        <v>2769.86</v>
      </c>
      <c r="I912">
        <v>41820.49</v>
      </c>
      <c r="J912">
        <v>39050.63</v>
      </c>
      <c r="K912" s="1"/>
      <c r="L912" s="1"/>
      <c r="M912" s="1"/>
      <c r="N912" s="1"/>
    </row>
    <row r="913" ht="15.75" customHeight="1">
      <c r="A913" t="s">
        <v>51</v>
      </c>
      <c r="B913" t="s">
        <v>26</v>
      </c>
      <c r="C913" t="s">
        <v>4910</v>
      </c>
      <c r="D913" t="s">
        <v>972</v>
      </c>
      <c r="E913">
        <v>101336.57</v>
      </c>
      <c r="F913">
        <v>30400.97</v>
      </c>
      <c r="G913">
        <v>15636.7</v>
      </c>
      <c r="H913">
        <v>28678.69</v>
      </c>
      <c r="I913">
        <v>147374.24</v>
      </c>
      <c r="J913">
        <v>118695.55</v>
      </c>
      <c r="K913" s="1"/>
      <c r="L913" s="1"/>
      <c r="M913" s="1"/>
      <c r="N913" s="1"/>
    </row>
    <row r="914" ht="15.75" customHeight="1">
      <c r="A914" t="s">
        <v>53</v>
      </c>
      <c r="B914" t="s">
        <v>37</v>
      </c>
      <c r="C914" t="s">
        <v>4907</v>
      </c>
      <c r="D914" t="s">
        <v>973</v>
      </c>
      <c r="E914">
        <v>55013.82</v>
      </c>
      <c r="F914">
        <v>16504.15</v>
      </c>
      <c r="G914">
        <v>10187.71</v>
      </c>
      <c r="H914">
        <v>2553.44</v>
      </c>
      <c r="I914">
        <v>81705.68</v>
      </c>
      <c r="J914">
        <v>79152.24</v>
      </c>
      <c r="K914" s="1"/>
      <c r="L914" s="1"/>
      <c r="M914" s="1"/>
      <c r="N914" s="1"/>
    </row>
    <row r="915" ht="15.75" customHeight="1">
      <c r="A915" t="s">
        <v>36</v>
      </c>
      <c r="B915" t="s">
        <v>33</v>
      </c>
      <c r="C915" t="s">
        <v>4908</v>
      </c>
      <c r="D915" t="s">
        <v>974</v>
      </c>
      <c r="E915">
        <v>26561.07</v>
      </c>
      <c r="F915">
        <v>7968.32</v>
      </c>
      <c r="G915">
        <v>1407.67</v>
      </c>
      <c r="H915">
        <v>7088.82</v>
      </c>
      <c r="I915">
        <v>35937.06</v>
      </c>
      <c r="J915">
        <v>28848.24</v>
      </c>
      <c r="K915" s="1"/>
      <c r="L915" s="1"/>
      <c r="M915" s="1"/>
      <c r="N915" s="1"/>
    </row>
    <row r="916" ht="15.75" customHeight="1">
      <c r="A916" t="s">
        <v>51</v>
      </c>
      <c r="B916" t="s">
        <v>33</v>
      </c>
      <c r="C916" t="s">
        <v>4908</v>
      </c>
      <c r="D916" t="s">
        <v>975</v>
      </c>
      <c r="E916">
        <v>33110.74</v>
      </c>
      <c r="F916">
        <v>9933.22</v>
      </c>
      <c r="G916">
        <v>608.61</v>
      </c>
      <c r="H916">
        <v>3971.28</v>
      </c>
      <c r="I916">
        <v>43652.57</v>
      </c>
      <c r="J916">
        <v>39681.29</v>
      </c>
      <c r="K916" s="1"/>
      <c r="L916" s="1"/>
      <c r="M916" s="1"/>
      <c r="N916" s="1"/>
    </row>
    <row r="917" ht="15.75" customHeight="1">
      <c r="A917" t="s">
        <v>13</v>
      </c>
      <c r="B917" t="s">
        <v>14</v>
      </c>
      <c r="C917" t="s">
        <v>4905</v>
      </c>
      <c r="D917" t="s">
        <v>976</v>
      </c>
      <c r="E917">
        <v>23209.78</v>
      </c>
      <c r="F917">
        <v>6962.93</v>
      </c>
      <c r="G917">
        <v>3680.63</v>
      </c>
      <c r="H917">
        <v>1203.91</v>
      </c>
      <c r="I917">
        <v>33853.34</v>
      </c>
      <c r="J917">
        <v>32649.43</v>
      </c>
      <c r="K917" s="1"/>
      <c r="L917" s="1"/>
      <c r="M917" s="1"/>
      <c r="N917" s="1"/>
    </row>
    <row r="918" ht="15.75" customHeight="1">
      <c r="A918" t="s">
        <v>13</v>
      </c>
      <c r="B918" t="s">
        <v>37</v>
      </c>
      <c r="C918" t="s">
        <v>4907</v>
      </c>
      <c r="D918" t="s">
        <v>977</v>
      </c>
      <c r="E918">
        <v>59751.27</v>
      </c>
      <c r="F918">
        <v>17925.38</v>
      </c>
      <c r="G918">
        <v>1139.62</v>
      </c>
      <c r="H918">
        <v>11512.66</v>
      </c>
      <c r="I918">
        <v>78816.27</v>
      </c>
      <c r="J918">
        <v>67303.61</v>
      </c>
      <c r="K918" s="1"/>
      <c r="L918" s="1"/>
      <c r="M918" s="1"/>
      <c r="N918" s="1"/>
    </row>
    <row r="919" ht="15.75" customHeight="1">
      <c r="A919" t="s">
        <v>13</v>
      </c>
      <c r="B919" t="s">
        <v>26</v>
      </c>
      <c r="C919" t="s">
        <v>4912</v>
      </c>
      <c r="D919" t="s">
        <v>978</v>
      </c>
      <c r="E919">
        <v>110746.21</v>
      </c>
      <c r="F919">
        <v>33223.86</v>
      </c>
      <c r="G919">
        <v>1738.21</v>
      </c>
      <c r="H919">
        <v>1857.97</v>
      </c>
      <c r="I919">
        <v>145708.28</v>
      </c>
      <c r="J919">
        <v>143850.31</v>
      </c>
      <c r="K919" s="1"/>
      <c r="L919" s="1"/>
      <c r="M919" s="1"/>
      <c r="N919" s="1"/>
    </row>
    <row r="920" ht="15.75" customHeight="1">
      <c r="A920" t="s">
        <v>13</v>
      </c>
      <c r="B920" t="s">
        <v>18</v>
      </c>
      <c r="C920" t="s">
        <v>4917</v>
      </c>
      <c r="D920" t="s">
        <v>979</v>
      </c>
      <c r="E920">
        <v>87086.43</v>
      </c>
      <c r="F920">
        <v>26125.93</v>
      </c>
      <c r="G920">
        <v>16174.62</v>
      </c>
      <c r="H920">
        <v>16560.89</v>
      </c>
      <c r="I920">
        <v>129386.98</v>
      </c>
      <c r="J920">
        <v>112826.09</v>
      </c>
      <c r="K920" s="1"/>
      <c r="L920" s="1"/>
      <c r="M920" s="1"/>
      <c r="N920" s="1"/>
    </row>
    <row r="921" ht="15.75" customHeight="1">
      <c r="A921" t="s">
        <v>36</v>
      </c>
      <c r="B921" t="s">
        <v>14</v>
      </c>
      <c r="C921" t="s">
        <v>4911</v>
      </c>
      <c r="D921" t="s">
        <v>981</v>
      </c>
      <c r="E921">
        <v>20194.44</v>
      </c>
      <c r="F921">
        <v>6058.33</v>
      </c>
      <c r="G921">
        <v>166.33</v>
      </c>
      <c r="H921">
        <v>3271.07</v>
      </c>
      <c r="I921">
        <v>26419.1</v>
      </c>
      <c r="J921">
        <v>23148.03</v>
      </c>
      <c r="K921" s="1"/>
      <c r="L921" s="1"/>
      <c r="M921" s="1"/>
      <c r="N921" s="1"/>
    </row>
    <row r="922" ht="15.75" customHeight="1">
      <c r="A922" t="s">
        <v>29</v>
      </c>
      <c r="B922" t="s">
        <v>37</v>
      </c>
      <c r="C922" t="s">
        <v>4913</v>
      </c>
      <c r="D922" t="s">
        <v>982</v>
      </c>
      <c r="E922">
        <v>57559.84</v>
      </c>
      <c r="F922">
        <v>17267.95</v>
      </c>
      <c r="G922">
        <v>1763.6</v>
      </c>
      <c r="H922">
        <v>11632.3</v>
      </c>
      <c r="I922">
        <v>76591.39</v>
      </c>
      <c r="J922">
        <v>64959.09</v>
      </c>
      <c r="K922" s="1"/>
      <c r="L922" s="1"/>
      <c r="M922" s="1"/>
      <c r="N922" s="1"/>
    </row>
    <row r="923" ht="15.75" customHeight="1">
      <c r="A923" t="s">
        <v>36</v>
      </c>
      <c r="B923" t="s">
        <v>26</v>
      </c>
      <c r="C923" t="s">
        <v>4910</v>
      </c>
      <c r="D923" t="s">
        <v>983</v>
      </c>
      <c r="E923">
        <v>111424.76</v>
      </c>
      <c r="F923">
        <v>33427.43</v>
      </c>
      <c r="G923">
        <v>11247.87</v>
      </c>
      <c r="H923">
        <v>7423.75</v>
      </c>
      <c r="I923">
        <v>156100.06</v>
      </c>
      <c r="J923">
        <v>148676.31</v>
      </c>
      <c r="K923" s="1"/>
      <c r="L923" s="1"/>
      <c r="M923" s="1"/>
      <c r="N923" s="1"/>
    </row>
    <row r="924" ht="15.75" customHeight="1">
      <c r="A924" t="s">
        <v>25</v>
      </c>
      <c r="B924" t="s">
        <v>54</v>
      </c>
      <c r="C924" t="s">
        <v>4905</v>
      </c>
      <c r="D924" t="s">
        <v>984</v>
      </c>
      <c r="E924">
        <v>37072.17</v>
      </c>
      <c r="F924">
        <v>11121.65</v>
      </c>
      <c r="G924">
        <v>2492.5</v>
      </c>
      <c r="H924">
        <v>5292.29</v>
      </c>
      <c r="I924">
        <v>50686.32</v>
      </c>
      <c r="J924">
        <v>45394.03</v>
      </c>
      <c r="K924" s="1"/>
      <c r="L924" s="1"/>
      <c r="M924" s="1"/>
      <c r="N924" s="1"/>
    </row>
    <row r="925" ht="15.75" customHeight="1">
      <c r="A925" t="s">
        <v>17</v>
      </c>
      <c r="B925" t="s">
        <v>37</v>
      </c>
      <c r="C925" t="s">
        <v>4905</v>
      </c>
      <c r="D925" t="s">
        <v>985</v>
      </c>
      <c r="E925">
        <v>52185.44</v>
      </c>
      <c r="F925">
        <v>15655.63</v>
      </c>
      <c r="G925">
        <v>887.98</v>
      </c>
      <c r="H925">
        <v>7856.36</v>
      </c>
      <c r="I925">
        <v>68729.05</v>
      </c>
      <c r="J925">
        <v>60872.69</v>
      </c>
      <c r="K925" s="1"/>
      <c r="L925" s="1"/>
      <c r="M925" s="1"/>
      <c r="N925" s="1"/>
    </row>
    <row r="926" ht="15.75" customHeight="1">
      <c r="A926" t="s">
        <v>51</v>
      </c>
      <c r="B926" t="s">
        <v>26</v>
      </c>
      <c r="C926" t="s">
        <v>4917</v>
      </c>
      <c r="D926" t="s">
        <v>986</v>
      </c>
      <c r="E926">
        <v>94855.35</v>
      </c>
      <c r="F926">
        <v>28456.6</v>
      </c>
      <c r="G926">
        <v>10610.45</v>
      </c>
      <c r="H926">
        <v>13882.87</v>
      </c>
      <c r="I926">
        <v>133922.4</v>
      </c>
      <c r="J926">
        <v>120039.53</v>
      </c>
      <c r="K926" s="1"/>
      <c r="L926" s="1"/>
      <c r="M926" s="1"/>
      <c r="N926" s="1"/>
    </row>
    <row r="927" ht="15.75" customHeight="1">
      <c r="A927" t="s">
        <v>53</v>
      </c>
      <c r="B927" t="s">
        <v>30</v>
      </c>
      <c r="C927" t="s">
        <v>4908</v>
      </c>
      <c r="D927" t="s">
        <v>987</v>
      </c>
      <c r="E927">
        <v>26938.27</v>
      </c>
      <c r="F927">
        <v>8081.48</v>
      </c>
      <c r="G927">
        <v>5371.92</v>
      </c>
      <c r="H927">
        <v>4236.7</v>
      </c>
      <c r="I927">
        <v>40391.67</v>
      </c>
      <c r="J927">
        <v>36154.97</v>
      </c>
      <c r="K927" s="1"/>
      <c r="L927" s="1"/>
      <c r="M927" s="1"/>
      <c r="N927" s="1"/>
    </row>
    <row r="928" ht="15.75" customHeight="1">
      <c r="A928" t="s">
        <v>17</v>
      </c>
      <c r="B928" t="s">
        <v>33</v>
      </c>
      <c r="C928" t="s">
        <v>4909</v>
      </c>
      <c r="D928" t="s">
        <v>988</v>
      </c>
      <c r="E928">
        <v>32767.72</v>
      </c>
      <c r="F928">
        <v>9830.32</v>
      </c>
      <c r="G928">
        <v>2119.49</v>
      </c>
      <c r="H928">
        <v>9084.57</v>
      </c>
      <c r="I928">
        <v>44717.53</v>
      </c>
      <c r="J928">
        <v>35632.96</v>
      </c>
      <c r="K928" s="1"/>
      <c r="L928" s="1"/>
      <c r="M928" s="1"/>
      <c r="N928" s="1"/>
    </row>
    <row r="929" ht="15.75" customHeight="1">
      <c r="A929" t="s">
        <v>17</v>
      </c>
      <c r="B929" t="s">
        <v>18</v>
      </c>
      <c r="C929" t="s">
        <v>4912</v>
      </c>
      <c r="D929" t="s">
        <v>989</v>
      </c>
      <c r="E929">
        <v>75753.13</v>
      </c>
      <c r="F929">
        <v>22725.94</v>
      </c>
      <c r="G929">
        <v>5534.03</v>
      </c>
      <c r="H929">
        <v>4329.06</v>
      </c>
      <c r="I929">
        <v>104013.1</v>
      </c>
      <c r="J929">
        <v>99684.04</v>
      </c>
      <c r="K929" s="1"/>
      <c r="L929" s="1"/>
      <c r="M929" s="1"/>
      <c r="N929" s="1"/>
    </row>
    <row r="930" ht="15.75" customHeight="1">
      <c r="A930" t="s">
        <v>53</v>
      </c>
      <c r="B930" t="s">
        <v>18</v>
      </c>
      <c r="C930" t="s">
        <v>4916</v>
      </c>
      <c r="D930" t="s">
        <v>990</v>
      </c>
      <c r="E930">
        <v>65629.38</v>
      </c>
      <c r="F930">
        <v>19688.81</v>
      </c>
      <c r="G930">
        <v>4001.01</v>
      </c>
      <c r="H930">
        <v>19445.69</v>
      </c>
      <c r="I930">
        <v>89319.2</v>
      </c>
      <c r="J930">
        <v>69873.51</v>
      </c>
      <c r="K930" s="1"/>
      <c r="L930" s="1"/>
      <c r="M930" s="1"/>
      <c r="N930" s="1"/>
    </row>
    <row r="931" ht="15.75" customHeight="1">
      <c r="A931" t="s">
        <v>25</v>
      </c>
      <c r="B931" t="s">
        <v>26</v>
      </c>
      <c r="C931" t="s">
        <v>4908</v>
      </c>
      <c r="D931" t="s">
        <v>991</v>
      </c>
      <c r="E931">
        <v>105919.56</v>
      </c>
      <c r="F931">
        <v>31775.87</v>
      </c>
      <c r="G931">
        <v>3089.01</v>
      </c>
      <c r="H931">
        <v>1426.02</v>
      </c>
      <c r="I931">
        <v>140784.44</v>
      </c>
      <c r="J931">
        <v>139358.42</v>
      </c>
      <c r="K931" s="1"/>
      <c r="L931" s="1"/>
      <c r="M931" s="1"/>
      <c r="N931" s="1"/>
    </row>
    <row r="932" ht="15.75" customHeight="1">
      <c r="A932" t="s">
        <v>51</v>
      </c>
      <c r="B932" t="s">
        <v>18</v>
      </c>
      <c r="C932" t="s">
        <v>4909</v>
      </c>
      <c r="D932" t="s">
        <v>992</v>
      </c>
      <c r="E932">
        <v>74719.34</v>
      </c>
      <c r="F932">
        <v>22415.8</v>
      </c>
      <c r="G932">
        <v>11323.47</v>
      </c>
      <c r="H932">
        <v>19115.39</v>
      </c>
      <c r="I932">
        <v>108458.61</v>
      </c>
      <c r="J932">
        <v>89343.22</v>
      </c>
      <c r="K932" s="1"/>
      <c r="L932" s="1"/>
      <c r="M932" s="1"/>
      <c r="N932" s="1"/>
    </row>
    <row r="933" ht="15.75" customHeight="1">
      <c r="A933" t="s">
        <v>13</v>
      </c>
      <c r="B933" t="s">
        <v>14</v>
      </c>
      <c r="C933" t="s">
        <v>4910</v>
      </c>
      <c r="D933" t="s">
        <v>993</v>
      </c>
      <c r="E933">
        <v>19749.95</v>
      </c>
      <c r="F933">
        <v>5924.98</v>
      </c>
      <c r="G933">
        <v>2452.95</v>
      </c>
      <c r="H933">
        <v>874.98</v>
      </c>
      <c r="I933">
        <v>28127.88</v>
      </c>
      <c r="J933">
        <v>27252.9</v>
      </c>
      <c r="K933" s="1"/>
      <c r="L933" s="1"/>
      <c r="M933" s="1"/>
      <c r="N933" s="1"/>
    </row>
    <row r="934" ht="15.75" customHeight="1">
      <c r="A934" t="s">
        <v>17</v>
      </c>
      <c r="B934" t="s">
        <v>33</v>
      </c>
      <c r="C934" t="s">
        <v>4907</v>
      </c>
      <c r="D934" t="s">
        <v>994</v>
      </c>
      <c r="E934">
        <v>31937.95</v>
      </c>
      <c r="F934">
        <v>9581.39</v>
      </c>
      <c r="G934">
        <v>710.8</v>
      </c>
      <c r="H934">
        <v>4312.21</v>
      </c>
      <c r="I934">
        <v>42230.14</v>
      </c>
      <c r="J934">
        <v>37917.93</v>
      </c>
      <c r="K934" s="1"/>
      <c r="L934" s="1"/>
      <c r="M934" s="1"/>
      <c r="N934" s="1"/>
    </row>
    <row r="935" ht="15.75" customHeight="1">
      <c r="A935" t="s">
        <v>29</v>
      </c>
      <c r="B935" t="s">
        <v>30</v>
      </c>
      <c r="C935" t="s">
        <v>4910</v>
      </c>
      <c r="D935" t="s">
        <v>995</v>
      </c>
      <c r="E935">
        <v>28512.11</v>
      </c>
      <c r="F935">
        <v>8553.63</v>
      </c>
      <c r="G935">
        <v>1208.2</v>
      </c>
      <c r="H935">
        <v>4673.91</v>
      </c>
      <c r="I935">
        <v>38273.94</v>
      </c>
      <c r="J935">
        <v>33600.03</v>
      </c>
      <c r="K935" s="1"/>
      <c r="L935" s="1"/>
      <c r="M935" s="1"/>
      <c r="N935" s="1"/>
    </row>
    <row r="936" ht="15.75" customHeight="1">
      <c r="A936" t="s">
        <v>53</v>
      </c>
      <c r="B936" t="s">
        <v>54</v>
      </c>
      <c r="C936" t="s">
        <v>4917</v>
      </c>
      <c r="D936" t="s">
        <v>996</v>
      </c>
      <c r="E936">
        <v>43722.59</v>
      </c>
      <c r="F936">
        <v>13116.78</v>
      </c>
      <c r="G936">
        <v>8677.2</v>
      </c>
      <c r="H936">
        <v>9117.09</v>
      </c>
      <c r="I936">
        <v>65516.57</v>
      </c>
      <c r="J936">
        <v>56399.48</v>
      </c>
      <c r="K936" s="1"/>
      <c r="L936" s="1"/>
      <c r="M936" s="1"/>
      <c r="N936" s="1"/>
    </row>
    <row r="937" ht="15.75" customHeight="1">
      <c r="A937" t="s">
        <v>17</v>
      </c>
      <c r="B937" t="s">
        <v>54</v>
      </c>
      <c r="C937" t="s">
        <v>4911</v>
      </c>
      <c r="D937" t="s">
        <v>997</v>
      </c>
      <c r="E937">
        <v>43162.07</v>
      </c>
      <c r="F937">
        <v>12948.62</v>
      </c>
      <c r="G937">
        <v>5727.85</v>
      </c>
      <c r="H937">
        <v>563.03</v>
      </c>
      <c r="I937">
        <v>61838.54</v>
      </c>
      <c r="J937">
        <v>61275.51</v>
      </c>
      <c r="K937" s="1"/>
      <c r="L937" s="1"/>
      <c r="M937" s="1"/>
      <c r="N937" s="1"/>
    </row>
    <row r="938" ht="15.75" customHeight="1">
      <c r="A938" t="s">
        <v>17</v>
      </c>
      <c r="B938" t="s">
        <v>33</v>
      </c>
      <c r="C938" t="s">
        <v>4914</v>
      </c>
      <c r="D938" t="s">
        <v>998</v>
      </c>
      <c r="E938">
        <v>27006.96</v>
      </c>
      <c r="F938">
        <v>8102.09</v>
      </c>
      <c r="G938">
        <v>3762.21</v>
      </c>
      <c r="H938">
        <v>2197.95</v>
      </c>
      <c r="I938">
        <v>38871.26</v>
      </c>
      <c r="J938">
        <v>36673.31</v>
      </c>
      <c r="K938" s="1"/>
      <c r="L938" s="1"/>
      <c r="M938" s="1"/>
      <c r="N938" s="1"/>
    </row>
    <row r="939" ht="15.75" customHeight="1">
      <c r="A939" t="s">
        <v>13</v>
      </c>
      <c r="B939" t="s">
        <v>14</v>
      </c>
      <c r="C939" t="s">
        <v>4917</v>
      </c>
      <c r="D939" t="s">
        <v>999</v>
      </c>
      <c r="E939">
        <v>18479.5</v>
      </c>
      <c r="F939">
        <v>5543.85</v>
      </c>
      <c r="G939">
        <v>2440.67</v>
      </c>
      <c r="H939">
        <v>3675.47</v>
      </c>
      <c r="I939">
        <v>26464.02</v>
      </c>
      <c r="J939">
        <v>22788.55</v>
      </c>
      <c r="K939" s="1"/>
      <c r="L939" s="1"/>
      <c r="M939" s="1"/>
      <c r="N939" s="1"/>
    </row>
    <row r="940" ht="15.75" customHeight="1">
      <c r="A940" t="s">
        <v>29</v>
      </c>
      <c r="B940" t="s">
        <v>26</v>
      </c>
      <c r="C940" t="s">
        <v>4913</v>
      </c>
      <c r="D940" t="s">
        <v>1000</v>
      </c>
      <c r="E940">
        <v>93884.09</v>
      </c>
      <c r="F940">
        <v>28165.23</v>
      </c>
      <c r="G940">
        <v>5492.14</v>
      </c>
      <c r="H940">
        <v>24881.23</v>
      </c>
      <c r="I940">
        <v>127541.46</v>
      </c>
      <c r="J940">
        <v>102660.23</v>
      </c>
      <c r="K940" s="1"/>
      <c r="L940" s="1"/>
      <c r="M940" s="1"/>
      <c r="N940" s="1"/>
    </row>
    <row r="941" ht="15.75" customHeight="1">
      <c r="A941" t="s">
        <v>51</v>
      </c>
      <c r="B941" t="s">
        <v>54</v>
      </c>
      <c r="C941" t="s">
        <v>4914</v>
      </c>
      <c r="D941" t="s">
        <v>1001</v>
      </c>
      <c r="E941">
        <v>42119.56</v>
      </c>
      <c r="F941">
        <v>12635.87</v>
      </c>
      <c r="G941">
        <v>5978.36</v>
      </c>
      <c r="H941">
        <v>11421.21</v>
      </c>
      <c r="I941">
        <v>60733.79</v>
      </c>
      <c r="J941">
        <v>49312.58</v>
      </c>
      <c r="K941" s="1"/>
      <c r="L941" s="1"/>
      <c r="M941" s="1"/>
      <c r="N941" s="1"/>
    </row>
    <row r="942" ht="15.75" customHeight="1">
      <c r="A942" t="s">
        <v>25</v>
      </c>
      <c r="B942" t="s">
        <v>37</v>
      </c>
      <c r="C942" t="s">
        <v>4914</v>
      </c>
      <c r="D942" t="s">
        <v>1002</v>
      </c>
      <c r="E942">
        <v>54568.09</v>
      </c>
      <c r="F942">
        <v>16370.43</v>
      </c>
      <c r="G942">
        <v>2034.49</v>
      </c>
      <c r="H942">
        <v>8195.87</v>
      </c>
      <c r="I942">
        <v>72973.01</v>
      </c>
      <c r="J942">
        <v>64777.14</v>
      </c>
      <c r="K942" s="1"/>
      <c r="L942" s="1"/>
      <c r="M942" s="1"/>
      <c r="N942" s="1"/>
    </row>
    <row r="943" ht="15.75" customHeight="1">
      <c r="A943" t="s">
        <v>53</v>
      </c>
      <c r="B943" t="s">
        <v>18</v>
      </c>
      <c r="C943" t="s">
        <v>4912</v>
      </c>
      <c r="D943" t="s">
        <v>1003</v>
      </c>
      <c r="E943">
        <v>65558.7</v>
      </c>
      <c r="F943">
        <v>19667.61</v>
      </c>
      <c r="G943">
        <v>3243.74</v>
      </c>
      <c r="H943">
        <v>10412.33</v>
      </c>
      <c r="I943">
        <v>88470.05</v>
      </c>
      <c r="J943">
        <v>78057.72</v>
      </c>
      <c r="K943" s="1"/>
      <c r="L943" s="1"/>
      <c r="M943" s="1"/>
      <c r="N943" s="1"/>
    </row>
    <row r="944" ht="15.75" customHeight="1">
      <c r="A944" t="s">
        <v>36</v>
      </c>
      <c r="B944" t="s">
        <v>54</v>
      </c>
      <c r="C944" t="s">
        <v>4912</v>
      </c>
      <c r="D944" t="s">
        <v>1004</v>
      </c>
      <c r="E944">
        <v>45421.47</v>
      </c>
      <c r="F944">
        <v>13626.44</v>
      </c>
      <c r="G944">
        <v>166.9</v>
      </c>
      <c r="H944">
        <v>9324.73</v>
      </c>
      <c r="I944">
        <v>59214.81</v>
      </c>
      <c r="J944">
        <v>49890.08</v>
      </c>
      <c r="K944" s="1"/>
      <c r="L944" s="1"/>
      <c r="M944" s="1"/>
      <c r="N944" s="1"/>
    </row>
    <row r="945" ht="15.75" customHeight="1">
      <c r="A945" t="s">
        <v>13</v>
      </c>
      <c r="B945" t="s">
        <v>33</v>
      </c>
      <c r="C945" t="s">
        <v>4907</v>
      </c>
      <c r="D945" t="s">
        <v>1005</v>
      </c>
      <c r="E945">
        <v>27362.05</v>
      </c>
      <c r="F945">
        <v>8208.61</v>
      </c>
      <c r="G945">
        <v>5353.35</v>
      </c>
      <c r="H945">
        <v>4114.58</v>
      </c>
      <c r="I945">
        <v>40924.01</v>
      </c>
      <c r="J945">
        <v>36809.43</v>
      </c>
      <c r="K945" s="1"/>
      <c r="L945" s="1"/>
      <c r="M945" s="1"/>
      <c r="N945" s="1"/>
    </row>
    <row r="946" ht="15.75" customHeight="1">
      <c r="A946" t="s">
        <v>13</v>
      </c>
      <c r="B946" t="s">
        <v>33</v>
      </c>
      <c r="C946" t="s">
        <v>4907</v>
      </c>
      <c r="D946" t="s">
        <v>1006</v>
      </c>
      <c r="E946">
        <v>33786.77</v>
      </c>
      <c r="F946">
        <v>10136.03</v>
      </c>
      <c r="G946">
        <v>6016.76</v>
      </c>
      <c r="H946">
        <v>8259.43</v>
      </c>
      <c r="I946">
        <v>49939.56</v>
      </c>
      <c r="J946">
        <v>41680.13</v>
      </c>
      <c r="K946" s="1"/>
      <c r="L946" s="1"/>
      <c r="M946" s="1"/>
      <c r="N946" s="1"/>
    </row>
    <row r="947" ht="15.75" customHeight="1">
      <c r="A947" t="s">
        <v>53</v>
      </c>
      <c r="B947" t="s">
        <v>33</v>
      </c>
      <c r="C947" t="s">
        <v>4911</v>
      </c>
      <c r="D947" t="s">
        <v>1007</v>
      </c>
      <c r="E947">
        <v>27255.83</v>
      </c>
      <c r="F947">
        <v>8176.75</v>
      </c>
      <c r="G947">
        <v>1863.13</v>
      </c>
      <c r="H947">
        <v>3212.21</v>
      </c>
      <c r="I947">
        <v>37295.71</v>
      </c>
      <c r="J947">
        <v>34083.5</v>
      </c>
      <c r="K947" s="1"/>
      <c r="L947" s="1"/>
      <c r="M947" s="1"/>
      <c r="N947" s="1"/>
    </row>
    <row r="948" ht="15.75" customHeight="1">
      <c r="A948" t="s">
        <v>17</v>
      </c>
      <c r="B948" t="s">
        <v>18</v>
      </c>
      <c r="C948" t="s">
        <v>4917</v>
      </c>
      <c r="D948" t="s">
        <v>1008</v>
      </c>
      <c r="E948">
        <v>74937.39</v>
      </c>
      <c r="F948">
        <v>22481.22</v>
      </c>
      <c r="G948">
        <v>14397.06</v>
      </c>
      <c r="H948">
        <v>13768.59</v>
      </c>
      <c r="I948">
        <v>111815.67</v>
      </c>
      <c r="J948">
        <v>98047.08</v>
      </c>
      <c r="K948" s="1"/>
      <c r="L948" s="1"/>
      <c r="M948" s="1"/>
      <c r="N948" s="1"/>
    </row>
    <row r="949" ht="15.75" customHeight="1">
      <c r="A949" t="s">
        <v>13</v>
      </c>
      <c r="B949" t="s">
        <v>30</v>
      </c>
      <c r="C949" t="s">
        <v>4910</v>
      </c>
      <c r="D949" t="s">
        <v>1009</v>
      </c>
      <c r="E949">
        <v>25672.53</v>
      </c>
      <c r="F949">
        <v>7701.76</v>
      </c>
      <c r="G949">
        <v>2941.55</v>
      </c>
      <c r="H949">
        <v>3284.53</v>
      </c>
      <c r="I949">
        <v>36315.84</v>
      </c>
      <c r="J949">
        <v>33031.31</v>
      </c>
      <c r="K949" s="1"/>
      <c r="L949" s="1"/>
      <c r="M949" s="1"/>
      <c r="N949" s="1"/>
    </row>
    <row r="950" ht="15.75" customHeight="1">
      <c r="A950" t="s">
        <v>53</v>
      </c>
      <c r="B950" t="s">
        <v>33</v>
      </c>
      <c r="C950" t="s">
        <v>4916</v>
      </c>
      <c r="D950" t="s">
        <v>1010</v>
      </c>
      <c r="E950">
        <v>29491.69</v>
      </c>
      <c r="F950">
        <v>8847.51</v>
      </c>
      <c r="G950">
        <v>777.24</v>
      </c>
      <c r="H950">
        <v>5772.76</v>
      </c>
      <c r="I950">
        <v>39116.44</v>
      </c>
      <c r="J950">
        <v>33343.68</v>
      </c>
      <c r="K950" s="1"/>
      <c r="L950" s="1"/>
      <c r="M950" s="1"/>
      <c r="N950" s="1"/>
    </row>
    <row r="951" ht="15.75" customHeight="1">
      <c r="A951" t="s">
        <v>17</v>
      </c>
      <c r="B951" t="s">
        <v>26</v>
      </c>
      <c r="C951" t="s">
        <v>4910</v>
      </c>
      <c r="D951" t="s">
        <v>1011</v>
      </c>
      <c r="E951">
        <v>54326.71</v>
      </c>
      <c r="F951">
        <v>24591.85</v>
      </c>
      <c r="G951">
        <v>14405.36</v>
      </c>
      <c r="H951">
        <v>16530.5</v>
      </c>
      <c r="I951">
        <v>93323.92</v>
      </c>
      <c r="J951">
        <v>76793.42</v>
      </c>
      <c r="K951" s="1"/>
      <c r="L951" s="1"/>
      <c r="M951" s="1"/>
      <c r="N951" s="1"/>
    </row>
    <row r="952" ht="15.75" customHeight="1">
      <c r="A952" t="s">
        <v>51</v>
      </c>
      <c r="B952" t="s">
        <v>37</v>
      </c>
      <c r="C952" t="s">
        <v>4909</v>
      </c>
      <c r="D952" t="s">
        <v>1013</v>
      </c>
      <c r="E952">
        <v>114825.0</v>
      </c>
      <c r="F952">
        <v>32995.56</v>
      </c>
      <c r="G952">
        <v>13745.66</v>
      </c>
      <c r="H952">
        <v>2460.8</v>
      </c>
      <c r="I952">
        <v>161566.22</v>
      </c>
      <c r="J952">
        <v>159105.42</v>
      </c>
      <c r="K952" s="1"/>
      <c r="L952" s="1"/>
      <c r="M952" s="1"/>
      <c r="N952" s="1"/>
    </row>
    <row r="953" ht="15.75" customHeight="1">
      <c r="A953" t="s">
        <v>13</v>
      </c>
      <c r="B953" t="s">
        <v>26</v>
      </c>
      <c r="C953" t="s">
        <v>4905</v>
      </c>
      <c r="D953" t="s">
        <v>1015</v>
      </c>
      <c r="E953">
        <v>91859.36</v>
      </c>
      <c r="F953">
        <v>31365.79</v>
      </c>
      <c r="G953">
        <v>1915.08</v>
      </c>
      <c r="H953">
        <v>6437.08</v>
      </c>
      <c r="I953">
        <v>125140.23</v>
      </c>
      <c r="J953">
        <v>118703.15</v>
      </c>
      <c r="K953" s="1"/>
      <c r="L953" s="1"/>
      <c r="M953" s="1"/>
      <c r="N953" s="1"/>
    </row>
    <row r="954" ht="15.75" customHeight="1">
      <c r="A954" t="s">
        <v>25</v>
      </c>
      <c r="B954" t="s">
        <v>54</v>
      </c>
      <c r="C954" t="s">
        <v>4908</v>
      </c>
      <c r="D954" t="s">
        <v>1017</v>
      </c>
      <c r="E954">
        <v>77859.14</v>
      </c>
      <c r="F954">
        <v>9540.4</v>
      </c>
      <c r="G954">
        <v>18451.45</v>
      </c>
      <c r="H954">
        <v>19455.14</v>
      </c>
      <c r="I954">
        <v>105850.99</v>
      </c>
      <c r="J954">
        <v>86395.85</v>
      </c>
      <c r="K954" s="1"/>
      <c r="L954" s="1"/>
      <c r="M954" s="1"/>
      <c r="N954" s="1"/>
    </row>
    <row r="955" ht="15.75" customHeight="1">
      <c r="A955" t="s">
        <v>51</v>
      </c>
      <c r="B955" t="s">
        <v>37</v>
      </c>
      <c r="C955" t="s">
        <v>4905</v>
      </c>
      <c r="D955" t="s">
        <v>1019</v>
      </c>
      <c r="E955">
        <v>31381.96</v>
      </c>
      <c r="F955">
        <v>9372.98</v>
      </c>
      <c r="G955">
        <v>11369.44</v>
      </c>
      <c r="H955">
        <v>13452.8</v>
      </c>
      <c r="I955">
        <v>52124.38</v>
      </c>
      <c r="J955">
        <v>38671.58</v>
      </c>
      <c r="K955" s="1"/>
      <c r="L955" s="1"/>
      <c r="M955" s="1"/>
      <c r="N955" s="1"/>
    </row>
    <row r="956" ht="15.75" customHeight="1">
      <c r="A956" t="s">
        <v>36</v>
      </c>
      <c r="B956" t="s">
        <v>54</v>
      </c>
      <c r="C956" t="s">
        <v>4911</v>
      </c>
      <c r="D956" t="s">
        <v>1020</v>
      </c>
      <c r="E956">
        <v>21098.78</v>
      </c>
      <c r="F956">
        <v>16998.69</v>
      </c>
      <c r="G956">
        <v>15130.77</v>
      </c>
      <c r="H956">
        <v>11004.41</v>
      </c>
      <c r="I956">
        <v>53228.24</v>
      </c>
      <c r="J956">
        <v>42223.83</v>
      </c>
      <c r="K956" s="1"/>
      <c r="L956" s="1"/>
      <c r="M956" s="1"/>
      <c r="N956" s="1"/>
    </row>
    <row r="957" ht="15.75" customHeight="1">
      <c r="A957" t="s">
        <v>51</v>
      </c>
      <c r="B957" t="s">
        <v>30</v>
      </c>
      <c r="C957" t="s">
        <v>4915</v>
      </c>
      <c r="D957" t="s">
        <v>1022</v>
      </c>
      <c r="E957">
        <v>105948.5</v>
      </c>
      <c r="F957">
        <v>18704.4</v>
      </c>
      <c r="G957">
        <v>5147.31</v>
      </c>
      <c r="H957">
        <v>21810.4</v>
      </c>
      <c r="I957">
        <v>129800.21</v>
      </c>
      <c r="J957">
        <v>107989.81</v>
      </c>
      <c r="K957" s="1"/>
      <c r="L957" s="1"/>
      <c r="M957" s="1"/>
      <c r="N957" s="1"/>
    </row>
    <row r="958" ht="15.75" customHeight="1">
      <c r="A958" t="s">
        <v>51</v>
      </c>
      <c r="B958" t="s">
        <v>18</v>
      </c>
      <c r="C958" t="s">
        <v>4910</v>
      </c>
      <c r="D958" t="s">
        <v>1024</v>
      </c>
      <c r="E958">
        <v>78117.08</v>
      </c>
      <c r="F958">
        <v>28469.1</v>
      </c>
      <c r="G958">
        <v>13870.2</v>
      </c>
      <c r="H958">
        <v>11499.41</v>
      </c>
      <c r="I958">
        <v>120456.38</v>
      </c>
      <c r="J958">
        <v>108956.97</v>
      </c>
      <c r="K958" s="1"/>
      <c r="L958" s="1"/>
      <c r="M958" s="1"/>
      <c r="N958" s="1"/>
    </row>
    <row r="959" ht="15.75" customHeight="1">
      <c r="A959" t="s">
        <v>36</v>
      </c>
      <c r="B959" t="s">
        <v>33</v>
      </c>
      <c r="C959" t="s">
        <v>4907</v>
      </c>
      <c r="D959" t="s">
        <v>1025</v>
      </c>
      <c r="E959">
        <v>89347.62</v>
      </c>
      <c r="F959">
        <v>6040.5</v>
      </c>
      <c r="G959">
        <v>794.22</v>
      </c>
      <c r="H959">
        <v>24491.58</v>
      </c>
      <c r="I959">
        <v>96182.34</v>
      </c>
      <c r="J959">
        <v>71690.76</v>
      </c>
      <c r="K959" s="1"/>
      <c r="L959" s="1"/>
      <c r="M959" s="1"/>
      <c r="N959" s="1"/>
    </row>
    <row r="960" ht="15.75" customHeight="1">
      <c r="A960" t="s">
        <v>13</v>
      </c>
      <c r="B960" t="s">
        <v>14</v>
      </c>
      <c r="C960" t="s">
        <v>4908</v>
      </c>
      <c r="D960" t="s">
        <v>1027</v>
      </c>
      <c r="E960">
        <v>17161.37</v>
      </c>
      <c r="F960">
        <v>5248.22</v>
      </c>
      <c r="G960">
        <v>16788.16</v>
      </c>
      <c r="H960">
        <v>24015.94</v>
      </c>
      <c r="I960">
        <v>39197.75</v>
      </c>
      <c r="J960">
        <v>15181.81</v>
      </c>
      <c r="K960" s="1"/>
      <c r="L960" s="1"/>
      <c r="M960" s="1"/>
      <c r="N960" s="1"/>
    </row>
    <row r="961" ht="15.75" customHeight="1">
      <c r="A961" t="s">
        <v>29</v>
      </c>
      <c r="B961" t="s">
        <v>26</v>
      </c>
      <c r="C961" t="s">
        <v>4908</v>
      </c>
      <c r="D961" t="s">
        <v>1028</v>
      </c>
      <c r="E961">
        <v>116840.53</v>
      </c>
      <c r="F961">
        <v>18108.78</v>
      </c>
      <c r="G961">
        <v>8963.42</v>
      </c>
      <c r="H961">
        <v>8563.85</v>
      </c>
      <c r="I961">
        <v>143912.73</v>
      </c>
      <c r="J961">
        <v>135348.88</v>
      </c>
      <c r="K961" s="1"/>
      <c r="L961" s="1"/>
      <c r="M961" s="1"/>
      <c r="N961" s="1"/>
    </row>
    <row r="962" ht="15.75" customHeight="1">
      <c r="A962" t="s">
        <v>17</v>
      </c>
      <c r="B962" t="s">
        <v>14</v>
      </c>
      <c r="C962" t="s">
        <v>4908</v>
      </c>
      <c r="D962" t="s">
        <v>1029</v>
      </c>
      <c r="E962">
        <v>102406.48</v>
      </c>
      <c r="F962">
        <v>29097.89</v>
      </c>
      <c r="G962">
        <v>12733.86</v>
      </c>
      <c r="H962">
        <v>22205.13</v>
      </c>
      <c r="I962">
        <v>144238.23</v>
      </c>
      <c r="J962">
        <v>122033.1</v>
      </c>
      <c r="K962" s="1"/>
      <c r="L962" s="1"/>
      <c r="M962" s="1"/>
      <c r="N962" s="1"/>
    </row>
    <row r="963" ht="15.75" customHeight="1">
      <c r="A963" t="s">
        <v>17</v>
      </c>
      <c r="B963" t="s">
        <v>33</v>
      </c>
      <c r="C963" t="s">
        <v>4916</v>
      </c>
      <c r="D963" t="s">
        <v>1030</v>
      </c>
      <c r="E963">
        <v>37295.61</v>
      </c>
      <c r="F963">
        <v>10963.67</v>
      </c>
      <c r="G963">
        <v>4424.76</v>
      </c>
      <c r="H963">
        <v>21266.48</v>
      </c>
      <c r="I963">
        <v>52684.04</v>
      </c>
      <c r="J963">
        <v>31417.56</v>
      </c>
      <c r="K963" s="1"/>
      <c r="L963" s="1"/>
      <c r="M963" s="1"/>
      <c r="N963" s="1"/>
    </row>
    <row r="964" ht="15.75" customHeight="1">
      <c r="A964" t="s">
        <v>53</v>
      </c>
      <c r="B964" t="s">
        <v>37</v>
      </c>
      <c r="C964" t="s">
        <v>4916</v>
      </c>
      <c r="D964" t="s">
        <v>1032</v>
      </c>
      <c r="E964">
        <v>34091.62</v>
      </c>
      <c r="F964">
        <v>27094.16</v>
      </c>
      <c r="G964">
        <v>13541.47</v>
      </c>
      <c r="H964">
        <v>5661.67</v>
      </c>
      <c r="I964">
        <v>74727.25</v>
      </c>
      <c r="J964">
        <v>69065.58</v>
      </c>
      <c r="K964" s="1"/>
      <c r="L964" s="1"/>
      <c r="M964" s="1"/>
      <c r="N964" s="1"/>
    </row>
    <row r="965" ht="15.75" customHeight="1">
      <c r="A965" t="s">
        <v>29</v>
      </c>
      <c r="B965" t="s">
        <v>37</v>
      </c>
      <c r="C965" t="s">
        <v>4914</v>
      </c>
      <c r="D965" t="s">
        <v>1033</v>
      </c>
      <c r="E965">
        <v>34257.47</v>
      </c>
      <c r="F965">
        <v>13353.81</v>
      </c>
      <c r="G965">
        <v>15444.81</v>
      </c>
      <c r="H965">
        <v>15795.11</v>
      </c>
      <c r="I965">
        <v>63056.09</v>
      </c>
      <c r="J965">
        <v>47260.98</v>
      </c>
      <c r="K965" s="1"/>
      <c r="L965" s="1"/>
      <c r="M965" s="1"/>
      <c r="N965" s="1"/>
    </row>
    <row r="966" ht="15.75" customHeight="1">
      <c r="A966" t="s">
        <v>29</v>
      </c>
      <c r="B966" t="s">
        <v>30</v>
      </c>
      <c r="C966" t="s">
        <v>4914</v>
      </c>
      <c r="D966" t="s">
        <v>1035</v>
      </c>
      <c r="E966">
        <v>46945.44</v>
      </c>
      <c r="F966">
        <v>35899.1</v>
      </c>
      <c r="G966">
        <v>9464.26</v>
      </c>
      <c r="H966">
        <v>2280.72</v>
      </c>
      <c r="I966">
        <v>92308.8</v>
      </c>
      <c r="J966">
        <v>90028.08</v>
      </c>
      <c r="K966" s="1"/>
      <c r="L966" s="1"/>
      <c r="M966" s="1"/>
      <c r="N966" s="1"/>
    </row>
    <row r="967" ht="15.75" customHeight="1">
      <c r="A967" t="s">
        <v>29</v>
      </c>
      <c r="B967" t="s">
        <v>26</v>
      </c>
      <c r="C967" t="s">
        <v>4909</v>
      </c>
      <c r="D967" t="s">
        <v>1036</v>
      </c>
      <c r="E967">
        <v>70099.43</v>
      </c>
      <c r="F967">
        <v>36244.84</v>
      </c>
      <c r="G967">
        <v>12354.54</v>
      </c>
      <c r="H967">
        <v>20999.41</v>
      </c>
      <c r="I967">
        <v>118698.81</v>
      </c>
      <c r="J967">
        <v>97699.4</v>
      </c>
      <c r="K967" s="1"/>
      <c r="L967" s="1"/>
      <c r="M967" s="1"/>
      <c r="N967" s="1"/>
    </row>
    <row r="968" ht="15.75" customHeight="1">
      <c r="A968" t="s">
        <v>29</v>
      </c>
      <c r="B968" t="s">
        <v>30</v>
      </c>
      <c r="C968" t="s">
        <v>4915</v>
      </c>
      <c r="D968" t="s">
        <v>1037</v>
      </c>
      <c r="E968">
        <v>60354.23</v>
      </c>
      <c r="F968">
        <v>14702.34</v>
      </c>
      <c r="G968">
        <v>9126.52</v>
      </c>
      <c r="H968">
        <v>4776.37</v>
      </c>
      <c r="I968">
        <v>84183.09</v>
      </c>
      <c r="J968">
        <v>79406.72</v>
      </c>
      <c r="K968" s="1"/>
      <c r="L968" s="1"/>
      <c r="M968" s="1"/>
      <c r="N968" s="1"/>
    </row>
    <row r="969" ht="15.75" customHeight="1">
      <c r="A969" t="s">
        <v>17</v>
      </c>
      <c r="B969" t="s">
        <v>18</v>
      </c>
      <c r="C969" t="s">
        <v>4907</v>
      </c>
      <c r="D969" t="s">
        <v>1038</v>
      </c>
      <c r="E969">
        <v>45579.06</v>
      </c>
      <c r="F969">
        <v>12279.78</v>
      </c>
      <c r="G969">
        <v>17881.83</v>
      </c>
      <c r="H969">
        <v>2234.96</v>
      </c>
      <c r="I969">
        <v>75740.67</v>
      </c>
      <c r="J969">
        <v>73505.71</v>
      </c>
      <c r="K969" s="1"/>
      <c r="L969" s="1"/>
      <c r="M969" s="1"/>
      <c r="N969" s="1"/>
    </row>
    <row r="970" ht="15.75" customHeight="1">
      <c r="A970" t="s">
        <v>25</v>
      </c>
      <c r="B970" t="s">
        <v>14</v>
      </c>
      <c r="C970" t="s">
        <v>4912</v>
      </c>
      <c r="D970" t="s">
        <v>1039</v>
      </c>
      <c r="E970">
        <v>79244.55</v>
      </c>
      <c r="F970">
        <v>18806.94</v>
      </c>
      <c r="G970">
        <v>9957.38</v>
      </c>
      <c r="H970">
        <v>10305.37</v>
      </c>
      <c r="I970">
        <v>108008.87</v>
      </c>
      <c r="J970">
        <v>97703.5</v>
      </c>
      <c r="K970" s="1"/>
      <c r="L970" s="1"/>
      <c r="M970" s="1"/>
      <c r="N970" s="1"/>
    </row>
    <row r="971" ht="15.75" customHeight="1">
      <c r="A971" t="s">
        <v>51</v>
      </c>
      <c r="B971" t="s">
        <v>30</v>
      </c>
      <c r="C971" t="s">
        <v>4917</v>
      </c>
      <c r="D971" t="s">
        <v>1041</v>
      </c>
      <c r="E971">
        <v>29646.86</v>
      </c>
      <c r="F971">
        <v>12659.14</v>
      </c>
      <c r="G971">
        <v>16836.17</v>
      </c>
      <c r="H971">
        <v>14634.59</v>
      </c>
      <c r="I971">
        <v>59142.17</v>
      </c>
      <c r="J971">
        <v>44507.58</v>
      </c>
      <c r="K971" s="1"/>
      <c r="L971" s="1"/>
      <c r="M971" s="1"/>
      <c r="N971" s="1"/>
    </row>
    <row r="972" ht="15.75" customHeight="1">
      <c r="A972" t="s">
        <v>51</v>
      </c>
      <c r="B972" t="s">
        <v>30</v>
      </c>
      <c r="C972" t="s">
        <v>4909</v>
      </c>
      <c r="D972" t="s">
        <v>1043</v>
      </c>
      <c r="E972">
        <v>45675.19</v>
      </c>
      <c r="F972">
        <v>28205.82</v>
      </c>
      <c r="G972">
        <v>16027.04</v>
      </c>
      <c r="H972">
        <v>21445.47</v>
      </c>
      <c r="I972">
        <v>89908.05</v>
      </c>
      <c r="J972">
        <v>68462.58</v>
      </c>
      <c r="K972" s="1"/>
      <c r="L972" s="1"/>
      <c r="M972" s="1"/>
      <c r="N972" s="1"/>
    </row>
    <row r="973" ht="15.75" customHeight="1">
      <c r="A973" t="s">
        <v>36</v>
      </c>
      <c r="B973" t="s">
        <v>37</v>
      </c>
      <c r="C973" t="s">
        <v>4908</v>
      </c>
      <c r="D973" t="s">
        <v>1044</v>
      </c>
      <c r="E973">
        <v>53467.99</v>
      </c>
      <c r="F973">
        <v>33738.33</v>
      </c>
      <c r="G973">
        <v>8210.1</v>
      </c>
      <c r="H973">
        <v>24368.94</v>
      </c>
      <c r="I973">
        <v>95416.42</v>
      </c>
      <c r="J973">
        <v>71047.48</v>
      </c>
      <c r="K973" s="1"/>
      <c r="L973" s="1"/>
      <c r="M973" s="1"/>
      <c r="N973" s="1"/>
    </row>
    <row r="974" ht="15.75" customHeight="1">
      <c r="A974" t="s">
        <v>51</v>
      </c>
      <c r="B974" t="s">
        <v>18</v>
      </c>
      <c r="C974" t="s">
        <v>4914</v>
      </c>
      <c r="D974" t="s">
        <v>1045</v>
      </c>
      <c r="E974">
        <v>62887.35</v>
      </c>
      <c r="F974">
        <v>28231.32</v>
      </c>
      <c r="G974">
        <v>4601.69</v>
      </c>
      <c r="H974">
        <v>11267.57</v>
      </c>
      <c r="I974">
        <v>95720.36</v>
      </c>
      <c r="J974">
        <v>84452.79</v>
      </c>
      <c r="K974" s="1"/>
      <c r="L974" s="1"/>
      <c r="M974" s="1"/>
      <c r="N974" s="1"/>
    </row>
    <row r="975" ht="15.75" customHeight="1">
      <c r="A975" t="s">
        <v>25</v>
      </c>
      <c r="B975" t="s">
        <v>33</v>
      </c>
      <c r="C975" t="s">
        <v>4909</v>
      </c>
      <c r="D975" t="s">
        <v>1046</v>
      </c>
      <c r="E975">
        <v>97443.48</v>
      </c>
      <c r="F975">
        <v>33676.62</v>
      </c>
      <c r="G975">
        <v>8121.64</v>
      </c>
      <c r="H975">
        <v>1980.95</v>
      </c>
      <c r="I975">
        <v>139241.74</v>
      </c>
      <c r="J975">
        <v>137260.79</v>
      </c>
      <c r="K975" s="1"/>
      <c r="L975" s="1"/>
      <c r="M975" s="1"/>
      <c r="N975" s="1"/>
    </row>
    <row r="976" ht="15.75" customHeight="1">
      <c r="A976" t="s">
        <v>25</v>
      </c>
      <c r="B976" t="s">
        <v>18</v>
      </c>
      <c r="C976" t="s">
        <v>4914</v>
      </c>
      <c r="D976" t="s">
        <v>1047</v>
      </c>
      <c r="E976">
        <v>35965.75</v>
      </c>
      <c r="F976">
        <v>18291.72</v>
      </c>
      <c r="G976">
        <v>16524.35</v>
      </c>
      <c r="H976">
        <v>18853.33</v>
      </c>
      <c r="I976">
        <v>70781.82</v>
      </c>
      <c r="J976">
        <v>51928.49</v>
      </c>
      <c r="K976" s="1"/>
      <c r="L976" s="1"/>
      <c r="M976" s="1"/>
      <c r="N976" s="1"/>
    </row>
    <row r="977" ht="15.75" customHeight="1">
      <c r="A977" t="s">
        <v>53</v>
      </c>
      <c r="B977" t="s">
        <v>30</v>
      </c>
      <c r="C977" t="s">
        <v>4909</v>
      </c>
      <c r="D977" t="s">
        <v>1048</v>
      </c>
      <c r="E977">
        <v>68994.62</v>
      </c>
      <c r="F977">
        <v>9627.41</v>
      </c>
      <c r="G977">
        <v>4552.65</v>
      </c>
      <c r="H977">
        <v>14346.74</v>
      </c>
      <c r="I977">
        <v>83174.68</v>
      </c>
      <c r="J977">
        <v>68827.94</v>
      </c>
      <c r="K977" s="1"/>
      <c r="L977" s="1"/>
      <c r="M977" s="1"/>
      <c r="N977" s="1"/>
    </row>
    <row r="978" ht="15.75" customHeight="1">
      <c r="A978" t="s">
        <v>13</v>
      </c>
      <c r="B978" t="s">
        <v>30</v>
      </c>
      <c r="C978" t="s">
        <v>4914</v>
      </c>
      <c r="D978" t="s">
        <v>1049</v>
      </c>
      <c r="E978">
        <v>77203.53</v>
      </c>
      <c r="F978">
        <v>30566.23</v>
      </c>
      <c r="G978">
        <v>10488.73</v>
      </c>
      <c r="H978">
        <v>11473.34</v>
      </c>
      <c r="I978">
        <v>118258.49</v>
      </c>
      <c r="J978">
        <v>106785.15</v>
      </c>
      <c r="K978" s="1"/>
      <c r="L978" s="1"/>
      <c r="M978" s="1"/>
      <c r="N978" s="1"/>
    </row>
    <row r="979" ht="15.75" customHeight="1">
      <c r="A979" t="s">
        <v>13</v>
      </c>
      <c r="B979" t="s">
        <v>33</v>
      </c>
      <c r="C979" t="s">
        <v>4908</v>
      </c>
      <c r="D979" t="s">
        <v>1050</v>
      </c>
      <c r="E979">
        <v>19877.29</v>
      </c>
      <c r="F979">
        <v>16977.08</v>
      </c>
      <c r="G979">
        <v>16121.93</v>
      </c>
      <c r="H979">
        <v>8077.09</v>
      </c>
      <c r="I979">
        <v>52976.3</v>
      </c>
      <c r="J979">
        <v>44899.21</v>
      </c>
      <c r="K979" s="1"/>
      <c r="L979" s="1"/>
      <c r="M979" s="1"/>
      <c r="N979" s="1"/>
    </row>
    <row r="980" ht="15.75" customHeight="1">
      <c r="A980" t="s">
        <v>53</v>
      </c>
      <c r="B980" t="s">
        <v>14</v>
      </c>
      <c r="C980" t="s">
        <v>4909</v>
      </c>
      <c r="D980" t="s">
        <v>1051</v>
      </c>
      <c r="E980">
        <v>78792.21</v>
      </c>
      <c r="F980">
        <v>28165.75</v>
      </c>
      <c r="G980">
        <v>7069.55</v>
      </c>
      <c r="H980">
        <v>12808.76</v>
      </c>
      <c r="I980">
        <v>114027.51</v>
      </c>
      <c r="J980">
        <v>101218.75</v>
      </c>
      <c r="K980" s="1"/>
      <c r="L980" s="1"/>
      <c r="M980" s="1"/>
      <c r="N980" s="1"/>
    </row>
    <row r="981" ht="15.75" customHeight="1">
      <c r="A981" t="s">
        <v>29</v>
      </c>
      <c r="B981" t="s">
        <v>14</v>
      </c>
      <c r="C981" t="s">
        <v>4915</v>
      </c>
      <c r="D981" t="s">
        <v>1052</v>
      </c>
      <c r="E981">
        <v>32905.03</v>
      </c>
      <c r="F981">
        <v>13743.18</v>
      </c>
      <c r="G981">
        <v>12844.19</v>
      </c>
      <c r="H981">
        <v>8797.65</v>
      </c>
      <c r="I981">
        <v>59492.4</v>
      </c>
      <c r="J981">
        <v>50694.75</v>
      </c>
      <c r="K981" s="1"/>
      <c r="L981" s="1"/>
      <c r="M981" s="1"/>
      <c r="N981" s="1"/>
    </row>
    <row r="982" ht="15.75" customHeight="1">
      <c r="A982" t="s">
        <v>36</v>
      </c>
      <c r="B982" t="s">
        <v>26</v>
      </c>
      <c r="C982" t="s">
        <v>4916</v>
      </c>
      <c r="D982" t="s">
        <v>1053</v>
      </c>
      <c r="E982">
        <v>21830.42</v>
      </c>
      <c r="F982">
        <v>6924.27</v>
      </c>
      <c r="G982">
        <v>4912.63</v>
      </c>
      <c r="H982">
        <v>19046.79</v>
      </c>
      <c r="I982">
        <v>33667.32</v>
      </c>
      <c r="J982">
        <v>14620.53</v>
      </c>
      <c r="K982" s="1"/>
      <c r="L982" s="1"/>
      <c r="M982" s="1"/>
      <c r="N982" s="1"/>
    </row>
    <row r="983" ht="15.75" customHeight="1">
      <c r="A983" t="s">
        <v>17</v>
      </c>
      <c r="B983" t="s">
        <v>37</v>
      </c>
      <c r="C983" t="s">
        <v>4908</v>
      </c>
      <c r="D983" t="s">
        <v>1054</v>
      </c>
      <c r="E983">
        <v>114632.98</v>
      </c>
      <c r="F983">
        <v>39732.94</v>
      </c>
      <c r="G983">
        <v>2185.59</v>
      </c>
      <c r="H983">
        <v>13825.4</v>
      </c>
      <c r="I983">
        <v>156551.51</v>
      </c>
      <c r="J983">
        <v>142726.11</v>
      </c>
      <c r="K983" s="1"/>
      <c r="L983" s="1"/>
      <c r="M983" s="1"/>
      <c r="N983" s="1"/>
    </row>
    <row r="984" ht="15.75" customHeight="1">
      <c r="A984" t="s">
        <v>53</v>
      </c>
      <c r="B984" t="s">
        <v>18</v>
      </c>
      <c r="C984" t="s">
        <v>4916</v>
      </c>
      <c r="D984" t="s">
        <v>1055</v>
      </c>
      <c r="E984">
        <v>116391.36</v>
      </c>
      <c r="F984">
        <v>9623.25</v>
      </c>
      <c r="G984">
        <v>15887.68</v>
      </c>
      <c r="H984">
        <v>21982.77</v>
      </c>
      <c r="I984">
        <v>141902.29</v>
      </c>
      <c r="J984">
        <v>119919.52</v>
      </c>
      <c r="K984" s="1"/>
      <c r="L984" s="1"/>
      <c r="M984" s="1"/>
      <c r="N984" s="1"/>
    </row>
    <row r="985" ht="15.75" customHeight="1">
      <c r="A985" t="s">
        <v>51</v>
      </c>
      <c r="B985" t="s">
        <v>14</v>
      </c>
      <c r="C985" t="s">
        <v>4914</v>
      </c>
      <c r="D985" t="s">
        <v>1056</v>
      </c>
      <c r="E985">
        <v>99881.72</v>
      </c>
      <c r="F985">
        <v>39583.16</v>
      </c>
      <c r="G985">
        <v>1979.37</v>
      </c>
      <c r="H985">
        <v>13816.83</v>
      </c>
      <c r="I985">
        <v>141444.25</v>
      </c>
      <c r="J985">
        <v>127627.42</v>
      </c>
      <c r="K985" s="1"/>
      <c r="L985" s="1"/>
      <c r="M985" s="1"/>
      <c r="N985" s="1"/>
    </row>
    <row r="986" ht="15.75" customHeight="1">
      <c r="A986" t="s">
        <v>51</v>
      </c>
      <c r="B986" t="s">
        <v>54</v>
      </c>
      <c r="C986" t="s">
        <v>4910</v>
      </c>
      <c r="D986" t="s">
        <v>1057</v>
      </c>
      <c r="E986">
        <v>46984.45</v>
      </c>
      <c r="F986">
        <v>39182.08</v>
      </c>
      <c r="G986">
        <v>5427.63</v>
      </c>
      <c r="H986">
        <v>6337.43</v>
      </c>
      <c r="I986">
        <v>91594.16</v>
      </c>
      <c r="J986">
        <v>85256.73</v>
      </c>
      <c r="K986" s="1"/>
      <c r="L986" s="1"/>
      <c r="M986" s="1"/>
      <c r="N986" s="1"/>
    </row>
    <row r="987" ht="15.75" customHeight="1">
      <c r="A987" t="s">
        <v>17</v>
      </c>
      <c r="B987" t="s">
        <v>30</v>
      </c>
      <c r="C987" t="s">
        <v>4916</v>
      </c>
      <c r="D987" t="s">
        <v>1058</v>
      </c>
      <c r="E987">
        <v>25255.57</v>
      </c>
      <c r="F987">
        <v>32577.45</v>
      </c>
      <c r="G987">
        <v>17102.19</v>
      </c>
      <c r="H987">
        <v>21351.75</v>
      </c>
      <c r="I987">
        <v>74935.21</v>
      </c>
      <c r="J987">
        <v>53583.46</v>
      </c>
      <c r="K987" s="1"/>
      <c r="L987" s="1"/>
      <c r="M987" s="1"/>
      <c r="N987" s="1"/>
    </row>
    <row r="988" ht="15.75" customHeight="1">
      <c r="A988" t="s">
        <v>13</v>
      </c>
      <c r="B988" t="s">
        <v>37</v>
      </c>
      <c r="C988" t="s">
        <v>4907</v>
      </c>
      <c r="D988" t="s">
        <v>1059</v>
      </c>
      <c r="E988">
        <v>86844.47</v>
      </c>
      <c r="F988">
        <v>27739.23</v>
      </c>
      <c r="G988">
        <v>6929.39</v>
      </c>
      <c r="H988">
        <v>14151.87</v>
      </c>
      <c r="I988">
        <v>121513.09</v>
      </c>
      <c r="J988">
        <v>107361.22</v>
      </c>
      <c r="K988" s="1"/>
      <c r="L988" s="1"/>
      <c r="M988" s="1"/>
      <c r="N988" s="1"/>
    </row>
    <row r="989" ht="15.75" customHeight="1">
      <c r="A989" t="s">
        <v>53</v>
      </c>
      <c r="B989" t="s">
        <v>54</v>
      </c>
      <c r="C989" t="s">
        <v>4916</v>
      </c>
      <c r="D989" t="s">
        <v>1060</v>
      </c>
      <c r="E989">
        <v>61216.01</v>
      </c>
      <c r="F989">
        <v>24801.05</v>
      </c>
      <c r="G989">
        <v>19460.91</v>
      </c>
      <c r="H989">
        <v>5567.61</v>
      </c>
      <c r="I989">
        <v>105477.97</v>
      </c>
      <c r="J989">
        <v>99910.36</v>
      </c>
      <c r="K989" s="1"/>
      <c r="L989" s="1"/>
      <c r="M989" s="1"/>
      <c r="N989" s="1"/>
    </row>
    <row r="990" ht="15.75" customHeight="1">
      <c r="A990" t="s">
        <v>29</v>
      </c>
      <c r="B990" t="s">
        <v>18</v>
      </c>
      <c r="C990" t="s">
        <v>4913</v>
      </c>
      <c r="D990" t="s">
        <v>1061</v>
      </c>
      <c r="E990">
        <v>27814.01</v>
      </c>
      <c r="F990">
        <v>35179.66</v>
      </c>
      <c r="G990">
        <v>19594.69</v>
      </c>
      <c r="H990">
        <v>15775.94</v>
      </c>
      <c r="I990">
        <v>82588.36</v>
      </c>
      <c r="J990">
        <v>66812.42</v>
      </c>
      <c r="K990" s="1"/>
      <c r="L990" s="1"/>
      <c r="M990" s="1"/>
      <c r="N990" s="1"/>
    </row>
    <row r="991" ht="15.75" customHeight="1">
      <c r="A991" t="s">
        <v>36</v>
      </c>
      <c r="B991" t="s">
        <v>54</v>
      </c>
      <c r="C991" t="s">
        <v>4909</v>
      </c>
      <c r="D991" t="s">
        <v>1063</v>
      </c>
      <c r="E991">
        <v>66993.58</v>
      </c>
      <c r="F991">
        <v>14419.82</v>
      </c>
      <c r="G991">
        <v>5365.52</v>
      </c>
      <c r="H991">
        <v>9264.06</v>
      </c>
      <c r="I991">
        <v>86778.92</v>
      </c>
      <c r="J991">
        <v>77514.86</v>
      </c>
      <c r="K991" s="1"/>
      <c r="L991" s="1"/>
      <c r="M991" s="1"/>
      <c r="N991" s="1"/>
    </row>
    <row r="992" ht="15.75" customHeight="1">
      <c r="A992" t="s">
        <v>25</v>
      </c>
      <c r="B992" t="s">
        <v>18</v>
      </c>
      <c r="C992" t="s">
        <v>4905</v>
      </c>
      <c r="D992" t="s">
        <v>1064</v>
      </c>
      <c r="E992">
        <v>18610.79</v>
      </c>
      <c r="F992">
        <v>20836.52</v>
      </c>
      <c r="G992">
        <v>819.56</v>
      </c>
      <c r="H992">
        <v>21187.94</v>
      </c>
      <c r="I992">
        <v>40266.87</v>
      </c>
      <c r="J992">
        <v>19078.93</v>
      </c>
      <c r="K992" s="1"/>
      <c r="L992" s="1"/>
      <c r="M992" s="1"/>
      <c r="N992" s="1"/>
    </row>
    <row r="993" ht="15.75" customHeight="1">
      <c r="A993" t="s">
        <v>13</v>
      </c>
      <c r="B993" t="s">
        <v>26</v>
      </c>
      <c r="C993" t="s">
        <v>4914</v>
      </c>
      <c r="D993" t="s">
        <v>1065</v>
      </c>
      <c r="E993">
        <v>110478.64</v>
      </c>
      <c r="F993">
        <v>26298.04</v>
      </c>
      <c r="G993">
        <v>14101.27</v>
      </c>
      <c r="H993">
        <v>11605.84</v>
      </c>
      <c r="I993">
        <v>150877.95</v>
      </c>
      <c r="J993">
        <v>139272.11</v>
      </c>
      <c r="K993" s="1"/>
      <c r="L993" s="1"/>
      <c r="M993" s="1"/>
      <c r="N993" s="1"/>
    </row>
    <row r="994" ht="15.75" customHeight="1">
      <c r="A994" t="s">
        <v>36</v>
      </c>
      <c r="B994" t="s">
        <v>37</v>
      </c>
      <c r="C994" t="s">
        <v>4917</v>
      </c>
      <c r="D994" t="s">
        <v>1066</v>
      </c>
      <c r="E994">
        <v>42171.9</v>
      </c>
      <c r="F994">
        <v>18802.86</v>
      </c>
      <c r="G994">
        <v>9019.73</v>
      </c>
      <c r="H994">
        <v>18297.81</v>
      </c>
      <c r="I994">
        <v>69994.49</v>
      </c>
      <c r="J994">
        <v>51696.68</v>
      </c>
      <c r="K994" s="1"/>
      <c r="L994" s="1"/>
      <c r="M994" s="1"/>
      <c r="N994" s="1"/>
    </row>
    <row r="995" ht="15.75" customHeight="1">
      <c r="A995" t="s">
        <v>29</v>
      </c>
      <c r="B995" t="s">
        <v>30</v>
      </c>
      <c r="C995" t="s">
        <v>4908</v>
      </c>
      <c r="D995" t="s">
        <v>1067</v>
      </c>
      <c r="E995">
        <v>84564.84</v>
      </c>
      <c r="F995">
        <v>19389.51</v>
      </c>
      <c r="G995">
        <v>2015.06</v>
      </c>
      <c r="H995">
        <v>2840.64</v>
      </c>
      <c r="I995">
        <v>105969.41</v>
      </c>
      <c r="J995">
        <v>103128.77</v>
      </c>
      <c r="K995" s="1"/>
      <c r="L995" s="1"/>
      <c r="M995" s="1"/>
      <c r="N995" s="1"/>
    </row>
    <row r="996" ht="15.75" customHeight="1">
      <c r="A996" t="s">
        <v>51</v>
      </c>
      <c r="B996" t="s">
        <v>30</v>
      </c>
      <c r="C996" t="s">
        <v>4916</v>
      </c>
      <c r="D996" t="s">
        <v>1068</v>
      </c>
      <c r="E996">
        <v>47729.66</v>
      </c>
      <c r="F996">
        <v>15890.25</v>
      </c>
      <c r="G996">
        <v>14150.46</v>
      </c>
      <c r="H996">
        <v>10202.6</v>
      </c>
      <c r="I996">
        <v>77770.37</v>
      </c>
      <c r="J996">
        <v>67567.77</v>
      </c>
      <c r="K996" s="1"/>
      <c r="L996" s="1"/>
      <c r="M996" s="1"/>
      <c r="N996" s="1"/>
    </row>
    <row r="997" ht="15.75" customHeight="1">
      <c r="A997" t="s">
        <v>53</v>
      </c>
      <c r="B997" t="s">
        <v>18</v>
      </c>
      <c r="C997" t="s">
        <v>4917</v>
      </c>
      <c r="D997" t="s">
        <v>1069</v>
      </c>
      <c r="E997">
        <v>69607.14</v>
      </c>
      <c r="F997">
        <v>24312.35</v>
      </c>
      <c r="G997">
        <v>623.5</v>
      </c>
      <c r="H997">
        <v>24589.42</v>
      </c>
      <c r="I997">
        <v>94542.99</v>
      </c>
      <c r="J997">
        <v>69953.57</v>
      </c>
      <c r="K997" s="1"/>
      <c r="L997" s="1"/>
      <c r="M997" s="1"/>
      <c r="N997" s="1"/>
    </row>
    <row r="998" ht="15.75" customHeight="1">
      <c r="A998" t="s">
        <v>13</v>
      </c>
      <c r="B998" t="s">
        <v>26</v>
      </c>
      <c r="C998" t="s">
        <v>4914</v>
      </c>
      <c r="D998" t="s">
        <v>1070</v>
      </c>
      <c r="E998">
        <v>71656.69906138915</v>
      </c>
      <c r="F998">
        <v>11255.02</v>
      </c>
      <c r="G998">
        <v>2773.05</v>
      </c>
      <c r="H998">
        <v>4418.55</v>
      </c>
      <c r="I998">
        <v>85684.77</v>
      </c>
      <c r="J998">
        <v>81266.22</v>
      </c>
      <c r="K998" s="1"/>
      <c r="L998" s="1"/>
      <c r="M998" s="1"/>
      <c r="N998" s="1"/>
    </row>
    <row r="999" ht="15.75" customHeight="1">
      <c r="A999" t="s">
        <v>51</v>
      </c>
      <c r="B999" t="s">
        <v>14</v>
      </c>
      <c r="C999" t="s">
        <v>4907</v>
      </c>
      <c r="D999" t="s">
        <v>1071</v>
      </c>
      <c r="E999">
        <v>116806.39</v>
      </c>
      <c r="F999">
        <v>37639.59</v>
      </c>
      <c r="G999">
        <v>2546.24</v>
      </c>
      <c r="H999">
        <v>7305.22</v>
      </c>
      <c r="I999">
        <v>156992.22</v>
      </c>
      <c r="J999">
        <v>149687.0</v>
      </c>
      <c r="K999" s="1"/>
      <c r="L999" s="1"/>
      <c r="M999" s="1"/>
      <c r="N999" s="1"/>
    </row>
    <row r="1000" ht="15.75" customHeight="1">
      <c r="A1000" t="s">
        <v>25</v>
      </c>
      <c r="B1000" t="s">
        <v>37</v>
      </c>
      <c r="C1000" t="s">
        <v>4910</v>
      </c>
      <c r="D1000" t="s">
        <v>1072</v>
      </c>
      <c r="E1000">
        <v>96388.95</v>
      </c>
      <c r="F1000">
        <v>28807.16</v>
      </c>
      <c r="G1000">
        <v>3513.45</v>
      </c>
      <c r="H1000">
        <v>8580.49</v>
      </c>
      <c r="I1000">
        <v>128709.56</v>
      </c>
      <c r="J1000">
        <v>120129.07</v>
      </c>
      <c r="K1000" s="1"/>
      <c r="L1000" s="1"/>
      <c r="M1000" s="1"/>
      <c r="N1000" s="1"/>
    </row>
    <row r="1001" ht="15.75" customHeight="1">
      <c r="A1001" t="s">
        <v>25</v>
      </c>
      <c r="B1001" t="s">
        <v>54</v>
      </c>
      <c r="C1001" t="s">
        <v>4913</v>
      </c>
      <c r="D1001" t="s">
        <v>1073</v>
      </c>
      <c r="E1001">
        <v>113647.39</v>
      </c>
      <c r="F1001">
        <v>33637.84</v>
      </c>
      <c r="G1001">
        <v>19205.33</v>
      </c>
      <c r="H1001">
        <v>16433.96</v>
      </c>
      <c r="I1001">
        <v>166490.56</v>
      </c>
      <c r="J1001">
        <v>150056.6</v>
      </c>
      <c r="K1001" s="1"/>
      <c r="L1001" s="1"/>
      <c r="M1001" s="1"/>
      <c r="N1001" s="1"/>
    </row>
    <row r="1002" ht="15.75" customHeight="1">
      <c r="A1002" t="s">
        <v>36</v>
      </c>
      <c r="B1002" t="s">
        <v>30</v>
      </c>
      <c r="C1002" t="s">
        <v>4916</v>
      </c>
      <c r="D1002" t="s">
        <v>1074</v>
      </c>
      <c r="E1002">
        <v>108956.87</v>
      </c>
      <c r="F1002">
        <v>24022.86</v>
      </c>
      <c r="G1002">
        <v>13863.39</v>
      </c>
      <c r="H1002">
        <v>19046.37</v>
      </c>
      <c r="I1002">
        <v>146843.12</v>
      </c>
      <c r="J1002">
        <v>127796.75</v>
      </c>
      <c r="K1002" s="1"/>
      <c r="L1002" s="1"/>
      <c r="M1002" s="1"/>
      <c r="N1002" s="1"/>
    </row>
    <row r="1003" ht="15.75" customHeight="1">
      <c r="A1003" t="s">
        <v>51</v>
      </c>
      <c r="B1003" t="s">
        <v>54</v>
      </c>
      <c r="C1003" t="s">
        <v>4910</v>
      </c>
      <c r="D1003" t="s">
        <v>1075</v>
      </c>
      <c r="E1003">
        <v>77779.5</v>
      </c>
      <c r="F1003">
        <v>32062.6</v>
      </c>
      <c r="G1003">
        <v>16027.43</v>
      </c>
      <c r="H1003">
        <v>18863.4</v>
      </c>
      <c r="I1003">
        <v>125869.53</v>
      </c>
      <c r="J1003">
        <v>107006.13</v>
      </c>
      <c r="K1003" s="1"/>
      <c r="L1003" s="1"/>
      <c r="M1003" s="1"/>
      <c r="N1003" s="1"/>
    </row>
    <row r="1004" ht="15.75" customHeight="1">
      <c r="A1004" t="s">
        <v>25</v>
      </c>
      <c r="B1004" t="s">
        <v>14</v>
      </c>
      <c r="C1004" t="s">
        <v>4914</v>
      </c>
      <c r="D1004" t="s">
        <v>1076</v>
      </c>
      <c r="E1004">
        <v>111796.79</v>
      </c>
      <c r="F1004">
        <v>4583.21</v>
      </c>
      <c r="G1004">
        <v>7952.7</v>
      </c>
      <c r="H1004">
        <v>12991.91</v>
      </c>
      <c r="I1004">
        <v>124332.7</v>
      </c>
      <c r="J1004">
        <v>111340.79</v>
      </c>
      <c r="K1004" s="1"/>
      <c r="L1004" s="1"/>
      <c r="M1004" s="1"/>
      <c r="N1004" s="1"/>
    </row>
    <row r="1005" ht="15.75" customHeight="1">
      <c r="A1005" t="s">
        <v>51</v>
      </c>
      <c r="B1005" t="s">
        <v>26</v>
      </c>
      <c r="C1005" t="s">
        <v>4917</v>
      </c>
      <c r="D1005" t="s">
        <v>1077</v>
      </c>
      <c r="E1005">
        <v>24291.71</v>
      </c>
      <c r="F1005">
        <v>33461.7</v>
      </c>
      <c r="G1005">
        <v>6726.25</v>
      </c>
      <c r="H1005">
        <v>20365.1</v>
      </c>
      <c r="I1005">
        <v>64479.66</v>
      </c>
      <c r="J1005">
        <v>44114.56</v>
      </c>
      <c r="K1005" s="1"/>
      <c r="L1005" s="1"/>
      <c r="M1005" s="1"/>
      <c r="N1005" s="1"/>
    </row>
    <row r="1006" ht="15.75" customHeight="1">
      <c r="A1006" t="s">
        <v>36</v>
      </c>
      <c r="B1006" t="s">
        <v>37</v>
      </c>
      <c r="C1006" t="s">
        <v>4911</v>
      </c>
      <c r="D1006" t="s">
        <v>1078</v>
      </c>
      <c r="E1006">
        <v>35578.2</v>
      </c>
      <c r="F1006">
        <v>5445.0</v>
      </c>
      <c r="G1006">
        <v>4689.68</v>
      </c>
      <c r="H1006">
        <v>11208.41</v>
      </c>
      <c r="I1006">
        <v>45712.88</v>
      </c>
      <c r="J1006">
        <v>34504.47</v>
      </c>
      <c r="K1006" s="1"/>
      <c r="L1006" s="1"/>
      <c r="M1006" s="1"/>
      <c r="N1006" s="1"/>
    </row>
    <row r="1007" ht="15.75" customHeight="1">
      <c r="A1007" t="s">
        <v>36</v>
      </c>
      <c r="B1007" t="s">
        <v>33</v>
      </c>
      <c r="C1007" t="s">
        <v>4912</v>
      </c>
      <c r="D1007" t="s">
        <v>1079</v>
      </c>
      <c r="E1007">
        <v>19748.87</v>
      </c>
      <c r="F1007">
        <v>36036.88</v>
      </c>
      <c r="G1007">
        <v>9612.96</v>
      </c>
      <c r="H1007">
        <v>3535.07</v>
      </c>
      <c r="I1007">
        <v>65398.71</v>
      </c>
      <c r="J1007">
        <v>61863.64</v>
      </c>
      <c r="K1007" s="1"/>
      <c r="L1007" s="1"/>
      <c r="M1007" s="1"/>
      <c r="N1007" s="1"/>
    </row>
    <row r="1008" ht="15.75" customHeight="1">
      <c r="A1008" t="s">
        <v>13</v>
      </c>
      <c r="B1008" t="s">
        <v>54</v>
      </c>
      <c r="C1008" t="s">
        <v>4915</v>
      </c>
      <c r="D1008" t="s">
        <v>1080</v>
      </c>
      <c r="E1008">
        <v>49159.68</v>
      </c>
      <c r="F1008">
        <v>39710.66</v>
      </c>
      <c r="G1008">
        <v>11036.57</v>
      </c>
      <c r="H1008">
        <v>14328.83</v>
      </c>
      <c r="I1008">
        <v>99906.91</v>
      </c>
      <c r="J1008">
        <v>85578.08</v>
      </c>
      <c r="K1008" s="1"/>
      <c r="L1008" s="1"/>
      <c r="M1008" s="1"/>
      <c r="N1008" s="1"/>
    </row>
    <row r="1009" ht="15.75" customHeight="1">
      <c r="A1009" t="s">
        <v>29</v>
      </c>
      <c r="B1009" t="s">
        <v>14</v>
      </c>
      <c r="C1009" t="s">
        <v>4914</v>
      </c>
      <c r="D1009" t="s">
        <v>1081</v>
      </c>
      <c r="E1009">
        <v>55811.12</v>
      </c>
      <c r="F1009">
        <v>14586.43</v>
      </c>
      <c r="G1009">
        <v>12635.5</v>
      </c>
      <c r="H1009">
        <v>23831.38</v>
      </c>
      <c r="I1009">
        <v>83033.05</v>
      </c>
      <c r="J1009">
        <v>59201.67</v>
      </c>
      <c r="K1009" s="1"/>
      <c r="L1009" s="1"/>
      <c r="M1009" s="1"/>
      <c r="N1009" s="1"/>
    </row>
    <row r="1010" ht="15.75" customHeight="1">
      <c r="A1010" t="s">
        <v>53</v>
      </c>
      <c r="B1010" t="s">
        <v>33</v>
      </c>
      <c r="C1010" t="s">
        <v>4915</v>
      </c>
      <c r="D1010" t="s">
        <v>1082</v>
      </c>
      <c r="E1010">
        <v>43491.65</v>
      </c>
      <c r="F1010">
        <v>11571.47</v>
      </c>
      <c r="G1010">
        <v>5142.37</v>
      </c>
      <c r="H1010">
        <v>19928.34</v>
      </c>
      <c r="I1010">
        <v>60205.49</v>
      </c>
      <c r="J1010">
        <v>40277.15</v>
      </c>
      <c r="K1010" s="1"/>
      <c r="L1010" s="1"/>
      <c r="M1010" s="1"/>
      <c r="N1010" s="1"/>
    </row>
    <row r="1011" ht="15.75" customHeight="1">
      <c r="A1011" t="s">
        <v>17</v>
      </c>
      <c r="B1011" t="s">
        <v>37</v>
      </c>
      <c r="C1011" t="s">
        <v>4910</v>
      </c>
      <c r="D1011" t="s">
        <v>1083</v>
      </c>
      <c r="E1011">
        <v>102017.44</v>
      </c>
      <c r="F1011">
        <v>31553.08</v>
      </c>
      <c r="G1011">
        <v>18973.08</v>
      </c>
      <c r="H1011">
        <v>14678.17</v>
      </c>
      <c r="I1011">
        <v>152543.6</v>
      </c>
      <c r="J1011">
        <v>137865.43</v>
      </c>
      <c r="K1011" s="1"/>
      <c r="L1011" s="1"/>
      <c r="M1011" s="1"/>
      <c r="N1011" s="1"/>
    </row>
    <row r="1012" ht="15.75" customHeight="1">
      <c r="A1012" t="s">
        <v>29</v>
      </c>
      <c r="B1012" t="s">
        <v>18</v>
      </c>
      <c r="C1012" t="s">
        <v>4917</v>
      </c>
      <c r="D1012" t="s">
        <v>1084</v>
      </c>
      <c r="E1012">
        <v>52459.1</v>
      </c>
      <c r="F1012">
        <v>13108.95</v>
      </c>
      <c r="G1012">
        <v>3395.17</v>
      </c>
      <c r="H1012">
        <v>16346.74</v>
      </c>
      <c r="I1012">
        <v>68963.22</v>
      </c>
      <c r="J1012">
        <v>52616.48</v>
      </c>
      <c r="K1012" s="1"/>
      <c r="L1012" s="1"/>
      <c r="M1012" s="1"/>
      <c r="N1012" s="1"/>
    </row>
    <row r="1013" ht="15.75" customHeight="1">
      <c r="A1013" t="s">
        <v>51</v>
      </c>
      <c r="B1013" t="s">
        <v>30</v>
      </c>
      <c r="C1013" t="s">
        <v>4910</v>
      </c>
      <c r="D1013" t="s">
        <v>1085</v>
      </c>
      <c r="E1013">
        <v>44498.12</v>
      </c>
      <c r="F1013">
        <v>35160.25</v>
      </c>
      <c r="G1013">
        <v>19313.06</v>
      </c>
      <c r="H1013">
        <v>23298.77</v>
      </c>
      <c r="I1013">
        <v>98971.43</v>
      </c>
      <c r="J1013">
        <v>75672.66</v>
      </c>
      <c r="K1013" s="1"/>
      <c r="L1013" s="1"/>
      <c r="M1013" s="1"/>
      <c r="N1013" s="1"/>
    </row>
    <row r="1014" ht="15.75" customHeight="1">
      <c r="A1014" t="s">
        <v>13</v>
      </c>
      <c r="B1014" t="s">
        <v>33</v>
      </c>
      <c r="C1014" t="s">
        <v>4910</v>
      </c>
      <c r="D1014" t="s">
        <v>1086</v>
      </c>
      <c r="E1014">
        <v>71983.09</v>
      </c>
      <c r="F1014">
        <v>7702.33</v>
      </c>
      <c r="G1014">
        <v>297.12</v>
      </c>
      <c r="H1014">
        <v>10994.4</v>
      </c>
      <c r="I1014">
        <v>79982.54</v>
      </c>
      <c r="J1014">
        <v>68988.14</v>
      </c>
      <c r="K1014" s="1"/>
      <c r="L1014" s="1"/>
      <c r="M1014" s="1"/>
      <c r="N1014" s="1"/>
    </row>
    <row r="1015" ht="15.75" customHeight="1">
      <c r="A1015" t="s">
        <v>13</v>
      </c>
      <c r="B1015" t="s">
        <v>37</v>
      </c>
      <c r="C1015" t="s">
        <v>4915</v>
      </c>
      <c r="D1015" t="s">
        <v>1087</v>
      </c>
      <c r="E1015">
        <v>29797.04</v>
      </c>
      <c r="F1015">
        <v>8534.39</v>
      </c>
      <c r="G1015">
        <v>9622.51</v>
      </c>
      <c r="H1015">
        <v>8619.16</v>
      </c>
      <c r="I1015">
        <v>47953.94</v>
      </c>
      <c r="J1015">
        <v>39334.78</v>
      </c>
      <c r="K1015" s="1"/>
      <c r="L1015" s="1"/>
      <c r="M1015" s="1"/>
      <c r="N1015" s="1"/>
    </row>
    <row r="1016" ht="15.75" customHeight="1">
      <c r="A1016" t="s">
        <v>17</v>
      </c>
      <c r="B1016" t="s">
        <v>33</v>
      </c>
      <c r="C1016" t="s">
        <v>4908</v>
      </c>
      <c r="D1016" t="s">
        <v>1088</v>
      </c>
      <c r="E1016">
        <v>99230.68</v>
      </c>
      <c r="F1016">
        <v>39249.46</v>
      </c>
      <c r="G1016">
        <v>6667.36</v>
      </c>
      <c r="H1016">
        <v>24442.42</v>
      </c>
      <c r="I1016">
        <v>145147.5</v>
      </c>
      <c r="J1016">
        <v>120705.08</v>
      </c>
      <c r="K1016" s="1"/>
      <c r="L1016" s="1"/>
      <c r="M1016" s="1"/>
      <c r="N1016" s="1"/>
    </row>
    <row r="1017" ht="15.75" customHeight="1">
      <c r="A1017" t="s">
        <v>25</v>
      </c>
      <c r="B1017" t="s">
        <v>14</v>
      </c>
      <c r="C1017" t="s">
        <v>4912</v>
      </c>
      <c r="D1017" t="s">
        <v>1089</v>
      </c>
      <c r="E1017">
        <v>22827.82</v>
      </c>
      <c r="F1017">
        <v>28258.2</v>
      </c>
      <c r="G1017">
        <v>8982.47</v>
      </c>
      <c r="H1017">
        <v>21654.36</v>
      </c>
      <c r="I1017">
        <v>60068.49</v>
      </c>
      <c r="J1017">
        <v>38414.13</v>
      </c>
      <c r="K1017" s="1"/>
      <c r="L1017" s="1"/>
      <c r="M1017" s="1"/>
      <c r="N1017" s="1"/>
    </row>
    <row r="1018" ht="15.75" customHeight="1">
      <c r="A1018" t="s">
        <v>51</v>
      </c>
      <c r="B1018" t="s">
        <v>37</v>
      </c>
      <c r="C1018" t="s">
        <v>4910</v>
      </c>
      <c r="D1018" t="s">
        <v>1090</v>
      </c>
      <c r="E1018">
        <v>118623.13</v>
      </c>
      <c r="F1018">
        <v>34487.94</v>
      </c>
      <c r="G1018">
        <v>11413.29</v>
      </c>
      <c r="H1018">
        <v>8414.57</v>
      </c>
      <c r="I1018">
        <v>164524.36</v>
      </c>
      <c r="J1018">
        <v>156109.79</v>
      </c>
      <c r="K1018" s="1"/>
      <c r="L1018" s="1"/>
      <c r="M1018" s="1"/>
      <c r="N1018" s="1"/>
    </row>
    <row r="1019" ht="15.75" customHeight="1">
      <c r="A1019" t="s">
        <v>51</v>
      </c>
      <c r="B1019" t="s">
        <v>37</v>
      </c>
      <c r="C1019" t="s">
        <v>4917</v>
      </c>
      <c r="D1019" t="s">
        <v>1091</v>
      </c>
      <c r="E1019">
        <v>96085.7</v>
      </c>
      <c r="F1019">
        <v>15675.86</v>
      </c>
      <c r="G1019">
        <v>8711.78</v>
      </c>
      <c r="H1019">
        <v>11862.62</v>
      </c>
      <c r="I1019">
        <v>120473.34</v>
      </c>
      <c r="J1019">
        <v>108610.72</v>
      </c>
      <c r="K1019" s="1"/>
      <c r="L1019" s="1"/>
      <c r="M1019" s="1"/>
      <c r="N1019" s="1"/>
    </row>
    <row r="1020" ht="15.75" customHeight="1">
      <c r="A1020" t="s">
        <v>13</v>
      </c>
      <c r="B1020" t="s">
        <v>18</v>
      </c>
      <c r="C1020" t="s">
        <v>4915</v>
      </c>
      <c r="D1020" t="s">
        <v>1092</v>
      </c>
      <c r="E1020">
        <v>35865.15</v>
      </c>
      <c r="F1020">
        <v>28353.41</v>
      </c>
      <c r="G1020">
        <v>8296.94</v>
      </c>
      <c r="H1020">
        <v>10669.41</v>
      </c>
      <c r="I1020">
        <v>72515.5</v>
      </c>
      <c r="J1020">
        <v>61846.09</v>
      </c>
      <c r="K1020" s="1"/>
      <c r="L1020" s="1"/>
      <c r="M1020" s="1"/>
      <c r="N1020" s="1"/>
    </row>
    <row r="1021" ht="15.75" customHeight="1">
      <c r="A1021" t="s">
        <v>53</v>
      </c>
      <c r="B1021" t="s">
        <v>30</v>
      </c>
      <c r="C1021" t="s">
        <v>4915</v>
      </c>
      <c r="D1021" t="s">
        <v>1093</v>
      </c>
      <c r="E1021">
        <v>15579.82</v>
      </c>
      <c r="F1021">
        <v>25392.71</v>
      </c>
      <c r="G1021">
        <v>14654.47</v>
      </c>
      <c r="H1021">
        <v>4152.84</v>
      </c>
      <c r="I1021">
        <v>55627.0</v>
      </c>
      <c r="J1021">
        <v>51474.16</v>
      </c>
      <c r="K1021" s="1"/>
      <c r="L1021" s="1"/>
      <c r="M1021" s="1"/>
      <c r="N1021" s="1"/>
    </row>
    <row r="1022" ht="15.75" customHeight="1">
      <c r="A1022" t="s">
        <v>13</v>
      </c>
      <c r="B1022" t="s">
        <v>37</v>
      </c>
      <c r="C1022" t="s">
        <v>4910</v>
      </c>
      <c r="D1022" t="s">
        <v>1094</v>
      </c>
      <c r="E1022">
        <v>100623.45</v>
      </c>
      <c r="F1022">
        <v>25713.4</v>
      </c>
      <c r="G1022">
        <v>13717.53</v>
      </c>
      <c r="H1022">
        <v>23966.57</v>
      </c>
      <c r="I1022">
        <v>140054.38</v>
      </c>
      <c r="J1022">
        <v>116087.81</v>
      </c>
      <c r="K1022" s="1"/>
      <c r="L1022" s="1"/>
      <c r="M1022" s="1"/>
      <c r="N1022" s="1"/>
    </row>
    <row r="1023" ht="15.75" customHeight="1">
      <c r="A1023" t="s">
        <v>17</v>
      </c>
      <c r="B1023" t="s">
        <v>14</v>
      </c>
      <c r="C1023" t="s">
        <v>4917</v>
      </c>
      <c r="D1023" t="s">
        <v>1095</v>
      </c>
      <c r="E1023">
        <v>89220.02</v>
      </c>
      <c r="F1023">
        <v>28571.17</v>
      </c>
      <c r="G1023">
        <v>16665.43</v>
      </c>
      <c r="H1023">
        <v>10405.65</v>
      </c>
      <c r="I1023">
        <v>134456.62</v>
      </c>
      <c r="J1023">
        <v>124050.97</v>
      </c>
      <c r="K1023" s="1"/>
      <c r="L1023" s="1"/>
      <c r="M1023" s="1"/>
      <c r="N1023" s="1"/>
    </row>
    <row r="1024" ht="15.75" customHeight="1">
      <c r="A1024" t="s">
        <v>53</v>
      </c>
      <c r="B1024" t="s">
        <v>37</v>
      </c>
      <c r="C1024" t="s">
        <v>4914</v>
      </c>
      <c r="D1024" t="s">
        <v>1096</v>
      </c>
      <c r="E1024">
        <v>91545.75</v>
      </c>
      <c r="F1024">
        <v>24712.93</v>
      </c>
      <c r="G1024">
        <v>4999.18</v>
      </c>
      <c r="H1024">
        <v>21945.56</v>
      </c>
      <c r="I1024">
        <v>121257.86</v>
      </c>
      <c r="J1024">
        <v>99312.3</v>
      </c>
      <c r="K1024" s="1"/>
      <c r="L1024" s="1"/>
      <c r="M1024" s="1"/>
      <c r="N1024" s="1"/>
    </row>
    <row r="1025" ht="15.75" customHeight="1">
      <c r="A1025" t="s">
        <v>53</v>
      </c>
      <c r="B1025" t="s">
        <v>37</v>
      </c>
      <c r="C1025" t="s">
        <v>4909</v>
      </c>
      <c r="D1025" t="s">
        <v>1097</v>
      </c>
      <c r="E1025">
        <v>95983.39</v>
      </c>
      <c r="F1025">
        <v>19446.25</v>
      </c>
      <c r="G1025">
        <v>12190.57</v>
      </c>
      <c r="H1025">
        <v>5139.23</v>
      </c>
      <c r="I1025">
        <v>127620.21</v>
      </c>
      <c r="J1025">
        <v>122480.98</v>
      </c>
      <c r="K1025" s="1"/>
      <c r="L1025" s="1"/>
      <c r="M1025" s="1"/>
      <c r="N1025" s="1"/>
    </row>
    <row r="1026" ht="15.75" customHeight="1">
      <c r="A1026" t="s">
        <v>25</v>
      </c>
      <c r="B1026" t="s">
        <v>54</v>
      </c>
      <c r="C1026" t="s">
        <v>4911</v>
      </c>
      <c r="D1026" t="s">
        <v>1098</v>
      </c>
      <c r="E1026">
        <v>22774.69</v>
      </c>
      <c r="F1026">
        <v>13933.22</v>
      </c>
      <c r="G1026">
        <v>11703.9</v>
      </c>
      <c r="H1026">
        <v>13922.83</v>
      </c>
      <c r="I1026">
        <v>48411.81</v>
      </c>
      <c r="J1026">
        <v>34488.98</v>
      </c>
      <c r="K1026" s="1"/>
      <c r="L1026" s="1"/>
      <c r="M1026" s="1"/>
      <c r="N1026" s="1"/>
    </row>
    <row r="1027" ht="15.75" customHeight="1">
      <c r="A1027" t="s">
        <v>17</v>
      </c>
      <c r="B1027" t="s">
        <v>30</v>
      </c>
      <c r="C1027" t="s">
        <v>4914</v>
      </c>
      <c r="D1027" t="s">
        <v>1099</v>
      </c>
      <c r="E1027">
        <v>52638.9</v>
      </c>
      <c r="F1027">
        <v>31668.93</v>
      </c>
      <c r="G1027">
        <v>7394.76</v>
      </c>
      <c r="H1027">
        <v>1087.05</v>
      </c>
      <c r="I1027">
        <v>91702.59</v>
      </c>
      <c r="J1027">
        <v>90615.54</v>
      </c>
      <c r="K1027" s="1"/>
      <c r="L1027" s="1"/>
      <c r="M1027" s="1"/>
      <c r="N1027" s="1"/>
    </row>
    <row r="1028" ht="15.75" customHeight="1">
      <c r="A1028" t="s">
        <v>25</v>
      </c>
      <c r="B1028" t="s">
        <v>14</v>
      </c>
      <c r="C1028" t="s">
        <v>4907</v>
      </c>
      <c r="D1028" t="s">
        <v>1100</v>
      </c>
      <c r="E1028">
        <v>27166.25</v>
      </c>
      <c r="F1028">
        <v>12145.81</v>
      </c>
      <c r="G1028">
        <v>9721.15</v>
      </c>
      <c r="H1028">
        <v>19223.4</v>
      </c>
      <c r="I1028">
        <v>49033.21</v>
      </c>
      <c r="J1028">
        <v>29809.81</v>
      </c>
      <c r="K1028" s="1"/>
      <c r="L1028" s="1"/>
      <c r="M1028" s="1"/>
      <c r="N1028" s="1"/>
    </row>
    <row r="1029" ht="15.75" customHeight="1">
      <c r="A1029" t="s">
        <v>53</v>
      </c>
      <c r="B1029" t="s">
        <v>54</v>
      </c>
      <c r="C1029" t="s">
        <v>4912</v>
      </c>
      <c r="D1029" t="s">
        <v>1101</v>
      </c>
      <c r="E1029">
        <v>105625.86</v>
      </c>
      <c r="F1029">
        <v>28924.76</v>
      </c>
      <c r="G1029">
        <v>6275.64</v>
      </c>
      <c r="H1029">
        <v>14732.39</v>
      </c>
      <c r="I1029">
        <v>140826.26</v>
      </c>
      <c r="J1029">
        <v>126093.87</v>
      </c>
      <c r="K1029" s="1"/>
      <c r="L1029" s="1"/>
      <c r="M1029" s="1"/>
      <c r="N1029" s="1"/>
    </row>
    <row r="1030" ht="15.75" customHeight="1">
      <c r="A1030" t="s">
        <v>36</v>
      </c>
      <c r="B1030" t="s">
        <v>33</v>
      </c>
      <c r="C1030" t="s">
        <v>4915</v>
      </c>
      <c r="D1030" t="s">
        <v>1102</v>
      </c>
      <c r="E1030">
        <v>80446.3</v>
      </c>
      <c r="F1030">
        <v>12399.98</v>
      </c>
      <c r="G1030">
        <v>2836.89</v>
      </c>
      <c r="H1030">
        <v>15826.94</v>
      </c>
      <c r="I1030">
        <v>95683.17</v>
      </c>
      <c r="J1030">
        <v>79856.23</v>
      </c>
      <c r="K1030" s="1"/>
      <c r="L1030" s="1"/>
      <c r="M1030" s="1"/>
      <c r="N1030" s="1"/>
    </row>
    <row r="1031" ht="15.75" customHeight="1">
      <c r="A1031" t="s">
        <v>25</v>
      </c>
      <c r="B1031" t="s">
        <v>26</v>
      </c>
      <c r="C1031" t="s">
        <v>4914</v>
      </c>
      <c r="D1031" t="s">
        <v>1103</v>
      </c>
      <c r="E1031">
        <v>49744.29</v>
      </c>
      <c r="F1031">
        <v>26511.89</v>
      </c>
      <c r="G1031">
        <v>4276.02</v>
      </c>
      <c r="H1031">
        <v>1767.16</v>
      </c>
      <c r="I1031">
        <v>80532.2</v>
      </c>
      <c r="J1031">
        <v>78765.04</v>
      </c>
      <c r="K1031" s="1"/>
      <c r="L1031" s="1"/>
      <c r="M1031" s="1"/>
      <c r="N1031" s="1"/>
    </row>
    <row r="1032" ht="15.75" customHeight="1">
      <c r="A1032" t="s">
        <v>13</v>
      </c>
      <c r="B1032" t="s">
        <v>30</v>
      </c>
      <c r="C1032" t="s">
        <v>4914</v>
      </c>
      <c r="D1032" t="s">
        <v>1104</v>
      </c>
      <c r="E1032">
        <v>21673.63</v>
      </c>
      <c r="F1032">
        <v>30894.82</v>
      </c>
      <c r="G1032">
        <v>2110.27</v>
      </c>
      <c r="H1032">
        <v>5670.44</v>
      </c>
      <c r="I1032">
        <v>54678.72</v>
      </c>
      <c r="J1032">
        <v>49008.28</v>
      </c>
      <c r="K1032" s="1"/>
      <c r="L1032" s="1"/>
      <c r="M1032" s="1"/>
      <c r="N1032" s="1"/>
    </row>
    <row r="1033" ht="15.75" customHeight="1">
      <c r="A1033" t="s">
        <v>17</v>
      </c>
      <c r="B1033" t="s">
        <v>33</v>
      </c>
      <c r="C1033" t="s">
        <v>4911</v>
      </c>
      <c r="D1033" t="s">
        <v>1105</v>
      </c>
      <c r="E1033">
        <v>47653.14</v>
      </c>
      <c r="F1033">
        <v>11873.7</v>
      </c>
      <c r="G1033">
        <v>13661.39</v>
      </c>
      <c r="H1033">
        <v>2321.11</v>
      </c>
      <c r="I1033">
        <v>73188.23</v>
      </c>
      <c r="J1033">
        <v>70867.12</v>
      </c>
      <c r="K1033" s="1"/>
      <c r="L1033" s="1"/>
      <c r="M1033" s="1"/>
      <c r="N1033" s="1"/>
    </row>
    <row r="1034" ht="15.75" customHeight="1">
      <c r="A1034" t="s">
        <v>25</v>
      </c>
      <c r="B1034" t="s">
        <v>14</v>
      </c>
      <c r="C1034" t="s">
        <v>4909</v>
      </c>
      <c r="D1034" t="s">
        <v>1106</v>
      </c>
      <c r="E1034">
        <v>91608.65</v>
      </c>
      <c r="F1034">
        <v>8715.05</v>
      </c>
      <c r="G1034">
        <v>19012.13</v>
      </c>
      <c r="H1034">
        <v>15872.26</v>
      </c>
      <c r="I1034">
        <v>119335.83</v>
      </c>
      <c r="J1034">
        <v>103463.57</v>
      </c>
      <c r="K1034" s="1"/>
      <c r="L1034" s="1"/>
      <c r="M1034" s="1"/>
      <c r="N1034" s="1"/>
    </row>
    <row r="1035" ht="15.75" customHeight="1">
      <c r="A1035" t="s">
        <v>53</v>
      </c>
      <c r="B1035" t="s">
        <v>54</v>
      </c>
      <c r="C1035" t="s">
        <v>4913</v>
      </c>
      <c r="D1035" t="s">
        <v>1107</v>
      </c>
      <c r="E1035">
        <v>81943.53</v>
      </c>
      <c r="F1035">
        <v>25815.89</v>
      </c>
      <c r="G1035">
        <v>14593.57</v>
      </c>
      <c r="H1035">
        <v>14371.56</v>
      </c>
      <c r="I1035">
        <v>122352.99</v>
      </c>
      <c r="J1035">
        <v>107981.43</v>
      </c>
      <c r="K1035" s="1"/>
      <c r="L1035" s="1"/>
      <c r="M1035" s="1"/>
      <c r="N1035" s="1"/>
    </row>
    <row r="1036" ht="15.75" customHeight="1">
      <c r="A1036" t="s">
        <v>53</v>
      </c>
      <c r="B1036" t="s">
        <v>26</v>
      </c>
      <c r="C1036" t="s">
        <v>4917</v>
      </c>
      <c r="D1036" t="s">
        <v>1108</v>
      </c>
      <c r="E1036">
        <v>108157.34</v>
      </c>
      <c r="F1036">
        <v>34580.07</v>
      </c>
      <c r="G1036">
        <v>1040.92</v>
      </c>
      <c r="H1036">
        <v>15497.67</v>
      </c>
      <c r="I1036">
        <v>143778.33</v>
      </c>
      <c r="J1036">
        <v>128280.66</v>
      </c>
      <c r="K1036" s="1"/>
      <c r="L1036" s="1"/>
      <c r="M1036" s="1"/>
      <c r="N1036" s="1"/>
    </row>
    <row r="1037" ht="15.75" customHeight="1">
      <c r="A1037" t="s">
        <v>25</v>
      </c>
      <c r="B1037" t="s">
        <v>33</v>
      </c>
      <c r="C1037" t="s">
        <v>4910</v>
      </c>
      <c r="D1037" t="s">
        <v>1109</v>
      </c>
      <c r="E1037">
        <v>64582.57</v>
      </c>
      <c r="F1037">
        <v>5619.89</v>
      </c>
      <c r="G1037">
        <v>17684.9</v>
      </c>
      <c r="H1037">
        <v>13956.66</v>
      </c>
      <c r="I1037">
        <v>87887.36</v>
      </c>
      <c r="J1037">
        <v>73930.7</v>
      </c>
      <c r="K1037" s="1"/>
      <c r="L1037" s="1"/>
      <c r="M1037" s="1"/>
      <c r="N1037" s="1"/>
    </row>
    <row r="1038" ht="15.75" customHeight="1">
      <c r="A1038" t="s">
        <v>36</v>
      </c>
      <c r="B1038" t="s">
        <v>54</v>
      </c>
      <c r="C1038" t="s">
        <v>4909</v>
      </c>
      <c r="D1038" t="s">
        <v>1110</v>
      </c>
      <c r="E1038">
        <v>70778.92354084158</v>
      </c>
      <c r="F1038">
        <v>30429.45</v>
      </c>
      <c r="G1038">
        <v>17253.5</v>
      </c>
      <c r="H1038">
        <v>7189.21</v>
      </c>
      <c r="I1038">
        <v>118461.87</v>
      </c>
      <c r="J1038">
        <v>111272.66</v>
      </c>
      <c r="K1038" s="1"/>
      <c r="L1038" s="1"/>
      <c r="M1038" s="1"/>
      <c r="N1038" s="1"/>
    </row>
    <row r="1039" ht="15.75" customHeight="1">
      <c r="A1039" t="s">
        <v>53</v>
      </c>
      <c r="B1039" t="s">
        <v>37</v>
      </c>
      <c r="C1039" t="s">
        <v>4914</v>
      </c>
      <c r="D1039" t="s">
        <v>1111</v>
      </c>
      <c r="E1039">
        <v>89890.7</v>
      </c>
      <c r="F1039">
        <v>16287.47</v>
      </c>
      <c r="G1039">
        <v>8866.41</v>
      </c>
      <c r="H1039">
        <v>6490.43</v>
      </c>
      <c r="I1039">
        <v>115044.58</v>
      </c>
      <c r="J1039">
        <v>108554.15</v>
      </c>
      <c r="K1039" s="1"/>
      <c r="L1039" s="1"/>
      <c r="M1039" s="1"/>
      <c r="N1039" s="1"/>
    </row>
    <row r="1040" ht="15.75" customHeight="1">
      <c r="A1040" t="s">
        <v>25</v>
      </c>
      <c r="B1040" t="s">
        <v>26</v>
      </c>
      <c r="C1040" t="s">
        <v>4912</v>
      </c>
      <c r="D1040" t="s">
        <v>1112</v>
      </c>
      <c r="E1040">
        <v>94882.43</v>
      </c>
      <c r="F1040">
        <v>21227.02</v>
      </c>
      <c r="G1040">
        <v>11717.26</v>
      </c>
      <c r="H1040">
        <v>3857.96</v>
      </c>
      <c r="I1040">
        <v>127826.71</v>
      </c>
      <c r="J1040">
        <v>123968.75</v>
      </c>
      <c r="K1040" s="1"/>
      <c r="L1040" s="1"/>
      <c r="M1040" s="1"/>
      <c r="N1040" s="1"/>
    </row>
    <row r="1041" ht="15.75" customHeight="1">
      <c r="A1041" t="s">
        <v>13</v>
      </c>
      <c r="B1041" t="s">
        <v>37</v>
      </c>
      <c r="C1041" t="s">
        <v>4917</v>
      </c>
      <c r="D1041" t="s">
        <v>1113</v>
      </c>
      <c r="E1041">
        <v>73934.11</v>
      </c>
      <c r="F1041">
        <v>37438.94</v>
      </c>
      <c r="G1041">
        <v>19521.57</v>
      </c>
      <c r="H1041">
        <v>21302.24</v>
      </c>
      <c r="I1041">
        <v>130894.62</v>
      </c>
      <c r="J1041">
        <v>109592.38</v>
      </c>
      <c r="K1041" s="1"/>
      <c r="L1041" s="1"/>
      <c r="M1041" s="1"/>
      <c r="N1041" s="1"/>
    </row>
    <row r="1042" ht="15.75" customHeight="1">
      <c r="A1042" t="s">
        <v>53</v>
      </c>
      <c r="B1042" t="s">
        <v>26</v>
      </c>
      <c r="C1042" t="s">
        <v>4915</v>
      </c>
      <c r="D1042" t="s">
        <v>1114</v>
      </c>
      <c r="E1042">
        <v>66848.54</v>
      </c>
      <c r="F1042">
        <v>20752.13</v>
      </c>
      <c r="G1042">
        <v>18106.44</v>
      </c>
      <c r="H1042">
        <v>5069.52</v>
      </c>
      <c r="I1042">
        <v>105707.11</v>
      </c>
      <c r="J1042">
        <v>100637.59</v>
      </c>
      <c r="K1042" s="1"/>
      <c r="L1042" s="1"/>
      <c r="M1042" s="1"/>
      <c r="N1042" s="1"/>
    </row>
    <row r="1043" ht="15.75" customHeight="1">
      <c r="A1043" t="s">
        <v>17</v>
      </c>
      <c r="B1043" t="s">
        <v>30</v>
      </c>
      <c r="C1043" t="s">
        <v>4911</v>
      </c>
      <c r="D1043" t="s">
        <v>1115</v>
      </c>
      <c r="E1043">
        <v>69886.95</v>
      </c>
      <c r="F1043">
        <v>4492.57</v>
      </c>
      <c r="G1043">
        <v>1660.78</v>
      </c>
      <c r="H1043">
        <v>4841.63</v>
      </c>
      <c r="I1043">
        <v>76040.3</v>
      </c>
      <c r="J1043">
        <v>71198.67</v>
      </c>
      <c r="K1043" s="1"/>
      <c r="L1043" s="1"/>
      <c r="M1043" s="1"/>
      <c r="N1043" s="1"/>
    </row>
    <row r="1044" ht="15.75" customHeight="1">
      <c r="A1044" t="s">
        <v>13</v>
      </c>
      <c r="B1044" t="s">
        <v>26</v>
      </c>
      <c r="C1044" t="s">
        <v>4908</v>
      </c>
      <c r="D1044" t="s">
        <v>1116</v>
      </c>
      <c r="E1044">
        <v>59891.81</v>
      </c>
      <c r="F1044">
        <v>6937.55</v>
      </c>
      <c r="G1044">
        <v>3821.04</v>
      </c>
      <c r="H1044">
        <v>21889.37</v>
      </c>
      <c r="I1044">
        <v>70650.4</v>
      </c>
      <c r="J1044">
        <v>48761.03</v>
      </c>
      <c r="K1044" s="1"/>
      <c r="L1044" s="1"/>
      <c r="M1044" s="1"/>
      <c r="N1044" s="1"/>
    </row>
    <row r="1045" ht="15.75" customHeight="1">
      <c r="A1045" t="s">
        <v>36</v>
      </c>
      <c r="B1045" t="s">
        <v>37</v>
      </c>
      <c r="C1045" t="s">
        <v>4909</v>
      </c>
      <c r="D1045" t="s">
        <v>1117</v>
      </c>
      <c r="E1045">
        <v>17669.01</v>
      </c>
      <c r="F1045">
        <v>13309.3</v>
      </c>
      <c r="G1045">
        <v>8815.1</v>
      </c>
      <c r="H1045">
        <v>18696.91</v>
      </c>
      <c r="I1045">
        <v>39793.41</v>
      </c>
      <c r="J1045">
        <v>21096.5</v>
      </c>
      <c r="K1045" s="1"/>
      <c r="L1045" s="1"/>
      <c r="M1045" s="1"/>
      <c r="N1045" s="1"/>
    </row>
    <row r="1046" ht="15.75" customHeight="1">
      <c r="A1046" t="s">
        <v>53</v>
      </c>
      <c r="B1046" t="s">
        <v>37</v>
      </c>
      <c r="C1046" t="s">
        <v>4908</v>
      </c>
      <c r="D1046" t="s">
        <v>1118</v>
      </c>
      <c r="E1046">
        <v>26328.6</v>
      </c>
      <c r="F1046">
        <v>5002.68</v>
      </c>
      <c r="G1046">
        <v>11695.14</v>
      </c>
      <c r="H1046">
        <v>16655.28</v>
      </c>
      <c r="I1046">
        <v>43026.42</v>
      </c>
      <c r="J1046">
        <v>26371.14</v>
      </c>
      <c r="K1046" s="1"/>
      <c r="L1046" s="1"/>
      <c r="M1046" s="1"/>
      <c r="N1046" s="1"/>
    </row>
    <row r="1047" ht="15.75" customHeight="1">
      <c r="A1047" t="s">
        <v>29</v>
      </c>
      <c r="B1047" t="s">
        <v>30</v>
      </c>
      <c r="C1047" t="s">
        <v>4908</v>
      </c>
      <c r="D1047" t="s">
        <v>1119</v>
      </c>
      <c r="E1047">
        <v>18300.06</v>
      </c>
      <c r="F1047">
        <v>26729.51</v>
      </c>
      <c r="G1047">
        <v>16324.56</v>
      </c>
      <c r="H1047">
        <v>10468.17</v>
      </c>
      <c r="I1047">
        <v>61354.13</v>
      </c>
      <c r="J1047">
        <v>50885.96</v>
      </c>
      <c r="K1047" s="1"/>
      <c r="L1047" s="1"/>
      <c r="M1047" s="1"/>
      <c r="N1047" s="1"/>
    </row>
    <row r="1048" ht="15.75" customHeight="1">
      <c r="A1048" t="s">
        <v>13</v>
      </c>
      <c r="B1048" t="s">
        <v>30</v>
      </c>
      <c r="C1048" t="s">
        <v>4910</v>
      </c>
      <c r="D1048" t="s">
        <v>1120</v>
      </c>
      <c r="E1048">
        <v>81823.09</v>
      </c>
      <c r="F1048">
        <v>19350.34</v>
      </c>
      <c r="G1048">
        <v>19765.24</v>
      </c>
      <c r="H1048">
        <v>6918.4</v>
      </c>
      <c r="I1048">
        <v>120938.67</v>
      </c>
      <c r="J1048">
        <v>114020.27</v>
      </c>
      <c r="K1048" s="1"/>
      <c r="L1048" s="1"/>
      <c r="M1048" s="1"/>
      <c r="N1048" s="1"/>
    </row>
    <row r="1049" ht="15.75" customHeight="1">
      <c r="A1049" t="s">
        <v>13</v>
      </c>
      <c r="B1049" t="s">
        <v>30</v>
      </c>
      <c r="C1049" t="s">
        <v>4915</v>
      </c>
      <c r="D1049" t="s">
        <v>1121</v>
      </c>
      <c r="E1049">
        <v>48007.38</v>
      </c>
      <c r="F1049">
        <v>23733.23</v>
      </c>
      <c r="G1049">
        <v>7777.03</v>
      </c>
      <c r="H1049">
        <v>24496.54</v>
      </c>
      <c r="I1049">
        <v>79517.64</v>
      </c>
      <c r="J1049">
        <v>55021.1</v>
      </c>
      <c r="K1049" s="1"/>
      <c r="L1049" s="1"/>
      <c r="M1049" s="1"/>
      <c r="N1049" s="1"/>
    </row>
    <row r="1050" ht="15.75" customHeight="1">
      <c r="A1050" t="s">
        <v>13</v>
      </c>
      <c r="B1050" t="s">
        <v>37</v>
      </c>
      <c r="C1050" t="s">
        <v>4910</v>
      </c>
      <c r="D1050" t="s">
        <v>1122</v>
      </c>
      <c r="E1050">
        <v>68399.92</v>
      </c>
      <c r="F1050">
        <v>10287.3</v>
      </c>
      <c r="G1050">
        <v>948.31</v>
      </c>
      <c r="H1050">
        <v>20032.37</v>
      </c>
      <c r="I1050">
        <v>79635.53</v>
      </c>
      <c r="J1050">
        <v>59603.16</v>
      </c>
      <c r="K1050" s="1"/>
      <c r="L1050" s="1"/>
      <c r="M1050" s="1"/>
      <c r="N1050" s="1"/>
    </row>
    <row r="1051" ht="15.75" customHeight="1">
      <c r="A1051" t="s">
        <v>13</v>
      </c>
      <c r="B1051" t="s">
        <v>14</v>
      </c>
      <c r="C1051" t="s">
        <v>4912</v>
      </c>
      <c r="D1051" t="s">
        <v>1123</v>
      </c>
      <c r="E1051">
        <v>110294.48</v>
      </c>
      <c r="F1051">
        <v>14653.55</v>
      </c>
      <c r="G1051">
        <v>16023.43</v>
      </c>
      <c r="H1051">
        <v>7893.59</v>
      </c>
      <c r="I1051">
        <v>140971.46</v>
      </c>
      <c r="J1051">
        <v>133077.87</v>
      </c>
      <c r="K1051" s="1"/>
      <c r="L1051" s="1"/>
      <c r="M1051" s="1"/>
      <c r="N1051" s="1"/>
    </row>
    <row r="1052" ht="15.75" customHeight="1">
      <c r="A1052" t="s">
        <v>17</v>
      </c>
      <c r="B1052" t="s">
        <v>54</v>
      </c>
      <c r="C1052" t="s">
        <v>4915</v>
      </c>
      <c r="D1052" t="s">
        <v>1124</v>
      </c>
      <c r="E1052">
        <v>41175.68</v>
      </c>
      <c r="F1052">
        <v>27897.68</v>
      </c>
      <c r="G1052">
        <v>12087.61</v>
      </c>
      <c r="H1052">
        <v>21265.34</v>
      </c>
      <c r="I1052">
        <v>81160.97</v>
      </c>
      <c r="J1052">
        <v>59895.63</v>
      </c>
      <c r="K1052" s="1"/>
      <c r="L1052" s="1"/>
      <c r="M1052" s="1"/>
      <c r="N1052" s="1"/>
    </row>
    <row r="1053" ht="15.75" customHeight="1">
      <c r="A1053" t="s">
        <v>25</v>
      </c>
      <c r="B1053" t="s">
        <v>54</v>
      </c>
      <c r="C1053" t="s">
        <v>4914</v>
      </c>
      <c r="D1053" t="s">
        <v>1125</v>
      </c>
      <c r="E1053">
        <v>58090.21</v>
      </c>
      <c r="F1053">
        <v>38750.9</v>
      </c>
      <c r="G1053">
        <v>3970.86</v>
      </c>
      <c r="H1053">
        <v>19093.83</v>
      </c>
      <c r="I1053">
        <v>100811.97</v>
      </c>
      <c r="J1053">
        <v>81718.14</v>
      </c>
      <c r="K1053" s="1"/>
      <c r="L1053" s="1"/>
      <c r="M1053" s="1"/>
      <c r="N1053" s="1"/>
    </row>
    <row r="1054" ht="15.75" customHeight="1">
      <c r="A1054" t="s">
        <v>29</v>
      </c>
      <c r="B1054" t="s">
        <v>37</v>
      </c>
      <c r="C1054" t="s">
        <v>4909</v>
      </c>
      <c r="D1054" t="s">
        <v>1126</v>
      </c>
      <c r="E1054">
        <v>94332.87</v>
      </c>
      <c r="F1054">
        <v>5815.0</v>
      </c>
      <c r="G1054">
        <v>9896.57</v>
      </c>
      <c r="H1054">
        <v>7778.47</v>
      </c>
      <c r="I1054">
        <v>110044.44</v>
      </c>
      <c r="J1054">
        <v>102265.97</v>
      </c>
      <c r="K1054" s="1"/>
      <c r="L1054" s="1"/>
      <c r="M1054" s="1"/>
      <c r="N1054" s="1"/>
    </row>
    <row r="1055" ht="15.75" customHeight="1">
      <c r="A1055" t="s">
        <v>51</v>
      </c>
      <c r="B1055" t="s">
        <v>26</v>
      </c>
      <c r="C1055" t="s">
        <v>4917</v>
      </c>
      <c r="D1055" t="s">
        <v>1127</v>
      </c>
      <c r="E1055">
        <v>39023.81</v>
      </c>
      <c r="F1055">
        <v>36053.84</v>
      </c>
      <c r="G1055">
        <v>14846.2</v>
      </c>
      <c r="H1055">
        <v>10950.54</v>
      </c>
      <c r="I1055">
        <v>89923.85</v>
      </c>
      <c r="J1055">
        <v>78973.31</v>
      </c>
      <c r="K1055" s="1"/>
      <c r="L1055" s="1"/>
      <c r="M1055" s="1"/>
      <c r="N1055" s="1"/>
    </row>
    <row r="1056" ht="15.75" customHeight="1">
      <c r="A1056" t="s">
        <v>13</v>
      </c>
      <c r="B1056" t="s">
        <v>33</v>
      </c>
      <c r="C1056" t="s">
        <v>4910</v>
      </c>
      <c r="D1056" t="s">
        <v>1128</v>
      </c>
      <c r="E1056">
        <v>23082.89</v>
      </c>
      <c r="F1056">
        <v>24767.72</v>
      </c>
      <c r="G1056">
        <v>15408.24</v>
      </c>
      <c r="H1056">
        <v>5055.86</v>
      </c>
      <c r="I1056">
        <v>63258.85</v>
      </c>
      <c r="J1056">
        <v>58202.99</v>
      </c>
      <c r="K1056" s="1"/>
      <c r="L1056" s="1"/>
      <c r="M1056" s="1"/>
      <c r="N1056" s="1"/>
    </row>
    <row r="1057" ht="15.75" customHeight="1">
      <c r="A1057" t="s">
        <v>51</v>
      </c>
      <c r="B1057" t="s">
        <v>14</v>
      </c>
      <c r="C1057" t="s">
        <v>4916</v>
      </c>
      <c r="D1057" t="s">
        <v>1129</v>
      </c>
      <c r="E1057">
        <v>45423.9</v>
      </c>
      <c r="F1057">
        <v>24301.1</v>
      </c>
      <c r="G1057">
        <v>9992.37</v>
      </c>
      <c r="H1057">
        <v>3220.78</v>
      </c>
      <c r="I1057">
        <v>79717.37</v>
      </c>
      <c r="J1057">
        <v>76496.59</v>
      </c>
      <c r="K1057" s="1"/>
      <c r="L1057" s="1"/>
      <c r="M1057" s="1"/>
      <c r="N1057" s="1"/>
    </row>
    <row r="1058" ht="15.75" customHeight="1">
      <c r="A1058" t="s">
        <v>25</v>
      </c>
      <c r="B1058" t="s">
        <v>33</v>
      </c>
      <c r="C1058" t="s">
        <v>4908</v>
      </c>
      <c r="D1058" t="s">
        <v>1130</v>
      </c>
      <c r="E1058">
        <v>31928.24</v>
      </c>
      <c r="F1058">
        <v>22010.03</v>
      </c>
      <c r="G1058">
        <v>6104.29</v>
      </c>
      <c r="H1058">
        <v>18207.67</v>
      </c>
      <c r="I1058">
        <v>60042.56</v>
      </c>
      <c r="J1058">
        <v>41834.89</v>
      </c>
      <c r="K1058" s="1"/>
      <c r="L1058" s="1"/>
      <c r="M1058" s="1"/>
      <c r="N1058" s="1"/>
    </row>
    <row r="1059" ht="15.75" customHeight="1">
      <c r="A1059" t="s">
        <v>17</v>
      </c>
      <c r="B1059" t="s">
        <v>54</v>
      </c>
      <c r="C1059" t="s">
        <v>4916</v>
      </c>
      <c r="D1059" t="s">
        <v>1131</v>
      </c>
      <c r="E1059">
        <v>112618.25</v>
      </c>
      <c r="F1059">
        <v>6498.19</v>
      </c>
      <c r="G1059">
        <v>19474.85</v>
      </c>
      <c r="H1059">
        <v>7054.04</v>
      </c>
      <c r="I1059">
        <v>138591.29</v>
      </c>
      <c r="J1059">
        <v>131537.25</v>
      </c>
      <c r="K1059" s="1"/>
      <c r="L1059" s="1"/>
      <c r="M1059" s="1"/>
      <c r="N1059" s="1"/>
    </row>
    <row r="1060" ht="15.75" customHeight="1">
      <c r="A1060" t="s">
        <v>29</v>
      </c>
      <c r="B1060" t="s">
        <v>37</v>
      </c>
      <c r="C1060" t="s">
        <v>4917</v>
      </c>
      <c r="D1060" t="s">
        <v>1132</v>
      </c>
      <c r="E1060">
        <v>99852.64</v>
      </c>
      <c r="F1060">
        <v>7235.57</v>
      </c>
      <c r="G1060">
        <v>13267.25</v>
      </c>
      <c r="H1060">
        <v>20591.45</v>
      </c>
      <c r="I1060">
        <v>120355.46</v>
      </c>
      <c r="J1060">
        <v>99764.01</v>
      </c>
      <c r="K1060" s="1"/>
      <c r="L1060" s="1"/>
      <c r="M1060" s="1"/>
      <c r="N1060" s="1"/>
    </row>
    <row r="1061" ht="15.75" customHeight="1">
      <c r="A1061" t="s">
        <v>36</v>
      </c>
      <c r="B1061" t="s">
        <v>37</v>
      </c>
      <c r="C1061" t="s">
        <v>4911</v>
      </c>
      <c r="D1061" t="s">
        <v>1133</v>
      </c>
      <c r="E1061">
        <v>81507.39</v>
      </c>
      <c r="F1061">
        <v>25632.83</v>
      </c>
      <c r="G1061">
        <v>8164.75</v>
      </c>
      <c r="H1061">
        <v>24892.41</v>
      </c>
      <c r="I1061">
        <v>115304.97</v>
      </c>
      <c r="J1061">
        <v>90412.56</v>
      </c>
      <c r="K1061" s="1"/>
      <c r="L1061" s="1"/>
      <c r="M1061" s="1"/>
      <c r="N1061" s="1"/>
    </row>
    <row r="1062" ht="15.75" customHeight="1">
      <c r="A1062" t="s">
        <v>36</v>
      </c>
      <c r="B1062" t="s">
        <v>26</v>
      </c>
      <c r="C1062" t="s">
        <v>4912</v>
      </c>
      <c r="D1062" t="s">
        <v>1134</v>
      </c>
      <c r="E1062">
        <v>106503.36</v>
      </c>
      <c r="F1062">
        <v>16274.51</v>
      </c>
      <c r="G1062">
        <v>5609.26</v>
      </c>
      <c r="H1062">
        <v>2377.19</v>
      </c>
      <c r="I1062">
        <v>128387.13</v>
      </c>
      <c r="J1062">
        <v>126009.94</v>
      </c>
      <c r="K1062" s="1"/>
      <c r="L1062" s="1"/>
      <c r="M1062" s="1"/>
      <c r="N1062" s="1"/>
    </row>
    <row r="1063" ht="15.75" customHeight="1">
      <c r="A1063" t="s">
        <v>36</v>
      </c>
      <c r="B1063" t="s">
        <v>18</v>
      </c>
      <c r="C1063" t="s">
        <v>4911</v>
      </c>
      <c r="D1063" t="s">
        <v>1135</v>
      </c>
      <c r="E1063">
        <v>99385.57</v>
      </c>
      <c r="F1063">
        <v>37021.65</v>
      </c>
      <c r="G1063">
        <v>14622.06</v>
      </c>
      <c r="H1063">
        <v>12089.36</v>
      </c>
      <c r="I1063">
        <v>151029.28</v>
      </c>
      <c r="J1063">
        <v>138939.92</v>
      </c>
      <c r="K1063" s="1"/>
      <c r="L1063" s="1"/>
      <c r="M1063" s="1"/>
      <c r="N1063" s="1"/>
    </row>
    <row r="1064" ht="15.75" customHeight="1">
      <c r="A1064" t="s">
        <v>53</v>
      </c>
      <c r="B1064" t="s">
        <v>18</v>
      </c>
      <c r="C1064" t="s">
        <v>4908</v>
      </c>
      <c r="D1064" t="s">
        <v>1136</v>
      </c>
      <c r="E1064">
        <v>34589.86</v>
      </c>
      <c r="F1064">
        <v>18637.26</v>
      </c>
      <c r="G1064">
        <v>4843.67</v>
      </c>
      <c r="H1064">
        <v>20150.53</v>
      </c>
      <c r="I1064">
        <v>58070.79</v>
      </c>
      <c r="J1064">
        <v>37920.26</v>
      </c>
      <c r="K1064" s="1"/>
      <c r="L1064" s="1"/>
      <c r="M1064" s="1"/>
      <c r="N1064" s="1"/>
    </row>
    <row r="1065" ht="15.75" customHeight="1">
      <c r="A1065" t="s">
        <v>36</v>
      </c>
      <c r="B1065" t="s">
        <v>37</v>
      </c>
      <c r="C1065" t="s">
        <v>4913</v>
      </c>
      <c r="D1065" t="s">
        <v>1137</v>
      </c>
      <c r="E1065">
        <v>108718.69</v>
      </c>
      <c r="F1065">
        <v>9158.13</v>
      </c>
      <c r="G1065">
        <v>3434.2</v>
      </c>
      <c r="H1065">
        <v>19829.3</v>
      </c>
      <c r="I1065">
        <v>121311.02</v>
      </c>
      <c r="J1065">
        <v>101481.72</v>
      </c>
      <c r="K1065" s="1"/>
      <c r="L1065" s="1"/>
      <c r="M1065" s="1"/>
      <c r="N1065" s="1"/>
    </row>
    <row r="1066" ht="15.75" customHeight="1">
      <c r="A1066" t="s">
        <v>36</v>
      </c>
      <c r="B1066" t="s">
        <v>33</v>
      </c>
      <c r="C1066" t="s">
        <v>4911</v>
      </c>
      <c r="D1066" t="s">
        <v>1138</v>
      </c>
      <c r="E1066">
        <v>71630.94</v>
      </c>
      <c r="F1066">
        <v>29729.88</v>
      </c>
      <c r="G1066">
        <v>10596.68</v>
      </c>
      <c r="H1066">
        <v>19119.93</v>
      </c>
      <c r="I1066">
        <v>111957.5</v>
      </c>
      <c r="J1066">
        <v>92837.57</v>
      </c>
      <c r="K1066" s="1"/>
      <c r="L1066" s="1"/>
      <c r="M1066" s="1"/>
      <c r="N1066" s="1"/>
    </row>
    <row r="1067" ht="15.75" customHeight="1">
      <c r="A1067" t="s">
        <v>29</v>
      </c>
      <c r="B1067" t="s">
        <v>14</v>
      </c>
      <c r="C1067" t="s">
        <v>4911</v>
      </c>
      <c r="D1067" t="s">
        <v>1139</v>
      </c>
      <c r="E1067">
        <v>99781.22</v>
      </c>
      <c r="F1067">
        <v>14560.72</v>
      </c>
      <c r="G1067">
        <v>5799.75</v>
      </c>
      <c r="H1067">
        <v>9050.38</v>
      </c>
      <c r="I1067">
        <v>120141.69</v>
      </c>
      <c r="J1067">
        <v>111091.31</v>
      </c>
      <c r="K1067" s="1"/>
      <c r="L1067" s="1"/>
      <c r="M1067" s="1"/>
      <c r="N1067" s="1"/>
    </row>
    <row r="1068" ht="15.75" customHeight="1">
      <c r="A1068" t="s">
        <v>13</v>
      </c>
      <c r="B1068" t="s">
        <v>33</v>
      </c>
      <c r="C1068" t="s">
        <v>4916</v>
      </c>
      <c r="D1068" t="s">
        <v>1140</v>
      </c>
      <c r="E1068">
        <v>109089.59</v>
      </c>
      <c r="F1068">
        <v>22916.93</v>
      </c>
      <c r="G1068">
        <v>12578.1</v>
      </c>
      <c r="H1068">
        <v>11619.4</v>
      </c>
      <c r="I1068">
        <v>144584.62</v>
      </c>
      <c r="J1068">
        <v>132965.22</v>
      </c>
      <c r="K1068" s="1"/>
      <c r="L1068" s="1"/>
      <c r="M1068" s="1"/>
      <c r="N1068" s="1"/>
    </row>
    <row r="1069" ht="15.75" customHeight="1">
      <c r="A1069" t="s">
        <v>36</v>
      </c>
      <c r="B1069" t="s">
        <v>33</v>
      </c>
      <c r="C1069" t="s">
        <v>4917</v>
      </c>
      <c r="D1069" t="s">
        <v>1141</v>
      </c>
      <c r="E1069">
        <v>48390.36</v>
      </c>
      <c r="F1069">
        <v>29121.98</v>
      </c>
      <c r="G1069">
        <v>2358.77</v>
      </c>
      <c r="H1069">
        <v>15076.72</v>
      </c>
      <c r="I1069">
        <v>79871.11</v>
      </c>
      <c r="J1069">
        <v>64794.39</v>
      </c>
      <c r="K1069" s="1"/>
      <c r="L1069" s="1"/>
      <c r="M1069" s="1"/>
      <c r="N1069" s="1"/>
    </row>
    <row r="1070" ht="15.75" customHeight="1">
      <c r="A1070" t="s">
        <v>53</v>
      </c>
      <c r="B1070" t="s">
        <v>54</v>
      </c>
      <c r="C1070" t="s">
        <v>4911</v>
      </c>
      <c r="D1070" t="s">
        <v>1142</v>
      </c>
      <c r="E1070">
        <v>26555.45</v>
      </c>
      <c r="F1070">
        <v>36409.51</v>
      </c>
      <c r="G1070">
        <v>13098.82</v>
      </c>
      <c r="H1070">
        <v>24361.54</v>
      </c>
      <c r="I1070">
        <v>76063.78</v>
      </c>
      <c r="J1070">
        <v>51702.24</v>
      </c>
      <c r="K1070" s="1"/>
      <c r="L1070" s="1"/>
      <c r="M1070" s="1"/>
      <c r="N1070" s="1"/>
    </row>
    <row r="1071" ht="15.75" customHeight="1">
      <c r="A1071" t="s">
        <v>13</v>
      </c>
      <c r="B1071" t="s">
        <v>33</v>
      </c>
      <c r="C1071" t="s">
        <v>4912</v>
      </c>
      <c r="D1071" t="s">
        <v>1143</v>
      </c>
      <c r="E1071">
        <v>38933.19</v>
      </c>
      <c r="F1071">
        <v>32518.88</v>
      </c>
      <c r="G1071">
        <v>5665.93</v>
      </c>
      <c r="H1071">
        <v>8524.91</v>
      </c>
      <c r="I1071">
        <v>77118.0</v>
      </c>
      <c r="J1071">
        <v>68593.09</v>
      </c>
      <c r="K1071" s="1"/>
      <c r="L1071" s="1"/>
      <c r="M1071" s="1"/>
      <c r="N1071" s="1"/>
    </row>
    <row r="1072" ht="15.75" customHeight="1">
      <c r="A1072" t="s">
        <v>51</v>
      </c>
      <c r="B1072" t="s">
        <v>26</v>
      </c>
      <c r="C1072" t="s">
        <v>4915</v>
      </c>
      <c r="D1072" t="s">
        <v>1144</v>
      </c>
      <c r="E1072">
        <v>59846.32</v>
      </c>
      <c r="F1072">
        <v>28349.0</v>
      </c>
      <c r="G1072">
        <v>4.86</v>
      </c>
      <c r="H1072">
        <v>23117.03</v>
      </c>
      <c r="I1072">
        <v>88200.18</v>
      </c>
      <c r="J1072">
        <v>65083.15</v>
      </c>
      <c r="K1072" s="1"/>
      <c r="L1072" s="1"/>
      <c r="M1072" s="1"/>
      <c r="N1072" s="1"/>
    </row>
    <row r="1073" ht="15.75" customHeight="1">
      <c r="A1073" t="s">
        <v>13</v>
      </c>
      <c r="B1073" t="s">
        <v>33</v>
      </c>
      <c r="C1073" t="s">
        <v>4914</v>
      </c>
      <c r="D1073" t="s">
        <v>1145</v>
      </c>
      <c r="E1073">
        <v>100891.55</v>
      </c>
      <c r="F1073">
        <v>28466.79</v>
      </c>
      <c r="G1073">
        <v>2538.72</v>
      </c>
      <c r="H1073">
        <v>7099.24</v>
      </c>
      <c r="I1073">
        <v>131897.06</v>
      </c>
      <c r="J1073">
        <v>124797.82</v>
      </c>
      <c r="K1073" s="1"/>
      <c r="L1073" s="1"/>
      <c r="M1073" s="1"/>
      <c r="N1073" s="1"/>
    </row>
    <row r="1074" ht="15.75" customHeight="1">
      <c r="A1074" t="s">
        <v>53</v>
      </c>
      <c r="B1074" t="s">
        <v>26</v>
      </c>
      <c r="C1074" t="s">
        <v>4917</v>
      </c>
      <c r="D1074" t="s">
        <v>1146</v>
      </c>
      <c r="E1074">
        <v>105376.71</v>
      </c>
      <c r="F1074">
        <v>38053.29</v>
      </c>
      <c r="G1074">
        <v>18672.31</v>
      </c>
      <c r="H1074">
        <v>24732.32</v>
      </c>
      <c r="I1074">
        <v>162102.31</v>
      </c>
      <c r="J1074">
        <v>137369.99</v>
      </c>
      <c r="K1074" s="1"/>
      <c r="L1074" s="1"/>
      <c r="M1074" s="1"/>
      <c r="N1074" s="1"/>
    </row>
    <row r="1075" ht="15.75" customHeight="1">
      <c r="A1075" t="s">
        <v>53</v>
      </c>
      <c r="B1075" t="s">
        <v>54</v>
      </c>
      <c r="C1075" t="s">
        <v>4916</v>
      </c>
      <c r="D1075" t="s">
        <v>1147</v>
      </c>
      <c r="E1075">
        <v>15729.97</v>
      </c>
      <c r="F1075">
        <v>14649.67</v>
      </c>
      <c r="G1075">
        <v>17347.09</v>
      </c>
      <c r="H1075">
        <v>16921.46</v>
      </c>
      <c r="I1075">
        <v>47726.73</v>
      </c>
      <c r="J1075">
        <v>30805.27</v>
      </c>
      <c r="K1075" s="1"/>
      <c r="L1075" s="1"/>
      <c r="M1075" s="1"/>
      <c r="N1075" s="1"/>
    </row>
    <row r="1076" ht="15.75" customHeight="1">
      <c r="A1076" t="s">
        <v>51</v>
      </c>
      <c r="B1076" t="s">
        <v>54</v>
      </c>
      <c r="C1076" t="s">
        <v>4913</v>
      </c>
      <c r="D1076" t="s">
        <v>1148</v>
      </c>
      <c r="E1076">
        <v>68628.47</v>
      </c>
      <c r="F1076">
        <v>4040.04</v>
      </c>
      <c r="G1076">
        <v>4672.18</v>
      </c>
      <c r="H1076">
        <v>11856.03</v>
      </c>
      <c r="I1076">
        <v>77340.69</v>
      </c>
      <c r="J1076">
        <v>65484.66</v>
      </c>
      <c r="K1076" s="1"/>
      <c r="L1076" s="1"/>
      <c r="M1076" s="1"/>
      <c r="N1076" s="1"/>
    </row>
    <row r="1077" ht="15.75" customHeight="1">
      <c r="A1077" t="s">
        <v>13</v>
      </c>
      <c r="B1077" t="s">
        <v>30</v>
      </c>
      <c r="C1077" t="s">
        <v>4905</v>
      </c>
      <c r="D1077" t="s">
        <v>1149</v>
      </c>
      <c r="E1077">
        <v>58828.16</v>
      </c>
      <c r="F1077">
        <v>13790.36</v>
      </c>
      <c r="G1077">
        <v>15567.44</v>
      </c>
      <c r="H1077">
        <v>15528.07</v>
      </c>
      <c r="I1077">
        <v>88185.96</v>
      </c>
      <c r="J1077">
        <v>72657.89</v>
      </c>
      <c r="K1077" s="1"/>
      <c r="L1077" s="1"/>
      <c r="M1077" s="1"/>
      <c r="N1077" s="1"/>
    </row>
    <row r="1078" ht="15.75" customHeight="1">
      <c r="A1078" t="s">
        <v>25</v>
      </c>
      <c r="B1078" t="s">
        <v>26</v>
      </c>
      <c r="C1078" t="s">
        <v>4910</v>
      </c>
      <c r="D1078" t="s">
        <v>1150</v>
      </c>
      <c r="E1078">
        <v>38321.32</v>
      </c>
      <c r="F1078">
        <v>11844.09</v>
      </c>
      <c r="G1078">
        <v>12171.43</v>
      </c>
      <c r="H1078">
        <v>7177.01</v>
      </c>
      <c r="I1078">
        <v>62336.84</v>
      </c>
      <c r="J1078">
        <v>55159.83</v>
      </c>
      <c r="K1078" s="1"/>
      <c r="L1078" s="1"/>
      <c r="M1078" s="1"/>
      <c r="N1078" s="1"/>
    </row>
    <row r="1079" ht="15.75" customHeight="1">
      <c r="A1079" t="s">
        <v>53</v>
      </c>
      <c r="B1079" t="s">
        <v>54</v>
      </c>
      <c r="C1079" t="s">
        <v>4908</v>
      </c>
      <c r="D1079" t="s">
        <v>1151</v>
      </c>
      <c r="E1079">
        <v>27585.86</v>
      </c>
      <c r="F1079">
        <v>27826.05</v>
      </c>
      <c r="G1079">
        <v>19418.09</v>
      </c>
      <c r="H1079">
        <v>7217.26</v>
      </c>
      <c r="I1079">
        <v>74830.0</v>
      </c>
      <c r="J1079">
        <v>67612.74</v>
      </c>
      <c r="K1079" s="1"/>
      <c r="L1079" s="1"/>
      <c r="M1079" s="1"/>
      <c r="N1079" s="1"/>
    </row>
    <row r="1080" ht="15.75" customHeight="1">
      <c r="A1080" t="s">
        <v>51</v>
      </c>
      <c r="B1080" t="s">
        <v>26</v>
      </c>
      <c r="C1080" t="s">
        <v>4910</v>
      </c>
      <c r="D1080" t="s">
        <v>1152</v>
      </c>
      <c r="E1080">
        <v>50449.59</v>
      </c>
      <c r="F1080">
        <v>26813.62</v>
      </c>
      <c r="G1080">
        <v>7472.11</v>
      </c>
      <c r="H1080">
        <v>3282.09</v>
      </c>
      <c r="I1080">
        <v>84735.32</v>
      </c>
      <c r="J1080">
        <v>81453.23</v>
      </c>
      <c r="K1080" s="1"/>
      <c r="L1080" s="1"/>
      <c r="M1080" s="1"/>
      <c r="N1080" s="1"/>
    </row>
    <row r="1081" ht="15.75" customHeight="1">
      <c r="A1081" t="s">
        <v>13</v>
      </c>
      <c r="B1081" t="s">
        <v>54</v>
      </c>
      <c r="C1081" t="s">
        <v>4914</v>
      </c>
      <c r="D1081" t="s">
        <v>1153</v>
      </c>
      <c r="E1081">
        <v>114005.52</v>
      </c>
      <c r="F1081">
        <v>25364.61</v>
      </c>
      <c r="G1081">
        <v>13629.21</v>
      </c>
      <c r="H1081">
        <v>3294.23</v>
      </c>
      <c r="I1081">
        <v>152999.34</v>
      </c>
      <c r="J1081">
        <v>149705.11</v>
      </c>
      <c r="K1081" s="1"/>
      <c r="L1081" s="1"/>
      <c r="M1081" s="1"/>
      <c r="N1081" s="1"/>
    </row>
    <row r="1082" ht="15.75" customHeight="1">
      <c r="A1082" t="s">
        <v>53</v>
      </c>
      <c r="B1082" t="s">
        <v>30</v>
      </c>
      <c r="C1082" t="s">
        <v>4910</v>
      </c>
      <c r="D1082" t="s">
        <v>1154</v>
      </c>
      <c r="E1082">
        <v>48936.31</v>
      </c>
      <c r="F1082">
        <v>4584.76</v>
      </c>
      <c r="G1082">
        <v>1270.71</v>
      </c>
      <c r="H1082">
        <v>9017.96</v>
      </c>
      <c r="I1082">
        <v>54791.78</v>
      </c>
      <c r="J1082">
        <v>45773.82</v>
      </c>
      <c r="K1082" s="1"/>
      <c r="L1082" s="1"/>
      <c r="M1082" s="1"/>
      <c r="N1082" s="1"/>
    </row>
    <row r="1083" ht="15.75" customHeight="1">
      <c r="A1083" t="s">
        <v>25</v>
      </c>
      <c r="B1083" t="s">
        <v>54</v>
      </c>
      <c r="C1083" t="s">
        <v>4912</v>
      </c>
      <c r="D1083" t="s">
        <v>1155</v>
      </c>
      <c r="E1083">
        <v>69473.02</v>
      </c>
      <c r="F1083">
        <v>30236.01</v>
      </c>
      <c r="G1083">
        <v>7924.95</v>
      </c>
      <c r="H1083">
        <v>19189.96</v>
      </c>
      <c r="I1083">
        <v>107633.98</v>
      </c>
      <c r="J1083">
        <v>88444.02</v>
      </c>
      <c r="K1083" s="1"/>
      <c r="L1083" s="1"/>
      <c r="M1083" s="1"/>
      <c r="N1083" s="1"/>
    </row>
    <row r="1084" ht="15.75" customHeight="1">
      <c r="A1084" t="s">
        <v>13</v>
      </c>
      <c r="B1084" t="s">
        <v>30</v>
      </c>
      <c r="C1084" t="s">
        <v>4911</v>
      </c>
      <c r="D1084" t="s">
        <v>1156</v>
      </c>
      <c r="E1084">
        <v>88816.99</v>
      </c>
      <c r="F1084">
        <v>15647.09</v>
      </c>
      <c r="G1084">
        <v>19276.35</v>
      </c>
      <c r="H1084">
        <v>15395.29</v>
      </c>
      <c r="I1084">
        <v>123740.43</v>
      </c>
      <c r="J1084">
        <v>108345.14</v>
      </c>
      <c r="K1084" s="1"/>
      <c r="L1084" s="1"/>
      <c r="M1084" s="1"/>
      <c r="N1084" s="1"/>
    </row>
    <row r="1085" ht="15.75" customHeight="1">
      <c r="A1085" t="s">
        <v>29</v>
      </c>
      <c r="B1085" t="s">
        <v>26</v>
      </c>
      <c r="C1085" t="s">
        <v>4910</v>
      </c>
      <c r="D1085" t="s">
        <v>1157</v>
      </c>
      <c r="E1085">
        <v>53181.11</v>
      </c>
      <c r="F1085">
        <v>27942.02</v>
      </c>
      <c r="G1085">
        <v>10779.62</v>
      </c>
      <c r="H1085">
        <v>3013.32</v>
      </c>
      <c r="I1085">
        <v>91902.75</v>
      </c>
      <c r="J1085">
        <v>88889.43</v>
      </c>
      <c r="K1085" s="1"/>
      <c r="L1085" s="1"/>
      <c r="M1085" s="1"/>
      <c r="N1085" s="1"/>
    </row>
    <row r="1086" ht="15.75" customHeight="1">
      <c r="A1086" t="s">
        <v>51</v>
      </c>
      <c r="B1086" t="s">
        <v>26</v>
      </c>
      <c r="C1086" t="s">
        <v>4912</v>
      </c>
      <c r="D1086" t="s">
        <v>1158</v>
      </c>
      <c r="E1086">
        <v>117037.12</v>
      </c>
      <c r="F1086">
        <v>24036.82</v>
      </c>
      <c r="G1086">
        <v>5757.59</v>
      </c>
      <c r="H1086">
        <v>21379.79</v>
      </c>
      <c r="I1086">
        <v>146831.53</v>
      </c>
      <c r="J1086">
        <v>125451.74</v>
      </c>
      <c r="K1086" s="1"/>
      <c r="L1086" s="1"/>
      <c r="M1086" s="1"/>
      <c r="N1086" s="1"/>
    </row>
    <row r="1087" ht="15.75" customHeight="1">
      <c r="A1087" t="s">
        <v>13</v>
      </c>
      <c r="B1087" t="s">
        <v>14</v>
      </c>
      <c r="C1087" t="s">
        <v>4905</v>
      </c>
      <c r="D1087" t="s">
        <v>1159</v>
      </c>
      <c r="E1087">
        <v>116056.97</v>
      </c>
      <c r="F1087">
        <v>16338.31</v>
      </c>
      <c r="G1087">
        <v>2405.42</v>
      </c>
      <c r="H1087">
        <v>15233.51</v>
      </c>
      <c r="I1087">
        <v>134800.7</v>
      </c>
      <c r="J1087">
        <v>119567.19</v>
      </c>
      <c r="K1087" s="1"/>
      <c r="L1087" s="1"/>
      <c r="M1087" s="1"/>
      <c r="N1087" s="1"/>
    </row>
    <row r="1088" ht="15.75" customHeight="1">
      <c r="A1088" t="s">
        <v>29</v>
      </c>
      <c r="B1088" t="s">
        <v>18</v>
      </c>
      <c r="C1088" t="s">
        <v>4912</v>
      </c>
      <c r="D1088" t="s">
        <v>1160</v>
      </c>
      <c r="E1088">
        <v>41437.14</v>
      </c>
      <c r="F1088">
        <v>8844.75</v>
      </c>
      <c r="G1088">
        <v>14070.57</v>
      </c>
      <c r="H1088">
        <v>24040.96</v>
      </c>
      <c r="I1088">
        <v>64352.46</v>
      </c>
      <c r="J1088">
        <v>40311.5</v>
      </c>
      <c r="K1088" s="1"/>
      <c r="L1088" s="1"/>
      <c r="M1088" s="1"/>
      <c r="N1088" s="1"/>
    </row>
    <row r="1089" ht="15.75" customHeight="1">
      <c r="A1089" t="s">
        <v>25</v>
      </c>
      <c r="B1089" t="s">
        <v>18</v>
      </c>
      <c r="C1089" t="s">
        <v>4905</v>
      </c>
      <c r="D1089" t="s">
        <v>1161</v>
      </c>
      <c r="E1089">
        <v>67211.09</v>
      </c>
      <c r="F1089">
        <v>7399.08</v>
      </c>
      <c r="G1089">
        <v>12897.12</v>
      </c>
      <c r="H1089">
        <v>16919.54</v>
      </c>
      <c r="I1089">
        <v>87507.29</v>
      </c>
      <c r="J1089">
        <v>70587.75</v>
      </c>
      <c r="K1089" s="1"/>
      <c r="L1089" s="1"/>
      <c r="M1089" s="1"/>
      <c r="N1089" s="1"/>
    </row>
    <row r="1090" ht="15.75" customHeight="1">
      <c r="A1090" t="s">
        <v>53</v>
      </c>
      <c r="B1090" t="s">
        <v>14</v>
      </c>
      <c r="C1090" t="s">
        <v>4912</v>
      </c>
      <c r="D1090" t="s">
        <v>1162</v>
      </c>
      <c r="E1090">
        <v>46592.22</v>
      </c>
      <c r="F1090">
        <v>33934.66</v>
      </c>
      <c r="G1090">
        <v>100.0</v>
      </c>
      <c r="H1090">
        <v>4791.78</v>
      </c>
      <c r="I1090">
        <v>80626.88</v>
      </c>
      <c r="J1090">
        <v>75835.1</v>
      </c>
      <c r="K1090" s="1"/>
      <c r="L1090" s="1"/>
      <c r="M1090" s="1"/>
      <c r="N1090" s="1"/>
    </row>
    <row r="1091" ht="15.75" customHeight="1">
      <c r="A1091" t="s">
        <v>51</v>
      </c>
      <c r="B1091" t="s">
        <v>26</v>
      </c>
      <c r="C1091" t="s">
        <v>4910</v>
      </c>
      <c r="D1091" t="s">
        <v>1163</v>
      </c>
      <c r="E1091">
        <v>18873.13</v>
      </c>
      <c r="F1091">
        <v>27392.37</v>
      </c>
      <c r="G1091">
        <v>9999.74228855471</v>
      </c>
      <c r="H1091">
        <v>16388.19</v>
      </c>
      <c r="I1091">
        <v>56265.24</v>
      </c>
      <c r="J1091">
        <v>39877.05</v>
      </c>
      <c r="K1091" s="1"/>
      <c r="L1091" s="1"/>
      <c r="M1091" s="1"/>
      <c r="N1091" s="1"/>
    </row>
    <row r="1092" ht="15.75" customHeight="1">
      <c r="A1092" t="s">
        <v>13</v>
      </c>
      <c r="B1092" t="s">
        <v>33</v>
      </c>
      <c r="C1092" t="s">
        <v>4913</v>
      </c>
      <c r="D1092" t="s">
        <v>1164</v>
      </c>
      <c r="E1092">
        <v>79004.26</v>
      </c>
      <c r="F1092">
        <v>7723.63</v>
      </c>
      <c r="G1092">
        <v>9996.96893731366</v>
      </c>
      <c r="H1092">
        <v>1192.49</v>
      </c>
      <c r="I1092">
        <v>96724.86</v>
      </c>
      <c r="J1092">
        <v>95532.37</v>
      </c>
      <c r="K1092" s="1"/>
      <c r="L1092" s="1"/>
      <c r="M1092" s="1"/>
      <c r="N1092" s="1"/>
    </row>
    <row r="1093" ht="15.75" customHeight="1">
      <c r="A1093" t="s">
        <v>29</v>
      </c>
      <c r="B1093" t="s">
        <v>14</v>
      </c>
      <c r="C1093" t="s">
        <v>4916</v>
      </c>
      <c r="D1093" t="s">
        <v>1165</v>
      </c>
      <c r="E1093">
        <v>67781.3</v>
      </c>
      <c r="F1093">
        <v>18472.98</v>
      </c>
      <c r="G1093">
        <v>9994.1955860726</v>
      </c>
      <c r="H1093">
        <v>865.3</v>
      </c>
      <c r="I1093">
        <v>96248.48</v>
      </c>
      <c r="J1093">
        <v>95383.18</v>
      </c>
      <c r="K1093" s="1"/>
      <c r="L1093" s="1"/>
      <c r="M1093" s="1"/>
      <c r="N1093" s="1"/>
    </row>
    <row r="1094" ht="15.75" customHeight="1">
      <c r="A1094" t="s">
        <v>25</v>
      </c>
      <c r="B1094" t="s">
        <v>18</v>
      </c>
      <c r="C1094" t="s">
        <v>4913</v>
      </c>
      <c r="D1094" t="s">
        <v>1166</v>
      </c>
      <c r="E1094">
        <v>20405.27</v>
      </c>
      <c r="F1094">
        <v>30241.81</v>
      </c>
      <c r="G1094">
        <v>9991.42223483155</v>
      </c>
      <c r="H1094">
        <v>3670.37</v>
      </c>
      <c r="I1094">
        <v>60638.5</v>
      </c>
      <c r="J1094">
        <v>56968.13</v>
      </c>
      <c r="K1094" s="1"/>
      <c r="L1094" s="1"/>
      <c r="M1094" s="1"/>
      <c r="N1094" s="1"/>
    </row>
    <row r="1095" ht="15.75" customHeight="1">
      <c r="A1095" t="s">
        <v>36</v>
      </c>
      <c r="B1095" t="s">
        <v>37</v>
      </c>
      <c r="C1095" t="s">
        <v>4913</v>
      </c>
      <c r="D1095" t="s">
        <v>1167</v>
      </c>
      <c r="E1095">
        <v>44257.88</v>
      </c>
      <c r="F1095">
        <v>32073.55</v>
      </c>
      <c r="G1095">
        <v>9988.64888359049</v>
      </c>
      <c r="H1095">
        <v>6665.78</v>
      </c>
      <c r="I1095">
        <v>86320.08</v>
      </c>
      <c r="J1095">
        <v>79654.3</v>
      </c>
      <c r="K1095" s="1"/>
      <c r="L1095" s="1"/>
      <c r="M1095" s="1"/>
      <c r="N1095" s="1"/>
    </row>
    <row r="1096" ht="15.75" customHeight="1">
      <c r="A1096" t="s">
        <v>36</v>
      </c>
      <c r="B1096" t="s">
        <v>37</v>
      </c>
      <c r="C1096" t="s">
        <v>4907</v>
      </c>
      <c r="D1096" t="s">
        <v>1168</v>
      </c>
      <c r="E1096">
        <v>110367.92</v>
      </c>
      <c r="F1096">
        <v>8255.87</v>
      </c>
      <c r="G1096">
        <v>9985.87553234944</v>
      </c>
      <c r="H1096">
        <v>11023.95</v>
      </c>
      <c r="I1096">
        <v>128609.67</v>
      </c>
      <c r="J1096">
        <v>117585.72</v>
      </c>
      <c r="K1096" s="1"/>
      <c r="L1096" s="1"/>
      <c r="M1096" s="1"/>
      <c r="N1096" s="1"/>
    </row>
    <row r="1097" ht="15.75" customHeight="1">
      <c r="A1097" t="s">
        <v>36</v>
      </c>
      <c r="B1097" t="s">
        <v>30</v>
      </c>
      <c r="C1097" t="s">
        <v>4913</v>
      </c>
      <c r="D1097" t="s">
        <v>1169</v>
      </c>
      <c r="E1097">
        <v>40154.0</v>
      </c>
      <c r="F1097">
        <v>4001.11</v>
      </c>
      <c r="G1097">
        <v>9983.10218110838</v>
      </c>
      <c r="H1097">
        <v>12442.29</v>
      </c>
      <c r="I1097">
        <v>54138.21</v>
      </c>
      <c r="J1097">
        <v>41695.92</v>
      </c>
      <c r="K1097" s="1"/>
      <c r="L1097" s="1"/>
      <c r="M1097" s="1"/>
      <c r="N1097" s="1"/>
    </row>
    <row r="1098" ht="15.75" customHeight="1">
      <c r="A1098" t="s">
        <v>25</v>
      </c>
      <c r="B1098" t="s">
        <v>37</v>
      </c>
      <c r="C1098" t="s">
        <v>4907</v>
      </c>
      <c r="D1098" t="s">
        <v>1170</v>
      </c>
      <c r="E1098">
        <v>30213.96</v>
      </c>
      <c r="F1098">
        <v>29636.93</v>
      </c>
      <c r="G1098">
        <v>9980.32882986733</v>
      </c>
      <c r="H1098">
        <v>3881.68</v>
      </c>
      <c r="I1098">
        <v>69831.22</v>
      </c>
      <c r="J1098">
        <v>65949.54</v>
      </c>
      <c r="K1098" s="1"/>
      <c r="L1098" s="1"/>
      <c r="M1098" s="1"/>
      <c r="N1098" s="1"/>
    </row>
    <row r="1099" ht="15.75" customHeight="1">
      <c r="A1099" t="s">
        <v>53</v>
      </c>
      <c r="B1099" t="s">
        <v>33</v>
      </c>
      <c r="C1099" t="s">
        <v>4913</v>
      </c>
      <c r="D1099" t="s">
        <v>1171</v>
      </c>
      <c r="E1099">
        <v>66392.54</v>
      </c>
      <c r="F1099">
        <v>16837.46</v>
      </c>
      <c r="G1099">
        <v>9977.55547862627</v>
      </c>
      <c r="H1099">
        <v>16998.09</v>
      </c>
      <c r="I1099">
        <v>93207.56</v>
      </c>
      <c r="J1099">
        <v>76209.47</v>
      </c>
      <c r="K1099" s="1"/>
      <c r="L1099" s="1"/>
      <c r="M1099" s="1"/>
      <c r="N1099" s="1"/>
    </row>
    <row r="1100" ht="15.75" customHeight="1">
      <c r="A1100" t="s">
        <v>13</v>
      </c>
      <c r="B1100" t="s">
        <v>26</v>
      </c>
      <c r="C1100" t="s">
        <v>4912</v>
      </c>
      <c r="D1100" t="s">
        <v>1172</v>
      </c>
      <c r="E1100">
        <v>118493.3</v>
      </c>
      <c r="F1100">
        <v>13161.33</v>
      </c>
      <c r="G1100">
        <v>9974.78212738522</v>
      </c>
      <c r="H1100">
        <v>15105.38</v>
      </c>
      <c r="I1100">
        <v>141629.41</v>
      </c>
      <c r="J1100">
        <v>126524.03</v>
      </c>
      <c r="K1100" s="1"/>
      <c r="L1100" s="1"/>
      <c r="M1100" s="1"/>
      <c r="N1100" s="1"/>
    </row>
    <row r="1101" ht="15.75" customHeight="1">
      <c r="A1101" t="s">
        <v>36</v>
      </c>
      <c r="B1101" t="s">
        <v>18</v>
      </c>
      <c r="C1101" t="s">
        <v>4917</v>
      </c>
      <c r="D1101" t="s">
        <v>1173</v>
      </c>
      <c r="E1101">
        <v>40415.8</v>
      </c>
      <c r="F1101">
        <v>4464.31</v>
      </c>
      <c r="G1101">
        <v>9972.00877614416</v>
      </c>
      <c r="H1101">
        <v>7714.37</v>
      </c>
      <c r="I1101">
        <v>54852.12</v>
      </c>
      <c r="J1101">
        <v>47137.75</v>
      </c>
      <c r="K1101" s="1"/>
      <c r="L1101" s="1"/>
      <c r="M1101" s="1"/>
      <c r="N1101" s="1"/>
    </row>
    <row r="1102" ht="15.75" customHeight="1">
      <c r="A1102" t="s">
        <v>17</v>
      </c>
      <c r="B1102" t="s">
        <v>54</v>
      </c>
      <c r="C1102" t="s">
        <v>4911</v>
      </c>
      <c r="D1102" t="s">
        <v>1174</v>
      </c>
      <c r="E1102">
        <v>85574.23</v>
      </c>
      <c r="F1102">
        <v>23450.78</v>
      </c>
      <c r="G1102">
        <v>9969.23542490311</v>
      </c>
      <c r="H1102">
        <v>834.67</v>
      </c>
      <c r="I1102">
        <v>118994.25</v>
      </c>
      <c r="J1102">
        <v>118159.58</v>
      </c>
      <c r="K1102" s="1"/>
      <c r="L1102" s="1"/>
      <c r="M1102" s="1"/>
      <c r="N1102" s="1"/>
    </row>
    <row r="1103" ht="15.75" customHeight="1">
      <c r="A1103" t="s">
        <v>51</v>
      </c>
      <c r="B1103" t="s">
        <v>54</v>
      </c>
      <c r="C1103" t="s">
        <v>4914</v>
      </c>
      <c r="D1103" t="s">
        <v>1175</v>
      </c>
      <c r="E1103">
        <v>94970.06</v>
      </c>
      <c r="F1103">
        <v>34641.43</v>
      </c>
      <c r="G1103">
        <v>9966.46207366205</v>
      </c>
      <c r="H1103">
        <v>2402.37</v>
      </c>
      <c r="I1103">
        <v>139577.95</v>
      </c>
      <c r="J1103">
        <v>137175.58</v>
      </c>
      <c r="K1103" s="1"/>
      <c r="L1103" s="1"/>
      <c r="M1103" s="1"/>
      <c r="N1103" s="1"/>
    </row>
    <row r="1104" ht="15.75" customHeight="1">
      <c r="A1104" t="s">
        <v>17</v>
      </c>
      <c r="B1104" t="s">
        <v>26</v>
      </c>
      <c r="C1104" t="s">
        <v>4910</v>
      </c>
      <c r="D1104" t="s">
        <v>1176</v>
      </c>
      <c r="E1104">
        <v>39951.94</v>
      </c>
      <c r="F1104">
        <v>38474.74</v>
      </c>
      <c r="G1104">
        <v>9963.68872242099</v>
      </c>
      <c r="H1104">
        <v>14735.51589897765</v>
      </c>
      <c r="I1104">
        <v>88390.37</v>
      </c>
      <c r="J1104">
        <v>73654.85</v>
      </c>
      <c r="K1104" s="1"/>
      <c r="L1104" s="1"/>
      <c r="M1104" s="1"/>
      <c r="N1104" s="1"/>
    </row>
    <row r="1105" ht="15.75" customHeight="1">
      <c r="A1105" t="s">
        <v>53</v>
      </c>
      <c r="B1105" t="s">
        <v>33</v>
      </c>
      <c r="C1105" t="s">
        <v>4905</v>
      </c>
      <c r="D1105" t="s">
        <v>1177</v>
      </c>
      <c r="E1105">
        <v>53617.23</v>
      </c>
      <c r="F1105">
        <v>22520.61</v>
      </c>
      <c r="G1105">
        <v>9958.14201993888</v>
      </c>
      <c r="H1105">
        <v>9732.08</v>
      </c>
      <c r="I1105">
        <v>86095.98</v>
      </c>
      <c r="J1105">
        <v>76363.9</v>
      </c>
      <c r="K1105" s="1"/>
      <c r="L1105" s="1"/>
      <c r="M1105" s="1"/>
      <c r="N1105" s="1"/>
    </row>
    <row r="1106" ht="15.75" customHeight="1">
      <c r="A1106" t="s">
        <v>36</v>
      </c>
      <c r="B1106" t="s">
        <v>30</v>
      </c>
      <c r="C1106" t="s">
        <v>4908</v>
      </c>
      <c r="D1106" t="s">
        <v>1178</v>
      </c>
      <c r="E1106">
        <v>81392.11</v>
      </c>
      <c r="F1106">
        <v>7062.03</v>
      </c>
      <c r="G1106">
        <v>9955.36866869783</v>
      </c>
      <c r="H1106">
        <v>15890.47</v>
      </c>
      <c r="I1106">
        <v>98409.51</v>
      </c>
      <c r="J1106">
        <v>82519.04</v>
      </c>
      <c r="K1106" s="1"/>
      <c r="L1106" s="1"/>
      <c r="M1106" s="1"/>
      <c r="N1106" s="1"/>
    </row>
    <row r="1107" ht="15.75" customHeight="1">
      <c r="A1107" t="s">
        <v>25</v>
      </c>
      <c r="B1107" t="s">
        <v>37</v>
      </c>
      <c r="C1107" t="s">
        <v>4908</v>
      </c>
      <c r="D1107" t="s">
        <v>1179</v>
      </c>
      <c r="E1107">
        <v>81520.62</v>
      </c>
      <c r="F1107">
        <v>23759.42</v>
      </c>
      <c r="G1107">
        <v>9952.59531745677</v>
      </c>
      <c r="H1107">
        <v>13907.32</v>
      </c>
      <c r="I1107">
        <v>115232.64</v>
      </c>
      <c r="J1107">
        <v>101325.32</v>
      </c>
      <c r="K1107" s="1"/>
      <c r="L1107" s="1"/>
      <c r="M1107" s="1"/>
      <c r="N1107" s="1"/>
    </row>
    <row r="1108" ht="15.75" customHeight="1">
      <c r="A1108" t="s">
        <v>25</v>
      </c>
      <c r="B1108" t="s">
        <v>14</v>
      </c>
      <c r="C1108" t="s">
        <v>4917</v>
      </c>
      <c r="D1108" t="s">
        <v>1180</v>
      </c>
      <c r="E1108">
        <v>71256.34</v>
      </c>
      <c r="F1108">
        <v>17679.25</v>
      </c>
      <c r="G1108">
        <v>9949.82196621572</v>
      </c>
      <c r="H1108">
        <v>6163.81</v>
      </c>
      <c r="I1108">
        <v>98885.41</v>
      </c>
      <c r="J1108">
        <v>92721.6</v>
      </c>
      <c r="K1108" s="1"/>
      <c r="L1108" s="1"/>
      <c r="M1108" s="1"/>
      <c r="N1108" s="1"/>
    </row>
    <row r="1109" ht="15.75" customHeight="1">
      <c r="A1109" t="s">
        <v>25</v>
      </c>
      <c r="B1109" t="s">
        <v>30</v>
      </c>
      <c r="C1109" t="s">
        <v>4905</v>
      </c>
      <c r="D1109" t="s">
        <v>1181</v>
      </c>
      <c r="E1109">
        <v>24480.43</v>
      </c>
      <c r="F1109">
        <v>25856.87</v>
      </c>
      <c r="G1109">
        <v>9947.04861497466</v>
      </c>
      <c r="H1109">
        <v>8923.65</v>
      </c>
      <c r="I1109">
        <v>60284.35</v>
      </c>
      <c r="J1109">
        <v>51360.7</v>
      </c>
      <c r="K1109" s="1"/>
      <c r="L1109" s="1"/>
      <c r="M1109" s="1"/>
      <c r="N1109" s="1"/>
    </row>
    <row r="1110" ht="15.75" customHeight="1">
      <c r="A1110" t="s">
        <v>51</v>
      </c>
      <c r="B1110" t="s">
        <v>26</v>
      </c>
      <c r="C1110" t="s">
        <v>4910</v>
      </c>
      <c r="D1110" t="s">
        <v>1182</v>
      </c>
      <c r="E1110">
        <v>102706.76</v>
      </c>
      <c r="F1110">
        <v>17994.15</v>
      </c>
      <c r="G1110">
        <v>9944.27526373361</v>
      </c>
      <c r="H1110">
        <v>15543.76</v>
      </c>
      <c r="I1110">
        <v>130645.19</v>
      </c>
      <c r="J1110">
        <v>115101.43</v>
      </c>
      <c r="K1110" s="1"/>
      <c r="L1110" s="1"/>
      <c r="M1110" s="1"/>
      <c r="N1110" s="1"/>
    </row>
    <row r="1111" ht="15.75" customHeight="1">
      <c r="A1111" t="s">
        <v>29</v>
      </c>
      <c r="B1111" t="s">
        <v>14</v>
      </c>
      <c r="C1111" t="s">
        <v>4910</v>
      </c>
      <c r="D1111" t="s">
        <v>1183</v>
      </c>
      <c r="E1111">
        <v>48681.91</v>
      </c>
      <c r="F1111">
        <v>12650.77</v>
      </c>
      <c r="G1111">
        <v>9941.50191249255</v>
      </c>
      <c r="H1111">
        <v>21590.95</v>
      </c>
      <c r="I1111">
        <v>71274.18</v>
      </c>
      <c r="J1111">
        <v>49683.23</v>
      </c>
      <c r="K1111" s="1"/>
      <c r="L1111" s="1"/>
      <c r="M1111" s="1"/>
      <c r="N1111" s="1"/>
    </row>
    <row r="1112" ht="15.75" customHeight="1">
      <c r="A1112" t="s">
        <v>53</v>
      </c>
      <c r="B1112" t="s">
        <v>33</v>
      </c>
      <c r="C1112" t="s">
        <v>4912</v>
      </c>
      <c r="D1112" t="s">
        <v>1184</v>
      </c>
      <c r="E1112">
        <v>34584.44</v>
      </c>
      <c r="F1112">
        <v>7418.75</v>
      </c>
      <c r="G1112">
        <v>9938.7285612515</v>
      </c>
      <c r="H1112">
        <v>18953.73</v>
      </c>
      <c r="I1112">
        <v>51941.92</v>
      </c>
      <c r="J1112">
        <v>32988.19</v>
      </c>
      <c r="K1112" s="1"/>
      <c r="L1112" s="1"/>
      <c r="M1112" s="1"/>
      <c r="N1112" s="1"/>
    </row>
    <row r="1113" ht="15.75" customHeight="1">
      <c r="A1113" t="s">
        <v>17</v>
      </c>
      <c r="B1113" t="s">
        <v>33</v>
      </c>
      <c r="C1113" t="s">
        <v>4907</v>
      </c>
      <c r="D1113" t="s">
        <v>1185</v>
      </c>
      <c r="E1113">
        <v>19281.39</v>
      </c>
      <c r="F1113">
        <v>15337.06</v>
      </c>
      <c r="G1113">
        <v>9935.95521001044</v>
      </c>
      <c r="H1113">
        <v>14058.3</v>
      </c>
      <c r="I1113">
        <v>44554.41</v>
      </c>
      <c r="J1113">
        <v>30496.11</v>
      </c>
      <c r="K1113" s="1"/>
      <c r="L1113" s="1"/>
      <c r="M1113" s="1"/>
      <c r="N1113" s="1"/>
    </row>
    <row r="1114" ht="15.75" customHeight="1">
      <c r="A1114" t="s">
        <v>29</v>
      </c>
      <c r="B1114" t="s">
        <v>26</v>
      </c>
      <c r="C1114" t="s">
        <v>4912</v>
      </c>
      <c r="D1114" t="s">
        <v>1186</v>
      </c>
      <c r="E1114">
        <v>77043.76</v>
      </c>
      <c r="F1114">
        <v>7479.21</v>
      </c>
      <c r="G1114">
        <v>9156.8603022823</v>
      </c>
      <c r="H1114">
        <v>9376.18</v>
      </c>
      <c r="I1114">
        <v>93679.83</v>
      </c>
      <c r="J1114">
        <v>84303.65</v>
      </c>
      <c r="K1114" s="1"/>
      <c r="L1114" s="1"/>
      <c r="M1114" s="1"/>
      <c r="N1114" s="1"/>
    </row>
    <row r="1115" ht="15.75" customHeight="1">
      <c r="A1115" t="s">
        <v>53</v>
      </c>
      <c r="B1115" t="s">
        <v>30</v>
      </c>
      <c r="C1115" t="s">
        <v>4913</v>
      </c>
      <c r="D1115" t="s">
        <v>1187</v>
      </c>
      <c r="E1115">
        <v>86144.26</v>
      </c>
      <c r="F1115">
        <v>10368.29</v>
      </c>
      <c r="G1115">
        <v>9164.54030571181</v>
      </c>
      <c r="H1115">
        <v>9443.76</v>
      </c>
      <c r="I1115">
        <v>105677.09</v>
      </c>
      <c r="J1115">
        <v>96233.33</v>
      </c>
      <c r="K1115" s="1"/>
      <c r="L1115" s="1"/>
      <c r="M1115" s="1"/>
      <c r="N1115" s="1"/>
    </row>
    <row r="1116" ht="15.75" customHeight="1">
      <c r="A1116" t="s">
        <v>25</v>
      </c>
      <c r="B1116" t="s">
        <v>33</v>
      </c>
      <c r="C1116" t="s">
        <v>4913</v>
      </c>
      <c r="D1116" t="s">
        <v>1188</v>
      </c>
      <c r="E1116">
        <v>16741.72</v>
      </c>
      <c r="F1116">
        <v>39544.1</v>
      </c>
      <c r="G1116">
        <v>9172.2203091413</v>
      </c>
      <c r="H1116">
        <v>22045.72</v>
      </c>
      <c r="I1116">
        <v>65458.04</v>
      </c>
      <c r="J1116">
        <v>43412.32</v>
      </c>
      <c r="K1116" s="1"/>
      <c r="L1116" s="1"/>
      <c r="M1116" s="1"/>
      <c r="N1116" s="1"/>
    </row>
    <row r="1117" ht="15.75" customHeight="1">
      <c r="A1117" t="s">
        <v>25</v>
      </c>
      <c r="B1117" t="s">
        <v>30</v>
      </c>
      <c r="C1117" t="s">
        <v>4912</v>
      </c>
      <c r="D1117" t="s">
        <v>1189</v>
      </c>
      <c r="E1117">
        <v>68769.77</v>
      </c>
      <c r="F1117">
        <v>19987.73</v>
      </c>
      <c r="G1117">
        <v>9179.9003125708</v>
      </c>
      <c r="H1117">
        <v>1461.47</v>
      </c>
      <c r="I1117">
        <v>97937.4</v>
      </c>
      <c r="J1117">
        <v>96475.93</v>
      </c>
      <c r="K1117" s="1"/>
      <c r="L1117" s="1"/>
      <c r="M1117" s="1"/>
      <c r="N1117" s="1"/>
    </row>
    <row r="1118" ht="15.75" customHeight="1">
      <c r="A1118" t="s">
        <v>53</v>
      </c>
      <c r="B1118" t="s">
        <v>33</v>
      </c>
      <c r="C1118" t="s">
        <v>4915</v>
      </c>
      <c r="D1118" t="s">
        <v>1190</v>
      </c>
      <c r="E1118">
        <v>38782.06</v>
      </c>
      <c r="F1118">
        <v>23147.38</v>
      </c>
      <c r="G1118">
        <v>9187.5803160003</v>
      </c>
      <c r="H1118">
        <v>24705.57</v>
      </c>
      <c r="I1118">
        <v>71117.02</v>
      </c>
      <c r="J1118">
        <v>46411.45</v>
      </c>
      <c r="K1118" s="1"/>
      <c r="L1118" s="1"/>
      <c r="M1118" s="1"/>
      <c r="N1118" s="1"/>
    </row>
    <row r="1119" ht="15.75" customHeight="1">
      <c r="A1119" t="s">
        <v>53</v>
      </c>
      <c r="B1119" t="s">
        <v>37</v>
      </c>
      <c r="C1119" t="s">
        <v>4915</v>
      </c>
      <c r="D1119" t="s">
        <v>1191</v>
      </c>
      <c r="E1119">
        <v>82743.14</v>
      </c>
      <c r="F1119">
        <v>35450.27</v>
      </c>
      <c r="G1119">
        <v>9195.2603194298</v>
      </c>
      <c r="H1119">
        <v>16777.2</v>
      </c>
      <c r="I1119">
        <v>127388.67</v>
      </c>
      <c r="J1119">
        <v>110611.47</v>
      </c>
      <c r="K1119" s="1"/>
      <c r="L1119" s="1"/>
      <c r="M1119" s="1"/>
      <c r="N1119" s="1"/>
    </row>
    <row r="1120" ht="15.75" customHeight="1">
      <c r="A1120" t="s">
        <v>29</v>
      </c>
      <c r="B1120" t="s">
        <v>33</v>
      </c>
      <c r="C1120" t="s">
        <v>4905</v>
      </c>
      <c r="D1120" t="s">
        <v>1192</v>
      </c>
      <c r="E1120">
        <v>33308.48</v>
      </c>
      <c r="F1120">
        <v>39840.48</v>
      </c>
      <c r="G1120">
        <v>9202.94032285929</v>
      </c>
      <c r="H1120">
        <v>17187.87</v>
      </c>
      <c r="I1120">
        <v>82351.9</v>
      </c>
      <c r="J1120">
        <v>65164.03</v>
      </c>
      <c r="K1120" s="1"/>
      <c r="L1120" s="1"/>
      <c r="M1120" s="1"/>
      <c r="N1120" s="1"/>
    </row>
    <row r="1121" ht="15.75" customHeight="1">
      <c r="A1121" t="s">
        <v>13</v>
      </c>
      <c r="B1121" t="s">
        <v>33</v>
      </c>
      <c r="C1121" t="s">
        <v>4908</v>
      </c>
      <c r="D1121" t="s">
        <v>1193</v>
      </c>
      <c r="E1121">
        <v>87548.46</v>
      </c>
      <c r="F1121">
        <v>24977.72</v>
      </c>
      <c r="G1121">
        <v>9210.62032628879</v>
      </c>
      <c r="H1121">
        <v>1430.95</v>
      </c>
      <c r="I1121">
        <v>121736.8</v>
      </c>
      <c r="J1121">
        <v>120305.85</v>
      </c>
      <c r="K1121" s="1"/>
      <c r="L1121" s="1"/>
      <c r="M1121" s="1"/>
      <c r="N1121" s="1"/>
    </row>
    <row r="1122" ht="15.75" customHeight="1">
      <c r="A1122" t="s">
        <v>25</v>
      </c>
      <c r="B1122" t="s">
        <v>14</v>
      </c>
      <c r="C1122" t="s">
        <v>4916</v>
      </c>
      <c r="D1122" t="s">
        <v>1194</v>
      </c>
      <c r="E1122">
        <v>113356.65</v>
      </c>
      <c r="F1122">
        <v>15769.88</v>
      </c>
      <c r="G1122">
        <v>9225.98033314778</v>
      </c>
      <c r="H1122">
        <v>12377.06</v>
      </c>
      <c r="I1122">
        <v>138352.51</v>
      </c>
      <c r="J1122">
        <v>125975.45</v>
      </c>
      <c r="K1122" s="1"/>
      <c r="L1122" s="1"/>
      <c r="M1122" s="1"/>
      <c r="N1122" s="1"/>
    </row>
    <row r="1123" ht="15.75" customHeight="1">
      <c r="A1123" t="s">
        <v>51</v>
      </c>
      <c r="B1123" t="s">
        <v>18</v>
      </c>
      <c r="C1123" t="s">
        <v>4915</v>
      </c>
      <c r="D1123" t="s">
        <v>1195</v>
      </c>
      <c r="E1123">
        <v>29439.7</v>
      </c>
      <c r="F1123">
        <v>15006.78</v>
      </c>
      <c r="G1123">
        <v>9233.66033657728</v>
      </c>
      <c r="H1123">
        <v>3091.58</v>
      </c>
      <c r="I1123">
        <v>53680.14</v>
      </c>
      <c r="J1123">
        <v>50588.56</v>
      </c>
      <c r="K1123" s="1"/>
      <c r="L1123" s="1"/>
      <c r="M1123" s="1"/>
      <c r="N1123" s="1"/>
    </row>
    <row r="1124" ht="15.75" customHeight="1">
      <c r="A1124" t="s">
        <v>17</v>
      </c>
      <c r="B1124" t="s">
        <v>30</v>
      </c>
      <c r="C1124" t="s">
        <v>4914</v>
      </c>
      <c r="D1124" t="s">
        <v>1196</v>
      </c>
      <c r="E1124">
        <v>50811.97</v>
      </c>
      <c r="F1124">
        <v>18497.33</v>
      </c>
      <c r="G1124">
        <v>9241.34034000678</v>
      </c>
      <c r="H1124">
        <v>7309.09</v>
      </c>
      <c r="I1124">
        <v>78550.64</v>
      </c>
      <c r="J1124">
        <v>71241.55</v>
      </c>
      <c r="K1124" s="1"/>
      <c r="L1124" s="1"/>
      <c r="M1124" s="1"/>
      <c r="N1124" s="1"/>
    </row>
    <row r="1125" ht="15.75" customHeight="1">
      <c r="A1125" t="s">
        <v>13</v>
      </c>
      <c r="B1125" t="s">
        <v>26</v>
      </c>
      <c r="C1125" t="s">
        <v>4910</v>
      </c>
      <c r="D1125" t="s">
        <v>1197</v>
      </c>
      <c r="E1125">
        <v>26914.72</v>
      </c>
      <c r="F1125">
        <v>28210.26</v>
      </c>
      <c r="G1125">
        <v>9249.02034343628</v>
      </c>
      <c r="H1125">
        <v>22312.7</v>
      </c>
      <c r="I1125">
        <v>64374.0</v>
      </c>
      <c r="J1125">
        <v>42061.3</v>
      </c>
      <c r="K1125" s="1"/>
      <c r="L1125" s="1"/>
      <c r="M1125" s="1"/>
      <c r="N1125" s="1"/>
    </row>
    <row r="1126" ht="15.75" customHeight="1">
      <c r="A1126" t="s">
        <v>13</v>
      </c>
      <c r="B1126" t="s">
        <v>26</v>
      </c>
      <c r="C1126" t="s">
        <v>4909</v>
      </c>
      <c r="D1126" t="s">
        <v>1198</v>
      </c>
      <c r="E1126">
        <v>112092.83</v>
      </c>
      <c r="F1126">
        <v>28558.9</v>
      </c>
      <c r="G1126">
        <v>9256.70034686577</v>
      </c>
      <c r="H1126">
        <v>13974.72</v>
      </c>
      <c r="I1126">
        <v>149908.43</v>
      </c>
      <c r="J1126">
        <v>135933.71</v>
      </c>
      <c r="K1126" s="1"/>
      <c r="L1126" s="1"/>
      <c r="M1126" s="1"/>
      <c r="N1126" s="1"/>
    </row>
    <row r="1127" ht="15.75" customHeight="1">
      <c r="A1127" t="s">
        <v>13</v>
      </c>
      <c r="B1127" t="s">
        <v>14</v>
      </c>
      <c r="C1127" t="s">
        <v>4909</v>
      </c>
      <c r="D1127" t="s">
        <v>1199</v>
      </c>
      <c r="E1127">
        <v>107120.63</v>
      </c>
      <c r="F1127">
        <v>15348.62</v>
      </c>
      <c r="G1127">
        <v>9264.38035029527</v>
      </c>
      <c r="H1127">
        <v>10628.71</v>
      </c>
      <c r="I1127">
        <v>131733.63</v>
      </c>
      <c r="J1127">
        <v>121104.92</v>
      </c>
      <c r="K1127" s="1"/>
      <c r="L1127" s="1"/>
      <c r="M1127" s="1"/>
      <c r="N1127" s="1"/>
    </row>
    <row r="1128" ht="15.75" customHeight="1">
      <c r="A1128" t="s">
        <v>51</v>
      </c>
      <c r="B1128" t="s">
        <v>14</v>
      </c>
      <c r="C1128" t="s">
        <v>4908</v>
      </c>
      <c r="D1128" t="s">
        <v>1200</v>
      </c>
      <c r="E1128">
        <v>42083.87</v>
      </c>
      <c r="F1128">
        <v>8795.56</v>
      </c>
      <c r="G1128">
        <v>9272.06035372477</v>
      </c>
      <c r="H1128">
        <v>2280.71</v>
      </c>
      <c r="I1128">
        <v>60151.49</v>
      </c>
      <c r="J1128">
        <v>57870.78</v>
      </c>
      <c r="K1128" s="1"/>
      <c r="L1128" s="1"/>
      <c r="M1128" s="1"/>
      <c r="N1128" s="1"/>
    </row>
    <row r="1129" ht="15.75" customHeight="1">
      <c r="A1129" t="s">
        <v>51</v>
      </c>
      <c r="B1129" t="s">
        <v>14</v>
      </c>
      <c r="C1129" t="s">
        <v>4911</v>
      </c>
      <c r="D1129" t="s">
        <v>1201</v>
      </c>
      <c r="E1129">
        <v>84298.32</v>
      </c>
      <c r="F1129">
        <v>26766.27</v>
      </c>
      <c r="G1129">
        <v>9279.74035715427</v>
      </c>
      <c r="H1129">
        <v>17995.98</v>
      </c>
      <c r="I1129">
        <v>120344.33</v>
      </c>
      <c r="J1129">
        <v>102348.35</v>
      </c>
      <c r="K1129" s="1"/>
      <c r="L1129" s="1"/>
      <c r="M1129" s="1"/>
      <c r="N1129" s="1"/>
    </row>
    <row r="1130" ht="15.75" customHeight="1">
      <c r="A1130" t="s">
        <v>36</v>
      </c>
      <c r="B1130" t="s">
        <v>26</v>
      </c>
      <c r="C1130" t="s">
        <v>4912</v>
      </c>
      <c r="D1130" t="s">
        <v>1203</v>
      </c>
      <c r="E1130">
        <v>100808.33</v>
      </c>
      <c r="F1130">
        <v>8619.73</v>
      </c>
      <c r="G1130">
        <v>9287.42036058376</v>
      </c>
      <c r="H1130">
        <v>17719.85</v>
      </c>
      <c r="I1130">
        <v>118715.48</v>
      </c>
      <c r="J1130">
        <v>100995.63</v>
      </c>
      <c r="K1130" s="1"/>
      <c r="L1130" s="1"/>
      <c r="M1130" s="1"/>
      <c r="N1130" s="1"/>
    </row>
    <row r="1131" ht="15.75" customHeight="1">
      <c r="A1131" t="s">
        <v>51</v>
      </c>
      <c r="B1131" t="s">
        <v>18</v>
      </c>
      <c r="C1131" t="s">
        <v>4905</v>
      </c>
      <c r="D1131" t="s">
        <v>1204</v>
      </c>
      <c r="E1131">
        <v>73296.09</v>
      </c>
      <c r="F1131">
        <v>24825.73</v>
      </c>
      <c r="G1131">
        <v>9295.10036401325</v>
      </c>
      <c r="H1131">
        <v>15544.07</v>
      </c>
      <c r="I1131">
        <v>107416.92</v>
      </c>
      <c r="J1131">
        <v>91872.85</v>
      </c>
      <c r="K1131" s="1"/>
      <c r="L1131" s="1"/>
      <c r="M1131" s="1"/>
      <c r="N1131" s="1"/>
    </row>
    <row r="1132" ht="15.75" customHeight="1">
      <c r="A1132" t="s">
        <v>51</v>
      </c>
      <c r="B1132" t="s">
        <v>26</v>
      </c>
      <c r="C1132" t="s">
        <v>4914</v>
      </c>
      <c r="D1132" t="s">
        <v>1205</v>
      </c>
      <c r="E1132">
        <v>70613.31</v>
      </c>
      <c r="F1132">
        <v>28963.2</v>
      </c>
      <c r="G1132">
        <v>9302.78036744276</v>
      </c>
      <c r="H1132">
        <v>13001.43</v>
      </c>
      <c r="I1132">
        <v>108879.29</v>
      </c>
      <c r="J1132">
        <v>95877.86</v>
      </c>
      <c r="K1132" s="1"/>
      <c r="L1132" s="1"/>
      <c r="M1132" s="1"/>
      <c r="N1132" s="1"/>
    </row>
    <row r="1133" ht="15.75" customHeight="1">
      <c r="A1133" t="s">
        <v>13</v>
      </c>
      <c r="B1133" t="s">
        <v>18</v>
      </c>
      <c r="C1133" t="s">
        <v>4905</v>
      </c>
      <c r="D1133" t="s">
        <v>1206</v>
      </c>
      <c r="E1133">
        <v>40394.49</v>
      </c>
      <c r="F1133">
        <v>29222.01</v>
      </c>
      <c r="G1133">
        <v>9310.46037087226</v>
      </c>
      <c r="H1133">
        <v>11127.72</v>
      </c>
      <c r="I1133">
        <v>78926.96</v>
      </c>
      <c r="J1133">
        <v>67799.24</v>
      </c>
      <c r="K1133" s="1"/>
      <c r="L1133" s="1"/>
      <c r="M1133" s="1"/>
      <c r="N1133" s="1"/>
    </row>
    <row r="1134" ht="15.75" customHeight="1">
      <c r="A1134" t="s">
        <v>29</v>
      </c>
      <c r="B1134" t="s">
        <v>14</v>
      </c>
      <c r="C1134" t="s">
        <v>4916</v>
      </c>
      <c r="D1134" t="s">
        <v>1207</v>
      </c>
      <c r="E1134">
        <v>24775.79</v>
      </c>
      <c r="F1134">
        <v>31125.0</v>
      </c>
      <c r="G1134">
        <v>9318.14037430175</v>
      </c>
      <c r="H1134">
        <v>15035.14</v>
      </c>
      <c r="I1134">
        <v>65218.93</v>
      </c>
      <c r="J1134">
        <v>50183.79</v>
      </c>
      <c r="K1134" s="1"/>
      <c r="L1134" s="1"/>
      <c r="M1134" s="1"/>
      <c r="N1134" s="1"/>
    </row>
    <row r="1135" ht="15.75" customHeight="1">
      <c r="A1135" t="s">
        <v>17</v>
      </c>
      <c r="B1135" t="s">
        <v>33</v>
      </c>
      <c r="C1135" t="s">
        <v>4914</v>
      </c>
      <c r="D1135" t="s">
        <v>1208</v>
      </c>
      <c r="E1135">
        <v>109207.65</v>
      </c>
      <c r="F1135">
        <v>35422.94</v>
      </c>
      <c r="G1135">
        <v>9325.82037773124</v>
      </c>
      <c r="H1135">
        <v>6218.19</v>
      </c>
      <c r="I1135">
        <v>153956.41</v>
      </c>
      <c r="J1135">
        <v>147738.22</v>
      </c>
      <c r="K1135" s="1"/>
      <c r="L1135" s="1"/>
      <c r="M1135" s="1"/>
      <c r="N1135" s="1"/>
    </row>
    <row r="1136" ht="15.75" customHeight="1">
      <c r="A1136" t="s">
        <v>53</v>
      </c>
      <c r="B1136" t="s">
        <v>14</v>
      </c>
      <c r="C1136" t="s">
        <v>4907</v>
      </c>
      <c r="D1136" t="s">
        <v>1209</v>
      </c>
      <c r="E1136">
        <v>109543.9</v>
      </c>
      <c r="F1136">
        <v>21998.52</v>
      </c>
      <c r="G1136">
        <v>9333.50038116075</v>
      </c>
      <c r="H1136">
        <v>23560.85</v>
      </c>
      <c r="I1136">
        <v>140875.92</v>
      </c>
      <c r="J1136">
        <v>117315.07</v>
      </c>
      <c r="K1136" s="1"/>
      <c r="L1136" s="1"/>
      <c r="M1136" s="1"/>
      <c r="N1136" s="1"/>
    </row>
    <row r="1137" ht="15.75" customHeight="1">
      <c r="A1137" t="s">
        <v>53</v>
      </c>
      <c r="B1137" t="s">
        <v>26</v>
      </c>
      <c r="C1137" t="s">
        <v>4913</v>
      </c>
      <c r="D1137" t="s">
        <v>1210</v>
      </c>
      <c r="E1137">
        <v>50598.13</v>
      </c>
      <c r="F1137">
        <v>26290.22</v>
      </c>
      <c r="G1137">
        <v>9348.86038801974</v>
      </c>
      <c r="H1137">
        <v>8124.21</v>
      </c>
      <c r="I1137">
        <v>86237.21</v>
      </c>
      <c r="J1137">
        <v>78113.0</v>
      </c>
      <c r="K1137" s="1"/>
      <c r="L1137" s="1"/>
      <c r="M1137" s="1"/>
      <c r="N1137" s="1"/>
    </row>
    <row r="1138" ht="15.75" customHeight="1">
      <c r="A1138" t="s">
        <v>29</v>
      </c>
      <c r="B1138" t="s">
        <v>30</v>
      </c>
      <c r="C1138" t="s">
        <v>4905</v>
      </c>
      <c r="D1138" t="s">
        <v>1211</v>
      </c>
      <c r="E1138">
        <v>51667.01</v>
      </c>
      <c r="F1138">
        <v>10719.04</v>
      </c>
      <c r="G1138">
        <v>9356.54039144923</v>
      </c>
      <c r="H1138">
        <v>11517.16</v>
      </c>
      <c r="I1138">
        <v>71742.59</v>
      </c>
      <c r="J1138">
        <v>60225.43</v>
      </c>
      <c r="K1138" s="1"/>
      <c r="L1138" s="1"/>
      <c r="M1138" s="1"/>
      <c r="N1138" s="1"/>
    </row>
    <row r="1139" ht="15.75" customHeight="1">
      <c r="A1139" t="s">
        <v>17</v>
      </c>
      <c r="B1139" t="s">
        <v>54</v>
      </c>
      <c r="C1139" t="s">
        <v>4905</v>
      </c>
      <c r="D1139" t="s">
        <v>1212</v>
      </c>
      <c r="E1139">
        <v>91225.35</v>
      </c>
      <c r="F1139">
        <v>4924.83</v>
      </c>
      <c r="G1139">
        <v>9364.22039487874</v>
      </c>
      <c r="H1139">
        <v>20239.28</v>
      </c>
      <c r="I1139">
        <v>105514.4</v>
      </c>
      <c r="J1139">
        <v>85275.12</v>
      </c>
      <c r="K1139" s="1"/>
      <c r="L1139" s="1"/>
      <c r="M1139" s="1"/>
      <c r="N1139" s="1"/>
    </row>
    <row r="1140" ht="15.75" customHeight="1">
      <c r="A1140" t="s">
        <v>36</v>
      </c>
      <c r="B1140" t="s">
        <v>54</v>
      </c>
      <c r="C1140" t="s">
        <v>4914</v>
      </c>
      <c r="D1140" t="s">
        <v>1213</v>
      </c>
      <c r="E1140">
        <v>109196.58</v>
      </c>
      <c r="F1140">
        <v>14243.49</v>
      </c>
      <c r="G1140">
        <v>9371.90039830823</v>
      </c>
      <c r="H1140">
        <v>4459.59</v>
      </c>
      <c r="I1140">
        <v>132811.97</v>
      </c>
      <c r="J1140">
        <v>128352.38</v>
      </c>
      <c r="K1140" s="1"/>
      <c r="L1140" s="1"/>
      <c r="M1140" s="1"/>
      <c r="N1140" s="1"/>
    </row>
    <row r="1141" ht="15.75" customHeight="1">
      <c r="A1141" t="s">
        <v>53</v>
      </c>
      <c r="B1141" t="s">
        <v>14</v>
      </c>
      <c r="C1141" t="s">
        <v>4908</v>
      </c>
      <c r="D1141" t="s">
        <v>1214</v>
      </c>
      <c r="E1141">
        <v>108144.07</v>
      </c>
      <c r="F1141">
        <v>19949.21</v>
      </c>
      <c r="G1141">
        <v>9379.58040173773</v>
      </c>
      <c r="H1141">
        <v>7674.47</v>
      </c>
      <c r="I1141">
        <v>137472.86</v>
      </c>
      <c r="J1141">
        <v>129798.39</v>
      </c>
      <c r="K1141" s="1"/>
      <c r="L1141" s="1"/>
      <c r="M1141" s="1"/>
      <c r="N1141" s="1"/>
    </row>
    <row r="1142" ht="15.75" customHeight="1">
      <c r="A1142" t="s">
        <v>25</v>
      </c>
      <c r="B1142" t="s">
        <v>18</v>
      </c>
      <c r="C1142" t="s">
        <v>4910</v>
      </c>
      <c r="D1142" t="s">
        <v>1215</v>
      </c>
      <c r="E1142">
        <v>96886.93</v>
      </c>
      <c r="F1142">
        <v>26215.81</v>
      </c>
      <c r="G1142">
        <v>9387.26040516723</v>
      </c>
      <c r="H1142">
        <v>17147.95</v>
      </c>
      <c r="I1142">
        <v>132490.0</v>
      </c>
      <c r="J1142">
        <v>115342.05</v>
      </c>
      <c r="K1142" s="1"/>
      <c r="L1142" s="1"/>
      <c r="M1142" s="1"/>
      <c r="N1142" s="1"/>
    </row>
    <row r="1143" ht="15.75" customHeight="1">
      <c r="A1143" t="s">
        <v>51</v>
      </c>
      <c r="B1143" t="s">
        <v>14</v>
      </c>
      <c r="C1143" t="s">
        <v>4916</v>
      </c>
      <c r="D1143" t="s">
        <v>1216</v>
      </c>
      <c r="E1143">
        <v>82413.32</v>
      </c>
      <c r="F1143">
        <v>34598.54</v>
      </c>
      <c r="G1143">
        <v>9394.94040859673</v>
      </c>
      <c r="H1143">
        <v>8229.49</v>
      </c>
      <c r="I1143">
        <v>126406.8</v>
      </c>
      <c r="J1143">
        <v>118177.31</v>
      </c>
      <c r="K1143" s="1"/>
      <c r="L1143" s="1"/>
      <c r="M1143" s="1"/>
      <c r="N1143" s="1"/>
    </row>
    <row r="1144" ht="15.75" customHeight="1">
      <c r="A1144" t="s">
        <v>17</v>
      </c>
      <c r="B1144" t="s">
        <v>37</v>
      </c>
      <c r="C1144" t="s">
        <v>4916</v>
      </c>
      <c r="D1144" t="s">
        <v>1217</v>
      </c>
      <c r="E1144">
        <v>23834.7</v>
      </c>
      <c r="F1144">
        <v>11064.85</v>
      </c>
      <c r="G1144">
        <v>9402.62041202622</v>
      </c>
      <c r="H1144">
        <v>19916.29</v>
      </c>
      <c r="I1144">
        <v>44302.17</v>
      </c>
      <c r="J1144">
        <v>24385.88</v>
      </c>
      <c r="K1144" s="1"/>
      <c r="L1144" s="1"/>
      <c r="M1144" s="1"/>
      <c r="N1144" s="1"/>
    </row>
    <row r="1145" ht="15.75" customHeight="1">
      <c r="A1145" t="s">
        <v>17</v>
      </c>
      <c r="B1145" t="s">
        <v>14</v>
      </c>
      <c r="C1145" t="s">
        <v>4913</v>
      </c>
      <c r="D1145" t="s">
        <v>1218</v>
      </c>
      <c r="E1145">
        <v>31971.01</v>
      </c>
      <c r="F1145">
        <v>8519.79</v>
      </c>
      <c r="G1145">
        <v>9410.30041545572</v>
      </c>
      <c r="H1145">
        <v>3696.11</v>
      </c>
      <c r="I1145">
        <v>49901.1</v>
      </c>
      <c r="J1145">
        <v>46204.99</v>
      </c>
      <c r="K1145" s="1"/>
      <c r="L1145" s="1"/>
      <c r="M1145" s="1"/>
      <c r="N1145" s="1"/>
    </row>
    <row r="1146" ht="15.75" customHeight="1">
      <c r="A1146" t="s">
        <v>17</v>
      </c>
      <c r="B1146" t="s">
        <v>14</v>
      </c>
      <c r="C1146" t="s">
        <v>4907</v>
      </c>
      <c r="D1146" t="s">
        <v>1219</v>
      </c>
      <c r="E1146">
        <v>109348.19</v>
      </c>
      <c r="F1146">
        <v>38685.28</v>
      </c>
      <c r="G1146">
        <v>9417.98041888522</v>
      </c>
      <c r="H1146">
        <v>19185.81</v>
      </c>
      <c r="I1146">
        <v>157451.45</v>
      </c>
      <c r="J1146">
        <v>138265.64</v>
      </c>
      <c r="K1146" s="1"/>
      <c r="L1146" s="1"/>
      <c r="M1146" s="1"/>
      <c r="N1146" s="1"/>
    </row>
    <row r="1147" ht="15.75" customHeight="1">
      <c r="A1147" t="s">
        <v>17</v>
      </c>
      <c r="B1147" t="s">
        <v>37</v>
      </c>
      <c r="C1147" t="s">
        <v>4905</v>
      </c>
      <c r="D1147" t="s">
        <v>1220</v>
      </c>
      <c r="E1147">
        <v>78675.0</v>
      </c>
      <c r="F1147">
        <v>19551.3597524047</v>
      </c>
      <c r="G1147">
        <v>9425.66042231471</v>
      </c>
      <c r="H1147">
        <v>11003.8274701535</v>
      </c>
      <c r="I1147">
        <v>107652.02</v>
      </c>
      <c r="J1147">
        <v>96648.19</v>
      </c>
      <c r="K1147" s="1"/>
      <c r="L1147" s="1"/>
      <c r="M1147" s="1"/>
      <c r="N1147" s="1"/>
    </row>
    <row r="1148" ht="15.75" customHeight="1">
      <c r="A1148" t="s">
        <v>13</v>
      </c>
      <c r="B1148" t="s">
        <v>14</v>
      </c>
      <c r="C1148" t="s">
        <v>4907</v>
      </c>
      <c r="D1148" t="s">
        <v>1221</v>
      </c>
      <c r="E1148">
        <v>20500.0</v>
      </c>
      <c r="F1148">
        <v>19555.9744707321</v>
      </c>
      <c r="G1148">
        <v>9433.34042574421</v>
      </c>
      <c r="H1148">
        <v>11007.2250208408</v>
      </c>
      <c r="I1148">
        <v>49489.31</v>
      </c>
      <c r="J1148">
        <v>38482.08</v>
      </c>
      <c r="K1148" s="1"/>
      <c r="L1148" s="1"/>
      <c r="M1148" s="1"/>
      <c r="N1148" s="1"/>
    </row>
    <row r="1149" ht="15.75" customHeight="1">
      <c r="A1149" t="s">
        <v>17</v>
      </c>
      <c r="B1149" t="s">
        <v>18</v>
      </c>
      <c r="C1149" t="s">
        <v>4908</v>
      </c>
      <c r="D1149" t="s">
        <v>1222</v>
      </c>
      <c r="E1149">
        <v>21000.0</v>
      </c>
      <c r="F1149">
        <v>19560.5891890595</v>
      </c>
      <c r="G1149">
        <v>9441.02042917371</v>
      </c>
      <c r="H1149">
        <v>11010.6225715281</v>
      </c>
      <c r="I1149">
        <v>50001.61</v>
      </c>
      <c r="J1149">
        <v>38990.99</v>
      </c>
      <c r="K1149" s="1"/>
      <c r="L1149" s="1"/>
      <c r="M1149" s="1"/>
      <c r="N1149" s="1"/>
    </row>
    <row r="1150" ht="15.75" customHeight="1">
      <c r="A1150" t="s">
        <v>17</v>
      </c>
      <c r="B1150" t="s">
        <v>14</v>
      </c>
      <c r="C1150" t="s">
        <v>4910</v>
      </c>
      <c r="D1150" t="s">
        <v>1223</v>
      </c>
      <c r="E1150">
        <v>21500.0</v>
      </c>
      <c r="F1150">
        <v>19565.2039073869</v>
      </c>
      <c r="G1150">
        <v>9448.70043260321</v>
      </c>
      <c r="H1150">
        <v>11014.0201222154</v>
      </c>
      <c r="I1150">
        <v>50513.9</v>
      </c>
      <c r="J1150">
        <v>39499.88</v>
      </c>
      <c r="K1150" s="1"/>
      <c r="L1150" s="1"/>
      <c r="M1150" s="1"/>
      <c r="N1150" s="1"/>
    </row>
    <row r="1151" ht="15.75" customHeight="1">
      <c r="A1151" t="s">
        <v>13</v>
      </c>
      <c r="B1151" t="s">
        <v>18</v>
      </c>
      <c r="C1151" t="s">
        <v>4912</v>
      </c>
      <c r="D1151" t="s">
        <v>1224</v>
      </c>
      <c r="E1151">
        <v>21500.0</v>
      </c>
      <c r="F1151">
        <v>19569.8186257144</v>
      </c>
      <c r="G1151">
        <v>9456.3804360327</v>
      </c>
      <c r="H1151">
        <v>11017.4176729027</v>
      </c>
      <c r="I1151">
        <v>50526.2</v>
      </c>
      <c r="J1151">
        <v>39508.78</v>
      </c>
      <c r="K1151" s="1"/>
      <c r="L1151" s="1"/>
      <c r="M1151" s="1"/>
      <c r="N1151" s="1"/>
    </row>
    <row r="1152" ht="15.75" customHeight="1">
      <c r="A1152" t="s">
        <v>25</v>
      </c>
      <c r="B1152" t="s">
        <v>26</v>
      </c>
      <c r="C1152" t="s">
        <v>4913</v>
      </c>
      <c r="D1152" t="s">
        <v>1225</v>
      </c>
      <c r="E1152">
        <v>312740.0</v>
      </c>
      <c r="F1152">
        <v>19574.4333440418</v>
      </c>
      <c r="G1152">
        <v>9464.0604394622</v>
      </c>
      <c r="H1152">
        <v>11020.81522359</v>
      </c>
      <c r="I1152">
        <v>341778.49</v>
      </c>
      <c r="J1152">
        <v>330757.67</v>
      </c>
      <c r="K1152" s="1"/>
      <c r="L1152" s="1"/>
      <c r="M1152" s="1"/>
      <c r="N1152" s="1"/>
    </row>
    <row r="1153" ht="15.75" customHeight="1">
      <c r="A1153" t="s">
        <v>29</v>
      </c>
      <c r="B1153" t="s">
        <v>30</v>
      </c>
      <c r="C1153" t="s">
        <v>4905</v>
      </c>
      <c r="D1153" t="s">
        <v>1226</v>
      </c>
      <c r="E1153">
        <v>61325.3857745964</v>
      </c>
      <c r="F1153">
        <v>19579.0480623692</v>
      </c>
      <c r="G1153">
        <v>9471.7404428917</v>
      </c>
      <c r="H1153">
        <v>11024.2127742772</v>
      </c>
      <c r="I1153">
        <v>90376.17</v>
      </c>
      <c r="J1153">
        <v>79351.96</v>
      </c>
      <c r="K1153" s="1"/>
      <c r="L1153" s="1"/>
      <c r="M1153" s="1"/>
      <c r="N1153" s="1"/>
    </row>
    <row r="1154" ht="15.75" customHeight="1">
      <c r="A1154" t="s">
        <v>17</v>
      </c>
      <c r="B1154" t="s">
        <v>33</v>
      </c>
      <c r="C1154" t="s">
        <v>4910</v>
      </c>
      <c r="D1154" t="s">
        <v>1227</v>
      </c>
      <c r="E1154">
        <v>61336.2687445026</v>
      </c>
      <c r="F1154">
        <v>19583.6627806966</v>
      </c>
      <c r="G1154">
        <v>9479.4204463212</v>
      </c>
      <c r="H1154">
        <v>11027.6103249645</v>
      </c>
      <c r="I1154">
        <v>90399.35</v>
      </c>
      <c r="J1154">
        <v>79371.74</v>
      </c>
      <c r="K1154" s="1"/>
      <c r="L1154" s="1"/>
      <c r="M1154" s="1"/>
      <c r="N1154" s="1"/>
    </row>
    <row r="1155" ht="15.75" customHeight="1">
      <c r="A1155" t="s">
        <v>36</v>
      </c>
      <c r="B1155" t="s">
        <v>37</v>
      </c>
      <c r="C1155" t="s">
        <v>4905</v>
      </c>
      <c r="D1155" t="s">
        <v>1228</v>
      </c>
      <c r="E1155">
        <v>61347.1517144088</v>
      </c>
      <c r="F1155">
        <v>19588.2774990241</v>
      </c>
      <c r="G1155">
        <v>9487.10044975069</v>
      </c>
      <c r="H1155">
        <v>11031.0078756518</v>
      </c>
      <c r="I1155">
        <v>90422.53</v>
      </c>
      <c r="J1155">
        <v>79391.52</v>
      </c>
      <c r="K1155" s="1"/>
      <c r="L1155" s="1"/>
      <c r="M1155" s="1"/>
      <c r="N1155" s="1"/>
    </row>
    <row r="1156" ht="15.75" customHeight="1">
      <c r="A1156" t="s">
        <v>25</v>
      </c>
      <c r="B1156" t="s">
        <v>18</v>
      </c>
      <c r="C1156" t="s">
        <v>4908</v>
      </c>
      <c r="D1156" t="s">
        <v>1229</v>
      </c>
      <c r="E1156">
        <v>61358.034684315</v>
      </c>
      <c r="F1156">
        <v>19592.8922173515</v>
      </c>
      <c r="G1156">
        <v>9494.78045318018</v>
      </c>
      <c r="H1156">
        <v>11034.4054263391</v>
      </c>
      <c r="I1156">
        <v>90445.71</v>
      </c>
      <c r="J1156">
        <v>79411.3</v>
      </c>
      <c r="K1156" s="1"/>
      <c r="L1156" s="1"/>
      <c r="M1156" s="1"/>
      <c r="N1156" s="1"/>
    </row>
    <row r="1157" ht="15.75" customHeight="1">
      <c r="A1157" t="s">
        <v>17</v>
      </c>
      <c r="B1157" t="s">
        <v>14</v>
      </c>
      <c r="C1157" t="s">
        <v>4911</v>
      </c>
      <c r="D1157" t="s">
        <v>1230</v>
      </c>
      <c r="E1157">
        <v>61368.9176542212</v>
      </c>
      <c r="F1157">
        <v>19597.5069356789</v>
      </c>
      <c r="G1157">
        <v>9502.46045660969</v>
      </c>
      <c r="H1157">
        <v>11037.8029770264</v>
      </c>
      <c r="I1157">
        <v>90468.89</v>
      </c>
      <c r="J1157">
        <v>79431.09</v>
      </c>
      <c r="K1157" s="1"/>
      <c r="L1157" s="1"/>
      <c r="M1157" s="1"/>
      <c r="N1157" s="1"/>
    </row>
    <row r="1158" ht="15.75" customHeight="1">
      <c r="A1158" t="s">
        <v>25</v>
      </c>
      <c r="B1158" t="s">
        <v>14</v>
      </c>
      <c r="C1158" t="s">
        <v>4917</v>
      </c>
      <c r="D1158" t="s">
        <v>1231</v>
      </c>
      <c r="E1158">
        <v>61379.8006241274</v>
      </c>
      <c r="F1158">
        <v>19602.1216540063</v>
      </c>
      <c r="G1158">
        <v>9510.14046003918</v>
      </c>
      <c r="H1158">
        <v>11041.2005277137</v>
      </c>
      <c r="I1158">
        <v>90492.06</v>
      </c>
      <c r="J1158">
        <v>79450.86</v>
      </c>
      <c r="K1158" s="1"/>
      <c r="L1158" s="1"/>
      <c r="M1158" s="1"/>
      <c r="N1158" s="1"/>
    </row>
    <row r="1159" ht="15.75" customHeight="1">
      <c r="A1159" t="s">
        <v>29</v>
      </c>
      <c r="B1159" t="s">
        <v>33</v>
      </c>
      <c r="C1159" t="s">
        <v>4914</v>
      </c>
      <c r="D1159" t="s">
        <v>1232</v>
      </c>
      <c r="E1159">
        <v>61390.6835940336</v>
      </c>
      <c r="F1159">
        <v>19606.7363723337</v>
      </c>
      <c r="G1159">
        <v>9517.82046346868</v>
      </c>
      <c r="H1159">
        <v>11044.598078401</v>
      </c>
      <c r="I1159">
        <v>90515.24</v>
      </c>
      <c r="J1159">
        <v>79470.64</v>
      </c>
      <c r="K1159" s="1"/>
      <c r="L1159" s="1"/>
      <c r="M1159" s="1"/>
      <c r="N1159" s="1"/>
    </row>
    <row r="1160" ht="15.75" customHeight="1">
      <c r="A1160" t="s">
        <v>17</v>
      </c>
      <c r="B1160" t="s">
        <v>37</v>
      </c>
      <c r="C1160" t="s">
        <v>4917</v>
      </c>
      <c r="D1160" t="s">
        <v>1233</v>
      </c>
      <c r="E1160">
        <v>61401.5665639398</v>
      </c>
      <c r="F1160">
        <v>19611.3510906612</v>
      </c>
      <c r="G1160">
        <v>9525.50046689817</v>
      </c>
      <c r="H1160">
        <v>11047.9956290883</v>
      </c>
      <c r="I1160">
        <v>90538.42</v>
      </c>
      <c r="J1160">
        <v>79490.42</v>
      </c>
      <c r="K1160" s="1"/>
      <c r="L1160" s="1"/>
      <c r="M1160" s="1"/>
      <c r="N1160" s="1"/>
    </row>
    <row r="1161" ht="15.75" customHeight="1">
      <c r="A1161" t="s">
        <v>36</v>
      </c>
      <c r="B1161" t="s">
        <v>33</v>
      </c>
      <c r="C1161" t="s">
        <v>4912</v>
      </c>
      <c r="D1161" t="s">
        <v>1234</v>
      </c>
      <c r="E1161">
        <v>61412.449533846</v>
      </c>
      <c r="F1161">
        <v>19615.9658089886</v>
      </c>
      <c r="G1161">
        <v>9533.18047032768</v>
      </c>
      <c r="H1161">
        <v>11051.3931797755</v>
      </c>
      <c r="I1161">
        <v>90561.6</v>
      </c>
      <c r="J1161">
        <v>79510.21</v>
      </c>
      <c r="K1161" s="1"/>
      <c r="L1161" s="1"/>
      <c r="M1161" s="1"/>
      <c r="N1161" s="1"/>
    </row>
    <row r="1162" ht="15.75" customHeight="1">
      <c r="A1162" t="s">
        <v>29</v>
      </c>
      <c r="B1162" t="s">
        <v>26</v>
      </c>
      <c r="C1162" t="s">
        <v>4905</v>
      </c>
      <c r="D1162" t="s">
        <v>1235</v>
      </c>
      <c r="E1162">
        <v>61423.3325037522</v>
      </c>
      <c r="F1162">
        <v>19620.580527316</v>
      </c>
      <c r="G1162">
        <v>9540.86047375717</v>
      </c>
      <c r="H1162">
        <v>11054.7907304628</v>
      </c>
      <c r="I1162">
        <v>90584.77</v>
      </c>
      <c r="J1162">
        <v>79529.98</v>
      </c>
      <c r="K1162" s="1"/>
      <c r="L1162" s="1"/>
      <c r="M1162" s="1"/>
      <c r="N1162" s="1"/>
    </row>
    <row r="1163" ht="15.75" customHeight="1">
      <c r="A1163" t="s">
        <v>36</v>
      </c>
      <c r="B1163" t="s">
        <v>33</v>
      </c>
      <c r="C1163" t="s">
        <v>4914</v>
      </c>
      <c r="D1163" t="s">
        <v>1236</v>
      </c>
      <c r="E1163">
        <v>61434.2154736583</v>
      </c>
      <c r="F1163">
        <v>19625.1952456434</v>
      </c>
      <c r="G1163">
        <v>9548.54047718667</v>
      </c>
      <c r="H1163">
        <v>11058.1882811501</v>
      </c>
      <c r="I1163">
        <v>90607.95</v>
      </c>
      <c r="J1163">
        <v>79549.76</v>
      </c>
      <c r="K1163" s="1"/>
      <c r="L1163" s="1"/>
      <c r="M1163" s="1"/>
      <c r="N1163" s="1"/>
    </row>
    <row r="1164" ht="15.75" customHeight="1">
      <c r="A1164" t="s">
        <v>29</v>
      </c>
      <c r="B1164" t="s">
        <v>30</v>
      </c>
      <c r="C1164" t="s">
        <v>4905</v>
      </c>
      <c r="D1164" t="s">
        <v>1237</v>
      </c>
      <c r="E1164">
        <v>61445.0984435645</v>
      </c>
      <c r="F1164">
        <v>19629.8099639709</v>
      </c>
      <c r="G1164">
        <v>9556.22048061616</v>
      </c>
      <c r="H1164">
        <v>11061.5858318374</v>
      </c>
      <c r="I1164">
        <v>90631.13</v>
      </c>
      <c r="J1164">
        <v>79569.54</v>
      </c>
      <c r="K1164" s="1"/>
      <c r="L1164" s="1"/>
      <c r="M1164" s="1"/>
      <c r="N1164" s="1"/>
    </row>
    <row r="1165" ht="15.75" customHeight="1">
      <c r="A1165" t="s">
        <v>51</v>
      </c>
      <c r="B1165" t="s">
        <v>33</v>
      </c>
      <c r="C1165" t="s">
        <v>4911</v>
      </c>
      <c r="D1165" t="s">
        <v>1238</v>
      </c>
      <c r="E1165">
        <v>61455.9814134707</v>
      </c>
      <c r="F1165">
        <v>19634.4246822983</v>
      </c>
      <c r="G1165">
        <v>9563.90048404565</v>
      </c>
      <c r="H1165">
        <v>11064.9833825247</v>
      </c>
      <c r="I1165">
        <v>90654.31</v>
      </c>
      <c r="J1165">
        <v>79589.33</v>
      </c>
      <c r="K1165" s="1"/>
      <c r="L1165" s="1"/>
      <c r="M1165" s="1"/>
      <c r="N1165" s="1"/>
    </row>
    <row r="1166" ht="15.75" customHeight="1">
      <c r="A1166" t="s">
        <v>53</v>
      </c>
      <c r="B1166" t="s">
        <v>54</v>
      </c>
      <c r="C1166" t="s">
        <v>4917</v>
      </c>
      <c r="D1166" t="s">
        <v>1239</v>
      </c>
      <c r="E1166">
        <v>72159.94658517206</v>
      </c>
      <c r="F1166">
        <v>19639.0394006257</v>
      </c>
      <c r="G1166">
        <v>9571.58048747516</v>
      </c>
      <c r="H1166">
        <v>11068.380933212</v>
      </c>
      <c r="I1166">
        <v>101370.57</v>
      </c>
      <c r="J1166">
        <v>90302.19</v>
      </c>
      <c r="K1166" s="1"/>
      <c r="L1166" s="1"/>
      <c r="M1166" s="1"/>
      <c r="N1166" s="1"/>
    </row>
    <row r="1167" ht="15.75" customHeight="1">
      <c r="A1167" t="s">
        <v>53</v>
      </c>
      <c r="B1167" t="s">
        <v>54</v>
      </c>
      <c r="C1167" t="s">
        <v>4916</v>
      </c>
      <c r="D1167" t="s">
        <v>1240</v>
      </c>
      <c r="E1167">
        <v>61477.7473532831</v>
      </c>
      <c r="F1167">
        <v>19643.6541189531</v>
      </c>
      <c r="G1167">
        <v>9579.26049090466</v>
      </c>
      <c r="H1167">
        <v>11071.7784838993</v>
      </c>
      <c r="I1167">
        <v>90700.66</v>
      </c>
      <c r="J1167">
        <v>79628.88</v>
      </c>
      <c r="K1167" s="1"/>
      <c r="L1167" s="1"/>
      <c r="M1167" s="1"/>
      <c r="N1167" s="1"/>
    </row>
    <row r="1168" ht="15.75" customHeight="1">
      <c r="A1168" t="s">
        <v>51</v>
      </c>
      <c r="B1168" t="s">
        <v>26</v>
      </c>
      <c r="C1168" t="s">
        <v>4917</v>
      </c>
      <c r="D1168" t="s">
        <v>1241</v>
      </c>
      <c r="E1168">
        <v>61488.6303231893</v>
      </c>
      <c r="F1168">
        <v>19648.2688372805</v>
      </c>
      <c r="G1168">
        <v>9586.94049433416</v>
      </c>
      <c r="H1168">
        <v>11075.1760345865</v>
      </c>
      <c r="I1168">
        <v>90723.84</v>
      </c>
      <c r="J1168">
        <v>79648.66</v>
      </c>
      <c r="K1168" s="1"/>
      <c r="L1168" s="1"/>
      <c r="M1168" s="1"/>
      <c r="N1168" s="1"/>
    </row>
    <row r="1169" ht="15.75" customHeight="1">
      <c r="A1169" t="s">
        <v>36</v>
      </c>
      <c r="B1169" t="s">
        <v>37</v>
      </c>
      <c r="C1169" t="s">
        <v>4917</v>
      </c>
      <c r="D1169" t="s">
        <v>1242</v>
      </c>
      <c r="E1169">
        <v>61499.5132930955</v>
      </c>
      <c r="F1169">
        <v>19652.883555608</v>
      </c>
      <c r="G1169">
        <v>9594.62049776364</v>
      </c>
      <c r="H1169">
        <v>11078.5735852738</v>
      </c>
      <c r="I1169">
        <v>90747.02</v>
      </c>
      <c r="J1169">
        <v>79668.45</v>
      </c>
      <c r="K1169" s="1"/>
      <c r="L1169" s="1"/>
      <c r="M1169" s="1"/>
      <c r="N1169" s="1"/>
    </row>
    <row r="1170" ht="15.75" customHeight="1">
      <c r="A1170" t="s">
        <v>13</v>
      </c>
      <c r="B1170" t="s">
        <v>14</v>
      </c>
      <c r="C1170" t="s">
        <v>4905</v>
      </c>
      <c r="D1170" t="s">
        <v>1243</v>
      </c>
      <c r="E1170">
        <v>61510.3962630017</v>
      </c>
      <c r="F1170">
        <v>19657.4982739354</v>
      </c>
      <c r="G1170">
        <v>9602.30050119315</v>
      </c>
      <c r="H1170">
        <v>14327.38295125808</v>
      </c>
      <c r="I1170">
        <v>90770.2</v>
      </c>
      <c r="J1170">
        <v>76442.82</v>
      </c>
      <c r="K1170" s="1"/>
      <c r="L1170" s="1"/>
      <c r="M1170" s="1"/>
      <c r="N1170" s="1"/>
    </row>
    <row r="1171" ht="15.75" customHeight="1">
      <c r="A1171" t="s">
        <v>29</v>
      </c>
      <c r="B1171" t="s">
        <v>14</v>
      </c>
      <c r="C1171" t="s">
        <v>4909</v>
      </c>
      <c r="D1171" t="s">
        <v>1244</v>
      </c>
      <c r="E1171">
        <v>61521.2792329079</v>
      </c>
      <c r="F1171">
        <v>19662.1129922628</v>
      </c>
      <c r="G1171">
        <v>9609.98050462265</v>
      </c>
      <c r="H1171">
        <v>11085.3686866484</v>
      </c>
      <c r="I1171">
        <v>90793.37</v>
      </c>
      <c r="J1171">
        <v>79708.0</v>
      </c>
      <c r="K1171" s="1"/>
      <c r="L1171" s="1"/>
      <c r="M1171" s="1"/>
      <c r="N1171" s="1"/>
    </row>
    <row r="1172" ht="15.75" customHeight="1">
      <c r="A1172" t="s">
        <v>13</v>
      </c>
      <c r="B1172" t="s">
        <v>33</v>
      </c>
      <c r="C1172" t="s">
        <v>4907</v>
      </c>
      <c r="D1172" t="s">
        <v>1245</v>
      </c>
      <c r="E1172">
        <v>61532.1622028141</v>
      </c>
      <c r="F1172">
        <v>19666.7277105902</v>
      </c>
      <c r="G1172">
        <v>9617.66050805215</v>
      </c>
      <c r="H1172">
        <v>11088.7662373357</v>
      </c>
      <c r="I1172">
        <v>90816.55</v>
      </c>
      <c r="J1172">
        <v>79727.78</v>
      </c>
      <c r="K1172" s="1"/>
      <c r="L1172" s="1"/>
      <c r="M1172" s="1"/>
      <c r="N1172" s="1"/>
    </row>
    <row r="1173" ht="15.75" customHeight="1">
      <c r="A1173" t="s">
        <v>25</v>
      </c>
      <c r="B1173" t="s">
        <v>18</v>
      </c>
      <c r="C1173" t="s">
        <v>4907</v>
      </c>
      <c r="D1173" t="s">
        <v>1247</v>
      </c>
      <c r="E1173">
        <v>61543.0451727203</v>
      </c>
      <c r="F1173">
        <v>19671.3424289177</v>
      </c>
      <c r="G1173">
        <v>9625.34051148164</v>
      </c>
      <c r="H1173">
        <v>14634.43925924574</v>
      </c>
      <c r="I1173">
        <v>90839.73</v>
      </c>
      <c r="J1173">
        <v>76205.29</v>
      </c>
      <c r="K1173" s="1"/>
      <c r="L1173" s="1"/>
      <c r="M1173" s="1"/>
      <c r="N1173" s="1"/>
    </row>
    <row r="1174" ht="15.75" customHeight="1">
      <c r="A1174" t="s">
        <v>29</v>
      </c>
      <c r="B1174" t="s">
        <v>26</v>
      </c>
      <c r="C1174" t="s">
        <v>4910</v>
      </c>
      <c r="D1174" t="s">
        <v>1248</v>
      </c>
      <c r="E1174">
        <v>61553.9281426265</v>
      </c>
      <c r="F1174">
        <v>19675.9571472451</v>
      </c>
      <c r="G1174">
        <v>9633.02051491114</v>
      </c>
      <c r="H1174">
        <v>11095.5613387103</v>
      </c>
      <c r="I1174">
        <v>90862.91</v>
      </c>
      <c r="J1174">
        <v>79767.35</v>
      </c>
      <c r="K1174" s="1"/>
      <c r="L1174" s="1"/>
      <c r="M1174" s="1"/>
      <c r="N1174" s="1"/>
    </row>
    <row r="1175" ht="15.75" customHeight="1">
      <c r="A1175" t="s">
        <v>53</v>
      </c>
      <c r="B1175" t="s">
        <v>33</v>
      </c>
      <c r="C1175" t="s">
        <v>4905</v>
      </c>
      <c r="D1175" t="s">
        <v>1249</v>
      </c>
      <c r="E1175">
        <v>61564.8111125327</v>
      </c>
      <c r="F1175">
        <v>19680.5718655725</v>
      </c>
      <c r="G1175">
        <v>9640.70051834064</v>
      </c>
      <c r="H1175">
        <v>11098.9588893976</v>
      </c>
      <c r="I1175">
        <v>90886.08</v>
      </c>
      <c r="J1175">
        <v>79787.12</v>
      </c>
      <c r="K1175" s="1"/>
      <c r="L1175" s="1"/>
      <c r="M1175" s="1"/>
      <c r="N1175" s="1"/>
    </row>
    <row r="1176" ht="15.75" customHeight="1">
      <c r="A1176" t="s">
        <v>51</v>
      </c>
      <c r="B1176" t="s">
        <v>14</v>
      </c>
      <c r="C1176" t="s">
        <v>4911</v>
      </c>
      <c r="D1176" t="s">
        <v>1250</v>
      </c>
      <c r="E1176">
        <v>61575.6940824389</v>
      </c>
      <c r="F1176">
        <v>19685.1865838999</v>
      </c>
      <c r="G1176">
        <v>9648.38052177013</v>
      </c>
      <c r="H1176">
        <v>11102.3564400848</v>
      </c>
      <c r="I1176">
        <v>90909.26</v>
      </c>
      <c r="J1176">
        <v>79806.9</v>
      </c>
      <c r="K1176" s="1"/>
      <c r="L1176" s="1"/>
      <c r="M1176" s="1"/>
      <c r="N1176" s="1"/>
    </row>
    <row r="1177" ht="15.75" customHeight="1">
      <c r="A1177" t="s">
        <v>36</v>
      </c>
      <c r="B1177" t="s">
        <v>26</v>
      </c>
      <c r="C1177" t="s">
        <v>4916</v>
      </c>
      <c r="D1177" t="s">
        <v>1251</v>
      </c>
      <c r="E1177">
        <v>61586.5770523451</v>
      </c>
      <c r="F1177">
        <v>19689.8013022273</v>
      </c>
      <c r="G1177">
        <v>9656.06052519963</v>
      </c>
      <c r="H1177">
        <v>11105.7539907721</v>
      </c>
      <c r="I1177">
        <v>90932.44</v>
      </c>
      <c r="J1177">
        <v>79826.69</v>
      </c>
      <c r="K1177" s="1"/>
      <c r="L1177" s="1"/>
      <c r="M1177" s="1"/>
      <c r="N1177" s="1"/>
    </row>
    <row r="1178" ht="15.75" customHeight="1">
      <c r="A1178" t="s">
        <v>13</v>
      </c>
      <c r="B1178" t="s">
        <v>54</v>
      </c>
      <c r="C1178" t="s">
        <v>4905</v>
      </c>
      <c r="D1178" t="s">
        <v>1252</v>
      </c>
      <c r="E1178">
        <v>61597.4600222512</v>
      </c>
      <c r="F1178">
        <v>19694.4160205548</v>
      </c>
      <c r="G1178">
        <v>9663.74052862913</v>
      </c>
      <c r="H1178">
        <v>11109.1515414594</v>
      </c>
      <c r="I1178">
        <v>90955.62</v>
      </c>
      <c r="J1178">
        <v>79846.47</v>
      </c>
      <c r="K1178" s="1"/>
      <c r="L1178" s="1"/>
      <c r="M1178" s="1"/>
      <c r="N1178" s="1"/>
    </row>
    <row r="1179" ht="15.75" customHeight="1">
      <c r="A1179" t="s">
        <v>36</v>
      </c>
      <c r="B1179" t="s">
        <v>30</v>
      </c>
      <c r="C1179" t="s">
        <v>4915</v>
      </c>
      <c r="D1179" t="s">
        <v>1253</v>
      </c>
      <c r="E1179">
        <v>61608.3429921574</v>
      </c>
      <c r="F1179">
        <v>19699.0307388822</v>
      </c>
      <c r="G1179">
        <v>9671.42053205863</v>
      </c>
      <c r="H1179">
        <v>11112.5490921467</v>
      </c>
      <c r="I1179">
        <v>90978.79</v>
      </c>
      <c r="J1179">
        <v>79866.24</v>
      </c>
      <c r="K1179" s="1"/>
      <c r="L1179" s="1"/>
      <c r="M1179" s="1"/>
      <c r="N1179" s="1"/>
    </row>
    <row r="1180" ht="15.75" customHeight="1">
      <c r="A1180" t="s">
        <v>29</v>
      </c>
      <c r="B1180" t="s">
        <v>54</v>
      </c>
      <c r="C1180" t="s">
        <v>4915</v>
      </c>
      <c r="D1180" t="s">
        <v>1254</v>
      </c>
      <c r="E1180">
        <v>61619.2259620636</v>
      </c>
      <c r="F1180">
        <v>19703.6454572096</v>
      </c>
      <c r="G1180">
        <v>9679.10053548812</v>
      </c>
      <c r="H1180">
        <v>11115.946642834</v>
      </c>
      <c r="I1180">
        <v>91001.97</v>
      </c>
      <c r="J1180">
        <v>79886.02</v>
      </c>
      <c r="K1180" s="1"/>
      <c r="L1180" s="1"/>
      <c r="M1180" s="1"/>
      <c r="N1180" s="1"/>
    </row>
    <row r="1181" ht="15.75" customHeight="1">
      <c r="A1181" t="s">
        <v>36</v>
      </c>
      <c r="B1181" t="s">
        <v>14</v>
      </c>
      <c r="C1181" t="s">
        <v>4908</v>
      </c>
      <c r="D1181" t="s">
        <v>1255</v>
      </c>
      <c r="E1181">
        <v>61630.1089319698</v>
      </c>
      <c r="F1181">
        <v>19708.260175537</v>
      </c>
      <c r="G1181">
        <v>9686.78053891762</v>
      </c>
      <c r="H1181">
        <v>11119.3441935213</v>
      </c>
      <c r="I1181">
        <v>91025.15</v>
      </c>
      <c r="J1181">
        <v>79905.81</v>
      </c>
      <c r="K1181" s="1"/>
      <c r="L1181" s="1"/>
      <c r="M1181" s="1"/>
      <c r="N1181" s="1"/>
    </row>
    <row r="1182" ht="15.75" customHeight="1">
      <c r="A1182" t="s">
        <v>51</v>
      </c>
      <c r="B1182" t="s">
        <v>37</v>
      </c>
      <c r="C1182" t="s">
        <v>4917</v>
      </c>
      <c r="D1182" t="s">
        <v>1256</v>
      </c>
      <c r="E1182">
        <v>61640.991901876</v>
      </c>
      <c r="F1182">
        <v>19712.8748938645</v>
      </c>
      <c r="G1182">
        <v>9694.46054234711</v>
      </c>
      <c r="H1182">
        <v>11122.7417442086</v>
      </c>
      <c r="I1182">
        <v>91048.33</v>
      </c>
      <c r="J1182">
        <v>79925.59</v>
      </c>
      <c r="K1182" s="1"/>
      <c r="L1182" s="1"/>
      <c r="M1182" s="1"/>
      <c r="N1182" s="1"/>
    </row>
    <row r="1183" ht="15.75" customHeight="1">
      <c r="A1183" t="s">
        <v>17</v>
      </c>
      <c r="B1183" t="s">
        <v>14</v>
      </c>
      <c r="C1183" t="s">
        <v>4916</v>
      </c>
      <c r="D1183" t="s">
        <v>1257</v>
      </c>
      <c r="E1183">
        <v>72475.40820418281</v>
      </c>
      <c r="F1183">
        <v>19717.4896121919</v>
      </c>
      <c r="G1183">
        <v>9702.14054577662</v>
      </c>
      <c r="H1183">
        <v>11126.1392948959</v>
      </c>
      <c r="I1183">
        <v>101895.04</v>
      </c>
      <c r="J1183">
        <v>90768.9</v>
      </c>
      <c r="K1183" s="1"/>
      <c r="L1183" s="1"/>
      <c r="M1183" s="1"/>
      <c r="N1183" s="1"/>
    </row>
    <row r="1184" ht="15.75" customHeight="1">
      <c r="A1184" t="s">
        <v>36</v>
      </c>
      <c r="B1184" t="s">
        <v>30</v>
      </c>
      <c r="C1184" t="s">
        <v>4909</v>
      </c>
      <c r="D1184" t="s">
        <v>1258</v>
      </c>
      <c r="E1184">
        <v>61662.7578416884</v>
      </c>
      <c r="F1184">
        <v>19722.1043305193</v>
      </c>
      <c r="G1184">
        <v>9709.82054920611</v>
      </c>
      <c r="H1184">
        <v>11129.5368455831</v>
      </c>
      <c r="I1184">
        <v>91094.68</v>
      </c>
      <c r="J1184">
        <v>79965.14</v>
      </c>
      <c r="K1184" s="1"/>
      <c r="L1184" s="1"/>
      <c r="M1184" s="1"/>
      <c r="N1184" s="1"/>
    </row>
    <row r="1185" ht="15.75" customHeight="1">
      <c r="A1185" t="s">
        <v>36</v>
      </c>
      <c r="B1185" t="s">
        <v>30</v>
      </c>
      <c r="C1185" t="s">
        <v>4907</v>
      </c>
      <c r="D1185" t="s">
        <v>1259</v>
      </c>
      <c r="E1185">
        <v>61673.6408115946</v>
      </c>
      <c r="F1185">
        <v>19726.7190488467</v>
      </c>
      <c r="G1185">
        <v>9717.50055263561</v>
      </c>
      <c r="H1185">
        <v>11132.9343962704</v>
      </c>
      <c r="I1185">
        <v>91117.86</v>
      </c>
      <c r="J1185">
        <v>79984.93</v>
      </c>
      <c r="K1185" s="1"/>
      <c r="L1185" s="1"/>
      <c r="M1185" s="1"/>
      <c r="N1185" s="1"/>
    </row>
    <row r="1186" ht="15.75" customHeight="1">
      <c r="A1186" t="s">
        <v>13</v>
      </c>
      <c r="B1186" t="s">
        <v>54</v>
      </c>
      <c r="C1186" t="s">
        <v>4912</v>
      </c>
      <c r="D1186" t="s">
        <v>1260</v>
      </c>
      <c r="E1186">
        <v>61684.5237815008</v>
      </c>
      <c r="F1186">
        <v>19731.3337671741</v>
      </c>
      <c r="G1186">
        <v>9725.1805560651</v>
      </c>
      <c r="H1186">
        <v>11136.3319469577</v>
      </c>
      <c r="I1186">
        <v>91141.04</v>
      </c>
      <c r="J1186">
        <v>80004.71</v>
      </c>
      <c r="K1186" s="1"/>
      <c r="L1186" s="1"/>
      <c r="M1186" s="1"/>
      <c r="N1186" s="1"/>
    </row>
    <row r="1187" ht="15.75" customHeight="1">
      <c r="A1187" t="s">
        <v>13</v>
      </c>
      <c r="B1187" t="s">
        <v>18</v>
      </c>
      <c r="C1187" t="s">
        <v>4911</v>
      </c>
      <c r="D1187" t="s">
        <v>1261</v>
      </c>
      <c r="E1187">
        <v>61695.406751407</v>
      </c>
      <c r="F1187">
        <v>19735.9484855016</v>
      </c>
      <c r="G1187">
        <v>9732.86055949459</v>
      </c>
      <c r="H1187">
        <v>11139.729497645</v>
      </c>
      <c r="I1187">
        <v>91164.22</v>
      </c>
      <c r="J1187">
        <v>80024.49</v>
      </c>
      <c r="K1187" s="1"/>
      <c r="L1187" s="1"/>
      <c r="M1187" s="1"/>
      <c r="N1187" s="1"/>
    </row>
    <row r="1188" ht="15.75" customHeight="1">
      <c r="A1188" t="s">
        <v>25</v>
      </c>
      <c r="B1188" t="s">
        <v>26</v>
      </c>
      <c r="C1188" t="s">
        <v>4914</v>
      </c>
      <c r="D1188" t="s">
        <v>1262</v>
      </c>
      <c r="E1188">
        <v>61706.2897213132</v>
      </c>
      <c r="F1188">
        <v>19740.563203829</v>
      </c>
      <c r="G1188">
        <v>9740.5405629241</v>
      </c>
      <c r="H1188">
        <v>14634.43925924574</v>
      </c>
      <c r="I1188">
        <v>91187.39</v>
      </c>
      <c r="J1188">
        <v>76552.95</v>
      </c>
      <c r="K1188" s="1"/>
      <c r="L1188" s="1"/>
      <c r="M1188" s="1"/>
      <c r="N1188" s="1"/>
    </row>
    <row r="1189" ht="15.75" customHeight="1">
      <c r="A1189" t="s">
        <v>36</v>
      </c>
      <c r="B1189" t="s">
        <v>30</v>
      </c>
      <c r="C1189" t="s">
        <v>4915</v>
      </c>
      <c r="D1189" t="s">
        <v>1263</v>
      </c>
      <c r="E1189">
        <v>61717.1726912194</v>
      </c>
      <c r="F1189">
        <v>19745.1779221564</v>
      </c>
      <c r="G1189">
        <v>9748.2205663536</v>
      </c>
      <c r="H1189">
        <v>11146.5245990196</v>
      </c>
      <c r="I1189">
        <v>91210.57</v>
      </c>
      <c r="J1189">
        <v>80064.05</v>
      </c>
      <c r="K1189" s="1"/>
      <c r="L1189" s="1"/>
      <c r="M1189" s="1"/>
      <c r="N1189" s="1"/>
    </row>
    <row r="1190" ht="15.75" customHeight="1">
      <c r="A1190" t="s">
        <v>25</v>
      </c>
      <c r="B1190" t="s">
        <v>26</v>
      </c>
      <c r="C1190" t="s">
        <v>4911</v>
      </c>
      <c r="D1190" t="s">
        <v>1264</v>
      </c>
      <c r="E1190">
        <v>61728.0556611256</v>
      </c>
      <c r="F1190">
        <v>19749.7926404838</v>
      </c>
      <c r="G1190">
        <v>9755.90056978309</v>
      </c>
      <c r="H1190">
        <v>11149.9221497069</v>
      </c>
      <c r="I1190">
        <v>91233.75</v>
      </c>
      <c r="J1190">
        <v>80083.83</v>
      </c>
      <c r="K1190" s="1"/>
      <c r="L1190" s="1"/>
      <c r="M1190" s="1"/>
      <c r="N1190" s="1"/>
    </row>
    <row r="1191" ht="15.75" customHeight="1">
      <c r="A1191" t="s">
        <v>25</v>
      </c>
      <c r="B1191" t="s">
        <v>14</v>
      </c>
      <c r="C1191" t="s">
        <v>4911</v>
      </c>
      <c r="D1191" t="s">
        <v>1265</v>
      </c>
      <c r="E1191">
        <v>61738.9386310318</v>
      </c>
      <c r="F1191">
        <v>19754.4073588112</v>
      </c>
      <c r="G1191">
        <v>9763.58057321258</v>
      </c>
      <c r="H1191">
        <v>11153.3197003941</v>
      </c>
      <c r="I1191">
        <v>91256.93</v>
      </c>
      <c r="J1191">
        <v>80103.61</v>
      </c>
      <c r="K1191" s="1"/>
      <c r="L1191" s="1"/>
      <c r="M1191" s="1"/>
      <c r="N1191" s="1"/>
    </row>
    <row r="1192" ht="15.75" customHeight="1">
      <c r="A1192" t="s">
        <v>36</v>
      </c>
      <c r="B1192" t="s">
        <v>54</v>
      </c>
      <c r="C1192" t="s">
        <v>4914</v>
      </c>
      <c r="D1192" t="s">
        <v>1266</v>
      </c>
      <c r="E1192">
        <v>61749.0</v>
      </c>
      <c r="F1192">
        <v>19759.0220771387</v>
      </c>
      <c r="G1192">
        <v>9771.26057664209</v>
      </c>
      <c r="H1192">
        <v>11156.7172510814</v>
      </c>
      <c r="I1192">
        <v>91279.28</v>
      </c>
      <c r="J1192">
        <v>80122.56</v>
      </c>
      <c r="K1192" s="1"/>
      <c r="L1192" s="1"/>
      <c r="M1192" s="1"/>
      <c r="N1192" s="1"/>
    </row>
    <row r="1193" ht="15.75" customHeight="1">
      <c r="A1193" t="s">
        <v>36</v>
      </c>
      <c r="B1193" t="s">
        <v>14</v>
      </c>
      <c r="C1193" t="s">
        <v>4917</v>
      </c>
      <c r="D1193" t="s">
        <v>1267</v>
      </c>
      <c r="E1193">
        <v>61760.7045708441</v>
      </c>
      <c r="F1193">
        <v>19763.6367954661</v>
      </c>
      <c r="G1193">
        <v>9778.94058007159</v>
      </c>
      <c r="H1193">
        <v>11160.1148017687</v>
      </c>
      <c r="I1193">
        <v>91303.28</v>
      </c>
      <c r="J1193">
        <v>80143.17</v>
      </c>
      <c r="K1193" s="1"/>
      <c r="L1193" s="1"/>
      <c r="M1193" s="1"/>
      <c r="N1193" s="1"/>
    </row>
    <row r="1194" ht="15.75" customHeight="1">
      <c r="A1194" t="s">
        <v>29</v>
      </c>
      <c r="B1194" t="s">
        <v>54</v>
      </c>
      <c r="C1194" t="s">
        <v>4916</v>
      </c>
      <c r="D1194" t="s">
        <v>1268</v>
      </c>
      <c r="E1194">
        <v>61771.5875407503</v>
      </c>
      <c r="F1194">
        <v>19768.2515137935</v>
      </c>
      <c r="G1194">
        <v>9786.62058350109</v>
      </c>
      <c r="H1194">
        <v>11163.512352456</v>
      </c>
      <c r="I1194">
        <v>91326.46</v>
      </c>
      <c r="J1194">
        <v>80162.95</v>
      </c>
      <c r="K1194" s="1"/>
      <c r="L1194" s="1"/>
      <c r="M1194" s="1"/>
      <c r="N1194" s="1"/>
    </row>
    <row r="1195" ht="15.75" customHeight="1">
      <c r="A1195" t="s">
        <v>13</v>
      </c>
      <c r="B1195" t="s">
        <v>54</v>
      </c>
      <c r="C1195" t="s">
        <v>4914</v>
      </c>
      <c r="D1195" t="s">
        <v>1269</v>
      </c>
      <c r="E1195">
        <v>61782.4705106565</v>
      </c>
      <c r="F1195">
        <v>19772.8662321209</v>
      </c>
      <c r="G1195">
        <v>9794.30058693057</v>
      </c>
      <c r="H1195">
        <v>11166.9099031433</v>
      </c>
      <c r="I1195">
        <v>91349.64</v>
      </c>
      <c r="J1195">
        <v>80182.73</v>
      </c>
      <c r="K1195" s="1"/>
      <c r="L1195" s="1"/>
      <c r="M1195" s="1"/>
      <c r="N1195" s="1"/>
    </row>
    <row r="1196" ht="15.75" customHeight="1">
      <c r="A1196" t="s">
        <v>13</v>
      </c>
      <c r="B1196" t="s">
        <v>37</v>
      </c>
      <c r="C1196" t="s">
        <v>4911</v>
      </c>
      <c r="D1196" t="s">
        <v>1270</v>
      </c>
      <c r="E1196">
        <v>61793.3534805627</v>
      </c>
      <c r="F1196">
        <v>19777.4809504484</v>
      </c>
      <c r="G1196">
        <v>9801.98059036008</v>
      </c>
      <c r="H1196">
        <v>11170.3074538306</v>
      </c>
      <c r="I1196">
        <v>91372.82</v>
      </c>
      <c r="J1196">
        <v>80202.51</v>
      </c>
      <c r="K1196" s="1"/>
      <c r="L1196" s="1"/>
      <c r="M1196" s="1"/>
      <c r="N1196" s="1"/>
    </row>
    <row r="1197" ht="15.75" customHeight="1">
      <c r="A1197" t="s">
        <v>53</v>
      </c>
      <c r="B1197" t="s">
        <v>26</v>
      </c>
      <c r="C1197" t="s">
        <v>4916</v>
      </c>
      <c r="D1197" t="s">
        <v>1271</v>
      </c>
      <c r="E1197">
        <v>61804.2364504689</v>
      </c>
      <c r="F1197">
        <v>19782.0956687758</v>
      </c>
      <c r="G1197">
        <v>9809.66059378958</v>
      </c>
      <c r="H1197">
        <v>11173.7050045179</v>
      </c>
      <c r="I1197">
        <v>91395.99</v>
      </c>
      <c r="J1197">
        <v>80222.28</v>
      </c>
      <c r="K1197" s="1"/>
      <c r="L1197" s="1"/>
      <c r="M1197" s="1"/>
      <c r="N1197" s="1"/>
    </row>
    <row r="1198" ht="15.75" customHeight="1">
      <c r="A1198" t="s">
        <v>17</v>
      </c>
      <c r="B1198" t="s">
        <v>37</v>
      </c>
      <c r="C1198" t="s">
        <v>4916</v>
      </c>
      <c r="D1198" t="s">
        <v>1272</v>
      </c>
      <c r="E1198">
        <v>61815.1194203751</v>
      </c>
      <c r="F1198">
        <v>19786.7103871032</v>
      </c>
      <c r="G1198">
        <v>9817.34059721907</v>
      </c>
      <c r="H1198">
        <v>11177.1025552052</v>
      </c>
      <c r="I1198">
        <v>91419.17</v>
      </c>
      <c r="J1198">
        <v>80242.07</v>
      </c>
      <c r="K1198" s="1"/>
      <c r="L1198" s="1"/>
      <c r="M1198" s="1"/>
      <c r="N1198" s="1"/>
    </row>
    <row r="1199" ht="15.75" customHeight="1">
      <c r="A1199" t="s">
        <v>51</v>
      </c>
      <c r="B1199" t="s">
        <v>37</v>
      </c>
      <c r="C1199" t="s">
        <v>4912</v>
      </c>
      <c r="D1199" t="s">
        <v>1273</v>
      </c>
      <c r="E1199">
        <v>61826.0023902813</v>
      </c>
      <c r="F1199">
        <v>19791.3251054306</v>
      </c>
      <c r="G1199">
        <v>9825.02060064857</v>
      </c>
      <c r="H1199">
        <v>11180.5001058924</v>
      </c>
      <c r="I1199">
        <v>91442.35</v>
      </c>
      <c r="J1199">
        <v>80261.85</v>
      </c>
      <c r="K1199" s="1"/>
      <c r="L1199" s="1"/>
      <c r="M1199" s="1"/>
      <c r="N1199" s="1"/>
    </row>
    <row r="1200" ht="15.75" customHeight="1">
      <c r="A1200" t="s">
        <v>53</v>
      </c>
      <c r="B1200" t="s">
        <v>37</v>
      </c>
      <c r="C1200" t="s">
        <v>4912</v>
      </c>
      <c r="D1200" t="s">
        <v>1274</v>
      </c>
      <c r="E1200">
        <v>61836.8853601875</v>
      </c>
      <c r="F1200">
        <v>19795.939823758</v>
      </c>
      <c r="G1200">
        <v>9832.70060407807</v>
      </c>
      <c r="H1200">
        <v>11183.8976565797</v>
      </c>
      <c r="I1200">
        <v>91465.53</v>
      </c>
      <c r="J1200">
        <v>80281.63</v>
      </c>
      <c r="K1200" s="1"/>
      <c r="L1200" s="1"/>
      <c r="M1200" s="1"/>
      <c r="N1200" s="1"/>
    </row>
    <row r="1201" ht="15.75" customHeight="1">
      <c r="A1201" t="s">
        <v>51</v>
      </c>
      <c r="B1201" t="s">
        <v>33</v>
      </c>
      <c r="C1201" t="s">
        <v>4909</v>
      </c>
      <c r="D1201" t="s">
        <v>1275</v>
      </c>
      <c r="E1201">
        <v>61847.7683300937</v>
      </c>
      <c r="F1201">
        <v>19800.5545420855</v>
      </c>
      <c r="G1201">
        <v>9840.38060750757</v>
      </c>
      <c r="H1201">
        <v>11187.295207267</v>
      </c>
      <c r="I1201">
        <v>91488.7</v>
      </c>
      <c r="J1201">
        <v>80301.4</v>
      </c>
      <c r="K1201" s="1"/>
      <c r="L1201" s="1"/>
      <c r="M1201" s="1"/>
      <c r="N1201" s="1"/>
    </row>
    <row r="1202" ht="15.75" customHeight="1">
      <c r="A1202" t="s">
        <v>25</v>
      </c>
      <c r="B1202" t="s">
        <v>14</v>
      </c>
      <c r="C1202" t="s">
        <v>4909</v>
      </c>
      <c r="D1202" t="s">
        <v>1276</v>
      </c>
      <c r="E1202">
        <v>61858.6512999999</v>
      </c>
      <c r="F1202">
        <v>19805.1692604129</v>
      </c>
      <c r="G1202">
        <v>9848.06061093706</v>
      </c>
      <c r="H1202">
        <v>14634.43925924574</v>
      </c>
      <c r="I1202">
        <v>91511.88</v>
      </c>
      <c r="J1202">
        <v>76877.44</v>
      </c>
      <c r="K1202" s="1"/>
      <c r="L1202" s="1"/>
      <c r="M1202" s="1"/>
      <c r="N1202" s="1"/>
    </row>
    <row r="1203" ht="15.75" customHeight="1">
      <c r="A1203" t="s">
        <v>17</v>
      </c>
      <c r="B1203" t="s">
        <v>37</v>
      </c>
      <c r="C1203" t="s">
        <v>4910</v>
      </c>
      <c r="D1203" t="s">
        <v>1277</v>
      </c>
      <c r="E1203">
        <v>61869.5342699061</v>
      </c>
      <c r="F1203">
        <v>19809.7839787403</v>
      </c>
      <c r="G1203">
        <v>9855.74061436656</v>
      </c>
      <c r="H1203">
        <v>11194.0903086416</v>
      </c>
      <c r="I1203">
        <v>91535.06</v>
      </c>
      <c r="J1203">
        <v>80340.97</v>
      </c>
      <c r="K1203" s="1"/>
      <c r="L1203" s="1"/>
      <c r="M1203" s="1"/>
      <c r="N1203" s="1"/>
    </row>
    <row r="1204" ht="15.75" customHeight="1">
      <c r="A1204" t="s">
        <v>51</v>
      </c>
      <c r="B1204" t="s">
        <v>33</v>
      </c>
      <c r="C1204" t="s">
        <v>4910</v>
      </c>
      <c r="D1204" t="s">
        <v>1278</v>
      </c>
      <c r="E1204">
        <v>61880.4172398123</v>
      </c>
      <c r="F1204">
        <v>19814.3986970677</v>
      </c>
      <c r="G1204">
        <v>9863.42061779606</v>
      </c>
      <c r="H1204">
        <v>11197.4878593289</v>
      </c>
      <c r="I1204">
        <v>91558.24</v>
      </c>
      <c r="J1204">
        <v>80360.75</v>
      </c>
      <c r="K1204" s="1"/>
      <c r="L1204" s="1"/>
      <c r="M1204" s="1"/>
      <c r="N1204" s="1"/>
    </row>
    <row r="1205" ht="15.75" customHeight="1">
      <c r="A1205" t="s">
        <v>53</v>
      </c>
      <c r="B1205" t="s">
        <v>26</v>
      </c>
      <c r="C1205" t="s">
        <v>4909</v>
      </c>
      <c r="D1205" t="s">
        <v>1279</v>
      </c>
      <c r="E1205">
        <v>61891.3002097185</v>
      </c>
      <c r="F1205">
        <v>19819.0134153952</v>
      </c>
      <c r="G1205">
        <v>9871.10062122555</v>
      </c>
      <c r="H1205">
        <v>11200.8854100162</v>
      </c>
      <c r="I1205">
        <v>91581.41</v>
      </c>
      <c r="J1205">
        <v>80380.52</v>
      </c>
      <c r="K1205" s="1"/>
      <c r="L1205" s="1"/>
      <c r="M1205" s="1"/>
      <c r="N1205" s="1"/>
    </row>
    <row r="1206" ht="15.75" customHeight="1">
      <c r="A1206" t="s">
        <v>13</v>
      </c>
      <c r="B1206" t="s">
        <v>14</v>
      </c>
      <c r="C1206" t="s">
        <v>4912</v>
      </c>
      <c r="D1206" t="s">
        <v>1280</v>
      </c>
      <c r="E1206">
        <v>61902.1831796247</v>
      </c>
      <c r="F1206">
        <v>19823.6281337226</v>
      </c>
      <c r="G1206">
        <v>9878.78062465505</v>
      </c>
      <c r="H1206">
        <v>11204.2829607035</v>
      </c>
      <c r="I1206">
        <v>91604.59</v>
      </c>
      <c r="J1206">
        <v>80400.31</v>
      </c>
      <c r="K1206" s="1"/>
      <c r="L1206" s="1"/>
      <c r="M1206" s="1"/>
      <c r="N1206" s="1"/>
    </row>
    <row r="1207" ht="15.75" customHeight="1">
      <c r="A1207" t="s">
        <v>13</v>
      </c>
      <c r="B1207" t="s">
        <v>37</v>
      </c>
      <c r="C1207" t="s">
        <v>4907</v>
      </c>
      <c r="D1207" t="s">
        <v>1281</v>
      </c>
      <c r="E1207">
        <v>61913.0661495309</v>
      </c>
      <c r="F1207">
        <v>19828.24285205</v>
      </c>
      <c r="G1207">
        <v>9886.46062808455</v>
      </c>
      <c r="H1207">
        <v>11207.6805113907</v>
      </c>
      <c r="I1207">
        <v>91627.77</v>
      </c>
      <c r="J1207">
        <v>80420.09</v>
      </c>
      <c r="K1207" s="1"/>
      <c r="L1207" s="1"/>
      <c r="M1207" s="1"/>
      <c r="N1207" s="1"/>
    </row>
    <row r="1208" ht="15.75" customHeight="1">
      <c r="A1208" t="s">
        <v>51</v>
      </c>
      <c r="B1208" t="s">
        <v>18</v>
      </c>
      <c r="C1208" t="s">
        <v>4911</v>
      </c>
      <c r="D1208" t="s">
        <v>1282</v>
      </c>
      <c r="E1208">
        <v>61923.949119437</v>
      </c>
      <c r="F1208">
        <v>19832.8575703774</v>
      </c>
      <c r="G1208">
        <v>9894.14063151404</v>
      </c>
      <c r="H1208">
        <v>11211.078062078</v>
      </c>
      <c r="I1208">
        <v>91650.95</v>
      </c>
      <c r="J1208">
        <v>80439.87</v>
      </c>
      <c r="K1208" s="1"/>
      <c r="L1208" s="1"/>
      <c r="M1208" s="1"/>
      <c r="N1208" s="1"/>
    </row>
    <row r="1209" ht="15.75" customHeight="1">
      <c r="A1209" t="s">
        <v>17</v>
      </c>
      <c r="B1209" t="s">
        <v>18</v>
      </c>
      <c r="C1209" t="s">
        <v>4915</v>
      </c>
      <c r="D1209" t="s">
        <v>1283</v>
      </c>
      <c r="E1209">
        <v>61934.8320893432</v>
      </c>
      <c r="F1209">
        <v>19837.4722887048</v>
      </c>
      <c r="G1209">
        <v>9901.82063494353</v>
      </c>
      <c r="H1209">
        <v>11214.4756127653</v>
      </c>
      <c r="I1209">
        <v>91674.13</v>
      </c>
      <c r="J1209">
        <v>80459.65</v>
      </c>
      <c r="K1209" s="1"/>
      <c r="L1209" s="1"/>
      <c r="M1209" s="1"/>
      <c r="N1209" s="1"/>
    </row>
    <row r="1210" ht="15.75" customHeight="1">
      <c r="A1210" t="s">
        <v>13</v>
      </c>
      <c r="B1210" t="s">
        <v>33</v>
      </c>
      <c r="C1210" t="s">
        <v>4915</v>
      </c>
      <c r="D1210" t="s">
        <v>1284</v>
      </c>
      <c r="E1210">
        <v>61945.7150592494</v>
      </c>
      <c r="F1210">
        <v>19842.0870070323</v>
      </c>
      <c r="G1210">
        <v>9909.50063837304</v>
      </c>
      <c r="H1210">
        <v>11217.8731634526</v>
      </c>
      <c r="I1210">
        <v>91697.3</v>
      </c>
      <c r="J1210">
        <v>80479.43</v>
      </c>
      <c r="K1210" s="1"/>
      <c r="L1210" s="1"/>
      <c r="M1210" s="1"/>
      <c r="N1210" s="1"/>
    </row>
    <row r="1211" ht="15.75" customHeight="1">
      <c r="A1211" t="s">
        <v>17</v>
      </c>
      <c r="B1211" t="s">
        <v>14</v>
      </c>
      <c r="C1211" t="s">
        <v>4907</v>
      </c>
      <c r="D1211" t="s">
        <v>1285</v>
      </c>
      <c r="E1211">
        <v>61956.5980291556</v>
      </c>
      <c r="F1211">
        <v>19846.7017253597</v>
      </c>
      <c r="G1211">
        <v>9917.18064180254</v>
      </c>
      <c r="H1211">
        <v>11221.2707141399</v>
      </c>
      <c r="I1211">
        <v>91720.48</v>
      </c>
      <c r="J1211">
        <v>80499.21</v>
      </c>
      <c r="K1211" s="1"/>
      <c r="L1211" s="1"/>
      <c r="M1211" s="1"/>
      <c r="N1211" s="1"/>
    </row>
    <row r="1212" ht="15.75" customHeight="1">
      <c r="A1212" t="s">
        <v>17</v>
      </c>
      <c r="B1212" t="s">
        <v>26</v>
      </c>
      <c r="C1212" t="s">
        <v>4912</v>
      </c>
      <c r="D1212" t="s">
        <v>1286</v>
      </c>
      <c r="E1212">
        <v>61967.4809990618</v>
      </c>
      <c r="F1212">
        <v>19851.3164436871</v>
      </c>
      <c r="G1212">
        <v>9924.86064523203</v>
      </c>
      <c r="H1212">
        <v>11224.6682648272</v>
      </c>
      <c r="I1212">
        <v>91743.66</v>
      </c>
      <c r="J1212">
        <v>80518.99</v>
      </c>
      <c r="K1212" s="1"/>
      <c r="L1212" s="1"/>
      <c r="M1212" s="1"/>
      <c r="N1212" s="1"/>
    </row>
    <row r="1213" ht="15.75" customHeight="1">
      <c r="A1213" t="s">
        <v>29</v>
      </c>
      <c r="B1213" t="s">
        <v>33</v>
      </c>
      <c r="C1213" t="s">
        <v>4913</v>
      </c>
      <c r="D1213" t="s">
        <v>1287</v>
      </c>
      <c r="E1213">
        <v>61978.363968968</v>
      </c>
      <c r="F1213">
        <v>19855.9311620145</v>
      </c>
      <c r="G1213">
        <v>9932.54064866152</v>
      </c>
      <c r="H1213">
        <v>11228.0658155145</v>
      </c>
      <c r="I1213">
        <v>91766.84</v>
      </c>
      <c r="J1213">
        <v>80538.77</v>
      </c>
      <c r="K1213" s="1"/>
      <c r="L1213" s="1"/>
      <c r="M1213" s="1"/>
      <c r="N1213" s="1"/>
    </row>
    <row r="1214" ht="15.75" customHeight="1">
      <c r="A1214" t="s">
        <v>51</v>
      </c>
      <c r="B1214" t="s">
        <v>18</v>
      </c>
      <c r="C1214" t="s">
        <v>4911</v>
      </c>
      <c r="D1214" t="s">
        <v>1288</v>
      </c>
      <c r="E1214">
        <v>61989.2469388742</v>
      </c>
      <c r="F1214">
        <v>19860.545880342</v>
      </c>
      <c r="G1214">
        <v>9940.22065209103</v>
      </c>
      <c r="H1214">
        <v>11231.4633662017</v>
      </c>
      <c r="I1214">
        <v>91790.01</v>
      </c>
      <c r="J1214">
        <v>80558.55</v>
      </c>
      <c r="K1214" s="1"/>
      <c r="L1214" s="1"/>
      <c r="M1214" s="1"/>
      <c r="N1214" s="1"/>
    </row>
    <row r="1215" ht="15.75" customHeight="1">
      <c r="A1215" t="s">
        <v>53</v>
      </c>
      <c r="B1215" t="s">
        <v>18</v>
      </c>
      <c r="C1215" t="s">
        <v>4913</v>
      </c>
      <c r="D1215" t="s">
        <v>1289</v>
      </c>
      <c r="E1215">
        <v>62000.1299087804</v>
      </c>
      <c r="F1215">
        <v>19865.1605986694</v>
      </c>
      <c r="G1215">
        <v>9947.90065552053</v>
      </c>
      <c r="H1215">
        <v>11234.860916889</v>
      </c>
      <c r="I1215">
        <v>91813.19</v>
      </c>
      <c r="J1215">
        <v>80578.33</v>
      </c>
      <c r="K1215" s="1"/>
      <c r="L1215" s="1"/>
      <c r="M1215" s="1"/>
      <c r="N1215" s="1"/>
    </row>
    <row r="1216" ht="15.75" customHeight="1">
      <c r="A1216" t="s">
        <v>36</v>
      </c>
      <c r="B1216" t="s">
        <v>14</v>
      </c>
      <c r="C1216" t="s">
        <v>4905</v>
      </c>
      <c r="D1216" t="s">
        <v>1290</v>
      </c>
      <c r="E1216">
        <v>62011.0128786866</v>
      </c>
      <c r="F1216">
        <v>19869.7753169968</v>
      </c>
      <c r="G1216">
        <v>9955.58065895002</v>
      </c>
      <c r="H1216">
        <v>11238.2584675763</v>
      </c>
      <c r="I1216">
        <v>91836.37</v>
      </c>
      <c r="J1216">
        <v>80598.11</v>
      </c>
      <c r="K1216" s="1"/>
      <c r="L1216" s="1"/>
      <c r="M1216" s="1"/>
      <c r="N1216" s="1"/>
    </row>
    <row r="1217" ht="15.75" customHeight="1">
      <c r="A1217" t="s">
        <v>25</v>
      </c>
      <c r="B1217" t="s">
        <v>18</v>
      </c>
      <c r="C1217" t="s">
        <v>4914</v>
      </c>
      <c r="D1217" t="s">
        <v>1291</v>
      </c>
      <c r="E1217">
        <v>62021.8958485928</v>
      </c>
      <c r="F1217">
        <v>19874.3900353242</v>
      </c>
      <c r="G1217">
        <v>9963.26066237951</v>
      </c>
      <c r="H1217">
        <v>11241.6560182636</v>
      </c>
      <c r="I1217">
        <v>91859.55</v>
      </c>
      <c r="J1217">
        <v>80617.89</v>
      </c>
      <c r="K1217" s="1"/>
      <c r="L1217" s="1"/>
      <c r="M1217" s="1"/>
      <c r="N1217" s="1"/>
    </row>
    <row r="1218" ht="15.75" customHeight="1">
      <c r="A1218" t="s">
        <v>17</v>
      </c>
      <c r="B1218" t="s">
        <v>54</v>
      </c>
      <c r="C1218" t="s">
        <v>4917</v>
      </c>
      <c r="D1218" t="s">
        <v>1292</v>
      </c>
      <c r="E1218">
        <v>62032.778818499</v>
      </c>
      <c r="F1218">
        <v>19879.0047536516</v>
      </c>
      <c r="G1218">
        <v>9970.94066580902</v>
      </c>
      <c r="H1218">
        <v>11245.0535689509</v>
      </c>
      <c r="I1218">
        <v>91882.72</v>
      </c>
      <c r="J1218">
        <v>80637.67</v>
      </c>
      <c r="K1218" s="1"/>
      <c r="L1218" s="1"/>
      <c r="M1218" s="1"/>
      <c r="N1218" s="1"/>
    </row>
    <row r="1219" ht="15.75" customHeight="1">
      <c r="A1219" t="s">
        <v>29</v>
      </c>
      <c r="B1219" t="s">
        <v>33</v>
      </c>
      <c r="C1219" t="s">
        <v>4910</v>
      </c>
      <c r="D1219" t="s">
        <v>1293</v>
      </c>
      <c r="E1219">
        <v>62043.6617884052</v>
      </c>
      <c r="F1219">
        <v>19883.6194719791</v>
      </c>
      <c r="G1219">
        <v>9978.62066923852</v>
      </c>
      <c r="H1219">
        <v>11248.4511196382</v>
      </c>
      <c r="I1219">
        <v>91905.9</v>
      </c>
      <c r="J1219">
        <v>80657.45</v>
      </c>
      <c r="K1219" s="1"/>
      <c r="L1219" s="1"/>
      <c r="M1219" s="1"/>
      <c r="N1219" s="1"/>
    </row>
    <row r="1220" ht="15.75" customHeight="1">
      <c r="A1220" t="s">
        <v>51</v>
      </c>
      <c r="B1220" t="s">
        <v>54</v>
      </c>
      <c r="C1220" t="s">
        <v>4912</v>
      </c>
      <c r="D1220" t="s">
        <v>1294</v>
      </c>
      <c r="E1220">
        <v>62054.5447583114</v>
      </c>
      <c r="F1220">
        <v>19888.2341903065</v>
      </c>
      <c r="G1220">
        <v>9986.30067266801</v>
      </c>
      <c r="H1220">
        <v>11251.8486703255</v>
      </c>
      <c r="I1220">
        <v>91929.08</v>
      </c>
      <c r="J1220">
        <v>80677.23</v>
      </c>
      <c r="K1220" s="1"/>
      <c r="L1220" s="1"/>
      <c r="M1220" s="1"/>
      <c r="N1220" s="1"/>
    </row>
    <row r="1221" ht="15.75" customHeight="1">
      <c r="A1221" t="s">
        <v>29</v>
      </c>
      <c r="B1221" t="s">
        <v>18</v>
      </c>
      <c r="C1221" t="s">
        <v>4910</v>
      </c>
      <c r="D1221" t="s">
        <v>1295</v>
      </c>
      <c r="E1221">
        <v>72210.86634532797</v>
      </c>
      <c r="F1221">
        <v>19892.8489086339</v>
      </c>
      <c r="G1221">
        <v>9993.9806760975</v>
      </c>
      <c r="H1221">
        <v>11255.2462210128</v>
      </c>
      <c r="I1221">
        <v>102097.7</v>
      </c>
      <c r="J1221">
        <v>90842.45</v>
      </c>
      <c r="K1221" s="1"/>
      <c r="L1221" s="1"/>
      <c r="M1221" s="1"/>
      <c r="N1221" s="1"/>
    </row>
    <row r="1222" ht="15.75" customHeight="1">
      <c r="A1222" t="s">
        <v>17</v>
      </c>
      <c r="B1222" t="s">
        <v>14</v>
      </c>
      <c r="C1222" t="s">
        <v>4913</v>
      </c>
      <c r="D1222" t="s">
        <v>1296</v>
      </c>
      <c r="E1222">
        <v>62076.3106981238</v>
      </c>
      <c r="F1222">
        <v>19897.4636269613</v>
      </c>
      <c r="G1222">
        <v>10001.660679527</v>
      </c>
      <c r="H1222">
        <v>11258.6437717</v>
      </c>
      <c r="I1222">
        <v>91975.44</v>
      </c>
      <c r="J1222">
        <v>80716.8</v>
      </c>
      <c r="K1222" s="1"/>
      <c r="L1222" s="1"/>
      <c r="M1222" s="1"/>
      <c r="N1222" s="1"/>
    </row>
    <row r="1223" ht="15.75" customHeight="1">
      <c r="A1223" t="s">
        <v>17</v>
      </c>
      <c r="B1223" t="s">
        <v>14</v>
      </c>
      <c r="C1223" t="s">
        <v>4907</v>
      </c>
      <c r="D1223" t="s">
        <v>1297</v>
      </c>
      <c r="E1223">
        <v>62087.1936680299</v>
      </c>
      <c r="F1223">
        <v>19902.0783452888</v>
      </c>
      <c r="G1223">
        <v>10009.3406829565</v>
      </c>
      <c r="H1223">
        <v>11262.0413223873</v>
      </c>
      <c r="I1223">
        <v>91998.61</v>
      </c>
      <c r="J1223">
        <v>80736.57</v>
      </c>
      <c r="K1223" s="1"/>
      <c r="L1223" s="1"/>
      <c r="M1223" s="1"/>
      <c r="N1223" s="1"/>
    </row>
    <row r="1224" ht="15.75" customHeight="1">
      <c r="A1224" t="s">
        <v>53</v>
      </c>
      <c r="B1224" t="s">
        <v>37</v>
      </c>
      <c r="C1224" t="s">
        <v>4905</v>
      </c>
      <c r="D1224" t="s">
        <v>1298</v>
      </c>
      <c r="E1224">
        <v>62098.0766379361</v>
      </c>
      <c r="F1224">
        <v>19906.6930636162</v>
      </c>
      <c r="G1224">
        <v>10017.020686386</v>
      </c>
      <c r="H1224">
        <v>11265.4388730746</v>
      </c>
      <c r="I1224">
        <v>92021.79</v>
      </c>
      <c r="J1224">
        <v>80756.35</v>
      </c>
      <c r="K1224" s="1"/>
      <c r="L1224" s="1"/>
      <c r="M1224" s="1"/>
      <c r="N1224" s="1"/>
    </row>
    <row r="1225" ht="15.75" customHeight="1">
      <c r="A1225" t="s">
        <v>13</v>
      </c>
      <c r="B1225" t="s">
        <v>54</v>
      </c>
      <c r="C1225" t="s">
        <v>4917</v>
      </c>
      <c r="D1225" t="s">
        <v>1299</v>
      </c>
      <c r="E1225">
        <v>62108.9596078423</v>
      </c>
      <c r="F1225">
        <v>19911.3077819436</v>
      </c>
      <c r="G1225">
        <v>10024.7006898155</v>
      </c>
      <c r="H1225">
        <v>11268.8364237619</v>
      </c>
      <c r="I1225">
        <v>92044.97</v>
      </c>
      <c r="J1225">
        <v>80776.13</v>
      </c>
      <c r="K1225" s="1"/>
      <c r="L1225" s="1"/>
      <c r="M1225" s="1"/>
      <c r="N1225" s="1"/>
    </row>
    <row r="1226" ht="15.75" customHeight="1">
      <c r="A1226" t="s">
        <v>13</v>
      </c>
      <c r="B1226" t="s">
        <v>18</v>
      </c>
      <c r="C1226" t="s">
        <v>4910</v>
      </c>
      <c r="D1226" t="s">
        <v>1300</v>
      </c>
      <c r="E1226">
        <v>62119.8425777485</v>
      </c>
      <c r="F1226">
        <v>19915.922500271</v>
      </c>
      <c r="G1226">
        <v>10032.380693245</v>
      </c>
      <c r="H1226">
        <v>11272.2339744492</v>
      </c>
      <c r="I1226">
        <v>92068.15</v>
      </c>
      <c r="J1226">
        <v>80795.92</v>
      </c>
      <c r="K1226" s="1"/>
      <c r="L1226" s="1"/>
      <c r="M1226" s="1"/>
      <c r="N1226" s="1"/>
    </row>
    <row r="1227" ht="15.75" customHeight="1">
      <c r="A1227" t="s">
        <v>29</v>
      </c>
      <c r="B1227" t="s">
        <v>37</v>
      </c>
      <c r="C1227" t="s">
        <v>4915</v>
      </c>
      <c r="D1227" t="s">
        <v>1301</v>
      </c>
      <c r="E1227">
        <v>62130.7255476547</v>
      </c>
      <c r="F1227">
        <v>19920.5372185984</v>
      </c>
      <c r="G1227">
        <v>10040.0606966745</v>
      </c>
      <c r="H1227">
        <v>11275.6315251365</v>
      </c>
      <c r="I1227">
        <v>92091.32</v>
      </c>
      <c r="J1227">
        <v>80815.69</v>
      </c>
      <c r="K1227" s="1"/>
      <c r="L1227" s="1"/>
      <c r="M1227" s="1"/>
      <c r="N1227" s="1"/>
    </row>
    <row r="1228" ht="15.75" customHeight="1">
      <c r="A1228" t="s">
        <v>36</v>
      </c>
      <c r="B1228" t="s">
        <v>33</v>
      </c>
      <c r="C1228" t="s">
        <v>4911</v>
      </c>
      <c r="D1228" t="s">
        <v>1302</v>
      </c>
      <c r="E1228">
        <v>62141.6085175609</v>
      </c>
      <c r="F1228">
        <v>19925.1519369259</v>
      </c>
      <c r="G1228">
        <v>10047.740700104</v>
      </c>
      <c r="H1228">
        <v>11279.0290758238</v>
      </c>
      <c r="I1228">
        <v>92114.5</v>
      </c>
      <c r="J1228">
        <v>80835.47</v>
      </c>
      <c r="K1228" s="1"/>
      <c r="L1228" s="1"/>
      <c r="M1228" s="1"/>
      <c r="N1228" s="1"/>
    </row>
    <row r="1229" ht="15.75" customHeight="1">
      <c r="A1229" t="s">
        <v>51</v>
      </c>
      <c r="B1229" t="s">
        <v>30</v>
      </c>
      <c r="C1229" t="s">
        <v>4910</v>
      </c>
      <c r="D1229" t="s">
        <v>1303</v>
      </c>
      <c r="E1229">
        <v>62152.4914874671</v>
      </c>
      <c r="F1229">
        <v>19929.7666552533</v>
      </c>
      <c r="G1229">
        <v>10055.4207035335</v>
      </c>
      <c r="H1229">
        <v>11282.4266265111</v>
      </c>
      <c r="I1229">
        <v>92137.68</v>
      </c>
      <c r="J1229">
        <v>80855.25</v>
      </c>
      <c r="K1229" s="1"/>
      <c r="L1229" s="1"/>
      <c r="M1229" s="1"/>
      <c r="N1229" s="1"/>
    </row>
    <row r="1230" ht="15.75" customHeight="1">
      <c r="A1230" t="s">
        <v>53</v>
      </c>
      <c r="B1230" t="s">
        <v>37</v>
      </c>
      <c r="C1230" t="s">
        <v>4914</v>
      </c>
      <c r="D1230" t="s">
        <v>1304</v>
      </c>
      <c r="E1230">
        <v>62163.3744573733</v>
      </c>
      <c r="F1230">
        <v>19934.3813735807</v>
      </c>
      <c r="G1230">
        <v>10063.100706963</v>
      </c>
      <c r="H1230">
        <v>11285.8241771983</v>
      </c>
      <c r="I1230">
        <v>92160.86</v>
      </c>
      <c r="J1230">
        <v>80875.04</v>
      </c>
      <c r="K1230" s="1"/>
      <c r="L1230" s="1"/>
      <c r="M1230" s="1"/>
      <c r="N1230" s="1"/>
    </row>
    <row r="1231" ht="15.75" customHeight="1">
      <c r="A1231" t="s">
        <v>51</v>
      </c>
      <c r="B1231" t="s">
        <v>54</v>
      </c>
      <c r="C1231" t="s">
        <v>4905</v>
      </c>
      <c r="D1231" t="s">
        <v>1305</v>
      </c>
      <c r="E1231">
        <v>62174.2574272795</v>
      </c>
      <c r="F1231">
        <v>19938.9960919081</v>
      </c>
      <c r="G1231">
        <v>10070.7807103925</v>
      </c>
      <c r="H1231">
        <v>11289.2217278856</v>
      </c>
      <c r="I1231">
        <v>92184.03</v>
      </c>
      <c r="J1231">
        <v>80894.81</v>
      </c>
      <c r="K1231" s="1"/>
      <c r="L1231" s="1"/>
      <c r="M1231" s="1"/>
      <c r="N1231" s="1"/>
    </row>
    <row r="1232" ht="15.75" customHeight="1">
      <c r="A1232" t="s">
        <v>36</v>
      </c>
      <c r="B1232" t="s">
        <v>18</v>
      </c>
      <c r="C1232" t="s">
        <v>4912</v>
      </c>
      <c r="D1232" t="s">
        <v>1306</v>
      </c>
      <c r="E1232">
        <v>62185.1403971857</v>
      </c>
      <c r="F1232">
        <v>19943.6108102356</v>
      </c>
      <c r="G1232">
        <v>10078.460713822</v>
      </c>
      <c r="H1232">
        <v>11292.6192785729</v>
      </c>
      <c r="I1232">
        <v>92207.21</v>
      </c>
      <c r="J1232">
        <v>80914.59</v>
      </c>
      <c r="K1232" s="1"/>
      <c r="L1232" s="1"/>
      <c r="M1232" s="1"/>
      <c r="N1232" s="1"/>
    </row>
    <row r="1233" ht="15.75" customHeight="1">
      <c r="A1233" t="s">
        <v>51</v>
      </c>
      <c r="B1233" t="s">
        <v>18</v>
      </c>
      <c r="C1233" t="s">
        <v>4908</v>
      </c>
      <c r="D1233" t="s">
        <v>1307</v>
      </c>
      <c r="E1233">
        <v>62196.0233670919</v>
      </c>
      <c r="F1233">
        <v>19948.225528563</v>
      </c>
      <c r="G1233">
        <v>10086.1407172515</v>
      </c>
      <c r="H1233">
        <v>11296.0168292602</v>
      </c>
      <c r="I1233">
        <v>92230.39</v>
      </c>
      <c r="J1233">
        <v>80934.37</v>
      </c>
      <c r="K1233" s="1"/>
      <c r="L1233" s="1"/>
      <c r="M1233" s="1"/>
      <c r="N1233" s="1"/>
    </row>
    <row r="1234" ht="15.75" customHeight="1">
      <c r="A1234" t="s">
        <v>17</v>
      </c>
      <c r="B1234" t="s">
        <v>26</v>
      </c>
      <c r="C1234" t="s">
        <v>4909</v>
      </c>
      <c r="D1234" t="s">
        <v>1308</v>
      </c>
      <c r="E1234">
        <v>62206.9063369981</v>
      </c>
      <c r="F1234">
        <v>19952.8402468904</v>
      </c>
      <c r="G1234">
        <v>10093.820720681</v>
      </c>
      <c r="H1234">
        <v>11299.4143799475</v>
      </c>
      <c r="I1234">
        <v>92253.57</v>
      </c>
      <c r="J1234">
        <v>80954.16</v>
      </c>
      <c r="K1234" s="1"/>
      <c r="L1234" s="1"/>
      <c r="M1234" s="1"/>
      <c r="N1234" s="1"/>
    </row>
    <row r="1235" ht="15.75" customHeight="1">
      <c r="A1235" t="s">
        <v>51</v>
      </c>
      <c r="B1235" t="s">
        <v>14</v>
      </c>
      <c r="C1235" t="s">
        <v>4913</v>
      </c>
      <c r="D1235" t="s">
        <v>1309</v>
      </c>
      <c r="E1235">
        <v>62217.7893069043</v>
      </c>
      <c r="F1235">
        <v>19957.4549652178</v>
      </c>
      <c r="G1235">
        <v>10101.5007241105</v>
      </c>
      <c r="H1235">
        <v>11302.8119306348</v>
      </c>
      <c r="I1235">
        <v>92276.74</v>
      </c>
      <c r="J1235">
        <v>80973.93</v>
      </c>
      <c r="K1235" s="1"/>
      <c r="L1235" s="1"/>
      <c r="M1235" s="1"/>
      <c r="N1235" s="1"/>
    </row>
    <row r="1236" ht="15.75" customHeight="1">
      <c r="A1236" t="s">
        <v>36</v>
      </c>
      <c r="B1236" t="s">
        <v>54</v>
      </c>
      <c r="C1236" t="s">
        <v>4914</v>
      </c>
      <c r="D1236" t="s">
        <v>1310</v>
      </c>
      <c r="E1236">
        <v>62239.5552467167</v>
      </c>
      <c r="F1236">
        <v>19966.6844018727</v>
      </c>
      <c r="G1236">
        <v>10116.8607309695</v>
      </c>
      <c r="H1236">
        <v>11309.6070320093</v>
      </c>
      <c r="I1236">
        <v>92323.1</v>
      </c>
      <c r="J1236">
        <v>81013.49</v>
      </c>
      <c r="K1236" s="1"/>
      <c r="L1236" s="1"/>
      <c r="M1236" s="1"/>
      <c r="N1236" s="1"/>
    </row>
    <row r="1237" ht="15.75" customHeight="1">
      <c r="A1237" t="s">
        <v>25</v>
      </c>
      <c r="B1237" t="s">
        <v>54</v>
      </c>
      <c r="C1237" t="s">
        <v>4914</v>
      </c>
      <c r="D1237" t="s">
        <v>1311</v>
      </c>
      <c r="E1237">
        <v>62250.4382166228</v>
      </c>
      <c r="F1237">
        <v>19971.2991202001</v>
      </c>
      <c r="G1237">
        <v>10124.540734399</v>
      </c>
      <c r="H1237">
        <v>11313.0045826966</v>
      </c>
      <c r="I1237">
        <v>92346.28</v>
      </c>
      <c r="J1237">
        <v>81033.28</v>
      </c>
      <c r="K1237" s="1"/>
      <c r="L1237" s="1"/>
      <c r="M1237" s="1"/>
      <c r="N1237" s="1"/>
    </row>
    <row r="1238" ht="15.75" customHeight="1">
      <c r="A1238" t="s">
        <v>17</v>
      </c>
      <c r="B1238" t="s">
        <v>37</v>
      </c>
      <c r="C1238" t="s">
        <v>4914</v>
      </c>
      <c r="D1238" t="s">
        <v>1312</v>
      </c>
      <c r="E1238">
        <v>62261.321186529</v>
      </c>
      <c r="F1238">
        <v>19975.9138385275</v>
      </c>
      <c r="G1238">
        <v>10132.2207378285</v>
      </c>
      <c r="H1238">
        <v>11316.4021333839</v>
      </c>
      <c r="I1238">
        <v>92369.46</v>
      </c>
      <c r="J1238">
        <v>81053.06</v>
      </c>
      <c r="K1238" s="1"/>
      <c r="L1238" s="1"/>
      <c r="M1238" s="1"/>
      <c r="N1238" s="1"/>
    </row>
    <row r="1239" ht="15.75" customHeight="1">
      <c r="A1239" t="s">
        <v>13</v>
      </c>
      <c r="B1239" t="s">
        <v>37</v>
      </c>
      <c r="C1239" t="s">
        <v>4915</v>
      </c>
      <c r="D1239" t="s">
        <v>1313</v>
      </c>
      <c r="E1239">
        <v>62272.2041564352</v>
      </c>
      <c r="F1239">
        <v>19980.5285568549</v>
      </c>
      <c r="G1239">
        <v>10139.900741258</v>
      </c>
      <c r="H1239">
        <v>11319.7996840712</v>
      </c>
      <c r="I1239">
        <v>92392.63</v>
      </c>
      <c r="J1239">
        <v>81072.83</v>
      </c>
      <c r="K1239" s="1"/>
      <c r="L1239" s="1"/>
      <c r="M1239" s="1"/>
      <c r="N1239" s="1"/>
    </row>
    <row r="1240" ht="15.75" customHeight="1">
      <c r="A1240" t="s">
        <v>53</v>
      </c>
      <c r="B1240" t="s">
        <v>26</v>
      </c>
      <c r="C1240" t="s">
        <v>4908</v>
      </c>
      <c r="D1240" t="s">
        <v>1314</v>
      </c>
      <c r="E1240">
        <v>62283.0871263414</v>
      </c>
      <c r="F1240">
        <v>19985.1432751824</v>
      </c>
      <c r="G1240">
        <v>10147.5807446875</v>
      </c>
      <c r="H1240">
        <v>11323.1972347585</v>
      </c>
      <c r="I1240">
        <v>92415.81</v>
      </c>
      <c r="J1240">
        <v>81092.61</v>
      </c>
      <c r="K1240" s="1"/>
      <c r="L1240" s="1"/>
      <c r="M1240" s="1"/>
      <c r="N1240" s="1"/>
    </row>
    <row r="1241" ht="15.75" customHeight="1">
      <c r="A1241" t="s">
        <v>36</v>
      </c>
      <c r="B1241" t="s">
        <v>30</v>
      </c>
      <c r="C1241" t="s">
        <v>4908</v>
      </c>
      <c r="D1241" t="s">
        <v>1315</v>
      </c>
      <c r="E1241">
        <v>62293.9700962476</v>
      </c>
      <c r="F1241">
        <v>19989.7579935098</v>
      </c>
      <c r="G1241">
        <v>10155.2607481169</v>
      </c>
      <c r="H1241">
        <v>11326.5947854458</v>
      </c>
      <c r="I1241">
        <v>92438.99</v>
      </c>
      <c r="J1241">
        <v>81112.4</v>
      </c>
      <c r="K1241" s="1"/>
      <c r="L1241" s="1"/>
      <c r="M1241" s="1"/>
      <c r="N1241" s="1"/>
    </row>
    <row r="1242" ht="15.75" customHeight="1">
      <c r="A1242" t="s">
        <v>25</v>
      </c>
      <c r="B1242" t="s">
        <v>18</v>
      </c>
      <c r="C1242" t="s">
        <v>4912</v>
      </c>
      <c r="D1242" t="s">
        <v>1316</v>
      </c>
      <c r="E1242">
        <v>62304.8530661538</v>
      </c>
      <c r="F1242">
        <v>19994.3727118372</v>
      </c>
      <c r="G1242">
        <v>10162.9407515464</v>
      </c>
      <c r="H1242">
        <v>11329.9923361331</v>
      </c>
      <c r="I1242">
        <v>92462.17</v>
      </c>
      <c r="J1242">
        <v>81132.18</v>
      </c>
      <c r="K1242" s="1"/>
      <c r="L1242" s="1"/>
      <c r="M1242" s="1"/>
      <c r="N1242" s="1"/>
    </row>
    <row r="1243" ht="15.75" customHeight="1">
      <c r="A1243" t="s">
        <v>29</v>
      </c>
      <c r="B1243" t="s">
        <v>54</v>
      </c>
      <c r="C1243" t="s">
        <v>4905</v>
      </c>
      <c r="D1243" t="s">
        <v>1317</v>
      </c>
      <c r="E1243">
        <v>62315.73603606</v>
      </c>
      <c r="F1243">
        <v>19998.9874301646</v>
      </c>
      <c r="G1243">
        <v>10170.6207549759</v>
      </c>
      <c r="H1243">
        <v>11333.3898868204</v>
      </c>
      <c r="I1243">
        <v>92485.34</v>
      </c>
      <c r="J1243">
        <v>81151.95</v>
      </c>
      <c r="K1243" s="1"/>
      <c r="L1243" s="1"/>
      <c r="M1243" s="1"/>
      <c r="N1243" s="1"/>
    </row>
    <row r="1244" ht="15.75" customHeight="1">
      <c r="A1244" t="s">
        <v>53</v>
      </c>
      <c r="B1244" t="s">
        <v>14</v>
      </c>
      <c r="C1244" t="s">
        <v>4907</v>
      </c>
      <c r="D1244" t="s">
        <v>1318</v>
      </c>
      <c r="E1244">
        <v>62326.6190059662</v>
      </c>
      <c r="F1244">
        <v>20003.602148492</v>
      </c>
      <c r="G1244">
        <v>10178.3007584054</v>
      </c>
      <c r="H1244">
        <v>11336.7874375076</v>
      </c>
      <c r="I1244">
        <v>92508.52</v>
      </c>
      <c r="J1244">
        <v>81171.73</v>
      </c>
      <c r="K1244" s="1"/>
      <c r="L1244" s="1"/>
      <c r="M1244" s="1"/>
      <c r="N1244" s="1"/>
    </row>
    <row r="1245" ht="15.75" customHeight="1">
      <c r="A1245" t="s">
        <v>51</v>
      </c>
      <c r="B1245" t="s">
        <v>14</v>
      </c>
      <c r="C1245" t="s">
        <v>4905</v>
      </c>
      <c r="D1245" t="s">
        <v>1319</v>
      </c>
      <c r="E1245">
        <v>62337.5019758724</v>
      </c>
      <c r="F1245">
        <v>20008.2168668195</v>
      </c>
      <c r="G1245">
        <v>10185.9807618349</v>
      </c>
      <c r="H1245">
        <v>11340.1849881949</v>
      </c>
      <c r="I1245">
        <v>92531.7</v>
      </c>
      <c r="J1245">
        <v>81191.52</v>
      </c>
      <c r="K1245" s="1"/>
      <c r="L1245" s="1"/>
      <c r="M1245" s="1"/>
      <c r="N1245" s="1"/>
    </row>
    <row r="1246" ht="15.75" customHeight="1">
      <c r="A1246" t="s">
        <v>51</v>
      </c>
      <c r="B1246" t="s">
        <v>26</v>
      </c>
      <c r="C1246" t="s">
        <v>4912</v>
      </c>
      <c r="D1246" t="s">
        <v>1320</v>
      </c>
      <c r="E1246">
        <v>62348.3849457786</v>
      </c>
      <c r="F1246">
        <v>20012.8315851469</v>
      </c>
      <c r="G1246">
        <v>10193.6607652644</v>
      </c>
      <c r="H1246">
        <v>11343.5825388822</v>
      </c>
      <c r="I1246">
        <v>92554.88</v>
      </c>
      <c r="J1246">
        <v>81211.3</v>
      </c>
      <c r="K1246" s="1"/>
      <c r="L1246" s="1"/>
      <c r="M1246" s="1"/>
      <c r="N1246" s="1"/>
    </row>
    <row r="1247" ht="15.75" customHeight="1">
      <c r="A1247" t="s">
        <v>29</v>
      </c>
      <c r="B1247" t="s">
        <v>26</v>
      </c>
      <c r="C1247" t="s">
        <v>4908</v>
      </c>
      <c r="D1247" t="s">
        <v>1321</v>
      </c>
      <c r="E1247">
        <v>62370.150885591</v>
      </c>
      <c r="F1247">
        <v>20022.0610218017</v>
      </c>
      <c r="G1247">
        <v>10209.0207721234</v>
      </c>
      <c r="H1247">
        <v>11350.3776402568</v>
      </c>
      <c r="I1247">
        <v>92601.23</v>
      </c>
      <c r="J1247">
        <v>81250.85</v>
      </c>
      <c r="K1247" s="1"/>
      <c r="L1247" s="1"/>
      <c r="M1247" s="1"/>
      <c r="N1247" s="1"/>
    </row>
    <row r="1248" ht="15.75" customHeight="1">
      <c r="A1248" t="s">
        <v>13</v>
      </c>
      <c r="B1248" t="s">
        <v>18</v>
      </c>
      <c r="C1248" t="s">
        <v>4913</v>
      </c>
      <c r="D1248" t="s">
        <v>1322</v>
      </c>
      <c r="E1248">
        <v>62381.0338554972</v>
      </c>
      <c r="F1248">
        <v>20026.6757401292</v>
      </c>
      <c r="G1248">
        <v>10216.7007755529</v>
      </c>
      <c r="H1248">
        <v>11353.7751909441</v>
      </c>
      <c r="I1248">
        <v>92624.41</v>
      </c>
      <c r="J1248">
        <v>81270.63</v>
      </c>
      <c r="K1248" s="1"/>
      <c r="L1248" s="1"/>
      <c r="M1248" s="1"/>
      <c r="N1248" s="1"/>
    </row>
    <row r="1249" ht="15.75" customHeight="1">
      <c r="A1249" t="s">
        <v>29</v>
      </c>
      <c r="B1249" t="s">
        <v>54</v>
      </c>
      <c r="C1249" t="s">
        <v>4915</v>
      </c>
      <c r="D1249" t="s">
        <v>1323</v>
      </c>
      <c r="E1249">
        <v>62391.9168254034</v>
      </c>
      <c r="F1249">
        <v>20031.2904584566</v>
      </c>
      <c r="G1249">
        <v>10224.3807789824</v>
      </c>
      <c r="H1249">
        <v>11357.1727416314</v>
      </c>
      <c r="I1249">
        <v>92647.59</v>
      </c>
      <c r="J1249">
        <v>81290.42</v>
      </c>
      <c r="K1249" s="1"/>
      <c r="L1249" s="1"/>
      <c r="M1249" s="1"/>
      <c r="N1249" s="1"/>
    </row>
    <row r="1250" ht="15.75" customHeight="1">
      <c r="A1250" t="s">
        <v>13</v>
      </c>
      <c r="B1250" t="s">
        <v>30</v>
      </c>
      <c r="C1250" t="s">
        <v>4913</v>
      </c>
      <c r="D1250" t="s">
        <v>1324</v>
      </c>
      <c r="E1250">
        <v>62402.7997953096</v>
      </c>
      <c r="F1250">
        <v>20035.905176784</v>
      </c>
      <c r="G1250">
        <v>10232.0607824119</v>
      </c>
      <c r="H1250">
        <v>11360.5702923187</v>
      </c>
      <c r="I1250">
        <v>92670.77</v>
      </c>
      <c r="J1250">
        <v>81310.2</v>
      </c>
      <c r="K1250" s="1"/>
      <c r="L1250" s="1"/>
      <c r="M1250" s="1"/>
      <c r="N1250" s="1"/>
    </row>
    <row r="1251" ht="15.75" customHeight="1">
      <c r="A1251" t="s">
        <v>17</v>
      </c>
      <c r="B1251" t="s">
        <v>54</v>
      </c>
      <c r="C1251" t="s">
        <v>4908</v>
      </c>
      <c r="D1251" t="s">
        <v>1326</v>
      </c>
      <c r="E1251">
        <v>62413.6827652157</v>
      </c>
      <c r="F1251">
        <v>20040.5198951114</v>
      </c>
      <c r="G1251">
        <v>10239.7407858414</v>
      </c>
      <c r="H1251">
        <v>11363.9678430059</v>
      </c>
      <c r="I1251">
        <v>92693.94</v>
      </c>
      <c r="J1251">
        <v>81329.97</v>
      </c>
      <c r="K1251" s="1"/>
      <c r="L1251" s="1"/>
      <c r="M1251" s="1"/>
      <c r="N1251" s="1"/>
    </row>
    <row r="1252" ht="15.75" customHeight="1">
      <c r="A1252" t="s">
        <v>51</v>
      </c>
      <c r="B1252" t="s">
        <v>26</v>
      </c>
      <c r="C1252" t="s">
        <v>4913</v>
      </c>
      <c r="D1252" t="s">
        <v>1327</v>
      </c>
      <c r="E1252">
        <v>62424.5657351219</v>
      </c>
      <c r="F1252">
        <v>20045.1346134388</v>
      </c>
      <c r="G1252">
        <v>10247.4207892709</v>
      </c>
      <c r="H1252">
        <v>11367.3653936932</v>
      </c>
      <c r="I1252">
        <v>92717.12</v>
      </c>
      <c r="J1252">
        <v>81349.75</v>
      </c>
      <c r="K1252" s="1"/>
      <c r="L1252" s="1"/>
      <c r="M1252" s="1"/>
      <c r="N1252" s="1"/>
    </row>
    <row r="1253" ht="15.75" customHeight="1">
      <c r="A1253" t="s">
        <v>36</v>
      </c>
      <c r="B1253" t="s">
        <v>33</v>
      </c>
      <c r="C1253" t="s">
        <v>4912</v>
      </c>
      <c r="D1253" t="s">
        <v>1328</v>
      </c>
      <c r="E1253">
        <v>62435.4487050281</v>
      </c>
      <c r="F1253">
        <v>20049.7493317663</v>
      </c>
      <c r="G1253">
        <v>10255.1007927004</v>
      </c>
      <c r="H1253">
        <v>11370.7629443805</v>
      </c>
      <c r="I1253">
        <v>92740.3</v>
      </c>
      <c r="J1253">
        <v>81369.54</v>
      </c>
      <c r="K1253" s="1"/>
      <c r="L1253" s="1"/>
      <c r="M1253" s="1"/>
      <c r="N1253" s="1"/>
    </row>
    <row r="1254" ht="15.75" customHeight="1">
      <c r="A1254" t="s">
        <v>29</v>
      </c>
      <c r="B1254" t="s">
        <v>26</v>
      </c>
      <c r="C1254" t="s">
        <v>4907</v>
      </c>
      <c r="D1254" t="s">
        <v>1329</v>
      </c>
      <c r="E1254">
        <v>62446.3316749343</v>
      </c>
      <c r="F1254">
        <v>20054.3640500937</v>
      </c>
      <c r="G1254">
        <v>10262.7807961299</v>
      </c>
      <c r="H1254">
        <v>11374.1604950678</v>
      </c>
      <c r="I1254">
        <v>92763.48</v>
      </c>
      <c r="J1254">
        <v>81389.32</v>
      </c>
      <c r="K1254" s="1"/>
      <c r="L1254" s="1"/>
      <c r="M1254" s="1"/>
      <c r="N1254" s="1"/>
    </row>
    <row r="1255" ht="15.75" customHeight="1">
      <c r="A1255" t="s">
        <v>51</v>
      </c>
      <c r="B1255" t="s">
        <v>18</v>
      </c>
      <c r="C1255" t="s">
        <v>4914</v>
      </c>
      <c r="D1255" t="s">
        <v>1330</v>
      </c>
      <c r="E1255">
        <v>62457.2146448405</v>
      </c>
      <c r="F1255">
        <v>20058.9787684211</v>
      </c>
      <c r="G1255">
        <v>10270.4607995594</v>
      </c>
      <c r="H1255">
        <v>11377.5580457551</v>
      </c>
      <c r="I1255">
        <v>92786.65</v>
      </c>
      <c r="J1255">
        <v>81409.09</v>
      </c>
      <c r="K1255" s="1"/>
      <c r="L1255" s="1"/>
      <c r="M1255" s="1"/>
      <c r="N1255" s="1"/>
    </row>
    <row r="1256" ht="15.75" customHeight="1">
      <c r="A1256" t="s">
        <v>51</v>
      </c>
      <c r="B1256" t="s">
        <v>30</v>
      </c>
      <c r="C1256" t="s">
        <v>4912</v>
      </c>
      <c r="D1256" t="s">
        <v>1331</v>
      </c>
      <c r="E1256">
        <v>62468.0976147467</v>
      </c>
      <c r="F1256">
        <v>20063.5934867485</v>
      </c>
      <c r="G1256">
        <v>10278.1408029889</v>
      </c>
      <c r="H1256">
        <v>11380.9555964424</v>
      </c>
      <c r="I1256">
        <v>92809.83</v>
      </c>
      <c r="J1256">
        <v>81428.87</v>
      </c>
      <c r="K1256" s="1"/>
      <c r="L1256" s="1"/>
      <c r="M1256" s="1"/>
      <c r="N1256" s="1"/>
    </row>
    <row r="1257" ht="15.75" customHeight="1">
      <c r="A1257" t="s">
        <v>51</v>
      </c>
      <c r="B1257" t="s">
        <v>37</v>
      </c>
      <c r="C1257" t="s">
        <v>4913</v>
      </c>
      <c r="D1257" t="s">
        <v>1332</v>
      </c>
      <c r="E1257">
        <v>62489.8635545591</v>
      </c>
      <c r="F1257">
        <v>20072.8229234034</v>
      </c>
      <c r="G1257">
        <v>10293.5008098479</v>
      </c>
      <c r="H1257">
        <v>11387.7506978169</v>
      </c>
      <c r="I1257">
        <v>92856.19</v>
      </c>
      <c r="J1257">
        <v>81468.44</v>
      </c>
      <c r="K1257" s="1"/>
      <c r="L1257" s="1"/>
      <c r="M1257" s="1"/>
      <c r="N1257" s="1"/>
    </row>
    <row r="1258" ht="15.75" customHeight="1">
      <c r="A1258" t="s">
        <v>29</v>
      </c>
      <c r="B1258" t="s">
        <v>14</v>
      </c>
      <c r="C1258" t="s">
        <v>4908</v>
      </c>
      <c r="D1258" t="s">
        <v>1333</v>
      </c>
      <c r="E1258">
        <v>62500.7465244653</v>
      </c>
      <c r="F1258">
        <v>20077.4376417308</v>
      </c>
      <c r="G1258">
        <v>10301.1808132774</v>
      </c>
      <c r="H1258">
        <v>11391.1482485042</v>
      </c>
      <c r="I1258">
        <v>92879.36</v>
      </c>
      <c r="J1258">
        <v>81488.21</v>
      </c>
      <c r="K1258" s="1"/>
      <c r="L1258" s="1"/>
      <c r="M1258" s="1"/>
      <c r="N1258" s="1"/>
    </row>
    <row r="1259" ht="15.75" customHeight="1">
      <c r="A1259" t="s">
        <v>36</v>
      </c>
      <c r="B1259" t="s">
        <v>18</v>
      </c>
      <c r="C1259" t="s">
        <v>4909</v>
      </c>
      <c r="D1259" t="s">
        <v>1334</v>
      </c>
      <c r="E1259">
        <v>62511.6294943715</v>
      </c>
      <c r="F1259">
        <v>20082.0523600582</v>
      </c>
      <c r="G1259">
        <v>10308.8608167069</v>
      </c>
      <c r="H1259">
        <v>11394.5457991915</v>
      </c>
      <c r="I1259">
        <v>92902.54</v>
      </c>
      <c r="J1259">
        <v>81507.99</v>
      </c>
      <c r="K1259" s="1"/>
      <c r="L1259" s="1"/>
      <c r="M1259" s="1"/>
      <c r="N1259" s="1"/>
    </row>
    <row r="1260" ht="15.75" customHeight="1">
      <c r="A1260" t="s">
        <v>17</v>
      </c>
      <c r="B1260" t="s">
        <v>18</v>
      </c>
      <c r="C1260" t="s">
        <v>4912</v>
      </c>
      <c r="D1260" t="s">
        <v>1335</v>
      </c>
      <c r="E1260">
        <v>62522.5124642777</v>
      </c>
      <c r="F1260">
        <v>20086.6670783856</v>
      </c>
      <c r="G1260">
        <v>10316.5408201364</v>
      </c>
      <c r="H1260">
        <v>11397.9433498788</v>
      </c>
      <c r="I1260">
        <v>92925.72</v>
      </c>
      <c r="J1260">
        <v>81527.78</v>
      </c>
      <c r="K1260" s="1"/>
      <c r="L1260" s="1"/>
      <c r="M1260" s="1"/>
      <c r="N1260" s="1"/>
    </row>
    <row r="1261" ht="15.75" customHeight="1">
      <c r="A1261" t="s">
        <v>25</v>
      </c>
      <c r="B1261" t="s">
        <v>37</v>
      </c>
      <c r="C1261" t="s">
        <v>4914</v>
      </c>
      <c r="D1261" t="s">
        <v>1336</v>
      </c>
      <c r="E1261">
        <v>62533.3954341839</v>
      </c>
      <c r="F1261">
        <v>20091.2817967131</v>
      </c>
      <c r="G1261">
        <v>10324.2208235659</v>
      </c>
      <c r="H1261">
        <v>11401.3409005661</v>
      </c>
      <c r="I1261">
        <v>92948.9</v>
      </c>
      <c r="J1261">
        <v>81547.56</v>
      </c>
      <c r="K1261" s="1"/>
      <c r="L1261" s="1"/>
      <c r="M1261" s="1"/>
      <c r="N1261" s="1"/>
    </row>
    <row r="1262" ht="15.75" customHeight="1">
      <c r="A1262" t="s">
        <v>17</v>
      </c>
      <c r="B1262" t="s">
        <v>37</v>
      </c>
      <c r="C1262" t="s">
        <v>4905</v>
      </c>
      <c r="D1262" t="s">
        <v>1337</v>
      </c>
      <c r="E1262">
        <v>62544.2784040901</v>
      </c>
      <c r="F1262">
        <v>20095.8965150405</v>
      </c>
      <c r="G1262">
        <v>10331.9008269954</v>
      </c>
      <c r="H1262">
        <v>11404.7384512534</v>
      </c>
      <c r="I1262">
        <v>92972.08</v>
      </c>
      <c r="J1262">
        <v>81567.34</v>
      </c>
      <c r="K1262" s="1"/>
      <c r="L1262" s="1"/>
      <c r="M1262" s="1"/>
      <c r="N1262" s="1"/>
    </row>
    <row r="1263" ht="15.75" customHeight="1">
      <c r="A1263" t="s">
        <v>51</v>
      </c>
      <c r="B1263" t="s">
        <v>54</v>
      </c>
      <c r="C1263" t="s">
        <v>4916</v>
      </c>
      <c r="D1263" t="s">
        <v>1338</v>
      </c>
      <c r="E1263">
        <v>62566.0443439025</v>
      </c>
      <c r="F1263">
        <v>20105.1259516953</v>
      </c>
      <c r="G1263">
        <v>10347.2608338544</v>
      </c>
      <c r="H1263">
        <v>11411.533552628</v>
      </c>
      <c r="I1263">
        <v>93018.43</v>
      </c>
      <c r="J1263">
        <v>81606.9</v>
      </c>
      <c r="K1263" s="1"/>
      <c r="L1263" s="1"/>
      <c r="M1263" s="1"/>
      <c r="N1263" s="1"/>
    </row>
    <row r="1264" ht="15.75" customHeight="1">
      <c r="A1264" t="s">
        <v>25</v>
      </c>
      <c r="B1264" t="s">
        <v>37</v>
      </c>
      <c r="C1264" t="s">
        <v>4914</v>
      </c>
      <c r="D1264" t="s">
        <v>1339</v>
      </c>
      <c r="E1264">
        <v>62576.9273138087</v>
      </c>
      <c r="F1264">
        <v>20109.7406700228</v>
      </c>
      <c r="G1264">
        <v>10354.9408372839</v>
      </c>
      <c r="H1264">
        <v>11414.9311033152</v>
      </c>
      <c r="I1264">
        <v>93041.61</v>
      </c>
      <c r="J1264">
        <v>81626.68</v>
      </c>
      <c r="K1264" s="1"/>
      <c r="L1264" s="1"/>
      <c r="M1264" s="1"/>
      <c r="N1264" s="1"/>
    </row>
    <row r="1265" ht="15.75" customHeight="1">
      <c r="A1265" t="s">
        <v>29</v>
      </c>
      <c r="B1265" t="s">
        <v>33</v>
      </c>
      <c r="C1265" t="s">
        <v>4907</v>
      </c>
      <c r="D1265" t="s">
        <v>1340</v>
      </c>
      <c r="E1265">
        <v>62587.8102837148</v>
      </c>
      <c r="F1265">
        <v>20114.3553883502</v>
      </c>
      <c r="G1265">
        <v>10362.6208407134</v>
      </c>
      <c r="H1265">
        <v>11418.3286540025</v>
      </c>
      <c r="I1265">
        <v>93064.79</v>
      </c>
      <c r="J1265">
        <v>81646.46</v>
      </c>
      <c r="K1265" s="1"/>
      <c r="L1265" s="1"/>
      <c r="M1265" s="1"/>
      <c r="N1265" s="1"/>
    </row>
    <row r="1266" ht="15.75" customHeight="1">
      <c r="A1266" t="s">
        <v>51</v>
      </c>
      <c r="B1266" t="s">
        <v>26</v>
      </c>
      <c r="C1266" t="s">
        <v>4910</v>
      </c>
      <c r="D1266" t="s">
        <v>1341</v>
      </c>
      <c r="E1266">
        <v>62598.693253621</v>
      </c>
      <c r="F1266">
        <v>20118.9701066776</v>
      </c>
      <c r="G1266">
        <v>10370.3008441429</v>
      </c>
      <c r="H1266">
        <v>11421.7262046898</v>
      </c>
      <c r="I1266">
        <v>93087.96</v>
      </c>
      <c r="J1266">
        <v>81666.23</v>
      </c>
      <c r="K1266" s="1"/>
      <c r="L1266" s="1"/>
      <c r="M1266" s="1"/>
      <c r="N1266" s="1"/>
    </row>
    <row r="1267" ht="15.75" customHeight="1">
      <c r="A1267" t="s">
        <v>36</v>
      </c>
      <c r="B1267" t="s">
        <v>26</v>
      </c>
      <c r="C1267" t="s">
        <v>4907</v>
      </c>
      <c r="D1267" t="s">
        <v>1342</v>
      </c>
      <c r="E1267">
        <v>62609.5762235272</v>
      </c>
      <c r="F1267">
        <v>20123.584825005</v>
      </c>
      <c r="G1267">
        <v>10377.9808475724</v>
      </c>
      <c r="H1267">
        <v>11425.1237553771</v>
      </c>
      <c r="I1267">
        <v>93111.14</v>
      </c>
      <c r="J1267">
        <v>81686.02</v>
      </c>
      <c r="K1267" s="1"/>
      <c r="L1267" s="1"/>
      <c r="M1267" s="1"/>
      <c r="N1267" s="1"/>
    </row>
    <row r="1268" ht="15.75" customHeight="1">
      <c r="A1268" t="s">
        <v>29</v>
      </c>
      <c r="B1268" t="s">
        <v>33</v>
      </c>
      <c r="C1268" t="s">
        <v>4908</v>
      </c>
      <c r="D1268" t="s">
        <v>1343</v>
      </c>
      <c r="E1268">
        <v>62620.4591934334</v>
      </c>
      <c r="F1268">
        <v>20128.1995433324</v>
      </c>
      <c r="G1268">
        <v>10385.6608510019</v>
      </c>
      <c r="H1268">
        <v>11428.5213060644</v>
      </c>
      <c r="I1268">
        <v>93134.32</v>
      </c>
      <c r="J1268">
        <v>81705.8</v>
      </c>
      <c r="K1268" s="1"/>
      <c r="L1268" s="1"/>
      <c r="M1268" s="1"/>
      <c r="N1268" s="1"/>
    </row>
    <row r="1269" ht="15.75" customHeight="1">
      <c r="A1269" t="s">
        <v>53</v>
      </c>
      <c r="B1269" t="s">
        <v>30</v>
      </c>
      <c r="C1269" t="s">
        <v>4909</v>
      </c>
      <c r="D1269" t="s">
        <v>1344</v>
      </c>
      <c r="E1269">
        <v>62631.3421633396</v>
      </c>
      <c r="F1269">
        <v>20132.8142616599</v>
      </c>
      <c r="G1269">
        <v>10393.3408544314</v>
      </c>
      <c r="H1269">
        <v>11431.9188567517</v>
      </c>
      <c r="I1269">
        <v>93157.5</v>
      </c>
      <c r="J1269">
        <v>81725.58</v>
      </c>
      <c r="K1269" s="1"/>
      <c r="L1269" s="1"/>
      <c r="M1269" s="1"/>
      <c r="N1269" s="1"/>
    </row>
    <row r="1270" ht="15.75" customHeight="1">
      <c r="A1270" t="s">
        <v>13</v>
      </c>
      <c r="B1270" t="s">
        <v>54</v>
      </c>
      <c r="C1270" t="s">
        <v>4912</v>
      </c>
      <c r="D1270" t="s">
        <v>1345</v>
      </c>
      <c r="E1270">
        <v>62642.2251332458</v>
      </c>
      <c r="F1270">
        <v>20137.4289799873</v>
      </c>
      <c r="G1270">
        <v>10401.0208578609</v>
      </c>
      <c r="H1270">
        <v>11435.316407439</v>
      </c>
      <c r="I1270">
        <v>93180.67</v>
      </c>
      <c r="J1270">
        <v>81745.35</v>
      </c>
      <c r="K1270" s="1"/>
      <c r="L1270" s="1"/>
      <c r="M1270" s="1"/>
      <c r="N1270" s="1"/>
    </row>
    <row r="1271" ht="15.75" customHeight="1">
      <c r="A1271" t="s">
        <v>29</v>
      </c>
      <c r="B1271" t="s">
        <v>30</v>
      </c>
      <c r="C1271" t="s">
        <v>4912</v>
      </c>
      <c r="D1271" t="s">
        <v>1346</v>
      </c>
      <c r="E1271">
        <v>62653.108103152</v>
      </c>
      <c r="F1271">
        <v>20142.0436983147</v>
      </c>
      <c r="G1271">
        <v>10408.7008612904</v>
      </c>
      <c r="H1271">
        <v>11438.7139581263</v>
      </c>
      <c r="I1271">
        <v>93203.85</v>
      </c>
      <c r="J1271">
        <v>81765.14</v>
      </c>
      <c r="K1271" s="1"/>
      <c r="L1271" s="1"/>
      <c r="M1271" s="1"/>
      <c r="N1271" s="1"/>
    </row>
    <row r="1272" ht="15.75" customHeight="1">
      <c r="A1272" t="s">
        <v>36</v>
      </c>
      <c r="B1272" t="s">
        <v>37</v>
      </c>
      <c r="C1272" t="s">
        <v>4905</v>
      </c>
      <c r="D1272" t="s">
        <v>1347</v>
      </c>
      <c r="E1272">
        <v>62663.9910730582</v>
      </c>
      <c r="F1272">
        <v>20146.6584166421</v>
      </c>
      <c r="G1272">
        <v>10416.3808647199</v>
      </c>
      <c r="H1272">
        <v>11442.1115088135</v>
      </c>
      <c r="I1272">
        <v>93227.03</v>
      </c>
      <c r="J1272">
        <v>81784.92</v>
      </c>
      <c r="K1272" s="1"/>
      <c r="L1272" s="1"/>
      <c r="M1272" s="1"/>
      <c r="N1272" s="1"/>
    </row>
    <row r="1273" ht="15.75" customHeight="1">
      <c r="A1273" t="s">
        <v>29</v>
      </c>
      <c r="B1273" t="s">
        <v>18</v>
      </c>
      <c r="C1273" t="s">
        <v>4911</v>
      </c>
      <c r="D1273" t="s">
        <v>1348</v>
      </c>
      <c r="E1273">
        <v>62674.8740429644</v>
      </c>
      <c r="F1273">
        <v>20151.2731349696</v>
      </c>
      <c r="G1273">
        <v>10424.0608681494</v>
      </c>
      <c r="H1273">
        <v>11445.5090595008</v>
      </c>
      <c r="I1273">
        <v>93250.21</v>
      </c>
      <c r="J1273">
        <v>81804.7</v>
      </c>
      <c r="K1273" s="1"/>
      <c r="L1273" s="1"/>
      <c r="M1273" s="1"/>
      <c r="N1273" s="1"/>
    </row>
    <row r="1274" ht="15.75" customHeight="1">
      <c r="A1274" t="s">
        <v>51</v>
      </c>
      <c r="B1274" t="s">
        <v>33</v>
      </c>
      <c r="C1274" t="s">
        <v>4915</v>
      </c>
      <c r="D1274" t="s">
        <v>1349</v>
      </c>
      <c r="E1274">
        <v>62685.7570128706</v>
      </c>
      <c r="F1274">
        <v>20155.887853297</v>
      </c>
      <c r="G1274">
        <v>10431.7408715789</v>
      </c>
      <c r="H1274">
        <v>11448.9066101881</v>
      </c>
      <c r="I1274">
        <v>93273.39</v>
      </c>
      <c r="J1274">
        <v>81824.48</v>
      </c>
      <c r="K1274" s="1"/>
      <c r="L1274" s="1"/>
      <c r="M1274" s="1"/>
      <c r="N1274" s="1"/>
    </row>
    <row r="1275" ht="15.75" customHeight="1">
      <c r="A1275" t="s">
        <v>51</v>
      </c>
      <c r="B1275" t="s">
        <v>30</v>
      </c>
      <c r="C1275" t="s">
        <v>4912</v>
      </c>
      <c r="D1275" t="s">
        <v>1350</v>
      </c>
      <c r="E1275">
        <v>62696.6399827768</v>
      </c>
      <c r="F1275">
        <v>20160.5025716244</v>
      </c>
      <c r="G1275">
        <v>10439.4208750083</v>
      </c>
      <c r="H1275">
        <v>11452.3041608754</v>
      </c>
      <c r="I1275">
        <v>93296.56</v>
      </c>
      <c r="J1275">
        <v>81844.26</v>
      </c>
      <c r="K1275" s="1"/>
      <c r="L1275" s="1"/>
      <c r="M1275" s="1"/>
      <c r="N1275" s="1"/>
    </row>
    <row r="1276" ht="15.75" customHeight="1">
      <c r="A1276" t="s">
        <v>53</v>
      </c>
      <c r="B1276" t="s">
        <v>33</v>
      </c>
      <c r="C1276" t="s">
        <v>4907</v>
      </c>
      <c r="D1276" t="s">
        <v>1351</v>
      </c>
      <c r="E1276">
        <v>62707.522952683</v>
      </c>
      <c r="F1276">
        <v>20165.1172899518</v>
      </c>
      <c r="G1276">
        <v>10447.1008784378</v>
      </c>
      <c r="H1276">
        <v>11455.7017115627</v>
      </c>
      <c r="I1276">
        <v>93319.74</v>
      </c>
      <c r="J1276">
        <v>81864.04</v>
      </c>
      <c r="K1276" s="1"/>
      <c r="L1276" s="1"/>
      <c r="M1276" s="1"/>
      <c r="N1276" s="1"/>
    </row>
    <row r="1277" ht="15.75" customHeight="1">
      <c r="A1277" t="s">
        <v>51</v>
      </c>
      <c r="B1277" t="s">
        <v>33</v>
      </c>
      <c r="C1277" t="s">
        <v>4914</v>
      </c>
      <c r="D1277" t="s">
        <v>1352</v>
      </c>
      <c r="E1277">
        <v>62718.4059225892</v>
      </c>
      <c r="F1277">
        <v>20169.7320082792</v>
      </c>
      <c r="G1277">
        <v>10454.7808818673</v>
      </c>
      <c r="H1277">
        <v>11459.09926225</v>
      </c>
      <c r="I1277">
        <v>93342.92</v>
      </c>
      <c r="J1277">
        <v>81883.82</v>
      </c>
      <c r="K1277" s="1"/>
      <c r="L1277" s="1"/>
      <c r="M1277" s="1"/>
      <c r="N1277" s="1"/>
    </row>
    <row r="1278" ht="15.75" customHeight="1">
      <c r="A1278" t="s">
        <v>53</v>
      </c>
      <c r="B1278" t="s">
        <v>33</v>
      </c>
      <c r="C1278" t="s">
        <v>4912</v>
      </c>
      <c r="D1278" t="s">
        <v>1353</v>
      </c>
      <c r="E1278">
        <v>62729.2888924954</v>
      </c>
      <c r="F1278">
        <v>20174.3467266067</v>
      </c>
      <c r="G1278">
        <v>10462.4608852968</v>
      </c>
      <c r="H1278">
        <v>11462.4968129373</v>
      </c>
      <c r="I1278">
        <v>93366.1</v>
      </c>
      <c r="J1278">
        <v>81903.6</v>
      </c>
      <c r="K1278" s="1"/>
      <c r="L1278" s="1"/>
      <c r="M1278" s="1"/>
      <c r="N1278" s="1"/>
    </row>
    <row r="1279" ht="15.75" customHeight="1">
      <c r="A1279" t="s">
        <v>17</v>
      </c>
      <c r="B1279" t="s">
        <v>26</v>
      </c>
      <c r="C1279" t="s">
        <v>4909</v>
      </c>
      <c r="D1279" t="s">
        <v>1354</v>
      </c>
      <c r="E1279">
        <v>62740.1718624016</v>
      </c>
      <c r="F1279">
        <v>20178.9614449341</v>
      </c>
      <c r="G1279">
        <v>10470.1408887263</v>
      </c>
      <c r="H1279">
        <v>11465.8943636245</v>
      </c>
      <c r="I1279">
        <v>93389.27</v>
      </c>
      <c r="J1279">
        <v>81923.38</v>
      </c>
      <c r="K1279" s="1"/>
      <c r="L1279" s="1"/>
      <c r="M1279" s="1"/>
      <c r="N1279" s="1"/>
    </row>
    <row r="1280" ht="15.75" customHeight="1">
      <c r="A1280" t="s">
        <v>51</v>
      </c>
      <c r="B1280" t="s">
        <v>14</v>
      </c>
      <c r="C1280" t="s">
        <v>4911</v>
      </c>
      <c r="D1280" t="s">
        <v>1355</v>
      </c>
      <c r="E1280">
        <v>62751.0548323077</v>
      </c>
      <c r="F1280">
        <v>20183.5761632615</v>
      </c>
      <c r="G1280">
        <v>10477.8208921558</v>
      </c>
      <c r="H1280">
        <v>11469.2919143118</v>
      </c>
      <c r="I1280">
        <v>93412.45</v>
      </c>
      <c r="J1280">
        <v>81943.16</v>
      </c>
      <c r="K1280" s="1"/>
      <c r="L1280" s="1"/>
      <c r="M1280" s="1"/>
      <c r="N1280" s="1"/>
    </row>
    <row r="1281" ht="15.75" customHeight="1">
      <c r="A1281" t="s">
        <v>36</v>
      </c>
      <c r="B1281" t="s">
        <v>54</v>
      </c>
      <c r="C1281" t="s">
        <v>4915</v>
      </c>
      <c r="D1281" t="s">
        <v>1356</v>
      </c>
      <c r="E1281">
        <v>62761.9378022139</v>
      </c>
      <c r="F1281">
        <v>20188.1908815889</v>
      </c>
      <c r="G1281">
        <v>10485.5008955853</v>
      </c>
      <c r="H1281">
        <v>11472.6894649991</v>
      </c>
      <c r="I1281">
        <v>93435.63</v>
      </c>
      <c r="J1281">
        <v>81962.94</v>
      </c>
      <c r="K1281" s="1"/>
      <c r="L1281" s="1"/>
      <c r="M1281" s="1"/>
      <c r="N1281" s="1"/>
    </row>
    <row r="1282" ht="15.75" customHeight="1">
      <c r="A1282" t="s">
        <v>25</v>
      </c>
      <c r="B1282" t="s">
        <v>37</v>
      </c>
      <c r="C1282" t="s">
        <v>4915</v>
      </c>
      <c r="D1282" t="s">
        <v>1357</v>
      </c>
      <c r="E1282">
        <v>62772.8207721201</v>
      </c>
      <c r="F1282">
        <v>20192.8055999163</v>
      </c>
      <c r="G1282">
        <v>10493.1808990148</v>
      </c>
      <c r="H1282">
        <v>11476.0870156864</v>
      </c>
      <c r="I1282">
        <v>93458.81</v>
      </c>
      <c r="J1282">
        <v>81982.72</v>
      </c>
      <c r="K1282" s="1"/>
      <c r="L1282" s="1"/>
      <c r="M1282" s="1"/>
      <c r="N1282" s="1"/>
    </row>
    <row r="1283" ht="15.75" customHeight="1">
      <c r="A1283" t="s">
        <v>25</v>
      </c>
      <c r="B1283" t="s">
        <v>54</v>
      </c>
      <c r="C1283" t="s">
        <v>4913</v>
      </c>
      <c r="D1283" t="s">
        <v>1358</v>
      </c>
      <c r="E1283">
        <v>62783.7037420263</v>
      </c>
      <c r="F1283">
        <v>20197.4203182438</v>
      </c>
      <c r="G1283">
        <v>10500.8609024443</v>
      </c>
      <c r="H1283">
        <v>11479.4845663737</v>
      </c>
      <c r="I1283">
        <v>93481.98</v>
      </c>
      <c r="J1283">
        <v>82002.5</v>
      </c>
      <c r="K1283" s="1"/>
      <c r="L1283" s="1"/>
      <c r="M1283" s="1"/>
      <c r="N1283" s="1"/>
    </row>
    <row r="1284" ht="15.75" customHeight="1">
      <c r="A1284" t="s">
        <v>29</v>
      </c>
      <c r="B1284" t="s">
        <v>37</v>
      </c>
      <c r="C1284" t="s">
        <v>4915</v>
      </c>
      <c r="D1284" t="s">
        <v>1359</v>
      </c>
      <c r="E1284">
        <v>62805.4696818387</v>
      </c>
      <c r="F1284">
        <v>20206.6497548986</v>
      </c>
      <c r="G1284">
        <v>10516.2209093033</v>
      </c>
      <c r="H1284">
        <v>11486.2796677483</v>
      </c>
      <c r="I1284">
        <v>93528.34</v>
      </c>
      <c r="J1284">
        <v>82042.06</v>
      </c>
      <c r="K1284" s="1"/>
      <c r="L1284" s="1"/>
      <c r="M1284" s="1"/>
      <c r="N1284" s="1"/>
    </row>
    <row r="1285" ht="15.75" customHeight="1">
      <c r="A1285" t="s">
        <v>13</v>
      </c>
      <c r="B1285" t="s">
        <v>30</v>
      </c>
      <c r="C1285" t="s">
        <v>4910</v>
      </c>
      <c r="D1285" t="s">
        <v>1360</v>
      </c>
      <c r="E1285">
        <v>62816.3526517449</v>
      </c>
      <c r="F1285">
        <v>20211.264473226</v>
      </c>
      <c r="G1285">
        <v>10523.9009127328</v>
      </c>
      <c r="H1285">
        <v>11489.6772184356</v>
      </c>
      <c r="I1285">
        <v>93551.52</v>
      </c>
      <c r="J1285">
        <v>82061.84</v>
      </c>
      <c r="K1285" s="1"/>
      <c r="L1285" s="1"/>
      <c r="M1285" s="1"/>
      <c r="N1285" s="1"/>
    </row>
    <row r="1286" ht="15.75" customHeight="1">
      <c r="A1286" t="s">
        <v>17</v>
      </c>
      <c r="B1286" t="s">
        <v>30</v>
      </c>
      <c r="C1286" t="s">
        <v>4909</v>
      </c>
      <c r="D1286" t="s">
        <v>1361</v>
      </c>
      <c r="E1286">
        <v>62827.2356216511</v>
      </c>
      <c r="F1286">
        <v>20215.8791915535</v>
      </c>
      <c r="G1286">
        <v>10531.5809161623</v>
      </c>
      <c r="H1286">
        <v>11493.0747691228</v>
      </c>
      <c r="I1286">
        <v>93574.7</v>
      </c>
      <c r="J1286">
        <v>82081.63</v>
      </c>
      <c r="K1286" s="1"/>
      <c r="L1286" s="1"/>
      <c r="M1286" s="1"/>
      <c r="N1286" s="1"/>
    </row>
    <row r="1287" ht="15.75" customHeight="1">
      <c r="A1287" t="s">
        <v>17</v>
      </c>
      <c r="B1287" t="s">
        <v>30</v>
      </c>
      <c r="C1287" t="s">
        <v>4917</v>
      </c>
      <c r="D1287" t="s">
        <v>1362</v>
      </c>
      <c r="E1287">
        <v>62838.1185915573</v>
      </c>
      <c r="F1287">
        <v>20220.4939098809</v>
      </c>
      <c r="G1287">
        <v>10539.2609195918</v>
      </c>
      <c r="H1287">
        <v>11496.4723198101</v>
      </c>
      <c r="I1287">
        <v>93597.87</v>
      </c>
      <c r="J1287">
        <v>82101.4</v>
      </c>
      <c r="K1287" s="1"/>
      <c r="L1287" s="1"/>
      <c r="M1287" s="1"/>
      <c r="N1287" s="1"/>
    </row>
    <row r="1288" ht="15.75" customHeight="1">
      <c r="A1288" t="s">
        <v>25</v>
      </c>
      <c r="B1288" t="s">
        <v>30</v>
      </c>
      <c r="C1288" t="s">
        <v>4910</v>
      </c>
      <c r="D1288" t="s">
        <v>1363</v>
      </c>
      <c r="E1288">
        <v>62870.7675012759</v>
      </c>
      <c r="F1288">
        <v>20234.3380648631</v>
      </c>
      <c r="G1288">
        <v>10562.3009298803</v>
      </c>
      <c r="H1288">
        <v>11506.664971872</v>
      </c>
      <c r="I1288">
        <v>93667.41</v>
      </c>
      <c r="J1288">
        <v>82160.75</v>
      </c>
      <c r="K1288" s="1"/>
      <c r="L1288" s="1"/>
      <c r="M1288" s="1"/>
      <c r="N1288" s="1"/>
    </row>
    <row r="1289" ht="15.75" customHeight="1">
      <c r="A1289" t="s">
        <v>25</v>
      </c>
      <c r="B1289" t="s">
        <v>37</v>
      </c>
      <c r="C1289" t="s">
        <v>4909</v>
      </c>
      <c r="D1289" t="s">
        <v>1364</v>
      </c>
      <c r="E1289">
        <v>62881.6504711821</v>
      </c>
      <c r="F1289">
        <v>20238.9527831906</v>
      </c>
      <c r="G1289">
        <v>10569.9809333098</v>
      </c>
      <c r="H1289">
        <v>11510.0625225593</v>
      </c>
      <c r="I1289">
        <v>93690.58</v>
      </c>
      <c r="J1289">
        <v>82180.52</v>
      </c>
      <c r="K1289" s="1"/>
      <c r="L1289" s="1"/>
      <c r="M1289" s="1"/>
      <c r="N1289" s="1"/>
    </row>
    <row r="1290" ht="15.75" customHeight="1">
      <c r="A1290" t="s">
        <v>13</v>
      </c>
      <c r="B1290" t="s">
        <v>54</v>
      </c>
      <c r="C1290" t="s">
        <v>4907</v>
      </c>
      <c r="D1290" t="s">
        <v>1365</v>
      </c>
      <c r="E1290">
        <v>62892.5334410883</v>
      </c>
      <c r="F1290">
        <v>20243.567501518</v>
      </c>
      <c r="G1290">
        <v>10577.6609367393</v>
      </c>
      <c r="H1290">
        <v>11513.4600732466</v>
      </c>
      <c r="I1290">
        <v>93713.76</v>
      </c>
      <c r="J1290">
        <v>82200.3</v>
      </c>
      <c r="K1290" s="1"/>
      <c r="L1290" s="1"/>
      <c r="M1290" s="1"/>
      <c r="N1290" s="1"/>
    </row>
    <row r="1291" ht="15.75" customHeight="1">
      <c r="A1291" t="s">
        <v>53</v>
      </c>
      <c r="B1291" t="s">
        <v>14</v>
      </c>
      <c r="C1291" t="s">
        <v>4907</v>
      </c>
      <c r="D1291" t="s">
        <v>1366</v>
      </c>
      <c r="E1291">
        <v>62903.4164109945</v>
      </c>
      <c r="F1291">
        <v>20248.1822198454</v>
      </c>
      <c r="G1291">
        <v>10585.3409401688</v>
      </c>
      <c r="H1291">
        <v>11516.8576239339</v>
      </c>
      <c r="I1291">
        <v>93736.94</v>
      </c>
      <c r="J1291">
        <v>82220.08</v>
      </c>
      <c r="K1291" s="1"/>
      <c r="L1291" s="1"/>
      <c r="M1291" s="1"/>
      <c r="N1291" s="1"/>
    </row>
    <row r="1292" ht="15.75" customHeight="1">
      <c r="A1292" t="s">
        <v>17</v>
      </c>
      <c r="B1292" t="s">
        <v>30</v>
      </c>
      <c r="C1292" t="s">
        <v>4911</v>
      </c>
      <c r="D1292" t="s">
        <v>1367</v>
      </c>
      <c r="E1292">
        <v>62914.2993809006</v>
      </c>
      <c r="F1292">
        <v>20252.7969381728</v>
      </c>
      <c r="G1292">
        <v>10593.0209435983</v>
      </c>
      <c r="H1292">
        <v>11520.2551746211</v>
      </c>
      <c r="I1292">
        <v>93760.12</v>
      </c>
      <c r="J1292">
        <v>82239.86</v>
      </c>
      <c r="K1292" s="1"/>
      <c r="L1292" s="1"/>
      <c r="M1292" s="1"/>
      <c r="N1292" s="1"/>
    </row>
    <row r="1293" ht="15.75" customHeight="1">
      <c r="A1293" t="s">
        <v>25</v>
      </c>
      <c r="B1293" t="s">
        <v>18</v>
      </c>
      <c r="C1293" t="s">
        <v>4916</v>
      </c>
      <c r="D1293" t="s">
        <v>1368</v>
      </c>
      <c r="E1293">
        <v>62925.1823508068</v>
      </c>
      <c r="F1293">
        <v>20257.4116565003</v>
      </c>
      <c r="G1293">
        <v>10600.7009470278</v>
      </c>
      <c r="H1293">
        <v>11523.6527253084</v>
      </c>
      <c r="I1293">
        <v>93783.29</v>
      </c>
      <c r="J1293">
        <v>82259.64</v>
      </c>
      <c r="K1293" s="1"/>
      <c r="L1293" s="1"/>
      <c r="M1293" s="1"/>
      <c r="N1293" s="1"/>
    </row>
    <row r="1294" ht="15.75" customHeight="1">
      <c r="A1294" t="s">
        <v>36</v>
      </c>
      <c r="B1294" t="s">
        <v>37</v>
      </c>
      <c r="C1294" t="s">
        <v>4913</v>
      </c>
      <c r="D1294" t="s">
        <v>1369</v>
      </c>
      <c r="E1294">
        <v>62936.065320713</v>
      </c>
      <c r="F1294">
        <v>20262.0263748277</v>
      </c>
      <c r="G1294">
        <v>10608.3809504573</v>
      </c>
      <c r="H1294">
        <v>11527.0502759957</v>
      </c>
      <c r="I1294">
        <v>93806.47</v>
      </c>
      <c r="J1294">
        <v>82279.42</v>
      </c>
      <c r="K1294" s="1"/>
      <c r="L1294" s="1"/>
      <c r="M1294" s="1"/>
      <c r="N1294" s="1"/>
    </row>
    <row r="1295" ht="15.75" customHeight="1">
      <c r="A1295" t="s">
        <v>36</v>
      </c>
      <c r="B1295" t="s">
        <v>18</v>
      </c>
      <c r="C1295" t="s">
        <v>4905</v>
      </c>
      <c r="D1295" t="s">
        <v>1370</v>
      </c>
      <c r="E1295">
        <v>62946.9482906192</v>
      </c>
      <c r="F1295">
        <v>20266.6410931551</v>
      </c>
      <c r="G1295">
        <v>10616.0609538868</v>
      </c>
      <c r="H1295">
        <v>11530.447826683</v>
      </c>
      <c r="I1295">
        <v>93829.65</v>
      </c>
      <c r="J1295">
        <v>82299.2</v>
      </c>
      <c r="K1295" s="1"/>
      <c r="L1295" s="1"/>
      <c r="M1295" s="1"/>
      <c r="N1295" s="1"/>
    </row>
    <row r="1296" ht="15.75" customHeight="1">
      <c r="A1296" t="s">
        <v>29</v>
      </c>
      <c r="B1296" t="s">
        <v>33</v>
      </c>
      <c r="C1296" t="s">
        <v>4907</v>
      </c>
      <c r="D1296" t="s">
        <v>1371</v>
      </c>
      <c r="E1296">
        <v>62957.8312605254</v>
      </c>
      <c r="F1296">
        <v>20271.2558114825</v>
      </c>
      <c r="G1296">
        <v>10623.7409573163</v>
      </c>
      <c r="H1296">
        <v>11533.8453773703</v>
      </c>
      <c r="I1296">
        <v>93852.83</v>
      </c>
      <c r="J1296">
        <v>82318.98</v>
      </c>
      <c r="K1296" s="1"/>
      <c r="L1296" s="1"/>
      <c r="M1296" s="1"/>
      <c r="N1296" s="1"/>
    </row>
    <row r="1297" ht="15.75" customHeight="1">
      <c r="A1297" t="s">
        <v>36</v>
      </c>
      <c r="B1297" t="s">
        <v>33</v>
      </c>
      <c r="C1297" t="s">
        <v>4913</v>
      </c>
      <c r="D1297" t="s">
        <v>1372</v>
      </c>
      <c r="E1297">
        <v>62968.7142304316</v>
      </c>
      <c r="F1297">
        <v>20275.8705298099</v>
      </c>
      <c r="G1297">
        <v>10631.4209607458</v>
      </c>
      <c r="H1297">
        <v>11537.2429280576</v>
      </c>
      <c r="I1297">
        <v>93876.01</v>
      </c>
      <c r="J1297">
        <v>82338.77</v>
      </c>
      <c r="K1297" s="1"/>
      <c r="L1297" s="1"/>
      <c r="M1297" s="1"/>
      <c r="N1297" s="1"/>
    </row>
    <row r="1298" ht="15.75" customHeight="1">
      <c r="A1298" t="s">
        <v>36</v>
      </c>
      <c r="B1298" t="s">
        <v>14</v>
      </c>
      <c r="C1298" t="s">
        <v>4914</v>
      </c>
      <c r="D1298" t="s">
        <v>1373</v>
      </c>
      <c r="E1298">
        <v>62979.5972003378</v>
      </c>
      <c r="F1298">
        <v>20280.4852481374</v>
      </c>
      <c r="G1298">
        <v>10639.1009641753</v>
      </c>
      <c r="H1298">
        <v>11540.6404787449</v>
      </c>
      <c r="I1298">
        <v>93899.18</v>
      </c>
      <c r="J1298">
        <v>82358.54</v>
      </c>
      <c r="K1298" s="1"/>
      <c r="L1298" s="1"/>
      <c r="M1298" s="1"/>
      <c r="N1298" s="1"/>
    </row>
    <row r="1299" ht="15.75" customHeight="1">
      <c r="A1299" t="s">
        <v>25</v>
      </c>
      <c r="B1299" t="s">
        <v>37</v>
      </c>
      <c r="C1299" t="s">
        <v>4917</v>
      </c>
      <c r="D1299" t="s">
        <v>1374</v>
      </c>
      <c r="E1299">
        <v>62990.480170244</v>
      </c>
      <c r="F1299">
        <v>20285.0999664648</v>
      </c>
      <c r="G1299">
        <v>10646.7809676048</v>
      </c>
      <c r="H1299">
        <v>11544.0380294321</v>
      </c>
      <c r="I1299">
        <v>93922.36</v>
      </c>
      <c r="J1299">
        <v>82378.32</v>
      </c>
      <c r="K1299" s="1"/>
      <c r="L1299" s="1"/>
      <c r="M1299" s="1"/>
      <c r="N1299" s="1"/>
    </row>
    <row r="1300" ht="15.75" customHeight="1">
      <c r="A1300" t="s">
        <v>36</v>
      </c>
      <c r="B1300" t="s">
        <v>14</v>
      </c>
      <c r="C1300" t="s">
        <v>4910</v>
      </c>
      <c r="D1300" t="s">
        <v>1375</v>
      </c>
      <c r="E1300">
        <v>63001.3631401502</v>
      </c>
      <c r="F1300">
        <v>20289.7146847922</v>
      </c>
      <c r="G1300">
        <v>10654.4609710343</v>
      </c>
      <c r="H1300">
        <v>11547.4355801194</v>
      </c>
      <c r="I1300">
        <v>93945.54</v>
      </c>
      <c r="J1300">
        <v>82398.1</v>
      </c>
      <c r="K1300" s="1"/>
      <c r="L1300" s="1"/>
      <c r="M1300" s="1"/>
      <c r="N1300" s="1"/>
    </row>
    <row r="1301" ht="15.75" customHeight="1">
      <c r="A1301" t="s">
        <v>36</v>
      </c>
      <c r="B1301" t="s">
        <v>26</v>
      </c>
      <c r="C1301" t="s">
        <v>4908</v>
      </c>
      <c r="D1301" t="s">
        <v>1376</v>
      </c>
      <c r="E1301">
        <v>63012.2461100564</v>
      </c>
      <c r="F1301">
        <v>20294.3294031196</v>
      </c>
      <c r="G1301">
        <v>10662.1409744638</v>
      </c>
      <c r="H1301">
        <v>11550.8331308067</v>
      </c>
      <c r="I1301">
        <v>93968.72</v>
      </c>
      <c r="J1301">
        <v>82417.89</v>
      </c>
      <c r="K1301" s="1"/>
      <c r="L1301" s="1"/>
      <c r="M1301" s="1"/>
      <c r="N1301" s="1"/>
    </row>
    <row r="1302" ht="15.75" customHeight="1">
      <c r="A1302" t="s">
        <v>36</v>
      </c>
      <c r="B1302" t="s">
        <v>18</v>
      </c>
      <c r="C1302" t="s">
        <v>4908</v>
      </c>
      <c r="D1302" t="s">
        <v>1377</v>
      </c>
      <c r="E1302">
        <v>63023.1290799626</v>
      </c>
      <c r="F1302">
        <v>20298.9441214471</v>
      </c>
      <c r="G1302">
        <v>10669.8209778933</v>
      </c>
      <c r="H1302">
        <v>11554.230681494</v>
      </c>
      <c r="I1302">
        <v>93991.89</v>
      </c>
      <c r="J1302">
        <v>82437.66</v>
      </c>
      <c r="K1302" s="1"/>
      <c r="L1302" s="1"/>
      <c r="M1302" s="1"/>
      <c r="N1302" s="1"/>
    </row>
    <row r="1303" ht="15.75" customHeight="1">
      <c r="A1303" t="s">
        <v>13</v>
      </c>
      <c r="B1303" t="s">
        <v>30</v>
      </c>
      <c r="C1303" t="s">
        <v>4914</v>
      </c>
      <c r="D1303" t="s">
        <v>1378</v>
      </c>
      <c r="E1303">
        <v>63034.0120498688</v>
      </c>
      <c r="F1303">
        <v>20303.5588397745</v>
      </c>
      <c r="G1303">
        <v>10677.5009813228</v>
      </c>
      <c r="H1303">
        <v>11557.6282321813</v>
      </c>
      <c r="I1303">
        <v>94015.07</v>
      </c>
      <c r="J1303">
        <v>82457.44</v>
      </c>
      <c r="K1303" s="1"/>
      <c r="L1303" s="1"/>
      <c r="M1303" s="1"/>
      <c r="N1303" s="1"/>
    </row>
    <row r="1304" ht="15.75" customHeight="1">
      <c r="A1304" t="s">
        <v>25</v>
      </c>
      <c r="B1304" t="s">
        <v>14</v>
      </c>
      <c r="C1304" t="s">
        <v>4914</v>
      </c>
      <c r="D1304" t="s">
        <v>1379</v>
      </c>
      <c r="E1304">
        <v>63044.895019775</v>
      </c>
      <c r="F1304">
        <v>20308.1735581019</v>
      </c>
      <c r="G1304">
        <v>10685.1809847523</v>
      </c>
      <c r="H1304">
        <v>11561.0257828686</v>
      </c>
      <c r="I1304">
        <v>94038.25</v>
      </c>
      <c r="J1304">
        <v>82477.22</v>
      </c>
      <c r="K1304" s="1"/>
      <c r="L1304" s="1"/>
      <c r="M1304" s="1"/>
      <c r="N1304" s="1"/>
    </row>
    <row r="1305" ht="15.75" customHeight="1">
      <c r="A1305" t="s">
        <v>13</v>
      </c>
      <c r="B1305" t="s">
        <v>33</v>
      </c>
      <c r="C1305" t="s">
        <v>4915</v>
      </c>
      <c r="D1305" t="s">
        <v>1380</v>
      </c>
      <c r="E1305">
        <v>63055.7779896812</v>
      </c>
      <c r="F1305">
        <v>20312.7882764293</v>
      </c>
      <c r="G1305">
        <v>10692.8609881818</v>
      </c>
      <c r="H1305">
        <v>11564.4233335559</v>
      </c>
      <c r="I1305">
        <v>94061.43</v>
      </c>
      <c r="J1305">
        <v>82497.01</v>
      </c>
      <c r="K1305" s="1"/>
      <c r="L1305" s="1"/>
      <c r="M1305" s="1"/>
      <c r="N1305" s="1"/>
    </row>
    <row r="1306" ht="15.75" customHeight="1">
      <c r="A1306" t="s">
        <v>51</v>
      </c>
      <c r="B1306" t="s">
        <v>54</v>
      </c>
      <c r="C1306" t="s">
        <v>4913</v>
      </c>
      <c r="D1306" t="s">
        <v>1381</v>
      </c>
      <c r="E1306">
        <v>63066.6609595874</v>
      </c>
      <c r="F1306">
        <v>20317.4029947567</v>
      </c>
      <c r="G1306">
        <v>10700.5409916113</v>
      </c>
      <c r="H1306">
        <v>11567.8208842432</v>
      </c>
      <c r="I1306">
        <v>94084.6</v>
      </c>
      <c r="J1306">
        <v>82516.78</v>
      </c>
      <c r="K1306" s="1"/>
      <c r="L1306" s="1"/>
      <c r="M1306" s="1"/>
      <c r="N1306" s="1"/>
    </row>
    <row r="1307" ht="15.75" customHeight="1">
      <c r="A1307" t="s">
        <v>13</v>
      </c>
      <c r="B1307" t="s">
        <v>30</v>
      </c>
      <c r="C1307" t="s">
        <v>4910</v>
      </c>
      <c r="D1307" t="s">
        <v>1382</v>
      </c>
      <c r="E1307">
        <v>63077.5439294935</v>
      </c>
      <c r="F1307">
        <v>20322.0177130842</v>
      </c>
      <c r="G1307">
        <v>10708.2209950408</v>
      </c>
      <c r="H1307">
        <v>11571.2184349304</v>
      </c>
      <c r="I1307">
        <v>94107.78</v>
      </c>
      <c r="J1307">
        <v>82536.56</v>
      </c>
      <c r="K1307" s="1"/>
      <c r="L1307" s="1"/>
      <c r="M1307" s="1"/>
      <c r="N1307" s="1"/>
    </row>
    <row r="1308" ht="15.75" customHeight="1">
      <c r="A1308" t="s">
        <v>29</v>
      </c>
      <c r="B1308" t="s">
        <v>26</v>
      </c>
      <c r="C1308" t="s">
        <v>4914</v>
      </c>
      <c r="D1308" t="s">
        <v>1383</v>
      </c>
      <c r="E1308">
        <v>63088.4268993997</v>
      </c>
      <c r="F1308">
        <v>20326.6324314116</v>
      </c>
      <c r="G1308">
        <v>10715.9009984702</v>
      </c>
      <c r="H1308">
        <v>11574.6159856177</v>
      </c>
      <c r="I1308">
        <v>94130.96</v>
      </c>
      <c r="J1308">
        <v>82556.34</v>
      </c>
      <c r="K1308" s="1"/>
      <c r="L1308" s="1"/>
      <c r="M1308" s="1"/>
      <c r="N1308" s="1"/>
    </row>
    <row r="1309" ht="15.75" customHeight="1">
      <c r="A1309" t="s">
        <v>25</v>
      </c>
      <c r="B1309" t="s">
        <v>37</v>
      </c>
      <c r="C1309" t="s">
        <v>4914</v>
      </c>
      <c r="D1309" t="s">
        <v>1384</v>
      </c>
      <c r="E1309">
        <v>63099.3098693059</v>
      </c>
      <c r="F1309">
        <v>20331.247149739</v>
      </c>
      <c r="G1309">
        <v>10723.5810018997</v>
      </c>
      <c r="H1309">
        <v>11578.013536305</v>
      </c>
      <c r="I1309">
        <v>94154.14</v>
      </c>
      <c r="J1309">
        <v>82576.13</v>
      </c>
      <c r="K1309" s="1"/>
      <c r="L1309" s="1"/>
      <c r="M1309" s="1"/>
      <c r="N1309" s="1"/>
    </row>
    <row r="1310" ht="15.75" customHeight="1">
      <c r="A1310" t="s">
        <v>53</v>
      </c>
      <c r="B1310" t="s">
        <v>54</v>
      </c>
      <c r="C1310" t="s">
        <v>4908</v>
      </c>
      <c r="D1310" t="s">
        <v>1385</v>
      </c>
      <c r="E1310">
        <v>63110.1928392121</v>
      </c>
      <c r="F1310">
        <v>20335.8618680664</v>
      </c>
      <c r="G1310">
        <v>10731.2610053292</v>
      </c>
      <c r="H1310">
        <v>11581.4110869923</v>
      </c>
      <c r="I1310">
        <v>94177.32</v>
      </c>
      <c r="J1310">
        <v>82595.91</v>
      </c>
      <c r="K1310" s="1"/>
      <c r="L1310" s="1"/>
      <c r="M1310" s="1"/>
      <c r="N1310" s="1"/>
    </row>
    <row r="1311" ht="15.75" customHeight="1">
      <c r="A1311" t="s">
        <v>29</v>
      </c>
      <c r="B1311" t="s">
        <v>26</v>
      </c>
      <c r="C1311" t="s">
        <v>4913</v>
      </c>
      <c r="D1311" t="s">
        <v>1386</v>
      </c>
      <c r="E1311">
        <v>63121.0758091183</v>
      </c>
      <c r="F1311">
        <v>20340.4765863939</v>
      </c>
      <c r="G1311">
        <v>10738.9410087587</v>
      </c>
      <c r="H1311">
        <v>11584.8086376796</v>
      </c>
      <c r="I1311">
        <v>94200.49</v>
      </c>
      <c r="J1311">
        <v>82615.68</v>
      </c>
      <c r="K1311" s="1"/>
      <c r="L1311" s="1"/>
      <c r="M1311" s="1"/>
      <c r="N1311" s="1"/>
    </row>
    <row r="1312" ht="15.75" customHeight="1">
      <c r="A1312" t="s">
        <v>25</v>
      </c>
      <c r="B1312" t="s">
        <v>26</v>
      </c>
      <c r="C1312" t="s">
        <v>4907</v>
      </c>
      <c r="D1312" t="s">
        <v>1387</v>
      </c>
      <c r="E1312">
        <v>63131.9587790245</v>
      </c>
      <c r="F1312">
        <v>20345.0913047213</v>
      </c>
      <c r="G1312">
        <v>10746.6210121882</v>
      </c>
      <c r="H1312">
        <v>11588.2061883669</v>
      </c>
      <c r="I1312">
        <v>94223.67</v>
      </c>
      <c r="J1312">
        <v>82635.46</v>
      </c>
      <c r="K1312" s="1"/>
      <c r="L1312" s="1"/>
      <c r="M1312" s="1"/>
      <c r="N1312" s="1"/>
    </row>
    <row r="1313" ht="15.75" customHeight="1">
      <c r="A1313" t="s">
        <v>51</v>
      </c>
      <c r="B1313" t="s">
        <v>37</v>
      </c>
      <c r="C1313" t="s">
        <v>4917</v>
      </c>
      <c r="D1313" t="s">
        <v>1388</v>
      </c>
      <c r="E1313">
        <v>63153.7247188369</v>
      </c>
      <c r="F1313">
        <v>20354.3207413761</v>
      </c>
      <c r="G1313">
        <v>10761.9810190472</v>
      </c>
      <c r="H1313">
        <v>11595.0012897415</v>
      </c>
      <c r="I1313">
        <v>94270.03</v>
      </c>
      <c r="J1313">
        <v>82675.03</v>
      </c>
      <c r="K1313" s="1"/>
      <c r="L1313" s="1"/>
      <c r="M1313" s="1"/>
      <c r="N1313" s="1"/>
    </row>
    <row r="1314" ht="15.75" customHeight="1">
      <c r="A1314" t="s">
        <v>17</v>
      </c>
      <c r="B1314" t="s">
        <v>37</v>
      </c>
      <c r="C1314" t="s">
        <v>4905</v>
      </c>
      <c r="D1314" t="s">
        <v>1389</v>
      </c>
      <c r="E1314">
        <v>63164.6076887431</v>
      </c>
      <c r="F1314">
        <v>20358.9354597035</v>
      </c>
      <c r="G1314">
        <v>10769.6610224767</v>
      </c>
      <c r="H1314">
        <v>11598.3988404287</v>
      </c>
      <c r="I1314">
        <v>94293.2</v>
      </c>
      <c r="J1314">
        <v>82694.8</v>
      </c>
      <c r="K1314" s="1"/>
      <c r="L1314" s="1"/>
      <c r="M1314" s="1"/>
      <c r="N1314" s="1"/>
    </row>
    <row r="1315" ht="15.75" customHeight="1">
      <c r="A1315" t="s">
        <v>51</v>
      </c>
      <c r="B1315" t="s">
        <v>14</v>
      </c>
      <c r="C1315" t="s">
        <v>4915</v>
      </c>
      <c r="D1315" t="s">
        <v>1390</v>
      </c>
      <c r="E1315">
        <v>63175.4906586493</v>
      </c>
      <c r="F1315">
        <v>20363.550178031</v>
      </c>
      <c r="G1315">
        <v>10777.3410259062</v>
      </c>
      <c r="H1315">
        <v>11601.796391116</v>
      </c>
      <c r="I1315">
        <v>94316.38</v>
      </c>
      <c r="J1315">
        <v>82714.58</v>
      </c>
      <c r="K1315" s="1"/>
      <c r="L1315" s="1"/>
      <c r="M1315" s="1"/>
      <c r="N1315" s="1"/>
    </row>
    <row r="1316" ht="15.75" customHeight="1">
      <c r="A1316" t="s">
        <v>36</v>
      </c>
      <c r="B1316" t="s">
        <v>18</v>
      </c>
      <c r="C1316" t="s">
        <v>4915</v>
      </c>
      <c r="D1316" t="s">
        <v>1391</v>
      </c>
      <c r="E1316">
        <v>63186.3736285555</v>
      </c>
      <c r="F1316">
        <v>20368.1648963584</v>
      </c>
      <c r="G1316">
        <v>10785.0210293357</v>
      </c>
      <c r="H1316">
        <v>11605.1939418033</v>
      </c>
      <c r="I1316">
        <v>94339.56</v>
      </c>
      <c r="J1316">
        <v>82734.37</v>
      </c>
      <c r="K1316" s="1"/>
      <c r="L1316" s="1"/>
      <c r="M1316" s="1"/>
      <c r="N1316" s="1"/>
    </row>
    <row r="1317" ht="15.75" customHeight="1">
      <c r="A1317" t="s">
        <v>36</v>
      </c>
      <c r="B1317" t="s">
        <v>33</v>
      </c>
      <c r="C1317" t="s">
        <v>4908</v>
      </c>
      <c r="D1317" t="s">
        <v>1392</v>
      </c>
      <c r="E1317">
        <v>63197.2565984617</v>
      </c>
      <c r="F1317">
        <v>20372.7796146858</v>
      </c>
      <c r="G1317">
        <v>10792.7010327652</v>
      </c>
      <c r="H1317">
        <v>11608.5914924906</v>
      </c>
      <c r="I1317">
        <v>94362.74</v>
      </c>
      <c r="J1317">
        <v>82754.15</v>
      </c>
      <c r="K1317" s="1"/>
      <c r="L1317" s="1"/>
      <c r="M1317" s="1"/>
      <c r="N1317" s="1"/>
    </row>
    <row r="1318" ht="15.75" customHeight="1">
      <c r="A1318" t="s">
        <v>17</v>
      </c>
      <c r="B1318" t="s">
        <v>37</v>
      </c>
      <c r="C1318" t="s">
        <v>4909</v>
      </c>
      <c r="D1318" t="s">
        <v>1393</v>
      </c>
      <c r="E1318">
        <v>63208.1395683679</v>
      </c>
      <c r="F1318">
        <v>20377.3943330132</v>
      </c>
      <c r="G1318">
        <v>10800.3810361947</v>
      </c>
      <c r="H1318">
        <v>11611.9890431779</v>
      </c>
      <c r="I1318">
        <v>94385.91</v>
      </c>
      <c r="J1318">
        <v>82773.92</v>
      </c>
      <c r="K1318" s="1"/>
      <c r="L1318" s="1"/>
      <c r="M1318" s="1"/>
      <c r="N1318" s="1"/>
    </row>
    <row r="1319" ht="15.75" customHeight="1">
      <c r="A1319" t="s">
        <v>13</v>
      </c>
      <c r="B1319" t="s">
        <v>14</v>
      </c>
      <c r="C1319" t="s">
        <v>4907</v>
      </c>
      <c r="D1319" t="s">
        <v>1394</v>
      </c>
      <c r="E1319">
        <v>63219.0225382741</v>
      </c>
      <c r="F1319">
        <v>20382.0090513407</v>
      </c>
      <c r="G1319">
        <v>10808.0610396242</v>
      </c>
      <c r="H1319">
        <v>11615.3865938652</v>
      </c>
      <c r="I1319">
        <v>94409.09</v>
      </c>
      <c r="J1319">
        <v>82793.7</v>
      </c>
      <c r="K1319" s="1"/>
      <c r="L1319" s="1"/>
      <c r="M1319" s="1"/>
      <c r="N1319" s="1"/>
    </row>
    <row r="1320" ht="15.75" customHeight="1">
      <c r="A1320" t="s">
        <v>36</v>
      </c>
      <c r="B1320" t="s">
        <v>30</v>
      </c>
      <c r="C1320" t="s">
        <v>4916</v>
      </c>
      <c r="D1320" t="s">
        <v>1395</v>
      </c>
      <c r="E1320">
        <v>63229.9055081803</v>
      </c>
      <c r="F1320">
        <v>20386.6237696681</v>
      </c>
      <c r="G1320">
        <v>10815.7410430537</v>
      </c>
      <c r="H1320">
        <v>11618.7841445525</v>
      </c>
      <c r="I1320">
        <v>94432.27</v>
      </c>
      <c r="J1320">
        <v>82813.49</v>
      </c>
      <c r="K1320" s="1"/>
      <c r="L1320" s="1"/>
      <c r="M1320" s="1"/>
      <c r="N1320" s="1"/>
    </row>
    <row r="1321" ht="15.75" customHeight="1">
      <c r="A1321" t="s">
        <v>29</v>
      </c>
      <c r="B1321" t="s">
        <v>33</v>
      </c>
      <c r="C1321" t="s">
        <v>4913</v>
      </c>
      <c r="D1321" t="s">
        <v>1396</v>
      </c>
      <c r="E1321">
        <v>63240.7884780864</v>
      </c>
      <c r="F1321">
        <v>20391.2384879955</v>
      </c>
      <c r="G1321">
        <v>10823.4210464832</v>
      </c>
      <c r="H1321">
        <v>11622.1816952397</v>
      </c>
      <c r="I1321">
        <v>94455.45</v>
      </c>
      <c r="J1321">
        <v>82833.27</v>
      </c>
      <c r="K1321" s="1"/>
      <c r="L1321" s="1"/>
      <c r="M1321" s="1"/>
      <c r="N1321" s="1"/>
    </row>
    <row r="1322" ht="15.75" customHeight="1">
      <c r="A1322" t="s">
        <v>13</v>
      </c>
      <c r="B1322" t="s">
        <v>26</v>
      </c>
      <c r="C1322" t="s">
        <v>4914</v>
      </c>
      <c r="D1322" t="s">
        <v>1397</v>
      </c>
      <c r="E1322">
        <v>63251.6714479926</v>
      </c>
      <c r="F1322">
        <v>20395.8532063229</v>
      </c>
      <c r="G1322">
        <v>10831.1010499127</v>
      </c>
      <c r="H1322">
        <v>11625.579245927</v>
      </c>
      <c r="I1322">
        <v>94478.63</v>
      </c>
      <c r="J1322">
        <v>82853.05</v>
      </c>
      <c r="K1322" s="1"/>
      <c r="L1322" s="1"/>
      <c r="M1322" s="1"/>
      <c r="N1322" s="1"/>
    </row>
    <row r="1323" ht="15.75" customHeight="1">
      <c r="A1323" t="s">
        <v>53</v>
      </c>
      <c r="B1323" t="s">
        <v>18</v>
      </c>
      <c r="C1323" t="s">
        <v>4914</v>
      </c>
      <c r="D1323" t="s">
        <v>1398</v>
      </c>
      <c r="E1323">
        <v>63262.5544178988</v>
      </c>
      <c r="F1323">
        <v>20400.4679246503</v>
      </c>
      <c r="G1323">
        <v>10838.7810533422</v>
      </c>
      <c r="H1323">
        <v>14765.30618879032</v>
      </c>
      <c r="I1323">
        <v>94501.8</v>
      </c>
      <c r="J1323">
        <v>79736.49</v>
      </c>
      <c r="K1323" s="1"/>
      <c r="L1323" s="1"/>
      <c r="M1323" s="1"/>
      <c r="N1323" s="1"/>
    </row>
    <row r="1324" ht="15.75" customHeight="1">
      <c r="A1324" t="s">
        <v>13</v>
      </c>
      <c r="B1324" t="s">
        <v>33</v>
      </c>
      <c r="C1324" t="s">
        <v>4916</v>
      </c>
      <c r="D1324" t="s">
        <v>1399</v>
      </c>
      <c r="E1324">
        <v>63273.437387805</v>
      </c>
      <c r="F1324">
        <v>20405.0826429778</v>
      </c>
      <c r="G1324">
        <v>10846.4610567717</v>
      </c>
      <c r="H1324">
        <v>11632.3743473016</v>
      </c>
      <c r="I1324">
        <v>94524.98</v>
      </c>
      <c r="J1324">
        <v>82892.61</v>
      </c>
      <c r="K1324" s="1"/>
      <c r="L1324" s="1"/>
      <c r="M1324" s="1"/>
      <c r="N1324" s="1"/>
    </row>
    <row r="1325" ht="15.75" customHeight="1">
      <c r="A1325" t="s">
        <v>29</v>
      </c>
      <c r="B1325" t="s">
        <v>18</v>
      </c>
      <c r="C1325" t="s">
        <v>4910</v>
      </c>
      <c r="D1325" t="s">
        <v>1400</v>
      </c>
      <c r="E1325">
        <v>63284.3203577112</v>
      </c>
      <c r="F1325">
        <v>20409.6973613052</v>
      </c>
      <c r="G1325">
        <v>10854.1410602012</v>
      </c>
      <c r="H1325">
        <v>11635.7718979889</v>
      </c>
      <c r="I1325">
        <v>94548.16</v>
      </c>
      <c r="J1325">
        <v>82912.39</v>
      </c>
      <c r="K1325" s="1"/>
      <c r="L1325" s="1"/>
      <c r="M1325" s="1"/>
      <c r="N1325" s="1"/>
    </row>
    <row r="1326" ht="15.75" customHeight="1">
      <c r="A1326" t="s">
        <v>29</v>
      </c>
      <c r="B1326" t="s">
        <v>18</v>
      </c>
      <c r="C1326" t="s">
        <v>4912</v>
      </c>
      <c r="D1326" t="s">
        <v>1401</v>
      </c>
      <c r="E1326">
        <v>63295.2033276174</v>
      </c>
      <c r="F1326">
        <v>20414.3120796326</v>
      </c>
      <c r="G1326">
        <v>10861.8210636307</v>
      </c>
      <c r="H1326">
        <v>11639.1694486762</v>
      </c>
      <c r="I1326">
        <v>94571.34</v>
      </c>
      <c r="J1326">
        <v>82932.17</v>
      </c>
      <c r="K1326" s="1"/>
      <c r="L1326" s="1"/>
      <c r="M1326" s="1"/>
      <c r="N1326" s="1"/>
    </row>
    <row r="1327" ht="15.75" customHeight="1">
      <c r="A1327" t="s">
        <v>51</v>
      </c>
      <c r="B1327" t="s">
        <v>54</v>
      </c>
      <c r="C1327" t="s">
        <v>4917</v>
      </c>
      <c r="D1327" t="s">
        <v>1402</v>
      </c>
      <c r="E1327">
        <v>63306.0862975236</v>
      </c>
      <c r="F1327">
        <v>20418.92679796</v>
      </c>
      <c r="G1327">
        <v>10869.5010670602</v>
      </c>
      <c r="H1327">
        <v>11642.5669993635</v>
      </c>
      <c r="I1327">
        <v>94594.51</v>
      </c>
      <c r="J1327">
        <v>82951.94</v>
      </c>
      <c r="K1327" s="1"/>
      <c r="L1327" s="1"/>
      <c r="M1327" s="1"/>
      <c r="N1327" s="1"/>
    </row>
    <row r="1328" ht="15.75" customHeight="1">
      <c r="A1328" t="s">
        <v>53</v>
      </c>
      <c r="B1328" t="s">
        <v>33</v>
      </c>
      <c r="C1328" t="s">
        <v>4907</v>
      </c>
      <c r="D1328" t="s">
        <v>1403</v>
      </c>
      <c r="E1328">
        <v>63316.9692674298</v>
      </c>
      <c r="F1328">
        <v>20423.5415162875</v>
      </c>
      <c r="G1328">
        <v>10877.1810704897</v>
      </c>
      <c r="H1328">
        <v>11645.9645500508</v>
      </c>
      <c r="I1328">
        <v>94617.69</v>
      </c>
      <c r="J1328">
        <v>82971.73</v>
      </c>
      <c r="K1328" s="1"/>
      <c r="L1328" s="1"/>
      <c r="M1328" s="1"/>
      <c r="N1328" s="1"/>
    </row>
    <row r="1329" ht="15.75" customHeight="1">
      <c r="A1329" t="s">
        <v>36</v>
      </c>
      <c r="B1329" t="s">
        <v>33</v>
      </c>
      <c r="C1329" t="s">
        <v>4908</v>
      </c>
      <c r="D1329" t="s">
        <v>1404</v>
      </c>
      <c r="E1329">
        <v>63327.852237336</v>
      </c>
      <c r="F1329">
        <v>20428.1562346149</v>
      </c>
      <c r="G1329">
        <v>10884.8610739192</v>
      </c>
      <c r="H1329">
        <v>11649.362100738</v>
      </c>
      <c r="I1329">
        <v>94640.87</v>
      </c>
      <c r="J1329">
        <v>82991.51</v>
      </c>
      <c r="K1329" s="1"/>
      <c r="L1329" s="1"/>
      <c r="M1329" s="1"/>
      <c r="N1329" s="1"/>
    </row>
    <row r="1330" ht="15.75" customHeight="1">
      <c r="A1330" t="s">
        <v>53</v>
      </c>
      <c r="B1330" t="s">
        <v>26</v>
      </c>
      <c r="C1330" t="s">
        <v>4909</v>
      </c>
      <c r="D1330" t="s">
        <v>1405</v>
      </c>
      <c r="E1330">
        <v>63349.6181771484</v>
      </c>
      <c r="F1330">
        <v>20437.3856712697</v>
      </c>
      <c r="G1330">
        <v>10900.2210807782</v>
      </c>
      <c r="H1330">
        <v>11656.1572021126</v>
      </c>
      <c r="I1330">
        <v>94687.22</v>
      </c>
      <c r="J1330">
        <v>83031.06</v>
      </c>
      <c r="K1330" s="1"/>
      <c r="L1330" s="1"/>
      <c r="M1330" s="1"/>
      <c r="N1330" s="1"/>
    </row>
    <row r="1331" ht="15.75" customHeight="1">
      <c r="A1331" t="s">
        <v>25</v>
      </c>
      <c r="B1331" t="s">
        <v>18</v>
      </c>
      <c r="C1331" t="s">
        <v>4912</v>
      </c>
      <c r="D1331" t="s">
        <v>1406</v>
      </c>
      <c r="E1331">
        <v>63360.5011470546</v>
      </c>
      <c r="F1331">
        <v>20442.0003895971</v>
      </c>
      <c r="G1331">
        <v>10907.9010842077</v>
      </c>
      <c r="H1331">
        <v>11659.5547527999</v>
      </c>
      <c r="I1331">
        <v>94710.4</v>
      </c>
      <c r="J1331">
        <v>83050.85</v>
      </c>
      <c r="K1331" s="1"/>
      <c r="L1331" s="1"/>
      <c r="M1331" s="1"/>
      <c r="N1331" s="1"/>
    </row>
    <row r="1332" ht="15.75" customHeight="1">
      <c r="A1332" t="s">
        <v>13</v>
      </c>
      <c r="B1332" t="s">
        <v>18</v>
      </c>
      <c r="C1332" t="s">
        <v>4911</v>
      </c>
      <c r="D1332" t="s">
        <v>1407</v>
      </c>
      <c r="E1332">
        <v>63371.3841169608</v>
      </c>
      <c r="F1332">
        <v>20446.6151079246</v>
      </c>
      <c r="G1332">
        <v>10915.5810876372</v>
      </c>
      <c r="H1332">
        <v>11662.9523034872</v>
      </c>
      <c r="I1332">
        <v>94733.58</v>
      </c>
      <c r="J1332">
        <v>83070.63</v>
      </c>
      <c r="K1332" s="1"/>
      <c r="L1332" s="1"/>
      <c r="M1332" s="1"/>
      <c r="N1332" s="1"/>
    </row>
    <row r="1333" ht="15.75" customHeight="1">
      <c r="A1333" t="s">
        <v>13</v>
      </c>
      <c r="B1333" t="s">
        <v>30</v>
      </c>
      <c r="C1333" t="s">
        <v>4915</v>
      </c>
      <c r="D1333" t="s">
        <v>1408</v>
      </c>
      <c r="E1333">
        <v>63382.267086867</v>
      </c>
      <c r="F1333">
        <v>20451.229826252</v>
      </c>
      <c r="G1333">
        <v>10923.2610910667</v>
      </c>
      <c r="H1333">
        <v>11666.3498541745</v>
      </c>
      <c r="I1333">
        <v>94756.76</v>
      </c>
      <c r="J1333">
        <v>83090.41</v>
      </c>
      <c r="K1333" s="1"/>
      <c r="L1333" s="1"/>
      <c r="M1333" s="1"/>
      <c r="N1333" s="1"/>
    </row>
    <row r="1334" ht="15.75" customHeight="1">
      <c r="A1334" t="s">
        <v>51</v>
      </c>
      <c r="B1334" t="s">
        <v>30</v>
      </c>
      <c r="C1334" t="s">
        <v>4910</v>
      </c>
      <c r="D1334" t="s">
        <v>1409</v>
      </c>
      <c r="E1334">
        <v>63393.1500567732</v>
      </c>
      <c r="F1334">
        <v>20455.8445445794</v>
      </c>
      <c r="G1334">
        <v>10930.9410944962</v>
      </c>
      <c r="H1334">
        <v>11669.7474048618</v>
      </c>
      <c r="I1334">
        <v>94779.94</v>
      </c>
      <c r="J1334">
        <v>83110.19</v>
      </c>
      <c r="K1334" s="1"/>
      <c r="L1334" s="1"/>
      <c r="M1334" s="1"/>
      <c r="N1334" s="1"/>
    </row>
    <row r="1335" ht="15.75" customHeight="1">
      <c r="A1335" t="s">
        <v>29</v>
      </c>
      <c r="B1335" t="s">
        <v>26</v>
      </c>
      <c r="C1335" t="s">
        <v>4911</v>
      </c>
      <c r="D1335" t="s">
        <v>1410</v>
      </c>
      <c r="E1335">
        <v>63404.0330266793</v>
      </c>
      <c r="F1335">
        <v>20460.4592629068</v>
      </c>
      <c r="G1335">
        <v>10938.6210979257</v>
      </c>
      <c r="H1335">
        <v>11673.1449555491</v>
      </c>
      <c r="I1335">
        <v>94803.11</v>
      </c>
      <c r="J1335">
        <v>83129.97</v>
      </c>
      <c r="K1335" s="1"/>
      <c r="L1335" s="1"/>
      <c r="M1335" s="1"/>
      <c r="N1335" s="1"/>
    </row>
    <row r="1336" ht="15.75" customHeight="1">
      <c r="A1336" t="s">
        <v>13</v>
      </c>
      <c r="B1336" t="s">
        <v>26</v>
      </c>
      <c r="C1336" t="s">
        <v>4915</v>
      </c>
      <c r="D1336" t="s">
        <v>1411</v>
      </c>
      <c r="E1336">
        <v>63414.9159965855</v>
      </c>
      <c r="F1336">
        <v>20465.0739812343</v>
      </c>
      <c r="G1336">
        <v>10946.3011013552</v>
      </c>
      <c r="H1336">
        <v>11676.5425062363</v>
      </c>
      <c r="I1336">
        <v>94826.29</v>
      </c>
      <c r="J1336">
        <v>83149.75</v>
      </c>
      <c r="K1336" s="1"/>
      <c r="L1336" s="1"/>
      <c r="M1336" s="1"/>
      <c r="N1336" s="1"/>
    </row>
    <row r="1337" ht="15.75" customHeight="1">
      <c r="A1337" t="s">
        <v>25</v>
      </c>
      <c r="B1337" t="s">
        <v>30</v>
      </c>
      <c r="C1337" t="s">
        <v>4914</v>
      </c>
      <c r="D1337" t="s">
        <v>1412</v>
      </c>
      <c r="E1337">
        <v>63425.7989664917</v>
      </c>
      <c r="F1337">
        <v>20469.6886995617</v>
      </c>
      <c r="G1337">
        <v>10953.9811047847</v>
      </c>
      <c r="H1337">
        <v>11679.9400569236</v>
      </c>
      <c r="I1337">
        <v>94849.47</v>
      </c>
      <c r="J1337">
        <v>83169.53</v>
      </c>
      <c r="K1337" s="1"/>
      <c r="L1337" s="1"/>
      <c r="M1337" s="1"/>
      <c r="N1337" s="1"/>
    </row>
    <row r="1338" ht="15.75" customHeight="1">
      <c r="A1338" t="s">
        <v>29</v>
      </c>
      <c r="B1338" t="s">
        <v>14</v>
      </c>
      <c r="C1338" t="s">
        <v>4917</v>
      </c>
      <c r="D1338" t="s">
        <v>1413</v>
      </c>
      <c r="E1338">
        <v>63436.6819363979</v>
      </c>
      <c r="F1338">
        <v>20474.3034178891</v>
      </c>
      <c r="G1338">
        <v>10961.6611082142</v>
      </c>
      <c r="H1338">
        <v>11683.3376076109</v>
      </c>
      <c r="I1338">
        <v>94872.65</v>
      </c>
      <c r="J1338">
        <v>83189.31</v>
      </c>
      <c r="K1338" s="1"/>
      <c r="L1338" s="1"/>
      <c r="M1338" s="1"/>
      <c r="N1338" s="1"/>
    </row>
    <row r="1339" ht="15.75" customHeight="1">
      <c r="A1339" t="s">
        <v>29</v>
      </c>
      <c r="B1339" t="s">
        <v>18</v>
      </c>
      <c r="C1339" t="s">
        <v>4915</v>
      </c>
      <c r="D1339" t="s">
        <v>1414</v>
      </c>
      <c r="E1339">
        <v>63447.5649063041</v>
      </c>
      <c r="F1339">
        <v>20478.9181362165</v>
      </c>
      <c r="G1339">
        <v>10969.3411116437</v>
      </c>
      <c r="H1339">
        <v>11686.7351582982</v>
      </c>
      <c r="I1339">
        <v>94895.82</v>
      </c>
      <c r="J1339">
        <v>83209.08</v>
      </c>
      <c r="K1339" s="1"/>
      <c r="L1339" s="1"/>
      <c r="M1339" s="1"/>
      <c r="N1339" s="1"/>
    </row>
    <row r="1340" ht="15.75" customHeight="1">
      <c r="A1340" t="s">
        <v>29</v>
      </c>
      <c r="B1340" t="s">
        <v>14</v>
      </c>
      <c r="C1340" t="s">
        <v>4905</v>
      </c>
      <c r="D1340" t="s">
        <v>1415</v>
      </c>
      <c r="E1340">
        <v>63458.4478762103</v>
      </c>
      <c r="F1340">
        <v>20483.5328545439</v>
      </c>
      <c r="G1340">
        <v>10977.0211150732</v>
      </c>
      <c r="H1340">
        <v>11690.1327089855</v>
      </c>
      <c r="I1340">
        <v>94919.0</v>
      </c>
      <c r="J1340">
        <v>83228.87</v>
      </c>
      <c r="K1340" s="1"/>
      <c r="L1340" s="1"/>
      <c r="M1340" s="1"/>
      <c r="N1340" s="1"/>
    </row>
    <row r="1341" ht="15.75" customHeight="1">
      <c r="A1341" t="s">
        <v>29</v>
      </c>
      <c r="B1341" t="s">
        <v>37</v>
      </c>
      <c r="C1341" t="s">
        <v>4910</v>
      </c>
      <c r="D1341" t="s">
        <v>1416</v>
      </c>
      <c r="E1341">
        <v>63469.3308461165</v>
      </c>
      <c r="F1341">
        <v>20488.1475728714</v>
      </c>
      <c r="G1341">
        <v>10984.7011185027</v>
      </c>
      <c r="H1341">
        <v>11693.5302596728</v>
      </c>
      <c r="I1341">
        <v>94942.18</v>
      </c>
      <c r="J1341">
        <v>83248.65</v>
      </c>
      <c r="K1341" s="1"/>
      <c r="L1341" s="1"/>
      <c r="M1341" s="1"/>
      <c r="N1341" s="1"/>
    </row>
    <row r="1342" ht="15.75" customHeight="1">
      <c r="A1342" t="s">
        <v>29</v>
      </c>
      <c r="B1342" t="s">
        <v>18</v>
      </c>
      <c r="C1342" t="s">
        <v>4914</v>
      </c>
      <c r="D1342" t="s">
        <v>1417</v>
      </c>
      <c r="E1342">
        <v>63480.2138160227</v>
      </c>
      <c r="F1342">
        <v>20492.7622911988</v>
      </c>
      <c r="G1342">
        <v>10992.3811219322</v>
      </c>
      <c r="H1342">
        <v>11696.9278103601</v>
      </c>
      <c r="I1342">
        <v>94965.36</v>
      </c>
      <c r="J1342">
        <v>83268.43</v>
      </c>
      <c r="K1342" s="1"/>
      <c r="L1342" s="1"/>
      <c r="M1342" s="1"/>
      <c r="N1342" s="1"/>
    </row>
    <row r="1343" ht="15.75" customHeight="1">
      <c r="A1343" t="s">
        <v>36</v>
      </c>
      <c r="B1343" t="s">
        <v>14</v>
      </c>
      <c r="C1343" t="s">
        <v>4916</v>
      </c>
      <c r="D1343" t="s">
        <v>1418</v>
      </c>
      <c r="E1343">
        <v>63491.0967859289</v>
      </c>
      <c r="F1343">
        <v>20497.3770095262</v>
      </c>
      <c r="G1343">
        <v>11000.0611253616</v>
      </c>
      <c r="H1343">
        <v>11700.3253610473</v>
      </c>
      <c r="I1343">
        <v>94988.53</v>
      </c>
      <c r="J1343">
        <v>83288.2</v>
      </c>
      <c r="K1343" s="1"/>
      <c r="L1343" s="1"/>
      <c r="M1343" s="1"/>
      <c r="N1343" s="1"/>
    </row>
    <row r="1344" ht="15.75" customHeight="1">
      <c r="A1344" t="s">
        <v>29</v>
      </c>
      <c r="B1344" t="s">
        <v>18</v>
      </c>
      <c r="C1344" t="s">
        <v>4914</v>
      </c>
      <c r="D1344" t="s">
        <v>1419</v>
      </c>
      <c r="E1344">
        <v>63501.9797558351</v>
      </c>
      <c r="F1344">
        <v>20501.9917278536</v>
      </c>
      <c r="G1344">
        <v>11007.7411287911</v>
      </c>
      <c r="H1344">
        <v>11703.7229117346</v>
      </c>
      <c r="I1344">
        <v>95011.71</v>
      </c>
      <c r="J1344">
        <v>83307.99</v>
      </c>
      <c r="K1344" s="1"/>
      <c r="L1344" s="1"/>
      <c r="M1344" s="1"/>
      <c r="N1344" s="1"/>
    </row>
    <row r="1345" ht="15.75" customHeight="1">
      <c r="A1345" t="s">
        <v>13</v>
      </c>
      <c r="B1345" t="s">
        <v>18</v>
      </c>
      <c r="C1345" t="s">
        <v>4908</v>
      </c>
      <c r="D1345" t="s">
        <v>1420</v>
      </c>
      <c r="E1345">
        <v>63512.8627257413</v>
      </c>
      <c r="F1345">
        <v>20506.6064461811</v>
      </c>
      <c r="G1345">
        <v>11015.4211322206</v>
      </c>
      <c r="H1345">
        <v>11707.1204624219</v>
      </c>
      <c r="I1345">
        <v>95034.89</v>
      </c>
      <c r="J1345">
        <v>83327.77</v>
      </c>
      <c r="K1345" s="1"/>
      <c r="L1345" s="1"/>
      <c r="M1345" s="1"/>
      <c r="N1345" s="1"/>
    </row>
    <row r="1346" ht="15.75" customHeight="1">
      <c r="A1346" t="s">
        <v>53</v>
      </c>
      <c r="B1346" t="s">
        <v>54</v>
      </c>
      <c r="C1346" t="s">
        <v>4917</v>
      </c>
      <c r="D1346" t="s">
        <v>1421</v>
      </c>
      <c r="E1346">
        <v>63523.7456956475</v>
      </c>
      <c r="F1346">
        <v>20511.2211645085</v>
      </c>
      <c r="G1346">
        <v>11023.1011356501</v>
      </c>
      <c r="H1346">
        <v>11710.5180131092</v>
      </c>
      <c r="I1346">
        <v>95058.07</v>
      </c>
      <c r="J1346">
        <v>83347.55</v>
      </c>
      <c r="K1346" s="1"/>
      <c r="L1346" s="1"/>
      <c r="M1346" s="1"/>
      <c r="N1346" s="1"/>
    </row>
    <row r="1347" ht="15.75" customHeight="1">
      <c r="A1347" t="s">
        <v>36</v>
      </c>
      <c r="B1347" t="s">
        <v>54</v>
      </c>
      <c r="C1347" t="s">
        <v>4910</v>
      </c>
      <c r="D1347" t="s">
        <v>1422</v>
      </c>
      <c r="E1347">
        <v>63534.6286655537</v>
      </c>
      <c r="F1347">
        <v>20515.8358828359</v>
      </c>
      <c r="G1347">
        <v>11030.7811390796</v>
      </c>
      <c r="H1347">
        <v>11713.9155637965</v>
      </c>
      <c r="I1347">
        <v>95081.25</v>
      </c>
      <c r="J1347">
        <v>83367.33</v>
      </c>
      <c r="K1347" s="1"/>
      <c r="L1347" s="1"/>
      <c r="M1347" s="1"/>
      <c r="N1347" s="1"/>
    </row>
    <row r="1348" ht="15.75" customHeight="1">
      <c r="A1348" t="s">
        <v>29</v>
      </c>
      <c r="B1348" t="s">
        <v>37</v>
      </c>
      <c r="C1348" t="s">
        <v>4908</v>
      </c>
      <c r="D1348" t="s">
        <v>1423</v>
      </c>
      <c r="E1348">
        <v>63545.5116354599</v>
      </c>
      <c r="F1348">
        <v>20520.4506011633</v>
      </c>
      <c r="G1348">
        <v>11038.4611425091</v>
      </c>
      <c r="H1348">
        <v>11717.3131144838</v>
      </c>
      <c r="I1348">
        <v>95104.42</v>
      </c>
      <c r="J1348">
        <v>83387.11</v>
      </c>
      <c r="K1348" s="1"/>
      <c r="L1348" s="1"/>
      <c r="M1348" s="1"/>
      <c r="N1348" s="1"/>
    </row>
    <row r="1349" ht="15.75" customHeight="1">
      <c r="A1349" t="s">
        <v>51</v>
      </c>
      <c r="B1349" t="s">
        <v>14</v>
      </c>
      <c r="C1349" t="s">
        <v>4908</v>
      </c>
      <c r="D1349" t="s">
        <v>1424</v>
      </c>
      <c r="E1349">
        <v>63556.3946053661</v>
      </c>
      <c r="F1349">
        <v>20525.0653194907</v>
      </c>
      <c r="G1349">
        <v>11046.1411459386</v>
      </c>
      <c r="H1349">
        <v>11720.7106651711</v>
      </c>
      <c r="I1349">
        <v>95127.6</v>
      </c>
      <c r="J1349">
        <v>83406.89</v>
      </c>
      <c r="K1349" s="1"/>
      <c r="L1349" s="1"/>
      <c r="M1349" s="1"/>
      <c r="N1349" s="1"/>
    </row>
    <row r="1350" ht="15.75" customHeight="1">
      <c r="A1350" t="s">
        <v>13</v>
      </c>
      <c r="B1350" t="s">
        <v>18</v>
      </c>
      <c r="C1350" t="s">
        <v>4908</v>
      </c>
      <c r="D1350" t="s">
        <v>1425</v>
      </c>
      <c r="E1350">
        <v>63567.2775752722</v>
      </c>
      <c r="F1350">
        <v>20529.6800378182</v>
      </c>
      <c r="G1350">
        <v>11053.8211493681</v>
      </c>
      <c r="H1350">
        <v>11724.1082158584</v>
      </c>
      <c r="I1350">
        <v>95150.78</v>
      </c>
      <c r="J1350">
        <v>83426.67</v>
      </c>
      <c r="K1350" s="1"/>
      <c r="L1350" s="1"/>
      <c r="M1350" s="1"/>
      <c r="N1350" s="1"/>
    </row>
    <row r="1351" ht="15.75" customHeight="1">
      <c r="A1351" t="s">
        <v>51</v>
      </c>
      <c r="B1351" t="s">
        <v>26</v>
      </c>
      <c r="C1351" t="s">
        <v>4916</v>
      </c>
      <c r="D1351" t="s">
        <v>1426</v>
      </c>
      <c r="E1351">
        <v>63578.1605451784</v>
      </c>
      <c r="F1351">
        <v>20534.2947561456</v>
      </c>
      <c r="G1351">
        <v>11061.5011527976</v>
      </c>
      <c r="H1351">
        <v>11727.5057665456</v>
      </c>
      <c r="I1351">
        <v>95173.96</v>
      </c>
      <c r="J1351">
        <v>83446.45</v>
      </c>
      <c r="K1351" s="1"/>
      <c r="L1351" s="1"/>
      <c r="M1351" s="1"/>
      <c r="N1351" s="1"/>
    </row>
    <row r="1352" ht="15.75" customHeight="1">
      <c r="A1352" t="s">
        <v>53</v>
      </c>
      <c r="B1352" t="s">
        <v>30</v>
      </c>
      <c r="C1352" t="s">
        <v>4910</v>
      </c>
      <c r="D1352" t="s">
        <v>1427</v>
      </c>
      <c r="E1352">
        <v>63589.0435150846</v>
      </c>
      <c r="F1352">
        <v>20538.909474473</v>
      </c>
      <c r="G1352">
        <v>11069.1811562271</v>
      </c>
      <c r="H1352">
        <v>11730.9033172329</v>
      </c>
      <c r="I1352">
        <v>95197.13</v>
      </c>
      <c r="J1352">
        <v>83466.23</v>
      </c>
      <c r="K1352" s="1"/>
      <c r="L1352" s="1"/>
      <c r="M1352" s="1"/>
      <c r="N1352" s="1"/>
    </row>
    <row r="1353" ht="15.75" customHeight="1">
      <c r="A1353" t="s">
        <v>17</v>
      </c>
      <c r="B1353" t="s">
        <v>33</v>
      </c>
      <c r="C1353" t="s">
        <v>4912</v>
      </c>
      <c r="D1353" t="s">
        <v>1428</v>
      </c>
      <c r="E1353">
        <v>63599.9264849908</v>
      </c>
      <c r="F1353">
        <v>20543.5241928004</v>
      </c>
      <c r="G1353">
        <v>11076.8611596566</v>
      </c>
      <c r="H1353">
        <v>11734.3008679202</v>
      </c>
      <c r="I1353">
        <v>95220.31</v>
      </c>
      <c r="J1353">
        <v>83486.01</v>
      </c>
      <c r="K1353" s="1"/>
      <c r="L1353" s="1"/>
      <c r="M1353" s="1"/>
      <c r="N1353" s="1"/>
    </row>
    <row r="1354" ht="15.75" customHeight="1">
      <c r="A1354" t="s">
        <v>25</v>
      </c>
      <c r="B1354" t="s">
        <v>30</v>
      </c>
      <c r="C1354" t="s">
        <v>4907</v>
      </c>
      <c r="D1354" t="s">
        <v>1429</v>
      </c>
      <c r="E1354">
        <v>63610.809454897</v>
      </c>
      <c r="F1354">
        <v>20548.1389111279</v>
      </c>
      <c r="G1354">
        <v>11084.5411630861</v>
      </c>
      <c r="H1354">
        <v>11737.6984186075</v>
      </c>
      <c r="I1354">
        <v>95243.49</v>
      </c>
      <c r="J1354">
        <v>83505.79</v>
      </c>
      <c r="K1354" s="1"/>
      <c r="L1354" s="1"/>
      <c r="M1354" s="1"/>
      <c r="N1354" s="1"/>
    </row>
    <row r="1355" ht="15.75" customHeight="1">
      <c r="A1355" t="s">
        <v>25</v>
      </c>
      <c r="B1355" t="s">
        <v>26</v>
      </c>
      <c r="C1355" t="s">
        <v>4914</v>
      </c>
      <c r="D1355" t="s">
        <v>1430</v>
      </c>
      <c r="E1355">
        <v>63621.6924248032</v>
      </c>
      <c r="F1355">
        <v>20552.7536294553</v>
      </c>
      <c r="G1355">
        <v>11092.2211665156</v>
      </c>
      <c r="H1355">
        <v>11741.0959692948</v>
      </c>
      <c r="I1355">
        <v>95266.67</v>
      </c>
      <c r="J1355">
        <v>83525.57</v>
      </c>
      <c r="K1355" s="1"/>
      <c r="L1355" s="1"/>
      <c r="M1355" s="1"/>
      <c r="N1355" s="1"/>
    </row>
    <row r="1356" ht="15.75" customHeight="1">
      <c r="A1356" t="s">
        <v>51</v>
      </c>
      <c r="B1356" t="s">
        <v>18</v>
      </c>
      <c r="C1356" t="s">
        <v>4916</v>
      </c>
      <c r="D1356" t="s">
        <v>1431</v>
      </c>
      <c r="E1356">
        <v>63632.5753947094</v>
      </c>
      <c r="F1356">
        <v>20557.3683477827</v>
      </c>
      <c r="G1356">
        <v>11099.9011699451</v>
      </c>
      <c r="H1356">
        <v>11744.4935199821</v>
      </c>
      <c r="I1356">
        <v>95289.84</v>
      </c>
      <c r="J1356">
        <v>83545.35</v>
      </c>
      <c r="K1356" s="1"/>
      <c r="L1356" s="1"/>
      <c r="M1356" s="1"/>
      <c r="N1356" s="1"/>
    </row>
    <row r="1357" ht="15.75" customHeight="1">
      <c r="A1357" t="s">
        <v>25</v>
      </c>
      <c r="B1357" t="s">
        <v>33</v>
      </c>
      <c r="C1357" t="s">
        <v>4914</v>
      </c>
      <c r="D1357" t="s">
        <v>1432</v>
      </c>
      <c r="E1357">
        <v>63643.4583646156</v>
      </c>
      <c r="F1357">
        <v>20561.9830661101</v>
      </c>
      <c r="G1357">
        <v>11107.5811733746</v>
      </c>
      <c r="H1357">
        <v>11747.8910706694</v>
      </c>
      <c r="I1357">
        <v>95313.02</v>
      </c>
      <c r="J1357">
        <v>83565.13</v>
      </c>
      <c r="K1357" s="1"/>
      <c r="L1357" s="1"/>
      <c r="M1357" s="1"/>
      <c r="N1357" s="1"/>
    </row>
    <row r="1358" ht="15.75" customHeight="1">
      <c r="A1358" t="s">
        <v>17</v>
      </c>
      <c r="B1358" t="s">
        <v>18</v>
      </c>
      <c r="C1358" t="s">
        <v>4917</v>
      </c>
      <c r="D1358" t="s">
        <v>1433</v>
      </c>
      <c r="E1358">
        <v>63654.3413345218</v>
      </c>
      <c r="F1358">
        <v>20566.5977844375</v>
      </c>
      <c r="G1358">
        <v>11115.2611768041</v>
      </c>
      <c r="H1358">
        <v>11751.2886213567</v>
      </c>
      <c r="I1358">
        <v>95336.2</v>
      </c>
      <c r="J1358">
        <v>83584.91</v>
      </c>
      <c r="K1358" s="1"/>
      <c r="L1358" s="1"/>
      <c r="M1358" s="1"/>
      <c r="N1358" s="1"/>
    </row>
    <row r="1359" ht="15.75" customHeight="1">
      <c r="A1359" t="s">
        <v>13</v>
      </c>
      <c r="B1359" t="s">
        <v>14</v>
      </c>
      <c r="C1359" t="s">
        <v>4912</v>
      </c>
      <c r="D1359" t="s">
        <v>1434</v>
      </c>
      <c r="E1359">
        <v>63665.224304428</v>
      </c>
      <c r="F1359">
        <v>20571.212502765</v>
      </c>
      <c r="G1359">
        <v>11122.9411802336</v>
      </c>
      <c r="H1359">
        <v>11754.6861720439</v>
      </c>
      <c r="I1359">
        <v>95359.38</v>
      </c>
      <c r="J1359">
        <v>83604.69</v>
      </c>
      <c r="K1359" s="1"/>
      <c r="L1359" s="1"/>
      <c r="M1359" s="1"/>
      <c r="N1359" s="1"/>
    </row>
    <row r="1360" ht="15.75" customHeight="1">
      <c r="A1360" t="s">
        <v>17</v>
      </c>
      <c r="B1360" t="s">
        <v>54</v>
      </c>
      <c r="C1360" t="s">
        <v>4915</v>
      </c>
      <c r="D1360" t="s">
        <v>1435</v>
      </c>
      <c r="E1360">
        <v>63676.1072743342</v>
      </c>
      <c r="F1360">
        <v>20575.8272210924</v>
      </c>
      <c r="G1360">
        <v>11130.6211836631</v>
      </c>
      <c r="H1360">
        <v>11758.0837227312</v>
      </c>
      <c r="I1360">
        <v>95382.56</v>
      </c>
      <c r="J1360">
        <v>83624.48</v>
      </c>
      <c r="K1360" s="1"/>
      <c r="L1360" s="1"/>
      <c r="M1360" s="1"/>
      <c r="N1360" s="1"/>
    </row>
    <row r="1361" ht="15.75" customHeight="1">
      <c r="A1361" t="s">
        <v>53</v>
      </c>
      <c r="B1361" t="s">
        <v>30</v>
      </c>
      <c r="C1361" t="s">
        <v>4915</v>
      </c>
      <c r="D1361" t="s">
        <v>1436</v>
      </c>
      <c r="E1361">
        <v>63686.9902442404</v>
      </c>
      <c r="F1361">
        <v>20580.4419394198</v>
      </c>
      <c r="G1361">
        <v>11138.3011870926</v>
      </c>
      <c r="H1361">
        <v>11761.4812734185</v>
      </c>
      <c r="I1361">
        <v>95405.73</v>
      </c>
      <c r="J1361">
        <v>83644.25</v>
      </c>
      <c r="K1361" s="1"/>
      <c r="L1361" s="1"/>
      <c r="M1361" s="1"/>
      <c r="N1361" s="1"/>
    </row>
    <row r="1362" ht="15.75" customHeight="1">
      <c r="A1362" t="s">
        <v>13</v>
      </c>
      <c r="B1362" t="s">
        <v>33</v>
      </c>
      <c r="C1362" t="s">
        <v>4917</v>
      </c>
      <c r="D1362" t="s">
        <v>1437</v>
      </c>
      <c r="E1362">
        <v>63697.8732141466</v>
      </c>
      <c r="F1362">
        <v>20585.0566577472</v>
      </c>
      <c r="G1362">
        <v>11145.9811905221</v>
      </c>
      <c r="H1362">
        <v>11764.8788241058</v>
      </c>
      <c r="I1362">
        <v>95428.91</v>
      </c>
      <c r="J1362">
        <v>83664.03</v>
      </c>
      <c r="K1362" s="1"/>
      <c r="L1362" s="1"/>
      <c r="M1362" s="1"/>
      <c r="N1362" s="1"/>
    </row>
    <row r="1363" ht="15.75" customHeight="1">
      <c r="A1363" t="s">
        <v>53</v>
      </c>
      <c r="B1363" t="s">
        <v>54</v>
      </c>
      <c r="C1363" t="s">
        <v>4908</v>
      </c>
      <c r="D1363" t="s">
        <v>1438</v>
      </c>
      <c r="E1363">
        <v>63708.7561840528</v>
      </c>
      <c r="F1363">
        <v>20589.6713760746</v>
      </c>
      <c r="G1363">
        <v>11153.6611939516</v>
      </c>
      <c r="H1363">
        <v>11768.2763747931</v>
      </c>
      <c r="I1363">
        <v>95452.09</v>
      </c>
      <c r="J1363">
        <v>83683.81</v>
      </c>
      <c r="K1363" s="1"/>
      <c r="L1363" s="1"/>
      <c r="M1363" s="1"/>
      <c r="N1363" s="1"/>
    </row>
    <row r="1364" ht="15.75" customHeight="1">
      <c r="A1364" t="s">
        <v>25</v>
      </c>
      <c r="B1364" t="s">
        <v>37</v>
      </c>
      <c r="C1364" t="s">
        <v>4912</v>
      </c>
      <c r="D1364" t="s">
        <v>1439</v>
      </c>
      <c r="E1364">
        <v>63719.639153959</v>
      </c>
      <c r="F1364">
        <v>20594.2860944021</v>
      </c>
      <c r="G1364">
        <v>11161.3411973811</v>
      </c>
      <c r="H1364">
        <v>11771.6739254804</v>
      </c>
      <c r="I1364">
        <v>95475.27</v>
      </c>
      <c r="J1364">
        <v>83703.6</v>
      </c>
      <c r="K1364" s="1"/>
      <c r="L1364" s="1"/>
      <c r="M1364" s="1"/>
      <c r="N1364" s="1"/>
    </row>
    <row r="1365" ht="15.75" customHeight="1">
      <c r="A1365" t="s">
        <v>36</v>
      </c>
      <c r="B1365" t="s">
        <v>33</v>
      </c>
      <c r="C1365" t="s">
        <v>4914</v>
      </c>
      <c r="D1365" t="s">
        <v>1440</v>
      </c>
      <c r="E1365">
        <v>63730.5221238651</v>
      </c>
      <c r="F1365">
        <v>20598.9008127295</v>
      </c>
      <c r="G1365">
        <v>11169.0212008106</v>
      </c>
      <c r="H1365">
        <v>11775.0714761677</v>
      </c>
      <c r="I1365">
        <v>95498.44</v>
      </c>
      <c r="J1365">
        <v>83723.37</v>
      </c>
      <c r="K1365" s="1"/>
      <c r="L1365" s="1"/>
      <c r="M1365" s="1"/>
      <c r="N1365" s="1"/>
    </row>
    <row r="1366" ht="15.75" customHeight="1">
      <c r="A1366" t="s">
        <v>36</v>
      </c>
      <c r="B1366" t="s">
        <v>33</v>
      </c>
      <c r="C1366" t="s">
        <v>4905</v>
      </c>
      <c r="D1366" t="s">
        <v>1441</v>
      </c>
      <c r="E1366">
        <v>63741.4050937713</v>
      </c>
      <c r="F1366">
        <v>20603.5155310569</v>
      </c>
      <c r="G1366">
        <v>11176.7012042401</v>
      </c>
      <c r="H1366">
        <v>11778.4690268549</v>
      </c>
      <c r="I1366">
        <v>95521.62</v>
      </c>
      <c r="J1366">
        <v>83743.15</v>
      </c>
      <c r="K1366" s="1"/>
      <c r="L1366" s="1"/>
      <c r="M1366" s="1"/>
      <c r="N1366" s="1"/>
    </row>
    <row r="1367" ht="15.75" customHeight="1">
      <c r="A1367" t="s">
        <v>17</v>
      </c>
      <c r="B1367" t="s">
        <v>14</v>
      </c>
      <c r="C1367" t="s">
        <v>4915</v>
      </c>
      <c r="D1367" t="s">
        <v>1442</v>
      </c>
      <c r="E1367">
        <v>63752.2880636775</v>
      </c>
      <c r="F1367">
        <v>20608.1302493843</v>
      </c>
      <c r="G1367">
        <v>11184.3812076696</v>
      </c>
      <c r="H1367">
        <v>11781.8665775422</v>
      </c>
      <c r="I1367">
        <v>95544.8</v>
      </c>
      <c r="J1367">
        <v>83762.93</v>
      </c>
      <c r="K1367" s="1"/>
      <c r="L1367" s="1"/>
      <c r="M1367" s="1"/>
      <c r="N1367" s="1"/>
    </row>
    <row r="1368" ht="15.75" customHeight="1">
      <c r="A1368" t="s">
        <v>29</v>
      </c>
      <c r="B1368" t="s">
        <v>26</v>
      </c>
      <c r="C1368" t="s">
        <v>4913</v>
      </c>
      <c r="D1368" t="s">
        <v>1443</v>
      </c>
      <c r="E1368">
        <v>63763.1710335837</v>
      </c>
      <c r="F1368">
        <v>20612.7449677118</v>
      </c>
      <c r="G1368">
        <v>11192.0612110991</v>
      </c>
      <c r="H1368">
        <v>11785.2641282295</v>
      </c>
      <c r="I1368">
        <v>95567.98</v>
      </c>
      <c r="J1368">
        <v>83782.72</v>
      </c>
      <c r="K1368" s="1"/>
      <c r="L1368" s="1"/>
      <c r="M1368" s="1"/>
      <c r="N1368" s="1"/>
    </row>
    <row r="1369" ht="15.75" customHeight="1">
      <c r="A1369" t="s">
        <v>29</v>
      </c>
      <c r="B1369" t="s">
        <v>18</v>
      </c>
      <c r="C1369" t="s">
        <v>4909</v>
      </c>
      <c r="D1369" t="s">
        <v>1444</v>
      </c>
      <c r="E1369">
        <v>63774.0540034899</v>
      </c>
      <c r="F1369">
        <v>20617.3596860392</v>
      </c>
      <c r="G1369">
        <v>11199.7412145286</v>
      </c>
      <c r="H1369">
        <v>11788.6616789168</v>
      </c>
      <c r="I1369">
        <v>95591.15</v>
      </c>
      <c r="J1369">
        <v>83802.49</v>
      </c>
      <c r="K1369" s="1"/>
      <c r="L1369" s="1"/>
      <c r="M1369" s="1"/>
      <c r="N1369" s="1"/>
    </row>
    <row r="1370" ht="15.75" customHeight="1">
      <c r="A1370" t="s">
        <v>25</v>
      </c>
      <c r="B1370" t="s">
        <v>18</v>
      </c>
      <c r="C1370" t="s">
        <v>4909</v>
      </c>
      <c r="D1370" t="s">
        <v>1445</v>
      </c>
      <c r="E1370">
        <v>63784.9369733961</v>
      </c>
      <c r="F1370">
        <v>20621.9744043666</v>
      </c>
      <c r="G1370">
        <v>11207.4212179581</v>
      </c>
      <c r="H1370">
        <v>11792.0592296041</v>
      </c>
      <c r="I1370">
        <v>95614.33</v>
      </c>
      <c r="J1370">
        <v>83822.27</v>
      </c>
      <c r="K1370" s="1"/>
      <c r="L1370" s="1"/>
      <c r="M1370" s="1"/>
      <c r="N1370" s="1"/>
    </row>
    <row r="1371" ht="15.75" customHeight="1">
      <c r="A1371" t="s">
        <v>53</v>
      </c>
      <c r="B1371" t="s">
        <v>37</v>
      </c>
      <c r="C1371" t="s">
        <v>4908</v>
      </c>
      <c r="D1371" t="s">
        <v>1446</v>
      </c>
      <c r="E1371">
        <v>63795.8199433023</v>
      </c>
      <c r="F1371">
        <v>20626.589122694</v>
      </c>
      <c r="G1371">
        <v>11215.1012213876</v>
      </c>
      <c r="H1371">
        <v>11795.4567802914</v>
      </c>
      <c r="I1371">
        <v>95637.51</v>
      </c>
      <c r="J1371">
        <v>83842.05</v>
      </c>
      <c r="K1371" s="1"/>
      <c r="L1371" s="1"/>
      <c r="M1371" s="1"/>
      <c r="N1371" s="1"/>
    </row>
    <row r="1372" ht="15.75" customHeight="1">
      <c r="A1372" t="s">
        <v>25</v>
      </c>
      <c r="B1372" t="s">
        <v>54</v>
      </c>
      <c r="C1372" t="s">
        <v>4905</v>
      </c>
      <c r="D1372" t="s">
        <v>1447</v>
      </c>
      <c r="E1372">
        <v>63817.5858831147</v>
      </c>
      <c r="F1372">
        <v>20635.8185593489</v>
      </c>
      <c r="G1372">
        <v>11230.4612282466</v>
      </c>
      <c r="H1372">
        <v>11802.251881666</v>
      </c>
      <c r="I1372">
        <v>95683.87</v>
      </c>
      <c r="J1372">
        <v>83881.62</v>
      </c>
      <c r="K1372" s="1"/>
      <c r="L1372" s="1"/>
      <c r="M1372" s="1"/>
      <c r="N1372" s="1"/>
    </row>
    <row r="1373" ht="15.75" customHeight="1">
      <c r="A1373" t="s">
        <v>13</v>
      </c>
      <c r="B1373" t="s">
        <v>18</v>
      </c>
      <c r="C1373" t="s">
        <v>4912</v>
      </c>
      <c r="D1373" t="s">
        <v>1448</v>
      </c>
      <c r="E1373">
        <v>63828.4688530209</v>
      </c>
      <c r="F1373">
        <v>20640.4332776763</v>
      </c>
      <c r="G1373">
        <v>11238.1412316761</v>
      </c>
      <c r="H1373">
        <v>11805.6494323532</v>
      </c>
      <c r="I1373">
        <v>95707.04</v>
      </c>
      <c r="J1373">
        <v>83901.39</v>
      </c>
      <c r="K1373" s="1"/>
      <c r="L1373" s="1"/>
      <c r="M1373" s="1"/>
      <c r="N1373" s="1"/>
    </row>
    <row r="1374" ht="15.75" customHeight="1">
      <c r="A1374" t="s">
        <v>29</v>
      </c>
      <c r="B1374" t="s">
        <v>14</v>
      </c>
      <c r="C1374" t="s">
        <v>4909</v>
      </c>
      <c r="D1374" t="s">
        <v>1449</v>
      </c>
      <c r="E1374">
        <v>63839.3518229271</v>
      </c>
      <c r="F1374">
        <v>20645.0479960037</v>
      </c>
      <c r="G1374">
        <v>11245.8212351056</v>
      </c>
      <c r="H1374">
        <v>11809.0469830405</v>
      </c>
      <c r="I1374">
        <v>95730.22</v>
      </c>
      <c r="J1374">
        <v>83921.17</v>
      </c>
      <c r="K1374" s="1"/>
      <c r="L1374" s="1"/>
      <c r="M1374" s="1"/>
      <c r="N1374" s="1"/>
    </row>
    <row r="1375" ht="15.75" customHeight="1">
      <c r="A1375" t="s">
        <v>29</v>
      </c>
      <c r="B1375" t="s">
        <v>14</v>
      </c>
      <c r="C1375" t="s">
        <v>4908</v>
      </c>
      <c r="D1375" t="s">
        <v>1450</v>
      </c>
      <c r="E1375">
        <v>63850.2347928333</v>
      </c>
      <c r="F1375">
        <v>20649.6627143311</v>
      </c>
      <c r="G1375">
        <v>11253.5012385351</v>
      </c>
      <c r="H1375">
        <v>11812.4445337278</v>
      </c>
      <c r="I1375">
        <v>95753.4</v>
      </c>
      <c r="J1375">
        <v>83940.96</v>
      </c>
      <c r="K1375" s="1"/>
      <c r="L1375" s="1"/>
      <c r="M1375" s="1"/>
      <c r="N1375" s="1"/>
    </row>
    <row r="1376" ht="15.75" customHeight="1">
      <c r="A1376" t="s">
        <v>51</v>
      </c>
      <c r="B1376" t="s">
        <v>18</v>
      </c>
      <c r="C1376" t="s">
        <v>4912</v>
      </c>
      <c r="D1376" t="s">
        <v>1451</v>
      </c>
      <c r="E1376">
        <v>63861.1177627395</v>
      </c>
      <c r="F1376">
        <v>20654.2774326586</v>
      </c>
      <c r="G1376">
        <v>11261.1812419646</v>
      </c>
      <c r="H1376">
        <v>11815.8420844151</v>
      </c>
      <c r="I1376">
        <v>95776.58</v>
      </c>
      <c r="J1376">
        <v>83960.74</v>
      </c>
      <c r="K1376" s="1"/>
      <c r="L1376" s="1"/>
      <c r="M1376" s="1"/>
      <c r="N1376" s="1"/>
    </row>
    <row r="1377" ht="15.75" customHeight="1">
      <c r="A1377" t="s">
        <v>36</v>
      </c>
      <c r="B1377" t="s">
        <v>54</v>
      </c>
      <c r="C1377" t="s">
        <v>4916</v>
      </c>
      <c r="D1377" t="s">
        <v>1452</v>
      </c>
      <c r="E1377">
        <v>63872.0007326457</v>
      </c>
      <c r="F1377">
        <v>20658.892150986</v>
      </c>
      <c r="G1377">
        <v>11268.8612453941</v>
      </c>
      <c r="H1377">
        <v>11819.2396351024</v>
      </c>
      <c r="I1377">
        <v>95799.75</v>
      </c>
      <c r="J1377">
        <v>83980.51</v>
      </c>
      <c r="K1377" s="1"/>
      <c r="L1377" s="1"/>
      <c r="M1377" s="1"/>
      <c r="N1377" s="1"/>
    </row>
    <row r="1378" ht="15.75" customHeight="1">
      <c r="A1378" t="s">
        <v>25</v>
      </c>
      <c r="B1378" t="s">
        <v>37</v>
      </c>
      <c r="C1378" t="s">
        <v>4916</v>
      </c>
      <c r="D1378" t="s">
        <v>1453</v>
      </c>
      <c r="E1378">
        <v>63882.8837025519</v>
      </c>
      <c r="F1378">
        <v>20663.5068693134</v>
      </c>
      <c r="G1378">
        <v>11276.5412488235</v>
      </c>
      <c r="H1378">
        <v>11822.6371857897</v>
      </c>
      <c r="I1378">
        <v>95822.93</v>
      </c>
      <c r="J1378">
        <v>84000.29</v>
      </c>
      <c r="K1378" s="1"/>
      <c r="L1378" s="1"/>
      <c r="M1378" s="1"/>
      <c r="N1378" s="1"/>
    </row>
    <row r="1379" ht="15.75" customHeight="1">
      <c r="A1379" t="s">
        <v>17</v>
      </c>
      <c r="B1379" t="s">
        <v>18</v>
      </c>
      <c r="C1379" t="s">
        <v>4913</v>
      </c>
      <c r="D1379" t="s">
        <v>1454</v>
      </c>
      <c r="E1379">
        <v>63893.766672458</v>
      </c>
      <c r="F1379">
        <v>20668.1215876408</v>
      </c>
      <c r="G1379">
        <v>11284.221252253</v>
      </c>
      <c r="H1379">
        <v>11826.034736477</v>
      </c>
      <c r="I1379">
        <v>95846.11</v>
      </c>
      <c r="J1379">
        <v>84020.08</v>
      </c>
      <c r="K1379" s="1"/>
      <c r="L1379" s="1"/>
      <c r="M1379" s="1"/>
      <c r="N1379" s="1"/>
    </row>
    <row r="1380" ht="15.75" customHeight="1">
      <c r="A1380" t="s">
        <v>36</v>
      </c>
      <c r="B1380" t="s">
        <v>54</v>
      </c>
      <c r="C1380" t="s">
        <v>4910</v>
      </c>
      <c r="D1380" t="s">
        <v>1455</v>
      </c>
      <c r="E1380">
        <v>63904.6496423642</v>
      </c>
      <c r="F1380">
        <v>20672.7363059682</v>
      </c>
      <c r="G1380">
        <v>11291.9012556825</v>
      </c>
      <c r="H1380">
        <v>11829.4322871643</v>
      </c>
      <c r="I1380">
        <v>95869.29</v>
      </c>
      <c r="J1380">
        <v>84039.86</v>
      </c>
      <c r="K1380" s="1"/>
      <c r="L1380" s="1"/>
      <c r="M1380" s="1"/>
      <c r="N1380" s="1"/>
    </row>
    <row r="1381" ht="15.75" customHeight="1">
      <c r="A1381" t="s">
        <v>17</v>
      </c>
      <c r="B1381" t="s">
        <v>33</v>
      </c>
      <c r="C1381" t="s">
        <v>4910</v>
      </c>
      <c r="D1381" t="s">
        <v>1456</v>
      </c>
      <c r="E1381">
        <v>72475.40820418281</v>
      </c>
      <c r="F1381">
        <v>20677.3510242957</v>
      </c>
      <c r="G1381">
        <v>11299.581259112</v>
      </c>
      <c r="H1381">
        <v>11832.8298378515</v>
      </c>
      <c r="I1381">
        <v>104452.34</v>
      </c>
      <c r="J1381">
        <v>92619.51</v>
      </c>
      <c r="K1381" s="1"/>
      <c r="L1381" s="1"/>
      <c r="M1381" s="1"/>
      <c r="N1381" s="1"/>
    </row>
    <row r="1382" ht="15.75" customHeight="1">
      <c r="A1382" t="s">
        <v>17</v>
      </c>
      <c r="B1382" t="s">
        <v>30</v>
      </c>
      <c r="C1382" t="s">
        <v>4907</v>
      </c>
      <c r="D1382" t="s">
        <v>1457</v>
      </c>
      <c r="E1382">
        <v>63926.4155821766</v>
      </c>
      <c r="F1382">
        <v>20681.9657426231</v>
      </c>
      <c r="G1382">
        <v>11307.2612625415</v>
      </c>
      <c r="H1382">
        <v>11836.2273885388</v>
      </c>
      <c r="I1382">
        <v>95915.64</v>
      </c>
      <c r="J1382">
        <v>84079.41</v>
      </c>
      <c r="K1382" s="1"/>
      <c r="L1382" s="1"/>
      <c r="M1382" s="1"/>
      <c r="N1382" s="1"/>
    </row>
    <row r="1383" ht="15.75" customHeight="1">
      <c r="A1383" t="s">
        <v>51</v>
      </c>
      <c r="B1383" t="s">
        <v>26</v>
      </c>
      <c r="C1383" t="s">
        <v>4908</v>
      </c>
      <c r="D1383" t="s">
        <v>1458</v>
      </c>
      <c r="E1383">
        <v>63937.2985520828</v>
      </c>
      <c r="F1383">
        <v>20686.5804609505</v>
      </c>
      <c r="G1383">
        <v>11314.941265971</v>
      </c>
      <c r="H1383">
        <v>11839.6249392261</v>
      </c>
      <c r="I1383">
        <v>95938.82</v>
      </c>
      <c r="J1383">
        <v>84099.2</v>
      </c>
      <c r="K1383" s="1"/>
      <c r="L1383" s="1"/>
      <c r="M1383" s="1"/>
      <c r="N1383" s="1"/>
    </row>
    <row r="1384" ht="15.75" customHeight="1">
      <c r="A1384" t="s">
        <v>36</v>
      </c>
      <c r="B1384" t="s">
        <v>18</v>
      </c>
      <c r="C1384" t="s">
        <v>4905</v>
      </c>
      <c r="D1384" t="s">
        <v>1459</v>
      </c>
      <c r="E1384">
        <v>63948.181521989</v>
      </c>
      <c r="F1384">
        <v>20691.1951792779</v>
      </c>
      <c r="G1384">
        <v>11322.6212694005</v>
      </c>
      <c r="H1384">
        <v>11843.0224899134</v>
      </c>
      <c r="I1384">
        <v>95962.0</v>
      </c>
      <c r="J1384">
        <v>84118.98</v>
      </c>
      <c r="K1384" s="1"/>
      <c r="L1384" s="1"/>
      <c r="M1384" s="1"/>
      <c r="N1384" s="1"/>
    </row>
    <row r="1385" ht="15.75" customHeight="1">
      <c r="A1385" t="s">
        <v>53</v>
      </c>
      <c r="B1385" t="s">
        <v>37</v>
      </c>
      <c r="C1385" t="s">
        <v>4916</v>
      </c>
      <c r="D1385" t="s">
        <v>1460</v>
      </c>
      <c r="E1385">
        <v>63959.0644918952</v>
      </c>
      <c r="F1385">
        <v>20695.8098976054</v>
      </c>
      <c r="G1385">
        <v>11330.30127283</v>
      </c>
      <c r="H1385">
        <v>11846.4200406007</v>
      </c>
      <c r="I1385">
        <v>95985.18</v>
      </c>
      <c r="J1385">
        <v>84138.76</v>
      </c>
      <c r="K1385" s="1"/>
      <c r="L1385" s="1"/>
      <c r="M1385" s="1"/>
      <c r="N1385" s="1"/>
    </row>
    <row r="1386" ht="15.75" customHeight="1">
      <c r="A1386" t="s">
        <v>17</v>
      </c>
      <c r="B1386" t="s">
        <v>54</v>
      </c>
      <c r="C1386" t="s">
        <v>4913</v>
      </c>
      <c r="D1386" t="s">
        <v>1461</v>
      </c>
      <c r="E1386">
        <v>63969.9474618014</v>
      </c>
      <c r="F1386">
        <v>20700.4246159328</v>
      </c>
      <c r="G1386">
        <v>11337.9812762595</v>
      </c>
      <c r="H1386">
        <v>11849.817591288</v>
      </c>
      <c r="I1386">
        <v>96008.35</v>
      </c>
      <c r="J1386">
        <v>84158.53</v>
      </c>
      <c r="K1386" s="1"/>
      <c r="L1386" s="1"/>
      <c r="M1386" s="1"/>
      <c r="N1386" s="1"/>
    </row>
    <row r="1387" ht="15.75" customHeight="1">
      <c r="A1387" t="s">
        <v>36</v>
      </c>
      <c r="B1387" t="s">
        <v>37</v>
      </c>
      <c r="C1387" t="s">
        <v>4905</v>
      </c>
      <c r="D1387" t="s">
        <v>1462</v>
      </c>
      <c r="E1387">
        <v>63980.8304317076</v>
      </c>
      <c r="F1387">
        <v>20705.0393342602</v>
      </c>
      <c r="G1387">
        <v>11345.661279689</v>
      </c>
      <c r="H1387">
        <v>11853.2151419753</v>
      </c>
      <c r="I1387">
        <v>96031.53</v>
      </c>
      <c r="J1387">
        <v>84178.31</v>
      </c>
      <c r="K1387" s="1"/>
      <c r="L1387" s="1"/>
      <c r="M1387" s="1"/>
      <c r="N1387" s="1"/>
    </row>
    <row r="1388" ht="15.75" customHeight="1">
      <c r="A1388" t="s">
        <v>17</v>
      </c>
      <c r="B1388" t="s">
        <v>33</v>
      </c>
      <c r="C1388" t="s">
        <v>4913</v>
      </c>
      <c r="D1388" t="s">
        <v>1463</v>
      </c>
      <c r="E1388">
        <v>63991.7134016138</v>
      </c>
      <c r="F1388">
        <v>20709.6540525876</v>
      </c>
      <c r="G1388">
        <v>11353.3412831185</v>
      </c>
      <c r="H1388">
        <v>11856.6126926625</v>
      </c>
      <c r="I1388">
        <v>96054.71</v>
      </c>
      <c r="J1388">
        <v>84198.1</v>
      </c>
      <c r="K1388" s="1"/>
      <c r="L1388" s="1"/>
      <c r="M1388" s="1"/>
      <c r="N1388" s="1"/>
    </row>
    <row r="1389" ht="15.75" customHeight="1">
      <c r="A1389" t="s">
        <v>29</v>
      </c>
      <c r="B1389" t="s">
        <v>14</v>
      </c>
      <c r="C1389" t="s">
        <v>4912</v>
      </c>
      <c r="D1389" t="s">
        <v>1464</v>
      </c>
      <c r="E1389">
        <v>64002.59637152</v>
      </c>
      <c r="F1389">
        <v>20714.268770915</v>
      </c>
      <c r="G1389">
        <v>11361.021286548</v>
      </c>
      <c r="H1389">
        <v>11860.0102433498</v>
      </c>
      <c r="I1389">
        <v>96077.89</v>
      </c>
      <c r="J1389">
        <v>84217.88</v>
      </c>
      <c r="K1389" s="1"/>
      <c r="L1389" s="1"/>
      <c r="M1389" s="1"/>
      <c r="N1389" s="1"/>
    </row>
    <row r="1390" ht="15.75" customHeight="1">
      <c r="A1390" t="s">
        <v>53</v>
      </c>
      <c r="B1390" t="s">
        <v>14</v>
      </c>
      <c r="C1390" t="s">
        <v>4908</v>
      </c>
      <c r="D1390" t="s">
        <v>1465</v>
      </c>
      <c r="E1390">
        <v>64013.4793414262</v>
      </c>
      <c r="F1390">
        <v>20718.8834892425</v>
      </c>
      <c r="G1390">
        <v>11368.7012899775</v>
      </c>
      <c r="H1390">
        <v>11863.4077940371</v>
      </c>
      <c r="I1390">
        <v>96101.06</v>
      </c>
      <c r="J1390">
        <v>84237.65</v>
      </c>
      <c r="K1390" s="1"/>
      <c r="L1390" s="1"/>
      <c r="M1390" s="1"/>
      <c r="N1390" s="1"/>
    </row>
    <row r="1391" ht="15.75" customHeight="1">
      <c r="A1391" t="s">
        <v>25</v>
      </c>
      <c r="B1391" t="s">
        <v>30</v>
      </c>
      <c r="C1391" t="s">
        <v>4911</v>
      </c>
      <c r="D1391" t="s">
        <v>1466</v>
      </c>
      <c r="E1391">
        <v>64024.3623113324</v>
      </c>
      <c r="F1391">
        <v>20723.4982075699</v>
      </c>
      <c r="G1391">
        <v>11376.381293407</v>
      </c>
      <c r="H1391">
        <v>11866.8053447244</v>
      </c>
      <c r="I1391">
        <v>96124.24</v>
      </c>
      <c r="J1391">
        <v>84257.43</v>
      </c>
      <c r="K1391" s="1"/>
      <c r="L1391" s="1"/>
      <c r="M1391" s="1"/>
      <c r="N1391" s="1"/>
    </row>
    <row r="1392" ht="15.75" customHeight="1">
      <c r="A1392" t="s">
        <v>25</v>
      </c>
      <c r="B1392" t="s">
        <v>33</v>
      </c>
      <c r="C1392" t="s">
        <v>4917</v>
      </c>
      <c r="D1392" t="s">
        <v>1467</v>
      </c>
      <c r="E1392">
        <v>64035.2452812386</v>
      </c>
      <c r="F1392">
        <v>20728.1129258973</v>
      </c>
      <c r="G1392">
        <v>11384.0612968365</v>
      </c>
      <c r="H1392">
        <v>11870.2028954117</v>
      </c>
      <c r="I1392">
        <v>96147.42</v>
      </c>
      <c r="J1392">
        <v>84277.22</v>
      </c>
      <c r="K1392" s="1"/>
      <c r="L1392" s="1"/>
      <c r="M1392" s="1"/>
      <c r="N1392" s="1"/>
    </row>
    <row r="1393" ht="15.75" customHeight="1">
      <c r="A1393" t="s">
        <v>51</v>
      </c>
      <c r="B1393" t="s">
        <v>14</v>
      </c>
      <c r="C1393" t="s">
        <v>4916</v>
      </c>
      <c r="D1393" t="s">
        <v>1468</v>
      </c>
      <c r="E1393">
        <v>64046.1282511448</v>
      </c>
      <c r="F1393">
        <v>20732.7276442247</v>
      </c>
      <c r="G1393">
        <v>11391.741300266</v>
      </c>
      <c r="H1393">
        <v>11873.600446099</v>
      </c>
      <c r="I1393">
        <v>96170.6</v>
      </c>
      <c r="J1393">
        <v>84297.0</v>
      </c>
      <c r="K1393" s="1"/>
      <c r="L1393" s="1"/>
      <c r="M1393" s="1"/>
      <c r="N1393" s="1"/>
    </row>
    <row r="1394" ht="15.75" customHeight="1">
      <c r="A1394" t="s">
        <v>17</v>
      </c>
      <c r="B1394" t="s">
        <v>30</v>
      </c>
      <c r="C1394" t="s">
        <v>4917</v>
      </c>
      <c r="D1394" t="s">
        <v>1469</v>
      </c>
      <c r="E1394">
        <v>64057.011221051</v>
      </c>
      <c r="F1394">
        <v>20737.3423625522</v>
      </c>
      <c r="G1394">
        <v>11399.4213036955</v>
      </c>
      <c r="H1394">
        <v>11876.9979967863</v>
      </c>
      <c r="I1394">
        <v>96193.77</v>
      </c>
      <c r="J1394">
        <v>84316.77</v>
      </c>
      <c r="K1394" s="1"/>
      <c r="L1394" s="1"/>
      <c r="M1394" s="1"/>
      <c r="N1394" s="1"/>
    </row>
    <row r="1395" ht="15.75" customHeight="1">
      <c r="A1395" t="s">
        <v>25</v>
      </c>
      <c r="B1395" t="s">
        <v>37</v>
      </c>
      <c r="C1395" t="s">
        <v>4909</v>
      </c>
      <c r="D1395" t="s">
        <v>1470</v>
      </c>
      <c r="E1395">
        <v>64067.8941909571</v>
      </c>
      <c r="F1395">
        <v>20741.9570808796</v>
      </c>
      <c r="G1395">
        <v>11407.101307125</v>
      </c>
      <c r="H1395">
        <v>11880.3955474736</v>
      </c>
      <c r="I1395">
        <v>96216.95</v>
      </c>
      <c r="J1395">
        <v>84336.55</v>
      </c>
      <c r="K1395" s="1"/>
      <c r="L1395" s="1"/>
      <c r="M1395" s="1"/>
      <c r="N1395" s="1"/>
    </row>
    <row r="1396" ht="15.75" customHeight="1">
      <c r="A1396" t="s">
        <v>53</v>
      </c>
      <c r="B1396" t="s">
        <v>33</v>
      </c>
      <c r="C1396" t="s">
        <v>4912</v>
      </c>
      <c r="D1396" t="s">
        <v>1471</v>
      </c>
      <c r="E1396">
        <v>64078.7771608633</v>
      </c>
      <c r="F1396">
        <v>20746.571799207</v>
      </c>
      <c r="G1396">
        <v>11414.7813105545</v>
      </c>
      <c r="H1396">
        <v>11883.7930981608</v>
      </c>
      <c r="I1396">
        <v>96240.13</v>
      </c>
      <c r="J1396">
        <v>84356.34</v>
      </c>
      <c r="K1396" s="1"/>
      <c r="L1396" s="1"/>
      <c r="M1396" s="1"/>
      <c r="N1396" s="1"/>
    </row>
    <row r="1397" ht="15.75" customHeight="1">
      <c r="A1397" t="s">
        <v>36</v>
      </c>
      <c r="B1397" t="s">
        <v>54</v>
      </c>
      <c r="C1397" t="s">
        <v>4910</v>
      </c>
      <c r="D1397" t="s">
        <v>1472</v>
      </c>
      <c r="E1397">
        <v>64089.6601307695</v>
      </c>
      <c r="F1397">
        <v>20751.1865175344</v>
      </c>
      <c r="G1397">
        <v>11422.461313984</v>
      </c>
      <c r="H1397">
        <v>11887.1906488481</v>
      </c>
      <c r="I1397">
        <v>96263.31</v>
      </c>
      <c r="J1397">
        <v>84376.12</v>
      </c>
      <c r="K1397" s="1"/>
      <c r="L1397" s="1"/>
      <c r="M1397" s="1"/>
      <c r="N1397" s="1"/>
    </row>
    <row r="1398" ht="15.75" customHeight="1">
      <c r="A1398" t="s">
        <v>53</v>
      </c>
      <c r="B1398" t="s">
        <v>14</v>
      </c>
      <c r="C1398" t="s">
        <v>4915</v>
      </c>
      <c r="D1398" t="s">
        <v>1473</v>
      </c>
      <c r="E1398">
        <v>64100.5431006757</v>
      </c>
      <c r="F1398">
        <v>20755.8012358618</v>
      </c>
      <c r="G1398">
        <v>11430.1413174135</v>
      </c>
      <c r="H1398">
        <v>11890.5881995354</v>
      </c>
      <c r="I1398">
        <v>96286.49</v>
      </c>
      <c r="J1398">
        <v>84395.9</v>
      </c>
      <c r="K1398" s="1"/>
      <c r="L1398" s="1"/>
      <c r="M1398" s="1"/>
      <c r="N1398" s="1"/>
    </row>
    <row r="1399" ht="15.75" customHeight="1">
      <c r="A1399" t="s">
        <v>17</v>
      </c>
      <c r="B1399" t="s">
        <v>18</v>
      </c>
      <c r="C1399" t="s">
        <v>4907</v>
      </c>
      <c r="D1399" t="s">
        <v>1474</v>
      </c>
      <c r="E1399">
        <v>64111.4260705819</v>
      </c>
      <c r="F1399">
        <v>20760.4159541893</v>
      </c>
      <c r="G1399">
        <v>11437.821320843</v>
      </c>
      <c r="H1399">
        <v>11893.9857502227</v>
      </c>
      <c r="I1399">
        <v>96309.66</v>
      </c>
      <c r="J1399">
        <v>84415.67</v>
      </c>
      <c r="K1399" s="1"/>
      <c r="L1399" s="1"/>
      <c r="M1399" s="1"/>
      <c r="N1399" s="1"/>
    </row>
    <row r="1400" ht="15.75" customHeight="1">
      <c r="A1400" t="s">
        <v>36</v>
      </c>
      <c r="B1400" t="s">
        <v>54</v>
      </c>
      <c r="C1400" t="s">
        <v>4915</v>
      </c>
      <c r="D1400" t="s">
        <v>1475</v>
      </c>
      <c r="E1400">
        <v>64122.3090404881</v>
      </c>
      <c r="F1400">
        <v>20765.0306725167</v>
      </c>
      <c r="G1400">
        <v>11445.5013242725</v>
      </c>
      <c r="H1400">
        <v>14194.35617001081</v>
      </c>
      <c r="I1400">
        <v>96332.84</v>
      </c>
      <c r="J1400">
        <v>82138.48</v>
      </c>
      <c r="K1400" s="1"/>
      <c r="L1400" s="1"/>
      <c r="M1400" s="1"/>
      <c r="N1400" s="1"/>
    </row>
    <row r="1401" ht="15.75" customHeight="1">
      <c r="A1401" t="s">
        <v>36</v>
      </c>
      <c r="B1401" t="s">
        <v>26</v>
      </c>
      <c r="C1401" t="s">
        <v>4905</v>
      </c>
      <c r="D1401" t="s">
        <v>1476</v>
      </c>
      <c r="E1401">
        <v>64133.1920103943</v>
      </c>
      <c r="F1401">
        <v>20769.6453908441</v>
      </c>
      <c r="G1401">
        <v>11453.181327702</v>
      </c>
      <c r="H1401">
        <v>11900.7808515973</v>
      </c>
      <c r="I1401">
        <v>96356.02</v>
      </c>
      <c r="J1401">
        <v>84455.24</v>
      </c>
      <c r="K1401" s="1"/>
      <c r="L1401" s="1"/>
      <c r="M1401" s="1"/>
      <c r="N1401" s="1"/>
    </row>
    <row r="1402" ht="15.75" customHeight="1">
      <c r="A1402" t="s">
        <v>51</v>
      </c>
      <c r="B1402" t="s">
        <v>14</v>
      </c>
      <c r="C1402" t="s">
        <v>4914</v>
      </c>
      <c r="D1402" t="s">
        <v>1477</v>
      </c>
      <c r="E1402">
        <v>64144.0749803005</v>
      </c>
      <c r="F1402">
        <v>20774.2601091715</v>
      </c>
      <c r="G1402">
        <v>11460.8613311315</v>
      </c>
      <c r="H1402">
        <v>11904.1784022846</v>
      </c>
      <c r="I1402">
        <v>96379.2</v>
      </c>
      <c r="J1402">
        <v>84475.02</v>
      </c>
      <c r="K1402" s="1"/>
      <c r="L1402" s="1"/>
      <c r="M1402" s="1"/>
      <c r="N1402" s="1"/>
    </row>
    <row r="1403" ht="15.75" customHeight="1">
      <c r="A1403" t="s">
        <v>17</v>
      </c>
      <c r="B1403" t="s">
        <v>37</v>
      </c>
      <c r="C1403" t="s">
        <v>4913</v>
      </c>
      <c r="D1403" t="s">
        <v>1478</v>
      </c>
      <c r="E1403">
        <v>64154.9579502067</v>
      </c>
      <c r="F1403">
        <v>20778.874827499</v>
      </c>
      <c r="G1403">
        <v>11468.541334561</v>
      </c>
      <c r="H1403">
        <v>11907.5759529719</v>
      </c>
      <c r="I1403">
        <v>96402.37</v>
      </c>
      <c r="J1403">
        <v>84494.79</v>
      </c>
      <c r="K1403" s="1"/>
      <c r="L1403" s="1"/>
      <c r="M1403" s="1"/>
      <c r="N1403" s="1"/>
    </row>
    <row r="1404" ht="15.75" customHeight="1">
      <c r="A1404" t="s">
        <v>53</v>
      </c>
      <c r="B1404" t="s">
        <v>37</v>
      </c>
      <c r="C1404" t="s">
        <v>4917</v>
      </c>
      <c r="D1404" t="s">
        <v>1479</v>
      </c>
      <c r="E1404">
        <v>64165.8409201129</v>
      </c>
      <c r="F1404">
        <v>20783.4895458264</v>
      </c>
      <c r="G1404">
        <v>11476.2213379905</v>
      </c>
      <c r="H1404">
        <v>11910.9735036591</v>
      </c>
      <c r="I1404">
        <v>96425.55</v>
      </c>
      <c r="J1404">
        <v>84514.58</v>
      </c>
      <c r="K1404" s="1"/>
      <c r="L1404" s="1"/>
      <c r="M1404" s="1"/>
      <c r="N1404" s="1"/>
    </row>
    <row r="1405" ht="15.75" customHeight="1">
      <c r="A1405" t="s">
        <v>36</v>
      </c>
      <c r="B1405" t="s">
        <v>26</v>
      </c>
      <c r="C1405" t="s">
        <v>4910</v>
      </c>
      <c r="D1405" t="s">
        <v>1480</v>
      </c>
      <c r="E1405">
        <v>64176.7238900191</v>
      </c>
      <c r="F1405">
        <v>20788.1042641538</v>
      </c>
      <c r="G1405">
        <v>11483.90134142</v>
      </c>
      <c r="H1405">
        <v>11914.3710543464</v>
      </c>
      <c r="I1405">
        <v>96448.73</v>
      </c>
      <c r="J1405">
        <v>84534.36</v>
      </c>
      <c r="K1405" s="1"/>
      <c r="L1405" s="1"/>
      <c r="M1405" s="1"/>
      <c r="N1405" s="1"/>
    </row>
    <row r="1406" ht="15.75" customHeight="1">
      <c r="A1406" t="s">
        <v>29</v>
      </c>
      <c r="B1406" t="s">
        <v>14</v>
      </c>
      <c r="C1406" t="s">
        <v>4912</v>
      </c>
      <c r="D1406" t="s">
        <v>1481</v>
      </c>
      <c r="E1406">
        <v>64187.6068599253</v>
      </c>
      <c r="F1406">
        <v>20792.7189824812</v>
      </c>
      <c r="G1406">
        <v>11491.5813448495</v>
      </c>
      <c r="H1406">
        <v>11917.7686050337</v>
      </c>
      <c r="I1406">
        <v>96471.91</v>
      </c>
      <c r="J1406">
        <v>84554.14</v>
      </c>
      <c r="K1406" s="1"/>
      <c r="L1406" s="1"/>
      <c r="M1406" s="1"/>
      <c r="N1406" s="1"/>
    </row>
    <row r="1407" ht="15.75" customHeight="1">
      <c r="A1407" t="s">
        <v>13</v>
      </c>
      <c r="B1407" t="s">
        <v>26</v>
      </c>
      <c r="C1407" t="s">
        <v>4917</v>
      </c>
      <c r="D1407" t="s">
        <v>1482</v>
      </c>
      <c r="E1407">
        <v>64198.4898298315</v>
      </c>
      <c r="F1407">
        <v>20797.3337008086</v>
      </c>
      <c r="G1407">
        <v>11499.261348279</v>
      </c>
      <c r="H1407">
        <v>11921.166155721</v>
      </c>
      <c r="I1407">
        <v>96495.08</v>
      </c>
      <c r="J1407">
        <v>84573.91</v>
      </c>
      <c r="K1407" s="1"/>
      <c r="L1407" s="1"/>
      <c r="M1407" s="1"/>
      <c r="N1407" s="1"/>
    </row>
    <row r="1408" ht="15.75" customHeight="1">
      <c r="A1408" t="s">
        <v>17</v>
      </c>
      <c r="B1408" t="s">
        <v>37</v>
      </c>
      <c r="C1408" t="s">
        <v>4910</v>
      </c>
      <c r="D1408" t="s">
        <v>1483</v>
      </c>
      <c r="E1408">
        <v>64209.3727997377</v>
      </c>
      <c r="F1408">
        <v>20801.9484191361</v>
      </c>
      <c r="G1408">
        <v>11506.9413517085</v>
      </c>
      <c r="H1408">
        <v>11924.5637064083</v>
      </c>
      <c r="I1408">
        <v>96518.26</v>
      </c>
      <c r="J1408">
        <v>84593.7</v>
      </c>
      <c r="K1408" s="1"/>
      <c r="L1408" s="1"/>
      <c r="M1408" s="1"/>
      <c r="N1408" s="1"/>
    </row>
    <row r="1409" ht="15.75" customHeight="1">
      <c r="A1409" t="s">
        <v>13</v>
      </c>
      <c r="B1409" t="s">
        <v>18</v>
      </c>
      <c r="C1409" t="s">
        <v>4905</v>
      </c>
      <c r="D1409" t="s">
        <v>1484</v>
      </c>
      <c r="E1409">
        <v>64220.2557696439</v>
      </c>
      <c r="F1409">
        <v>20806.5631374635</v>
      </c>
      <c r="G1409">
        <v>11514.621355138</v>
      </c>
      <c r="H1409">
        <v>11927.9612570956</v>
      </c>
      <c r="I1409">
        <v>96541.44</v>
      </c>
      <c r="J1409">
        <v>84613.48</v>
      </c>
      <c r="K1409" s="1"/>
      <c r="L1409" s="1"/>
      <c r="M1409" s="1"/>
      <c r="N1409" s="1"/>
    </row>
    <row r="1410" ht="15.75" customHeight="1">
      <c r="A1410" t="s">
        <v>53</v>
      </c>
      <c r="B1410" t="s">
        <v>54</v>
      </c>
      <c r="C1410" t="s">
        <v>4917</v>
      </c>
      <c r="D1410" t="s">
        <v>1485</v>
      </c>
      <c r="E1410">
        <v>64231.13873955</v>
      </c>
      <c r="F1410">
        <v>20811.1778557909</v>
      </c>
      <c r="G1410">
        <v>11522.3013585675</v>
      </c>
      <c r="H1410">
        <v>11931.3588077829</v>
      </c>
      <c r="I1410">
        <v>96564.62</v>
      </c>
      <c r="J1410">
        <v>84633.26</v>
      </c>
      <c r="K1410" s="1"/>
      <c r="L1410" s="1"/>
      <c r="M1410" s="1"/>
      <c r="N1410" s="1"/>
    </row>
    <row r="1411" ht="15.75" customHeight="1">
      <c r="A1411" t="s">
        <v>25</v>
      </c>
      <c r="B1411" t="s">
        <v>18</v>
      </c>
      <c r="C1411" t="s">
        <v>4908</v>
      </c>
      <c r="D1411" t="s">
        <v>1486</v>
      </c>
      <c r="E1411">
        <v>64242.0217094562</v>
      </c>
      <c r="F1411">
        <v>20815.7925741183</v>
      </c>
      <c r="G1411">
        <v>11529.981361997</v>
      </c>
      <c r="H1411">
        <v>11934.7563584701</v>
      </c>
      <c r="I1411">
        <v>96587.8</v>
      </c>
      <c r="J1411">
        <v>84653.04</v>
      </c>
      <c r="K1411" s="1"/>
      <c r="L1411" s="1"/>
      <c r="M1411" s="1"/>
      <c r="N1411" s="1"/>
    </row>
    <row r="1412" ht="15.75" customHeight="1">
      <c r="A1412" t="s">
        <v>36</v>
      </c>
      <c r="B1412" t="s">
        <v>37</v>
      </c>
      <c r="C1412" t="s">
        <v>4909</v>
      </c>
      <c r="D1412" t="s">
        <v>1487</v>
      </c>
      <c r="E1412">
        <v>64252.9046793624</v>
      </c>
      <c r="F1412">
        <v>20820.4072924458</v>
      </c>
      <c r="G1412">
        <v>11537.6613654265</v>
      </c>
      <c r="H1412">
        <v>11938.1539091574</v>
      </c>
      <c r="I1412">
        <v>96610.97</v>
      </c>
      <c r="J1412">
        <v>84672.82</v>
      </c>
      <c r="K1412" s="1"/>
      <c r="L1412" s="1"/>
      <c r="M1412" s="1"/>
      <c r="N1412" s="1"/>
    </row>
    <row r="1413" ht="15.75" customHeight="1">
      <c r="A1413" t="s">
        <v>29</v>
      </c>
      <c r="B1413" t="s">
        <v>26</v>
      </c>
      <c r="C1413" t="s">
        <v>4905</v>
      </c>
      <c r="D1413" t="s">
        <v>1488</v>
      </c>
      <c r="E1413">
        <v>64263.7876492686</v>
      </c>
      <c r="F1413">
        <v>20825.0220107732</v>
      </c>
      <c r="G1413">
        <v>11545.341368856</v>
      </c>
      <c r="H1413">
        <v>11941.5514598447</v>
      </c>
      <c r="I1413">
        <v>96634.15</v>
      </c>
      <c r="J1413">
        <v>84692.6</v>
      </c>
      <c r="K1413" s="1"/>
      <c r="L1413" s="1"/>
      <c r="M1413" s="1"/>
      <c r="N1413" s="1"/>
    </row>
    <row r="1414" ht="15.75" customHeight="1">
      <c r="A1414" t="s">
        <v>29</v>
      </c>
      <c r="B1414" t="s">
        <v>26</v>
      </c>
      <c r="C1414" t="s">
        <v>4916</v>
      </c>
      <c r="D1414" t="s">
        <v>1489</v>
      </c>
      <c r="E1414">
        <v>64274.6706191748</v>
      </c>
      <c r="F1414">
        <v>20829.6367291006</v>
      </c>
      <c r="G1414">
        <v>11553.0213722855</v>
      </c>
      <c r="H1414">
        <v>11944.949010532</v>
      </c>
      <c r="I1414">
        <v>96657.33</v>
      </c>
      <c r="J1414">
        <v>84712.38</v>
      </c>
      <c r="K1414" s="1"/>
      <c r="L1414" s="1"/>
      <c r="M1414" s="1"/>
      <c r="N1414" s="1"/>
    </row>
    <row r="1415" ht="15.75" customHeight="1">
      <c r="A1415" t="s">
        <v>53</v>
      </c>
      <c r="B1415" t="s">
        <v>14</v>
      </c>
      <c r="C1415" t="s">
        <v>4911</v>
      </c>
      <c r="D1415" t="s">
        <v>1490</v>
      </c>
      <c r="E1415">
        <v>64285.553589081</v>
      </c>
      <c r="F1415">
        <v>20834.251447428</v>
      </c>
      <c r="G1415">
        <v>11560.7013757149</v>
      </c>
      <c r="H1415">
        <v>11948.3465612193</v>
      </c>
      <c r="I1415">
        <v>96680.51</v>
      </c>
      <c r="J1415">
        <v>84732.16</v>
      </c>
      <c r="K1415" s="1"/>
      <c r="L1415" s="1"/>
      <c r="M1415" s="1"/>
      <c r="N1415" s="1"/>
    </row>
    <row r="1416" ht="15.75" customHeight="1">
      <c r="A1416" t="s">
        <v>13</v>
      </c>
      <c r="B1416" t="s">
        <v>54</v>
      </c>
      <c r="C1416" t="s">
        <v>4908</v>
      </c>
      <c r="D1416" t="s">
        <v>1491</v>
      </c>
      <c r="E1416">
        <v>64307.3195288934</v>
      </c>
      <c r="F1416">
        <v>20843.4808840829</v>
      </c>
      <c r="G1416">
        <v>11576.0613825739</v>
      </c>
      <c r="H1416">
        <v>11955.1416625939</v>
      </c>
      <c r="I1416">
        <v>96726.86</v>
      </c>
      <c r="J1416">
        <v>84771.72</v>
      </c>
      <c r="K1416" s="1"/>
      <c r="L1416" s="1"/>
      <c r="M1416" s="1"/>
      <c r="N1416" s="1"/>
    </row>
    <row r="1417" ht="15.75" customHeight="1">
      <c r="A1417" t="s">
        <v>53</v>
      </c>
      <c r="B1417" t="s">
        <v>33</v>
      </c>
      <c r="C1417" t="s">
        <v>4917</v>
      </c>
      <c r="D1417" t="s">
        <v>1492</v>
      </c>
      <c r="E1417">
        <v>64318.2024987996</v>
      </c>
      <c r="F1417">
        <v>20848.0956024103</v>
      </c>
      <c r="G1417">
        <v>11583.7413860034</v>
      </c>
      <c r="H1417">
        <v>11958.5392132812</v>
      </c>
      <c r="I1417">
        <v>96750.04</v>
      </c>
      <c r="J1417">
        <v>84791.5</v>
      </c>
      <c r="K1417" s="1"/>
      <c r="L1417" s="1"/>
      <c r="M1417" s="1"/>
      <c r="N1417" s="1"/>
    </row>
    <row r="1418" ht="15.75" customHeight="1">
      <c r="A1418" t="s">
        <v>29</v>
      </c>
      <c r="B1418" t="s">
        <v>26</v>
      </c>
      <c r="C1418" t="s">
        <v>4915</v>
      </c>
      <c r="D1418" t="s">
        <v>1493</v>
      </c>
      <c r="E1418">
        <v>64329.0854687058</v>
      </c>
      <c r="F1418">
        <v>20852.7103207377</v>
      </c>
      <c r="G1418">
        <v>11591.4213894329</v>
      </c>
      <c r="H1418">
        <v>11961.9367639684</v>
      </c>
      <c r="I1418">
        <v>96773.22</v>
      </c>
      <c r="J1418">
        <v>84811.28</v>
      </c>
      <c r="K1418" s="1"/>
      <c r="L1418" s="1"/>
      <c r="M1418" s="1"/>
      <c r="N1418" s="1"/>
    </row>
    <row r="1419" ht="15.75" customHeight="1">
      <c r="A1419" t="s">
        <v>36</v>
      </c>
      <c r="B1419" t="s">
        <v>30</v>
      </c>
      <c r="C1419" t="s">
        <v>4905</v>
      </c>
      <c r="D1419" t="s">
        <v>1494</v>
      </c>
      <c r="E1419">
        <v>64350.8514085182</v>
      </c>
      <c r="F1419">
        <v>20861.9397573926</v>
      </c>
      <c r="G1419">
        <v>11606.7813962919</v>
      </c>
      <c r="H1419">
        <v>11968.731865343</v>
      </c>
      <c r="I1419">
        <v>96819.57</v>
      </c>
      <c r="J1419">
        <v>84850.84</v>
      </c>
      <c r="K1419" s="1"/>
      <c r="L1419" s="1"/>
      <c r="M1419" s="1"/>
      <c r="N1419" s="1"/>
    </row>
    <row r="1420" ht="15.75" customHeight="1">
      <c r="A1420" t="s">
        <v>17</v>
      </c>
      <c r="B1420" t="s">
        <v>18</v>
      </c>
      <c r="C1420" t="s">
        <v>4910</v>
      </c>
      <c r="D1420" t="s">
        <v>1495</v>
      </c>
      <c r="E1420">
        <v>64361.7343784244</v>
      </c>
      <c r="F1420">
        <v>20866.55447572</v>
      </c>
      <c r="G1420">
        <v>11614.4613997214</v>
      </c>
      <c r="H1420">
        <v>11972.1294160303</v>
      </c>
      <c r="I1420">
        <v>96842.75</v>
      </c>
      <c r="J1420">
        <v>84870.62</v>
      </c>
      <c r="K1420" s="1"/>
      <c r="L1420" s="1"/>
      <c r="M1420" s="1"/>
      <c r="N1420" s="1"/>
    </row>
    <row r="1421" ht="15.75" customHeight="1">
      <c r="A1421" t="s">
        <v>25</v>
      </c>
      <c r="B1421" t="s">
        <v>37</v>
      </c>
      <c r="C1421" t="s">
        <v>4908</v>
      </c>
      <c r="D1421" t="s">
        <v>1496</v>
      </c>
      <c r="E1421">
        <v>64372.6173483306</v>
      </c>
      <c r="F1421">
        <v>20871.1691940474</v>
      </c>
      <c r="G1421">
        <v>11622.1414031509</v>
      </c>
      <c r="H1421">
        <v>11975.5269667176</v>
      </c>
      <c r="I1421">
        <v>96865.93</v>
      </c>
      <c r="J1421">
        <v>84890.4</v>
      </c>
      <c r="K1421" s="1"/>
      <c r="L1421" s="1"/>
      <c r="M1421" s="1"/>
      <c r="N1421" s="1"/>
    </row>
    <row r="1422" ht="15.75" customHeight="1">
      <c r="A1422" t="s">
        <v>36</v>
      </c>
      <c r="B1422" t="s">
        <v>37</v>
      </c>
      <c r="C1422" t="s">
        <v>4913</v>
      </c>
      <c r="D1422" t="s">
        <v>1497</v>
      </c>
      <c r="E1422">
        <v>64383.5003182368</v>
      </c>
      <c r="F1422">
        <v>20875.7839123748</v>
      </c>
      <c r="G1422">
        <v>11629.8214065804</v>
      </c>
      <c r="H1422">
        <v>11978.9245174049</v>
      </c>
      <c r="I1422">
        <v>96889.11</v>
      </c>
      <c r="J1422">
        <v>84910.19</v>
      </c>
      <c r="K1422" s="1"/>
      <c r="L1422" s="1"/>
      <c r="M1422" s="1"/>
      <c r="N1422" s="1"/>
    </row>
    <row r="1423" ht="15.75" customHeight="1">
      <c r="A1423" t="s">
        <v>25</v>
      </c>
      <c r="B1423" t="s">
        <v>54</v>
      </c>
      <c r="C1423" t="s">
        <v>4907</v>
      </c>
      <c r="D1423" t="s">
        <v>1498</v>
      </c>
      <c r="E1423">
        <v>64394.3832881429</v>
      </c>
      <c r="F1423">
        <v>20880.3986307022</v>
      </c>
      <c r="G1423">
        <v>11637.5014100099</v>
      </c>
      <c r="H1423">
        <v>14634.43925924574</v>
      </c>
      <c r="I1423">
        <v>96912.28</v>
      </c>
      <c r="J1423">
        <v>82277.84</v>
      </c>
      <c r="K1423" s="1"/>
      <c r="L1423" s="1"/>
      <c r="M1423" s="1"/>
      <c r="N1423" s="1"/>
    </row>
    <row r="1424" ht="15.75" customHeight="1">
      <c r="A1424" t="s">
        <v>53</v>
      </c>
      <c r="B1424" t="s">
        <v>33</v>
      </c>
      <c r="C1424" t="s">
        <v>4911</v>
      </c>
      <c r="D1424" t="s">
        <v>1499</v>
      </c>
      <c r="E1424">
        <v>64405.2662580491</v>
      </c>
      <c r="F1424">
        <v>20885.0133490297</v>
      </c>
      <c r="G1424">
        <v>11645.1814134394</v>
      </c>
      <c r="H1424">
        <v>11985.7196187795</v>
      </c>
      <c r="I1424">
        <v>96935.46</v>
      </c>
      <c r="J1424">
        <v>84949.74</v>
      </c>
      <c r="K1424" s="1"/>
      <c r="L1424" s="1"/>
      <c r="M1424" s="1"/>
      <c r="N1424" s="1"/>
    </row>
    <row r="1425" ht="15.75" customHeight="1">
      <c r="A1425" t="s">
        <v>29</v>
      </c>
      <c r="B1425" t="s">
        <v>14</v>
      </c>
      <c r="C1425" t="s">
        <v>4905</v>
      </c>
      <c r="D1425" t="s">
        <v>1500</v>
      </c>
      <c r="E1425">
        <v>64416.1492279553</v>
      </c>
      <c r="F1425">
        <v>20889.6280673571</v>
      </c>
      <c r="G1425">
        <v>11652.8614168689</v>
      </c>
      <c r="H1425">
        <v>11989.1171694667</v>
      </c>
      <c r="I1425">
        <v>96958.64</v>
      </c>
      <c r="J1425">
        <v>84969.52</v>
      </c>
      <c r="K1425" s="1"/>
      <c r="L1425" s="1"/>
      <c r="M1425" s="1"/>
      <c r="N1425" s="1"/>
    </row>
    <row r="1426" ht="15.75" customHeight="1">
      <c r="A1426" t="s">
        <v>17</v>
      </c>
      <c r="B1426" t="s">
        <v>33</v>
      </c>
      <c r="C1426" t="s">
        <v>4908</v>
      </c>
      <c r="D1426" t="s">
        <v>1501</v>
      </c>
      <c r="E1426">
        <v>64427.0321978615</v>
      </c>
      <c r="F1426">
        <v>20894.2427856845</v>
      </c>
      <c r="G1426">
        <v>11660.5414202984</v>
      </c>
      <c r="H1426">
        <v>11992.514720154</v>
      </c>
      <c r="I1426">
        <v>96981.82</v>
      </c>
      <c r="J1426">
        <v>84989.31</v>
      </c>
      <c r="K1426" s="1"/>
      <c r="L1426" s="1"/>
      <c r="M1426" s="1"/>
      <c r="N1426" s="1"/>
    </row>
    <row r="1427" ht="15.75" customHeight="1">
      <c r="A1427" t="s">
        <v>36</v>
      </c>
      <c r="B1427" t="s">
        <v>54</v>
      </c>
      <c r="C1427" t="s">
        <v>4909</v>
      </c>
      <c r="D1427" t="s">
        <v>1502</v>
      </c>
      <c r="E1427">
        <v>64437.9151677677</v>
      </c>
      <c r="F1427">
        <v>20898.8575040119</v>
      </c>
      <c r="G1427">
        <v>11668.2214237279</v>
      </c>
      <c r="H1427">
        <v>11995.9122708413</v>
      </c>
      <c r="I1427">
        <v>97004.99</v>
      </c>
      <c r="J1427">
        <v>85009.08</v>
      </c>
      <c r="K1427" s="1"/>
      <c r="L1427" s="1"/>
      <c r="M1427" s="1"/>
      <c r="N1427" s="1"/>
    </row>
    <row r="1428" ht="15.75" customHeight="1">
      <c r="A1428" t="s">
        <v>25</v>
      </c>
      <c r="B1428" t="s">
        <v>30</v>
      </c>
      <c r="C1428" t="s">
        <v>4917</v>
      </c>
      <c r="D1428" t="s">
        <v>1503</v>
      </c>
      <c r="E1428">
        <v>64448.7981376739</v>
      </c>
      <c r="F1428">
        <v>20903.4722223394</v>
      </c>
      <c r="G1428">
        <v>11675.9014271574</v>
      </c>
      <c r="H1428">
        <v>11999.3098215286</v>
      </c>
      <c r="I1428">
        <v>97028.17</v>
      </c>
      <c r="J1428">
        <v>85028.86</v>
      </c>
      <c r="K1428" s="1"/>
      <c r="L1428" s="1"/>
      <c r="M1428" s="1"/>
      <c r="N1428" s="1"/>
    </row>
    <row r="1429" ht="15.75" customHeight="1">
      <c r="A1429" t="s">
        <v>25</v>
      </c>
      <c r="B1429" t="s">
        <v>33</v>
      </c>
      <c r="C1429" t="s">
        <v>4916</v>
      </c>
      <c r="D1429" t="s">
        <v>1504</v>
      </c>
      <c r="E1429">
        <v>64459.6811075801</v>
      </c>
      <c r="F1429">
        <v>20908.0869406668</v>
      </c>
      <c r="G1429">
        <v>11683.5814305869</v>
      </c>
      <c r="H1429">
        <v>12002.7073722159</v>
      </c>
      <c r="I1429">
        <v>97051.35</v>
      </c>
      <c r="J1429">
        <v>85048.64</v>
      </c>
      <c r="K1429" s="1"/>
      <c r="L1429" s="1"/>
      <c r="M1429" s="1"/>
      <c r="N1429" s="1"/>
    </row>
    <row r="1430" ht="15.75" customHeight="1">
      <c r="A1430" t="s">
        <v>25</v>
      </c>
      <c r="B1430" t="s">
        <v>37</v>
      </c>
      <c r="C1430" t="s">
        <v>4910</v>
      </c>
      <c r="D1430" t="s">
        <v>1505</v>
      </c>
      <c r="E1430">
        <v>64470.5640774863</v>
      </c>
      <c r="F1430">
        <v>20912.7016589942</v>
      </c>
      <c r="G1430">
        <v>11691.2614340164</v>
      </c>
      <c r="H1430">
        <v>12006.1049229032</v>
      </c>
      <c r="I1430">
        <v>97074.53</v>
      </c>
      <c r="J1430">
        <v>85068.43</v>
      </c>
      <c r="K1430" s="1"/>
      <c r="L1430" s="1"/>
      <c r="M1430" s="1"/>
      <c r="N1430" s="1"/>
    </row>
    <row r="1431" ht="15.75" customHeight="1">
      <c r="A1431" t="s">
        <v>53</v>
      </c>
      <c r="B1431" t="s">
        <v>14</v>
      </c>
      <c r="C1431" t="s">
        <v>4917</v>
      </c>
      <c r="D1431" t="s">
        <v>1506</v>
      </c>
      <c r="E1431">
        <v>64481.4470473925</v>
      </c>
      <c r="F1431">
        <v>20917.3163773216</v>
      </c>
      <c r="G1431">
        <v>11698.9414374459</v>
      </c>
      <c r="H1431">
        <v>12009.5024735905</v>
      </c>
      <c r="I1431">
        <v>97097.7</v>
      </c>
      <c r="J1431">
        <v>85088.2</v>
      </c>
      <c r="K1431" s="1"/>
      <c r="L1431" s="1"/>
      <c r="M1431" s="1"/>
      <c r="N1431" s="1"/>
    </row>
    <row r="1432" ht="15.75" customHeight="1">
      <c r="A1432" t="s">
        <v>36</v>
      </c>
      <c r="B1432" t="s">
        <v>14</v>
      </c>
      <c r="C1432" t="s">
        <v>4915</v>
      </c>
      <c r="D1432" t="s">
        <v>1507</v>
      </c>
      <c r="E1432">
        <v>64492.3300172987</v>
      </c>
      <c r="F1432">
        <v>20921.931095649</v>
      </c>
      <c r="G1432">
        <v>11706.6214408754</v>
      </c>
      <c r="H1432">
        <v>12012.9000242777</v>
      </c>
      <c r="I1432">
        <v>97120.88</v>
      </c>
      <c r="J1432">
        <v>85107.98</v>
      </c>
      <c r="K1432" s="1"/>
      <c r="L1432" s="1"/>
      <c r="M1432" s="1"/>
      <c r="N1432" s="1"/>
    </row>
    <row r="1433" ht="15.75" customHeight="1">
      <c r="A1433" t="s">
        <v>13</v>
      </c>
      <c r="B1433" t="s">
        <v>14</v>
      </c>
      <c r="C1433" t="s">
        <v>4914</v>
      </c>
      <c r="D1433" t="s">
        <v>1508</v>
      </c>
      <c r="E1433">
        <v>64503.2129872049</v>
      </c>
      <c r="F1433">
        <v>20926.5458139765</v>
      </c>
      <c r="G1433">
        <v>11714.3014443049</v>
      </c>
      <c r="H1433">
        <v>12016.297574965</v>
      </c>
      <c r="I1433">
        <v>97144.06</v>
      </c>
      <c r="J1433">
        <v>85127.76</v>
      </c>
      <c r="K1433" s="1"/>
      <c r="L1433" s="1"/>
      <c r="M1433" s="1"/>
      <c r="N1433" s="1"/>
    </row>
    <row r="1434" ht="15.75" customHeight="1">
      <c r="A1434" t="s">
        <v>53</v>
      </c>
      <c r="B1434" t="s">
        <v>26</v>
      </c>
      <c r="C1434" t="s">
        <v>4912</v>
      </c>
      <c r="D1434" t="s">
        <v>1510</v>
      </c>
      <c r="E1434">
        <v>64514.0959571111</v>
      </c>
      <c r="F1434">
        <v>20931.1605323039</v>
      </c>
      <c r="G1434">
        <v>11721.9814477344</v>
      </c>
      <c r="H1434">
        <v>12019.6951256523</v>
      </c>
      <c r="I1434">
        <v>97167.24</v>
      </c>
      <c r="J1434">
        <v>85147.54</v>
      </c>
      <c r="K1434" s="1"/>
      <c r="L1434" s="1"/>
      <c r="M1434" s="1"/>
      <c r="N1434" s="1"/>
    </row>
    <row r="1435" ht="15.75" customHeight="1">
      <c r="A1435" t="s">
        <v>17</v>
      </c>
      <c r="B1435" t="s">
        <v>18</v>
      </c>
      <c r="C1435" t="s">
        <v>4916</v>
      </c>
      <c r="D1435" t="s">
        <v>1511</v>
      </c>
      <c r="E1435">
        <v>64524.9789270173</v>
      </c>
      <c r="F1435">
        <v>20935.7752506313</v>
      </c>
      <c r="G1435">
        <v>11729.6614511639</v>
      </c>
      <c r="H1435">
        <v>12023.0926763396</v>
      </c>
      <c r="I1435">
        <v>97190.42</v>
      </c>
      <c r="J1435">
        <v>85167.33</v>
      </c>
      <c r="K1435" s="1"/>
      <c r="L1435" s="1"/>
      <c r="M1435" s="1"/>
      <c r="N1435" s="1"/>
    </row>
    <row r="1436" ht="15.75" customHeight="1">
      <c r="A1436" t="s">
        <v>25</v>
      </c>
      <c r="B1436" t="s">
        <v>14</v>
      </c>
      <c r="C1436" t="s">
        <v>4917</v>
      </c>
      <c r="D1436" t="s">
        <v>1512</v>
      </c>
      <c r="E1436">
        <v>64535.8618969235</v>
      </c>
      <c r="F1436">
        <v>20940.3899689587</v>
      </c>
      <c r="G1436">
        <v>11737.3414545934</v>
      </c>
      <c r="H1436">
        <v>12026.4902270269</v>
      </c>
      <c r="I1436">
        <v>97213.59</v>
      </c>
      <c r="J1436">
        <v>85187.1</v>
      </c>
      <c r="K1436" s="1"/>
      <c r="L1436" s="1"/>
      <c r="M1436" s="1"/>
      <c r="N1436" s="1"/>
    </row>
    <row r="1437" ht="15.75" customHeight="1">
      <c r="A1437" t="s">
        <v>13</v>
      </c>
      <c r="B1437" t="s">
        <v>26</v>
      </c>
      <c r="C1437" t="s">
        <v>4917</v>
      </c>
      <c r="D1437" t="s">
        <v>1513</v>
      </c>
      <c r="E1437">
        <v>64546.7448668297</v>
      </c>
      <c r="F1437">
        <v>20945.0046872862</v>
      </c>
      <c r="G1437">
        <v>11745.0214580229</v>
      </c>
      <c r="H1437">
        <v>12029.8877777142</v>
      </c>
      <c r="I1437">
        <v>97236.77</v>
      </c>
      <c r="J1437">
        <v>85206.88</v>
      </c>
      <c r="K1437" s="1"/>
      <c r="L1437" s="1"/>
      <c r="M1437" s="1"/>
      <c r="N1437" s="1"/>
    </row>
    <row r="1438" ht="15.75" customHeight="1">
      <c r="A1438" t="s">
        <v>51</v>
      </c>
      <c r="B1438" t="s">
        <v>26</v>
      </c>
      <c r="C1438" t="s">
        <v>4907</v>
      </c>
      <c r="D1438" t="s">
        <v>1514</v>
      </c>
      <c r="E1438">
        <v>64557.6278367358</v>
      </c>
      <c r="F1438">
        <v>20949.6194056136</v>
      </c>
      <c r="G1438">
        <v>11752.7014614524</v>
      </c>
      <c r="H1438">
        <v>12033.2853284015</v>
      </c>
      <c r="I1438">
        <v>97259.95</v>
      </c>
      <c r="J1438">
        <v>85226.66</v>
      </c>
      <c r="K1438" s="1"/>
      <c r="L1438" s="1"/>
      <c r="M1438" s="1"/>
      <c r="N1438" s="1"/>
    </row>
    <row r="1439" ht="15.75" customHeight="1">
      <c r="A1439" t="s">
        <v>51</v>
      </c>
      <c r="B1439" t="s">
        <v>26</v>
      </c>
      <c r="C1439" t="s">
        <v>4910</v>
      </c>
      <c r="D1439" t="s">
        <v>1515</v>
      </c>
      <c r="E1439">
        <v>64568.510806642</v>
      </c>
      <c r="F1439">
        <v>20954.234123941</v>
      </c>
      <c r="G1439">
        <v>11760.3814648819</v>
      </c>
      <c r="H1439">
        <v>12036.6828790888</v>
      </c>
      <c r="I1439">
        <v>97283.13</v>
      </c>
      <c r="J1439">
        <v>85246.45</v>
      </c>
      <c r="K1439" s="1"/>
      <c r="L1439" s="1"/>
      <c r="M1439" s="1"/>
      <c r="N1439" s="1"/>
    </row>
    <row r="1440" ht="15.75" customHeight="1">
      <c r="A1440" t="s">
        <v>53</v>
      </c>
      <c r="B1440" t="s">
        <v>54</v>
      </c>
      <c r="C1440" t="s">
        <v>4912</v>
      </c>
      <c r="D1440" t="s">
        <v>1516</v>
      </c>
      <c r="E1440">
        <v>64590.2767464544</v>
      </c>
      <c r="F1440">
        <v>20963.4635605958</v>
      </c>
      <c r="G1440">
        <v>11775.7414717409</v>
      </c>
      <c r="H1440">
        <v>12043.4779804633</v>
      </c>
      <c r="I1440">
        <v>97329.48</v>
      </c>
      <c r="J1440">
        <v>85286.0</v>
      </c>
      <c r="K1440" s="1"/>
      <c r="L1440" s="1"/>
      <c r="M1440" s="1"/>
      <c r="N1440" s="1"/>
    </row>
    <row r="1441" ht="15.75" customHeight="1">
      <c r="A1441" t="s">
        <v>51</v>
      </c>
      <c r="B1441" t="s">
        <v>33</v>
      </c>
      <c r="C1441" t="s">
        <v>4914</v>
      </c>
      <c r="D1441" t="s">
        <v>1517</v>
      </c>
      <c r="E1441">
        <v>64601.1597163606</v>
      </c>
      <c r="F1441">
        <v>20968.0782789233</v>
      </c>
      <c r="G1441">
        <v>11783.4214751704</v>
      </c>
      <c r="H1441">
        <v>12046.8755311506</v>
      </c>
      <c r="I1441">
        <v>97352.66</v>
      </c>
      <c r="J1441">
        <v>85305.78</v>
      </c>
      <c r="K1441" s="1"/>
      <c r="L1441" s="1"/>
      <c r="M1441" s="1"/>
      <c r="N1441" s="1"/>
    </row>
    <row r="1442" ht="15.75" customHeight="1">
      <c r="A1442" t="s">
        <v>29</v>
      </c>
      <c r="B1442" t="s">
        <v>14</v>
      </c>
      <c r="C1442" t="s">
        <v>4915</v>
      </c>
      <c r="D1442" t="s">
        <v>1518</v>
      </c>
      <c r="E1442">
        <v>64612.0426862668</v>
      </c>
      <c r="F1442">
        <v>20972.6929972507</v>
      </c>
      <c r="G1442">
        <v>11791.1014785999</v>
      </c>
      <c r="H1442">
        <v>12050.2730818379</v>
      </c>
      <c r="I1442">
        <v>97375.84</v>
      </c>
      <c r="J1442">
        <v>85325.57</v>
      </c>
      <c r="K1442" s="1"/>
      <c r="L1442" s="1"/>
      <c r="M1442" s="1"/>
      <c r="N1442" s="1"/>
    </row>
    <row r="1443" ht="15.75" customHeight="1">
      <c r="A1443" t="s">
        <v>36</v>
      </c>
      <c r="B1443" t="s">
        <v>33</v>
      </c>
      <c r="C1443" t="s">
        <v>4911</v>
      </c>
      <c r="D1443" t="s">
        <v>1519</v>
      </c>
      <c r="E1443">
        <v>64622.925656173</v>
      </c>
      <c r="F1443">
        <v>20977.3077155781</v>
      </c>
      <c r="G1443">
        <v>11798.7814820294</v>
      </c>
      <c r="H1443">
        <v>12053.6706325252</v>
      </c>
      <c r="I1443">
        <v>97399.01</v>
      </c>
      <c r="J1443">
        <v>85345.34</v>
      </c>
      <c r="K1443" s="1"/>
      <c r="L1443" s="1"/>
      <c r="M1443" s="1"/>
      <c r="N1443" s="1"/>
    </row>
    <row r="1444" ht="15.75" customHeight="1">
      <c r="A1444" t="s">
        <v>29</v>
      </c>
      <c r="B1444" t="s">
        <v>26</v>
      </c>
      <c r="C1444" t="s">
        <v>4910</v>
      </c>
      <c r="D1444" t="s">
        <v>1520</v>
      </c>
      <c r="E1444">
        <v>64633.8086260792</v>
      </c>
      <c r="F1444">
        <v>20981.9224339055</v>
      </c>
      <c r="G1444">
        <v>11806.4614854589</v>
      </c>
      <c r="H1444">
        <v>12057.0681832125</v>
      </c>
      <c r="I1444">
        <v>97422.19</v>
      </c>
      <c r="J1444">
        <v>85365.12</v>
      </c>
      <c r="K1444" s="1"/>
      <c r="L1444" s="1"/>
      <c r="M1444" s="1"/>
      <c r="N1444" s="1"/>
    </row>
    <row r="1445" ht="15.75" customHeight="1">
      <c r="A1445" t="s">
        <v>53</v>
      </c>
      <c r="B1445" t="s">
        <v>33</v>
      </c>
      <c r="C1445" t="s">
        <v>4914</v>
      </c>
      <c r="D1445" t="s">
        <v>1521</v>
      </c>
      <c r="E1445">
        <v>64644.6915959854</v>
      </c>
      <c r="F1445">
        <v>20986.5371522329</v>
      </c>
      <c r="G1445">
        <v>11814.1414888884</v>
      </c>
      <c r="H1445">
        <v>12060.4657338998</v>
      </c>
      <c r="I1445">
        <v>97445.37</v>
      </c>
      <c r="J1445">
        <v>85384.9</v>
      </c>
      <c r="K1445" s="1"/>
      <c r="L1445" s="1"/>
      <c r="M1445" s="1"/>
      <c r="N1445" s="1"/>
    </row>
    <row r="1446" ht="15.75" customHeight="1">
      <c r="A1446" t="s">
        <v>36</v>
      </c>
      <c r="B1446" t="s">
        <v>37</v>
      </c>
      <c r="C1446" t="s">
        <v>4910</v>
      </c>
      <c r="D1446" t="s">
        <v>1522</v>
      </c>
      <c r="E1446">
        <v>64655.5745658916</v>
      </c>
      <c r="F1446">
        <v>20991.1518705604</v>
      </c>
      <c r="G1446">
        <v>11821.8214923179</v>
      </c>
      <c r="H1446">
        <v>12063.8632845871</v>
      </c>
      <c r="I1446">
        <v>97468.55</v>
      </c>
      <c r="J1446">
        <v>85404.69</v>
      </c>
      <c r="K1446" s="1"/>
      <c r="L1446" s="1"/>
      <c r="M1446" s="1"/>
      <c r="N1446" s="1"/>
    </row>
    <row r="1447" ht="15.75" customHeight="1">
      <c r="A1447" t="s">
        <v>17</v>
      </c>
      <c r="B1447" t="s">
        <v>18</v>
      </c>
      <c r="C1447" t="s">
        <v>4912</v>
      </c>
      <c r="D1447" t="s">
        <v>1523</v>
      </c>
      <c r="E1447">
        <v>64666.4575357978</v>
      </c>
      <c r="F1447">
        <v>20995.7665888878</v>
      </c>
      <c r="G1447">
        <v>11829.5014957474</v>
      </c>
      <c r="H1447">
        <v>12067.2608352743</v>
      </c>
      <c r="I1447">
        <v>97491.73</v>
      </c>
      <c r="J1447">
        <v>85424.47</v>
      </c>
      <c r="K1447" s="1"/>
      <c r="L1447" s="1"/>
      <c r="M1447" s="1"/>
      <c r="N1447" s="1"/>
    </row>
    <row r="1448" ht="15.75" customHeight="1">
      <c r="A1448" t="s">
        <v>13</v>
      </c>
      <c r="B1448" t="s">
        <v>26</v>
      </c>
      <c r="C1448" t="s">
        <v>4916</v>
      </c>
      <c r="D1448" t="s">
        <v>1524</v>
      </c>
      <c r="E1448">
        <v>64677.340505704</v>
      </c>
      <c r="F1448">
        <v>21000.3813072152</v>
      </c>
      <c r="G1448">
        <v>11837.1814991768</v>
      </c>
      <c r="H1448">
        <v>12070.6583859616</v>
      </c>
      <c r="I1448">
        <v>97514.9</v>
      </c>
      <c r="J1448">
        <v>85444.24</v>
      </c>
      <c r="K1448" s="1"/>
      <c r="L1448" s="1"/>
      <c r="M1448" s="1"/>
      <c r="N1448" s="1"/>
    </row>
    <row r="1449" ht="15.75" customHeight="1">
      <c r="A1449" t="s">
        <v>53</v>
      </c>
      <c r="B1449" t="s">
        <v>26</v>
      </c>
      <c r="C1449" t="s">
        <v>4917</v>
      </c>
      <c r="D1449" t="s">
        <v>1525</v>
      </c>
      <c r="E1449">
        <v>64688.2234756102</v>
      </c>
      <c r="F1449">
        <v>21004.9960255426</v>
      </c>
      <c r="G1449">
        <v>11844.8615026063</v>
      </c>
      <c r="H1449">
        <v>12074.0559366489</v>
      </c>
      <c r="I1449">
        <v>97538.08</v>
      </c>
      <c r="J1449">
        <v>85464.02</v>
      </c>
      <c r="K1449" s="1"/>
      <c r="L1449" s="1"/>
      <c r="M1449" s="1"/>
      <c r="N1449" s="1"/>
    </row>
    <row r="1450" ht="15.75" customHeight="1">
      <c r="A1450" t="s">
        <v>29</v>
      </c>
      <c r="B1450" t="s">
        <v>33</v>
      </c>
      <c r="C1450" t="s">
        <v>4915</v>
      </c>
      <c r="D1450" t="s">
        <v>1526</v>
      </c>
      <c r="E1450">
        <v>64709.9894154226</v>
      </c>
      <c r="F1450">
        <v>21014.2254621975</v>
      </c>
      <c r="G1450">
        <v>11860.2215094653</v>
      </c>
      <c r="H1450">
        <v>12080.8510380235</v>
      </c>
      <c r="I1450">
        <v>97584.44</v>
      </c>
      <c r="J1450">
        <v>85503.59</v>
      </c>
      <c r="K1450" s="1"/>
      <c r="L1450" s="1"/>
      <c r="M1450" s="1"/>
      <c r="N1450" s="1"/>
    </row>
    <row r="1451" ht="15.75" customHeight="1">
      <c r="A1451" t="s">
        <v>36</v>
      </c>
      <c r="B1451" t="s">
        <v>33</v>
      </c>
      <c r="C1451" t="s">
        <v>4907</v>
      </c>
      <c r="D1451" t="s">
        <v>1527</v>
      </c>
      <c r="E1451">
        <v>64720.8723853287</v>
      </c>
      <c r="F1451">
        <v>21018.8401805249</v>
      </c>
      <c r="G1451">
        <v>11867.9015128948</v>
      </c>
      <c r="H1451">
        <v>12084.2485887108</v>
      </c>
      <c r="I1451">
        <v>97607.61</v>
      </c>
      <c r="J1451">
        <v>85523.36</v>
      </c>
      <c r="K1451" s="1"/>
      <c r="L1451" s="1"/>
      <c r="M1451" s="1"/>
      <c r="N1451" s="1"/>
    </row>
    <row r="1452" ht="15.75" customHeight="1">
      <c r="A1452" t="s">
        <v>29</v>
      </c>
      <c r="B1452" t="s">
        <v>54</v>
      </c>
      <c r="C1452" t="s">
        <v>4910</v>
      </c>
      <c r="D1452" t="s">
        <v>1528</v>
      </c>
      <c r="E1452">
        <v>64731.7553552349</v>
      </c>
      <c r="F1452">
        <v>21023.4548988523</v>
      </c>
      <c r="G1452">
        <v>11875.5815163243</v>
      </c>
      <c r="H1452">
        <v>12087.6461393981</v>
      </c>
      <c r="I1452">
        <v>97630.79</v>
      </c>
      <c r="J1452">
        <v>85543.14</v>
      </c>
      <c r="K1452" s="1"/>
      <c r="L1452" s="1"/>
      <c r="M1452" s="1"/>
      <c r="N1452" s="1"/>
    </row>
    <row r="1453" ht="15.75" customHeight="1">
      <c r="A1453" t="s">
        <v>13</v>
      </c>
      <c r="B1453" t="s">
        <v>30</v>
      </c>
      <c r="C1453" t="s">
        <v>4905</v>
      </c>
      <c r="D1453" t="s">
        <v>1529</v>
      </c>
      <c r="E1453">
        <v>64742.6383251411</v>
      </c>
      <c r="F1453">
        <v>21028.0696171797</v>
      </c>
      <c r="G1453">
        <v>11883.2615197538</v>
      </c>
      <c r="H1453">
        <v>12091.0436900853</v>
      </c>
      <c r="I1453">
        <v>97653.97</v>
      </c>
      <c r="J1453">
        <v>85562.93</v>
      </c>
      <c r="K1453" s="1"/>
      <c r="L1453" s="1"/>
      <c r="M1453" s="1"/>
      <c r="N1453" s="1"/>
    </row>
    <row r="1454" ht="15.75" customHeight="1">
      <c r="A1454" t="s">
        <v>25</v>
      </c>
      <c r="B1454" t="s">
        <v>33</v>
      </c>
      <c r="C1454" t="s">
        <v>4905</v>
      </c>
      <c r="D1454" t="s">
        <v>1530</v>
      </c>
      <c r="E1454">
        <v>64753.5212950473</v>
      </c>
      <c r="F1454">
        <v>21032.6843355072</v>
      </c>
      <c r="G1454">
        <v>11890.9415231833</v>
      </c>
      <c r="H1454">
        <v>12094.4412407726</v>
      </c>
      <c r="I1454">
        <v>97677.15</v>
      </c>
      <c r="J1454">
        <v>85582.71</v>
      </c>
      <c r="K1454" s="1"/>
      <c r="L1454" s="1"/>
      <c r="M1454" s="1"/>
      <c r="N1454" s="1"/>
    </row>
    <row r="1455" ht="15.75" customHeight="1">
      <c r="A1455" t="s">
        <v>36</v>
      </c>
      <c r="B1455" t="s">
        <v>30</v>
      </c>
      <c r="C1455" t="s">
        <v>4917</v>
      </c>
      <c r="D1455" t="s">
        <v>1531</v>
      </c>
      <c r="E1455">
        <v>64764.4042649535</v>
      </c>
      <c r="F1455">
        <v>21037.2990538346</v>
      </c>
      <c r="G1455">
        <v>11898.6215266128</v>
      </c>
      <c r="H1455">
        <v>12097.8387914599</v>
      </c>
      <c r="I1455">
        <v>97700.32</v>
      </c>
      <c r="J1455">
        <v>85602.48</v>
      </c>
      <c r="K1455" s="1"/>
      <c r="L1455" s="1"/>
      <c r="M1455" s="1"/>
      <c r="N1455" s="1"/>
    </row>
    <row r="1456" ht="15.75" customHeight="1">
      <c r="A1456" t="s">
        <v>36</v>
      </c>
      <c r="B1456" t="s">
        <v>14</v>
      </c>
      <c r="C1456" t="s">
        <v>4911</v>
      </c>
      <c r="D1456" t="s">
        <v>1532</v>
      </c>
      <c r="E1456">
        <v>64775.2872348597</v>
      </c>
      <c r="F1456">
        <v>21041.913772162</v>
      </c>
      <c r="G1456">
        <v>11906.3015300423</v>
      </c>
      <c r="H1456">
        <v>12101.2363421472</v>
      </c>
      <c r="I1456">
        <v>97723.5</v>
      </c>
      <c r="J1456">
        <v>85622.26</v>
      </c>
      <c r="K1456" s="1"/>
      <c r="L1456" s="1"/>
      <c r="M1456" s="1"/>
      <c r="N1456" s="1"/>
    </row>
    <row r="1457" ht="15.75" customHeight="1">
      <c r="A1457" t="s">
        <v>29</v>
      </c>
      <c r="B1457" t="s">
        <v>18</v>
      </c>
      <c r="C1457" t="s">
        <v>4915</v>
      </c>
      <c r="D1457" t="s">
        <v>1533</v>
      </c>
      <c r="E1457">
        <v>64786.1702047659</v>
      </c>
      <c r="F1457">
        <v>21046.5284904894</v>
      </c>
      <c r="G1457">
        <v>11913.9815334718</v>
      </c>
      <c r="H1457">
        <v>12104.6338928345</v>
      </c>
      <c r="I1457">
        <v>97746.68</v>
      </c>
      <c r="J1457">
        <v>85642.05</v>
      </c>
      <c r="K1457" s="1"/>
      <c r="L1457" s="1"/>
      <c r="M1457" s="1"/>
      <c r="N1457" s="1"/>
    </row>
    <row r="1458" ht="15.75" customHeight="1">
      <c r="A1458" t="s">
        <v>13</v>
      </c>
      <c r="B1458" t="s">
        <v>18</v>
      </c>
      <c r="C1458" t="s">
        <v>4914</v>
      </c>
      <c r="D1458" t="s">
        <v>1534</v>
      </c>
      <c r="E1458">
        <v>64797.0531746721</v>
      </c>
      <c r="F1458">
        <v>21051.1432088169</v>
      </c>
      <c r="G1458">
        <v>11921.6615369013</v>
      </c>
      <c r="H1458">
        <v>12108.0314435218</v>
      </c>
      <c r="I1458">
        <v>97769.86</v>
      </c>
      <c r="J1458">
        <v>85661.83</v>
      </c>
      <c r="K1458" s="1"/>
      <c r="L1458" s="1"/>
      <c r="M1458" s="1"/>
      <c r="N1458" s="1"/>
    </row>
    <row r="1459" ht="15.75" customHeight="1">
      <c r="A1459" t="s">
        <v>51</v>
      </c>
      <c r="B1459" t="s">
        <v>14</v>
      </c>
      <c r="C1459" t="s">
        <v>4915</v>
      </c>
      <c r="D1459" t="s">
        <v>1535</v>
      </c>
      <c r="E1459">
        <v>64807.9361445783</v>
      </c>
      <c r="F1459">
        <v>21055.7579271443</v>
      </c>
      <c r="G1459">
        <v>11929.3415403308</v>
      </c>
      <c r="H1459">
        <v>12111.4289942091</v>
      </c>
      <c r="I1459">
        <v>97793.04</v>
      </c>
      <c r="J1459">
        <v>85681.61</v>
      </c>
      <c r="K1459" s="1"/>
      <c r="L1459" s="1"/>
      <c r="M1459" s="1"/>
      <c r="N1459" s="1"/>
    </row>
    <row r="1460" ht="15.75" customHeight="1">
      <c r="A1460" t="s">
        <v>17</v>
      </c>
      <c r="B1460" t="s">
        <v>33</v>
      </c>
      <c r="C1460" t="s">
        <v>4905</v>
      </c>
      <c r="D1460" t="s">
        <v>1536</v>
      </c>
      <c r="E1460">
        <v>64818.8191144845</v>
      </c>
      <c r="F1460">
        <v>21060.3726454717</v>
      </c>
      <c r="G1460">
        <v>11937.0215437603</v>
      </c>
      <c r="H1460">
        <v>12114.8265448964</v>
      </c>
      <c r="I1460">
        <v>97816.21</v>
      </c>
      <c r="J1460">
        <v>85701.38</v>
      </c>
      <c r="K1460" s="1"/>
      <c r="L1460" s="1"/>
      <c r="M1460" s="1"/>
      <c r="N1460" s="1"/>
    </row>
    <row r="1461" ht="15.75" customHeight="1">
      <c r="A1461" t="s">
        <v>51</v>
      </c>
      <c r="B1461" t="s">
        <v>37</v>
      </c>
      <c r="C1461" t="s">
        <v>4909</v>
      </c>
      <c r="D1461" t="s">
        <v>1537</v>
      </c>
      <c r="E1461">
        <v>64829.7020843907</v>
      </c>
      <c r="F1461">
        <v>21064.9873637991</v>
      </c>
      <c r="G1461">
        <v>11944.7015471898</v>
      </c>
      <c r="H1461">
        <v>12118.2240955836</v>
      </c>
      <c r="I1461">
        <v>97839.39</v>
      </c>
      <c r="J1461">
        <v>85721.17</v>
      </c>
      <c r="K1461" s="1"/>
      <c r="L1461" s="1"/>
      <c r="M1461" s="1"/>
      <c r="N1461" s="1"/>
    </row>
    <row r="1462" ht="15.75" customHeight="1">
      <c r="A1462" t="s">
        <v>13</v>
      </c>
      <c r="B1462" t="s">
        <v>54</v>
      </c>
      <c r="C1462" t="s">
        <v>4912</v>
      </c>
      <c r="D1462" t="s">
        <v>1538</v>
      </c>
      <c r="E1462">
        <v>64840.5850542969</v>
      </c>
      <c r="F1462">
        <v>21069.6020821265</v>
      </c>
      <c r="G1462">
        <v>11952.3815506193</v>
      </c>
      <c r="H1462">
        <v>12121.6216462709</v>
      </c>
      <c r="I1462">
        <v>97862.57</v>
      </c>
      <c r="J1462">
        <v>85740.95</v>
      </c>
      <c r="K1462" s="1"/>
      <c r="L1462" s="1"/>
      <c r="M1462" s="1"/>
      <c r="N1462" s="1"/>
    </row>
    <row r="1463" ht="15.75" customHeight="1">
      <c r="A1463" t="s">
        <v>51</v>
      </c>
      <c r="B1463" t="s">
        <v>33</v>
      </c>
      <c r="C1463" t="s">
        <v>4911</v>
      </c>
      <c r="D1463" t="s">
        <v>1539</v>
      </c>
      <c r="E1463">
        <v>64851.4680242031</v>
      </c>
      <c r="F1463">
        <v>21074.216800454</v>
      </c>
      <c r="G1463">
        <v>11960.0615540488</v>
      </c>
      <c r="H1463">
        <v>12125.0191969582</v>
      </c>
      <c r="I1463">
        <v>97885.75</v>
      </c>
      <c r="J1463">
        <v>85760.73</v>
      </c>
      <c r="K1463" s="1"/>
      <c r="L1463" s="1"/>
      <c r="M1463" s="1"/>
      <c r="N1463" s="1"/>
    </row>
    <row r="1464" ht="15.75" customHeight="1">
      <c r="A1464" t="s">
        <v>51</v>
      </c>
      <c r="B1464" t="s">
        <v>26</v>
      </c>
      <c r="C1464" t="s">
        <v>4911</v>
      </c>
      <c r="D1464" t="s">
        <v>1540</v>
      </c>
      <c r="E1464">
        <v>64862.3509941093</v>
      </c>
      <c r="F1464">
        <v>21078.8315187814</v>
      </c>
      <c r="G1464">
        <v>11967.7415574783</v>
      </c>
      <c r="H1464">
        <v>12128.4167476455</v>
      </c>
      <c r="I1464">
        <v>97908.92</v>
      </c>
      <c r="J1464">
        <v>85780.5</v>
      </c>
      <c r="K1464" s="1"/>
      <c r="L1464" s="1"/>
      <c r="M1464" s="1"/>
      <c r="N1464" s="1"/>
    </row>
    <row r="1465" ht="15.75" customHeight="1">
      <c r="A1465" t="s">
        <v>36</v>
      </c>
      <c r="B1465" t="s">
        <v>37</v>
      </c>
      <c r="C1465" t="s">
        <v>4915</v>
      </c>
      <c r="D1465" t="s">
        <v>1541</v>
      </c>
      <c r="E1465">
        <v>64873.2339640155</v>
      </c>
      <c r="F1465">
        <v>21083.4462371088</v>
      </c>
      <c r="G1465">
        <v>11975.4215609078</v>
      </c>
      <c r="H1465">
        <v>12131.8142983328</v>
      </c>
      <c r="I1465">
        <v>97932.1</v>
      </c>
      <c r="J1465">
        <v>85800.29</v>
      </c>
      <c r="K1465" s="1"/>
      <c r="L1465" s="1"/>
      <c r="M1465" s="1"/>
      <c r="N1465" s="1"/>
    </row>
    <row r="1466" ht="15.75" customHeight="1">
      <c r="A1466" t="s">
        <v>29</v>
      </c>
      <c r="B1466" t="s">
        <v>30</v>
      </c>
      <c r="C1466" t="s">
        <v>4910</v>
      </c>
      <c r="D1466" t="s">
        <v>1543</v>
      </c>
      <c r="E1466">
        <v>64884.1169339216</v>
      </c>
      <c r="F1466">
        <v>21088.0609554362</v>
      </c>
      <c r="G1466">
        <v>11983.1015643373</v>
      </c>
      <c r="H1466">
        <v>12135.2118490201</v>
      </c>
      <c r="I1466">
        <v>97955.28</v>
      </c>
      <c r="J1466">
        <v>85820.07</v>
      </c>
      <c r="K1466" s="1"/>
      <c r="L1466" s="1"/>
      <c r="M1466" s="1"/>
      <c r="N1466" s="1"/>
    </row>
    <row r="1467" ht="15.75" customHeight="1">
      <c r="A1467" t="s">
        <v>51</v>
      </c>
      <c r="B1467" t="s">
        <v>18</v>
      </c>
      <c r="C1467" t="s">
        <v>4916</v>
      </c>
      <c r="D1467" t="s">
        <v>1544</v>
      </c>
      <c r="E1467">
        <v>64905.882873734</v>
      </c>
      <c r="F1467">
        <v>21097.2903920911</v>
      </c>
      <c r="G1467">
        <v>11998.4615711963</v>
      </c>
      <c r="H1467">
        <v>12142.0069503947</v>
      </c>
      <c r="I1467">
        <v>98001.63</v>
      </c>
      <c r="J1467">
        <v>85859.62</v>
      </c>
      <c r="K1467" s="1"/>
      <c r="L1467" s="1"/>
      <c r="M1467" s="1"/>
      <c r="N1467" s="1"/>
    </row>
    <row r="1468" ht="15.75" customHeight="1">
      <c r="A1468" t="s">
        <v>53</v>
      </c>
      <c r="B1468" t="s">
        <v>37</v>
      </c>
      <c r="C1468" t="s">
        <v>4909</v>
      </c>
      <c r="D1468" t="s">
        <v>1545</v>
      </c>
      <c r="E1468">
        <v>64916.7658436402</v>
      </c>
      <c r="F1468">
        <v>21101.9051104185</v>
      </c>
      <c r="G1468">
        <v>12006.1415746258</v>
      </c>
      <c r="H1468">
        <v>12145.4045010819</v>
      </c>
      <c r="I1468">
        <v>98024.81</v>
      </c>
      <c r="J1468">
        <v>85879.41</v>
      </c>
      <c r="K1468" s="1"/>
      <c r="L1468" s="1"/>
      <c r="M1468" s="1"/>
      <c r="N1468" s="1"/>
    </row>
    <row r="1469" ht="15.75" customHeight="1">
      <c r="A1469" t="s">
        <v>29</v>
      </c>
      <c r="B1469" t="s">
        <v>26</v>
      </c>
      <c r="C1469" t="s">
        <v>4916</v>
      </c>
      <c r="D1469" t="s">
        <v>1546</v>
      </c>
      <c r="E1469">
        <v>64927.6488135464</v>
      </c>
      <c r="F1469">
        <v>21106.5198287459</v>
      </c>
      <c r="G1469">
        <v>12013.8215780553</v>
      </c>
      <c r="H1469">
        <v>12148.8020517692</v>
      </c>
      <c r="I1469">
        <v>98047.99</v>
      </c>
      <c r="J1469">
        <v>85899.19</v>
      </c>
      <c r="K1469" s="1"/>
      <c r="L1469" s="1"/>
      <c r="M1469" s="1"/>
      <c r="N1469" s="1"/>
    </row>
    <row r="1470" ht="15.75" customHeight="1">
      <c r="A1470" t="s">
        <v>17</v>
      </c>
      <c r="B1470" t="s">
        <v>18</v>
      </c>
      <c r="C1470" t="s">
        <v>4910</v>
      </c>
      <c r="D1470" t="s">
        <v>1547</v>
      </c>
      <c r="E1470">
        <v>64938.5317834526</v>
      </c>
      <c r="F1470">
        <v>21111.1345470733</v>
      </c>
      <c r="G1470">
        <v>12021.5015814848</v>
      </c>
      <c r="H1470">
        <v>12152.1996024565</v>
      </c>
      <c r="I1470">
        <v>98071.17</v>
      </c>
      <c r="J1470">
        <v>85918.97</v>
      </c>
      <c r="K1470" s="1"/>
      <c r="L1470" s="1"/>
      <c r="M1470" s="1"/>
      <c r="N1470" s="1"/>
    </row>
    <row r="1471" ht="15.75" customHeight="1">
      <c r="A1471" t="s">
        <v>36</v>
      </c>
      <c r="B1471" t="s">
        <v>37</v>
      </c>
      <c r="C1471" t="s">
        <v>4910</v>
      </c>
      <c r="D1471" t="s">
        <v>1548</v>
      </c>
      <c r="E1471">
        <v>64949.4147533588</v>
      </c>
      <c r="F1471">
        <v>21115.7492654008</v>
      </c>
      <c r="G1471">
        <v>12029.1815849143</v>
      </c>
      <c r="H1471">
        <v>12155.5971531438</v>
      </c>
      <c r="I1471">
        <v>98094.35</v>
      </c>
      <c r="J1471">
        <v>85938.75</v>
      </c>
      <c r="K1471" s="1"/>
      <c r="L1471" s="1"/>
      <c r="M1471" s="1"/>
      <c r="N1471" s="1"/>
    </row>
    <row r="1472" ht="15.75" customHeight="1">
      <c r="A1472" t="s">
        <v>13</v>
      </c>
      <c r="B1472" t="s">
        <v>33</v>
      </c>
      <c r="C1472" t="s">
        <v>4914</v>
      </c>
      <c r="D1472" t="s">
        <v>1549</v>
      </c>
      <c r="E1472">
        <v>64960.297723265</v>
      </c>
      <c r="F1472">
        <v>21120.3639837282</v>
      </c>
      <c r="G1472">
        <v>12036.8615883438</v>
      </c>
      <c r="H1472">
        <v>14327.38295125808</v>
      </c>
      <c r="I1472">
        <v>98117.52</v>
      </c>
      <c r="J1472">
        <v>83790.14</v>
      </c>
      <c r="K1472" s="1"/>
      <c r="L1472" s="1"/>
      <c r="M1472" s="1"/>
      <c r="N1472" s="1"/>
    </row>
    <row r="1473" ht="15.75" customHeight="1">
      <c r="A1473" t="s">
        <v>36</v>
      </c>
      <c r="B1473" t="s">
        <v>14</v>
      </c>
      <c r="C1473" t="s">
        <v>4905</v>
      </c>
      <c r="D1473" t="s">
        <v>1550</v>
      </c>
      <c r="E1473">
        <v>64971.1806931712</v>
      </c>
      <c r="F1473">
        <v>21124.9787020556</v>
      </c>
      <c r="G1473">
        <v>12044.5415917733</v>
      </c>
      <c r="H1473">
        <v>12162.3922545184</v>
      </c>
      <c r="I1473">
        <v>98140.7</v>
      </c>
      <c r="J1473">
        <v>85978.31</v>
      </c>
      <c r="K1473" s="1"/>
      <c r="L1473" s="1"/>
      <c r="M1473" s="1"/>
      <c r="N1473" s="1"/>
    </row>
    <row r="1474" ht="15.75" customHeight="1">
      <c r="A1474" t="s">
        <v>51</v>
      </c>
      <c r="B1474" t="s">
        <v>33</v>
      </c>
      <c r="C1474" t="s">
        <v>4915</v>
      </c>
      <c r="D1474" t="s">
        <v>1551</v>
      </c>
      <c r="E1474">
        <v>64982.0636630774</v>
      </c>
      <c r="F1474">
        <v>21129.593420383</v>
      </c>
      <c r="G1474">
        <v>12052.2215952028</v>
      </c>
      <c r="H1474">
        <v>12165.7898052057</v>
      </c>
      <c r="I1474">
        <v>98163.88</v>
      </c>
      <c r="J1474">
        <v>85998.09</v>
      </c>
      <c r="K1474" s="1"/>
      <c r="L1474" s="1"/>
      <c r="M1474" s="1"/>
      <c r="N1474" s="1"/>
    </row>
    <row r="1475" ht="15.75" customHeight="1">
      <c r="A1475" t="s">
        <v>25</v>
      </c>
      <c r="B1475" t="s">
        <v>33</v>
      </c>
      <c r="C1475" t="s">
        <v>4911</v>
      </c>
      <c r="D1475" t="s">
        <v>1552</v>
      </c>
      <c r="E1475">
        <v>64992.9466329836</v>
      </c>
      <c r="F1475">
        <v>21134.2081387105</v>
      </c>
      <c r="G1475">
        <v>12059.9015986323</v>
      </c>
      <c r="H1475">
        <v>12169.1873558929</v>
      </c>
      <c r="I1475">
        <v>98187.06</v>
      </c>
      <c r="J1475">
        <v>86017.87</v>
      </c>
      <c r="K1475" s="1"/>
      <c r="L1475" s="1"/>
      <c r="M1475" s="1"/>
      <c r="N1475" s="1"/>
    </row>
    <row r="1476" ht="15.75" customHeight="1">
      <c r="A1476" t="s">
        <v>17</v>
      </c>
      <c r="B1476" t="s">
        <v>33</v>
      </c>
      <c r="C1476" t="s">
        <v>4908</v>
      </c>
      <c r="D1476" t="s">
        <v>1553</v>
      </c>
      <c r="E1476">
        <v>65003.8296028898</v>
      </c>
      <c r="F1476">
        <v>21138.8228570379</v>
      </c>
      <c r="G1476">
        <v>12067.5816020618</v>
      </c>
      <c r="H1476">
        <v>12172.5849065802</v>
      </c>
      <c r="I1476">
        <v>98210.23</v>
      </c>
      <c r="J1476">
        <v>86037.65</v>
      </c>
      <c r="K1476" s="1"/>
      <c r="L1476" s="1"/>
      <c r="M1476" s="1"/>
      <c r="N1476" s="1"/>
    </row>
    <row r="1477" ht="15.75" customHeight="1">
      <c r="A1477" t="s">
        <v>17</v>
      </c>
      <c r="B1477" t="s">
        <v>14</v>
      </c>
      <c r="C1477" t="s">
        <v>4908</v>
      </c>
      <c r="D1477" t="s">
        <v>1554</v>
      </c>
      <c r="E1477">
        <v>65014.712572796</v>
      </c>
      <c r="F1477">
        <v>21143.4375753653</v>
      </c>
      <c r="G1477">
        <v>12075.2616054913</v>
      </c>
      <c r="H1477">
        <v>12175.9824572675</v>
      </c>
      <c r="I1477">
        <v>98233.41</v>
      </c>
      <c r="J1477">
        <v>86057.43</v>
      </c>
      <c r="K1477" s="1"/>
      <c r="L1477" s="1"/>
      <c r="M1477" s="1"/>
      <c r="N1477" s="1"/>
    </row>
    <row r="1478" ht="15.75" customHeight="1">
      <c r="A1478" t="s">
        <v>25</v>
      </c>
      <c r="B1478" t="s">
        <v>30</v>
      </c>
      <c r="C1478" t="s">
        <v>4910</v>
      </c>
      <c r="D1478" t="s">
        <v>1555</v>
      </c>
      <c r="E1478">
        <v>65025.5955427022</v>
      </c>
      <c r="F1478">
        <v>21148.0522936927</v>
      </c>
      <c r="G1478">
        <v>12082.9416089208</v>
      </c>
      <c r="H1478">
        <v>12179.3800079548</v>
      </c>
      <c r="I1478">
        <v>98256.59</v>
      </c>
      <c r="J1478">
        <v>86077.21</v>
      </c>
      <c r="K1478" s="1"/>
      <c r="L1478" s="1"/>
      <c r="M1478" s="1"/>
      <c r="N1478" s="1"/>
    </row>
    <row r="1479" ht="15.75" customHeight="1">
      <c r="A1479" t="s">
        <v>25</v>
      </c>
      <c r="B1479" t="s">
        <v>30</v>
      </c>
      <c r="C1479" t="s">
        <v>4908</v>
      </c>
      <c r="D1479" t="s">
        <v>1556</v>
      </c>
      <c r="E1479">
        <v>65036.4785126084</v>
      </c>
      <c r="F1479">
        <v>21152.6670120201</v>
      </c>
      <c r="G1479">
        <v>12090.6216123503</v>
      </c>
      <c r="H1479">
        <v>12182.7775586421</v>
      </c>
      <c r="I1479">
        <v>98279.77</v>
      </c>
      <c r="J1479">
        <v>86096.99</v>
      </c>
      <c r="K1479" s="1"/>
      <c r="L1479" s="1"/>
      <c r="M1479" s="1"/>
      <c r="N1479" s="1"/>
    </row>
    <row r="1480" ht="15.75" customHeight="1">
      <c r="A1480" t="s">
        <v>36</v>
      </c>
      <c r="B1480" t="s">
        <v>14</v>
      </c>
      <c r="C1480" t="s">
        <v>4917</v>
      </c>
      <c r="D1480" t="s">
        <v>1557</v>
      </c>
      <c r="E1480">
        <v>65047.3614825145</v>
      </c>
      <c r="F1480">
        <v>21157.2817303476</v>
      </c>
      <c r="G1480">
        <v>12098.3016157798</v>
      </c>
      <c r="H1480">
        <v>12186.1751093294</v>
      </c>
      <c r="I1480">
        <v>98302.94</v>
      </c>
      <c r="J1480">
        <v>86116.76</v>
      </c>
      <c r="K1480" s="1"/>
      <c r="L1480" s="1"/>
      <c r="M1480" s="1"/>
      <c r="N1480" s="1"/>
    </row>
    <row r="1481" ht="15.75" customHeight="1">
      <c r="A1481" t="s">
        <v>51</v>
      </c>
      <c r="B1481" t="s">
        <v>37</v>
      </c>
      <c r="C1481" t="s">
        <v>4911</v>
      </c>
      <c r="D1481" t="s">
        <v>1558</v>
      </c>
      <c r="E1481">
        <v>65058.2444524207</v>
      </c>
      <c r="F1481">
        <v>21161.896448675</v>
      </c>
      <c r="G1481">
        <v>12105.9816192093</v>
      </c>
      <c r="H1481">
        <v>12189.5726600167</v>
      </c>
      <c r="I1481">
        <v>98326.12</v>
      </c>
      <c r="J1481">
        <v>86136.55</v>
      </c>
      <c r="K1481" s="1"/>
      <c r="L1481" s="1"/>
      <c r="M1481" s="1"/>
      <c r="N1481" s="1"/>
    </row>
    <row r="1482" ht="15.75" customHeight="1">
      <c r="A1482" t="s">
        <v>13</v>
      </c>
      <c r="B1482" t="s">
        <v>54</v>
      </c>
      <c r="C1482" t="s">
        <v>4907</v>
      </c>
      <c r="D1482" t="s">
        <v>1559</v>
      </c>
      <c r="E1482">
        <v>65069.1274223269</v>
      </c>
      <c r="F1482">
        <v>21166.5111670024</v>
      </c>
      <c r="G1482">
        <v>12113.6616226388</v>
      </c>
      <c r="H1482">
        <v>12192.970210704</v>
      </c>
      <c r="I1482">
        <v>98349.3</v>
      </c>
      <c r="J1482">
        <v>86156.33</v>
      </c>
      <c r="K1482" s="1"/>
      <c r="L1482" s="1"/>
      <c r="M1482" s="1"/>
      <c r="N1482" s="1"/>
    </row>
    <row r="1483" ht="15.75" customHeight="1">
      <c r="A1483" t="s">
        <v>29</v>
      </c>
      <c r="B1483" t="s">
        <v>18</v>
      </c>
      <c r="C1483" t="s">
        <v>4915</v>
      </c>
      <c r="D1483" t="s">
        <v>1560</v>
      </c>
      <c r="E1483">
        <v>65080.0103922331</v>
      </c>
      <c r="F1483">
        <v>21171.1258853298</v>
      </c>
      <c r="G1483">
        <v>12121.3416260682</v>
      </c>
      <c r="H1483">
        <v>12196.3677613912</v>
      </c>
      <c r="I1483">
        <v>98372.48</v>
      </c>
      <c r="J1483">
        <v>86176.11</v>
      </c>
      <c r="K1483" s="1"/>
      <c r="L1483" s="1"/>
      <c r="M1483" s="1"/>
      <c r="N1483" s="1"/>
    </row>
    <row r="1484" ht="15.75" customHeight="1">
      <c r="A1484" t="s">
        <v>53</v>
      </c>
      <c r="B1484" t="s">
        <v>37</v>
      </c>
      <c r="C1484" t="s">
        <v>4916</v>
      </c>
      <c r="D1484" t="s">
        <v>1561</v>
      </c>
      <c r="E1484">
        <v>65090.8933621393</v>
      </c>
      <c r="F1484">
        <v>21175.7406036573</v>
      </c>
      <c r="G1484">
        <v>12129.0216294977</v>
      </c>
      <c r="H1484">
        <v>12199.7653120785</v>
      </c>
      <c r="I1484">
        <v>98395.66</v>
      </c>
      <c r="J1484">
        <v>86195.89</v>
      </c>
      <c r="K1484" s="1"/>
      <c r="L1484" s="1"/>
      <c r="M1484" s="1"/>
      <c r="N1484" s="1"/>
    </row>
    <row r="1485" ht="15.75" customHeight="1">
      <c r="A1485" t="s">
        <v>36</v>
      </c>
      <c r="B1485" t="s">
        <v>26</v>
      </c>
      <c r="C1485" t="s">
        <v>4912</v>
      </c>
      <c r="D1485" t="s">
        <v>1562</v>
      </c>
      <c r="E1485">
        <v>65101.7763320455</v>
      </c>
      <c r="F1485">
        <v>21180.3553219847</v>
      </c>
      <c r="G1485">
        <v>12136.7016329272</v>
      </c>
      <c r="H1485">
        <v>12203.1628627658</v>
      </c>
      <c r="I1485">
        <v>98418.83</v>
      </c>
      <c r="J1485">
        <v>86215.67</v>
      </c>
      <c r="K1485" s="1"/>
      <c r="L1485" s="1"/>
      <c r="M1485" s="1"/>
      <c r="N1485" s="1"/>
    </row>
    <row r="1486" ht="15.75" customHeight="1">
      <c r="A1486" t="s">
        <v>17</v>
      </c>
      <c r="B1486" t="s">
        <v>30</v>
      </c>
      <c r="C1486" t="s">
        <v>4915</v>
      </c>
      <c r="D1486" t="s">
        <v>1563</v>
      </c>
      <c r="E1486">
        <v>65112.6593019517</v>
      </c>
      <c r="F1486">
        <v>21184.9700403121</v>
      </c>
      <c r="G1486">
        <v>12144.3816363567</v>
      </c>
      <c r="H1486">
        <v>12206.5604134531</v>
      </c>
      <c r="I1486">
        <v>98442.01</v>
      </c>
      <c r="J1486">
        <v>86235.45</v>
      </c>
      <c r="K1486" s="1"/>
      <c r="L1486" s="1"/>
      <c r="M1486" s="1"/>
      <c r="N1486" s="1"/>
    </row>
    <row r="1487" ht="15.75" customHeight="1">
      <c r="A1487" t="s">
        <v>53</v>
      </c>
      <c r="B1487" t="s">
        <v>33</v>
      </c>
      <c r="C1487" t="s">
        <v>4915</v>
      </c>
      <c r="D1487" t="s">
        <v>1564</v>
      </c>
      <c r="E1487">
        <v>65123.5422718579</v>
      </c>
      <c r="F1487">
        <v>21189.5847586395</v>
      </c>
      <c r="G1487">
        <v>12152.0616397862</v>
      </c>
      <c r="H1487">
        <v>12209.9579641404</v>
      </c>
      <c r="I1487">
        <v>98465.19</v>
      </c>
      <c r="J1487">
        <v>86255.23</v>
      </c>
      <c r="K1487" s="1"/>
      <c r="L1487" s="1"/>
      <c r="M1487" s="1"/>
      <c r="N1487" s="1"/>
    </row>
    <row r="1488" ht="15.75" customHeight="1">
      <c r="A1488" t="s">
        <v>17</v>
      </c>
      <c r="B1488" t="s">
        <v>14</v>
      </c>
      <c r="C1488" t="s">
        <v>4916</v>
      </c>
      <c r="D1488" t="s">
        <v>1565</v>
      </c>
      <c r="E1488">
        <v>65134.4252417641</v>
      </c>
      <c r="F1488">
        <v>21194.1994769669</v>
      </c>
      <c r="G1488">
        <v>12159.7416432157</v>
      </c>
      <c r="H1488">
        <v>12213.3555148277</v>
      </c>
      <c r="I1488">
        <v>98488.37</v>
      </c>
      <c r="J1488">
        <v>86275.01</v>
      </c>
      <c r="K1488" s="1"/>
      <c r="L1488" s="1"/>
      <c r="M1488" s="1"/>
      <c r="N1488" s="1"/>
    </row>
    <row r="1489" ht="15.75" customHeight="1">
      <c r="A1489" t="s">
        <v>36</v>
      </c>
      <c r="B1489" t="s">
        <v>30</v>
      </c>
      <c r="C1489" t="s">
        <v>4916</v>
      </c>
      <c r="D1489" t="s">
        <v>1566</v>
      </c>
      <c r="E1489">
        <v>65145.3082116703</v>
      </c>
      <c r="F1489">
        <v>21198.8141952944</v>
      </c>
      <c r="G1489">
        <v>12167.4216466452</v>
      </c>
      <c r="H1489">
        <v>12216.753065515</v>
      </c>
      <c r="I1489">
        <v>98511.54</v>
      </c>
      <c r="J1489">
        <v>86294.79</v>
      </c>
      <c r="K1489" s="1"/>
      <c r="L1489" s="1"/>
      <c r="M1489" s="1"/>
      <c r="N1489" s="1"/>
    </row>
    <row r="1490" ht="15.75" customHeight="1">
      <c r="A1490" t="s">
        <v>29</v>
      </c>
      <c r="B1490" t="s">
        <v>30</v>
      </c>
      <c r="C1490" t="s">
        <v>4910</v>
      </c>
      <c r="D1490" t="s">
        <v>1567</v>
      </c>
      <c r="E1490">
        <v>65156.1911815765</v>
      </c>
      <c r="F1490">
        <v>21203.4289136218</v>
      </c>
      <c r="G1490">
        <v>12175.1016500747</v>
      </c>
      <c r="H1490">
        <v>12220.1506162023</v>
      </c>
      <c r="I1490">
        <v>98534.72</v>
      </c>
      <c r="J1490">
        <v>86314.57</v>
      </c>
      <c r="K1490" s="1"/>
      <c r="L1490" s="1"/>
      <c r="M1490" s="1"/>
      <c r="N1490" s="1"/>
    </row>
    <row r="1491" ht="15.75" customHeight="1">
      <c r="A1491" t="s">
        <v>29</v>
      </c>
      <c r="B1491" t="s">
        <v>37</v>
      </c>
      <c r="C1491" t="s">
        <v>4913</v>
      </c>
      <c r="D1491" t="s">
        <v>1568</v>
      </c>
      <c r="E1491">
        <v>65167.0741514827</v>
      </c>
      <c r="F1491">
        <v>21208.0436319492</v>
      </c>
      <c r="G1491">
        <v>12182.7816535042</v>
      </c>
      <c r="H1491">
        <v>12223.5481668895</v>
      </c>
      <c r="I1491">
        <v>98557.9</v>
      </c>
      <c r="J1491">
        <v>86334.35</v>
      </c>
      <c r="K1491" s="1"/>
      <c r="L1491" s="1"/>
      <c r="M1491" s="1"/>
      <c r="N1491" s="1"/>
    </row>
    <row r="1492" ht="15.75" customHeight="1">
      <c r="A1492" t="s">
        <v>36</v>
      </c>
      <c r="B1492" t="s">
        <v>26</v>
      </c>
      <c r="C1492" t="s">
        <v>4907</v>
      </c>
      <c r="D1492" t="s">
        <v>1569</v>
      </c>
      <c r="E1492">
        <v>65177.9571213889</v>
      </c>
      <c r="F1492">
        <v>21212.6583502766</v>
      </c>
      <c r="G1492">
        <v>12190.4616569337</v>
      </c>
      <c r="H1492">
        <v>12226.9457175768</v>
      </c>
      <c r="I1492">
        <v>98581.08</v>
      </c>
      <c r="J1492">
        <v>86354.13</v>
      </c>
      <c r="K1492" s="1"/>
      <c r="L1492" s="1"/>
      <c r="M1492" s="1"/>
      <c r="N1492" s="1"/>
    </row>
    <row r="1493" ht="15.75" customHeight="1">
      <c r="A1493" t="s">
        <v>53</v>
      </c>
      <c r="B1493" t="s">
        <v>33</v>
      </c>
      <c r="C1493" t="s">
        <v>4916</v>
      </c>
      <c r="D1493" t="s">
        <v>1570</v>
      </c>
      <c r="E1493">
        <v>65188.8400912951</v>
      </c>
      <c r="F1493">
        <v>21217.2730686041</v>
      </c>
      <c r="G1493">
        <v>12198.1416603632</v>
      </c>
      <c r="H1493">
        <v>12230.3432682641</v>
      </c>
      <c r="I1493">
        <v>98604.25</v>
      </c>
      <c r="J1493">
        <v>86373.91</v>
      </c>
      <c r="K1493" s="1"/>
      <c r="L1493" s="1"/>
      <c r="M1493" s="1"/>
      <c r="N1493" s="1"/>
    </row>
    <row r="1494" ht="15.75" customHeight="1">
      <c r="A1494" t="s">
        <v>53</v>
      </c>
      <c r="B1494" t="s">
        <v>54</v>
      </c>
      <c r="C1494" t="s">
        <v>4917</v>
      </c>
      <c r="D1494" t="s">
        <v>1571</v>
      </c>
      <c r="E1494">
        <v>65199.7230612013</v>
      </c>
      <c r="F1494">
        <v>21221.8877869315</v>
      </c>
      <c r="G1494">
        <v>12205.8216637927</v>
      </c>
      <c r="H1494">
        <v>12233.7408189514</v>
      </c>
      <c r="I1494">
        <v>98627.43</v>
      </c>
      <c r="J1494">
        <v>86393.69</v>
      </c>
      <c r="K1494" s="1"/>
      <c r="L1494" s="1"/>
      <c r="M1494" s="1"/>
      <c r="N1494" s="1"/>
    </row>
    <row r="1495" ht="15.75" customHeight="1">
      <c r="A1495" t="s">
        <v>13</v>
      </c>
      <c r="B1495" t="s">
        <v>37</v>
      </c>
      <c r="C1495" t="s">
        <v>4912</v>
      </c>
      <c r="D1495" t="s">
        <v>1572</v>
      </c>
      <c r="E1495">
        <v>65221.4890010136</v>
      </c>
      <c r="F1495">
        <v>21231.1172235863</v>
      </c>
      <c r="G1495">
        <v>12221.1816706517</v>
      </c>
      <c r="H1495">
        <v>12240.535920326</v>
      </c>
      <c r="I1495">
        <v>98673.79</v>
      </c>
      <c r="J1495">
        <v>86433.25</v>
      </c>
      <c r="K1495" s="1"/>
      <c r="L1495" s="1"/>
      <c r="M1495" s="1"/>
      <c r="N1495" s="1"/>
    </row>
    <row r="1496" ht="15.75" customHeight="1">
      <c r="A1496" t="s">
        <v>17</v>
      </c>
      <c r="B1496" t="s">
        <v>37</v>
      </c>
      <c r="C1496" t="s">
        <v>4916</v>
      </c>
      <c r="D1496" t="s">
        <v>1573</v>
      </c>
      <c r="E1496">
        <v>65232.3719709198</v>
      </c>
      <c r="F1496">
        <v>21235.7319419137</v>
      </c>
      <c r="G1496">
        <v>12228.8616740812</v>
      </c>
      <c r="H1496">
        <v>12243.9334710133</v>
      </c>
      <c r="I1496">
        <v>98696.97</v>
      </c>
      <c r="J1496">
        <v>86453.04</v>
      </c>
      <c r="K1496" s="1"/>
      <c r="L1496" s="1"/>
      <c r="M1496" s="1"/>
      <c r="N1496" s="1"/>
    </row>
    <row r="1497" ht="15.75" customHeight="1">
      <c r="A1497" t="s">
        <v>36</v>
      </c>
      <c r="B1497" t="s">
        <v>30</v>
      </c>
      <c r="C1497" t="s">
        <v>4915</v>
      </c>
      <c r="D1497" t="s">
        <v>1574</v>
      </c>
      <c r="E1497">
        <v>65243.254940826</v>
      </c>
      <c r="F1497">
        <v>21240.3466602412</v>
      </c>
      <c r="G1497">
        <v>12236.5416775107</v>
      </c>
      <c r="H1497">
        <v>12247.3310217005</v>
      </c>
      <c r="I1497">
        <v>98720.14</v>
      </c>
      <c r="J1497">
        <v>86472.81</v>
      </c>
      <c r="K1497" s="1"/>
      <c r="L1497" s="1"/>
      <c r="M1497" s="1"/>
      <c r="N1497" s="1"/>
    </row>
    <row r="1498" ht="15.75" customHeight="1">
      <c r="A1498" t="s">
        <v>36</v>
      </c>
      <c r="B1498" t="s">
        <v>26</v>
      </c>
      <c r="C1498" t="s">
        <v>4912</v>
      </c>
      <c r="D1498" t="s">
        <v>1576</v>
      </c>
      <c r="E1498">
        <v>65254.1379107322</v>
      </c>
      <c r="F1498">
        <v>21244.9613785686</v>
      </c>
      <c r="G1498">
        <v>12244.2216809402</v>
      </c>
      <c r="H1498">
        <v>12250.7285723878</v>
      </c>
      <c r="I1498">
        <v>98743.32</v>
      </c>
      <c r="J1498">
        <v>86492.59</v>
      </c>
      <c r="K1498" s="1"/>
      <c r="L1498" s="1"/>
      <c r="M1498" s="1"/>
      <c r="N1498" s="1"/>
    </row>
    <row r="1499" ht="15.75" customHeight="1">
      <c r="A1499" t="s">
        <v>51</v>
      </c>
      <c r="B1499" t="s">
        <v>37</v>
      </c>
      <c r="C1499" t="s">
        <v>4905</v>
      </c>
      <c r="D1499" t="s">
        <v>1577</v>
      </c>
      <c r="E1499">
        <v>65265.0208806384</v>
      </c>
      <c r="F1499">
        <v>21249.576096896</v>
      </c>
      <c r="G1499">
        <v>12251.9016843697</v>
      </c>
      <c r="H1499">
        <v>12254.1261230751</v>
      </c>
      <c r="I1499">
        <v>98766.5</v>
      </c>
      <c r="J1499">
        <v>86512.37</v>
      </c>
      <c r="K1499" s="1"/>
      <c r="L1499" s="1"/>
      <c r="M1499" s="1"/>
      <c r="N1499" s="1"/>
    </row>
    <row r="1500" ht="15.75" customHeight="1">
      <c r="A1500" t="s">
        <v>51</v>
      </c>
      <c r="B1500" t="s">
        <v>54</v>
      </c>
      <c r="C1500" t="s">
        <v>4908</v>
      </c>
      <c r="D1500" t="s">
        <v>1578</v>
      </c>
      <c r="E1500">
        <v>65275.9038505446</v>
      </c>
      <c r="F1500">
        <v>21254.1908152234</v>
      </c>
      <c r="G1500">
        <v>12259.5816877992</v>
      </c>
      <c r="H1500">
        <v>12257.5236737624</v>
      </c>
      <c r="I1500">
        <v>98789.68</v>
      </c>
      <c r="J1500">
        <v>86532.16</v>
      </c>
      <c r="K1500" s="1"/>
      <c r="L1500" s="1"/>
      <c r="M1500" s="1"/>
      <c r="N1500" s="1"/>
    </row>
    <row r="1501" ht="15.75" customHeight="1">
      <c r="A1501" t="s">
        <v>13</v>
      </c>
      <c r="B1501" t="s">
        <v>18</v>
      </c>
      <c r="C1501" t="s">
        <v>4910</v>
      </c>
      <c r="D1501" t="s">
        <v>1579</v>
      </c>
      <c r="E1501">
        <v>65286.7868204508</v>
      </c>
      <c r="F1501">
        <v>21258.8055335509</v>
      </c>
      <c r="G1501">
        <v>12267.2616912287</v>
      </c>
      <c r="H1501">
        <v>12260.9212244497</v>
      </c>
      <c r="I1501">
        <v>98812.85</v>
      </c>
      <c r="J1501">
        <v>86551.93</v>
      </c>
      <c r="K1501" s="1"/>
      <c r="L1501" s="1"/>
      <c r="M1501" s="1"/>
      <c r="N1501" s="1"/>
    </row>
    <row r="1502" ht="15.75" customHeight="1">
      <c r="A1502" t="s">
        <v>29</v>
      </c>
      <c r="B1502" t="s">
        <v>37</v>
      </c>
      <c r="C1502" t="s">
        <v>4915</v>
      </c>
      <c r="D1502" t="s">
        <v>1580</v>
      </c>
      <c r="E1502">
        <v>65297.669790357</v>
      </c>
      <c r="F1502">
        <v>21263.4202518783</v>
      </c>
      <c r="G1502">
        <v>12274.9416946582</v>
      </c>
      <c r="H1502">
        <v>12264.318775137</v>
      </c>
      <c r="I1502">
        <v>98836.03</v>
      </c>
      <c r="J1502">
        <v>86571.71</v>
      </c>
      <c r="K1502" s="1"/>
      <c r="L1502" s="1"/>
      <c r="M1502" s="1"/>
      <c r="N1502" s="1"/>
    </row>
    <row r="1503" ht="15.75" customHeight="1">
      <c r="A1503" t="s">
        <v>13</v>
      </c>
      <c r="B1503" t="s">
        <v>30</v>
      </c>
      <c r="C1503" t="s">
        <v>4913</v>
      </c>
      <c r="D1503" t="s">
        <v>1581</v>
      </c>
      <c r="E1503">
        <v>65308.5527602632</v>
      </c>
      <c r="F1503">
        <v>21268.0349702057</v>
      </c>
      <c r="G1503">
        <v>12282.6216980877</v>
      </c>
      <c r="H1503">
        <v>12267.7163258243</v>
      </c>
      <c r="I1503">
        <v>98859.21</v>
      </c>
      <c r="J1503">
        <v>86591.49</v>
      </c>
      <c r="K1503" s="1"/>
      <c r="L1503" s="1"/>
      <c r="M1503" s="1"/>
      <c r="N1503" s="1"/>
    </row>
    <row r="1504" ht="15.75" customHeight="1">
      <c r="A1504" t="s">
        <v>36</v>
      </c>
      <c r="B1504" t="s">
        <v>26</v>
      </c>
      <c r="C1504" t="s">
        <v>4905</v>
      </c>
      <c r="D1504" t="s">
        <v>1582</v>
      </c>
      <c r="E1504">
        <v>65330.3187000756</v>
      </c>
      <c r="F1504">
        <v>21277.2644068605</v>
      </c>
      <c r="G1504">
        <v>12297.9817049467</v>
      </c>
      <c r="H1504">
        <v>12274.5114271988</v>
      </c>
      <c r="I1504">
        <v>98905.56</v>
      </c>
      <c r="J1504">
        <v>86631.05</v>
      </c>
      <c r="K1504" s="1"/>
      <c r="L1504" s="1"/>
      <c r="M1504" s="1"/>
      <c r="N1504" s="1"/>
    </row>
    <row r="1505" ht="15.75" customHeight="1">
      <c r="A1505" t="s">
        <v>29</v>
      </c>
      <c r="B1505" t="s">
        <v>18</v>
      </c>
      <c r="C1505" t="s">
        <v>4905</v>
      </c>
      <c r="D1505" t="s">
        <v>1583</v>
      </c>
      <c r="E1505">
        <v>65341.2016699818</v>
      </c>
      <c r="F1505">
        <v>21281.879125188</v>
      </c>
      <c r="G1505">
        <v>12305.6617083762</v>
      </c>
      <c r="H1505">
        <v>12277.9089778861</v>
      </c>
      <c r="I1505">
        <v>98928.74</v>
      </c>
      <c r="J1505">
        <v>86650.83</v>
      </c>
      <c r="K1505" s="1"/>
      <c r="L1505" s="1"/>
      <c r="M1505" s="1"/>
      <c r="N1505" s="1"/>
    </row>
    <row r="1506" ht="15.75" customHeight="1">
      <c r="A1506" t="s">
        <v>36</v>
      </c>
      <c r="B1506" t="s">
        <v>30</v>
      </c>
      <c r="C1506" t="s">
        <v>4907</v>
      </c>
      <c r="D1506" t="s">
        <v>1584</v>
      </c>
      <c r="E1506">
        <v>65352.084639888</v>
      </c>
      <c r="F1506">
        <v>21286.4938435154</v>
      </c>
      <c r="G1506">
        <v>12313.3417118057</v>
      </c>
      <c r="H1506">
        <v>12281.3065285734</v>
      </c>
      <c r="I1506">
        <v>98951.92</v>
      </c>
      <c r="J1506">
        <v>86670.61</v>
      </c>
      <c r="K1506" s="1"/>
      <c r="L1506" s="1"/>
      <c r="M1506" s="1"/>
      <c r="N1506" s="1"/>
    </row>
    <row r="1507" ht="15.75" customHeight="1">
      <c r="A1507" t="s">
        <v>29</v>
      </c>
      <c r="B1507" t="s">
        <v>30</v>
      </c>
      <c r="C1507" t="s">
        <v>4912</v>
      </c>
      <c r="D1507" t="s">
        <v>1585</v>
      </c>
      <c r="E1507">
        <v>65362.9676097942</v>
      </c>
      <c r="F1507">
        <v>21291.1085618428</v>
      </c>
      <c r="G1507">
        <v>12321.0217152352</v>
      </c>
      <c r="H1507">
        <v>12284.7040792607</v>
      </c>
      <c r="I1507">
        <v>98975.1</v>
      </c>
      <c r="J1507">
        <v>86690.4</v>
      </c>
      <c r="K1507" s="1"/>
      <c r="L1507" s="1"/>
      <c r="M1507" s="1"/>
      <c r="N1507" s="1"/>
    </row>
    <row r="1508" ht="15.75" customHeight="1">
      <c r="A1508" t="s">
        <v>13</v>
      </c>
      <c r="B1508" t="s">
        <v>37</v>
      </c>
      <c r="C1508" t="s">
        <v>4915</v>
      </c>
      <c r="D1508" t="s">
        <v>1586</v>
      </c>
      <c r="E1508">
        <v>65373.8505797003</v>
      </c>
      <c r="F1508">
        <v>21295.7232801702</v>
      </c>
      <c r="G1508">
        <v>12328.7017186647</v>
      </c>
      <c r="H1508">
        <v>12288.101629948</v>
      </c>
      <c r="I1508">
        <v>98998.28</v>
      </c>
      <c r="J1508">
        <v>86710.18</v>
      </c>
      <c r="K1508" s="1"/>
      <c r="L1508" s="1"/>
      <c r="M1508" s="1"/>
      <c r="N1508" s="1"/>
    </row>
    <row r="1509" ht="15.75" customHeight="1">
      <c r="A1509" t="s">
        <v>13</v>
      </c>
      <c r="B1509" t="s">
        <v>54</v>
      </c>
      <c r="C1509" t="s">
        <v>4917</v>
      </c>
      <c r="D1509" t="s">
        <v>1587</v>
      </c>
      <c r="E1509">
        <v>65384.7335496065</v>
      </c>
      <c r="F1509">
        <v>21300.3379984977</v>
      </c>
      <c r="G1509">
        <v>12336.3817220942</v>
      </c>
      <c r="H1509">
        <v>12291.4991806353</v>
      </c>
      <c r="I1509">
        <v>99021.45</v>
      </c>
      <c r="J1509">
        <v>86729.95</v>
      </c>
      <c r="K1509" s="1"/>
      <c r="L1509" s="1"/>
      <c r="M1509" s="1"/>
      <c r="N1509" s="1"/>
    </row>
    <row r="1510" ht="15.75" customHeight="1">
      <c r="A1510" t="s">
        <v>51</v>
      </c>
      <c r="B1510" t="s">
        <v>54</v>
      </c>
      <c r="C1510" t="s">
        <v>4909</v>
      </c>
      <c r="D1510" t="s">
        <v>1588</v>
      </c>
      <c r="E1510">
        <v>65395.6165195127</v>
      </c>
      <c r="F1510">
        <v>21304.9527168251</v>
      </c>
      <c r="G1510">
        <v>12344.0617255237</v>
      </c>
      <c r="H1510">
        <v>12294.8967313226</v>
      </c>
      <c r="I1510">
        <v>99044.63</v>
      </c>
      <c r="J1510">
        <v>86749.73</v>
      </c>
      <c r="K1510" s="1"/>
      <c r="L1510" s="1"/>
      <c r="M1510" s="1"/>
      <c r="N1510" s="1"/>
    </row>
    <row r="1511" ht="15.75" customHeight="1">
      <c r="A1511" t="s">
        <v>51</v>
      </c>
      <c r="B1511" t="s">
        <v>26</v>
      </c>
      <c r="C1511" t="s">
        <v>4907</v>
      </c>
      <c r="D1511" t="s">
        <v>1589</v>
      </c>
      <c r="E1511">
        <v>65406.4994894189</v>
      </c>
      <c r="F1511">
        <v>21309.5674351525</v>
      </c>
      <c r="G1511">
        <v>12351.7417289532</v>
      </c>
      <c r="H1511">
        <v>12298.2942820099</v>
      </c>
      <c r="I1511">
        <v>99067.81</v>
      </c>
      <c r="J1511">
        <v>86769.52</v>
      </c>
      <c r="K1511" s="1"/>
      <c r="L1511" s="1"/>
      <c r="M1511" s="1"/>
      <c r="N1511" s="1"/>
    </row>
    <row r="1512" ht="15.75" customHeight="1">
      <c r="A1512" t="s">
        <v>13</v>
      </c>
      <c r="B1512" t="s">
        <v>37</v>
      </c>
      <c r="C1512" t="s">
        <v>4913</v>
      </c>
      <c r="D1512" t="s">
        <v>1590</v>
      </c>
      <c r="E1512">
        <v>65417.3824593251</v>
      </c>
      <c r="F1512">
        <v>21314.1821534799</v>
      </c>
      <c r="G1512">
        <v>12359.4217323827</v>
      </c>
      <c r="H1512">
        <v>12301.6918326971</v>
      </c>
      <c r="I1512">
        <v>99090.99</v>
      </c>
      <c r="J1512">
        <v>86789.3</v>
      </c>
      <c r="K1512" s="1"/>
      <c r="L1512" s="1"/>
      <c r="M1512" s="1"/>
      <c r="N1512" s="1"/>
    </row>
    <row r="1513" ht="15.75" customHeight="1">
      <c r="A1513" t="s">
        <v>51</v>
      </c>
      <c r="B1513" t="s">
        <v>54</v>
      </c>
      <c r="C1513" t="s">
        <v>4910</v>
      </c>
      <c r="D1513" t="s">
        <v>1591</v>
      </c>
      <c r="E1513">
        <v>65428.2654292313</v>
      </c>
      <c r="F1513">
        <v>21318.7968718073</v>
      </c>
      <c r="G1513">
        <v>12367.1017358122</v>
      </c>
      <c r="H1513">
        <v>12305.0893833844</v>
      </c>
      <c r="I1513">
        <v>99114.16</v>
      </c>
      <c r="J1513">
        <v>86809.07</v>
      </c>
      <c r="K1513" s="1"/>
      <c r="L1513" s="1"/>
      <c r="M1513" s="1"/>
      <c r="N1513" s="1"/>
    </row>
    <row r="1514" ht="15.75" customHeight="1">
      <c r="A1514" t="s">
        <v>25</v>
      </c>
      <c r="B1514" t="s">
        <v>54</v>
      </c>
      <c r="C1514" t="s">
        <v>4912</v>
      </c>
      <c r="D1514" t="s">
        <v>1592</v>
      </c>
      <c r="E1514">
        <v>65439.1483991375</v>
      </c>
      <c r="F1514">
        <v>21323.4115901348</v>
      </c>
      <c r="G1514">
        <v>12374.7817392417</v>
      </c>
      <c r="H1514">
        <v>12308.4869340717</v>
      </c>
      <c r="I1514">
        <v>99137.34</v>
      </c>
      <c r="J1514">
        <v>86828.85</v>
      </c>
      <c r="K1514" s="1"/>
      <c r="L1514" s="1"/>
      <c r="M1514" s="1"/>
      <c r="N1514" s="1"/>
    </row>
    <row r="1515" ht="15.75" customHeight="1">
      <c r="A1515" t="s">
        <v>17</v>
      </c>
      <c r="B1515" t="s">
        <v>14</v>
      </c>
      <c r="C1515" t="s">
        <v>4911</v>
      </c>
      <c r="D1515" t="s">
        <v>1593</v>
      </c>
      <c r="E1515">
        <v>65450.0313690437</v>
      </c>
      <c r="F1515">
        <v>21328.0263084622</v>
      </c>
      <c r="G1515">
        <v>12382.4617426712</v>
      </c>
      <c r="H1515">
        <v>12311.884484759</v>
      </c>
      <c r="I1515">
        <v>99160.52</v>
      </c>
      <c r="J1515">
        <v>86848.64</v>
      </c>
      <c r="K1515" s="1"/>
      <c r="L1515" s="1"/>
      <c r="M1515" s="1"/>
      <c r="N1515" s="1"/>
    </row>
    <row r="1516" ht="15.75" customHeight="1">
      <c r="A1516" t="s">
        <v>29</v>
      </c>
      <c r="B1516" t="s">
        <v>54</v>
      </c>
      <c r="C1516" t="s">
        <v>4911</v>
      </c>
      <c r="D1516" t="s">
        <v>1594</v>
      </c>
      <c r="E1516">
        <v>65460.9143389499</v>
      </c>
      <c r="F1516">
        <v>21332.6410267896</v>
      </c>
      <c r="G1516">
        <v>12390.1417461007</v>
      </c>
      <c r="H1516">
        <v>12315.2820354463</v>
      </c>
      <c r="I1516">
        <v>99183.7</v>
      </c>
      <c r="J1516">
        <v>86868.42</v>
      </c>
      <c r="K1516" s="1"/>
      <c r="L1516" s="1"/>
      <c r="M1516" s="1"/>
      <c r="N1516" s="1"/>
    </row>
    <row r="1517" ht="15.75" customHeight="1">
      <c r="A1517" t="s">
        <v>13</v>
      </c>
      <c r="B1517" t="s">
        <v>54</v>
      </c>
      <c r="C1517" t="s">
        <v>4917</v>
      </c>
      <c r="D1517" t="s">
        <v>1595</v>
      </c>
      <c r="E1517">
        <v>65482.6802787623</v>
      </c>
      <c r="F1517">
        <v>21341.8704634445</v>
      </c>
      <c r="G1517">
        <v>12405.5017529596</v>
      </c>
      <c r="H1517">
        <v>12322.0771368209</v>
      </c>
      <c r="I1517">
        <v>99230.05</v>
      </c>
      <c r="J1517">
        <v>86907.97</v>
      </c>
      <c r="K1517" s="1"/>
      <c r="L1517" s="1"/>
      <c r="M1517" s="1"/>
      <c r="N1517" s="1"/>
    </row>
    <row r="1518" ht="15.75" customHeight="1">
      <c r="A1518" t="s">
        <v>25</v>
      </c>
      <c r="B1518" t="s">
        <v>33</v>
      </c>
      <c r="C1518" t="s">
        <v>4909</v>
      </c>
      <c r="D1518" t="s">
        <v>1596</v>
      </c>
      <c r="E1518">
        <v>65493.5632486685</v>
      </c>
      <c r="F1518">
        <v>21346.4851817719</v>
      </c>
      <c r="G1518">
        <v>12413.1817563891</v>
      </c>
      <c r="H1518">
        <v>12325.4746875081</v>
      </c>
      <c r="I1518">
        <v>99253.23</v>
      </c>
      <c r="J1518">
        <v>86927.76</v>
      </c>
      <c r="K1518" s="1"/>
      <c r="L1518" s="1"/>
      <c r="M1518" s="1"/>
      <c r="N1518" s="1"/>
    </row>
    <row r="1519" ht="15.75" customHeight="1">
      <c r="A1519" t="s">
        <v>36</v>
      </c>
      <c r="B1519" t="s">
        <v>26</v>
      </c>
      <c r="C1519" t="s">
        <v>4913</v>
      </c>
      <c r="D1519" t="s">
        <v>1597</v>
      </c>
      <c r="E1519">
        <v>65504.4462185747</v>
      </c>
      <c r="F1519">
        <v>21351.0999000993</v>
      </c>
      <c r="G1519">
        <v>12420.8617598186</v>
      </c>
      <c r="H1519">
        <v>12328.8722381954</v>
      </c>
      <c r="I1519">
        <v>99276.41</v>
      </c>
      <c r="J1519">
        <v>86947.54</v>
      </c>
      <c r="K1519" s="1"/>
      <c r="L1519" s="1"/>
      <c r="M1519" s="1"/>
      <c r="N1519" s="1"/>
    </row>
    <row r="1520" ht="15.75" customHeight="1">
      <c r="A1520" t="s">
        <v>51</v>
      </c>
      <c r="B1520" t="s">
        <v>30</v>
      </c>
      <c r="C1520" t="s">
        <v>4905</v>
      </c>
      <c r="D1520" t="s">
        <v>1598</v>
      </c>
      <c r="E1520">
        <v>65515.3291884809</v>
      </c>
      <c r="F1520">
        <v>21355.7146184267</v>
      </c>
      <c r="G1520">
        <v>12428.5417632481</v>
      </c>
      <c r="H1520">
        <v>12332.2697888827</v>
      </c>
      <c r="I1520">
        <v>99299.59</v>
      </c>
      <c r="J1520">
        <v>86967.32</v>
      </c>
      <c r="K1520" s="1"/>
      <c r="L1520" s="1"/>
      <c r="M1520" s="1"/>
      <c r="N1520" s="1"/>
    </row>
    <row r="1521" ht="15.75" customHeight="1">
      <c r="A1521" t="s">
        <v>51</v>
      </c>
      <c r="B1521" t="s">
        <v>54</v>
      </c>
      <c r="C1521" t="s">
        <v>4917</v>
      </c>
      <c r="D1521" t="s">
        <v>1599</v>
      </c>
      <c r="E1521">
        <v>65526.2121583871</v>
      </c>
      <c r="F1521">
        <v>21360.3293367541</v>
      </c>
      <c r="G1521">
        <v>12436.2217666776</v>
      </c>
      <c r="H1521">
        <v>12335.66733957</v>
      </c>
      <c r="I1521">
        <v>99322.76</v>
      </c>
      <c r="J1521">
        <v>86987.09</v>
      </c>
      <c r="K1521" s="1"/>
      <c r="L1521" s="1"/>
      <c r="M1521" s="1"/>
      <c r="N1521" s="1"/>
    </row>
    <row r="1522" ht="15.75" customHeight="1">
      <c r="A1522" t="s">
        <v>53</v>
      </c>
      <c r="B1522" t="s">
        <v>14</v>
      </c>
      <c r="C1522" t="s">
        <v>4905</v>
      </c>
      <c r="D1522" t="s">
        <v>1600</v>
      </c>
      <c r="E1522">
        <v>65537.0951282932</v>
      </c>
      <c r="F1522">
        <v>21364.9440550816</v>
      </c>
      <c r="G1522">
        <v>12443.9017701071</v>
      </c>
      <c r="H1522">
        <v>12339.0648902573</v>
      </c>
      <c r="I1522">
        <v>99345.94</v>
      </c>
      <c r="J1522">
        <v>87006.88</v>
      </c>
      <c r="K1522" s="1"/>
      <c r="L1522" s="1"/>
      <c r="M1522" s="1"/>
      <c r="N1522" s="1"/>
    </row>
    <row r="1523" ht="15.75" customHeight="1">
      <c r="A1523" t="s">
        <v>17</v>
      </c>
      <c r="B1523" t="s">
        <v>54</v>
      </c>
      <c r="C1523" t="s">
        <v>4912</v>
      </c>
      <c r="D1523" t="s">
        <v>1601</v>
      </c>
      <c r="E1523">
        <v>65547.9780981994</v>
      </c>
      <c r="F1523">
        <v>21369.558773409</v>
      </c>
      <c r="G1523">
        <v>12451.5817735366</v>
      </c>
      <c r="H1523">
        <v>12342.4624409446</v>
      </c>
      <c r="I1523">
        <v>99369.12</v>
      </c>
      <c r="J1523">
        <v>87026.66</v>
      </c>
      <c r="K1523" s="1"/>
      <c r="L1523" s="1"/>
      <c r="M1523" s="1"/>
      <c r="N1523" s="1"/>
    </row>
    <row r="1524" ht="15.75" customHeight="1">
      <c r="A1524" t="s">
        <v>25</v>
      </c>
      <c r="B1524" t="s">
        <v>33</v>
      </c>
      <c r="C1524" t="s">
        <v>4905</v>
      </c>
      <c r="D1524" t="s">
        <v>1602</v>
      </c>
      <c r="E1524">
        <v>65558.8610681056</v>
      </c>
      <c r="F1524">
        <v>21374.1734917364</v>
      </c>
      <c r="G1524">
        <v>12459.2617769661</v>
      </c>
      <c r="H1524">
        <v>12345.8599916319</v>
      </c>
      <c r="I1524">
        <v>99392.3</v>
      </c>
      <c r="J1524">
        <v>87046.44</v>
      </c>
      <c r="K1524" s="1"/>
      <c r="L1524" s="1"/>
      <c r="M1524" s="1"/>
      <c r="N1524" s="1"/>
    </row>
    <row r="1525" ht="15.75" customHeight="1">
      <c r="A1525" t="s">
        <v>53</v>
      </c>
      <c r="B1525" t="s">
        <v>30</v>
      </c>
      <c r="C1525" t="s">
        <v>4915</v>
      </c>
      <c r="D1525" t="s">
        <v>1603</v>
      </c>
      <c r="E1525">
        <v>65569.7440380118</v>
      </c>
      <c r="F1525">
        <v>21378.7882100638</v>
      </c>
      <c r="G1525">
        <v>12466.9417803956</v>
      </c>
      <c r="H1525">
        <v>12349.2575423192</v>
      </c>
      <c r="I1525">
        <v>99415.47</v>
      </c>
      <c r="J1525">
        <v>87066.21</v>
      </c>
      <c r="K1525" s="1"/>
      <c r="L1525" s="1"/>
      <c r="M1525" s="1"/>
      <c r="N1525" s="1"/>
    </row>
    <row r="1526" ht="15.75" customHeight="1">
      <c r="A1526" t="s">
        <v>53</v>
      </c>
      <c r="B1526" t="s">
        <v>33</v>
      </c>
      <c r="C1526" t="s">
        <v>4916</v>
      </c>
      <c r="D1526" t="s">
        <v>1604</v>
      </c>
      <c r="E1526">
        <v>65580.627007918</v>
      </c>
      <c r="F1526">
        <v>21383.4029283912</v>
      </c>
      <c r="G1526">
        <v>12474.6217838251</v>
      </c>
      <c r="H1526">
        <v>12352.6550930064</v>
      </c>
      <c r="I1526">
        <v>99438.65</v>
      </c>
      <c r="J1526">
        <v>87085.99</v>
      </c>
      <c r="K1526" s="1"/>
      <c r="L1526" s="1"/>
      <c r="M1526" s="1"/>
      <c r="N1526" s="1"/>
    </row>
    <row r="1527" ht="15.75" customHeight="1">
      <c r="A1527" t="s">
        <v>25</v>
      </c>
      <c r="B1527" t="s">
        <v>18</v>
      </c>
      <c r="C1527" t="s">
        <v>4909</v>
      </c>
      <c r="D1527" t="s">
        <v>1605</v>
      </c>
      <c r="E1527">
        <v>65591.5099778242</v>
      </c>
      <c r="F1527">
        <v>21388.0176467187</v>
      </c>
      <c r="G1527">
        <v>12482.3017872546</v>
      </c>
      <c r="H1527">
        <v>12356.0526436937</v>
      </c>
      <c r="I1527">
        <v>99461.83</v>
      </c>
      <c r="J1527">
        <v>87105.78</v>
      </c>
      <c r="K1527" s="1"/>
      <c r="L1527" s="1"/>
      <c r="M1527" s="1"/>
      <c r="N1527" s="1"/>
    </row>
    <row r="1528" ht="15.75" customHeight="1">
      <c r="A1528" t="s">
        <v>25</v>
      </c>
      <c r="B1528" t="s">
        <v>26</v>
      </c>
      <c r="C1528" t="s">
        <v>4916</v>
      </c>
      <c r="D1528" t="s">
        <v>1606</v>
      </c>
      <c r="E1528">
        <v>65602.3929477304</v>
      </c>
      <c r="F1528">
        <v>21392.6323650461</v>
      </c>
      <c r="G1528">
        <v>12489.9817906841</v>
      </c>
      <c r="H1528">
        <v>12359.450194381</v>
      </c>
      <c r="I1528">
        <v>99485.01</v>
      </c>
      <c r="J1528">
        <v>87125.56</v>
      </c>
      <c r="K1528" s="1"/>
      <c r="L1528" s="1"/>
      <c r="M1528" s="1"/>
      <c r="N1528" s="1"/>
    </row>
    <row r="1529" ht="15.75" customHeight="1">
      <c r="A1529" t="s">
        <v>53</v>
      </c>
      <c r="B1529" t="s">
        <v>14</v>
      </c>
      <c r="C1529" t="s">
        <v>4917</v>
      </c>
      <c r="D1529" t="s">
        <v>1607</v>
      </c>
      <c r="E1529">
        <v>65613.2759176366</v>
      </c>
      <c r="F1529">
        <v>21397.2470833735</v>
      </c>
      <c r="G1529">
        <v>12497.6617941136</v>
      </c>
      <c r="H1529">
        <v>12362.8477450683</v>
      </c>
      <c r="I1529">
        <v>99508.18</v>
      </c>
      <c r="J1529">
        <v>87145.33</v>
      </c>
      <c r="K1529" s="1"/>
      <c r="L1529" s="1"/>
      <c r="M1529" s="1"/>
      <c r="N1529" s="1"/>
    </row>
    <row r="1530" ht="15.75" customHeight="1">
      <c r="A1530" t="s">
        <v>53</v>
      </c>
      <c r="B1530" t="s">
        <v>30</v>
      </c>
      <c r="C1530" t="s">
        <v>4907</v>
      </c>
      <c r="D1530" t="s">
        <v>1608</v>
      </c>
      <c r="E1530">
        <v>65624.1588875428</v>
      </c>
      <c r="F1530">
        <v>21401.8618017009</v>
      </c>
      <c r="G1530">
        <v>12505.3417975431</v>
      </c>
      <c r="H1530">
        <v>12366.2452957556</v>
      </c>
      <c r="I1530">
        <v>99531.36</v>
      </c>
      <c r="J1530">
        <v>87165.11</v>
      </c>
      <c r="K1530" s="1"/>
      <c r="L1530" s="1"/>
      <c r="M1530" s="1"/>
      <c r="N1530" s="1"/>
    </row>
    <row r="1531" ht="15.75" customHeight="1">
      <c r="A1531" t="s">
        <v>51</v>
      </c>
      <c r="B1531" t="s">
        <v>18</v>
      </c>
      <c r="C1531" t="s">
        <v>4914</v>
      </c>
      <c r="D1531" t="s">
        <v>1609</v>
      </c>
      <c r="E1531">
        <v>71902.66457289942</v>
      </c>
      <c r="F1531">
        <v>21406.4765200284</v>
      </c>
      <c r="G1531">
        <v>12513.0218009726</v>
      </c>
      <c r="H1531">
        <v>12369.6428464429</v>
      </c>
      <c r="I1531">
        <v>105822.16</v>
      </c>
      <c r="J1531">
        <v>93452.52</v>
      </c>
      <c r="K1531" s="1"/>
      <c r="L1531" s="1"/>
      <c r="M1531" s="1"/>
      <c r="N1531" s="1"/>
    </row>
    <row r="1532" ht="15.75" customHeight="1">
      <c r="A1532" t="s">
        <v>36</v>
      </c>
      <c r="B1532" t="s">
        <v>30</v>
      </c>
      <c r="C1532" t="s">
        <v>4907</v>
      </c>
      <c r="D1532" t="s">
        <v>1610</v>
      </c>
      <c r="E1532">
        <v>65645.9248273552</v>
      </c>
      <c r="F1532">
        <v>21411.0912383558</v>
      </c>
      <c r="G1532">
        <v>12520.7018044021</v>
      </c>
      <c r="H1532">
        <v>12373.0403971302</v>
      </c>
      <c r="I1532">
        <v>99577.72</v>
      </c>
      <c r="J1532">
        <v>87204.68</v>
      </c>
      <c r="K1532" s="1"/>
      <c r="L1532" s="1"/>
      <c r="M1532" s="1"/>
      <c r="N1532" s="1"/>
    </row>
    <row r="1533" ht="15.75" customHeight="1">
      <c r="A1533" t="s">
        <v>13</v>
      </c>
      <c r="B1533" t="s">
        <v>26</v>
      </c>
      <c r="C1533" t="s">
        <v>4909</v>
      </c>
      <c r="D1533" t="s">
        <v>1611</v>
      </c>
      <c r="E1533">
        <v>65656.8077972614</v>
      </c>
      <c r="F1533">
        <v>21415.7059566832</v>
      </c>
      <c r="G1533">
        <v>12528.3818078316</v>
      </c>
      <c r="H1533">
        <v>12376.4379478175</v>
      </c>
      <c r="I1533">
        <v>99600.9</v>
      </c>
      <c r="J1533">
        <v>87224.46</v>
      </c>
      <c r="K1533" s="1"/>
      <c r="L1533" s="1"/>
      <c r="M1533" s="1"/>
      <c r="N1533" s="1"/>
    </row>
    <row r="1534" ht="15.75" customHeight="1">
      <c r="A1534" t="s">
        <v>13</v>
      </c>
      <c r="B1534" t="s">
        <v>30</v>
      </c>
      <c r="C1534" t="s">
        <v>4907</v>
      </c>
      <c r="D1534" t="s">
        <v>1612</v>
      </c>
      <c r="E1534">
        <v>65667.6907671676</v>
      </c>
      <c r="F1534">
        <v>21420.3206750106</v>
      </c>
      <c r="G1534">
        <v>12536.0618112611</v>
      </c>
      <c r="H1534">
        <v>12379.8354985047</v>
      </c>
      <c r="I1534">
        <v>99624.07</v>
      </c>
      <c r="J1534">
        <v>87244.23</v>
      </c>
      <c r="K1534" s="1"/>
      <c r="L1534" s="1"/>
      <c r="M1534" s="1"/>
      <c r="N1534" s="1"/>
    </row>
    <row r="1535" ht="15.75" customHeight="1">
      <c r="A1535" t="s">
        <v>53</v>
      </c>
      <c r="B1535" t="s">
        <v>14</v>
      </c>
      <c r="C1535" t="s">
        <v>4905</v>
      </c>
      <c r="D1535" t="s">
        <v>1613</v>
      </c>
      <c r="E1535">
        <v>65678.5737370738</v>
      </c>
      <c r="F1535">
        <v>21424.935393338</v>
      </c>
      <c r="G1535">
        <v>12543.7418146906</v>
      </c>
      <c r="H1535">
        <v>12383.233049192</v>
      </c>
      <c r="I1535">
        <v>99647.25</v>
      </c>
      <c r="J1535">
        <v>87264.02</v>
      </c>
      <c r="K1535" s="1"/>
      <c r="L1535" s="1"/>
      <c r="M1535" s="1"/>
      <c r="N1535" s="1"/>
    </row>
    <row r="1536" ht="15.75" customHeight="1">
      <c r="A1536" t="s">
        <v>29</v>
      </c>
      <c r="B1536" t="s">
        <v>54</v>
      </c>
      <c r="C1536" t="s">
        <v>4913</v>
      </c>
      <c r="D1536" t="s">
        <v>1614</v>
      </c>
      <c r="E1536">
        <v>65689.45670698</v>
      </c>
      <c r="F1536">
        <v>21429.5501116655</v>
      </c>
      <c r="G1536">
        <v>12551.4218181201</v>
      </c>
      <c r="H1536">
        <v>12386.6305998793</v>
      </c>
      <c r="I1536">
        <v>99670.43</v>
      </c>
      <c r="J1536">
        <v>87283.8</v>
      </c>
      <c r="K1536" s="1"/>
      <c r="L1536" s="1"/>
      <c r="M1536" s="1"/>
      <c r="N1536" s="1"/>
    </row>
    <row r="1537" ht="15.75" customHeight="1">
      <c r="A1537" t="s">
        <v>13</v>
      </c>
      <c r="B1537" t="s">
        <v>54</v>
      </c>
      <c r="C1537" t="s">
        <v>4917</v>
      </c>
      <c r="D1537" t="s">
        <v>1615</v>
      </c>
      <c r="E1537">
        <v>65700.3396768861</v>
      </c>
      <c r="F1537">
        <v>21434.1648299929</v>
      </c>
      <c r="G1537">
        <v>12559.1018215496</v>
      </c>
      <c r="H1537">
        <v>12390.0281505666</v>
      </c>
      <c r="I1537">
        <v>99693.61</v>
      </c>
      <c r="J1537">
        <v>87303.58</v>
      </c>
      <c r="K1537" s="1"/>
      <c r="L1537" s="1"/>
      <c r="M1537" s="1"/>
      <c r="N1537" s="1"/>
    </row>
    <row r="1538" ht="15.75" customHeight="1">
      <c r="A1538" t="s">
        <v>36</v>
      </c>
      <c r="B1538" t="s">
        <v>14</v>
      </c>
      <c r="C1538" t="s">
        <v>4911</v>
      </c>
      <c r="D1538" t="s">
        <v>1616</v>
      </c>
      <c r="E1538">
        <v>65711.2226467923</v>
      </c>
      <c r="F1538">
        <v>21438.7795483203</v>
      </c>
      <c r="G1538">
        <v>12566.7818249791</v>
      </c>
      <c r="H1538">
        <v>12393.4257012539</v>
      </c>
      <c r="I1538">
        <v>99716.78</v>
      </c>
      <c r="J1538">
        <v>87323.35</v>
      </c>
      <c r="K1538" s="1"/>
      <c r="L1538" s="1"/>
      <c r="M1538" s="1"/>
      <c r="N1538" s="1"/>
    </row>
    <row r="1539" ht="15.75" customHeight="1">
      <c r="A1539" t="s">
        <v>25</v>
      </c>
      <c r="B1539" t="s">
        <v>33</v>
      </c>
      <c r="C1539" t="s">
        <v>4914</v>
      </c>
      <c r="D1539" t="s">
        <v>1617</v>
      </c>
      <c r="E1539">
        <v>65722.1056166985</v>
      </c>
      <c r="F1539">
        <v>21443.3942666477</v>
      </c>
      <c r="G1539">
        <v>12574.4618284086</v>
      </c>
      <c r="H1539">
        <v>12396.8232519412</v>
      </c>
      <c r="I1539">
        <v>99739.96</v>
      </c>
      <c r="J1539">
        <v>87343.14</v>
      </c>
      <c r="K1539" s="1"/>
      <c r="L1539" s="1"/>
      <c r="M1539" s="1"/>
      <c r="N1539" s="1"/>
    </row>
    <row r="1540" ht="15.75" customHeight="1">
      <c r="A1540" t="s">
        <v>13</v>
      </c>
      <c r="B1540" t="s">
        <v>30</v>
      </c>
      <c r="C1540" t="s">
        <v>4908</v>
      </c>
      <c r="D1540" t="s">
        <v>1618</v>
      </c>
      <c r="E1540">
        <v>71656.69906138915</v>
      </c>
      <c r="F1540">
        <v>21448.0089849752</v>
      </c>
      <c r="G1540">
        <v>12582.1418318381</v>
      </c>
      <c r="H1540">
        <v>12400.2208026285</v>
      </c>
      <c r="I1540">
        <v>105686.85</v>
      </c>
      <c r="J1540">
        <v>93286.63</v>
      </c>
      <c r="K1540" s="1"/>
      <c r="L1540" s="1"/>
      <c r="M1540" s="1"/>
      <c r="N1540" s="1"/>
    </row>
    <row r="1541" ht="15.75" customHeight="1">
      <c r="A1541" t="s">
        <v>13</v>
      </c>
      <c r="B1541" t="s">
        <v>18</v>
      </c>
      <c r="C1541" t="s">
        <v>4909</v>
      </c>
      <c r="D1541" t="s">
        <v>1619</v>
      </c>
      <c r="E1541">
        <v>65743.8715565109</v>
      </c>
      <c r="F1541">
        <v>21452.6237033026</v>
      </c>
      <c r="G1541">
        <v>12589.8218352676</v>
      </c>
      <c r="H1541">
        <v>12403.6183533157</v>
      </c>
      <c r="I1541">
        <v>99786.32</v>
      </c>
      <c r="J1541">
        <v>87382.7</v>
      </c>
      <c r="K1541" s="1"/>
      <c r="L1541" s="1"/>
      <c r="M1541" s="1"/>
      <c r="N1541" s="1"/>
    </row>
    <row r="1542" ht="15.75" customHeight="1">
      <c r="A1542" t="s">
        <v>36</v>
      </c>
      <c r="B1542" t="s">
        <v>33</v>
      </c>
      <c r="C1542" t="s">
        <v>4907</v>
      </c>
      <c r="D1542" t="s">
        <v>1620</v>
      </c>
      <c r="E1542">
        <v>65754.7545264171</v>
      </c>
      <c r="F1542">
        <v>21457.23842163</v>
      </c>
      <c r="G1542">
        <v>12597.5018386971</v>
      </c>
      <c r="H1542">
        <v>12407.015904003</v>
      </c>
      <c r="I1542">
        <v>99809.49</v>
      </c>
      <c r="J1542">
        <v>87402.47</v>
      </c>
      <c r="K1542" s="1"/>
      <c r="L1542" s="1"/>
      <c r="M1542" s="1"/>
      <c r="N1542" s="1"/>
    </row>
    <row r="1543" ht="15.75" customHeight="1">
      <c r="A1543" t="s">
        <v>17</v>
      </c>
      <c r="B1543" t="s">
        <v>26</v>
      </c>
      <c r="C1543" t="s">
        <v>4917</v>
      </c>
      <c r="D1543" t="s">
        <v>1621</v>
      </c>
      <c r="E1543">
        <v>65765.6374963233</v>
      </c>
      <c r="F1543">
        <v>21461.8531399574</v>
      </c>
      <c r="G1543">
        <v>12605.1818421266</v>
      </c>
      <c r="H1543">
        <v>12410.4134546903</v>
      </c>
      <c r="I1543">
        <v>99832.67</v>
      </c>
      <c r="J1543">
        <v>87422.26</v>
      </c>
      <c r="K1543" s="1"/>
      <c r="L1543" s="1"/>
      <c r="M1543" s="1"/>
      <c r="N1543" s="1"/>
    </row>
    <row r="1544" ht="15.75" customHeight="1">
      <c r="A1544" t="s">
        <v>51</v>
      </c>
      <c r="B1544" t="s">
        <v>30</v>
      </c>
      <c r="C1544" t="s">
        <v>4908</v>
      </c>
      <c r="D1544" t="s">
        <v>1622</v>
      </c>
      <c r="E1544">
        <v>65776.5204662295</v>
      </c>
      <c r="F1544">
        <v>21466.4678582848</v>
      </c>
      <c r="G1544">
        <v>12612.8618455561</v>
      </c>
      <c r="H1544">
        <v>12413.8110053776</v>
      </c>
      <c r="I1544">
        <v>99855.85</v>
      </c>
      <c r="J1544">
        <v>87442.04</v>
      </c>
      <c r="K1544" s="1"/>
      <c r="L1544" s="1"/>
      <c r="M1544" s="1"/>
      <c r="N1544" s="1"/>
    </row>
    <row r="1545" ht="15.75" customHeight="1">
      <c r="A1545" t="s">
        <v>36</v>
      </c>
      <c r="B1545" t="s">
        <v>26</v>
      </c>
      <c r="C1545" t="s">
        <v>4910</v>
      </c>
      <c r="D1545" t="s">
        <v>1623</v>
      </c>
      <c r="E1545">
        <v>65787.4034361357</v>
      </c>
      <c r="F1545">
        <v>21471.0825766123</v>
      </c>
      <c r="G1545">
        <v>12620.5418489856</v>
      </c>
      <c r="H1545">
        <v>12417.2085560649</v>
      </c>
      <c r="I1545">
        <v>99879.03</v>
      </c>
      <c r="J1545">
        <v>87461.82</v>
      </c>
      <c r="K1545" s="1"/>
      <c r="L1545" s="1"/>
      <c r="M1545" s="1"/>
      <c r="N1545" s="1"/>
    </row>
    <row r="1546" ht="15.75" customHeight="1">
      <c r="A1546" t="s">
        <v>53</v>
      </c>
      <c r="B1546" t="s">
        <v>30</v>
      </c>
      <c r="C1546" t="s">
        <v>4917</v>
      </c>
      <c r="D1546" t="s">
        <v>1624</v>
      </c>
      <c r="E1546">
        <v>72159.94658517206</v>
      </c>
      <c r="F1546">
        <v>21475.6972949397</v>
      </c>
      <c r="G1546">
        <v>12628.2218524151</v>
      </c>
      <c r="H1546">
        <v>12420.6061067522</v>
      </c>
      <c r="I1546">
        <v>106263.87</v>
      </c>
      <c r="J1546">
        <v>93843.26</v>
      </c>
      <c r="K1546" s="1"/>
      <c r="L1546" s="1"/>
      <c r="M1546" s="1"/>
      <c r="N1546" s="1"/>
    </row>
    <row r="1547" ht="15.75" customHeight="1">
      <c r="A1547" t="s">
        <v>51</v>
      </c>
      <c r="B1547" t="s">
        <v>26</v>
      </c>
      <c r="C1547" t="s">
        <v>4915</v>
      </c>
      <c r="D1547" t="s">
        <v>1625</v>
      </c>
      <c r="E1547">
        <v>65809.1693759481</v>
      </c>
      <c r="F1547">
        <v>21480.3120132671</v>
      </c>
      <c r="G1547">
        <v>12635.9018558446</v>
      </c>
      <c r="H1547">
        <v>12424.0036574395</v>
      </c>
      <c r="I1547">
        <v>99925.38</v>
      </c>
      <c r="J1547">
        <v>87501.38</v>
      </c>
      <c r="K1547" s="1"/>
      <c r="L1547" s="1"/>
      <c r="M1547" s="1"/>
      <c r="N1547" s="1"/>
    </row>
    <row r="1548" ht="15.75" customHeight="1">
      <c r="A1548" t="s">
        <v>25</v>
      </c>
      <c r="B1548" t="s">
        <v>33</v>
      </c>
      <c r="C1548" t="s">
        <v>4905</v>
      </c>
      <c r="D1548" t="s">
        <v>1626</v>
      </c>
      <c r="E1548">
        <v>65820.0523458543</v>
      </c>
      <c r="F1548">
        <v>21484.9267315945</v>
      </c>
      <c r="G1548">
        <v>12643.5818592741</v>
      </c>
      <c r="H1548">
        <v>12427.4012081268</v>
      </c>
      <c r="I1548">
        <v>99948.56</v>
      </c>
      <c r="J1548">
        <v>87521.16</v>
      </c>
      <c r="K1548" s="1"/>
      <c r="L1548" s="1"/>
      <c r="M1548" s="1"/>
      <c r="N1548" s="1"/>
    </row>
    <row r="1549" ht="15.75" customHeight="1">
      <c r="A1549" t="s">
        <v>51</v>
      </c>
      <c r="B1549" t="s">
        <v>54</v>
      </c>
      <c r="C1549" t="s">
        <v>4912</v>
      </c>
      <c r="D1549" t="s">
        <v>1627</v>
      </c>
      <c r="E1549">
        <v>65830.9353157605</v>
      </c>
      <c r="F1549">
        <v>21489.541449922</v>
      </c>
      <c r="G1549">
        <v>12651.2618627036</v>
      </c>
      <c r="H1549">
        <v>12430.798758814</v>
      </c>
      <c r="I1549">
        <v>99971.74</v>
      </c>
      <c r="J1549">
        <v>87540.94</v>
      </c>
      <c r="K1549" s="1"/>
      <c r="L1549" s="1"/>
      <c r="M1549" s="1"/>
      <c r="N1549" s="1"/>
    </row>
    <row r="1550" ht="15.75" customHeight="1">
      <c r="A1550" t="s">
        <v>51</v>
      </c>
      <c r="B1550" t="s">
        <v>18</v>
      </c>
      <c r="C1550" t="s">
        <v>4913</v>
      </c>
      <c r="D1550" t="s">
        <v>1628</v>
      </c>
      <c r="E1550">
        <v>65841.8182856667</v>
      </c>
      <c r="F1550">
        <v>21494.1561682494</v>
      </c>
      <c r="G1550">
        <v>12658.9418661331</v>
      </c>
      <c r="H1550">
        <v>12434.1963095013</v>
      </c>
      <c r="I1550">
        <v>99994.92</v>
      </c>
      <c r="J1550">
        <v>87560.72</v>
      </c>
      <c r="K1550" s="1"/>
      <c r="L1550" s="1"/>
      <c r="M1550" s="1"/>
      <c r="N1550" s="1"/>
    </row>
    <row r="1551" ht="15.75" customHeight="1">
      <c r="A1551" t="s">
        <v>13</v>
      </c>
      <c r="B1551" t="s">
        <v>18</v>
      </c>
      <c r="C1551" t="s">
        <v>4908</v>
      </c>
      <c r="D1551" t="s">
        <v>1629</v>
      </c>
      <c r="E1551">
        <v>65852.7012555729</v>
      </c>
      <c r="F1551">
        <v>21498.7708865768</v>
      </c>
      <c r="G1551">
        <v>12666.6218695626</v>
      </c>
      <c r="H1551">
        <v>12437.5938601886</v>
      </c>
      <c r="I1551">
        <v>100018.09</v>
      </c>
      <c r="J1551">
        <v>87580.5</v>
      </c>
      <c r="K1551" s="1"/>
      <c r="L1551" s="1"/>
      <c r="M1551" s="1"/>
      <c r="N1551" s="1"/>
    </row>
    <row r="1552" ht="15.75" customHeight="1">
      <c r="A1552" t="s">
        <v>51</v>
      </c>
      <c r="B1552" t="s">
        <v>33</v>
      </c>
      <c r="C1552" t="s">
        <v>4915</v>
      </c>
      <c r="D1552" t="s">
        <v>1630</v>
      </c>
      <c r="E1552">
        <v>65863.584225479</v>
      </c>
      <c r="F1552">
        <v>21503.3856049042</v>
      </c>
      <c r="G1552">
        <v>12674.3018729921</v>
      </c>
      <c r="H1552">
        <v>12440.9914108759</v>
      </c>
      <c r="I1552">
        <v>100041.27</v>
      </c>
      <c r="J1552">
        <v>87600.28</v>
      </c>
      <c r="K1552" s="1"/>
      <c r="L1552" s="1"/>
      <c r="M1552" s="1"/>
      <c r="N1552" s="1"/>
    </row>
    <row r="1553" ht="15.75" customHeight="1">
      <c r="A1553" t="s">
        <v>29</v>
      </c>
      <c r="B1553" t="s">
        <v>26</v>
      </c>
      <c r="C1553" t="s">
        <v>4908</v>
      </c>
      <c r="D1553" t="s">
        <v>1631</v>
      </c>
      <c r="E1553">
        <v>65874.4671953852</v>
      </c>
      <c r="F1553">
        <v>21508.0003232316</v>
      </c>
      <c r="G1553">
        <v>12681.9818764215</v>
      </c>
      <c r="H1553">
        <v>12444.3889615632</v>
      </c>
      <c r="I1553">
        <v>100064.45</v>
      </c>
      <c r="J1553">
        <v>87620.06</v>
      </c>
      <c r="K1553" s="1"/>
      <c r="L1553" s="1"/>
      <c r="M1553" s="1"/>
      <c r="N1553" s="1"/>
    </row>
    <row r="1554" ht="15.75" customHeight="1">
      <c r="A1554" t="s">
        <v>36</v>
      </c>
      <c r="B1554" t="s">
        <v>54</v>
      </c>
      <c r="C1554" t="s">
        <v>4915</v>
      </c>
      <c r="D1554" t="s">
        <v>1632</v>
      </c>
      <c r="E1554">
        <v>65885.3501652914</v>
      </c>
      <c r="F1554">
        <v>21512.6150415591</v>
      </c>
      <c r="G1554">
        <v>12689.661879851</v>
      </c>
      <c r="H1554">
        <v>12447.7865122505</v>
      </c>
      <c r="I1554">
        <v>100087.63</v>
      </c>
      <c r="J1554">
        <v>87639.84</v>
      </c>
      <c r="K1554" s="1"/>
      <c r="L1554" s="1"/>
      <c r="M1554" s="1"/>
      <c r="N1554" s="1"/>
    </row>
    <row r="1555" ht="15.75" customHeight="1">
      <c r="A1555" t="s">
        <v>29</v>
      </c>
      <c r="B1555" t="s">
        <v>18</v>
      </c>
      <c r="C1555" t="s">
        <v>4916</v>
      </c>
      <c r="D1555" t="s">
        <v>1633</v>
      </c>
      <c r="E1555">
        <v>65896.2331351976</v>
      </c>
      <c r="F1555">
        <v>21517.2297598865</v>
      </c>
      <c r="G1555">
        <v>12697.3418832805</v>
      </c>
      <c r="H1555">
        <v>12451.1840629378</v>
      </c>
      <c r="I1555">
        <v>100110.8</v>
      </c>
      <c r="J1555">
        <v>87659.62</v>
      </c>
      <c r="K1555" s="1"/>
      <c r="L1555" s="1"/>
      <c r="M1555" s="1"/>
      <c r="N1555" s="1"/>
    </row>
    <row r="1556" ht="15.75" customHeight="1">
      <c r="A1556" t="s">
        <v>13</v>
      </c>
      <c r="B1556" t="s">
        <v>26</v>
      </c>
      <c r="C1556" t="s">
        <v>4917</v>
      </c>
      <c r="D1556" t="s">
        <v>1634</v>
      </c>
      <c r="E1556">
        <v>65907.1161051038</v>
      </c>
      <c r="F1556">
        <v>21521.8444782139</v>
      </c>
      <c r="G1556">
        <v>12705.02188671</v>
      </c>
      <c r="H1556">
        <v>12454.5816136251</v>
      </c>
      <c r="I1556">
        <v>100133.98</v>
      </c>
      <c r="J1556">
        <v>87679.4</v>
      </c>
      <c r="K1556" s="1"/>
      <c r="L1556" s="1"/>
      <c r="M1556" s="1"/>
      <c r="N1556" s="1"/>
    </row>
    <row r="1557" ht="15.75" customHeight="1">
      <c r="A1557" t="s">
        <v>17</v>
      </c>
      <c r="B1557" t="s">
        <v>26</v>
      </c>
      <c r="C1557" t="s">
        <v>4907</v>
      </c>
      <c r="D1557" t="s">
        <v>1635</v>
      </c>
      <c r="E1557">
        <v>65917.99907501</v>
      </c>
      <c r="F1557">
        <v>21526.4591965413</v>
      </c>
      <c r="G1557">
        <v>12712.7018901395</v>
      </c>
      <c r="H1557">
        <v>12457.9791643123</v>
      </c>
      <c r="I1557">
        <v>100157.16</v>
      </c>
      <c r="J1557">
        <v>87699.18</v>
      </c>
      <c r="K1557" s="1"/>
      <c r="L1557" s="1"/>
      <c r="M1557" s="1"/>
      <c r="N1557" s="1"/>
    </row>
    <row r="1558" ht="15.75" customHeight="1">
      <c r="A1558" t="s">
        <v>53</v>
      </c>
      <c r="B1558" t="s">
        <v>30</v>
      </c>
      <c r="C1558" t="s">
        <v>4914</v>
      </c>
      <c r="D1558" t="s">
        <v>1636</v>
      </c>
      <c r="E1558">
        <v>65928.8820449162</v>
      </c>
      <c r="F1558">
        <v>21531.0739148688</v>
      </c>
      <c r="G1558">
        <v>12720.381893569</v>
      </c>
      <c r="H1558">
        <v>12461.3767149996</v>
      </c>
      <c r="I1558">
        <v>100180.34</v>
      </c>
      <c r="J1558">
        <v>87718.96</v>
      </c>
      <c r="K1558" s="1"/>
      <c r="L1558" s="1"/>
      <c r="M1558" s="1"/>
      <c r="N1558" s="1"/>
    </row>
    <row r="1559" ht="15.75" customHeight="1">
      <c r="A1559" t="s">
        <v>51</v>
      </c>
      <c r="B1559" t="s">
        <v>30</v>
      </c>
      <c r="C1559" t="s">
        <v>4915</v>
      </c>
      <c r="D1559" t="s">
        <v>1637</v>
      </c>
      <c r="E1559">
        <v>65939.7650148224</v>
      </c>
      <c r="F1559">
        <v>21535.6886331962</v>
      </c>
      <c r="G1559">
        <v>12728.0618969985</v>
      </c>
      <c r="H1559">
        <v>12464.7742656869</v>
      </c>
      <c r="I1559">
        <v>100203.52</v>
      </c>
      <c r="J1559">
        <v>87738.75</v>
      </c>
      <c r="K1559" s="1"/>
      <c r="L1559" s="1"/>
      <c r="M1559" s="1"/>
      <c r="N1559" s="1"/>
    </row>
    <row r="1560" ht="15.75" customHeight="1">
      <c r="A1560" t="s">
        <v>51</v>
      </c>
      <c r="B1560" t="s">
        <v>18</v>
      </c>
      <c r="C1560" t="s">
        <v>4910</v>
      </c>
      <c r="D1560" t="s">
        <v>1638</v>
      </c>
      <c r="E1560">
        <v>65950.6479847286</v>
      </c>
      <c r="F1560">
        <v>21540.3033515236</v>
      </c>
      <c r="G1560">
        <v>12735.741900428</v>
      </c>
      <c r="H1560">
        <v>12468.1718163742</v>
      </c>
      <c r="I1560">
        <v>100226.69</v>
      </c>
      <c r="J1560">
        <v>87758.52</v>
      </c>
      <c r="K1560" s="1"/>
      <c r="L1560" s="1"/>
      <c r="M1560" s="1"/>
      <c r="N1560" s="1"/>
    </row>
    <row r="1561" ht="15.75" customHeight="1">
      <c r="A1561" t="s">
        <v>29</v>
      </c>
      <c r="B1561" t="s">
        <v>26</v>
      </c>
      <c r="C1561" t="s">
        <v>4905</v>
      </c>
      <c r="D1561" t="s">
        <v>1639</v>
      </c>
      <c r="E1561">
        <v>65961.5309546348</v>
      </c>
      <c r="F1561">
        <v>21544.918069851</v>
      </c>
      <c r="G1561">
        <v>12743.4219038575</v>
      </c>
      <c r="H1561">
        <v>12471.5693670615</v>
      </c>
      <c r="I1561">
        <v>100249.87</v>
      </c>
      <c r="J1561">
        <v>87778.3</v>
      </c>
      <c r="K1561" s="1"/>
      <c r="L1561" s="1"/>
      <c r="M1561" s="1"/>
      <c r="N1561" s="1"/>
    </row>
    <row r="1562" ht="15.75" customHeight="1">
      <c r="A1562" t="s">
        <v>29</v>
      </c>
      <c r="B1562" t="s">
        <v>33</v>
      </c>
      <c r="C1562" t="s">
        <v>4913</v>
      </c>
      <c r="D1562" t="s">
        <v>1641</v>
      </c>
      <c r="E1562">
        <v>65972.413924541</v>
      </c>
      <c r="F1562">
        <v>21549.5327881784</v>
      </c>
      <c r="G1562">
        <v>12751.101907287</v>
      </c>
      <c r="H1562">
        <v>12474.9669177488</v>
      </c>
      <c r="I1562">
        <v>100273.05</v>
      </c>
      <c r="J1562">
        <v>87798.08</v>
      </c>
      <c r="K1562" s="1"/>
      <c r="L1562" s="1"/>
      <c r="M1562" s="1"/>
      <c r="N1562" s="1"/>
    </row>
    <row r="1563" ht="15.75" customHeight="1">
      <c r="A1563" t="s">
        <v>36</v>
      </c>
      <c r="B1563" t="s">
        <v>26</v>
      </c>
      <c r="C1563" t="s">
        <v>4915</v>
      </c>
      <c r="D1563" t="s">
        <v>1642</v>
      </c>
      <c r="E1563">
        <v>65983.2968944472</v>
      </c>
      <c r="F1563">
        <v>21554.1475065059</v>
      </c>
      <c r="G1563">
        <v>12758.7819107165</v>
      </c>
      <c r="H1563">
        <v>12478.3644684361</v>
      </c>
      <c r="I1563">
        <v>100296.23</v>
      </c>
      <c r="J1563">
        <v>87817.87</v>
      </c>
      <c r="K1563" s="1"/>
      <c r="L1563" s="1"/>
      <c r="M1563" s="1"/>
      <c r="N1563" s="1"/>
    </row>
    <row r="1564" ht="15.75" customHeight="1">
      <c r="A1564" t="s">
        <v>17</v>
      </c>
      <c r="B1564" t="s">
        <v>37</v>
      </c>
      <c r="C1564" t="s">
        <v>4908</v>
      </c>
      <c r="D1564" t="s">
        <v>1643</v>
      </c>
      <c r="E1564">
        <v>65994.1798643534</v>
      </c>
      <c r="F1564">
        <v>21558.7622248333</v>
      </c>
      <c r="G1564">
        <v>12766.461914146</v>
      </c>
      <c r="H1564">
        <v>12481.7620191234</v>
      </c>
      <c r="I1564">
        <v>100319.4</v>
      </c>
      <c r="J1564">
        <v>87837.64</v>
      </c>
      <c r="K1564" s="1"/>
      <c r="L1564" s="1"/>
      <c r="M1564" s="1"/>
      <c r="N1564" s="1"/>
    </row>
    <row r="1565" ht="15.75" customHeight="1">
      <c r="A1565" t="s">
        <v>53</v>
      </c>
      <c r="B1565" t="s">
        <v>37</v>
      </c>
      <c r="C1565" t="s">
        <v>4917</v>
      </c>
      <c r="D1565" t="s">
        <v>1644</v>
      </c>
      <c r="E1565">
        <v>66005.0628342596</v>
      </c>
      <c r="F1565">
        <v>21563.3769431607</v>
      </c>
      <c r="G1565">
        <v>12774.1419175755</v>
      </c>
      <c r="H1565">
        <v>12485.1595698106</v>
      </c>
      <c r="I1565">
        <v>100342.58</v>
      </c>
      <c r="J1565">
        <v>87857.42</v>
      </c>
      <c r="K1565" s="1"/>
      <c r="L1565" s="1"/>
      <c r="M1565" s="1"/>
      <c r="N1565" s="1"/>
    </row>
    <row r="1566" ht="15.75" customHeight="1">
      <c r="A1566" t="s">
        <v>36</v>
      </c>
      <c r="B1566" t="s">
        <v>37</v>
      </c>
      <c r="C1566" t="s">
        <v>4905</v>
      </c>
      <c r="D1566" t="s">
        <v>1645</v>
      </c>
      <c r="E1566">
        <v>66015.9458041658</v>
      </c>
      <c r="F1566">
        <v>21567.9916614881</v>
      </c>
      <c r="G1566">
        <v>12781.821921005</v>
      </c>
      <c r="H1566">
        <v>12488.5571204979</v>
      </c>
      <c r="I1566">
        <v>100365.76</v>
      </c>
      <c r="J1566">
        <v>87877.2</v>
      </c>
      <c r="K1566" s="1"/>
      <c r="L1566" s="1"/>
      <c r="M1566" s="1"/>
      <c r="N1566" s="1"/>
    </row>
    <row r="1567" ht="15.75" customHeight="1">
      <c r="A1567" t="s">
        <v>36</v>
      </c>
      <c r="B1567" t="s">
        <v>54</v>
      </c>
      <c r="C1567" t="s">
        <v>4907</v>
      </c>
      <c r="D1567" t="s">
        <v>1646</v>
      </c>
      <c r="E1567">
        <v>66037.7117439781</v>
      </c>
      <c r="F1567">
        <v>21577.221098143</v>
      </c>
      <c r="G1567">
        <v>12797.181927864</v>
      </c>
      <c r="H1567">
        <v>12495.3522218725</v>
      </c>
      <c r="I1567">
        <v>100412.11</v>
      </c>
      <c r="J1567">
        <v>87916.76</v>
      </c>
      <c r="K1567" s="1"/>
      <c r="L1567" s="1"/>
      <c r="M1567" s="1"/>
      <c r="N1567" s="1"/>
    </row>
    <row r="1568" ht="15.75" customHeight="1">
      <c r="A1568" t="s">
        <v>53</v>
      </c>
      <c r="B1568" t="s">
        <v>54</v>
      </c>
      <c r="C1568" t="s">
        <v>4907</v>
      </c>
      <c r="D1568" t="s">
        <v>1647</v>
      </c>
      <c r="E1568">
        <v>66048.5947138843</v>
      </c>
      <c r="F1568">
        <v>21581.8358164704</v>
      </c>
      <c r="G1568">
        <v>12804.8619312935</v>
      </c>
      <c r="H1568">
        <v>12498.7497725598</v>
      </c>
      <c r="I1568">
        <v>100435.29</v>
      </c>
      <c r="J1568">
        <v>87936.54</v>
      </c>
      <c r="K1568" s="1"/>
      <c r="L1568" s="1"/>
      <c r="M1568" s="1"/>
      <c r="N1568" s="1"/>
    </row>
    <row r="1569" ht="15.75" customHeight="1">
      <c r="A1569" t="s">
        <v>53</v>
      </c>
      <c r="B1569" t="s">
        <v>14</v>
      </c>
      <c r="C1569" t="s">
        <v>4905</v>
      </c>
      <c r="D1569" t="s">
        <v>1648</v>
      </c>
      <c r="E1569">
        <v>66059.4776837905</v>
      </c>
      <c r="F1569">
        <v>21586.4505347978</v>
      </c>
      <c r="G1569">
        <v>12812.541934723</v>
      </c>
      <c r="H1569">
        <v>12502.1473232471</v>
      </c>
      <c r="I1569">
        <v>100458.47</v>
      </c>
      <c r="J1569">
        <v>87956.32</v>
      </c>
      <c r="K1569" s="1"/>
      <c r="L1569" s="1"/>
      <c r="M1569" s="1"/>
      <c r="N1569" s="1"/>
    </row>
    <row r="1570" ht="15.75" customHeight="1">
      <c r="A1570" t="s">
        <v>25</v>
      </c>
      <c r="B1570" t="s">
        <v>14</v>
      </c>
      <c r="C1570" t="s">
        <v>4917</v>
      </c>
      <c r="D1570" t="s">
        <v>1649</v>
      </c>
      <c r="E1570">
        <v>66070.3606536967</v>
      </c>
      <c r="F1570">
        <v>21591.0652531252</v>
      </c>
      <c r="G1570">
        <v>12820.2219381525</v>
      </c>
      <c r="H1570">
        <v>12505.5448739344</v>
      </c>
      <c r="I1570">
        <v>100481.65</v>
      </c>
      <c r="J1570">
        <v>87976.11</v>
      </c>
      <c r="K1570" s="1"/>
      <c r="L1570" s="1"/>
      <c r="M1570" s="1"/>
      <c r="N1570" s="1"/>
    </row>
    <row r="1571" ht="15.75" customHeight="1">
      <c r="A1571" t="s">
        <v>51</v>
      </c>
      <c r="B1571" t="s">
        <v>14</v>
      </c>
      <c r="C1571" t="s">
        <v>4915</v>
      </c>
      <c r="D1571" t="s">
        <v>1650</v>
      </c>
      <c r="E1571">
        <v>66081.2436236029</v>
      </c>
      <c r="F1571">
        <v>21595.6799714527</v>
      </c>
      <c r="G1571">
        <v>12827.901941582</v>
      </c>
      <c r="H1571">
        <v>12508.9424246216</v>
      </c>
      <c r="I1571">
        <v>100504.83</v>
      </c>
      <c r="J1571">
        <v>87995.89</v>
      </c>
      <c r="K1571" s="1"/>
      <c r="L1571" s="1"/>
      <c r="M1571" s="1"/>
      <c r="N1571" s="1"/>
    </row>
    <row r="1572" ht="15.75" customHeight="1">
      <c r="A1572" t="s">
        <v>53</v>
      </c>
      <c r="B1572" t="s">
        <v>54</v>
      </c>
      <c r="C1572" t="s">
        <v>4911</v>
      </c>
      <c r="D1572" t="s">
        <v>1651</v>
      </c>
      <c r="E1572">
        <v>66103.0095634153</v>
      </c>
      <c r="F1572">
        <v>21604.9094081075</v>
      </c>
      <c r="G1572">
        <v>12843.261948441</v>
      </c>
      <c r="H1572">
        <v>12515.7375259962</v>
      </c>
      <c r="I1572">
        <v>100551.18</v>
      </c>
      <c r="J1572">
        <v>88035.44</v>
      </c>
      <c r="K1572" s="1"/>
      <c r="L1572" s="1"/>
      <c r="M1572" s="1"/>
      <c r="N1572" s="1"/>
    </row>
    <row r="1573" ht="15.75" customHeight="1">
      <c r="A1573" t="s">
        <v>17</v>
      </c>
      <c r="B1573" t="s">
        <v>37</v>
      </c>
      <c r="C1573" t="s">
        <v>4910</v>
      </c>
      <c r="D1573" t="s">
        <v>1652</v>
      </c>
      <c r="E1573">
        <v>66113.8925333215</v>
      </c>
      <c r="F1573">
        <v>21609.5241264349</v>
      </c>
      <c r="G1573">
        <v>12850.9419518705</v>
      </c>
      <c r="H1573">
        <v>12519.1350766835</v>
      </c>
      <c r="I1573">
        <v>100574.36</v>
      </c>
      <c r="J1573">
        <v>88055.22</v>
      </c>
      <c r="K1573" s="1"/>
      <c r="L1573" s="1"/>
      <c r="M1573" s="1"/>
      <c r="N1573" s="1"/>
    </row>
    <row r="1574" ht="15.75" customHeight="1">
      <c r="A1574" t="s">
        <v>17</v>
      </c>
      <c r="B1574" t="s">
        <v>14</v>
      </c>
      <c r="C1574" t="s">
        <v>4913</v>
      </c>
      <c r="D1574" t="s">
        <v>1653</v>
      </c>
      <c r="E1574">
        <v>66124.7755032277</v>
      </c>
      <c r="F1574">
        <v>21614.1388447624</v>
      </c>
      <c r="G1574">
        <v>12858.6219553</v>
      </c>
      <c r="H1574">
        <v>12522.5326273708</v>
      </c>
      <c r="I1574">
        <v>100597.54</v>
      </c>
      <c r="J1574">
        <v>88075.01</v>
      </c>
      <c r="K1574" s="1"/>
      <c r="L1574" s="1"/>
      <c r="M1574" s="1"/>
      <c r="N1574" s="1"/>
    </row>
    <row r="1575" ht="15.75" customHeight="1">
      <c r="A1575" t="s">
        <v>25</v>
      </c>
      <c r="B1575" t="s">
        <v>33</v>
      </c>
      <c r="C1575" t="s">
        <v>4909</v>
      </c>
      <c r="D1575" t="s">
        <v>1654</v>
      </c>
      <c r="E1575">
        <v>66135.6584731339</v>
      </c>
      <c r="F1575">
        <v>21618.7535630898</v>
      </c>
      <c r="G1575">
        <v>12866.3019587295</v>
      </c>
      <c r="H1575">
        <v>12525.9301780581</v>
      </c>
      <c r="I1575">
        <v>100620.71</v>
      </c>
      <c r="J1575">
        <v>88094.78</v>
      </c>
      <c r="K1575" s="1"/>
      <c r="L1575" s="1"/>
      <c r="M1575" s="1"/>
      <c r="N1575" s="1"/>
    </row>
    <row r="1576" ht="15.75" customHeight="1">
      <c r="A1576" t="s">
        <v>36</v>
      </c>
      <c r="B1576" t="s">
        <v>37</v>
      </c>
      <c r="C1576" t="s">
        <v>4913</v>
      </c>
      <c r="D1576" t="s">
        <v>1655</v>
      </c>
      <c r="E1576">
        <v>66146.5414430401</v>
      </c>
      <c r="F1576">
        <v>21623.3682814172</v>
      </c>
      <c r="G1576">
        <v>12873.981962159</v>
      </c>
      <c r="H1576">
        <v>12529.3277287454</v>
      </c>
      <c r="I1576">
        <v>100643.89</v>
      </c>
      <c r="J1576">
        <v>88114.56</v>
      </c>
      <c r="K1576" s="1"/>
      <c r="L1576" s="1"/>
      <c r="M1576" s="1"/>
      <c r="N1576" s="1"/>
    </row>
    <row r="1577" ht="15.75" customHeight="1">
      <c r="A1577" t="s">
        <v>13</v>
      </c>
      <c r="B1577" t="s">
        <v>26</v>
      </c>
      <c r="C1577" t="s">
        <v>4914</v>
      </c>
      <c r="D1577" t="s">
        <v>1656</v>
      </c>
      <c r="E1577">
        <v>66157.4244129463</v>
      </c>
      <c r="F1577">
        <v>21627.9829997446</v>
      </c>
      <c r="G1577">
        <v>12881.6619655885</v>
      </c>
      <c r="H1577">
        <v>12532.7252794327</v>
      </c>
      <c r="I1577">
        <v>100667.07</v>
      </c>
      <c r="J1577">
        <v>88134.34</v>
      </c>
      <c r="K1577" s="1"/>
      <c r="L1577" s="1"/>
      <c r="M1577" s="1"/>
      <c r="N1577" s="1"/>
    </row>
    <row r="1578" ht="15.75" customHeight="1">
      <c r="A1578" t="s">
        <v>53</v>
      </c>
      <c r="B1578" t="s">
        <v>54</v>
      </c>
      <c r="C1578" t="s">
        <v>4909</v>
      </c>
      <c r="D1578" t="s">
        <v>1657</v>
      </c>
      <c r="E1578">
        <v>66168.3073828525</v>
      </c>
      <c r="F1578">
        <v>21632.597718072</v>
      </c>
      <c r="G1578">
        <v>12889.341969018</v>
      </c>
      <c r="H1578">
        <v>12536.1228301199</v>
      </c>
      <c r="I1578">
        <v>100690.25</v>
      </c>
      <c r="J1578">
        <v>88154.13</v>
      </c>
      <c r="K1578" s="1"/>
      <c r="L1578" s="1"/>
      <c r="M1578" s="1"/>
      <c r="N1578" s="1"/>
    </row>
    <row r="1579" ht="15.75" customHeight="1">
      <c r="A1579" t="s">
        <v>25</v>
      </c>
      <c r="B1579" t="s">
        <v>54</v>
      </c>
      <c r="C1579" t="s">
        <v>4916</v>
      </c>
      <c r="D1579" t="s">
        <v>1658</v>
      </c>
      <c r="E1579">
        <v>66179.1903527587</v>
      </c>
      <c r="F1579">
        <v>21637.2124363995</v>
      </c>
      <c r="G1579">
        <v>12897.0219724475</v>
      </c>
      <c r="H1579">
        <v>12539.5203808072</v>
      </c>
      <c r="I1579">
        <v>100713.42</v>
      </c>
      <c r="J1579">
        <v>88173.9</v>
      </c>
      <c r="K1579" s="1"/>
      <c r="L1579" s="1"/>
      <c r="M1579" s="1"/>
      <c r="N1579" s="1"/>
    </row>
    <row r="1580" ht="15.75" customHeight="1">
      <c r="A1580" t="s">
        <v>53</v>
      </c>
      <c r="B1580" t="s">
        <v>14</v>
      </c>
      <c r="C1580" t="s">
        <v>4915</v>
      </c>
      <c r="D1580" t="s">
        <v>1659</v>
      </c>
      <c r="E1580">
        <v>66190.0733226648</v>
      </c>
      <c r="F1580">
        <v>21641.8271547269</v>
      </c>
      <c r="G1580">
        <v>12904.701975877</v>
      </c>
      <c r="H1580">
        <v>12542.9179314945</v>
      </c>
      <c r="I1580">
        <v>100736.6</v>
      </c>
      <c r="J1580">
        <v>88193.68</v>
      </c>
      <c r="K1580" s="1"/>
      <c r="L1580" s="1"/>
      <c r="M1580" s="1"/>
      <c r="N1580" s="1"/>
    </row>
    <row r="1581" ht="15.75" customHeight="1">
      <c r="A1581" t="s">
        <v>36</v>
      </c>
      <c r="B1581" t="s">
        <v>33</v>
      </c>
      <c r="C1581" t="s">
        <v>4908</v>
      </c>
      <c r="D1581" t="s">
        <v>1660</v>
      </c>
      <c r="E1581">
        <v>66200.956292571</v>
      </c>
      <c r="F1581">
        <v>21646.4418730543</v>
      </c>
      <c r="G1581">
        <v>12912.3819793065</v>
      </c>
      <c r="H1581">
        <v>12546.3154821818</v>
      </c>
      <c r="I1581">
        <v>100759.78</v>
      </c>
      <c r="J1581">
        <v>88213.46</v>
      </c>
      <c r="K1581" s="1"/>
      <c r="L1581" s="1"/>
      <c r="M1581" s="1"/>
      <c r="N1581" s="1"/>
    </row>
    <row r="1582" ht="15.75" customHeight="1">
      <c r="A1582" t="s">
        <v>53</v>
      </c>
      <c r="B1582" t="s">
        <v>18</v>
      </c>
      <c r="C1582" t="s">
        <v>4909</v>
      </c>
      <c r="D1582" t="s">
        <v>1661</v>
      </c>
      <c r="E1582">
        <v>66211.8392624772</v>
      </c>
      <c r="F1582">
        <v>21651.0565913817</v>
      </c>
      <c r="G1582">
        <v>12920.061982736</v>
      </c>
      <c r="H1582">
        <v>12549.7130328691</v>
      </c>
      <c r="I1582">
        <v>100782.96</v>
      </c>
      <c r="J1582">
        <v>88233.25</v>
      </c>
      <c r="K1582" s="1"/>
      <c r="L1582" s="1"/>
      <c r="M1582" s="1"/>
      <c r="N1582" s="1"/>
    </row>
    <row r="1583" ht="15.75" customHeight="1">
      <c r="A1583" t="s">
        <v>53</v>
      </c>
      <c r="B1583" t="s">
        <v>30</v>
      </c>
      <c r="C1583" t="s">
        <v>4917</v>
      </c>
      <c r="D1583" t="s">
        <v>1662</v>
      </c>
      <c r="E1583">
        <v>66222.7222323834</v>
      </c>
      <c r="F1583">
        <v>21655.6713097092</v>
      </c>
      <c r="G1583">
        <v>12927.7419861655</v>
      </c>
      <c r="H1583">
        <v>12553.1105835564</v>
      </c>
      <c r="I1583">
        <v>100806.14</v>
      </c>
      <c r="J1583">
        <v>88253.03</v>
      </c>
      <c r="K1583" s="1"/>
      <c r="L1583" s="1"/>
      <c r="M1583" s="1"/>
      <c r="N1583" s="1"/>
    </row>
    <row r="1584" ht="15.75" customHeight="1">
      <c r="A1584" t="s">
        <v>29</v>
      </c>
      <c r="B1584" t="s">
        <v>30</v>
      </c>
      <c r="C1584" t="s">
        <v>4905</v>
      </c>
      <c r="D1584" t="s">
        <v>1663</v>
      </c>
      <c r="E1584">
        <v>66233.6052022896</v>
      </c>
      <c r="F1584">
        <v>21660.2860280366</v>
      </c>
      <c r="G1584">
        <v>12935.421989595</v>
      </c>
      <c r="H1584">
        <v>12556.5081342437</v>
      </c>
      <c r="I1584">
        <v>100829.31</v>
      </c>
      <c r="J1584">
        <v>88272.8</v>
      </c>
      <c r="K1584" s="1"/>
      <c r="L1584" s="1"/>
      <c r="M1584" s="1"/>
      <c r="N1584" s="1"/>
    </row>
    <row r="1585" ht="15.75" customHeight="1">
      <c r="A1585" t="s">
        <v>53</v>
      </c>
      <c r="B1585" t="s">
        <v>33</v>
      </c>
      <c r="C1585" t="s">
        <v>4913</v>
      </c>
      <c r="D1585" t="s">
        <v>1664</v>
      </c>
      <c r="E1585">
        <v>66244.4881721958</v>
      </c>
      <c r="F1585">
        <v>21664.900746364</v>
      </c>
      <c r="G1585">
        <v>12943.1019930245</v>
      </c>
      <c r="H1585">
        <v>12559.905684931</v>
      </c>
      <c r="I1585">
        <v>100852.49</v>
      </c>
      <c r="J1585">
        <v>88292.58</v>
      </c>
      <c r="K1585" s="1"/>
      <c r="L1585" s="1"/>
      <c r="M1585" s="1"/>
      <c r="N1585" s="1"/>
    </row>
    <row r="1586" ht="15.75" customHeight="1">
      <c r="A1586" t="s">
        <v>13</v>
      </c>
      <c r="B1586" t="s">
        <v>14</v>
      </c>
      <c r="C1586" t="s">
        <v>4916</v>
      </c>
      <c r="D1586" t="s">
        <v>1665</v>
      </c>
      <c r="E1586">
        <v>66255.371142102</v>
      </c>
      <c r="F1586">
        <v>21669.5154646914</v>
      </c>
      <c r="G1586">
        <v>12950.781996454</v>
      </c>
      <c r="H1586">
        <v>12563.3032356182</v>
      </c>
      <c r="I1586">
        <v>100875.67</v>
      </c>
      <c r="J1586">
        <v>88312.37</v>
      </c>
      <c r="K1586" s="1"/>
      <c r="L1586" s="1"/>
      <c r="M1586" s="1"/>
      <c r="N1586" s="1"/>
    </row>
    <row r="1587" ht="15.75" customHeight="1">
      <c r="A1587" t="s">
        <v>51</v>
      </c>
      <c r="B1587" t="s">
        <v>26</v>
      </c>
      <c r="C1587" t="s">
        <v>4914</v>
      </c>
      <c r="D1587" t="s">
        <v>1666</v>
      </c>
      <c r="E1587">
        <v>66266.2541120082</v>
      </c>
      <c r="F1587">
        <v>21674.1301830188</v>
      </c>
      <c r="G1587">
        <v>12958.4619998835</v>
      </c>
      <c r="H1587">
        <v>12566.7007863055</v>
      </c>
      <c r="I1587">
        <v>100898.85</v>
      </c>
      <c r="J1587">
        <v>88332.15</v>
      </c>
      <c r="K1587" s="1"/>
      <c r="L1587" s="1"/>
      <c r="M1587" s="1"/>
      <c r="N1587" s="1"/>
    </row>
    <row r="1588" ht="15.75" customHeight="1">
      <c r="A1588" t="s">
        <v>36</v>
      </c>
      <c r="B1588" t="s">
        <v>26</v>
      </c>
      <c r="C1588" t="s">
        <v>4917</v>
      </c>
      <c r="D1588" t="s">
        <v>1667</v>
      </c>
      <c r="E1588">
        <v>66277.1370819144</v>
      </c>
      <c r="F1588">
        <v>21678.7449013463</v>
      </c>
      <c r="G1588">
        <v>12966.1420033129</v>
      </c>
      <c r="H1588">
        <v>12570.0983369928</v>
      </c>
      <c r="I1588">
        <v>100922.02</v>
      </c>
      <c r="J1588">
        <v>88351.92</v>
      </c>
      <c r="K1588" s="1"/>
      <c r="L1588" s="1"/>
      <c r="M1588" s="1"/>
      <c r="N1588" s="1"/>
    </row>
    <row r="1589" ht="15.75" customHeight="1">
      <c r="A1589" t="s">
        <v>36</v>
      </c>
      <c r="B1589" t="s">
        <v>30</v>
      </c>
      <c r="C1589" t="s">
        <v>4908</v>
      </c>
      <c r="D1589" t="s">
        <v>1668</v>
      </c>
      <c r="E1589">
        <v>66288.0200518206</v>
      </c>
      <c r="F1589">
        <v>21683.3596196737</v>
      </c>
      <c r="G1589">
        <v>12973.8220067424</v>
      </c>
      <c r="H1589">
        <v>12573.4958876801</v>
      </c>
      <c r="I1589">
        <v>100945.2</v>
      </c>
      <c r="J1589">
        <v>88371.7</v>
      </c>
      <c r="K1589" s="1"/>
      <c r="L1589" s="1"/>
      <c r="M1589" s="1"/>
      <c r="N1589" s="1"/>
    </row>
    <row r="1590" ht="15.75" customHeight="1">
      <c r="A1590" t="s">
        <v>53</v>
      </c>
      <c r="B1590" t="s">
        <v>18</v>
      </c>
      <c r="C1590" t="s">
        <v>4917</v>
      </c>
      <c r="D1590" t="s">
        <v>1669</v>
      </c>
      <c r="E1590">
        <v>66298.9030217268</v>
      </c>
      <c r="F1590">
        <v>21687.9743380011</v>
      </c>
      <c r="G1590">
        <v>12981.5020101719</v>
      </c>
      <c r="H1590">
        <v>12576.8934383674</v>
      </c>
      <c r="I1590">
        <v>100968.38</v>
      </c>
      <c r="J1590">
        <v>88391.49</v>
      </c>
      <c r="K1590" s="1"/>
      <c r="L1590" s="1"/>
      <c r="M1590" s="1"/>
      <c r="N1590" s="1"/>
    </row>
    <row r="1591" ht="15.75" customHeight="1">
      <c r="A1591" t="s">
        <v>13</v>
      </c>
      <c r="B1591" t="s">
        <v>14</v>
      </c>
      <c r="C1591" t="s">
        <v>4910</v>
      </c>
      <c r="D1591" t="s">
        <v>1670</v>
      </c>
      <c r="E1591">
        <v>66309.785991633</v>
      </c>
      <c r="F1591">
        <v>21692.5890563285</v>
      </c>
      <c r="G1591">
        <v>12989.1820136014</v>
      </c>
      <c r="H1591">
        <v>12580.2909890547</v>
      </c>
      <c r="I1591">
        <v>100991.56</v>
      </c>
      <c r="J1591">
        <v>88411.27</v>
      </c>
      <c r="K1591" s="1"/>
      <c r="L1591" s="1"/>
      <c r="M1591" s="1"/>
      <c r="N1591" s="1"/>
    </row>
    <row r="1592" ht="15.75" customHeight="1">
      <c r="A1592" t="s">
        <v>51</v>
      </c>
      <c r="B1592" t="s">
        <v>18</v>
      </c>
      <c r="C1592" t="s">
        <v>4913</v>
      </c>
      <c r="D1592" t="s">
        <v>1671</v>
      </c>
      <c r="E1592">
        <v>66320.6689615392</v>
      </c>
      <c r="F1592">
        <v>21697.203774656</v>
      </c>
      <c r="G1592">
        <v>12996.8620170309</v>
      </c>
      <c r="H1592">
        <v>12583.688539742</v>
      </c>
      <c r="I1592">
        <v>101014.73</v>
      </c>
      <c r="J1592">
        <v>88431.04</v>
      </c>
      <c r="K1592" s="1"/>
      <c r="L1592" s="1"/>
      <c r="M1592" s="1"/>
      <c r="N1592" s="1"/>
    </row>
    <row r="1593" ht="15.75" customHeight="1">
      <c r="A1593" t="s">
        <v>36</v>
      </c>
      <c r="B1593" t="s">
        <v>33</v>
      </c>
      <c r="C1593" t="s">
        <v>4912</v>
      </c>
      <c r="D1593" t="s">
        <v>1672</v>
      </c>
      <c r="E1593">
        <v>66331.5519314454</v>
      </c>
      <c r="F1593">
        <v>21701.8184929834</v>
      </c>
      <c r="G1593">
        <v>13004.5420204604</v>
      </c>
      <c r="H1593">
        <v>12587.0860904292</v>
      </c>
      <c r="I1593">
        <v>101037.91</v>
      </c>
      <c r="J1593">
        <v>88450.82</v>
      </c>
      <c r="K1593" s="1"/>
      <c r="L1593" s="1"/>
      <c r="M1593" s="1"/>
      <c r="N1593" s="1"/>
    </row>
    <row r="1594" ht="15.75" customHeight="1">
      <c r="A1594" t="s">
        <v>36</v>
      </c>
      <c r="B1594" t="s">
        <v>37</v>
      </c>
      <c r="C1594" t="s">
        <v>4907</v>
      </c>
      <c r="D1594" t="s">
        <v>1673</v>
      </c>
      <c r="E1594">
        <v>66342.4349013516</v>
      </c>
      <c r="F1594">
        <v>21706.4332113108</v>
      </c>
      <c r="G1594">
        <v>13012.2220238899</v>
      </c>
      <c r="H1594">
        <v>12590.4836411165</v>
      </c>
      <c r="I1594">
        <v>101061.09</v>
      </c>
      <c r="J1594">
        <v>88470.61</v>
      </c>
      <c r="K1594" s="1"/>
      <c r="L1594" s="1"/>
      <c r="M1594" s="1"/>
      <c r="N1594" s="1"/>
    </row>
    <row r="1595" ht="15.75" customHeight="1">
      <c r="A1595" t="s">
        <v>53</v>
      </c>
      <c r="B1595" t="s">
        <v>14</v>
      </c>
      <c r="C1595" t="s">
        <v>4908</v>
      </c>
      <c r="D1595" t="s">
        <v>1674</v>
      </c>
      <c r="E1595">
        <v>66353.3178712578</v>
      </c>
      <c r="F1595">
        <v>21711.0479296382</v>
      </c>
      <c r="G1595">
        <v>13019.9020273194</v>
      </c>
      <c r="H1595">
        <v>12593.8811918038</v>
      </c>
      <c r="I1595">
        <v>101084.27</v>
      </c>
      <c r="J1595">
        <v>88490.39</v>
      </c>
      <c r="K1595" s="1"/>
      <c r="L1595" s="1"/>
      <c r="M1595" s="1"/>
      <c r="N1595" s="1"/>
    </row>
    <row r="1596" ht="15.75" customHeight="1">
      <c r="A1596" t="s">
        <v>29</v>
      </c>
      <c r="B1596" t="s">
        <v>54</v>
      </c>
      <c r="C1596" t="s">
        <v>4910</v>
      </c>
      <c r="D1596" t="s">
        <v>1675</v>
      </c>
      <c r="E1596">
        <v>66364.2008411639</v>
      </c>
      <c r="F1596">
        <v>21715.6626479656</v>
      </c>
      <c r="G1596">
        <v>13027.5820307489</v>
      </c>
      <c r="H1596">
        <v>12597.2787424911</v>
      </c>
      <c r="I1596">
        <v>101107.45</v>
      </c>
      <c r="J1596">
        <v>88510.17</v>
      </c>
      <c r="K1596" s="1"/>
      <c r="L1596" s="1"/>
      <c r="M1596" s="1"/>
      <c r="N1596" s="1"/>
    </row>
    <row r="1597" ht="15.75" customHeight="1">
      <c r="A1597" t="s">
        <v>53</v>
      </c>
      <c r="B1597" t="s">
        <v>37</v>
      </c>
      <c r="C1597" t="s">
        <v>4910</v>
      </c>
      <c r="D1597" t="s">
        <v>1676</v>
      </c>
      <c r="E1597">
        <v>66375.0838110701</v>
      </c>
      <c r="F1597">
        <v>21720.2773662931</v>
      </c>
      <c r="G1597">
        <v>13035.2620341784</v>
      </c>
      <c r="H1597">
        <v>12600.6762931784</v>
      </c>
      <c r="I1597">
        <v>101130.62</v>
      </c>
      <c r="J1597">
        <v>88529.94</v>
      </c>
      <c r="K1597" s="1"/>
      <c r="L1597" s="1"/>
      <c r="M1597" s="1"/>
      <c r="N1597" s="1"/>
    </row>
    <row r="1598" ht="15.75" customHeight="1">
      <c r="A1598" t="s">
        <v>36</v>
      </c>
      <c r="B1598" t="s">
        <v>26</v>
      </c>
      <c r="C1598" t="s">
        <v>4907</v>
      </c>
      <c r="D1598" t="s">
        <v>1677</v>
      </c>
      <c r="E1598">
        <v>66396.8497508825</v>
      </c>
      <c r="F1598">
        <v>21729.5068029479</v>
      </c>
      <c r="G1598">
        <v>13050.6220410374</v>
      </c>
      <c r="H1598">
        <v>12607.471394553</v>
      </c>
      <c r="I1598">
        <v>101176.98</v>
      </c>
      <c r="J1598">
        <v>88569.51</v>
      </c>
      <c r="K1598" s="1"/>
      <c r="L1598" s="1"/>
      <c r="M1598" s="1"/>
      <c r="N1598" s="1"/>
    </row>
    <row r="1599" ht="15.75" customHeight="1">
      <c r="A1599" t="s">
        <v>36</v>
      </c>
      <c r="B1599" t="s">
        <v>37</v>
      </c>
      <c r="C1599" t="s">
        <v>4914</v>
      </c>
      <c r="D1599" t="s">
        <v>1678</v>
      </c>
      <c r="E1599">
        <v>66407.7327207887</v>
      </c>
      <c r="F1599">
        <v>21734.1215212753</v>
      </c>
      <c r="G1599">
        <v>13058.3020444669</v>
      </c>
      <c r="H1599">
        <v>12610.8689452403</v>
      </c>
      <c r="I1599">
        <v>101200.16</v>
      </c>
      <c r="J1599">
        <v>88589.29</v>
      </c>
      <c r="K1599" s="1"/>
      <c r="L1599" s="1"/>
      <c r="M1599" s="1"/>
      <c r="N1599" s="1"/>
    </row>
    <row r="1600" ht="15.75" customHeight="1">
      <c r="A1600" t="s">
        <v>36</v>
      </c>
      <c r="B1600" t="s">
        <v>33</v>
      </c>
      <c r="C1600" t="s">
        <v>4911</v>
      </c>
      <c r="D1600" t="s">
        <v>1679</v>
      </c>
      <c r="E1600">
        <v>66418.6156906949</v>
      </c>
      <c r="F1600">
        <v>21738.7362396028</v>
      </c>
      <c r="G1600">
        <v>13065.9820478964</v>
      </c>
      <c r="H1600">
        <v>12614.2664959275</v>
      </c>
      <c r="I1600">
        <v>101223.33</v>
      </c>
      <c r="J1600">
        <v>88609.06</v>
      </c>
      <c r="K1600" s="1"/>
      <c r="L1600" s="1"/>
      <c r="M1600" s="1"/>
      <c r="N1600" s="1"/>
    </row>
    <row r="1601" ht="15.75" customHeight="1">
      <c r="A1601" t="s">
        <v>29</v>
      </c>
      <c r="B1601" t="s">
        <v>54</v>
      </c>
      <c r="C1601" t="s">
        <v>4911</v>
      </c>
      <c r="D1601" t="s">
        <v>1680</v>
      </c>
      <c r="E1601">
        <v>66429.4986606011</v>
      </c>
      <c r="F1601">
        <v>21743.3509579302</v>
      </c>
      <c r="G1601">
        <v>13073.6620513259</v>
      </c>
      <c r="H1601">
        <v>12617.6640466148</v>
      </c>
      <c r="I1601">
        <v>101246.51</v>
      </c>
      <c r="J1601">
        <v>88628.85</v>
      </c>
      <c r="K1601" s="1"/>
      <c r="L1601" s="1"/>
      <c r="M1601" s="1"/>
      <c r="N1601" s="1"/>
    </row>
    <row r="1602" ht="15.75" customHeight="1">
      <c r="A1602" t="s">
        <v>29</v>
      </c>
      <c r="B1602" t="s">
        <v>33</v>
      </c>
      <c r="C1602" t="s">
        <v>4916</v>
      </c>
      <c r="D1602" t="s">
        <v>1681</v>
      </c>
      <c r="E1602">
        <v>66440.3816305073</v>
      </c>
      <c r="F1602">
        <v>21747.9656762576</v>
      </c>
      <c r="G1602">
        <v>13081.3420547554</v>
      </c>
      <c r="H1602">
        <v>12621.0615973021</v>
      </c>
      <c r="I1602">
        <v>101269.69</v>
      </c>
      <c r="J1602">
        <v>88648.63</v>
      </c>
      <c r="K1602" s="1"/>
      <c r="L1602" s="1"/>
      <c r="M1602" s="1"/>
      <c r="N1602" s="1"/>
    </row>
    <row r="1603" ht="15.75" customHeight="1">
      <c r="A1603" t="s">
        <v>36</v>
      </c>
      <c r="B1603" t="s">
        <v>33</v>
      </c>
      <c r="C1603" t="s">
        <v>4912</v>
      </c>
      <c r="D1603" t="s">
        <v>1682</v>
      </c>
      <c r="E1603">
        <v>66451.2646004135</v>
      </c>
      <c r="F1603">
        <v>21752.580394585</v>
      </c>
      <c r="G1603">
        <v>13089.0220581849</v>
      </c>
      <c r="H1603">
        <v>12624.4591479894</v>
      </c>
      <c r="I1603">
        <v>101292.87</v>
      </c>
      <c r="J1603">
        <v>88668.41</v>
      </c>
      <c r="K1603" s="1"/>
      <c r="L1603" s="1"/>
      <c r="M1603" s="1"/>
      <c r="N1603" s="1"/>
    </row>
    <row r="1604" ht="15.75" customHeight="1">
      <c r="A1604" t="s">
        <v>25</v>
      </c>
      <c r="B1604" t="s">
        <v>30</v>
      </c>
      <c r="C1604" t="s">
        <v>4915</v>
      </c>
      <c r="D1604" t="s">
        <v>1683</v>
      </c>
      <c r="E1604">
        <v>66462.1475703197</v>
      </c>
      <c r="F1604">
        <v>21757.1951129124</v>
      </c>
      <c r="G1604">
        <v>13096.7020616144</v>
      </c>
      <c r="H1604">
        <v>12627.8566986767</v>
      </c>
      <c r="I1604">
        <v>101316.04</v>
      </c>
      <c r="J1604">
        <v>88688.18</v>
      </c>
      <c r="K1604" s="1"/>
      <c r="L1604" s="1"/>
      <c r="M1604" s="1"/>
      <c r="N1604" s="1"/>
    </row>
    <row r="1605" ht="15.75" customHeight="1">
      <c r="A1605" t="s">
        <v>17</v>
      </c>
      <c r="B1605" t="s">
        <v>37</v>
      </c>
      <c r="C1605" t="s">
        <v>4910</v>
      </c>
      <c r="D1605" t="s">
        <v>1684</v>
      </c>
      <c r="E1605">
        <v>66473.0305402259</v>
      </c>
      <c r="F1605">
        <v>21761.8098312399</v>
      </c>
      <c r="G1605">
        <v>13104.3820650439</v>
      </c>
      <c r="H1605">
        <v>12631.254249364</v>
      </c>
      <c r="I1605">
        <v>101339.22</v>
      </c>
      <c r="J1605">
        <v>88707.97</v>
      </c>
      <c r="K1605" s="1"/>
      <c r="L1605" s="1"/>
      <c r="M1605" s="1"/>
      <c r="N1605" s="1"/>
    </row>
    <row r="1606" ht="15.75" customHeight="1">
      <c r="A1606" t="s">
        <v>17</v>
      </c>
      <c r="B1606" t="s">
        <v>18</v>
      </c>
      <c r="C1606" t="s">
        <v>4917</v>
      </c>
      <c r="D1606" t="s">
        <v>1685</v>
      </c>
      <c r="E1606">
        <v>66483.9135101321</v>
      </c>
      <c r="F1606">
        <v>21766.4245495673</v>
      </c>
      <c r="G1606">
        <v>13112.0620684734</v>
      </c>
      <c r="H1606">
        <v>12634.6518000513</v>
      </c>
      <c r="I1606">
        <v>101362.4</v>
      </c>
      <c r="J1606">
        <v>88727.75</v>
      </c>
      <c r="K1606" s="1"/>
      <c r="L1606" s="1"/>
      <c r="M1606" s="1"/>
      <c r="N1606" s="1"/>
    </row>
    <row r="1607" ht="15.75" customHeight="1">
      <c r="A1607" t="s">
        <v>25</v>
      </c>
      <c r="B1607" t="s">
        <v>18</v>
      </c>
      <c r="C1607" t="s">
        <v>4905</v>
      </c>
      <c r="D1607" t="s">
        <v>1686</v>
      </c>
      <c r="E1607">
        <v>66494.7964800383</v>
      </c>
      <c r="F1607">
        <v>21771.0392678947</v>
      </c>
      <c r="G1607">
        <v>13119.7420719029</v>
      </c>
      <c r="H1607">
        <v>12638.0493507386</v>
      </c>
      <c r="I1607">
        <v>101385.58</v>
      </c>
      <c r="J1607">
        <v>88747.53</v>
      </c>
      <c r="K1607" s="1"/>
      <c r="L1607" s="1"/>
      <c r="M1607" s="1"/>
      <c r="N1607" s="1"/>
    </row>
    <row r="1608" ht="15.75" customHeight="1">
      <c r="A1608" t="s">
        <v>36</v>
      </c>
      <c r="B1608" t="s">
        <v>30</v>
      </c>
      <c r="C1608" t="s">
        <v>4916</v>
      </c>
      <c r="D1608" t="s">
        <v>1687</v>
      </c>
      <c r="E1608">
        <v>66505.6794499445</v>
      </c>
      <c r="F1608">
        <v>21775.6539862221</v>
      </c>
      <c r="G1608">
        <v>13127.4220753324</v>
      </c>
      <c r="H1608">
        <v>12641.4469014258</v>
      </c>
      <c r="I1608">
        <v>101408.76</v>
      </c>
      <c r="J1608">
        <v>88767.31</v>
      </c>
      <c r="K1608" s="1"/>
      <c r="L1608" s="1"/>
      <c r="M1608" s="1"/>
      <c r="N1608" s="1"/>
    </row>
    <row r="1609" ht="15.75" customHeight="1">
      <c r="A1609" t="s">
        <v>36</v>
      </c>
      <c r="B1609" t="s">
        <v>26</v>
      </c>
      <c r="C1609" t="s">
        <v>4915</v>
      </c>
      <c r="D1609" t="s">
        <v>1688</v>
      </c>
      <c r="E1609">
        <v>66516.5624198507</v>
      </c>
      <c r="F1609">
        <v>21780.2687045495</v>
      </c>
      <c r="G1609">
        <v>13135.1020787619</v>
      </c>
      <c r="H1609">
        <v>12644.8444521131</v>
      </c>
      <c r="I1609">
        <v>101431.93</v>
      </c>
      <c r="J1609">
        <v>88787.09</v>
      </c>
      <c r="K1609" s="1"/>
      <c r="L1609" s="1"/>
      <c r="M1609" s="1"/>
      <c r="N1609" s="1"/>
    </row>
    <row r="1610" ht="15.75" customHeight="1">
      <c r="A1610" t="s">
        <v>36</v>
      </c>
      <c r="B1610" t="s">
        <v>37</v>
      </c>
      <c r="C1610" t="s">
        <v>4916</v>
      </c>
      <c r="D1610" t="s">
        <v>1689</v>
      </c>
      <c r="E1610">
        <v>66527.4453897568</v>
      </c>
      <c r="F1610">
        <v>21784.883422877</v>
      </c>
      <c r="G1610">
        <v>13142.7820821914</v>
      </c>
      <c r="H1610">
        <v>12648.2420028004</v>
      </c>
      <c r="I1610">
        <v>101455.11</v>
      </c>
      <c r="J1610">
        <v>88806.87</v>
      </c>
      <c r="K1610" s="1"/>
      <c r="L1610" s="1"/>
      <c r="M1610" s="1"/>
      <c r="N1610" s="1"/>
    </row>
    <row r="1611" ht="15.75" customHeight="1">
      <c r="A1611" t="s">
        <v>17</v>
      </c>
      <c r="B1611" t="s">
        <v>26</v>
      </c>
      <c r="C1611" t="s">
        <v>4911</v>
      </c>
      <c r="D1611" t="s">
        <v>1690</v>
      </c>
      <c r="E1611">
        <v>66538.328359663</v>
      </c>
      <c r="F1611">
        <v>21789.4981412044</v>
      </c>
      <c r="G1611">
        <v>13150.4620856209</v>
      </c>
      <c r="H1611">
        <v>12651.6395534877</v>
      </c>
      <c r="I1611">
        <v>101478.29</v>
      </c>
      <c r="J1611">
        <v>88826.65</v>
      </c>
      <c r="K1611" s="1"/>
      <c r="L1611" s="1"/>
      <c r="M1611" s="1"/>
      <c r="N1611" s="1"/>
    </row>
    <row r="1612" ht="15.75" customHeight="1">
      <c r="A1612" t="s">
        <v>13</v>
      </c>
      <c r="B1612" t="s">
        <v>14</v>
      </c>
      <c r="C1612" t="s">
        <v>4913</v>
      </c>
      <c r="D1612" t="s">
        <v>1691</v>
      </c>
      <c r="E1612">
        <v>66549.2113295692</v>
      </c>
      <c r="F1612">
        <v>21794.1128595318</v>
      </c>
      <c r="G1612">
        <v>13158.1420890504</v>
      </c>
      <c r="H1612">
        <v>14327.38295125808</v>
      </c>
      <c r="I1612">
        <v>101501.47</v>
      </c>
      <c r="J1612">
        <v>87174.09</v>
      </c>
      <c r="K1612" s="1"/>
      <c r="L1612" s="1"/>
      <c r="M1612" s="1"/>
      <c r="N1612" s="1"/>
    </row>
    <row r="1613" ht="15.75" customHeight="1">
      <c r="A1613" t="s">
        <v>13</v>
      </c>
      <c r="B1613" t="s">
        <v>37</v>
      </c>
      <c r="C1613" t="s">
        <v>4910</v>
      </c>
      <c r="D1613" t="s">
        <v>1692</v>
      </c>
      <c r="E1613">
        <v>66560.0942994754</v>
      </c>
      <c r="F1613">
        <v>21798.7275778592</v>
      </c>
      <c r="G1613">
        <v>13165.8220924799</v>
      </c>
      <c r="H1613">
        <v>12658.4346548623</v>
      </c>
      <c r="I1613">
        <v>101524.64</v>
      </c>
      <c r="J1613">
        <v>88866.21</v>
      </c>
      <c r="K1613" s="1"/>
      <c r="L1613" s="1"/>
      <c r="M1613" s="1"/>
      <c r="N1613" s="1"/>
    </row>
    <row r="1614" ht="15.75" customHeight="1">
      <c r="A1614" t="s">
        <v>51</v>
      </c>
      <c r="B1614" t="s">
        <v>37</v>
      </c>
      <c r="C1614" t="s">
        <v>4915</v>
      </c>
      <c r="D1614" t="s">
        <v>1693</v>
      </c>
      <c r="E1614">
        <v>66581.8602392878</v>
      </c>
      <c r="F1614">
        <v>21807.9570145141</v>
      </c>
      <c r="G1614">
        <v>13181.1820993389</v>
      </c>
      <c r="H1614">
        <v>12665.2297562368</v>
      </c>
      <c r="I1614">
        <v>101571.0</v>
      </c>
      <c r="J1614">
        <v>88905.77</v>
      </c>
      <c r="K1614" s="1"/>
      <c r="L1614" s="1"/>
      <c r="M1614" s="1"/>
      <c r="N1614" s="1"/>
    </row>
    <row r="1615" ht="15.75" customHeight="1">
      <c r="A1615" t="s">
        <v>36</v>
      </c>
      <c r="B1615" t="s">
        <v>33</v>
      </c>
      <c r="C1615" t="s">
        <v>4909</v>
      </c>
      <c r="D1615" t="s">
        <v>1694</v>
      </c>
      <c r="E1615">
        <v>66592.743209194</v>
      </c>
      <c r="F1615">
        <v>21812.5717328415</v>
      </c>
      <c r="G1615">
        <v>13188.8621027684</v>
      </c>
      <c r="H1615">
        <v>12668.6273069241</v>
      </c>
      <c r="I1615">
        <v>101594.18</v>
      </c>
      <c r="J1615">
        <v>88925.55</v>
      </c>
      <c r="K1615" s="1"/>
      <c r="L1615" s="1"/>
      <c r="M1615" s="1"/>
      <c r="N1615" s="1"/>
    </row>
    <row r="1616" ht="15.75" customHeight="1">
      <c r="A1616" t="s">
        <v>51</v>
      </c>
      <c r="B1616" t="s">
        <v>33</v>
      </c>
      <c r="C1616" t="s">
        <v>4914</v>
      </c>
      <c r="D1616" t="s">
        <v>1695</v>
      </c>
      <c r="E1616">
        <v>66603.6261791002</v>
      </c>
      <c r="F1616">
        <v>21817.1864511689</v>
      </c>
      <c r="G1616">
        <v>13196.5421061979</v>
      </c>
      <c r="H1616">
        <v>12672.0248576114</v>
      </c>
      <c r="I1616">
        <v>101617.35</v>
      </c>
      <c r="J1616">
        <v>88945.33</v>
      </c>
      <c r="K1616" s="1"/>
      <c r="L1616" s="1"/>
      <c r="M1616" s="1"/>
      <c r="N1616" s="1"/>
    </row>
    <row r="1617" ht="15.75" customHeight="1">
      <c r="A1617" t="s">
        <v>13</v>
      </c>
      <c r="B1617" t="s">
        <v>54</v>
      </c>
      <c r="C1617" t="s">
        <v>4905</v>
      </c>
      <c r="D1617" t="s">
        <v>1696</v>
      </c>
      <c r="E1617">
        <v>66636.2750888188</v>
      </c>
      <c r="F1617">
        <v>21831.0306061512</v>
      </c>
      <c r="G1617">
        <v>13219.5821164864</v>
      </c>
      <c r="H1617">
        <v>12682.2175096733</v>
      </c>
      <c r="I1617">
        <v>101686.89</v>
      </c>
      <c r="J1617">
        <v>89004.67</v>
      </c>
      <c r="K1617" s="1"/>
      <c r="L1617" s="1"/>
      <c r="M1617" s="1"/>
      <c r="N1617" s="1"/>
    </row>
    <row r="1618" ht="15.75" customHeight="1">
      <c r="A1618" t="s">
        <v>17</v>
      </c>
      <c r="B1618" t="s">
        <v>26</v>
      </c>
      <c r="C1618" t="s">
        <v>4914</v>
      </c>
      <c r="D1618" t="s">
        <v>1697</v>
      </c>
      <c r="E1618">
        <v>66647.158058725</v>
      </c>
      <c r="F1618">
        <v>21835.6453244786</v>
      </c>
      <c r="G1618">
        <v>13227.2621199159</v>
      </c>
      <c r="H1618">
        <v>12685.6150603606</v>
      </c>
      <c r="I1618">
        <v>101710.07</v>
      </c>
      <c r="J1618">
        <v>89024.45</v>
      </c>
      <c r="K1618" s="1"/>
      <c r="L1618" s="1"/>
      <c r="M1618" s="1"/>
      <c r="N1618" s="1"/>
    </row>
    <row r="1619" ht="15.75" customHeight="1">
      <c r="A1619" t="s">
        <v>51</v>
      </c>
      <c r="B1619" t="s">
        <v>37</v>
      </c>
      <c r="C1619" t="s">
        <v>4913</v>
      </c>
      <c r="D1619" t="s">
        <v>1698</v>
      </c>
      <c r="E1619">
        <v>66658.0410286312</v>
      </c>
      <c r="F1619">
        <v>21840.260042806</v>
      </c>
      <c r="G1619">
        <v>13234.9421233454</v>
      </c>
      <c r="H1619">
        <v>12689.0126110479</v>
      </c>
      <c r="I1619">
        <v>101733.24</v>
      </c>
      <c r="J1619">
        <v>89044.23</v>
      </c>
      <c r="K1619" s="1"/>
      <c r="L1619" s="1"/>
      <c r="M1619" s="1"/>
      <c r="N1619" s="1"/>
    </row>
    <row r="1620" ht="15.75" customHeight="1">
      <c r="A1620" t="s">
        <v>51</v>
      </c>
      <c r="B1620" t="s">
        <v>26</v>
      </c>
      <c r="C1620" t="s">
        <v>4913</v>
      </c>
      <c r="D1620" t="s">
        <v>1699</v>
      </c>
      <c r="E1620">
        <v>66668.9239985374</v>
      </c>
      <c r="F1620">
        <v>21844.8747611335</v>
      </c>
      <c r="G1620">
        <v>13242.6221267748</v>
      </c>
      <c r="H1620">
        <v>12692.4101617351</v>
      </c>
      <c r="I1620">
        <v>101756.42</v>
      </c>
      <c r="J1620">
        <v>89064.01</v>
      </c>
      <c r="K1620" s="1"/>
      <c r="L1620" s="1"/>
      <c r="M1620" s="1"/>
      <c r="N1620" s="1"/>
    </row>
    <row r="1621" ht="15.75" customHeight="1">
      <c r="A1621" t="s">
        <v>36</v>
      </c>
      <c r="B1621" t="s">
        <v>14</v>
      </c>
      <c r="C1621" t="s">
        <v>4909</v>
      </c>
      <c r="D1621" t="s">
        <v>1700</v>
      </c>
      <c r="E1621">
        <v>66679.8069684436</v>
      </c>
      <c r="F1621">
        <v>21849.4894794609</v>
      </c>
      <c r="G1621">
        <v>13250.3021302043</v>
      </c>
      <c r="H1621">
        <v>12695.8077124224</v>
      </c>
      <c r="I1621">
        <v>101779.6</v>
      </c>
      <c r="J1621">
        <v>89083.79</v>
      </c>
      <c r="K1621" s="1"/>
      <c r="L1621" s="1"/>
      <c r="M1621" s="1"/>
      <c r="N1621" s="1"/>
    </row>
    <row r="1622" ht="15.75" customHeight="1">
      <c r="A1622" t="s">
        <v>36</v>
      </c>
      <c r="B1622" t="s">
        <v>14</v>
      </c>
      <c r="C1622" t="s">
        <v>4908</v>
      </c>
      <c r="D1622" t="s">
        <v>1701</v>
      </c>
      <c r="E1622">
        <v>66690.6899383497</v>
      </c>
      <c r="F1622">
        <v>21854.1041977883</v>
      </c>
      <c r="G1622">
        <v>13257.9821336338</v>
      </c>
      <c r="H1622">
        <v>12699.2052631097</v>
      </c>
      <c r="I1622">
        <v>101802.78</v>
      </c>
      <c r="J1622">
        <v>89103.57</v>
      </c>
      <c r="K1622" s="1"/>
      <c r="L1622" s="1"/>
      <c r="M1622" s="1"/>
      <c r="N1622" s="1"/>
    </row>
    <row r="1623" ht="15.75" customHeight="1">
      <c r="A1623" t="s">
        <v>53</v>
      </c>
      <c r="B1623" t="s">
        <v>14</v>
      </c>
      <c r="C1623" t="s">
        <v>4917</v>
      </c>
      <c r="D1623" t="s">
        <v>1702</v>
      </c>
      <c r="E1623">
        <v>66701.5729082559</v>
      </c>
      <c r="F1623">
        <v>21858.7189161157</v>
      </c>
      <c r="G1623">
        <v>13265.6621370633</v>
      </c>
      <c r="H1623">
        <v>12702.602813797</v>
      </c>
      <c r="I1623">
        <v>101825.95</v>
      </c>
      <c r="J1623">
        <v>89123.35</v>
      </c>
      <c r="K1623" s="1"/>
      <c r="L1623" s="1"/>
      <c r="M1623" s="1"/>
      <c r="N1623" s="1"/>
    </row>
    <row r="1624" ht="15.75" customHeight="1">
      <c r="A1624" t="s">
        <v>36</v>
      </c>
      <c r="B1624" t="s">
        <v>14</v>
      </c>
      <c r="C1624" t="s">
        <v>4912</v>
      </c>
      <c r="D1624" t="s">
        <v>1703</v>
      </c>
      <c r="E1624">
        <v>66712.4558781621</v>
      </c>
      <c r="F1624">
        <v>21863.3336344431</v>
      </c>
      <c r="G1624">
        <v>13273.3421404928</v>
      </c>
      <c r="H1624">
        <v>12706.0003644843</v>
      </c>
      <c r="I1624">
        <v>101849.13</v>
      </c>
      <c r="J1624">
        <v>89143.13</v>
      </c>
      <c r="K1624" s="1"/>
      <c r="L1624" s="1"/>
      <c r="M1624" s="1"/>
      <c r="N1624" s="1"/>
    </row>
    <row r="1625" ht="15.75" customHeight="1">
      <c r="A1625" t="s">
        <v>29</v>
      </c>
      <c r="B1625" t="s">
        <v>37</v>
      </c>
      <c r="C1625" t="s">
        <v>4910</v>
      </c>
      <c r="D1625" t="s">
        <v>1704</v>
      </c>
      <c r="E1625">
        <v>66723.3388480683</v>
      </c>
      <c r="F1625">
        <v>21867.9483527706</v>
      </c>
      <c r="G1625">
        <v>13281.0221439223</v>
      </c>
      <c r="H1625">
        <v>12709.3979151716</v>
      </c>
      <c r="I1625">
        <v>101872.31</v>
      </c>
      <c r="J1625">
        <v>89162.91</v>
      </c>
      <c r="K1625" s="1"/>
      <c r="L1625" s="1"/>
      <c r="M1625" s="1"/>
      <c r="N1625" s="1"/>
    </row>
    <row r="1626" ht="15.75" customHeight="1">
      <c r="A1626" t="s">
        <v>25</v>
      </c>
      <c r="B1626" t="s">
        <v>54</v>
      </c>
      <c r="C1626" t="s">
        <v>4910</v>
      </c>
      <c r="D1626" t="s">
        <v>1705</v>
      </c>
      <c r="E1626">
        <v>66734.2218179745</v>
      </c>
      <c r="F1626">
        <v>21872.563071098</v>
      </c>
      <c r="G1626">
        <v>13288.7021473518</v>
      </c>
      <c r="H1626">
        <v>12712.7954658589</v>
      </c>
      <c r="I1626">
        <v>101895.49</v>
      </c>
      <c r="J1626">
        <v>89182.69</v>
      </c>
      <c r="K1626" s="1"/>
      <c r="L1626" s="1"/>
      <c r="M1626" s="1"/>
      <c r="N1626" s="1"/>
    </row>
    <row r="1627" ht="15.75" customHeight="1">
      <c r="A1627" t="s">
        <v>53</v>
      </c>
      <c r="B1627" t="s">
        <v>37</v>
      </c>
      <c r="C1627" t="s">
        <v>4916</v>
      </c>
      <c r="D1627" t="s">
        <v>1706</v>
      </c>
      <c r="E1627">
        <v>66745.1047878807</v>
      </c>
      <c r="F1627">
        <v>21877.1777894254</v>
      </c>
      <c r="G1627">
        <v>13296.3821507813</v>
      </c>
      <c r="H1627">
        <v>12716.1930165462</v>
      </c>
      <c r="I1627">
        <v>101918.66</v>
      </c>
      <c r="J1627">
        <v>89202.47</v>
      </c>
      <c r="K1627" s="1"/>
      <c r="L1627" s="1"/>
      <c r="M1627" s="1"/>
      <c r="N1627" s="1"/>
    </row>
    <row r="1628" ht="15.75" customHeight="1">
      <c r="A1628" t="s">
        <v>17</v>
      </c>
      <c r="B1628" t="s">
        <v>30</v>
      </c>
      <c r="C1628" t="s">
        <v>4905</v>
      </c>
      <c r="D1628" t="s">
        <v>1707</v>
      </c>
      <c r="E1628">
        <v>66755.9877577869</v>
      </c>
      <c r="F1628">
        <v>21881.7925077528</v>
      </c>
      <c r="G1628">
        <v>13304.0621542108</v>
      </c>
      <c r="H1628">
        <v>12719.5905672334</v>
      </c>
      <c r="I1628">
        <v>101941.84</v>
      </c>
      <c r="J1628">
        <v>89222.25</v>
      </c>
      <c r="K1628" s="1"/>
      <c r="L1628" s="1"/>
      <c r="M1628" s="1"/>
      <c r="N1628" s="1"/>
    </row>
    <row r="1629" ht="15.75" customHeight="1">
      <c r="A1629" t="s">
        <v>51</v>
      </c>
      <c r="B1629" t="s">
        <v>37</v>
      </c>
      <c r="C1629" t="s">
        <v>4912</v>
      </c>
      <c r="D1629" t="s">
        <v>1708</v>
      </c>
      <c r="E1629">
        <v>66766.8707276931</v>
      </c>
      <c r="F1629">
        <v>21886.4072260803</v>
      </c>
      <c r="G1629">
        <v>13311.7421576403</v>
      </c>
      <c r="H1629">
        <v>12722.9881179207</v>
      </c>
      <c r="I1629">
        <v>101965.02</v>
      </c>
      <c r="J1629">
        <v>89242.03</v>
      </c>
      <c r="K1629" s="1"/>
      <c r="L1629" s="1"/>
      <c r="M1629" s="1"/>
      <c r="N1629" s="1"/>
    </row>
    <row r="1630" ht="15.75" customHeight="1">
      <c r="A1630" t="s">
        <v>13</v>
      </c>
      <c r="B1630" t="s">
        <v>30</v>
      </c>
      <c r="C1630" t="s">
        <v>4914</v>
      </c>
      <c r="D1630" t="s">
        <v>1709</v>
      </c>
      <c r="E1630">
        <v>66777.7536975993</v>
      </c>
      <c r="F1630">
        <v>21891.0219444077</v>
      </c>
      <c r="G1630">
        <v>13319.4221610698</v>
      </c>
      <c r="H1630">
        <v>12726.385668608</v>
      </c>
      <c r="I1630">
        <v>101988.2</v>
      </c>
      <c r="J1630">
        <v>89261.81</v>
      </c>
      <c r="K1630" s="1"/>
      <c r="L1630" s="1"/>
      <c r="M1630" s="1"/>
      <c r="N1630" s="1"/>
    </row>
    <row r="1631" ht="15.75" customHeight="1">
      <c r="A1631" t="s">
        <v>25</v>
      </c>
      <c r="B1631" t="s">
        <v>54</v>
      </c>
      <c r="C1631" t="s">
        <v>4914</v>
      </c>
      <c r="D1631" t="s">
        <v>1710</v>
      </c>
      <c r="E1631">
        <v>66788.6366675055</v>
      </c>
      <c r="F1631">
        <v>21895.6366627351</v>
      </c>
      <c r="G1631">
        <v>13327.1021644993</v>
      </c>
      <c r="H1631">
        <v>12729.7832192953</v>
      </c>
      <c r="I1631">
        <v>102011.38</v>
      </c>
      <c r="J1631">
        <v>89281.6</v>
      </c>
      <c r="K1631" s="1"/>
      <c r="L1631" s="1"/>
      <c r="M1631" s="1"/>
      <c r="N1631" s="1"/>
    </row>
    <row r="1632" ht="15.75" customHeight="1">
      <c r="A1632" t="s">
        <v>51</v>
      </c>
      <c r="B1632" t="s">
        <v>30</v>
      </c>
      <c r="C1632" t="s">
        <v>4911</v>
      </c>
      <c r="D1632" t="s">
        <v>1711</v>
      </c>
      <c r="E1632">
        <v>66799.5196374117</v>
      </c>
      <c r="F1632">
        <v>21900.2513810625</v>
      </c>
      <c r="G1632">
        <v>13334.7821679288</v>
      </c>
      <c r="H1632">
        <v>12733.1807699826</v>
      </c>
      <c r="I1632">
        <v>102034.55</v>
      </c>
      <c r="J1632">
        <v>89301.37</v>
      </c>
      <c r="K1632" s="1"/>
      <c r="L1632" s="1"/>
      <c r="M1632" s="1"/>
      <c r="N1632" s="1"/>
    </row>
    <row r="1633" ht="15.75" customHeight="1">
      <c r="A1633" t="s">
        <v>36</v>
      </c>
      <c r="B1633" t="s">
        <v>18</v>
      </c>
      <c r="C1633" t="s">
        <v>4910</v>
      </c>
      <c r="D1633" t="s">
        <v>1712</v>
      </c>
      <c r="E1633">
        <v>66810.4026073179</v>
      </c>
      <c r="F1633">
        <v>21904.8660993899</v>
      </c>
      <c r="G1633">
        <v>13342.4621713583</v>
      </c>
      <c r="H1633">
        <v>12736.5783206699</v>
      </c>
      <c r="I1633">
        <v>102057.73</v>
      </c>
      <c r="J1633">
        <v>89321.15</v>
      </c>
      <c r="K1633" s="1"/>
      <c r="L1633" s="1"/>
      <c r="M1633" s="1"/>
      <c r="N1633" s="1"/>
    </row>
    <row r="1634" ht="15.75" customHeight="1">
      <c r="A1634" t="s">
        <v>17</v>
      </c>
      <c r="B1634" t="s">
        <v>37</v>
      </c>
      <c r="C1634" t="s">
        <v>4914</v>
      </c>
      <c r="D1634" t="s">
        <v>1713</v>
      </c>
      <c r="E1634">
        <v>66821.2855772241</v>
      </c>
      <c r="F1634">
        <v>21909.4808177174</v>
      </c>
      <c r="G1634">
        <v>13350.1421747878</v>
      </c>
      <c r="H1634">
        <v>12739.9758713572</v>
      </c>
      <c r="I1634">
        <v>102080.91</v>
      </c>
      <c r="J1634">
        <v>89340.93</v>
      </c>
      <c r="K1634" s="1"/>
      <c r="L1634" s="1"/>
      <c r="M1634" s="1"/>
      <c r="N1634" s="1"/>
    </row>
    <row r="1635" ht="15.75" customHeight="1">
      <c r="A1635" t="s">
        <v>51</v>
      </c>
      <c r="B1635" t="s">
        <v>37</v>
      </c>
      <c r="C1635" t="s">
        <v>4912</v>
      </c>
      <c r="D1635" t="s">
        <v>1714</v>
      </c>
      <c r="E1635">
        <v>66832.1685471303</v>
      </c>
      <c r="F1635">
        <v>21914.0955360448</v>
      </c>
      <c r="G1635">
        <v>13357.8221782173</v>
      </c>
      <c r="H1635">
        <v>12743.3734220444</v>
      </c>
      <c r="I1635">
        <v>102104.09</v>
      </c>
      <c r="J1635">
        <v>89360.72</v>
      </c>
      <c r="K1635" s="1"/>
      <c r="L1635" s="1"/>
      <c r="M1635" s="1"/>
      <c r="N1635" s="1"/>
    </row>
    <row r="1636" ht="15.75" customHeight="1">
      <c r="A1636" t="s">
        <v>53</v>
      </c>
      <c r="B1636" t="s">
        <v>37</v>
      </c>
      <c r="C1636" t="s">
        <v>4908</v>
      </c>
      <c r="D1636" t="s">
        <v>1715</v>
      </c>
      <c r="E1636">
        <v>66843.0515170365</v>
      </c>
      <c r="F1636">
        <v>21918.7102543722</v>
      </c>
      <c r="G1636">
        <v>13365.5021816468</v>
      </c>
      <c r="H1636">
        <v>12746.7709727317</v>
      </c>
      <c r="I1636">
        <v>102127.26</v>
      </c>
      <c r="J1636">
        <v>89380.49</v>
      </c>
      <c r="K1636" s="1"/>
      <c r="L1636" s="1"/>
      <c r="M1636" s="1"/>
      <c r="N1636" s="1"/>
    </row>
    <row r="1637" ht="15.75" customHeight="1">
      <c r="A1637" t="s">
        <v>53</v>
      </c>
      <c r="B1637" t="s">
        <v>26</v>
      </c>
      <c r="C1637" t="s">
        <v>4907</v>
      </c>
      <c r="D1637" t="s">
        <v>1716</v>
      </c>
      <c r="E1637">
        <v>66853.9344869426</v>
      </c>
      <c r="F1637">
        <v>21923.3249726996</v>
      </c>
      <c r="G1637">
        <v>13373.1821850763</v>
      </c>
      <c r="H1637">
        <v>12750.168523419</v>
      </c>
      <c r="I1637">
        <v>102150.44</v>
      </c>
      <c r="J1637">
        <v>89400.27</v>
      </c>
      <c r="K1637" s="1"/>
      <c r="L1637" s="1"/>
      <c r="M1637" s="1"/>
      <c r="N1637" s="1"/>
    </row>
    <row r="1638" ht="15.75" customHeight="1">
      <c r="A1638" t="s">
        <v>36</v>
      </c>
      <c r="B1638" t="s">
        <v>14</v>
      </c>
      <c r="C1638" t="s">
        <v>4909</v>
      </c>
      <c r="D1638" t="s">
        <v>1717</v>
      </c>
      <c r="E1638">
        <v>66864.8174568488</v>
      </c>
      <c r="F1638">
        <v>21927.9396910271</v>
      </c>
      <c r="G1638">
        <v>13380.8621885058</v>
      </c>
      <c r="H1638">
        <v>12753.5660741063</v>
      </c>
      <c r="I1638">
        <v>102173.62</v>
      </c>
      <c r="J1638">
        <v>89420.05</v>
      </c>
      <c r="K1638" s="1"/>
      <c r="L1638" s="1"/>
      <c r="M1638" s="1"/>
      <c r="N1638" s="1"/>
    </row>
    <row r="1639" ht="15.75" customHeight="1">
      <c r="A1639" t="s">
        <v>36</v>
      </c>
      <c r="B1639" t="s">
        <v>33</v>
      </c>
      <c r="C1639" t="s">
        <v>4912</v>
      </c>
      <c r="D1639" t="s">
        <v>1718</v>
      </c>
      <c r="E1639">
        <v>70778.92354084158</v>
      </c>
      <c r="F1639">
        <v>21932.5544093545</v>
      </c>
      <c r="G1639">
        <v>13388.5421919353</v>
      </c>
      <c r="H1639">
        <v>12756.9636247936</v>
      </c>
      <c r="I1639">
        <v>106100.02</v>
      </c>
      <c r="J1639">
        <v>93343.06</v>
      </c>
      <c r="K1639" s="1"/>
      <c r="L1639" s="1"/>
      <c r="M1639" s="1"/>
      <c r="N1639" s="1"/>
    </row>
    <row r="1640" ht="15.75" customHeight="1">
      <c r="A1640" t="s">
        <v>25</v>
      </c>
      <c r="B1640" t="s">
        <v>26</v>
      </c>
      <c r="C1640" t="s">
        <v>4908</v>
      </c>
      <c r="D1640" t="s">
        <v>1719</v>
      </c>
      <c r="E1640">
        <v>66886.5833966612</v>
      </c>
      <c r="F1640">
        <v>21937.1691276819</v>
      </c>
      <c r="G1640">
        <v>13396.2221953648</v>
      </c>
      <c r="H1640">
        <v>12760.3611754809</v>
      </c>
      <c r="I1640">
        <v>102219.97</v>
      </c>
      <c r="J1640">
        <v>89459.61</v>
      </c>
      <c r="K1640" s="1"/>
      <c r="L1640" s="1"/>
      <c r="M1640" s="1"/>
      <c r="N1640" s="1"/>
    </row>
    <row r="1641" ht="15.75" customHeight="1">
      <c r="A1641" t="s">
        <v>25</v>
      </c>
      <c r="B1641" t="s">
        <v>18</v>
      </c>
      <c r="C1641" t="s">
        <v>4916</v>
      </c>
      <c r="D1641" t="s">
        <v>1720</v>
      </c>
      <c r="E1641">
        <v>66897.4663665674</v>
      </c>
      <c r="F1641">
        <v>21941.7838460093</v>
      </c>
      <c r="G1641">
        <v>13403.9021987943</v>
      </c>
      <c r="H1641">
        <v>12763.7587261682</v>
      </c>
      <c r="I1641">
        <v>102243.15</v>
      </c>
      <c r="J1641">
        <v>89479.39</v>
      </c>
      <c r="K1641" s="1"/>
      <c r="L1641" s="1"/>
      <c r="M1641" s="1"/>
      <c r="N1641" s="1"/>
    </row>
    <row r="1642" ht="15.75" customHeight="1">
      <c r="A1642" t="s">
        <v>25</v>
      </c>
      <c r="B1642" t="s">
        <v>30</v>
      </c>
      <c r="C1642" t="s">
        <v>4910</v>
      </c>
      <c r="D1642" t="s">
        <v>1721</v>
      </c>
      <c r="E1642">
        <v>66908.3493364736</v>
      </c>
      <c r="F1642">
        <v>21946.3985643367</v>
      </c>
      <c r="G1642">
        <v>13411.5822022238</v>
      </c>
      <c r="H1642">
        <v>12767.1562768555</v>
      </c>
      <c r="I1642">
        <v>102266.33</v>
      </c>
      <c r="J1642">
        <v>89499.17</v>
      </c>
      <c r="K1642" s="1"/>
      <c r="L1642" s="1"/>
      <c r="M1642" s="1"/>
      <c r="N1642" s="1"/>
    </row>
    <row r="1643" ht="15.75" customHeight="1">
      <c r="A1643" t="s">
        <v>53</v>
      </c>
      <c r="B1643" t="s">
        <v>30</v>
      </c>
      <c r="C1643" t="s">
        <v>4913</v>
      </c>
      <c r="D1643" t="s">
        <v>1722</v>
      </c>
      <c r="E1643">
        <v>66919.2323063798</v>
      </c>
      <c r="F1643">
        <v>21951.0132826642</v>
      </c>
      <c r="G1643">
        <v>13419.2622056533</v>
      </c>
      <c r="H1643">
        <v>12770.5538275427</v>
      </c>
      <c r="I1643">
        <v>102289.51</v>
      </c>
      <c r="J1643">
        <v>89518.96</v>
      </c>
      <c r="K1643" s="1"/>
      <c r="L1643" s="1"/>
      <c r="M1643" s="1"/>
      <c r="N1643" s="1"/>
    </row>
    <row r="1644" ht="15.75" customHeight="1">
      <c r="A1644" t="s">
        <v>25</v>
      </c>
      <c r="B1644" t="s">
        <v>37</v>
      </c>
      <c r="C1644" t="s">
        <v>4908</v>
      </c>
      <c r="D1644" t="s">
        <v>1723</v>
      </c>
      <c r="E1644">
        <v>66930.115276286</v>
      </c>
      <c r="F1644">
        <v>21955.6280009916</v>
      </c>
      <c r="G1644">
        <v>13426.9422090828</v>
      </c>
      <c r="H1644">
        <v>12773.95137823</v>
      </c>
      <c r="I1644">
        <v>102312.69</v>
      </c>
      <c r="J1644">
        <v>89538.74</v>
      </c>
      <c r="K1644" s="1"/>
      <c r="L1644" s="1"/>
      <c r="M1644" s="1"/>
      <c r="N1644" s="1"/>
    </row>
    <row r="1645" ht="15.75" customHeight="1">
      <c r="A1645" t="s">
        <v>17</v>
      </c>
      <c r="B1645" t="s">
        <v>33</v>
      </c>
      <c r="C1645" t="s">
        <v>4913</v>
      </c>
      <c r="D1645" t="s">
        <v>1724</v>
      </c>
      <c r="E1645">
        <v>72475.40820418281</v>
      </c>
      <c r="F1645">
        <v>21960.242719319</v>
      </c>
      <c r="G1645">
        <v>13434.6222125123</v>
      </c>
      <c r="H1645">
        <v>12777.3489289173</v>
      </c>
      <c r="I1645">
        <v>107870.27</v>
      </c>
      <c r="J1645">
        <v>95092.92</v>
      </c>
      <c r="K1645" s="1"/>
      <c r="L1645" s="1"/>
      <c r="M1645" s="1"/>
      <c r="N1645" s="1"/>
    </row>
    <row r="1646" ht="15.75" customHeight="1">
      <c r="A1646" t="s">
        <v>51</v>
      </c>
      <c r="B1646" t="s">
        <v>18</v>
      </c>
      <c r="C1646" t="s">
        <v>4914</v>
      </c>
      <c r="D1646" t="s">
        <v>1725</v>
      </c>
      <c r="E1646">
        <v>66951.8812160984</v>
      </c>
      <c r="F1646">
        <v>21964.8574376464</v>
      </c>
      <c r="G1646">
        <v>13442.3022159418</v>
      </c>
      <c r="H1646">
        <v>12780.7464796046</v>
      </c>
      <c r="I1646">
        <v>102359.04</v>
      </c>
      <c r="J1646">
        <v>89578.29</v>
      </c>
      <c r="K1646" s="1"/>
      <c r="L1646" s="1"/>
      <c r="M1646" s="1"/>
      <c r="N1646" s="1"/>
    </row>
    <row r="1647" ht="15.75" customHeight="1">
      <c r="A1647" t="s">
        <v>36</v>
      </c>
      <c r="B1647" t="s">
        <v>30</v>
      </c>
      <c r="C1647" t="s">
        <v>4905</v>
      </c>
      <c r="D1647" t="s">
        <v>1726</v>
      </c>
      <c r="E1647">
        <v>66962.7641860046</v>
      </c>
      <c r="F1647">
        <v>21969.4721559739</v>
      </c>
      <c r="G1647">
        <v>13449.9822193713</v>
      </c>
      <c r="H1647">
        <v>12784.1440302919</v>
      </c>
      <c r="I1647">
        <v>102382.22</v>
      </c>
      <c r="J1647">
        <v>89598.08</v>
      </c>
      <c r="K1647" s="1"/>
      <c r="L1647" s="1"/>
      <c r="M1647" s="1"/>
      <c r="N1647" s="1"/>
    </row>
    <row r="1648" ht="15.75" customHeight="1">
      <c r="A1648" t="s">
        <v>17</v>
      </c>
      <c r="B1648" t="s">
        <v>18</v>
      </c>
      <c r="C1648" t="s">
        <v>4912</v>
      </c>
      <c r="D1648" t="s">
        <v>1727</v>
      </c>
      <c r="E1648">
        <v>66973.6471559108</v>
      </c>
      <c r="F1648">
        <v>21974.0868743013</v>
      </c>
      <c r="G1648">
        <v>13457.6622228008</v>
      </c>
      <c r="H1648">
        <v>12787.5415809792</v>
      </c>
      <c r="I1648">
        <v>102405.4</v>
      </c>
      <c r="J1648">
        <v>89617.86</v>
      </c>
      <c r="K1648" s="1"/>
      <c r="L1648" s="1"/>
      <c r="M1648" s="1"/>
      <c r="N1648" s="1"/>
    </row>
    <row r="1649" ht="15.75" customHeight="1">
      <c r="A1649" t="s">
        <v>29</v>
      </c>
      <c r="B1649" t="s">
        <v>18</v>
      </c>
      <c r="C1649" t="s">
        <v>4914</v>
      </c>
      <c r="D1649" t="s">
        <v>1728</v>
      </c>
      <c r="E1649">
        <v>66984.530125817</v>
      </c>
      <c r="F1649">
        <v>21978.7015926287</v>
      </c>
      <c r="G1649">
        <v>13465.3422262303</v>
      </c>
      <c r="H1649">
        <v>12790.9391316665</v>
      </c>
      <c r="I1649">
        <v>102428.57</v>
      </c>
      <c r="J1649">
        <v>89637.63</v>
      </c>
      <c r="K1649" s="1"/>
      <c r="L1649" s="1"/>
      <c r="M1649" s="1"/>
      <c r="N1649" s="1"/>
    </row>
    <row r="1650" ht="15.75" customHeight="1">
      <c r="A1650" t="s">
        <v>53</v>
      </c>
      <c r="B1650" t="s">
        <v>14</v>
      </c>
      <c r="C1650" t="s">
        <v>4913</v>
      </c>
      <c r="D1650" t="s">
        <v>1729</v>
      </c>
      <c r="E1650">
        <v>66995.4130957232</v>
      </c>
      <c r="F1650">
        <v>21983.3163109561</v>
      </c>
      <c r="G1650">
        <v>13473.0222296598</v>
      </c>
      <c r="H1650">
        <v>12794.3366823538</v>
      </c>
      <c r="I1650">
        <v>102451.75</v>
      </c>
      <c r="J1650">
        <v>89657.41</v>
      </c>
      <c r="K1650" s="1"/>
      <c r="L1650" s="1"/>
      <c r="M1650" s="1"/>
      <c r="N1650" s="1"/>
    </row>
    <row r="1651" ht="15.75" customHeight="1">
      <c r="A1651" t="s">
        <v>13</v>
      </c>
      <c r="B1651" t="s">
        <v>18</v>
      </c>
      <c r="C1651" t="s">
        <v>4910</v>
      </c>
      <c r="D1651" t="s">
        <v>1730</v>
      </c>
      <c r="E1651">
        <v>67006.2960656294</v>
      </c>
      <c r="F1651">
        <v>21987.9310292835</v>
      </c>
      <c r="G1651">
        <v>13480.7022330893</v>
      </c>
      <c r="H1651">
        <v>12797.734233041</v>
      </c>
      <c r="I1651">
        <v>102474.93</v>
      </c>
      <c r="J1651">
        <v>89677.2</v>
      </c>
      <c r="K1651" s="1"/>
      <c r="L1651" s="1"/>
      <c r="M1651" s="1"/>
      <c r="N1651" s="1"/>
    </row>
    <row r="1652" ht="15.75" customHeight="1">
      <c r="A1652" t="s">
        <v>51</v>
      </c>
      <c r="B1652" t="s">
        <v>54</v>
      </c>
      <c r="C1652" t="s">
        <v>4912</v>
      </c>
      <c r="D1652" t="s">
        <v>1731</v>
      </c>
      <c r="E1652">
        <v>67017.1790355355</v>
      </c>
      <c r="F1652">
        <v>21992.545747611</v>
      </c>
      <c r="G1652">
        <v>13488.3822365188</v>
      </c>
      <c r="H1652">
        <v>12801.1317837283</v>
      </c>
      <c r="I1652">
        <v>102498.11</v>
      </c>
      <c r="J1652">
        <v>89696.98</v>
      </c>
      <c r="K1652" s="1"/>
      <c r="L1652" s="1"/>
      <c r="M1652" s="1"/>
      <c r="N1652" s="1"/>
    </row>
    <row r="1653" ht="15.75" customHeight="1">
      <c r="A1653" t="s">
        <v>29</v>
      </c>
      <c r="B1653" t="s">
        <v>37</v>
      </c>
      <c r="C1653" t="s">
        <v>4914</v>
      </c>
      <c r="D1653" t="s">
        <v>1732</v>
      </c>
      <c r="E1653">
        <v>67028.0620054417</v>
      </c>
      <c r="F1653">
        <v>21997.1604659384</v>
      </c>
      <c r="G1653">
        <v>13496.0622399483</v>
      </c>
      <c r="H1653">
        <v>12804.5293344156</v>
      </c>
      <c r="I1653">
        <v>102521.28</v>
      </c>
      <c r="J1653">
        <v>89716.75</v>
      </c>
      <c r="K1653" s="1"/>
      <c r="L1653" s="1"/>
      <c r="M1653" s="1"/>
      <c r="N1653" s="1"/>
    </row>
    <row r="1654" ht="15.75" customHeight="1">
      <c r="A1654" t="s">
        <v>13</v>
      </c>
      <c r="B1654" t="s">
        <v>26</v>
      </c>
      <c r="C1654" t="s">
        <v>4913</v>
      </c>
      <c r="D1654" t="s">
        <v>1733</v>
      </c>
      <c r="E1654">
        <v>67038.9449753479</v>
      </c>
      <c r="F1654">
        <v>22001.7751842658</v>
      </c>
      <c r="G1654">
        <v>13503.7422433778</v>
      </c>
      <c r="H1654">
        <v>12807.9268851029</v>
      </c>
      <c r="I1654">
        <v>102544.46</v>
      </c>
      <c r="J1654">
        <v>89736.53</v>
      </c>
      <c r="K1654" s="1"/>
      <c r="L1654" s="1"/>
      <c r="M1654" s="1"/>
      <c r="N1654" s="1"/>
    </row>
    <row r="1655" ht="15.75" customHeight="1">
      <c r="A1655" t="s">
        <v>17</v>
      </c>
      <c r="B1655" t="s">
        <v>14</v>
      </c>
      <c r="C1655" t="s">
        <v>4910</v>
      </c>
      <c r="D1655" t="s">
        <v>1734</v>
      </c>
      <c r="E1655">
        <v>72475.40820418281</v>
      </c>
      <c r="F1655">
        <v>22006.3899025932</v>
      </c>
      <c r="G1655">
        <v>13511.4222468073</v>
      </c>
      <c r="H1655">
        <v>12811.3244357902</v>
      </c>
      <c r="I1655">
        <v>107993.22</v>
      </c>
      <c r="J1655">
        <v>95181.9</v>
      </c>
      <c r="K1655" s="1"/>
      <c r="L1655" s="1"/>
      <c r="M1655" s="1"/>
      <c r="N1655" s="1"/>
    </row>
    <row r="1656" ht="15.75" customHeight="1">
      <c r="A1656" t="s">
        <v>51</v>
      </c>
      <c r="B1656" t="s">
        <v>18</v>
      </c>
      <c r="C1656" t="s">
        <v>4917</v>
      </c>
      <c r="D1656" t="s">
        <v>1735</v>
      </c>
      <c r="E1656">
        <v>67060.7109151603</v>
      </c>
      <c r="F1656">
        <v>22011.0046209207</v>
      </c>
      <c r="G1656">
        <v>13519.1022502368</v>
      </c>
      <c r="H1656">
        <v>12814.7219864775</v>
      </c>
      <c r="I1656">
        <v>102590.82</v>
      </c>
      <c r="J1656">
        <v>89776.1</v>
      </c>
      <c r="K1656" s="1"/>
      <c r="L1656" s="1"/>
      <c r="M1656" s="1"/>
      <c r="N1656" s="1"/>
    </row>
    <row r="1657" ht="15.75" customHeight="1">
      <c r="A1657" t="s">
        <v>17</v>
      </c>
      <c r="B1657" t="s">
        <v>18</v>
      </c>
      <c r="C1657" t="s">
        <v>4908</v>
      </c>
      <c r="D1657" t="s">
        <v>1736</v>
      </c>
      <c r="E1657">
        <v>67071.5938850665</v>
      </c>
      <c r="F1657">
        <v>22015.6193392481</v>
      </c>
      <c r="G1657">
        <v>13526.7822536662</v>
      </c>
      <c r="H1657">
        <v>12818.1195371648</v>
      </c>
      <c r="I1657">
        <v>102614.0</v>
      </c>
      <c r="J1657">
        <v>89795.88</v>
      </c>
      <c r="K1657" s="1"/>
      <c r="L1657" s="1"/>
      <c r="M1657" s="1"/>
      <c r="N1657" s="1"/>
    </row>
    <row r="1658" ht="15.75" customHeight="1">
      <c r="A1658" t="s">
        <v>51</v>
      </c>
      <c r="B1658" t="s">
        <v>14</v>
      </c>
      <c r="C1658" t="s">
        <v>4909</v>
      </c>
      <c r="D1658" t="s">
        <v>1737</v>
      </c>
      <c r="E1658">
        <v>67082.4768549727</v>
      </c>
      <c r="F1658">
        <v>22020.2340575755</v>
      </c>
      <c r="G1658">
        <v>13534.4622570957</v>
      </c>
      <c r="H1658">
        <v>12821.517087852</v>
      </c>
      <c r="I1658">
        <v>102637.17</v>
      </c>
      <c r="J1658">
        <v>89815.65</v>
      </c>
      <c r="K1658" s="1"/>
      <c r="L1658" s="1"/>
      <c r="M1658" s="1"/>
      <c r="N1658" s="1"/>
    </row>
    <row r="1659" ht="15.75" customHeight="1">
      <c r="A1659" t="s">
        <v>36</v>
      </c>
      <c r="B1659" t="s">
        <v>18</v>
      </c>
      <c r="C1659" t="s">
        <v>4905</v>
      </c>
      <c r="D1659" t="s">
        <v>1738</v>
      </c>
      <c r="E1659">
        <v>67093.3598248789</v>
      </c>
      <c r="F1659">
        <v>22024.8487759029</v>
      </c>
      <c r="G1659">
        <v>13542.1422605252</v>
      </c>
      <c r="H1659">
        <v>12824.9146385393</v>
      </c>
      <c r="I1659">
        <v>102660.35</v>
      </c>
      <c r="J1659">
        <v>89835.44</v>
      </c>
      <c r="K1659" s="1"/>
      <c r="L1659" s="1"/>
      <c r="M1659" s="1"/>
      <c r="N1659" s="1"/>
    </row>
    <row r="1660" ht="15.75" customHeight="1">
      <c r="A1660" t="s">
        <v>51</v>
      </c>
      <c r="B1660" t="s">
        <v>37</v>
      </c>
      <c r="C1660" t="s">
        <v>4914</v>
      </c>
      <c r="D1660" t="s">
        <v>1739</v>
      </c>
      <c r="E1660">
        <v>67104.2427947851</v>
      </c>
      <c r="F1660">
        <v>22029.4634942303</v>
      </c>
      <c r="G1660">
        <v>13549.8222639547</v>
      </c>
      <c r="H1660">
        <v>12828.3121892266</v>
      </c>
      <c r="I1660">
        <v>102683.53</v>
      </c>
      <c r="J1660">
        <v>89855.22</v>
      </c>
      <c r="K1660" s="1"/>
      <c r="L1660" s="1"/>
      <c r="M1660" s="1"/>
      <c r="N1660" s="1"/>
    </row>
    <row r="1661" ht="15.75" customHeight="1">
      <c r="A1661" t="s">
        <v>29</v>
      </c>
      <c r="B1661" t="s">
        <v>26</v>
      </c>
      <c r="C1661" t="s">
        <v>4912</v>
      </c>
      <c r="D1661" t="s">
        <v>1740</v>
      </c>
      <c r="E1661">
        <v>67115.1257646913</v>
      </c>
      <c r="F1661">
        <v>22034.0782125578</v>
      </c>
      <c r="G1661">
        <v>13557.5022673842</v>
      </c>
      <c r="H1661">
        <v>12831.7097399139</v>
      </c>
      <c r="I1661">
        <v>102706.71</v>
      </c>
      <c r="J1661">
        <v>89875.0</v>
      </c>
      <c r="K1661" s="1"/>
      <c r="L1661" s="1"/>
      <c r="M1661" s="1"/>
      <c r="N1661" s="1"/>
    </row>
    <row r="1662" ht="15.75" customHeight="1">
      <c r="A1662" t="s">
        <v>17</v>
      </c>
      <c r="B1662" t="s">
        <v>30</v>
      </c>
      <c r="C1662" t="s">
        <v>4911</v>
      </c>
      <c r="D1662" t="s">
        <v>1741</v>
      </c>
      <c r="E1662">
        <v>67126.0087345975</v>
      </c>
      <c r="F1662">
        <v>22038.6929308852</v>
      </c>
      <c r="G1662">
        <v>13565.1822708137</v>
      </c>
      <c r="H1662">
        <v>12835.1072906012</v>
      </c>
      <c r="I1662">
        <v>102729.88</v>
      </c>
      <c r="J1662">
        <v>89894.77</v>
      </c>
      <c r="K1662" s="1"/>
      <c r="L1662" s="1"/>
      <c r="M1662" s="1"/>
      <c r="N1662" s="1"/>
    </row>
    <row r="1663" ht="15.75" customHeight="1">
      <c r="A1663" t="s">
        <v>29</v>
      </c>
      <c r="B1663" t="s">
        <v>33</v>
      </c>
      <c r="C1663" t="s">
        <v>4917</v>
      </c>
      <c r="D1663" t="s">
        <v>1742</v>
      </c>
      <c r="E1663">
        <v>67136.8917045037</v>
      </c>
      <c r="F1663">
        <v>22043.3076492126</v>
      </c>
      <c r="G1663">
        <v>13572.8622742432</v>
      </c>
      <c r="H1663">
        <v>12838.5048412885</v>
      </c>
      <c r="I1663">
        <v>102753.06</v>
      </c>
      <c r="J1663">
        <v>89914.56</v>
      </c>
      <c r="K1663" s="1"/>
      <c r="L1663" s="1"/>
      <c r="M1663" s="1"/>
      <c r="N1663" s="1"/>
    </row>
    <row r="1664" ht="15.75" customHeight="1">
      <c r="A1664" t="s">
        <v>51</v>
      </c>
      <c r="B1664" t="s">
        <v>54</v>
      </c>
      <c r="C1664" t="s">
        <v>4911</v>
      </c>
      <c r="D1664" t="s">
        <v>1743</v>
      </c>
      <c r="E1664">
        <v>67158.6576443161</v>
      </c>
      <c r="F1664">
        <v>22052.5370858675</v>
      </c>
      <c r="G1664">
        <v>13588.2222811022</v>
      </c>
      <c r="H1664">
        <v>12845.2999426631</v>
      </c>
      <c r="I1664">
        <v>102799.42</v>
      </c>
      <c r="J1664">
        <v>89954.12</v>
      </c>
      <c r="K1664" s="1"/>
      <c r="L1664" s="1"/>
      <c r="M1664" s="1"/>
      <c r="N1664" s="1"/>
    </row>
    <row r="1665" ht="15.75" customHeight="1">
      <c r="A1665" t="s">
        <v>53</v>
      </c>
      <c r="B1665" t="s">
        <v>18</v>
      </c>
      <c r="C1665" t="s">
        <v>4912</v>
      </c>
      <c r="D1665" t="s">
        <v>1744</v>
      </c>
      <c r="E1665">
        <v>67169.5406142223</v>
      </c>
      <c r="F1665">
        <v>22057.1518041949</v>
      </c>
      <c r="G1665">
        <v>13595.9022845317</v>
      </c>
      <c r="H1665">
        <v>12848.6974933503</v>
      </c>
      <c r="I1665">
        <v>102822.59</v>
      </c>
      <c r="J1665">
        <v>89973.89</v>
      </c>
      <c r="K1665" s="1"/>
      <c r="L1665" s="1"/>
      <c r="M1665" s="1"/>
      <c r="N1665" s="1"/>
    </row>
    <row r="1666" ht="15.75" customHeight="1">
      <c r="A1666" t="s">
        <v>36</v>
      </c>
      <c r="B1666" t="s">
        <v>14</v>
      </c>
      <c r="C1666" t="s">
        <v>4916</v>
      </c>
      <c r="D1666" t="s">
        <v>1745</v>
      </c>
      <c r="E1666">
        <v>67180.4235841284</v>
      </c>
      <c r="F1666">
        <v>22061.7665225223</v>
      </c>
      <c r="G1666">
        <v>13603.5822879612</v>
      </c>
      <c r="H1666">
        <v>12852.0950440376</v>
      </c>
      <c r="I1666">
        <v>102845.77</v>
      </c>
      <c r="J1666">
        <v>89993.67</v>
      </c>
      <c r="K1666" s="1"/>
      <c r="L1666" s="1"/>
      <c r="M1666" s="1"/>
      <c r="N1666" s="1"/>
    </row>
    <row r="1667" ht="15.75" customHeight="1">
      <c r="A1667" t="s">
        <v>25</v>
      </c>
      <c r="B1667" t="s">
        <v>30</v>
      </c>
      <c r="C1667" t="s">
        <v>4917</v>
      </c>
      <c r="D1667" t="s">
        <v>1746</v>
      </c>
      <c r="E1667">
        <v>67191.3065540346</v>
      </c>
      <c r="F1667">
        <v>22066.3812408497</v>
      </c>
      <c r="G1667">
        <v>13611.2622913907</v>
      </c>
      <c r="H1667">
        <v>12855.4925947249</v>
      </c>
      <c r="I1667">
        <v>102868.95</v>
      </c>
      <c r="J1667">
        <v>90013.46</v>
      </c>
      <c r="K1667" s="1"/>
      <c r="L1667" s="1"/>
      <c r="M1667" s="1"/>
      <c r="N1667" s="1"/>
    </row>
    <row r="1668" ht="15.75" customHeight="1">
      <c r="A1668" t="s">
        <v>53</v>
      </c>
      <c r="B1668" t="s">
        <v>18</v>
      </c>
      <c r="C1668" t="s">
        <v>4910</v>
      </c>
      <c r="D1668" t="s">
        <v>1747</v>
      </c>
      <c r="E1668">
        <v>67202.1895239408</v>
      </c>
      <c r="F1668">
        <v>22070.9959591771</v>
      </c>
      <c r="G1668">
        <v>13618.9422948202</v>
      </c>
      <c r="H1668">
        <v>12858.8901454122</v>
      </c>
      <c r="I1668">
        <v>102892.13</v>
      </c>
      <c r="J1668">
        <v>90033.24</v>
      </c>
      <c r="K1668" s="1"/>
      <c r="L1668" s="1"/>
      <c r="M1668" s="1"/>
      <c r="N1668" s="1"/>
    </row>
    <row r="1669" ht="15.75" customHeight="1">
      <c r="A1669" t="s">
        <v>29</v>
      </c>
      <c r="B1669" t="s">
        <v>30</v>
      </c>
      <c r="C1669" t="s">
        <v>4913</v>
      </c>
      <c r="D1669" t="s">
        <v>1748</v>
      </c>
      <c r="E1669">
        <v>67213.072493847</v>
      </c>
      <c r="F1669">
        <v>22075.6106775046</v>
      </c>
      <c r="G1669">
        <v>13626.6222982497</v>
      </c>
      <c r="H1669">
        <v>12862.2876960995</v>
      </c>
      <c r="I1669">
        <v>102915.31</v>
      </c>
      <c r="J1669">
        <v>90053.02</v>
      </c>
      <c r="K1669" s="1"/>
      <c r="L1669" s="1"/>
      <c r="M1669" s="1"/>
      <c r="N1669" s="1"/>
    </row>
    <row r="1670" ht="15.75" customHeight="1">
      <c r="A1670" t="s">
        <v>13</v>
      </c>
      <c r="B1670" t="s">
        <v>14</v>
      </c>
      <c r="C1670" t="s">
        <v>4907</v>
      </c>
      <c r="D1670" t="s">
        <v>1749</v>
      </c>
      <c r="E1670">
        <v>67223.9554637532</v>
      </c>
      <c r="F1670">
        <v>22080.225395832</v>
      </c>
      <c r="G1670">
        <v>13634.3023016792</v>
      </c>
      <c r="H1670">
        <v>12865.6852467868</v>
      </c>
      <c r="I1670">
        <v>102938.48</v>
      </c>
      <c r="J1670">
        <v>90072.79</v>
      </c>
      <c r="K1670" s="1"/>
      <c r="L1670" s="1"/>
      <c r="M1670" s="1"/>
      <c r="N1670" s="1"/>
    </row>
    <row r="1671" ht="15.75" customHeight="1">
      <c r="A1671" t="s">
        <v>17</v>
      </c>
      <c r="B1671" t="s">
        <v>30</v>
      </c>
      <c r="C1671" t="s">
        <v>4912</v>
      </c>
      <c r="D1671" t="s">
        <v>1750</v>
      </c>
      <c r="E1671">
        <v>67234.8384336594</v>
      </c>
      <c r="F1671">
        <v>22084.8401141594</v>
      </c>
      <c r="G1671">
        <v>13641.9823051087</v>
      </c>
      <c r="H1671">
        <v>12869.0827974741</v>
      </c>
      <c r="I1671">
        <v>102961.66</v>
      </c>
      <c r="J1671">
        <v>90092.58</v>
      </c>
      <c r="K1671" s="1"/>
      <c r="L1671" s="1"/>
      <c r="M1671" s="1"/>
      <c r="N1671" s="1"/>
    </row>
    <row r="1672" ht="15.75" customHeight="1">
      <c r="A1672" t="s">
        <v>29</v>
      </c>
      <c r="B1672" t="s">
        <v>33</v>
      </c>
      <c r="C1672" t="s">
        <v>4909</v>
      </c>
      <c r="D1672" t="s">
        <v>1751</v>
      </c>
      <c r="E1672">
        <v>67245.7214035656</v>
      </c>
      <c r="F1672">
        <v>22089.4548324868</v>
      </c>
      <c r="G1672">
        <v>13649.6623085382</v>
      </c>
      <c r="H1672">
        <v>12872.4803481614</v>
      </c>
      <c r="I1672">
        <v>102984.84</v>
      </c>
      <c r="J1672">
        <v>90112.36</v>
      </c>
      <c r="K1672" s="1"/>
      <c r="L1672" s="1"/>
      <c r="M1672" s="1"/>
      <c r="N1672" s="1"/>
    </row>
    <row r="1673" ht="15.75" customHeight="1">
      <c r="A1673" t="s">
        <v>53</v>
      </c>
      <c r="B1673" t="s">
        <v>18</v>
      </c>
      <c r="C1673" t="s">
        <v>4907</v>
      </c>
      <c r="D1673" t="s">
        <v>1752</v>
      </c>
      <c r="E1673">
        <v>67256.6043734718</v>
      </c>
      <c r="F1673">
        <v>22094.0695508143</v>
      </c>
      <c r="G1673">
        <v>13657.3423119677</v>
      </c>
      <c r="H1673">
        <v>12875.8778988486</v>
      </c>
      <c r="I1673">
        <v>103008.02</v>
      </c>
      <c r="J1673">
        <v>90132.14</v>
      </c>
      <c r="K1673" s="1"/>
      <c r="L1673" s="1"/>
      <c r="M1673" s="1"/>
      <c r="N1673" s="1"/>
    </row>
    <row r="1674" ht="15.75" customHeight="1">
      <c r="A1674" t="s">
        <v>17</v>
      </c>
      <c r="B1674" t="s">
        <v>37</v>
      </c>
      <c r="C1674" t="s">
        <v>4913</v>
      </c>
      <c r="D1674" t="s">
        <v>1753</v>
      </c>
      <c r="E1674">
        <v>67267.487343378</v>
      </c>
      <c r="F1674">
        <v>22098.6842691417</v>
      </c>
      <c r="G1674">
        <v>13665.0223153972</v>
      </c>
      <c r="H1674">
        <v>12879.2754495359</v>
      </c>
      <c r="I1674">
        <v>103031.19</v>
      </c>
      <c r="J1674">
        <v>90151.91</v>
      </c>
      <c r="K1674" s="1"/>
      <c r="L1674" s="1"/>
      <c r="M1674" s="1"/>
      <c r="N1674" s="1"/>
    </row>
    <row r="1675" ht="15.75" customHeight="1">
      <c r="A1675" t="s">
        <v>25</v>
      </c>
      <c r="B1675" t="s">
        <v>54</v>
      </c>
      <c r="C1675" t="s">
        <v>4911</v>
      </c>
      <c r="D1675" t="s">
        <v>1754</v>
      </c>
      <c r="E1675">
        <v>67278.3703132842</v>
      </c>
      <c r="F1675">
        <v>22103.2989874691</v>
      </c>
      <c r="G1675">
        <v>13672.7023188267</v>
      </c>
      <c r="H1675">
        <v>12882.6730002232</v>
      </c>
      <c r="I1675">
        <v>103054.37</v>
      </c>
      <c r="J1675">
        <v>90171.7</v>
      </c>
      <c r="K1675" s="1"/>
      <c r="L1675" s="1"/>
      <c r="M1675" s="1"/>
      <c r="N1675" s="1"/>
    </row>
    <row r="1676" ht="15.75" customHeight="1">
      <c r="A1676" t="s">
        <v>36</v>
      </c>
      <c r="B1676" t="s">
        <v>18</v>
      </c>
      <c r="C1676" t="s">
        <v>4911</v>
      </c>
      <c r="D1676" t="s">
        <v>1755</v>
      </c>
      <c r="E1676">
        <v>67289.2532831904</v>
      </c>
      <c r="F1676">
        <v>22107.9137057965</v>
      </c>
      <c r="G1676">
        <v>13680.3823222562</v>
      </c>
      <c r="H1676">
        <v>12886.0705509105</v>
      </c>
      <c r="I1676">
        <v>103077.55</v>
      </c>
      <c r="J1676">
        <v>90191.48</v>
      </c>
      <c r="K1676" s="1"/>
      <c r="L1676" s="1"/>
      <c r="M1676" s="1"/>
      <c r="N1676" s="1"/>
    </row>
    <row r="1677" ht="15.75" customHeight="1">
      <c r="A1677" t="s">
        <v>29</v>
      </c>
      <c r="B1677" t="s">
        <v>14</v>
      </c>
      <c r="C1677" t="s">
        <v>4917</v>
      </c>
      <c r="D1677" t="s">
        <v>1756</v>
      </c>
      <c r="E1677">
        <v>67300.1362530966</v>
      </c>
      <c r="F1677">
        <v>22112.5284241239</v>
      </c>
      <c r="G1677">
        <v>13688.0623256857</v>
      </c>
      <c r="H1677">
        <v>12889.4681015978</v>
      </c>
      <c r="I1677">
        <v>103100.73</v>
      </c>
      <c r="J1677">
        <v>90211.26</v>
      </c>
      <c r="K1677" s="1"/>
      <c r="L1677" s="1"/>
      <c r="M1677" s="1"/>
      <c r="N1677" s="1"/>
    </row>
    <row r="1678" ht="15.75" customHeight="1">
      <c r="A1678" t="s">
        <v>53</v>
      </c>
      <c r="B1678" t="s">
        <v>33</v>
      </c>
      <c r="C1678" t="s">
        <v>4908</v>
      </c>
      <c r="D1678" t="s">
        <v>1757</v>
      </c>
      <c r="E1678">
        <v>67311.0192230028</v>
      </c>
      <c r="F1678">
        <v>22117.1431424514</v>
      </c>
      <c r="G1678">
        <v>13695.7423291152</v>
      </c>
      <c r="H1678">
        <v>12892.8656522851</v>
      </c>
      <c r="I1678">
        <v>103123.9</v>
      </c>
      <c r="J1678">
        <v>90231.03</v>
      </c>
      <c r="K1678" s="1"/>
      <c r="L1678" s="1"/>
      <c r="M1678" s="1"/>
      <c r="N1678" s="1"/>
    </row>
    <row r="1679" ht="15.75" customHeight="1">
      <c r="A1679" t="s">
        <v>13</v>
      </c>
      <c r="B1679" t="s">
        <v>14</v>
      </c>
      <c r="C1679" t="s">
        <v>4916</v>
      </c>
      <c r="D1679" t="s">
        <v>1758</v>
      </c>
      <c r="E1679">
        <v>67321.902192909</v>
      </c>
      <c r="F1679">
        <v>22121.7578607788</v>
      </c>
      <c r="G1679">
        <v>13703.4223325447</v>
      </c>
      <c r="H1679">
        <v>12896.2632029724</v>
      </c>
      <c r="I1679">
        <v>103147.08</v>
      </c>
      <c r="J1679">
        <v>90250.82</v>
      </c>
      <c r="K1679" s="1"/>
      <c r="L1679" s="1"/>
      <c r="M1679" s="1"/>
      <c r="N1679" s="1"/>
    </row>
    <row r="1680" ht="15.75" customHeight="1">
      <c r="A1680" t="s">
        <v>17</v>
      </c>
      <c r="B1680" t="s">
        <v>33</v>
      </c>
      <c r="C1680" t="s">
        <v>4915</v>
      </c>
      <c r="D1680" t="s">
        <v>1759</v>
      </c>
      <c r="E1680">
        <v>67343.6681327213</v>
      </c>
      <c r="F1680">
        <v>22130.9872974336</v>
      </c>
      <c r="G1680">
        <v>13718.7823394037</v>
      </c>
      <c r="H1680">
        <v>12903.0583043469</v>
      </c>
      <c r="I1680">
        <v>103193.44</v>
      </c>
      <c r="J1680">
        <v>90290.38</v>
      </c>
      <c r="K1680" s="1"/>
      <c r="L1680" s="1"/>
      <c r="M1680" s="1"/>
      <c r="N1680" s="1"/>
    </row>
    <row r="1681" ht="15.75" customHeight="1">
      <c r="A1681" t="s">
        <v>13</v>
      </c>
      <c r="B1681" t="s">
        <v>30</v>
      </c>
      <c r="C1681" t="s">
        <v>4905</v>
      </c>
      <c r="D1681" t="s">
        <v>1760</v>
      </c>
      <c r="E1681">
        <v>67354.5511026275</v>
      </c>
      <c r="F1681">
        <v>22135.6020157611</v>
      </c>
      <c r="G1681">
        <v>13726.4623428332</v>
      </c>
      <c r="H1681">
        <v>12906.4558550342</v>
      </c>
      <c r="I1681">
        <v>103216.62</v>
      </c>
      <c r="J1681">
        <v>90310.16</v>
      </c>
      <c r="K1681" s="1"/>
      <c r="L1681" s="1"/>
      <c r="M1681" s="1"/>
      <c r="N1681" s="1"/>
    </row>
    <row r="1682" ht="15.75" customHeight="1">
      <c r="A1682" t="s">
        <v>53</v>
      </c>
      <c r="B1682" t="s">
        <v>26</v>
      </c>
      <c r="C1682" t="s">
        <v>4907</v>
      </c>
      <c r="D1682" t="s">
        <v>1761</v>
      </c>
      <c r="E1682">
        <v>67365.4340725337</v>
      </c>
      <c r="F1682">
        <v>22140.2167340885</v>
      </c>
      <c r="G1682">
        <v>13734.1423462627</v>
      </c>
      <c r="H1682">
        <v>12909.8534057215</v>
      </c>
      <c r="I1682">
        <v>103239.79</v>
      </c>
      <c r="J1682">
        <v>90329.94</v>
      </c>
      <c r="K1682" s="1"/>
      <c r="L1682" s="1"/>
      <c r="M1682" s="1"/>
      <c r="N1682" s="1"/>
    </row>
    <row r="1683" ht="15.75" customHeight="1">
      <c r="A1683" t="s">
        <v>25</v>
      </c>
      <c r="B1683" t="s">
        <v>26</v>
      </c>
      <c r="C1683" t="s">
        <v>4916</v>
      </c>
      <c r="D1683" t="s">
        <v>1762</v>
      </c>
      <c r="E1683">
        <v>67376.3170424399</v>
      </c>
      <c r="F1683">
        <v>22144.8314524159</v>
      </c>
      <c r="G1683">
        <v>13741.8223496922</v>
      </c>
      <c r="H1683">
        <v>12913.2509564088</v>
      </c>
      <c r="I1683">
        <v>103262.97</v>
      </c>
      <c r="J1683">
        <v>90349.72</v>
      </c>
      <c r="K1683" s="1"/>
      <c r="L1683" s="1"/>
      <c r="M1683" s="1"/>
      <c r="N1683" s="1"/>
    </row>
    <row r="1684" ht="15.75" customHeight="1">
      <c r="A1684" t="s">
        <v>13</v>
      </c>
      <c r="B1684" t="s">
        <v>14</v>
      </c>
      <c r="C1684" t="s">
        <v>4917</v>
      </c>
      <c r="D1684" t="s">
        <v>1763</v>
      </c>
      <c r="E1684">
        <v>67398.0829822523</v>
      </c>
      <c r="F1684">
        <v>22154.0608890707</v>
      </c>
      <c r="G1684">
        <v>13757.1823565512</v>
      </c>
      <c r="H1684">
        <v>12920.0460577834</v>
      </c>
      <c r="I1684">
        <v>103309.33</v>
      </c>
      <c r="J1684">
        <v>90389.28</v>
      </c>
      <c r="K1684" s="1"/>
      <c r="L1684" s="1"/>
      <c r="M1684" s="1"/>
      <c r="N1684" s="1"/>
    </row>
    <row r="1685" ht="15.75" customHeight="1">
      <c r="A1685" t="s">
        <v>51</v>
      </c>
      <c r="B1685" t="s">
        <v>33</v>
      </c>
      <c r="C1685" t="s">
        <v>4907</v>
      </c>
      <c r="D1685" t="s">
        <v>1764</v>
      </c>
      <c r="E1685">
        <v>67408.9659521585</v>
      </c>
      <c r="F1685">
        <v>22158.6756073982</v>
      </c>
      <c r="G1685">
        <v>13764.8623599807</v>
      </c>
      <c r="H1685">
        <v>12923.4436084707</v>
      </c>
      <c r="I1685">
        <v>103332.5</v>
      </c>
      <c r="J1685">
        <v>90409.06</v>
      </c>
      <c r="K1685" s="1"/>
      <c r="L1685" s="1"/>
      <c r="M1685" s="1"/>
      <c r="N1685" s="1"/>
    </row>
    <row r="1686" ht="15.75" customHeight="1">
      <c r="A1686" t="s">
        <v>13</v>
      </c>
      <c r="B1686" t="s">
        <v>14</v>
      </c>
      <c r="C1686" t="s">
        <v>4907</v>
      </c>
      <c r="D1686" t="s">
        <v>1765</v>
      </c>
      <c r="E1686">
        <v>67419.8489220647</v>
      </c>
      <c r="F1686">
        <v>22163.2903257256</v>
      </c>
      <c r="G1686">
        <v>13772.5423634102</v>
      </c>
      <c r="H1686">
        <v>12926.8411591579</v>
      </c>
      <c r="I1686">
        <v>103355.68</v>
      </c>
      <c r="J1686">
        <v>90428.84</v>
      </c>
      <c r="K1686" s="1"/>
      <c r="L1686" s="1"/>
      <c r="M1686" s="1"/>
      <c r="N1686" s="1"/>
    </row>
    <row r="1687" ht="15.75" customHeight="1">
      <c r="A1687" t="s">
        <v>51</v>
      </c>
      <c r="B1687" t="s">
        <v>14</v>
      </c>
      <c r="C1687" t="s">
        <v>4912</v>
      </c>
      <c r="D1687" t="s">
        <v>1766</v>
      </c>
      <c r="E1687">
        <v>67430.7318919709</v>
      </c>
      <c r="F1687">
        <v>22167.905044053</v>
      </c>
      <c r="G1687">
        <v>13780.2223668397</v>
      </c>
      <c r="H1687">
        <v>12930.2387098452</v>
      </c>
      <c r="I1687">
        <v>103378.86</v>
      </c>
      <c r="J1687">
        <v>90448.62</v>
      </c>
      <c r="K1687" s="1"/>
      <c r="L1687" s="1"/>
      <c r="M1687" s="1"/>
      <c r="N1687" s="1"/>
    </row>
    <row r="1688" ht="15.75" customHeight="1">
      <c r="A1688" t="s">
        <v>53</v>
      </c>
      <c r="B1688" t="s">
        <v>26</v>
      </c>
      <c r="C1688" t="s">
        <v>4916</v>
      </c>
      <c r="D1688" t="s">
        <v>1767</v>
      </c>
      <c r="E1688">
        <v>67441.6148618771</v>
      </c>
      <c r="F1688">
        <v>22172.5197623804</v>
      </c>
      <c r="G1688">
        <v>13787.9023702692</v>
      </c>
      <c r="H1688">
        <v>12933.6362605325</v>
      </c>
      <c r="I1688">
        <v>103402.04</v>
      </c>
      <c r="J1688">
        <v>90468.4</v>
      </c>
      <c r="K1688" s="1"/>
      <c r="L1688" s="1"/>
      <c r="M1688" s="1"/>
      <c r="N1688" s="1"/>
    </row>
    <row r="1689" ht="15.75" customHeight="1">
      <c r="A1689" t="s">
        <v>51</v>
      </c>
      <c r="B1689" t="s">
        <v>54</v>
      </c>
      <c r="C1689" t="s">
        <v>4915</v>
      </c>
      <c r="D1689" t="s">
        <v>1768</v>
      </c>
      <c r="E1689">
        <v>67452.4978317833</v>
      </c>
      <c r="F1689">
        <v>22177.1344807079</v>
      </c>
      <c r="G1689">
        <v>13795.5823736987</v>
      </c>
      <c r="H1689">
        <v>12937.0338112198</v>
      </c>
      <c r="I1689">
        <v>103425.21</v>
      </c>
      <c r="J1689">
        <v>90488.18</v>
      </c>
      <c r="K1689" s="1"/>
      <c r="L1689" s="1"/>
      <c r="M1689" s="1"/>
      <c r="N1689" s="1"/>
    </row>
    <row r="1690" ht="15.75" customHeight="1">
      <c r="A1690" t="s">
        <v>29</v>
      </c>
      <c r="B1690" t="s">
        <v>14</v>
      </c>
      <c r="C1690" t="s">
        <v>4910</v>
      </c>
      <c r="D1690" t="s">
        <v>1769</v>
      </c>
      <c r="E1690">
        <v>67463.3808016895</v>
      </c>
      <c r="F1690">
        <v>22181.7491990353</v>
      </c>
      <c r="G1690">
        <v>13803.2623771282</v>
      </c>
      <c r="H1690">
        <v>12940.4313619071</v>
      </c>
      <c r="I1690">
        <v>103448.39</v>
      </c>
      <c r="J1690">
        <v>90507.96</v>
      </c>
      <c r="K1690" s="1"/>
      <c r="L1690" s="1"/>
      <c r="M1690" s="1"/>
      <c r="N1690" s="1"/>
    </row>
    <row r="1691" ht="15.75" customHeight="1">
      <c r="A1691" t="s">
        <v>17</v>
      </c>
      <c r="B1691" t="s">
        <v>54</v>
      </c>
      <c r="C1691" t="s">
        <v>4916</v>
      </c>
      <c r="D1691" t="s">
        <v>1770</v>
      </c>
      <c r="E1691">
        <v>67474.2637715957</v>
      </c>
      <c r="F1691">
        <v>22186.3639173627</v>
      </c>
      <c r="G1691">
        <v>13810.9423805576</v>
      </c>
      <c r="H1691">
        <v>12943.8289125944</v>
      </c>
      <c r="I1691">
        <v>103471.57</v>
      </c>
      <c r="J1691">
        <v>90527.74</v>
      </c>
      <c r="K1691" s="1"/>
      <c r="L1691" s="1"/>
      <c r="M1691" s="1"/>
      <c r="N1691" s="1"/>
    </row>
    <row r="1692" ht="15.75" customHeight="1">
      <c r="A1692" t="s">
        <v>36</v>
      </c>
      <c r="B1692" t="s">
        <v>14</v>
      </c>
      <c r="C1692" t="s">
        <v>4914</v>
      </c>
      <c r="D1692" t="s">
        <v>1771</v>
      </c>
      <c r="E1692">
        <v>67485.1467415019</v>
      </c>
      <c r="F1692">
        <v>22190.9786356901</v>
      </c>
      <c r="G1692">
        <v>13818.6223839871</v>
      </c>
      <c r="H1692">
        <v>12947.2264632817</v>
      </c>
      <c r="I1692">
        <v>103494.75</v>
      </c>
      <c r="J1692">
        <v>90547.52</v>
      </c>
      <c r="K1692" s="1"/>
      <c r="L1692" s="1"/>
      <c r="M1692" s="1"/>
      <c r="N1692" s="1"/>
    </row>
    <row r="1693" ht="15.75" customHeight="1">
      <c r="A1693" t="s">
        <v>25</v>
      </c>
      <c r="B1693" t="s">
        <v>33</v>
      </c>
      <c r="C1693" t="s">
        <v>4908</v>
      </c>
      <c r="D1693" t="s">
        <v>1772</v>
      </c>
      <c r="E1693">
        <v>67496.0297114081</v>
      </c>
      <c r="F1693">
        <v>22195.5933540175</v>
      </c>
      <c r="G1693">
        <v>13826.3023874166</v>
      </c>
      <c r="H1693">
        <v>12950.624013969</v>
      </c>
      <c r="I1693">
        <v>103517.93</v>
      </c>
      <c r="J1693">
        <v>90567.31</v>
      </c>
      <c r="K1693" s="1"/>
      <c r="L1693" s="1"/>
      <c r="M1693" s="1"/>
      <c r="N1693" s="1"/>
    </row>
    <row r="1694" ht="15.75" customHeight="1">
      <c r="A1694" t="s">
        <v>25</v>
      </c>
      <c r="B1694" t="s">
        <v>26</v>
      </c>
      <c r="C1694" t="s">
        <v>4917</v>
      </c>
      <c r="D1694" t="s">
        <v>1773</v>
      </c>
      <c r="E1694">
        <v>67506.9126813142</v>
      </c>
      <c r="F1694">
        <v>22200.208072345</v>
      </c>
      <c r="G1694">
        <v>13833.9823908461</v>
      </c>
      <c r="H1694">
        <v>12954.0215646562</v>
      </c>
      <c r="I1694">
        <v>103541.1</v>
      </c>
      <c r="J1694">
        <v>90587.08</v>
      </c>
      <c r="K1694" s="1"/>
      <c r="L1694" s="1"/>
      <c r="M1694" s="1"/>
      <c r="N1694" s="1"/>
    </row>
    <row r="1695" ht="15.75" customHeight="1">
      <c r="A1695" t="s">
        <v>51</v>
      </c>
      <c r="B1695" t="s">
        <v>14</v>
      </c>
      <c r="C1695" t="s">
        <v>4917</v>
      </c>
      <c r="D1695" t="s">
        <v>1774</v>
      </c>
      <c r="E1695">
        <v>67517.7956512204</v>
      </c>
      <c r="F1695">
        <v>22204.8227906724</v>
      </c>
      <c r="G1695">
        <v>13841.6623942756</v>
      </c>
      <c r="H1695">
        <v>12957.4191153435</v>
      </c>
      <c r="I1695">
        <v>103564.28</v>
      </c>
      <c r="J1695">
        <v>90606.86</v>
      </c>
      <c r="K1695" s="1"/>
      <c r="L1695" s="1"/>
      <c r="M1695" s="1"/>
      <c r="N1695" s="1"/>
    </row>
    <row r="1696" ht="15.75" customHeight="1">
      <c r="A1696" t="s">
        <v>25</v>
      </c>
      <c r="B1696" t="s">
        <v>18</v>
      </c>
      <c r="C1696" t="s">
        <v>4908</v>
      </c>
      <c r="D1696" t="s">
        <v>1775</v>
      </c>
      <c r="E1696">
        <v>67528.6786211266</v>
      </c>
      <c r="F1696">
        <v>22209.4375089998</v>
      </c>
      <c r="G1696">
        <v>13849.3423977051</v>
      </c>
      <c r="H1696">
        <v>12960.8166660308</v>
      </c>
      <c r="I1696">
        <v>103587.46</v>
      </c>
      <c r="J1696">
        <v>90626.64</v>
      </c>
      <c r="K1696" s="1"/>
      <c r="L1696" s="1"/>
      <c r="M1696" s="1"/>
      <c r="N1696" s="1"/>
    </row>
    <row r="1697" ht="15.75" customHeight="1">
      <c r="A1697" t="s">
        <v>36</v>
      </c>
      <c r="B1697" t="s">
        <v>26</v>
      </c>
      <c r="C1697" t="s">
        <v>4910</v>
      </c>
      <c r="D1697" t="s">
        <v>1776</v>
      </c>
      <c r="E1697">
        <v>67539.5615910328</v>
      </c>
      <c r="F1697">
        <v>22214.0522273272</v>
      </c>
      <c r="G1697">
        <v>13857.0224011346</v>
      </c>
      <c r="H1697">
        <v>12964.2142167181</v>
      </c>
      <c r="I1697">
        <v>103610.64</v>
      </c>
      <c r="J1697">
        <v>90646.43</v>
      </c>
      <c r="K1697" s="1"/>
      <c r="L1697" s="1"/>
      <c r="M1697" s="1"/>
      <c r="N1697" s="1"/>
    </row>
    <row r="1698" ht="15.75" customHeight="1">
      <c r="A1698" t="s">
        <v>17</v>
      </c>
      <c r="B1698" t="s">
        <v>14</v>
      </c>
      <c r="C1698" t="s">
        <v>4911</v>
      </c>
      <c r="D1698" t="s">
        <v>1777</v>
      </c>
      <c r="E1698">
        <v>67561.3275308452</v>
      </c>
      <c r="F1698">
        <v>22223.2816639821</v>
      </c>
      <c r="G1698">
        <v>13872.3824079936</v>
      </c>
      <c r="H1698">
        <v>12971.0093180927</v>
      </c>
      <c r="I1698">
        <v>103656.99</v>
      </c>
      <c r="J1698">
        <v>90685.98</v>
      </c>
      <c r="K1698" s="1"/>
      <c r="L1698" s="1"/>
      <c r="M1698" s="1"/>
      <c r="N1698" s="1"/>
    </row>
    <row r="1699" ht="15.75" customHeight="1">
      <c r="A1699" t="s">
        <v>29</v>
      </c>
      <c r="B1699" t="s">
        <v>54</v>
      </c>
      <c r="C1699" t="s">
        <v>4917</v>
      </c>
      <c r="D1699" t="s">
        <v>1778</v>
      </c>
      <c r="E1699">
        <v>67572.2105007514</v>
      </c>
      <c r="F1699">
        <v>22227.8963823095</v>
      </c>
      <c r="G1699">
        <v>13880.0624114231</v>
      </c>
      <c r="H1699">
        <v>12974.40686878</v>
      </c>
      <c r="I1699">
        <v>103680.17</v>
      </c>
      <c r="J1699">
        <v>90705.76</v>
      </c>
      <c r="K1699" s="1"/>
      <c r="L1699" s="1"/>
      <c r="M1699" s="1"/>
      <c r="N1699" s="1"/>
    </row>
    <row r="1700" ht="15.75" customHeight="1">
      <c r="A1700" t="s">
        <v>13</v>
      </c>
      <c r="B1700" t="s">
        <v>26</v>
      </c>
      <c r="C1700" t="s">
        <v>4913</v>
      </c>
      <c r="D1700" t="s">
        <v>1779</v>
      </c>
      <c r="E1700">
        <v>67583.0934706576</v>
      </c>
      <c r="F1700">
        <v>22232.5111006369</v>
      </c>
      <c r="G1700">
        <v>13887.7424148526</v>
      </c>
      <c r="H1700">
        <v>12977.8044194672</v>
      </c>
      <c r="I1700">
        <v>103703.35</v>
      </c>
      <c r="J1700">
        <v>90725.55</v>
      </c>
      <c r="K1700" s="1"/>
      <c r="L1700" s="1"/>
      <c r="M1700" s="1"/>
      <c r="N1700" s="1"/>
    </row>
    <row r="1701" ht="15.75" customHeight="1">
      <c r="A1701" t="s">
        <v>13</v>
      </c>
      <c r="B1701" t="s">
        <v>26</v>
      </c>
      <c r="C1701" t="s">
        <v>4911</v>
      </c>
      <c r="D1701" t="s">
        <v>1780</v>
      </c>
      <c r="E1701">
        <v>67604.85941047</v>
      </c>
      <c r="F1701">
        <v>22241.7405372918</v>
      </c>
      <c r="G1701">
        <v>13903.1024217116</v>
      </c>
      <c r="H1701">
        <v>12984.5995208418</v>
      </c>
      <c r="I1701">
        <v>103749.7</v>
      </c>
      <c r="J1701">
        <v>90765.1</v>
      </c>
      <c r="K1701" s="1"/>
      <c r="L1701" s="1"/>
      <c r="M1701" s="1"/>
      <c r="N1701" s="1"/>
    </row>
    <row r="1702" ht="15.75" customHeight="1">
      <c r="A1702" t="s">
        <v>51</v>
      </c>
      <c r="B1702" t="s">
        <v>30</v>
      </c>
      <c r="C1702" t="s">
        <v>4908</v>
      </c>
      <c r="D1702" t="s">
        <v>1781</v>
      </c>
      <c r="E1702">
        <v>67615.7423803762</v>
      </c>
      <c r="F1702">
        <v>22246.3552556192</v>
      </c>
      <c r="G1702">
        <v>13910.7824251411</v>
      </c>
      <c r="H1702">
        <v>12987.9970715291</v>
      </c>
      <c r="I1702">
        <v>103772.88</v>
      </c>
      <c r="J1702">
        <v>90784.88</v>
      </c>
      <c r="K1702" s="1"/>
      <c r="L1702" s="1"/>
      <c r="M1702" s="1"/>
      <c r="N1702" s="1"/>
    </row>
    <row r="1703" ht="15.75" customHeight="1">
      <c r="A1703" t="s">
        <v>36</v>
      </c>
      <c r="B1703" t="s">
        <v>54</v>
      </c>
      <c r="C1703" t="s">
        <v>4917</v>
      </c>
      <c r="D1703" t="s">
        <v>1782</v>
      </c>
      <c r="E1703">
        <v>67626.6253502824</v>
      </c>
      <c r="F1703">
        <v>22250.9699739466</v>
      </c>
      <c r="G1703">
        <v>13918.4624285706</v>
      </c>
      <c r="H1703">
        <v>12991.3946222164</v>
      </c>
      <c r="I1703">
        <v>103796.06</v>
      </c>
      <c r="J1703">
        <v>90804.67</v>
      </c>
      <c r="K1703" s="1"/>
      <c r="L1703" s="1"/>
      <c r="M1703" s="1"/>
      <c r="N1703" s="1"/>
    </row>
    <row r="1704" ht="15.75" customHeight="1">
      <c r="A1704" t="s">
        <v>36</v>
      </c>
      <c r="B1704" t="s">
        <v>33</v>
      </c>
      <c r="C1704" t="s">
        <v>4912</v>
      </c>
      <c r="D1704" t="s">
        <v>1783</v>
      </c>
      <c r="E1704">
        <v>67637.5083201886</v>
      </c>
      <c r="F1704">
        <v>22255.584692274</v>
      </c>
      <c r="G1704">
        <v>13926.1424320001</v>
      </c>
      <c r="H1704">
        <v>12994.7921729037</v>
      </c>
      <c r="I1704">
        <v>103819.24</v>
      </c>
      <c r="J1704">
        <v>90824.45</v>
      </c>
      <c r="K1704" s="1"/>
      <c r="L1704" s="1"/>
      <c r="M1704" s="1"/>
      <c r="N1704" s="1"/>
    </row>
    <row r="1705" ht="15.75" customHeight="1">
      <c r="A1705" t="s">
        <v>29</v>
      </c>
      <c r="B1705" t="s">
        <v>26</v>
      </c>
      <c r="C1705" t="s">
        <v>4907</v>
      </c>
      <c r="D1705" t="s">
        <v>1784</v>
      </c>
      <c r="E1705">
        <v>67648.3912900948</v>
      </c>
      <c r="F1705">
        <v>22260.1994106014</v>
      </c>
      <c r="G1705">
        <v>13933.8224354296</v>
      </c>
      <c r="H1705">
        <v>12998.189723591</v>
      </c>
      <c r="I1705">
        <v>103842.41</v>
      </c>
      <c r="J1705">
        <v>90844.22</v>
      </c>
      <c r="K1705" s="1"/>
      <c r="L1705" s="1"/>
      <c r="M1705" s="1"/>
      <c r="N1705" s="1"/>
    </row>
    <row r="1706" ht="15.75" customHeight="1">
      <c r="A1706" t="s">
        <v>51</v>
      </c>
      <c r="B1706" t="s">
        <v>14</v>
      </c>
      <c r="C1706" t="s">
        <v>4913</v>
      </c>
      <c r="D1706" t="s">
        <v>1785</v>
      </c>
      <c r="E1706">
        <v>67659.274260001</v>
      </c>
      <c r="F1706">
        <v>22264.8141289289</v>
      </c>
      <c r="G1706">
        <v>13941.5024388591</v>
      </c>
      <c r="H1706">
        <v>13001.5872742783</v>
      </c>
      <c r="I1706">
        <v>103865.59</v>
      </c>
      <c r="J1706">
        <v>90864.0</v>
      </c>
      <c r="K1706" s="1"/>
      <c r="L1706" s="1"/>
      <c r="M1706" s="1"/>
      <c r="N1706" s="1"/>
    </row>
    <row r="1707" ht="15.75" customHeight="1">
      <c r="A1707" t="s">
        <v>13</v>
      </c>
      <c r="B1707" t="s">
        <v>33</v>
      </c>
      <c r="C1707" t="s">
        <v>4909</v>
      </c>
      <c r="D1707" t="s">
        <v>1786</v>
      </c>
      <c r="E1707">
        <v>67670.1572299072</v>
      </c>
      <c r="F1707">
        <v>22269.4288472563</v>
      </c>
      <c r="G1707">
        <v>13949.1824422886</v>
      </c>
      <c r="H1707">
        <v>13004.9848249655</v>
      </c>
      <c r="I1707">
        <v>103888.77</v>
      </c>
      <c r="J1707">
        <v>90883.79</v>
      </c>
      <c r="K1707" s="1"/>
      <c r="L1707" s="1"/>
      <c r="M1707" s="1"/>
      <c r="N1707" s="1"/>
    </row>
    <row r="1708" ht="15.75" customHeight="1">
      <c r="A1708" t="s">
        <v>25</v>
      </c>
      <c r="B1708" t="s">
        <v>54</v>
      </c>
      <c r="C1708" t="s">
        <v>4908</v>
      </c>
      <c r="D1708" t="s">
        <v>1787</v>
      </c>
      <c r="E1708">
        <v>67681.0401998133</v>
      </c>
      <c r="F1708">
        <v>22274.0435655837</v>
      </c>
      <c r="G1708">
        <v>13956.8624457181</v>
      </c>
      <c r="H1708">
        <v>13008.3823756528</v>
      </c>
      <c r="I1708">
        <v>103911.95</v>
      </c>
      <c r="J1708">
        <v>90903.57</v>
      </c>
      <c r="K1708" s="1"/>
      <c r="L1708" s="1"/>
      <c r="M1708" s="1"/>
      <c r="N1708" s="1"/>
    </row>
    <row r="1709" ht="15.75" customHeight="1">
      <c r="A1709" t="s">
        <v>25</v>
      </c>
      <c r="B1709" t="s">
        <v>26</v>
      </c>
      <c r="C1709" t="s">
        <v>4917</v>
      </c>
      <c r="D1709" t="s">
        <v>1788</v>
      </c>
      <c r="E1709">
        <v>67691.9231697195</v>
      </c>
      <c r="F1709">
        <v>22278.6582839111</v>
      </c>
      <c r="G1709">
        <v>13964.5424491476</v>
      </c>
      <c r="H1709">
        <v>13011.7799263401</v>
      </c>
      <c r="I1709">
        <v>103935.12</v>
      </c>
      <c r="J1709">
        <v>90923.34</v>
      </c>
      <c r="K1709" s="1"/>
      <c r="L1709" s="1"/>
      <c r="M1709" s="1"/>
      <c r="N1709" s="1"/>
    </row>
    <row r="1710" ht="15.75" customHeight="1">
      <c r="A1710" t="s">
        <v>51</v>
      </c>
      <c r="B1710" t="s">
        <v>30</v>
      </c>
      <c r="C1710" t="s">
        <v>4909</v>
      </c>
      <c r="D1710" t="s">
        <v>1789</v>
      </c>
      <c r="E1710">
        <v>67702.8061396257</v>
      </c>
      <c r="F1710">
        <v>22283.2730022386</v>
      </c>
      <c r="G1710">
        <v>13972.2224525771</v>
      </c>
      <c r="H1710">
        <v>13015.1774770274</v>
      </c>
      <c r="I1710">
        <v>103958.3</v>
      </c>
      <c r="J1710">
        <v>90943.12</v>
      </c>
      <c r="K1710" s="1"/>
      <c r="L1710" s="1"/>
      <c r="M1710" s="1"/>
      <c r="N1710" s="1"/>
    </row>
    <row r="1711" ht="15.75" customHeight="1">
      <c r="A1711" t="s">
        <v>17</v>
      </c>
      <c r="B1711" t="s">
        <v>37</v>
      </c>
      <c r="C1711" t="s">
        <v>4912</v>
      </c>
      <c r="D1711" t="s">
        <v>1790</v>
      </c>
      <c r="E1711">
        <v>67713.6891095319</v>
      </c>
      <c r="F1711">
        <v>22287.887720566</v>
      </c>
      <c r="G1711">
        <v>13979.9024560066</v>
      </c>
      <c r="H1711">
        <v>13018.5750277147</v>
      </c>
      <c r="I1711">
        <v>103981.48</v>
      </c>
      <c r="J1711">
        <v>90962.9</v>
      </c>
      <c r="K1711" s="1"/>
      <c r="L1711" s="1"/>
      <c r="M1711" s="1"/>
      <c r="N1711" s="1"/>
    </row>
    <row r="1712" ht="15.75" customHeight="1">
      <c r="A1712" t="s">
        <v>51</v>
      </c>
      <c r="B1712" t="s">
        <v>18</v>
      </c>
      <c r="C1712" t="s">
        <v>4913</v>
      </c>
      <c r="D1712" t="s">
        <v>1791</v>
      </c>
      <c r="E1712">
        <v>67724.5720794381</v>
      </c>
      <c r="F1712">
        <v>22292.5024388934</v>
      </c>
      <c r="G1712">
        <v>13987.5824594361</v>
      </c>
      <c r="H1712">
        <v>13021.972578402</v>
      </c>
      <c r="I1712">
        <v>104004.66</v>
      </c>
      <c r="J1712">
        <v>90982.69</v>
      </c>
      <c r="K1712" s="1"/>
      <c r="L1712" s="1"/>
      <c r="M1712" s="1"/>
      <c r="N1712" s="1"/>
    </row>
    <row r="1713" ht="15.75" customHeight="1">
      <c r="A1713" t="s">
        <v>17</v>
      </c>
      <c r="B1713" t="s">
        <v>14</v>
      </c>
      <c r="C1713" t="s">
        <v>4911</v>
      </c>
      <c r="D1713" t="s">
        <v>1792</v>
      </c>
      <c r="E1713">
        <v>67735.4550493443</v>
      </c>
      <c r="F1713">
        <v>22297.1171572208</v>
      </c>
      <c r="G1713">
        <v>13995.2624628655</v>
      </c>
      <c r="H1713">
        <v>13025.3701290893</v>
      </c>
      <c r="I1713">
        <v>104027.83</v>
      </c>
      <c r="J1713">
        <v>91002.46</v>
      </c>
      <c r="K1713" s="1"/>
      <c r="L1713" s="1"/>
      <c r="M1713" s="1"/>
      <c r="N1713" s="1"/>
    </row>
    <row r="1714" ht="15.75" customHeight="1">
      <c r="A1714" t="s">
        <v>25</v>
      </c>
      <c r="B1714" t="s">
        <v>18</v>
      </c>
      <c r="C1714" t="s">
        <v>4911</v>
      </c>
      <c r="D1714" t="s">
        <v>1793</v>
      </c>
      <c r="E1714">
        <v>67746.3380192505</v>
      </c>
      <c r="F1714">
        <v>22301.7318755482</v>
      </c>
      <c r="G1714">
        <v>14002.942466295</v>
      </c>
      <c r="H1714">
        <v>14634.43925924574</v>
      </c>
      <c r="I1714">
        <v>104051.01</v>
      </c>
      <c r="J1714">
        <v>89416.57</v>
      </c>
      <c r="K1714" s="1"/>
      <c r="L1714" s="1"/>
      <c r="M1714" s="1"/>
      <c r="N1714" s="1"/>
    </row>
    <row r="1715" ht="15.75" customHeight="1">
      <c r="A1715" t="s">
        <v>29</v>
      </c>
      <c r="B1715" t="s">
        <v>30</v>
      </c>
      <c r="C1715" t="s">
        <v>4913</v>
      </c>
      <c r="D1715" t="s">
        <v>1794</v>
      </c>
      <c r="E1715">
        <v>67757.2209891567</v>
      </c>
      <c r="F1715">
        <v>22306.3465938757</v>
      </c>
      <c r="G1715">
        <v>14010.6224697245</v>
      </c>
      <c r="H1715">
        <v>13032.1652304638</v>
      </c>
      <c r="I1715">
        <v>104074.19</v>
      </c>
      <c r="J1715">
        <v>91042.02</v>
      </c>
      <c r="K1715" s="1"/>
      <c r="L1715" s="1"/>
      <c r="M1715" s="1"/>
      <c r="N1715" s="1"/>
    </row>
    <row r="1716" ht="15.75" customHeight="1">
      <c r="A1716" t="s">
        <v>17</v>
      </c>
      <c r="B1716" t="s">
        <v>37</v>
      </c>
      <c r="C1716" t="s">
        <v>4908</v>
      </c>
      <c r="D1716" t="s">
        <v>1795</v>
      </c>
      <c r="E1716">
        <v>67768.1039590629</v>
      </c>
      <c r="F1716">
        <v>22310.9613122031</v>
      </c>
      <c r="G1716">
        <v>14018.302473154</v>
      </c>
      <c r="H1716">
        <v>13035.5627811511</v>
      </c>
      <c r="I1716">
        <v>104097.37</v>
      </c>
      <c r="J1716">
        <v>91061.81</v>
      </c>
      <c r="K1716" s="1"/>
      <c r="L1716" s="1"/>
      <c r="M1716" s="1"/>
      <c r="N1716" s="1"/>
    </row>
    <row r="1717" ht="15.75" customHeight="1">
      <c r="A1717" t="s">
        <v>53</v>
      </c>
      <c r="B1717" t="s">
        <v>54</v>
      </c>
      <c r="C1717" t="s">
        <v>4907</v>
      </c>
      <c r="D1717" t="s">
        <v>1796</v>
      </c>
      <c r="E1717">
        <v>67778.9869289691</v>
      </c>
      <c r="F1717">
        <v>22315.5760305305</v>
      </c>
      <c r="G1717">
        <v>14025.9824765835</v>
      </c>
      <c r="H1717">
        <v>13038.9603318384</v>
      </c>
      <c r="I1717">
        <v>104120.55</v>
      </c>
      <c r="J1717">
        <v>91081.59</v>
      </c>
      <c r="K1717" s="1"/>
      <c r="L1717" s="1"/>
      <c r="M1717" s="1"/>
      <c r="N1717" s="1"/>
    </row>
    <row r="1718" ht="15.75" customHeight="1">
      <c r="A1718" t="s">
        <v>13</v>
      </c>
      <c r="B1718" t="s">
        <v>26</v>
      </c>
      <c r="C1718" t="s">
        <v>4912</v>
      </c>
      <c r="D1718" t="s">
        <v>1797</v>
      </c>
      <c r="E1718">
        <v>67789.8698988753</v>
      </c>
      <c r="F1718">
        <v>22320.1907488579</v>
      </c>
      <c r="G1718">
        <v>14033.662480013</v>
      </c>
      <c r="H1718">
        <v>13042.3578825257</v>
      </c>
      <c r="I1718">
        <v>104143.72</v>
      </c>
      <c r="J1718">
        <v>91101.36</v>
      </c>
      <c r="K1718" s="1"/>
      <c r="L1718" s="1"/>
      <c r="M1718" s="1"/>
      <c r="N1718" s="1"/>
    </row>
    <row r="1719" ht="15.75" customHeight="1">
      <c r="A1719" t="s">
        <v>36</v>
      </c>
      <c r="B1719" t="s">
        <v>26</v>
      </c>
      <c r="C1719" t="s">
        <v>4916</v>
      </c>
      <c r="D1719" t="s">
        <v>1798</v>
      </c>
      <c r="E1719">
        <v>67800.7528687815</v>
      </c>
      <c r="F1719">
        <v>22324.8054671854</v>
      </c>
      <c r="G1719">
        <v>14041.3424834425</v>
      </c>
      <c r="H1719">
        <v>13045.755433213</v>
      </c>
      <c r="I1719">
        <v>104166.9</v>
      </c>
      <c r="J1719">
        <v>91121.14</v>
      </c>
      <c r="K1719" s="1"/>
      <c r="L1719" s="1"/>
      <c r="M1719" s="1"/>
      <c r="N1719" s="1"/>
    </row>
    <row r="1720" ht="15.75" customHeight="1">
      <c r="A1720" t="s">
        <v>53</v>
      </c>
      <c r="B1720" t="s">
        <v>37</v>
      </c>
      <c r="C1720" t="s">
        <v>4914</v>
      </c>
      <c r="D1720" t="s">
        <v>1799</v>
      </c>
      <c r="E1720">
        <v>67811.6358386877</v>
      </c>
      <c r="F1720">
        <v>22329.4201855128</v>
      </c>
      <c r="G1720">
        <v>14049.022486872</v>
      </c>
      <c r="H1720">
        <v>13049.1529839003</v>
      </c>
      <c r="I1720">
        <v>104190.08</v>
      </c>
      <c r="J1720">
        <v>91140.93</v>
      </c>
      <c r="K1720" s="1"/>
      <c r="L1720" s="1"/>
      <c r="M1720" s="1"/>
      <c r="N1720" s="1"/>
    </row>
    <row r="1721" ht="15.75" customHeight="1">
      <c r="A1721" t="s">
        <v>51</v>
      </c>
      <c r="B1721" t="s">
        <v>14</v>
      </c>
      <c r="C1721" t="s">
        <v>4909</v>
      </c>
      <c r="D1721" t="s">
        <v>1800</v>
      </c>
      <c r="E1721">
        <v>67822.5188085939</v>
      </c>
      <c r="F1721">
        <v>22334.0349038402</v>
      </c>
      <c r="G1721">
        <v>14056.7024903015</v>
      </c>
      <c r="H1721">
        <v>13052.5505345876</v>
      </c>
      <c r="I1721">
        <v>104213.26</v>
      </c>
      <c r="J1721">
        <v>91160.71</v>
      </c>
      <c r="K1721" s="1"/>
      <c r="L1721" s="1"/>
      <c r="M1721" s="1"/>
      <c r="N1721" s="1"/>
    </row>
    <row r="1722" ht="15.75" customHeight="1">
      <c r="A1722" t="s">
        <v>53</v>
      </c>
      <c r="B1722" t="s">
        <v>33</v>
      </c>
      <c r="C1722" t="s">
        <v>4905</v>
      </c>
      <c r="D1722" t="s">
        <v>1801</v>
      </c>
      <c r="E1722">
        <v>67833.4017785</v>
      </c>
      <c r="F1722">
        <v>22338.6496221676</v>
      </c>
      <c r="G1722">
        <v>14064.382493731</v>
      </c>
      <c r="H1722">
        <v>13055.9480852748</v>
      </c>
      <c r="I1722">
        <v>104236.43</v>
      </c>
      <c r="J1722">
        <v>91180.48</v>
      </c>
      <c r="K1722" s="1"/>
      <c r="L1722" s="1"/>
      <c r="M1722" s="1"/>
      <c r="N1722" s="1"/>
    </row>
    <row r="1723" ht="15.75" customHeight="1">
      <c r="A1723" t="s">
        <v>51</v>
      </c>
      <c r="B1723" t="s">
        <v>18</v>
      </c>
      <c r="C1723" t="s">
        <v>4913</v>
      </c>
      <c r="D1723" t="s">
        <v>1802</v>
      </c>
      <c r="E1723">
        <v>67844.2847484062</v>
      </c>
      <c r="F1723">
        <v>22343.264340495</v>
      </c>
      <c r="G1723">
        <v>14072.0624971605</v>
      </c>
      <c r="H1723">
        <v>13059.3456359621</v>
      </c>
      <c r="I1723">
        <v>104259.61</v>
      </c>
      <c r="J1723">
        <v>91200.26</v>
      </c>
      <c r="K1723" s="1"/>
      <c r="L1723" s="1"/>
      <c r="M1723" s="1"/>
      <c r="N1723" s="1"/>
    </row>
    <row r="1724" ht="15.75" customHeight="1">
      <c r="A1724" t="s">
        <v>17</v>
      </c>
      <c r="B1724" t="s">
        <v>26</v>
      </c>
      <c r="C1724" t="s">
        <v>4912</v>
      </c>
      <c r="D1724" t="s">
        <v>1803</v>
      </c>
      <c r="E1724">
        <v>67855.1677183124</v>
      </c>
      <c r="F1724">
        <v>22347.8790588225</v>
      </c>
      <c r="G1724">
        <v>14079.74250059</v>
      </c>
      <c r="H1724">
        <v>13062.7431866494</v>
      </c>
      <c r="I1724">
        <v>104282.79</v>
      </c>
      <c r="J1724">
        <v>91220.05</v>
      </c>
      <c r="K1724" s="1"/>
      <c r="L1724" s="1"/>
      <c r="M1724" s="1"/>
      <c r="N1724" s="1"/>
    </row>
    <row r="1725" ht="15.75" customHeight="1">
      <c r="A1725" t="s">
        <v>25</v>
      </c>
      <c r="B1725" t="s">
        <v>18</v>
      </c>
      <c r="C1725" t="s">
        <v>4914</v>
      </c>
      <c r="D1725" t="s">
        <v>1804</v>
      </c>
      <c r="E1725">
        <v>67876.9336581248</v>
      </c>
      <c r="F1725">
        <v>22357.1084954773</v>
      </c>
      <c r="G1725">
        <v>14095.102507449</v>
      </c>
      <c r="H1725">
        <v>13069.538288024</v>
      </c>
      <c r="I1725">
        <v>104329.14</v>
      </c>
      <c r="J1725">
        <v>91259.6</v>
      </c>
      <c r="K1725" s="1"/>
      <c r="L1725" s="1"/>
      <c r="M1725" s="1"/>
      <c r="N1725" s="1"/>
    </row>
    <row r="1726" ht="15.75" customHeight="1">
      <c r="A1726" t="s">
        <v>29</v>
      </c>
      <c r="B1726" t="s">
        <v>37</v>
      </c>
      <c r="C1726" t="s">
        <v>4916</v>
      </c>
      <c r="D1726" t="s">
        <v>1805</v>
      </c>
      <c r="E1726">
        <v>67887.816628031</v>
      </c>
      <c r="F1726">
        <v>22361.7232138047</v>
      </c>
      <c r="G1726">
        <v>14102.7825108785</v>
      </c>
      <c r="H1726">
        <v>13072.9358387113</v>
      </c>
      <c r="I1726">
        <v>104352.32</v>
      </c>
      <c r="J1726">
        <v>91279.38</v>
      </c>
      <c r="K1726" s="1"/>
      <c r="L1726" s="1"/>
      <c r="M1726" s="1"/>
      <c r="N1726" s="1"/>
    </row>
    <row r="1727" ht="15.75" customHeight="1">
      <c r="A1727" t="s">
        <v>53</v>
      </c>
      <c r="B1727" t="s">
        <v>33</v>
      </c>
      <c r="C1727" t="s">
        <v>4908</v>
      </c>
      <c r="D1727" t="s">
        <v>1806</v>
      </c>
      <c r="E1727">
        <v>67898.6995979372</v>
      </c>
      <c r="F1727">
        <v>22366.3379321322</v>
      </c>
      <c r="G1727">
        <v>14110.462514308</v>
      </c>
      <c r="H1727">
        <v>13076.3333893986</v>
      </c>
      <c r="I1727">
        <v>104375.5</v>
      </c>
      <c r="J1727">
        <v>91299.17</v>
      </c>
      <c r="K1727" s="1"/>
      <c r="L1727" s="1"/>
      <c r="M1727" s="1"/>
      <c r="N1727" s="1"/>
    </row>
    <row r="1728" ht="15.75" customHeight="1">
      <c r="A1728" t="s">
        <v>51</v>
      </c>
      <c r="B1728" t="s">
        <v>14</v>
      </c>
      <c r="C1728" t="s">
        <v>4912</v>
      </c>
      <c r="D1728" t="s">
        <v>1807</v>
      </c>
      <c r="E1728">
        <v>67909.5825678434</v>
      </c>
      <c r="F1728">
        <v>22370.9526504596</v>
      </c>
      <c r="G1728">
        <v>14118.1425177375</v>
      </c>
      <c r="H1728">
        <v>13079.7309400859</v>
      </c>
      <c r="I1728">
        <v>104398.68</v>
      </c>
      <c r="J1728">
        <v>91318.95</v>
      </c>
      <c r="K1728" s="1"/>
      <c r="L1728" s="1"/>
      <c r="M1728" s="1"/>
      <c r="N1728" s="1"/>
    </row>
    <row r="1729" ht="15.75" customHeight="1">
      <c r="A1729" t="s">
        <v>25</v>
      </c>
      <c r="B1729" t="s">
        <v>30</v>
      </c>
      <c r="C1729" t="s">
        <v>4909</v>
      </c>
      <c r="D1729" t="s">
        <v>1808</v>
      </c>
      <c r="E1729">
        <v>67920.4655377496</v>
      </c>
      <c r="F1729">
        <v>22375.567368787</v>
      </c>
      <c r="G1729">
        <v>14125.822521167</v>
      </c>
      <c r="H1729">
        <v>13083.1284907731</v>
      </c>
      <c r="I1729">
        <v>104421.86</v>
      </c>
      <c r="J1729">
        <v>91338.73</v>
      </c>
      <c r="K1729" s="1"/>
      <c r="L1729" s="1"/>
      <c r="M1729" s="1"/>
      <c r="N1729" s="1"/>
    </row>
    <row r="1730" ht="15.75" customHeight="1">
      <c r="A1730" t="s">
        <v>17</v>
      </c>
      <c r="B1730" t="s">
        <v>14</v>
      </c>
      <c r="C1730" t="s">
        <v>4917</v>
      </c>
      <c r="D1730" t="s">
        <v>1809</v>
      </c>
      <c r="E1730">
        <v>67931.3485076558</v>
      </c>
      <c r="F1730">
        <v>22380.1820871144</v>
      </c>
      <c r="G1730">
        <v>14133.5025245965</v>
      </c>
      <c r="H1730">
        <v>13086.5260414604</v>
      </c>
      <c r="I1730">
        <v>104445.03</v>
      </c>
      <c r="J1730">
        <v>91358.5</v>
      </c>
      <c r="K1730" s="1"/>
      <c r="L1730" s="1"/>
      <c r="M1730" s="1"/>
      <c r="N1730" s="1"/>
    </row>
    <row r="1731" ht="15.75" customHeight="1">
      <c r="A1731" t="s">
        <v>25</v>
      </c>
      <c r="B1731" t="s">
        <v>37</v>
      </c>
      <c r="C1731" t="s">
        <v>4911</v>
      </c>
      <c r="D1731" t="s">
        <v>1810</v>
      </c>
      <c r="E1731">
        <v>67942.231477562</v>
      </c>
      <c r="F1731">
        <v>22384.7968054418</v>
      </c>
      <c r="G1731">
        <v>14141.182528026</v>
      </c>
      <c r="H1731">
        <v>13089.9235921477</v>
      </c>
      <c r="I1731">
        <v>104468.21</v>
      </c>
      <c r="J1731">
        <v>91378.29</v>
      </c>
      <c r="K1731" s="1"/>
      <c r="L1731" s="1"/>
      <c r="M1731" s="1"/>
      <c r="N1731" s="1"/>
    </row>
    <row r="1732" ht="15.75" customHeight="1">
      <c r="A1732" t="s">
        <v>36</v>
      </c>
      <c r="B1732" t="s">
        <v>37</v>
      </c>
      <c r="C1732" t="s">
        <v>4911</v>
      </c>
      <c r="D1732" t="s">
        <v>1811</v>
      </c>
      <c r="E1732">
        <v>67953.1144474682</v>
      </c>
      <c r="F1732">
        <v>22389.4115237693</v>
      </c>
      <c r="G1732">
        <v>14148.8625314555</v>
      </c>
      <c r="H1732">
        <v>13093.321142835</v>
      </c>
      <c r="I1732">
        <v>104491.39</v>
      </c>
      <c r="J1732">
        <v>91398.07</v>
      </c>
      <c r="K1732" s="1"/>
      <c r="L1732" s="1"/>
      <c r="M1732" s="1"/>
      <c r="N1732" s="1"/>
    </row>
    <row r="1733" ht="15.75" customHeight="1">
      <c r="A1733" t="s">
        <v>13</v>
      </c>
      <c r="B1733" t="s">
        <v>54</v>
      </c>
      <c r="C1733" t="s">
        <v>4908</v>
      </c>
      <c r="D1733" t="s">
        <v>1812</v>
      </c>
      <c r="E1733">
        <v>67963.9974173744</v>
      </c>
      <c r="F1733">
        <v>22394.0262420967</v>
      </c>
      <c r="G1733">
        <v>14156.542534885</v>
      </c>
      <c r="H1733">
        <v>13096.7186935223</v>
      </c>
      <c r="I1733">
        <v>104514.57</v>
      </c>
      <c r="J1733">
        <v>91417.85</v>
      </c>
      <c r="K1733" s="1"/>
      <c r="L1733" s="1"/>
      <c r="M1733" s="1"/>
      <c r="N1733" s="1"/>
    </row>
    <row r="1734" ht="15.75" customHeight="1">
      <c r="A1734" t="s">
        <v>13</v>
      </c>
      <c r="B1734" t="s">
        <v>37</v>
      </c>
      <c r="C1734" t="s">
        <v>4910</v>
      </c>
      <c r="D1734" t="s">
        <v>1813</v>
      </c>
      <c r="E1734">
        <v>67974.8803872806</v>
      </c>
      <c r="F1734">
        <v>22398.6409604241</v>
      </c>
      <c r="G1734">
        <v>14164.2225383145</v>
      </c>
      <c r="H1734">
        <v>13100.1162442096</v>
      </c>
      <c r="I1734">
        <v>104537.74</v>
      </c>
      <c r="J1734">
        <v>91437.62</v>
      </c>
      <c r="K1734" s="1"/>
      <c r="L1734" s="1"/>
      <c r="M1734" s="1"/>
      <c r="N1734" s="1"/>
    </row>
    <row r="1735" ht="15.75" customHeight="1">
      <c r="A1735" t="s">
        <v>13</v>
      </c>
      <c r="B1735" t="s">
        <v>37</v>
      </c>
      <c r="C1735" t="s">
        <v>4913</v>
      </c>
      <c r="D1735" t="s">
        <v>1814</v>
      </c>
      <c r="E1735">
        <v>67985.7633571868</v>
      </c>
      <c r="F1735">
        <v>22403.2556787515</v>
      </c>
      <c r="G1735">
        <v>14171.902541744</v>
      </c>
      <c r="H1735">
        <v>13103.5137948969</v>
      </c>
      <c r="I1735">
        <v>104560.92</v>
      </c>
      <c r="J1735">
        <v>91457.41</v>
      </c>
      <c r="K1735" s="1"/>
      <c r="L1735" s="1"/>
      <c r="M1735" s="1"/>
      <c r="N1735" s="1"/>
    </row>
    <row r="1736" ht="15.75" customHeight="1">
      <c r="A1736" t="s">
        <v>51</v>
      </c>
      <c r="B1736" t="s">
        <v>30</v>
      </c>
      <c r="C1736" t="s">
        <v>4916</v>
      </c>
      <c r="D1736" t="s">
        <v>1815</v>
      </c>
      <c r="E1736">
        <v>67996.646327093</v>
      </c>
      <c r="F1736">
        <v>22407.870397079</v>
      </c>
      <c r="G1736">
        <v>14179.5825451735</v>
      </c>
      <c r="H1736">
        <v>13106.9113455842</v>
      </c>
      <c r="I1736">
        <v>104584.1</v>
      </c>
      <c r="J1736">
        <v>91477.19</v>
      </c>
      <c r="K1736" s="1"/>
      <c r="L1736" s="1"/>
      <c r="M1736" s="1"/>
      <c r="N1736" s="1"/>
    </row>
    <row r="1737" ht="15.75" customHeight="1">
      <c r="A1737" t="s">
        <v>25</v>
      </c>
      <c r="B1737" t="s">
        <v>26</v>
      </c>
      <c r="C1737" t="s">
        <v>4905</v>
      </c>
      <c r="D1737" t="s">
        <v>1816</v>
      </c>
      <c r="E1737">
        <v>68007.5292969991</v>
      </c>
      <c r="F1737">
        <v>22412.4851154064</v>
      </c>
      <c r="G1737">
        <v>14187.262548603</v>
      </c>
      <c r="H1737">
        <v>13110.3088962714</v>
      </c>
      <c r="I1737">
        <v>104607.28</v>
      </c>
      <c r="J1737">
        <v>91496.97</v>
      </c>
      <c r="K1737" s="1"/>
      <c r="L1737" s="1"/>
      <c r="M1737" s="1"/>
      <c r="N1737" s="1"/>
    </row>
    <row r="1738" ht="15.75" customHeight="1">
      <c r="A1738" t="s">
        <v>51</v>
      </c>
      <c r="B1738" t="s">
        <v>18</v>
      </c>
      <c r="C1738" t="s">
        <v>4909</v>
      </c>
      <c r="D1738" t="s">
        <v>1817</v>
      </c>
      <c r="E1738">
        <v>68018.4122669053</v>
      </c>
      <c r="F1738">
        <v>22417.0998337338</v>
      </c>
      <c r="G1738">
        <v>14194.9425520325</v>
      </c>
      <c r="H1738">
        <v>13113.7064469587</v>
      </c>
      <c r="I1738">
        <v>104630.45</v>
      </c>
      <c r="J1738">
        <v>91516.74</v>
      </c>
      <c r="K1738" s="1"/>
      <c r="L1738" s="1"/>
      <c r="M1738" s="1"/>
      <c r="N1738" s="1"/>
    </row>
    <row r="1739" ht="15.75" customHeight="1">
      <c r="A1739" t="s">
        <v>17</v>
      </c>
      <c r="B1739" t="s">
        <v>30</v>
      </c>
      <c r="C1739" t="s">
        <v>4907</v>
      </c>
      <c r="D1739" t="s">
        <v>1818</v>
      </c>
      <c r="E1739">
        <v>68029.2952368115</v>
      </c>
      <c r="F1739">
        <v>22421.7145520612</v>
      </c>
      <c r="G1739">
        <v>14202.622555462</v>
      </c>
      <c r="H1739">
        <v>13117.103997646</v>
      </c>
      <c r="I1739">
        <v>104653.63</v>
      </c>
      <c r="J1739">
        <v>91536.53</v>
      </c>
      <c r="K1739" s="1"/>
      <c r="L1739" s="1"/>
      <c r="M1739" s="1"/>
      <c r="N1739" s="1"/>
    </row>
    <row r="1740" ht="15.75" customHeight="1">
      <c r="A1740" t="s">
        <v>25</v>
      </c>
      <c r="B1740" t="s">
        <v>18</v>
      </c>
      <c r="C1740" t="s">
        <v>4909</v>
      </c>
      <c r="D1740" t="s">
        <v>1819</v>
      </c>
      <c r="E1740">
        <v>68040.1782067177</v>
      </c>
      <c r="F1740">
        <v>22426.3292703886</v>
      </c>
      <c r="G1740">
        <v>14210.3025588915</v>
      </c>
      <c r="H1740">
        <v>13120.5015483333</v>
      </c>
      <c r="I1740">
        <v>104676.81</v>
      </c>
      <c r="J1740">
        <v>91556.31</v>
      </c>
      <c r="K1740" s="1"/>
      <c r="L1740" s="1"/>
      <c r="M1740" s="1"/>
      <c r="N1740" s="1"/>
    </row>
    <row r="1741" ht="15.75" customHeight="1">
      <c r="A1741" t="s">
        <v>29</v>
      </c>
      <c r="B1741" t="s">
        <v>30</v>
      </c>
      <c r="C1741" t="s">
        <v>4911</v>
      </c>
      <c r="D1741" t="s">
        <v>1820</v>
      </c>
      <c r="E1741">
        <v>68051.0611766239</v>
      </c>
      <c r="F1741">
        <v>22430.9439887161</v>
      </c>
      <c r="G1741">
        <v>14217.982562321</v>
      </c>
      <c r="H1741">
        <v>13123.8990990206</v>
      </c>
      <c r="I1741">
        <v>104699.99</v>
      </c>
      <c r="J1741">
        <v>91576.09</v>
      </c>
      <c r="K1741" s="1"/>
      <c r="L1741" s="1"/>
      <c r="M1741" s="1"/>
      <c r="N1741" s="1"/>
    </row>
    <row r="1742" ht="15.75" customHeight="1">
      <c r="A1742" t="s">
        <v>13</v>
      </c>
      <c r="B1742" t="s">
        <v>14</v>
      </c>
      <c r="C1742" t="s">
        <v>4914</v>
      </c>
      <c r="D1742" t="s">
        <v>1821</v>
      </c>
      <c r="E1742">
        <v>68061.9441465301</v>
      </c>
      <c r="F1742">
        <v>22435.5587070435</v>
      </c>
      <c r="G1742">
        <v>14225.6625657505</v>
      </c>
      <c r="H1742">
        <v>13127.2966497079</v>
      </c>
      <c r="I1742">
        <v>104723.17</v>
      </c>
      <c r="J1742">
        <v>91595.87</v>
      </c>
      <c r="K1742" s="1"/>
      <c r="L1742" s="1"/>
      <c r="M1742" s="1"/>
      <c r="N1742" s="1"/>
    </row>
    <row r="1743" ht="15.75" customHeight="1">
      <c r="A1743" t="s">
        <v>36</v>
      </c>
      <c r="B1743" t="s">
        <v>54</v>
      </c>
      <c r="C1743" t="s">
        <v>4914</v>
      </c>
      <c r="D1743" t="s">
        <v>1822</v>
      </c>
      <c r="E1743">
        <v>68072.8271164363</v>
      </c>
      <c r="F1743">
        <v>22440.1734253709</v>
      </c>
      <c r="G1743">
        <v>14233.34256918</v>
      </c>
      <c r="H1743">
        <v>13130.6942003952</v>
      </c>
      <c r="I1743">
        <v>104746.34</v>
      </c>
      <c r="J1743">
        <v>91615.65</v>
      </c>
      <c r="K1743" s="1"/>
      <c r="L1743" s="1"/>
      <c r="M1743" s="1"/>
      <c r="N1743" s="1"/>
    </row>
    <row r="1744" ht="15.75" customHeight="1">
      <c r="A1744" t="s">
        <v>25</v>
      </c>
      <c r="B1744" t="s">
        <v>26</v>
      </c>
      <c r="C1744" t="s">
        <v>4909</v>
      </c>
      <c r="D1744" t="s">
        <v>1823</v>
      </c>
      <c r="E1744">
        <v>68083.7100863425</v>
      </c>
      <c r="F1744">
        <v>22444.7881436983</v>
      </c>
      <c r="G1744">
        <v>14241.0225726094</v>
      </c>
      <c r="H1744">
        <v>13134.0917510824</v>
      </c>
      <c r="I1744">
        <v>104769.52</v>
      </c>
      <c r="J1744">
        <v>91635.43</v>
      </c>
      <c r="K1744" s="1"/>
      <c r="L1744" s="1"/>
      <c r="M1744" s="1"/>
      <c r="N1744" s="1"/>
    </row>
    <row r="1745" ht="15.75" customHeight="1">
      <c r="A1745" t="s">
        <v>17</v>
      </c>
      <c r="B1745" t="s">
        <v>26</v>
      </c>
      <c r="C1745" t="s">
        <v>4915</v>
      </c>
      <c r="D1745" t="s">
        <v>1824</v>
      </c>
      <c r="E1745">
        <v>68094.5930562487</v>
      </c>
      <c r="F1745">
        <v>22449.4028620258</v>
      </c>
      <c r="G1745">
        <v>14248.7025760389</v>
      </c>
      <c r="H1745">
        <v>13137.4893017697</v>
      </c>
      <c r="I1745">
        <v>104792.7</v>
      </c>
      <c r="J1745">
        <v>91655.21</v>
      </c>
      <c r="K1745" s="1"/>
      <c r="L1745" s="1"/>
      <c r="M1745" s="1"/>
      <c r="N1745" s="1"/>
    </row>
    <row r="1746" ht="15.75" customHeight="1">
      <c r="A1746" t="s">
        <v>17</v>
      </c>
      <c r="B1746" t="s">
        <v>33</v>
      </c>
      <c r="C1746" t="s">
        <v>4907</v>
      </c>
      <c r="D1746" t="s">
        <v>1825</v>
      </c>
      <c r="E1746">
        <v>68105.4760261549</v>
      </c>
      <c r="F1746">
        <v>22454.0175803532</v>
      </c>
      <c r="G1746">
        <v>14256.3825794684</v>
      </c>
      <c r="H1746">
        <v>13140.886852457</v>
      </c>
      <c r="I1746">
        <v>104815.88</v>
      </c>
      <c r="J1746">
        <v>91674.99</v>
      </c>
      <c r="K1746" s="1"/>
      <c r="L1746" s="1"/>
      <c r="M1746" s="1"/>
      <c r="N1746" s="1"/>
    </row>
    <row r="1747" ht="15.75" customHeight="1">
      <c r="A1747" t="s">
        <v>17</v>
      </c>
      <c r="B1747" t="s">
        <v>33</v>
      </c>
      <c r="C1747" t="s">
        <v>4909</v>
      </c>
      <c r="D1747" t="s">
        <v>1826</v>
      </c>
      <c r="E1747">
        <v>68116.3589960611</v>
      </c>
      <c r="F1747">
        <v>22458.6322986806</v>
      </c>
      <c r="G1747">
        <v>14264.0625828979</v>
      </c>
      <c r="H1747">
        <v>13144.2844031443</v>
      </c>
      <c r="I1747">
        <v>104839.05</v>
      </c>
      <c r="J1747">
        <v>91694.77</v>
      </c>
      <c r="K1747" s="1"/>
      <c r="L1747" s="1"/>
      <c r="M1747" s="1"/>
      <c r="N1747" s="1"/>
    </row>
    <row r="1748" ht="15.75" customHeight="1">
      <c r="A1748" t="s">
        <v>36</v>
      </c>
      <c r="B1748" t="s">
        <v>18</v>
      </c>
      <c r="C1748" t="s">
        <v>4905</v>
      </c>
      <c r="D1748" t="s">
        <v>1827</v>
      </c>
      <c r="E1748">
        <v>68127.2419659673</v>
      </c>
      <c r="F1748">
        <v>22463.247017008</v>
      </c>
      <c r="G1748">
        <v>14271.7425863274</v>
      </c>
      <c r="H1748">
        <v>13147.6819538316</v>
      </c>
      <c r="I1748">
        <v>104862.23</v>
      </c>
      <c r="J1748">
        <v>91714.55</v>
      </c>
      <c r="K1748" s="1"/>
      <c r="L1748" s="1"/>
      <c r="M1748" s="1"/>
      <c r="N1748" s="1"/>
    </row>
    <row r="1749" ht="15.75" customHeight="1">
      <c r="A1749" t="s">
        <v>29</v>
      </c>
      <c r="B1749" t="s">
        <v>30</v>
      </c>
      <c r="C1749" t="s">
        <v>4913</v>
      </c>
      <c r="D1749" t="s">
        <v>1828</v>
      </c>
      <c r="E1749">
        <v>68138.1249358735</v>
      </c>
      <c r="F1749">
        <v>22467.8617353354</v>
      </c>
      <c r="G1749">
        <v>14279.4225897569</v>
      </c>
      <c r="H1749">
        <v>13151.0795045189</v>
      </c>
      <c r="I1749">
        <v>104885.41</v>
      </c>
      <c r="J1749">
        <v>91734.33</v>
      </c>
      <c r="K1749" s="1"/>
      <c r="L1749" s="1"/>
      <c r="M1749" s="1"/>
      <c r="N1749" s="1"/>
    </row>
    <row r="1750" ht="15.75" customHeight="1">
      <c r="A1750" t="s">
        <v>53</v>
      </c>
      <c r="B1750" t="s">
        <v>33</v>
      </c>
      <c r="C1750" t="s">
        <v>4913</v>
      </c>
      <c r="D1750" t="s">
        <v>1829</v>
      </c>
      <c r="E1750">
        <v>68149.0079057797</v>
      </c>
      <c r="F1750">
        <v>22472.4764536629</v>
      </c>
      <c r="G1750">
        <v>14287.1025931864</v>
      </c>
      <c r="H1750">
        <v>13154.4770552062</v>
      </c>
      <c r="I1750">
        <v>104908.59</v>
      </c>
      <c r="J1750">
        <v>91754.11</v>
      </c>
      <c r="K1750" s="1"/>
      <c r="L1750" s="1"/>
      <c r="M1750" s="1"/>
      <c r="N1750" s="1"/>
    </row>
    <row r="1751" ht="15.75" customHeight="1">
      <c r="A1751" t="s">
        <v>53</v>
      </c>
      <c r="B1751" t="s">
        <v>37</v>
      </c>
      <c r="C1751" t="s">
        <v>4909</v>
      </c>
      <c r="D1751" t="s">
        <v>1830</v>
      </c>
      <c r="E1751">
        <v>68159.8908756859</v>
      </c>
      <c r="F1751">
        <v>22477.0911719903</v>
      </c>
      <c r="G1751">
        <v>14294.7825966159</v>
      </c>
      <c r="H1751">
        <v>13157.8746058935</v>
      </c>
      <c r="I1751">
        <v>104931.76</v>
      </c>
      <c r="J1751">
        <v>91773.89</v>
      </c>
      <c r="K1751" s="1"/>
      <c r="L1751" s="1"/>
      <c r="M1751" s="1"/>
      <c r="N1751" s="1"/>
    </row>
    <row r="1752" ht="15.75" customHeight="1">
      <c r="A1752" t="s">
        <v>17</v>
      </c>
      <c r="B1752" t="s">
        <v>33</v>
      </c>
      <c r="C1752" t="s">
        <v>4909</v>
      </c>
      <c r="D1752" t="s">
        <v>1831</v>
      </c>
      <c r="E1752">
        <v>68170.773845592</v>
      </c>
      <c r="F1752">
        <v>22481.7058903177</v>
      </c>
      <c r="G1752">
        <v>14302.4626000454</v>
      </c>
      <c r="H1752">
        <v>13161.2721565807</v>
      </c>
      <c r="I1752">
        <v>104954.94</v>
      </c>
      <c r="J1752">
        <v>91793.67</v>
      </c>
      <c r="K1752" s="1"/>
      <c r="L1752" s="1"/>
      <c r="M1752" s="1"/>
      <c r="N1752" s="1"/>
    </row>
    <row r="1753" ht="15.75" customHeight="1">
      <c r="A1753" t="s">
        <v>17</v>
      </c>
      <c r="B1753" t="s">
        <v>30</v>
      </c>
      <c r="C1753" t="s">
        <v>4909</v>
      </c>
      <c r="D1753" t="s">
        <v>1832</v>
      </c>
      <c r="E1753">
        <v>68181.6568154982</v>
      </c>
      <c r="F1753">
        <v>22486.3206086451</v>
      </c>
      <c r="G1753">
        <v>14310.1426034749</v>
      </c>
      <c r="H1753">
        <v>13164.669707268</v>
      </c>
      <c r="I1753">
        <v>104978.12</v>
      </c>
      <c r="J1753">
        <v>91813.45</v>
      </c>
      <c r="K1753" s="1"/>
      <c r="L1753" s="1"/>
      <c r="M1753" s="1"/>
      <c r="N1753" s="1"/>
    </row>
    <row r="1754" ht="15.75" customHeight="1">
      <c r="A1754" t="s">
        <v>29</v>
      </c>
      <c r="B1754" t="s">
        <v>26</v>
      </c>
      <c r="C1754" t="s">
        <v>4911</v>
      </c>
      <c r="D1754" t="s">
        <v>1833</v>
      </c>
      <c r="E1754">
        <v>68192.5397854044</v>
      </c>
      <c r="F1754">
        <v>22490.9353269726</v>
      </c>
      <c r="G1754">
        <v>14317.8226069044</v>
      </c>
      <c r="H1754">
        <v>13168.0672579553</v>
      </c>
      <c r="I1754">
        <v>105001.3</v>
      </c>
      <c r="J1754">
        <v>91833.23</v>
      </c>
      <c r="K1754" s="1"/>
      <c r="L1754" s="1"/>
      <c r="M1754" s="1"/>
      <c r="N1754" s="1"/>
    </row>
    <row r="1755" ht="15.75" customHeight="1">
      <c r="A1755" t="s">
        <v>13</v>
      </c>
      <c r="B1755" t="s">
        <v>37</v>
      </c>
      <c r="C1755" t="s">
        <v>4910</v>
      </c>
      <c r="D1755" t="s">
        <v>1834</v>
      </c>
      <c r="E1755">
        <v>68203.4227553106</v>
      </c>
      <c r="F1755">
        <v>22495.5500453</v>
      </c>
      <c r="G1755">
        <v>14325.5026103339</v>
      </c>
      <c r="H1755">
        <v>13171.4648086426</v>
      </c>
      <c r="I1755">
        <v>105024.48</v>
      </c>
      <c r="J1755">
        <v>91853.02</v>
      </c>
      <c r="K1755" s="1"/>
      <c r="L1755" s="1"/>
      <c r="M1755" s="1"/>
      <c r="N1755" s="1"/>
    </row>
    <row r="1756" ht="15.75" customHeight="1">
      <c r="A1756" t="s">
        <v>36</v>
      </c>
      <c r="B1756" t="s">
        <v>14</v>
      </c>
      <c r="C1756" t="s">
        <v>4917</v>
      </c>
      <c r="D1756" t="s">
        <v>1835</v>
      </c>
      <c r="E1756">
        <v>68214.3057252168</v>
      </c>
      <c r="F1756">
        <v>22500.1647636274</v>
      </c>
      <c r="G1756">
        <v>14333.1826137634</v>
      </c>
      <c r="H1756">
        <v>13174.8623593299</v>
      </c>
      <c r="I1756">
        <v>105047.65</v>
      </c>
      <c r="J1756">
        <v>91872.79</v>
      </c>
      <c r="K1756" s="1"/>
      <c r="L1756" s="1"/>
      <c r="M1756" s="1"/>
      <c r="N1756" s="1"/>
    </row>
    <row r="1757" ht="15.75" customHeight="1">
      <c r="A1757" t="s">
        <v>53</v>
      </c>
      <c r="B1757" t="s">
        <v>14</v>
      </c>
      <c r="C1757" t="s">
        <v>4915</v>
      </c>
      <c r="D1757" t="s">
        <v>1836</v>
      </c>
      <c r="E1757">
        <v>68225.188695123</v>
      </c>
      <c r="F1757">
        <v>22504.7794819548</v>
      </c>
      <c r="G1757">
        <v>14340.8626171929</v>
      </c>
      <c r="H1757">
        <v>13178.2599100172</v>
      </c>
      <c r="I1757">
        <v>105070.83</v>
      </c>
      <c r="J1757">
        <v>91892.57</v>
      </c>
      <c r="K1757" s="1"/>
      <c r="L1757" s="1"/>
      <c r="M1757" s="1"/>
      <c r="N1757" s="1"/>
    </row>
    <row r="1758" ht="15.75" customHeight="1">
      <c r="A1758" t="s">
        <v>29</v>
      </c>
      <c r="B1758" t="s">
        <v>26</v>
      </c>
      <c r="C1758" t="s">
        <v>4917</v>
      </c>
      <c r="D1758" t="s">
        <v>1837</v>
      </c>
      <c r="E1758">
        <v>68236.0716650292</v>
      </c>
      <c r="F1758">
        <v>22509.3942002822</v>
      </c>
      <c r="G1758">
        <v>14348.5426206224</v>
      </c>
      <c r="H1758">
        <v>13181.6574607045</v>
      </c>
      <c r="I1758">
        <v>105094.01</v>
      </c>
      <c r="J1758">
        <v>91912.35</v>
      </c>
      <c r="K1758" s="1"/>
      <c r="L1758" s="1"/>
      <c r="M1758" s="1"/>
      <c r="N1758" s="1"/>
    </row>
    <row r="1759" ht="15.75" customHeight="1">
      <c r="A1759" t="s">
        <v>17</v>
      </c>
      <c r="B1759" t="s">
        <v>26</v>
      </c>
      <c r="C1759" t="s">
        <v>4913</v>
      </c>
      <c r="D1759" t="s">
        <v>1838</v>
      </c>
      <c r="E1759">
        <v>68246.9546349354</v>
      </c>
      <c r="F1759">
        <v>22514.0089186097</v>
      </c>
      <c r="G1759">
        <v>14356.2226240519</v>
      </c>
      <c r="H1759">
        <v>13185.0550113918</v>
      </c>
      <c r="I1759">
        <v>105117.19</v>
      </c>
      <c r="J1759">
        <v>91932.13</v>
      </c>
      <c r="K1759" s="1"/>
      <c r="L1759" s="1"/>
      <c r="M1759" s="1"/>
      <c r="N1759" s="1"/>
    </row>
    <row r="1760" ht="15.75" customHeight="1">
      <c r="A1760" t="s">
        <v>25</v>
      </c>
      <c r="B1760" t="s">
        <v>54</v>
      </c>
      <c r="C1760" t="s">
        <v>4916</v>
      </c>
      <c r="D1760" t="s">
        <v>1839</v>
      </c>
      <c r="E1760">
        <v>68257.8376048416</v>
      </c>
      <c r="F1760">
        <v>22518.6236369371</v>
      </c>
      <c r="G1760">
        <v>14363.9026274814</v>
      </c>
      <c r="H1760">
        <v>13188.452562079</v>
      </c>
      <c r="I1760">
        <v>105140.36</v>
      </c>
      <c r="J1760">
        <v>91951.91</v>
      </c>
      <c r="K1760" s="1"/>
      <c r="L1760" s="1"/>
      <c r="M1760" s="1"/>
      <c r="N1760" s="1"/>
    </row>
    <row r="1761" ht="15.75" customHeight="1">
      <c r="A1761" t="s">
        <v>25</v>
      </c>
      <c r="B1761" t="s">
        <v>18</v>
      </c>
      <c r="C1761" t="s">
        <v>4911</v>
      </c>
      <c r="D1761" t="s">
        <v>1840</v>
      </c>
      <c r="E1761">
        <v>68268.7205747478</v>
      </c>
      <c r="F1761">
        <v>22523.2383552645</v>
      </c>
      <c r="G1761">
        <v>14371.5826309109</v>
      </c>
      <c r="H1761">
        <v>13191.8501127663</v>
      </c>
      <c r="I1761">
        <v>105163.54</v>
      </c>
      <c r="J1761">
        <v>91971.69</v>
      </c>
      <c r="K1761" s="1"/>
      <c r="L1761" s="1"/>
      <c r="M1761" s="1"/>
      <c r="N1761" s="1"/>
    </row>
    <row r="1762" ht="15.75" customHeight="1">
      <c r="A1762" t="s">
        <v>13</v>
      </c>
      <c r="B1762" t="s">
        <v>37</v>
      </c>
      <c r="C1762" t="s">
        <v>4917</v>
      </c>
      <c r="D1762" t="s">
        <v>1841</v>
      </c>
      <c r="E1762">
        <v>68279.603544654</v>
      </c>
      <c r="F1762">
        <v>22527.8530735919</v>
      </c>
      <c r="G1762">
        <v>14379.2626343404</v>
      </c>
      <c r="H1762">
        <v>13195.2476634536</v>
      </c>
      <c r="I1762">
        <v>105186.72</v>
      </c>
      <c r="J1762">
        <v>91991.47</v>
      </c>
      <c r="K1762" s="1"/>
      <c r="L1762" s="1"/>
      <c r="M1762" s="1"/>
      <c r="N1762" s="1"/>
    </row>
    <row r="1763" ht="15.75" customHeight="1">
      <c r="A1763" t="s">
        <v>51</v>
      </c>
      <c r="B1763" t="s">
        <v>26</v>
      </c>
      <c r="C1763" t="s">
        <v>4910</v>
      </c>
      <c r="D1763" t="s">
        <v>1842</v>
      </c>
      <c r="E1763">
        <v>68290.4865145602</v>
      </c>
      <c r="F1763">
        <v>22532.4677919194</v>
      </c>
      <c r="G1763">
        <v>14386.9426377699</v>
      </c>
      <c r="H1763">
        <v>13198.6452141409</v>
      </c>
      <c r="I1763">
        <v>105209.9</v>
      </c>
      <c r="J1763">
        <v>92011.25</v>
      </c>
      <c r="K1763" s="1"/>
      <c r="L1763" s="1"/>
      <c r="M1763" s="1"/>
      <c r="N1763" s="1"/>
    </row>
    <row r="1764" ht="15.75" customHeight="1">
      <c r="A1764" t="s">
        <v>36</v>
      </c>
      <c r="B1764" t="s">
        <v>30</v>
      </c>
      <c r="C1764" t="s">
        <v>4913</v>
      </c>
      <c r="D1764" t="s">
        <v>1843</v>
      </c>
      <c r="E1764">
        <v>68301.3694844664</v>
      </c>
      <c r="F1764">
        <v>22537.0825102468</v>
      </c>
      <c r="G1764">
        <v>14394.6226411994</v>
      </c>
      <c r="H1764">
        <v>13202.0427648282</v>
      </c>
      <c r="I1764">
        <v>105233.07</v>
      </c>
      <c r="J1764">
        <v>92031.03</v>
      </c>
      <c r="K1764" s="1"/>
      <c r="L1764" s="1"/>
      <c r="M1764" s="1"/>
      <c r="N1764" s="1"/>
    </row>
    <row r="1765" ht="15.75" customHeight="1">
      <c r="A1765" t="s">
        <v>29</v>
      </c>
      <c r="B1765" t="s">
        <v>18</v>
      </c>
      <c r="C1765" t="s">
        <v>4907</v>
      </c>
      <c r="D1765" t="s">
        <v>1844</v>
      </c>
      <c r="E1765">
        <v>68312.2524543726</v>
      </c>
      <c r="F1765">
        <v>22541.6972285742</v>
      </c>
      <c r="G1765">
        <v>14402.3026446289</v>
      </c>
      <c r="H1765">
        <v>13205.4403155155</v>
      </c>
      <c r="I1765">
        <v>105256.25</v>
      </c>
      <c r="J1765">
        <v>92050.81</v>
      </c>
      <c r="K1765" s="1"/>
      <c r="L1765" s="1"/>
      <c r="M1765" s="1"/>
      <c r="N1765" s="1"/>
    </row>
    <row r="1766" ht="15.75" customHeight="1">
      <c r="A1766" t="s">
        <v>53</v>
      </c>
      <c r="B1766" t="s">
        <v>33</v>
      </c>
      <c r="C1766" t="s">
        <v>4913</v>
      </c>
      <c r="D1766" t="s">
        <v>1845</v>
      </c>
      <c r="E1766">
        <v>68323.1354242788</v>
      </c>
      <c r="F1766">
        <v>22546.3119469016</v>
      </c>
      <c r="G1766">
        <v>14409.9826480584</v>
      </c>
      <c r="H1766">
        <v>13208.8378662028</v>
      </c>
      <c r="I1766">
        <v>105279.43</v>
      </c>
      <c r="J1766">
        <v>92070.59</v>
      </c>
      <c r="K1766" s="1"/>
      <c r="L1766" s="1"/>
      <c r="M1766" s="1"/>
      <c r="N1766" s="1"/>
    </row>
    <row r="1767" ht="15.75" customHeight="1">
      <c r="A1767" t="s">
        <v>25</v>
      </c>
      <c r="B1767" t="s">
        <v>18</v>
      </c>
      <c r="C1767" t="s">
        <v>4909</v>
      </c>
      <c r="D1767" t="s">
        <v>1846</v>
      </c>
      <c r="E1767">
        <v>68334.0183941849</v>
      </c>
      <c r="F1767">
        <v>22550.926665229</v>
      </c>
      <c r="G1767">
        <v>14417.6626514879</v>
      </c>
      <c r="H1767">
        <v>13212.23541689</v>
      </c>
      <c r="I1767">
        <v>105302.61</v>
      </c>
      <c r="J1767">
        <v>92090.37</v>
      </c>
      <c r="K1767" s="1"/>
      <c r="L1767" s="1"/>
      <c r="M1767" s="1"/>
      <c r="N1767" s="1"/>
    </row>
    <row r="1768" ht="15.75" customHeight="1">
      <c r="A1768" t="s">
        <v>51</v>
      </c>
      <c r="B1768" t="s">
        <v>30</v>
      </c>
      <c r="C1768" t="s">
        <v>4912</v>
      </c>
      <c r="D1768" t="s">
        <v>1847</v>
      </c>
      <c r="E1768">
        <v>68344.9013640911</v>
      </c>
      <c r="F1768">
        <v>22555.5413835565</v>
      </c>
      <c r="G1768">
        <v>14425.3426549174</v>
      </c>
      <c r="H1768">
        <v>13215.6329675773</v>
      </c>
      <c r="I1768">
        <v>105325.79</v>
      </c>
      <c r="J1768">
        <v>92110.16</v>
      </c>
      <c r="K1768" s="1"/>
      <c r="L1768" s="1"/>
      <c r="M1768" s="1"/>
      <c r="N1768" s="1"/>
    </row>
    <row r="1769" ht="15.75" customHeight="1">
      <c r="A1769" t="s">
        <v>17</v>
      </c>
      <c r="B1769" t="s">
        <v>37</v>
      </c>
      <c r="C1769" t="s">
        <v>4907</v>
      </c>
      <c r="D1769" t="s">
        <v>1848</v>
      </c>
      <c r="E1769">
        <v>68355.7843339973</v>
      </c>
      <c r="F1769">
        <v>22560.1561018839</v>
      </c>
      <c r="G1769">
        <v>14433.0226583469</v>
      </c>
      <c r="H1769">
        <v>13219.0305182646</v>
      </c>
      <c r="I1769">
        <v>105348.96</v>
      </c>
      <c r="J1769">
        <v>92129.93</v>
      </c>
      <c r="K1769" s="1"/>
      <c r="L1769" s="1"/>
      <c r="M1769" s="1"/>
      <c r="N1769" s="1"/>
    </row>
    <row r="1770" ht="15.75" customHeight="1">
      <c r="A1770" t="s">
        <v>36</v>
      </c>
      <c r="B1770" t="s">
        <v>33</v>
      </c>
      <c r="C1770" t="s">
        <v>4913</v>
      </c>
      <c r="D1770" t="s">
        <v>1849</v>
      </c>
      <c r="E1770">
        <v>68366.6673039035</v>
      </c>
      <c r="F1770">
        <v>22564.7708202113</v>
      </c>
      <c r="G1770">
        <v>14440.7026617764</v>
      </c>
      <c r="H1770">
        <v>13222.4280689519</v>
      </c>
      <c r="I1770">
        <v>105372.14</v>
      </c>
      <c r="J1770">
        <v>92149.71</v>
      </c>
      <c r="K1770" s="1"/>
      <c r="L1770" s="1"/>
      <c r="M1770" s="1"/>
      <c r="N1770" s="1"/>
    </row>
    <row r="1771" ht="15.75" customHeight="1">
      <c r="A1771" t="s">
        <v>51</v>
      </c>
      <c r="B1771" t="s">
        <v>33</v>
      </c>
      <c r="C1771" t="s">
        <v>4905</v>
      </c>
      <c r="D1771" t="s">
        <v>1850</v>
      </c>
      <c r="E1771">
        <v>68377.5502738097</v>
      </c>
      <c r="F1771">
        <v>22569.3855385387</v>
      </c>
      <c r="G1771">
        <v>14448.3826652059</v>
      </c>
      <c r="H1771">
        <v>13225.8256196392</v>
      </c>
      <c r="I1771">
        <v>105395.32</v>
      </c>
      <c r="J1771">
        <v>92169.49</v>
      </c>
      <c r="K1771" s="1"/>
      <c r="L1771" s="1"/>
      <c r="M1771" s="1"/>
      <c r="N1771" s="1"/>
    </row>
    <row r="1772" ht="15.75" customHeight="1">
      <c r="A1772" t="s">
        <v>17</v>
      </c>
      <c r="B1772" t="s">
        <v>54</v>
      </c>
      <c r="C1772" t="s">
        <v>4910</v>
      </c>
      <c r="D1772" t="s">
        <v>1851</v>
      </c>
      <c r="E1772">
        <v>68388.4332437159</v>
      </c>
      <c r="F1772">
        <v>22574.0002568662</v>
      </c>
      <c r="G1772">
        <v>14456.0626686354</v>
      </c>
      <c r="H1772">
        <v>13229.2231703265</v>
      </c>
      <c r="I1772">
        <v>105418.5</v>
      </c>
      <c r="J1772">
        <v>92189.28</v>
      </c>
      <c r="K1772" s="1"/>
      <c r="L1772" s="1"/>
      <c r="M1772" s="1"/>
      <c r="N1772" s="1"/>
    </row>
    <row r="1773" ht="15.75" customHeight="1">
      <c r="A1773" t="s">
        <v>36</v>
      </c>
      <c r="B1773" t="s">
        <v>33</v>
      </c>
      <c r="C1773" t="s">
        <v>4908</v>
      </c>
      <c r="D1773" t="s">
        <v>1852</v>
      </c>
      <c r="E1773">
        <v>68399.3162136221</v>
      </c>
      <c r="F1773">
        <v>22578.6149751936</v>
      </c>
      <c r="G1773">
        <v>14463.7426720649</v>
      </c>
      <c r="H1773">
        <v>13232.6207210138</v>
      </c>
      <c r="I1773">
        <v>105441.67</v>
      </c>
      <c r="J1773">
        <v>92209.05</v>
      </c>
      <c r="K1773" s="1"/>
      <c r="L1773" s="1"/>
      <c r="M1773" s="1"/>
      <c r="N1773" s="1"/>
    </row>
    <row r="1774" ht="15.75" customHeight="1">
      <c r="A1774" t="s">
        <v>29</v>
      </c>
      <c r="B1774" t="s">
        <v>33</v>
      </c>
      <c r="C1774" t="s">
        <v>4910</v>
      </c>
      <c r="D1774" t="s">
        <v>1853</v>
      </c>
      <c r="E1774">
        <v>68410.1991835283</v>
      </c>
      <c r="F1774">
        <v>22583.229693521</v>
      </c>
      <c r="G1774">
        <v>14471.4226754944</v>
      </c>
      <c r="H1774">
        <v>13236.0182717011</v>
      </c>
      <c r="I1774">
        <v>105464.85</v>
      </c>
      <c r="J1774">
        <v>92228.83</v>
      </c>
      <c r="K1774" s="1"/>
      <c r="L1774" s="1"/>
      <c r="M1774" s="1"/>
      <c r="N1774" s="1"/>
    </row>
    <row r="1775" ht="15.75" customHeight="1">
      <c r="A1775" t="s">
        <v>51</v>
      </c>
      <c r="B1775" t="s">
        <v>33</v>
      </c>
      <c r="C1775" t="s">
        <v>4913</v>
      </c>
      <c r="D1775" t="s">
        <v>1854</v>
      </c>
      <c r="E1775">
        <v>68421.0821534345</v>
      </c>
      <c r="F1775">
        <v>22587.8444118484</v>
      </c>
      <c r="G1775">
        <v>14479.1026789239</v>
      </c>
      <c r="H1775">
        <v>13239.4158223883</v>
      </c>
      <c r="I1775">
        <v>105488.03</v>
      </c>
      <c r="J1775">
        <v>92248.61</v>
      </c>
      <c r="K1775" s="1"/>
      <c r="L1775" s="1"/>
      <c r="M1775" s="1"/>
      <c r="N1775" s="1"/>
    </row>
    <row r="1776" ht="15.75" customHeight="1">
      <c r="A1776" t="s">
        <v>13</v>
      </c>
      <c r="B1776" t="s">
        <v>54</v>
      </c>
      <c r="C1776" t="s">
        <v>4915</v>
      </c>
      <c r="D1776" t="s">
        <v>1855</v>
      </c>
      <c r="E1776">
        <v>68431.9651233407</v>
      </c>
      <c r="F1776">
        <v>22592.4591301758</v>
      </c>
      <c r="G1776">
        <v>14486.7826823534</v>
      </c>
      <c r="H1776">
        <v>13242.8133730756</v>
      </c>
      <c r="I1776">
        <v>105511.21</v>
      </c>
      <c r="J1776">
        <v>92268.4</v>
      </c>
      <c r="K1776" s="1"/>
      <c r="L1776" s="1"/>
      <c r="M1776" s="1"/>
      <c r="N1776" s="1"/>
    </row>
    <row r="1777" ht="15.75" customHeight="1">
      <c r="A1777" t="s">
        <v>13</v>
      </c>
      <c r="B1777" t="s">
        <v>54</v>
      </c>
      <c r="C1777" t="s">
        <v>4915</v>
      </c>
      <c r="D1777" t="s">
        <v>1856</v>
      </c>
      <c r="E1777">
        <v>68442.8480932469</v>
      </c>
      <c r="F1777">
        <v>22597.0738485033</v>
      </c>
      <c r="G1777">
        <v>14494.4626857829</v>
      </c>
      <c r="H1777">
        <v>13246.2109237629</v>
      </c>
      <c r="I1777">
        <v>105534.38</v>
      </c>
      <c r="J1777">
        <v>92288.17</v>
      </c>
      <c r="K1777" s="1"/>
      <c r="L1777" s="1"/>
      <c r="M1777" s="1"/>
      <c r="N1777" s="1"/>
    </row>
    <row r="1778" ht="15.75" customHeight="1">
      <c r="A1778" t="s">
        <v>25</v>
      </c>
      <c r="B1778" t="s">
        <v>30</v>
      </c>
      <c r="C1778" t="s">
        <v>4907</v>
      </c>
      <c r="D1778" t="s">
        <v>1857</v>
      </c>
      <c r="E1778">
        <v>68453.7310631531</v>
      </c>
      <c r="F1778">
        <v>22601.6885668307</v>
      </c>
      <c r="G1778">
        <v>14502.1426892124</v>
      </c>
      <c r="H1778">
        <v>13249.6084744502</v>
      </c>
      <c r="I1778">
        <v>105557.56</v>
      </c>
      <c r="J1778">
        <v>92307.95</v>
      </c>
      <c r="K1778" s="1"/>
      <c r="L1778" s="1"/>
      <c r="M1778" s="1"/>
      <c r="N1778" s="1"/>
    </row>
    <row r="1779" ht="15.75" customHeight="1">
      <c r="A1779" t="s">
        <v>53</v>
      </c>
      <c r="B1779" t="s">
        <v>14</v>
      </c>
      <c r="C1779" t="s">
        <v>4910</v>
      </c>
      <c r="D1779" t="s">
        <v>1858</v>
      </c>
      <c r="E1779">
        <v>68464.6140330593</v>
      </c>
      <c r="F1779">
        <v>22606.3032851581</v>
      </c>
      <c r="G1779">
        <v>14509.8226926419</v>
      </c>
      <c r="H1779">
        <v>13253.0060251375</v>
      </c>
      <c r="I1779">
        <v>105580.74</v>
      </c>
      <c r="J1779">
        <v>92327.73</v>
      </c>
      <c r="K1779" s="1"/>
      <c r="L1779" s="1"/>
      <c r="M1779" s="1"/>
      <c r="N1779" s="1"/>
    </row>
    <row r="1780" ht="15.75" customHeight="1">
      <c r="A1780" t="s">
        <v>51</v>
      </c>
      <c r="B1780" t="s">
        <v>14</v>
      </c>
      <c r="C1780" t="s">
        <v>4917</v>
      </c>
      <c r="D1780" t="s">
        <v>1859</v>
      </c>
      <c r="E1780">
        <v>68475.4970029655</v>
      </c>
      <c r="F1780">
        <v>22610.9180034855</v>
      </c>
      <c r="G1780">
        <v>14517.5026960714</v>
      </c>
      <c r="H1780">
        <v>13256.4035758248</v>
      </c>
      <c r="I1780">
        <v>105603.92</v>
      </c>
      <c r="J1780">
        <v>92347.52</v>
      </c>
      <c r="K1780" s="1"/>
      <c r="L1780" s="1"/>
      <c r="M1780" s="1"/>
      <c r="N1780" s="1"/>
    </row>
    <row r="1781" ht="15.75" customHeight="1">
      <c r="A1781" t="s">
        <v>29</v>
      </c>
      <c r="B1781" t="s">
        <v>26</v>
      </c>
      <c r="C1781" t="s">
        <v>4914</v>
      </c>
      <c r="D1781" t="s">
        <v>1860</v>
      </c>
      <c r="E1781">
        <v>68486.3799728717</v>
      </c>
      <c r="F1781">
        <v>22615.5327218129</v>
      </c>
      <c r="G1781">
        <v>14525.1826995008</v>
      </c>
      <c r="H1781">
        <v>13259.8011265121</v>
      </c>
      <c r="I1781">
        <v>105627.1</v>
      </c>
      <c r="J1781">
        <v>92367.3</v>
      </c>
      <c r="K1781" s="1"/>
      <c r="L1781" s="1"/>
      <c r="M1781" s="1"/>
      <c r="N1781" s="1"/>
    </row>
    <row r="1782" ht="15.75" customHeight="1">
      <c r="A1782" t="s">
        <v>17</v>
      </c>
      <c r="B1782" t="s">
        <v>30</v>
      </c>
      <c r="C1782" t="s">
        <v>4905</v>
      </c>
      <c r="D1782" t="s">
        <v>1861</v>
      </c>
      <c r="E1782">
        <v>68497.2629427778</v>
      </c>
      <c r="F1782">
        <v>22620.1474401404</v>
      </c>
      <c r="G1782">
        <v>14532.8627029303</v>
      </c>
      <c r="H1782">
        <v>13263.1986771994</v>
      </c>
      <c r="I1782">
        <v>105650.27</v>
      </c>
      <c r="J1782">
        <v>92387.07</v>
      </c>
      <c r="K1782" s="1"/>
      <c r="L1782" s="1"/>
      <c r="M1782" s="1"/>
      <c r="N1782" s="1"/>
    </row>
    <row r="1783" ht="15.75" customHeight="1">
      <c r="A1783" t="s">
        <v>53</v>
      </c>
      <c r="B1783" t="s">
        <v>37</v>
      </c>
      <c r="C1783" t="s">
        <v>4916</v>
      </c>
      <c r="D1783" t="s">
        <v>1862</v>
      </c>
      <c r="E1783">
        <v>68508.145912684</v>
      </c>
      <c r="F1783">
        <v>22624.7621584678</v>
      </c>
      <c r="G1783">
        <v>14540.5427063598</v>
      </c>
      <c r="H1783">
        <v>13266.5962278866</v>
      </c>
      <c r="I1783">
        <v>105673.45</v>
      </c>
      <c r="J1783">
        <v>92406.85</v>
      </c>
      <c r="K1783" s="1"/>
      <c r="L1783" s="1"/>
      <c r="M1783" s="1"/>
      <c r="N1783" s="1"/>
    </row>
    <row r="1784" ht="15.75" customHeight="1">
      <c r="A1784" t="s">
        <v>25</v>
      </c>
      <c r="B1784" t="s">
        <v>18</v>
      </c>
      <c r="C1784" t="s">
        <v>4910</v>
      </c>
      <c r="D1784" t="s">
        <v>1863</v>
      </c>
      <c r="E1784">
        <v>68519.0288825902</v>
      </c>
      <c r="F1784">
        <v>22629.3768767952</v>
      </c>
      <c r="G1784">
        <v>14548.2227097893</v>
      </c>
      <c r="H1784">
        <v>13269.9937785739</v>
      </c>
      <c r="I1784">
        <v>105696.63</v>
      </c>
      <c r="J1784">
        <v>92426.64</v>
      </c>
      <c r="K1784" s="1"/>
      <c r="L1784" s="1"/>
      <c r="M1784" s="1"/>
      <c r="N1784" s="1"/>
    </row>
    <row r="1785" ht="15.75" customHeight="1">
      <c r="A1785" t="s">
        <v>25</v>
      </c>
      <c r="B1785" t="s">
        <v>30</v>
      </c>
      <c r="C1785" t="s">
        <v>4917</v>
      </c>
      <c r="D1785" t="s">
        <v>1864</v>
      </c>
      <c r="E1785">
        <v>68529.9118524964</v>
      </c>
      <c r="F1785">
        <v>22633.9915951226</v>
      </c>
      <c r="G1785">
        <v>14555.9027132188</v>
      </c>
      <c r="H1785">
        <v>13273.3913292612</v>
      </c>
      <c r="I1785">
        <v>105719.81</v>
      </c>
      <c r="J1785">
        <v>92446.42</v>
      </c>
      <c r="K1785" s="1"/>
      <c r="L1785" s="1"/>
      <c r="M1785" s="1"/>
      <c r="N1785" s="1"/>
    </row>
    <row r="1786" ht="15.75" customHeight="1">
      <c r="A1786" t="s">
        <v>13</v>
      </c>
      <c r="B1786" t="s">
        <v>54</v>
      </c>
      <c r="C1786" t="s">
        <v>4907</v>
      </c>
      <c r="D1786" t="s">
        <v>1865</v>
      </c>
      <c r="E1786">
        <v>68540.7948224026</v>
      </c>
      <c r="F1786">
        <v>22638.6063134501</v>
      </c>
      <c r="G1786">
        <v>14563.5827166483</v>
      </c>
      <c r="H1786">
        <v>13276.7888799485</v>
      </c>
      <c r="I1786">
        <v>105742.98</v>
      </c>
      <c r="J1786">
        <v>92466.19</v>
      </c>
      <c r="K1786" s="1"/>
      <c r="L1786" s="1"/>
      <c r="M1786" s="1"/>
      <c r="N1786" s="1"/>
    </row>
    <row r="1787" ht="15.75" customHeight="1">
      <c r="A1787" t="s">
        <v>51</v>
      </c>
      <c r="B1787" t="s">
        <v>33</v>
      </c>
      <c r="C1787" t="s">
        <v>4910</v>
      </c>
      <c r="D1787" t="s">
        <v>1866</v>
      </c>
      <c r="E1787">
        <v>68562.560762215</v>
      </c>
      <c r="F1787">
        <v>22647.8357501049</v>
      </c>
      <c r="G1787">
        <v>14578.9427235073</v>
      </c>
      <c r="H1787">
        <v>13283.5839813231</v>
      </c>
      <c r="I1787">
        <v>105789.34</v>
      </c>
      <c r="J1787">
        <v>92505.76</v>
      </c>
      <c r="K1787" s="1"/>
      <c r="L1787" s="1"/>
      <c r="M1787" s="1"/>
      <c r="N1787" s="1"/>
    </row>
    <row r="1788" ht="15.75" customHeight="1">
      <c r="A1788" t="s">
        <v>13</v>
      </c>
      <c r="B1788" t="s">
        <v>33</v>
      </c>
      <c r="C1788" t="s">
        <v>4916</v>
      </c>
      <c r="D1788" t="s">
        <v>1867</v>
      </c>
      <c r="E1788">
        <v>68573.4437321212</v>
      </c>
      <c r="F1788">
        <v>22652.4504684323</v>
      </c>
      <c r="G1788">
        <v>14586.6227269368</v>
      </c>
      <c r="H1788">
        <v>13286.9815320104</v>
      </c>
      <c r="I1788">
        <v>105812.52</v>
      </c>
      <c r="J1788">
        <v>92525.54</v>
      </c>
      <c r="K1788" s="1"/>
      <c r="L1788" s="1"/>
      <c r="M1788" s="1"/>
      <c r="N1788" s="1"/>
    </row>
    <row r="1789" ht="15.75" customHeight="1">
      <c r="A1789" t="s">
        <v>51</v>
      </c>
      <c r="B1789" t="s">
        <v>54</v>
      </c>
      <c r="C1789" t="s">
        <v>4912</v>
      </c>
      <c r="D1789" t="s">
        <v>1868</v>
      </c>
      <c r="E1789">
        <v>68584.3267020274</v>
      </c>
      <c r="F1789">
        <v>22657.0651867597</v>
      </c>
      <c r="G1789">
        <v>14594.3027303663</v>
      </c>
      <c r="H1789">
        <v>13290.3790826976</v>
      </c>
      <c r="I1789">
        <v>105835.69</v>
      </c>
      <c r="J1789">
        <v>92545.31</v>
      </c>
      <c r="K1789" s="1"/>
      <c r="L1789" s="1"/>
      <c r="M1789" s="1"/>
      <c r="N1789" s="1"/>
    </row>
    <row r="1790" ht="15.75" customHeight="1">
      <c r="A1790" t="s">
        <v>17</v>
      </c>
      <c r="B1790" t="s">
        <v>14</v>
      </c>
      <c r="C1790" t="s">
        <v>4914</v>
      </c>
      <c r="D1790" t="s">
        <v>1869</v>
      </c>
      <c r="E1790">
        <v>68595.2096719336</v>
      </c>
      <c r="F1790">
        <v>22661.6799050872</v>
      </c>
      <c r="G1790">
        <v>14601.9827337958</v>
      </c>
      <c r="H1790">
        <v>13293.7766333849</v>
      </c>
      <c r="I1790">
        <v>105858.87</v>
      </c>
      <c r="J1790">
        <v>92565.09</v>
      </c>
      <c r="K1790" s="1"/>
      <c r="L1790" s="1"/>
      <c r="M1790" s="1"/>
      <c r="N1790" s="1"/>
    </row>
    <row r="1791" ht="15.75" customHeight="1">
      <c r="A1791" t="s">
        <v>17</v>
      </c>
      <c r="B1791" t="s">
        <v>33</v>
      </c>
      <c r="C1791" t="s">
        <v>4915</v>
      </c>
      <c r="D1791" t="s">
        <v>1870</v>
      </c>
      <c r="E1791">
        <v>68616.975611746</v>
      </c>
      <c r="F1791">
        <v>22670.909341742</v>
      </c>
      <c r="G1791">
        <v>14617.3427406548</v>
      </c>
      <c r="H1791">
        <v>13300.5717347595</v>
      </c>
      <c r="I1791">
        <v>105905.23</v>
      </c>
      <c r="J1791">
        <v>92604.66</v>
      </c>
      <c r="K1791" s="1"/>
      <c r="L1791" s="1"/>
      <c r="M1791" s="1"/>
      <c r="N1791" s="1"/>
    </row>
    <row r="1792" ht="15.75" customHeight="1">
      <c r="A1792" t="s">
        <v>13</v>
      </c>
      <c r="B1792" t="s">
        <v>18</v>
      </c>
      <c r="C1792" t="s">
        <v>4916</v>
      </c>
      <c r="D1792" t="s">
        <v>1871</v>
      </c>
      <c r="E1792">
        <v>68627.8585816522</v>
      </c>
      <c r="F1792">
        <v>22675.5240600694</v>
      </c>
      <c r="G1792">
        <v>14625.0227440843</v>
      </c>
      <c r="H1792">
        <v>13303.9692854468</v>
      </c>
      <c r="I1792">
        <v>105928.41</v>
      </c>
      <c r="J1792">
        <v>92624.44</v>
      </c>
      <c r="K1792" s="1"/>
      <c r="L1792" s="1"/>
      <c r="M1792" s="1"/>
      <c r="N1792" s="1"/>
    </row>
    <row r="1793" ht="15.75" customHeight="1">
      <c r="A1793" t="s">
        <v>25</v>
      </c>
      <c r="B1793" t="s">
        <v>30</v>
      </c>
      <c r="C1793" t="s">
        <v>4914</v>
      </c>
      <c r="D1793" t="s">
        <v>1872</v>
      </c>
      <c r="E1793">
        <v>68638.7415515584</v>
      </c>
      <c r="F1793">
        <v>22680.1387783969</v>
      </c>
      <c r="G1793">
        <v>14632.7027475138</v>
      </c>
      <c r="H1793">
        <v>13307.3668361341</v>
      </c>
      <c r="I1793">
        <v>105951.58</v>
      </c>
      <c r="J1793">
        <v>92644.21</v>
      </c>
      <c r="K1793" s="1"/>
      <c r="L1793" s="1"/>
      <c r="M1793" s="1"/>
      <c r="N1793" s="1"/>
    </row>
    <row r="1794" ht="15.75" customHeight="1">
      <c r="A1794" t="s">
        <v>36</v>
      </c>
      <c r="B1794" t="s">
        <v>18</v>
      </c>
      <c r="C1794" t="s">
        <v>4916</v>
      </c>
      <c r="D1794" t="s">
        <v>1873</v>
      </c>
      <c r="E1794">
        <v>68649.6245214646</v>
      </c>
      <c r="F1794">
        <v>22684.7534967243</v>
      </c>
      <c r="G1794">
        <v>14640.3827509433</v>
      </c>
      <c r="H1794">
        <v>13310.7643868214</v>
      </c>
      <c r="I1794">
        <v>105974.76</v>
      </c>
      <c r="J1794">
        <v>92664.0</v>
      </c>
      <c r="K1794" s="1"/>
      <c r="L1794" s="1"/>
      <c r="M1794" s="1"/>
      <c r="N1794" s="1"/>
    </row>
    <row r="1795" ht="15.75" customHeight="1">
      <c r="A1795" t="s">
        <v>29</v>
      </c>
      <c r="B1795" t="s">
        <v>33</v>
      </c>
      <c r="C1795" t="s">
        <v>4917</v>
      </c>
      <c r="D1795" t="s">
        <v>1874</v>
      </c>
      <c r="E1795">
        <v>68660.5074913707</v>
      </c>
      <c r="F1795">
        <v>22689.3682150517</v>
      </c>
      <c r="G1795">
        <v>14648.0627543728</v>
      </c>
      <c r="H1795">
        <v>13314.1619375087</v>
      </c>
      <c r="I1795">
        <v>105997.94</v>
      </c>
      <c r="J1795">
        <v>92683.78</v>
      </c>
      <c r="K1795" s="1"/>
      <c r="L1795" s="1"/>
      <c r="M1795" s="1"/>
      <c r="N1795" s="1"/>
    </row>
    <row r="1796" ht="15.75" customHeight="1">
      <c r="A1796" t="s">
        <v>13</v>
      </c>
      <c r="B1796" t="s">
        <v>37</v>
      </c>
      <c r="C1796" t="s">
        <v>4915</v>
      </c>
      <c r="D1796" t="s">
        <v>1875</v>
      </c>
      <c r="E1796">
        <v>68671.3904612769</v>
      </c>
      <c r="F1796">
        <v>22693.9829333791</v>
      </c>
      <c r="G1796">
        <v>14655.7427578023</v>
      </c>
      <c r="H1796">
        <v>13317.5594881959</v>
      </c>
      <c r="I1796">
        <v>106021.12</v>
      </c>
      <c r="J1796">
        <v>92703.56</v>
      </c>
      <c r="K1796" s="1"/>
      <c r="L1796" s="1"/>
      <c r="M1796" s="1"/>
      <c r="N1796" s="1"/>
    </row>
    <row r="1797" ht="15.75" customHeight="1">
      <c r="A1797" t="s">
        <v>53</v>
      </c>
      <c r="B1797" t="s">
        <v>18</v>
      </c>
      <c r="C1797" t="s">
        <v>4910</v>
      </c>
      <c r="D1797" t="s">
        <v>1876</v>
      </c>
      <c r="E1797">
        <v>68682.2734311831</v>
      </c>
      <c r="F1797">
        <v>22698.5976517065</v>
      </c>
      <c r="G1797">
        <v>14663.4227612318</v>
      </c>
      <c r="H1797">
        <v>13320.9570388832</v>
      </c>
      <c r="I1797">
        <v>106044.29</v>
      </c>
      <c r="J1797">
        <v>92723.33</v>
      </c>
      <c r="K1797" s="1"/>
      <c r="L1797" s="1"/>
      <c r="M1797" s="1"/>
      <c r="N1797" s="1"/>
    </row>
    <row r="1798" ht="15.75" customHeight="1">
      <c r="A1798" t="s">
        <v>29</v>
      </c>
      <c r="B1798" t="s">
        <v>26</v>
      </c>
      <c r="C1798" t="s">
        <v>4911</v>
      </c>
      <c r="D1798" t="s">
        <v>1877</v>
      </c>
      <c r="E1798">
        <v>68693.1564010893</v>
      </c>
      <c r="F1798">
        <v>22703.212370034</v>
      </c>
      <c r="G1798">
        <v>14671.1027646613</v>
      </c>
      <c r="H1798">
        <v>13324.3545895705</v>
      </c>
      <c r="I1798">
        <v>106067.47</v>
      </c>
      <c r="J1798">
        <v>92743.12</v>
      </c>
      <c r="K1798" s="1"/>
      <c r="L1798" s="1"/>
      <c r="M1798" s="1"/>
      <c r="N1798" s="1"/>
    </row>
    <row r="1799" ht="15.75" customHeight="1">
      <c r="A1799" t="s">
        <v>17</v>
      </c>
      <c r="B1799" t="s">
        <v>54</v>
      </c>
      <c r="C1799" t="s">
        <v>4910</v>
      </c>
      <c r="D1799" t="s">
        <v>1878</v>
      </c>
      <c r="E1799">
        <v>68704.0393709955</v>
      </c>
      <c r="F1799">
        <v>22707.8270883614</v>
      </c>
      <c r="G1799">
        <v>14678.7827680908</v>
      </c>
      <c r="H1799">
        <v>13327.7521402578</v>
      </c>
      <c r="I1799">
        <v>106090.65</v>
      </c>
      <c r="J1799">
        <v>92762.9</v>
      </c>
      <c r="K1799" s="1"/>
      <c r="L1799" s="1"/>
      <c r="M1799" s="1"/>
      <c r="N1799" s="1"/>
    </row>
    <row r="1800" ht="15.75" customHeight="1">
      <c r="A1800" t="s">
        <v>13</v>
      </c>
      <c r="B1800" t="s">
        <v>33</v>
      </c>
      <c r="C1800" t="s">
        <v>4914</v>
      </c>
      <c r="D1800" t="s">
        <v>1879</v>
      </c>
      <c r="E1800">
        <v>68714.9223409017</v>
      </c>
      <c r="F1800">
        <v>22712.4418066888</v>
      </c>
      <c r="G1800">
        <v>14686.4627715203</v>
      </c>
      <c r="H1800">
        <v>13331.1496909451</v>
      </c>
      <c r="I1800">
        <v>106113.83</v>
      </c>
      <c r="J1800">
        <v>92782.68</v>
      </c>
      <c r="K1800" s="1"/>
      <c r="L1800" s="1"/>
      <c r="M1800" s="1"/>
      <c r="N1800" s="1"/>
    </row>
    <row r="1801" ht="15.75" customHeight="1">
      <c r="A1801" t="s">
        <v>36</v>
      </c>
      <c r="B1801" t="s">
        <v>26</v>
      </c>
      <c r="C1801" t="s">
        <v>4916</v>
      </c>
      <c r="D1801" t="s">
        <v>1880</v>
      </c>
      <c r="E1801">
        <v>68725.8053108079</v>
      </c>
      <c r="F1801">
        <v>22717.0565250162</v>
      </c>
      <c r="G1801">
        <v>14694.1427749498</v>
      </c>
      <c r="H1801">
        <v>13334.5472416324</v>
      </c>
      <c r="I1801">
        <v>106137.0</v>
      </c>
      <c r="J1801">
        <v>92802.45</v>
      </c>
      <c r="K1801" s="1"/>
      <c r="L1801" s="1"/>
      <c r="M1801" s="1"/>
      <c r="N1801" s="1"/>
    </row>
    <row r="1802" ht="15.75" customHeight="1">
      <c r="A1802" t="s">
        <v>25</v>
      </c>
      <c r="B1802" t="s">
        <v>14</v>
      </c>
      <c r="C1802" t="s">
        <v>4913</v>
      </c>
      <c r="D1802" t="s">
        <v>1881</v>
      </c>
      <c r="E1802">
        <v>68736.6882807141</v>
      </c>
      <c r="F1802">
        <v>22721.6712433437</v>
      </c>
      <c r="G1802">
        <v>14701.8227783793</v>
      </c>
      <c r="H1802">
        <v>13337.9447923197</v>
      </c>
      <c r="I1802">
        <v>106160.18</v>
      </c>
      <c r="J1802">
        <v>92822.24</v>
      </c>
      <c r="K1802" s="1"/>
      <c r="L1802" s="1"/>
      <c r="M1802" s="1"/>
      <c r="N1802" s="1"/>
    </row>
    <row r="1803" ht="15.75" customHeight="1">
      <c r="A1803" t="s">
        <v>17</v>
      </c>
      <c r="B1803" t="s">
        <v>54</v>
      </c>
      <c r="C1803" t="s">
        <v>4908</v>
      </c>
      <c r="D1803" t="s">
        <v>1882</v>
      </c>
      <c r="E1803">
        <v>68747.5712506203</v>
      </c>
      <c r="F1803">
        <v>22726.2859616711</v>
      </c>
      <c r="G1803">
        <v>14709.5027818088</v>
      </c>
      <c r="H1803">
        <v>13341.342343007</v>
      </c>
      <c r="I1803">
        <v>106183.36</v>
      </c>
      <c r="J1803">
        <v>92842.02</v>
      </c>
      <c r="K1803" s="1"/>
      <c r="L1803" s="1"/>
      <c r="M1803" s="1"/>
      <c r="N1803" s="1"/>
    </row>
    <row r="1804" ht="15.75" customHeight="1">
      <c r="A1804" t="s">
        <v>53</v>
      </c>
      <c r="B1804" t="s">
        <v>33</v>
      </c>
      <c r="C1804" t="s">
        <v>4911</v>
      </c>
      <c r="D1804" t="s">
        <v>1883</v>
      </c>
      <c r="E1804">
        <v>72159.94658517206</v>
      </c>
      <c r="F1804">
        <v>22730.9006799985</v>
      </c>
      <c r="G1804">
        <v>14717.1827852383</v>
      </c>
      <c r="H1804">
        <v>13344.7398936942</v>
      </c>
      <c r="I1804">
        <v>109608.03</v>
      </c>
      <c r="J1804">
        <v>96263.29</v>
      </c>
      <c r="K1804" s="1"/>
      <c r="L1804" s="1"/>
      <c r="M1804" s="1"/>
      <c r="N1804" s="1"/>
    </row>
    <row r="1805" ht="15.75" customHeight="1">
      <c r="A1805" t="s">
        <v>29</v>
      </c>
      <c r="B1805" t="s">
        <v>54</v>
      </c>
      <c r="C1805" t="s">
        <v>4917</v>
      </c>
      <c r="D1805" t="s">
        <v>1884</v>
      </c>
      <c r="E1805">
        <v>68769.3371904327</v>
      </c>
      <c r="F1805">
        <v>22735.5153983259</v>
      </c>
      <c r="G1805">
        <v>14724.8627886678</v>
      </c>
      <c r="H1805">
        <v>13348.1374443815</v>
      </c>
      <c r="I1805">
        <v>106229.72</v>
      </c>
      <c r="J1805">
        <v>92881.58</v>
      </c>
      <c r="K1805" s="1"/>
      <c r="L1805" s="1"/>
      <c r="M1805" s="1"/>
      <c r="N1805" s="1"/>
    </row>
    <row r="1806" ht="15.75" customHeight="1">
      <c r="A1806" t="s">
        <v>29</v>
      </c>
      <c r="B1806" t="s">
        <v>26</v>
      </c>
      <c r="C1806" t="s">
        <v>4911</v>
      </c>
      <c r="D1806" t="s">
        <v>1885</v>
      </c>
      <c r="E1806">
        <v>68780.2201603389</v>
      </c>
      <c r="F1806">
        <v>22740.1301166533</v>
      </c>
      <c r="G1806">
        <v>14732.5427920973</v>
      </c>
      <c r="H1806">
        <v>13351.5349950688</v>
      </c>
      <c r="I1806">
        <v>106252.89</v>
      </c>
      <c r="J1806">
        <v>92901.36</v>
      </c>
      <c r="K1806" s="1"/>
      <c r="L1806" s="1"/>
      <c r="M1806" s="1"/>
      <c r="N1806" s="1"/>
    </row>
    <row r="1807" ht="15.75" customHeight="1">
      <c r="A1807" t="s">
        <v>51</v>
      </c>
      <c r="B1807" t="s">
        <v>33</v>
      </c>
      <c r="C1807" t="s">
        <v>4911</v>
      </c>
      <c r="D1807" t="s">
        <v>1886</v>
      </c>
      <c r="E1807">
        <v>68791.1031302451</v>
      </c>
      <c r="F1807">
        <v>22744.7448349808</v>
      </c>
      <c r="G1807">
        <v>14740.2227955268</v>
      </c>
      <c r="H1807">
        <v>13354.9325457561</v>
      </c>
      <c r="I1807">
        <v>106276.07</v>
      </c>
      <c r="J1807">
        <v>92921.14</v>
      </c>
      <c r="K1807" s="1"/>
      <c r="L1807" s="1"/>
      <c r="M1807" s="1"/>
      <c r="N1807" s="1"/>
    </row>
    <row r="1808" ht="15.75" customHeight="1">
      <c r="A1808" t="s">
        <v>53</v>
      </c>
      <c r="B1808" t="s">
        <v>26</v>
      </c>
      <c r="C1808" t="s">
        <v>4913</v>
      </c>
      <c r="D1808" t="s">
        <v>1887</v>
      </c>
      <c r="E1808">
        <v>68801.9861001513</v>
      </c>
      <c r="F1808">
        <v>22749.3595533082</v>
      </c>
      <c r="G1808">
        <v>14747.9027989563</v>
      </c>
      <c r="H1808">
        <v>13358.3300964434</v>
      </c>
      <c r="I1808">
        <v>106299.25</v>
      </c>
      <c r="J1808">
        <v>92940.92</v>
      </c>
      <c r="K1808" s="1"/>
      <c r="L1808" s="1"/>
      <c r="M1808" s="1"/>
      <c r="N1808" s="1"/>
    </row>
    <row r="1809" ht="15.75" customHeight="1">
      <c r="A1809" t="s">
        <v>53</v>
      </c>
      <c r="B1809" t="s">
        <v>54</v>
      </c>
      <c r="C1809" t="s">
        <v>4912</v>
      </c>
      <c r="D1809" t="s">
        <v>1888</v>
      </c>
      <c r="E1809">
        <v>68812.8690700575</v>
      </c>
      <c r="F1809">
        <v>22753.9742716356</v>
      </c>
      <c r="G1809">
        <v>14755.5828023858</v>
      </c>
      <c r="H1809">
        <v>13361.7276471307</v>
      </c>
      <c r="I1809">
        <v>106322.43</v>
      </c>
      <c r="J1809">
        <v>92960.7</v>
      </c>
      <c r="K1809" s="1"/>
      <c r="L1809" s="1"/>
      <c r="M1809" s="1"/>
      <c r="N1809" s="1"/>
    </row>
    <row r="1810" ht="15.75" customHeight="1">
      <c r="A1810" t="s">
        <v>17</v>
      </c>
      <c r="B1810" t="s">
        <v>14</v>
      </c>
      <c r="C1810" t="s">
        <v>4905</v>
      </c>
      <c r="D1810" t="s">
        <v>1889</v>
      </c>
      <c r="E1810">
        <v>68823.7520399636</v>
      </c>
      <c r="F1810">
        <v>22758.588989963</v>
      </c>
      <c r="G1810">
        <v>14763.2628058153</v>
      </c>
      <c r="H1810">
        <v>13365.125197818</v>
      </c>
      <c r="I1810">
        <v>106345.6</v>
      </c>
      <c r="J1810">
        <v>92980.47</v>
      </c>
      <c r="K1810" s="1"/>
      <c r="L1810" s="1"/>
      <c r="M1810" s="1"/>
      <c r="N1810" s="1"/>
    </row>
    <row r="1811" ht="15.75" customHeight="1">
      <c r="A1811" t="s">
        <v>25</v>
      </c>
      <c r="B1811" t="s">
        <v>26</v>
      </c>
      <c r="C1811" t="s">
        <v>4913</v>
      </c>
      <c r="D1811" t="s">
        <v>1890</v>
      </c>
      <c r="E1811">
        <v>68834.6350098698</v>
      </c>
      <c r="F1811">
        <v>22763.2037082905</v>
      </c>
      <c r="G1811">
        <v>14770.9428092448</v>
      </c>
      <c r="H1811">
        <v>13368.5227485052</v>
      </c>
      <c r="I1811">
        <v>106368.78</v>
      </c>
      <c r="J1811">
        <v>93000.26</v>
      </c>
      <c r="K1811" s="1"/>
      <c r="L1811" s="1"/>
      <c r="M1811" s="1"/>
      <c r="N1811" s="1"/>
    </row>
    <row r="1812" ht="15.75" customHeight="1">
      <c r="A1812" t="s">
        <v>51</v>
      </c>
      <c r="B1812" t="s">
        <v>30</v>
      </c>
      <c r="C1812" t="s">
        <v>4910</v>
      </c>
      <c r="D1812" t="s">
        <v>1891</v>
      </c>
      <c r="E1812">
        <v>68845.517979776</v>
      </c>
      <c r="F1812">
        <v>22767.8184266179</v>
      </c>
      <c r="G1812">
        <v>14778.6228126743</v>
      </c>
      <c r="H1812">
        <v>13371.9202991925</v>
      </c>
      <c r="I1812">
        <v>106391.96</v>
      </c>
      <c r="J1812">
        <v>93020.04</v>
      </c>
      <c r="K1812" s="1"/>
      <c r="L1812" s="1"/>
      <c r="M1812" s="1"/>
      <c r="N1812" s="1"/>
    </row>
    <row r="1813" ht="15.75" customHeight="1">
      <c r="A1813" t="s">
        <v>53</v>
      </c>
      <c r="B1813" t="s">
        <v>37</v>
      </c>
      <c r="C1813" t="s">
        <v>4917</v>
      </c>
      <c r="D1813" t="s">
        <v>1892</v>
      </c>
      <c r="E1813">
        <v>68856.4009496822</v>
      </c>
      <c r="F1813">
        <v>22772.4331449453</v>
      </c>
      <c r="G1813">
        <v>14786.3028161038</v>
      </c>
      <c r="H1813">
        <v>13375.3178498798</v>
      </c>
      <c r="I1813">
        <v>106415.14</v>
      </c>
      <c r="J1813">
        <v>93039.82</v>
      </c>
      <c r="K1813" s="1"/>
      <c r="L1813" s="1"/>
      <c r="M1813" s="1"/>
      <c r="N1813" s="1"/>
    </row>
    <row r="1814" ht="15.75" customHeight="1">
      <c r="A1814" t="s">
        <v>36</v>
      </c>
      <c r="B1814" t="s">
        <v>18</v>
      </c>
      <c r="C1814" t="s">
        <v>4911</v>
      </c>
      <c r="D1814" t="s">
        <v>1893</v>
      </c>
      <c r="E1814">
        <v>68867.2839195884</v>
      </c>
      <c r="F1814">
        <v>22777.0478632727</v>
      </c>
      <c r="G1814">
        <v>14793.9828195333</v>
      </c>
      <c r="H1814">
        <v>13378.7154005671</v>
      </c>
      <c r="I1814">
        <v>106438.31</v>
      </c>
      <c r="J1814">
        <v>93059.59</v>
      </c>
      <c r="K1814" s="1"/>
      <c r="L1814" s="1"/>
      <c r="M1814" s="1"/>
      <c r="N1814" s="1"/>
    </row>
    <row r="1815" ht="15.75" customHeight="1">
      <c r="A1815" t="s">
        <v>36</v>
      </c>
      <c r="B1815" t="s">
        <v>33</v>
      </c>
      <c r="C1815" t="s">
        <v>4908</v>
      </c>
      <c r="D1815" t="s">
        <v>1894</v>
      </c>
      <c r="E1815">
        <v>68878.1668894946</v>
      </c>
      <c r="F1815">
        <v>22781.6625816001</v>
      </c>
      <c r="G1815">
        <v>14801.6628229628</v>
      </c>
      <c r="H1815">
        <v>13382.1129512544</v>
      </c>
      <c r="I1815">
        <v>106461.49</v>
      </c>
      <c r="J1815">
        <v>93079.38</v>
      </c>
      <c r="K1815" s="1"/>
      <c r="L1815" s="1"/>
      <c r="M1815" s="1"/>
      <c r="N1815" s="1"/>
    </row>
    <row r="1816" ht="15.75" customHeight="1">
      <c r="A1816" t="s">
        <v>25</v>
      </c>
      <c r="B1816" t="s">
        <v>54</v>
      </c>
      <c r="C1816" t="s">
        <v>4917</v>
      </c>
      <c r="D1816" t="s">
        <v>1895</v>
      </c>
      <c r="E1816">
        <v>68889.0498594008</v>
      </c>
      <c r="F1816">
        <v>22786.2772999276</v>
      </c>
      <c r="G1816">
        <v>14809.3428263922</v>
      </c>
      <c r="H1816">
        <v>13385.5105019417</v>
      </c>
      <c r="I1816">
        <v>106484.67</v>
      </c>
      <c r="J1816">
        <v>93099.16</v>
      </c>
      <c r="K1816" s="1"/>
      <c r="L1816" s="1"/>
      <c r="M1816" s="1"/>
      <c r="N1816" s="1"/>
    </row>
    <row r="1817" ht="15.75" customHeight="1">
      <c r="A1817" t="s">
        <v>13</v>
      </c>
      <c r="B1817" t="s">
        <v>14</v>
      </c>
      <c r="C1817" t="s">
        <v>4916</v>
      </c>
      <c r="D1817" t="s">
        <v>1896</v>
      </c>
      <c r="E1817">
        <v>68899.932829307</v>
      </c>
      <c r="F1817">
        <v>22790.892018255</v>
      </c>
      <c r="G1817">
        <v>14817.0228298217</v>
      </c>
      <c r="H1817">
        <v>13388.908052629</v>
      </c>
      <c r="I1817">
        <v>106507.85</v>
      </c>
      <c r="J1817">
        <v>93118.94</v>
      </c>
      <c r="K1817" s="1"/>
      <c r="L1817" s="1"/>
      <c r="M1817" s="1"/>
      <c r="N1817" s="1"/>
    </row>
    <row r="1818" ht="15.75" customHeight="1">
      <c r="A1818" t="s">
        <v>25</v>
      </c>
      <c r="B1818" t="s">
        <v>14</v>
      </c>
      <c r="C1818" t="s">
        <v>4907</v>
      </c>
      <c r="D1818" t="s">
        <v>1897</v>
      </c>
      <c r="E1818">
        <v>68910.8157992132</v>
      </c>
      <c r="F1818">
        <v>22795.5067365824</v>
      </c>
      <c r="G1818">
        <v>14824.7028332512</v>
      </c>
      <c r="H1818">
        <v>13392.3056033163</v>
      </c>
      <c r="I1818">
        <v>106531.03</v>
      </c>
      <c r="J1818">
        <v>93138.72</v>
      </c>
      <c r="K1818" s="1"/>
      <c r="L1818" s="1"/>
      <c r="M1818" s="1"/>
      <c r="N1818" s="1"/>
    </row>
    <row r="1819" ht="15.75" customHeight="1">
      <c r="A1819" t="s">
        <v>17</v>
      </c>
      <c r="B1819" t="s">
        <v>37</v>
      </c>
      <c r="C1819" t="s">
        <v>4910</v>
      </c>
      <c r="D1819" t="s">
        <v>1898</v>
      </c>
      <c r="E1819">
        <v>68921.6987691194</v>
      </c>
      <c r="F1819">
        <v>22800.1214549098</v>
      </c>
      <c r="G1819">
        <v>14832.3828366807</v>
      </c>
      <c r="H1819">
        <v>13395.7031540035</v>
      </c>
      <c r="I1819">
        <v>106554.2</v>
      </c>
      <c r="J1819">
        <v>93158.5</v>
      </c>
      <c r="K1819" s="1"/>
      <c r="L1819" s="1"/>
      <c r="M1819" s="1"/>
      <c r="N1819" s="1"/>
    </row>
    <row r="1820" ht="15.75" customHeight="1">
      <c r="A1820" t="s">
        <v>17</v>
      </c>
      <c r="B1820" t="s">
        <v>18</v>
      </c>
      <c r="C1820" t="s">
        <v>4910</v>
      </c>
      <c r="D1820" t="s">
        <v>1899</v>
      </c>
      <c r="E1820">
        <v>68932.5817390256</v>
      </c>
      <c r="F1820">
        <v>22804.7361732373</v>
      </c>
      <c r="G1820">
        <v>14840.0628401102</v>
      </c>
      <c r="H1820">
        <v>13399.1007046908</v>
      </c>
      <c r="I1820">
        <v>106577.38</v>
      </c>
      <c r="J1820">
        <v>93178.28</v>
      </c>
      <c r="K1820" s="1"/>
      <c r="L1820" s="1"/>
      <c r="M1820" s="1"/>
      <c r="N1820" s="1"/>
    </row>
    <row r="1821" ht="15.75" customHeight="1">
      <c r="A1821" t="s">
        <v>36</v>
      </c>
      <c r="B1821" t="s">
        <v>18</v>
      </c>
      <c r="C1821" t="s">
        <v>4905</v>
      </c>
      <c r="D1821" t="s">
        <v>1900</v>
      </c>
      <c r="E1821">
        <v>68943.4647089318</v>
      </c>
      <c r="F1821">
        <v>22809.3508915647</v>
      </c>
      <c r="G1821">
        <v>14847.7428435397</v>
      </c>
      <c r="H1821">
        <v>13402.4982553781</v>
      </c>
      <c r="I1821">
        <v>106600.56</v>
      </c>
      <c r="J1821">
        <v>93198.06</v>
      </c>
      <c r="K1821" s="1"/>
      <c r="L1821" s="1"/>
      <c r="M1821" s="1"/>
      <c r="N1821" s="1"/>
    </row>
    <row r="1822" ht="15.75" customHeight="1">
      <c r="A1822" t="s">
        <v>36</v>
      </c>
      <c r="B1822" t="s">
        <v>18</v>
      </c>
      <c r="C1822" t="s">
        <v>4909</v>
      </c>
      <c r="D1822" t="s">
        <v>1901</v>
      </c>
      <c r="E1822">
        <v>68954.347678838</v>
      </c>
      <c r="F1822">
        <v>22813.9656098921</v>
      </c>
      <c r="G1822">
        <v>14855.4228469692</v>
      </c>
      <c r="H1822">
        <v>13405.8958060654</v>
      </c>
      <c r="I1822">
        <v>106623.74</v>
      </c>
      <c r="J1822">
        <v>93217.84</v>
      </c>
      <c r="K1822" s="1"/>
      <c r="L1822" s="1"/>
      <c r="M1822" s="1"/>
      <c r="N1822" s="1"/>
    </row>
    <row r="1823" ht="15.75" customHeight="1">
      <c r="A1823" t="s">
        <v>51</v>
      </c>
      <c r="B1823" t="s">
        <v>54</v>
      </c>
      <c r="C1823" t="s">
        <v>4910</v>
      </c>
      <c r="D1823" t="s">
        <v>1902</v>
      </c>
      <c r="E1823">
        <v>68965.2306487442</v>
      </c>
      <c r="F1823">
        <v>22818.5803282195</v>
      </c>
      <c r="G1823">
        <v>14863.1028503987</v>
      </c>
      <c r="H1823">
        <v>13409.2933567527</v>
      </c>
      <c r="I1823">
        <v>106646.91</v>
      </c>
      <c r="J1823">
        <v>93237.62</v>
      </c>
      <c r="K1823" s="1"/>
      <c r="L1823" s="1"/>
      <c r="M1823" s="1"/>
      <c r="N1823" s="1"/>
    </row>
    <row r="1824" ht="15.75" customHeight="1">
      <c r="A1824" t="s">
        <v>29</v>
      </c>
      <c r="B1824" t="s">
        <v>14</v>
      </c>
      <c r="C1824" t="s">
        <v>4911</v>
      </c>
      <c r="D1824" t="s">
        <v>1903</v>
      </c>
      <c r="E1824">
        <v>68976.1136186504</v>
      </c>
      <c r="F1824">
        <v>22823.1950465469</v>
      </c>
      <c r="G1824">
        <v>14870.7828538282</v>
      </c>
      <c r="H1824">
        <v>13412.69090744</v>
      </c>
      <c r="I1824">
        <v>106670.09</v>
      </c>
      <c r="J1824">
        <v>93257.4</v>
      </c>
      <c r="K1824" s="1"/>
      <c r="L1824" s="1"/>
      <c r="M1824" s="1"/>
      <c r="N1824" s="1"/>
    </row>
    <row r="1825" ht="15.75" customHeight="1">
      <c r="A1825" t="s">
        <v>25</v>
      </c>
      <c r="B1825" t="s">
        <v>37</v>
      </c>
      <c r="C1825" t="s">
        <v>4912</v>
      </c>
      <c r="D1825" t="s">
        <v>1904</v>
      </c>
      <c r="E1825">
        <v>68986.9965885565</v>
      </c>
      <c r="F1825">
        <v>22827.8097648744</v>
      </c>
      <c r="G1825">
        <v>14878.4628572577</v>
      </c>
      <c r="H1825">
        <v>13416.0884581273</v>
      </c>
      <c r="I1825">
        <v>106693.27</v>
      </c>
      <c r="J1825">
        <v>93277.18</v>
      </c>
      <c r="K1825" s="1"/>
      <c r="L1825" s="1"/>
      <c r="M1825" s="1"/>
      <c r="N1825" s="1"/>
    </row>
    <row r="1826" ht="15.75" customHeight="1">
      <c r="A1826" t="s">
        <v>17</v>
      </c>
      <c r="B1826" t="s">
        <v>37</v>
      </c>
      <c r="C1826" t="s">
        <v>4916</v>
      </c>
      <c r="D1826" t="s">
        <v>1905</v>
      </c>
      <c r="E1826">
        <v>68997.8795584627</v>
      </c>
      <c r="F1826">
        <v>22832.4244832018</v>
      </c>
      <c r="G1826">
        <v>14886.1428606872</v>
      </c>
      <c r="H1826">
        <v>13419.4860088146</v>
      </c>
      <c r="I1826">
        <v>106716.45</v>
      </c>
      <c r="J1826">
        <v>93296.96</v>
      </c>
      <c r="K1826" s="1"/>
      <c r="L1826" s="1"/>
      <c r="M1826" s="1"/>
      <c r="N1826" s="1"/>
    </row>
    <row r="1827" ht="15.75" customHeight="1">
      <c r="A1827" t="s">
        <v>51</v>
      </c>
      <c r="B1827" t="s">
        <v>14</v>
      </c>
      <c r="C1827" t="s">
        <v>4905</v>
      </c>
      <c r="D1827" t="s">
        <v>1906</v>
      </c>
      <c r="E1827">
        <v>69008.7625283689</v>
      </c>
      <c r="F1827">
        <v>22837.0392015292</v>
      </c>
      <c r="G1827">
        <v>14893.8228641167</v>
      </c>
      <c r="H1827">
        <v>13422.8835595018</v>
      </c>
      <c r="I1827">
        <v>106739.62</v>
      </c>
      <c r="J1827">
        <v>93316.74</v>
      </c>
      <c r="K1827" s="1"/>
      <c r="L1827" s="1"/>
      <c r="M1827" s="1"/>
      <c r="N1827" s="1"/>
    </row>
    <row r="1828" ht="15.75" customHeight="1">
      <c r="A1828" t="s">
        <v>13</v>
      </c>
      <c r="B1828" t="s">
        <v>54</v>
      </c>
      <c r="C1828" t="s">
        <v>4910</v>
      </c>
      <c r="D1828" t="s">
        <v>1907</v>
      </c>
      <c r="E1828">
        <v>69019.6454982751</v>
      </c>
      <c r="F1828">
        <v>22841.6539198566</v>
      </c>
      <c r="G1828">
        <v>14901.5028675462</v>
      </c>
      <c r="H1828">
        <v>13426.2811101891</v>
      </c>
      <c r="I1828">
        <v>106762.8</v>
      </c>
      <c r="J1828">
        <v>93336.52</v>
      </c>
      <c r="K1828" s="1"/>
      <c r="L1828" s="1"/>
      <c r="M1828" s="1"/>
      <c r="N1828" s="1"/>
    </row>
    <row r="1829" ht="15.75" customHeight="1">
      <c r="A1829" t="s">
        <v>13</v>
      </c>
      <c r="B1829" t="s">
        <v>14</v>
      </c>
      <c r="C1829" t="s">
        <v>4910</v>
      </c>
      <c r="D1829" t="s">
        <v>1908</v>
      </c>
      <c r="E1829">
        <v>69030.5284681813</v>
      </c>
      <c r="F1829">
        <v>22846.2686381841</v>
      </c>
      <c r="G1829">
        <v>14909.1828709757</v>
      </c>
      <c r="H1829">
        <v>13429.6786608764</v>
      </c>
      <c r="I1829">
        <v>106785.98</v>
      </c>
      <c r="J1829">
        <v>93356.3</v>
      </c>
      <c r="K1829" s="1"/>
      <c r="L1829" s="1"/>
      <c r="M1829" s="1"/>
      <c r="N1829" s="1"/>
    </row>
    <row r="1830" ht="15.75" customHeight="1">
      <c r="A1830" t="s">
        <v>29</v>
      </c>
      <c r="B1830" t="s">
        <v>26</v>
      </c>
      <c r="C1830" t="s">
        <v>4914</v>
      </c>
      <c r="D1830" t="s">
        <v>1909</v>
      </c>
      <c r="E1830">
        <v>69052.2944079937</v>
      </c>
      <c r="F1830">
        <v>22855.4980748389</v>
      </c>
      <c r="G1830">
        <v>14924.5428778347</v>
      </c>
      <c r="H1830">
        <v>13436.473762251</v>
      </c>
      <c r="I1830">
        <v>106832.34</v>
      </c>
      <c r="J1830">
        <v>93395.87</v>
      </c>
      <c r="K1830" s="1"/>
      <c r="L1830" s="1"/>
      <c r="M1830" s="1"/>
      <c r="N1830" s="1"/>
    </row>
    <row r="1831" ht="15.75" customHeight="1">
      <c r="A1831" t="s">
        <v>17</v>
      </c>
      <c r="B1831" t="s">
        <v>26</v>
      </c>
      <c r="C1831" t="s">
        <v>4911</v>
      </c>
      <c r="D1831" t="s">
        <v>1910</v>
      </c>
      <c r="E1831">
        <v>69063.1773778999</v>
      </c>
      <c r="F1831">
        <v>22860.1127931663</v>
      </c>
      <c r="G1831">
        <v>14932.2228812642</v>
      </c>
      <c r="H1831">
        <v>13439.8713129383</v>
      </c>
      <c r="I1831">
        <v>106855.51</v>
      </c>
      <c r="J1831">
        <v>93415.64</v>
      </c>
      <c r="K1831" s="1"/>
      <c r="L1831" s="1"/>
      <c r="M1831" s="1"/>
      <c r="N1831" s="1"/>
    </row>
    <row r="1832" ht="15.75" customHeight="1">
      <c r="A1832" t="s">
        <v>53</v>
      </c>
      <c r="B1832" t="s">
        <v>33</v>
      </c>
      <c r="C1832" t="s">
        <v>4905</v>
      </c>
      <c r="D1832" t="s">
        <v>1911</v>
      </c>
      <c r="E1832">
        <v>69074.0603478061</v>
      </c>
      <c r="F1832">
        <v>22864.7275114937</v>
      </c>
      <c r="G1832">
        <v>14939.9028846937</v>
      </c>
      <c r="H1832">
        <v>13443.2688636256</v>
      </c>
      <c r="I1832">
        <v>106878.69</v>
      </c>
      <c r="J1832">
        <v>93435.42</v>
      </c>
      <c r="K1832" s="1"/>
      <c r="L1832" s="1"/>
      <c r="M1832" s="1"/>
      <c r="N1832" s="1"/>
    </row>
    <row r="1833" ht="15.75" customHeight="1">
      <c r="A1833" t="s">
        <v>17</v>
      </c>
      <c r="B1833" t="s">
        <v>54</v>
      </c>
      <c r="C1833" t="s">
        <v>4909</v>
      </c>
      <c r="D1833" t="s">
        <v>1912</v>
      </c>
      <c r="E1833">
        <v>69084.9433177123</v>
      </c>
      <c r="F1833">
        <v>22869.3422298212</v>
      </c>
      <c r="G1833">
        <v>14947.5828881232</v>
      </c>
      <c r="H1833">
        <v>13446.6664143128</v>
      </c>
      <c r="I1833">
        <v>106901.87</v>
      </c>
      <c r="J1833">
        <v>93455.2</v>
      </c>
      <c r="K1833" s="1"/>
      <c r="L1833" s="1"/>
      <c r="M1833" s="1"/>
      <c r="N1833" s="1"/>
    </row>
    <row r="1834" ht="15.75" customHeight="1">
      <c r="A1834" t="s">
        <v>25</v>
      </c>
      <c r="B1834" t="s">
        <v>54</v>
      </c>
      <c r="C1834" t="s">
        <v>4909</v>
      </c>
      <c r="D1834" t="s">
        <v>1913</v>
      </c>
      <c r="E1834">
        <v>69095.8262876185</v>
      </c>
      <c r="F1834">
        <v>22873.9569481486</v>
      </c>
      <c r="G1834">
        <v>14955.2628915527</v>
      </c>
      <c r="H1834">
        <v>13450.0639650001</v>
      </c>
      <c r="I1834">
        <v>106925.05</v>
      </c>
      <c r="J1834">
        <v>93474.99</v>
      </c>
      <c r="K1834" s="1"/>
      <c r="L1834" s="1"/>
      <c r="M1834" s="1"/>
      <c r="N1834" s="1"/>
    </row>
    <row r="1835" ht="15.75" customHeight="1">
      <c r="A1835" t="s">
        <v>51</v>
      </c>
      <c r="B1835" t="s">
        <v>18</v>
      </c>
      <c r="C1835" t="s">
        <v>4916</v>
      </c>
      <c r="D1835" t="s">
        <v>1914</v>
      </c>
      <c r="E1835">
        <v>69106.7092575247</v>
      </c>
      <c r="F1835">
        <v>22878.571666476</v>
      </c>
      <c r="G1835">
        <v>14962.9428949822</v>
      </c>
      <c r="H1835">
        <v>13453.4615156874</v>
      </c>
      <c r="I1835">
        <v>106948.22</v>
      </c>
      <c r="J1835">
        <v>93494.76</v>
      </c>
      <c r="K1835" s="1"/>
      <c r="L1835" s="1"/>
      <c r="M1835" s="1"/>
      <c r="N1835" s="1"/>
    </row>
    <row r="1836" ht="15.75" customHeight="1">
      <c r="A1836" t="s">
        <v>36</v>
      </c>
      <c r="B1836" t="s">
        <v>37</v>
      </c>
      <c r="C1836" t="s">
        <v>4905</v>
      </c>
      <c r="D1836" t="s">
        <v>1915</v>
      </c>
      <c r="E1836">
        <v>69117.5922274309</v>
      </c>
      <c r="F1836">
        <v>22883.1863848034</v>
      </c>
      <c r="G1836">
        <v>14970.6228984117</v>
      </c>
      <c r="H1836">
        <v>13456.8590663747</v>
      </c>
      <c r="I1836">
        <v>106971.4</v>
      </c>
      <c r="J1836">
        <v>93514.54</v>
      </c>
      <c r="K1836" s="1"/>
      <c r="L1836" s="1"/>
      <c r="M1836" s="1"/>
      <c r="N1836" s="1"/>
    </row>
    <row r="1837" ht="15.75" customHeight="1">
      <c r="A1837" t="s">
        <v>36</v>
      </c>
      <c r="B1837" t="s">
        <v>26</v>
      </c>
      <c r="C1837" t="s">
        <v>4907</v>
      </c>
      <c r="D1837" t="s">
        <v>1916</v>
      </c>
      <c r="E1837">
        <v>70778.92354084158</v>
      </c>
      <c r="F1837">
        <v>22887.8011031309</v>
      </c>
      <c r="G1837">
        <v>14978.3029018412</v>
      </c>
      <c r="H1837">
        <v>13460.256617062</v>
      </c>
      <c r="I1837">
        <v>108645.03</v>
      </c>
      <c r="J1837">
        <v>95184.77</v>
      </c>
      <c r="K1837" s="1"/>
      <c r="L1837" s="1"/>
      <c r="M1837" s="1"/>
      <c r="N1837" s="1"/>
    </row>
    <row r="1838" ht="15.75" customHeight="1">
      <c r="A1838" t="s">
        <v>51</v>
      </c>
      <c r="B1838" t="s">
        <v>54</v>
      </c>
      <c r="C1838" t="s">
        <v>4915</v>
      </c>
      <c r="D1838" t="s">
        <v>1917</v>
      </c>
      <c r="E1838">
        <v>69139.3581672433</v>
      </c>
      <c r="F1838">
        <v>22892.4158214583</v>
      </c>
      <c r="G1838">
        <v>14985.9829052707</v>
      </c>
      <c r="H1838">
        <v>14517.91218360388</v>
      </c>
      <c r="I1838">
        <v>107017.76</v>
      </c>
      <c r="J1838">
        <v>92499.85</v>
      </c>
      <c r="K1838" s="1"/>
      <c r="L1838" s="1"/>
      <c r="M1838" s="1"/>
      <c r="N1838" s="1"/>
    </row>
    <row r="1839" ht="15.75" customHeight="1">
      <c r="A1839" t="s">
        <v>17</v>
      </c>
      <c r="B1839" t="s">
        <v>33</v>
      </c>
      <c r="C1839" t="s">
        <v>4917</v>
      </c>
      <c r="D1839" t="s">
        <v>1918</v>
      </c>
      <c r="E1839">
        <v>69150.2411371494</v>
      </c>
      <c r="F1839">
        <v>22897.0305397857</v>
      </c>
      <c r="G1839">
        <v>14993.6629087002</v>
      </c>
      <c r="H1839">
        <v>13467.0517184366</v>
      </c>
      <c r="I1839">
        <v>107040.93</v>
      </c>
      <c r="J1839">
        <v>93573.88</v>
      </c>
      <c r="K1839" s="1"/>
      <c r="L1839" s="1"/>
      <c r="M1839" s="1"/>
      <c r="N1839" s="1"/>
    </row>
    <row r="1840" ht="15.75" customHeight="1">
      <c r="A1840" t="s">
        <v>25</v>
      </c>
      <c r="B1840" t="s">
        <v>18</v>
      </c>
      <c r="C1840" t="s">
        <v>4913</v>
      </c>
      <c r="D1840" t="s">
        <v>1919</v>
      </c>
      <c r="E1840">
        <v>69161.1241070556</v>
      </c>
      <c r="F1840">
        <v>22901.6452581131</v>
      </c>
      <c r="G1840">
        <v>15001.3429121297</v>
      </c>
      <c r="H1840">
        <v>13470.4492691239</v>
      </c>
      <c r="I1840">
        <v>107064.11</v>
      </c>
      <c r="J1840">
        <v>93593.66</v>
      </c>
      <c r="K1840" s="1"/>
      <c r="L1840" s="1"/>
      <c r="M1840" s="1"/>
      <c r="N1840" s="1"/>
    </row>
    <row r="1841" ht="15.75" customHeight="1">
      <c r="A1841" t="s">
        <v>25</v>
      </c>
      <c r="B1841" t="s">
        <v>33</v>
      </c>
      <c r="C1841" t="s">
        <v>4913</v>
      </c>
      <c r="D1841" t="s">
        <v>1920</v>
      </c>
      <c r="E1841">
        <v>69172.0070769618</v>
      </c>
      <c r="F1841">
        <v>22906.2599764405</v>
      </c>
      <c r="G1841">
        <v>15009.0229155592</v>
      </c>
      <c r="H1841">
        <v>13473.8468198111</v>
      </c>
      <c r="I1841">
        <v>107087.29</v>
      </c>
      <c r="J1841">
        <v>93613.44</v>
      </c>
      <c r="K1841" s="1"/>
      <c r="L1841" s="1"/>
      <c r="M1841" s="1"/>
      <c r="N1841" s="1"/>
    </row>
    <row r="1842" ht="15.75" customHeight="1">
      <c r="A1842" t="s">
        <v>13</v>
      </c>
      <c r="B1842" t="s">
        <v>18</v>
      </c>
      <c r="C1842" t="s">
        <v>4907</v>
      </c>
      <c r="D1842" t="s">
        <v>1921</v>
      </c>
      <c r="E1842">
        <v>69182.890046868</v>
      </c>
      <c r="F1842">
        <v>22910.874694768</v>
      </c>
      <c r="G1842">
        <v>15016.7029189887</v>
      </c>
      <c r="H1842">
        <v>13477.2443704984</v>
      </c>
      <c r="I1842">
        <v>107110.47</v>
      </c>
      <c r="J1842">
        <v>93633.23</v>
      </c>
      <c r="K1842" s="1"/>
      <c r="L1842" s="1"/>
      <c r="M1842" s="1"/>
      <c r="N1842" s="1"/>
    </row>
    <row r="1843" ht="15.75" customHeight="1">
      <c r="A1843" t="s">
        <v>51</v>
      </c>
      <c r="B1843" t="s">
        <v>26</v>
      </c>
      <c r="C1843" t="s">
        <v>4911</v>
      </c>
      <c r="D1843" t="s">
        <v>1922</v>
      </c>
      <c r="E1843">
        <v>69193.7730167742</v>
      </c>
      <c r="F1843">
        <v>22915.4894130954</v>
      </c>
      <c r="G1843">
        <v>15024.3829224182</v>
      </c>
      <c r="H1843">
        <v>13480.6419211857</v>
      </c>
      <c r="I1843">
        <v>107133.65</v>
      </c>
      <c r="J1843">
        <v>93653.01</v>
      </c>
      <c r="K1843" s="1"/>
      <c r="L1843" s="1"/>
      <c r="M1843" s="1"/>
      <c r="N1843" s="1"/>
    </row>
    <row r="1844" ht="15.75" customHeight="1">
      <c r="A1844" t="s">
        <v>13</v>
      </c>
      <c r="B1844" t="s">
        <v>30</v>
      </c>
      <c r="C1844" t="s">
        <v>4907</v>
      </c>
      <c r="D1844" t="s">
        <v>1923</v>
      </c>
      <c r="E1844">
        <v>69204.6559866804</v>
      </c>
      <c r="F1844">
        <v>22920.1041314228</v>
      </c>
      <c r="G1844">
        <v>15032.0629258477</v>
      </c>
      <c r="H1844">
        <v>13484.039471873</v>
      </c>
      <c r="I1844">
        <v>107156.82</v>
      </c>
      <c r="J1844">
        <v>93672.78</v>
      </c>
      <c r="K1844" s="1"/>
      <c r="L1844" s="1"/>
      <c r="M1844" s="1"/>
      <c r="N1844" s="1"/>
    </row>
    <row r="1845" ht="15.75" customHeight="1">
      <c r="A1845" t="s">
        <v>17</v>
      </c>
      <c r="B1845" t="s">
        <v>26</v>
      </c>
      <c r="C1845" t="s">
        <v>4909</v>
      </c>
      <c r="D1845" t="s">
        <v>1924</v>
      </c>
      <c r="E1845">
        <v>69215.5389565866</v>
      </c>
      <c r="F1845">
        <v>22924.7188497502</v>
      </c>
      <c r="G1845">
        <v>15039.7429292772</v>
      </c>
      <c r="H1845">
        <v>13487.4370225603</v>
      </c>
      <c r="I1845">
        <v>107180.0</v>
      </c>
      <c r="J1845">
        <v>93692.56</v>
      </c>
      <c r="K1845" s="1"/>
      <c r="L1845" s="1"/>
      <c r="M1845" s="1"/>
      <c r="N1845" s="1"/>
    </row>
    <row r="1846" ht="15.75" customHeight="1">
      <c r="A1846" t="s">
        <v>53</v>
      </c>
      <c r="B1846" t="s">
        <v>30</v>
      </c>
      <c r="C1846" t="s">
        <v>4914</v>
      </c>
      <c r="D1846" t="s">
        <v>1925</v>
      </c>
      <c r="E1846">
        <v>69226.4219264928</v>
      </c>
      <c r="F1846">
        <v>22929.3335680777</v>
      </c>
      <c r="G1846">
        <v>15047.4229327067</v>
      </c>
      <c r="H1846">
        <v>13490.8345732476</v>
      </c>
      <c r="I1846">
        <v>107203.18</v>
      </c>
      <c r="J1846">
        <v>93712.35</v>
      </c>
      <c r="K1846" s="1"/>
      <c r="L1846" s="1"/>
      <c r="M1846" s="1"/>
      <c r="N1846" s="1"/>
    </row>
    <row r="1847" ht="15.75" customHeight="1">
      <c r="A1847" t="s">
        <v>36</v>
      </c>
      <c r="B1847" t="s">
        <v>54</v>
      </c>
      <c r="C1847" t="s">
        <v>4913</v>
      </c>
      <c r="D1847" t="s">
        <v>1926</v>
      </c>
      <c r="E1847">
        <v>69237.304896399</v>
      </c>
      <c r="F1847">
        <v>22933.9482864051</v>
      </c>
      <c r="G1847">
        <v>15055.1029361362</v>
      </c>
      <c r="H1847">
        <v>13494.2321239349</v>
      </c>
      <c r="I1847">
        <v>107226.36</v>
      </c>
      <c r="J1847">
        <v>93732.13</v>
      </c>
      <c r="K1847" s="1"/>
      <c r="L1847" s="1"/>
      <c r="M1847" s="1"/>
      <c r="N1847" s="1"/>
    </row>
    <row r="1848" ht="15.75" customHeight="1">
      <c r="A1848" t="s">
        <v>29</v>
      </c>
      <c r="B1848" t="s">
        <v>14</v>
      </c>
      <c r="C1848" t="s">
        <v>4916</v>
      </c>
      <c r="D1848" t="s">
        <v>1927</v>
      </c>
      <c r="E1848">
        <v>69248.1878663052</v>
      </c>
      <c r="F1848">
        <v>22938.5630047325</v>
      </c>
      <c r="G1848">
        <v>15062.7829395657</v>
      </c>
      <c r="H1848">
        <v>13497.6296746222</v>
      </c>
      <c r="I1848">
        <v>107249.53</v>
      </c>
      <c r="J1848">
        <v>93751.9</v>
      </c>
      <c r="K1848" s="1"/>
      <c r="L1848" s="1"/>
      <c r="M1848" s="1"/>
      <c r="N1848" s="1"/>
    </row>
    <row r="1849" ht="15.75" customHeight="1">
      <c r="A1849" t="s">
        <v>36</v>
      </c>
      <c r="B1849" t="s">
        <v>14</v>
      </c>
      <c r="C1849" t="s">
        <v>4917</v>
      </c>
      <c r="D1849" t="s">
        <v>1928</v>
      </c>
      <c r="E1849">
        <v>69259.0708362114</v>
      </c>
      <c r="F1849">
        <v>22943.1777230599</v>
      </c>
      <c r="G1849">
        <v>15070.4629429952</v>
      </c>
      <c r="H1849">
        <v>13501.0272253094</v>
      </c>
      <c r="I1849">
        <v>107272.71</v>
      </c>
      <c r="J1849">
        <v>93771.68</v>
      </c>
      <c r="K1849" s="1"/>
      <c r="L1849" s="1"/>
      <c r="M1849" s="1"/>
      <c r="N1849" s="1"/>
    </row>
    <row r="1850" ht="15.75" customHeight="1">
      <c r="A1850" t="s">
        <v>53</v>
      </c>
      <c r="B1850" t="s">
        <v>18</v>
      </c>
      <c r="C1850" t="s">
        <v>4914</v>
      </c>
      <c r="D1850" t="s">
        <v>1929</v>
      </c>
      <c r="E1850">
        <v>69269.9538061176</v>
      </c>
      <c r="F1850">
        <v>22947.7924413873</v>
      </c>
      <c r="G1850">
        <v>15078.1429464247</v>
      </c>
      <c r="H1850">
        <v>13504.4247759967</v>
      </c>
      <c r="I1850">
        <v>107295.89</v>
      </c>
      <c r="J1850">
        <v>93791.47</v>
      </c>
      <c r="K1850" s="1"/>
      <c r="L1850" s="1"/>
      <c r="M1850" s="1"/>
      <c r="N1850" s="1"/>
    </row>
    <row r="1851" ht="15.75" customHeight="1">
      <c r="A1851" t="s">
        <v>36</v>
      </c>
      <c r="B1851" t="s">
        <v>33</v>
      </c>
      <c r="C1851" t="s">
        <v>4912</v>
      </c>
      <c r="D1851" t="s">
        <v>1930</v>
      </c>
      <c r="E1851">
        <v>69280.8367760238</v>
      </c>
      <c r="F1851">
        <v>22952.4071597148</v>
      </c>
      <c r="G1851">
        <v>15085.8229498541</v>
      </c>
      <c r="H1851">
        <v>13507.822326684</v>
      </c>
      <c r="I1851">
        <v>107319.07</v>
      </c>
      <c r="J1851">
        <v>93811.25</v>
      </c>
      <c r="K1851" s="1"/>
      <c r="L1851" s="1"/>
      <c r="M1851" s="1"/>
      <c r="N1851" s="1"/>
    </row>
    <row r="1852" ht="15.75" customHeight="1">
      <c r="A1852" t="s">
        <v>29</v>
      </c>
      <c r="B1852" t="s">
        <v>37</v>
      </c>
      <c r="C1852" t="s">
        <v>4912</v>
      </c>
      <c r="D1852" t="s">
        <v>1931</v>
      </c>
      <c r="E1852">
        <v>69291.71974593</v>
      </c>
      <c r="F1852">
        <v>22957.0218780422</v>
      </c>
      <c r="G1852">
        <v>15093.5029532836</v>
      </c>
      <c r="H1852">
        <v>13511.2198773713</v>
      </c>
      <c r="I1852">
        <v>107342.24</v>
      </c>
      <c r="J1852">
        <v>93831.02</v>
      </c>
      <c r="K1852" s="1"/>
      <c r="L1852" s="1"/>
      <c r="M1852" s="1"/>
      <c r="N1852" s="1"/>
    </row>
    <row r="1853" ht="15.75" customHeight="1">
      <c r="A1853" t="s">
        <v>13</v>
      </c>
      <c r="B1853" t="s">
        <v>54</v>
      </c>
      <c r="C1853" t="s">
        <v>4912</v>
      </c>
      <c r="D1853" t="s">
        <v>1932</v>
      </c>
      <c r="E1853">
        <v>69302.6027158362</v>
      </c>
      <c r="F1853">
        <v>22961.6365963696</v>
      </c>
      <c r="G1853">
        <v>15101.1829567131</v>
      </c>
      <c r="H1853">
        <v>13514.6174280586</v>
      </c>
      <c r="I1853">
        <v>107365.42</v>
      </c>
      <c r="J1853">
        <v>93850.8</v>
      </c>
      <c r="K1853" s="1"/>
      <c r="L1853" s="1"/>
      <c r="M1853" s="1"/>
      <c r="N1853" s="1"/>
    </row>
    <row r="1854" ht="15.75" customHeight="1">
      <c r="A1854" t="s">
        <v>29</v>
      </c>
      <c r="B1854" t="s">
        <v>26</v>
      </c>
      <c r="C1854" t="s">
        <v>4905</v>
      </c>
      <c r="D1854" t="s">
        <v>1933</v>
      </c>
      <c r="E1854">
        <v>69313.4856857423</v>
      </c>
      <c r="F1854">
        <v>22966.251314697</v>
      </c>
      <c r="G1854">
        <v>15108.8629601426</v>
      </c>
      <c r="H1854">
        <v>13518.0149787459</v>
      </c>
      <c r="I1854">
        <v>107388.6</v>
      </c>
      <c r="J1854">
        <v>93870.59</v>
      </c>
      <c r="K1854" s="1"/>
      <c r="L1854" s="1"/>
      <c r="M1854" s="1"/>
      <c r="N1854" s="1"/>
    </row>
    <row r="1855" ht="15.75" customHeight="1">
      <c r="A1855" t="s">
        <v>13</v>
      </c>
      <c r="B1855" t="s">
        <v>14</v>
      </c>
      <c r="C1855" t="s">
        <v>4909</v>
      </c>
      <c r="D1855" t="s">
        <v>1934</v>
      </c>
      <c r="E1855">
        <v>69324.3686556485</v>
      </c>
      <c r="F1855">
        <v>22970.8660330245</v>
      </c>
      <c r="G1855">
        <v>15116.5429635721</v>
      </c>
      <c r="H1855">
        <v>14327.38295125808</v>
      </c>
      <c r="I1855">
        <v>107411.78</v>
      </c>
      <c r="J1855">
        <v>93084.4</v>
      </c>
      <c r="K1855" s="1"/>
      <c r="L1855" s="1"/>
      <c r="M1855" s="1"/>
      <c r="N1855" s="1"/>
    </row>
    <row r="1856" ht="15.75" customHeight="1">
      <c r="A1856" t="s">
        <v>13</v>
      </c>
      <c r="B1856" t="s">
        <v>18</v>
      </c>
      <c r="C1856" t="s">
        <v>4912</v>
      </c>
      <c r="D1856" t="s">
        <v>1935</v>
      </c>
      <c r="E1856">
        <v>69335.2516255547</v>
      </c>
      <c r="F1856">
        <v>22975.4807513519</v>
      </c>
      <c r="G1856">
        <v>15124.2229670016</v>
      </c>
      <c r="H1856">
        <v>13524.8100801204</v>
      </c>
      <c r="I1856">
        <v>107434.96</v>
      </c>
      <c r="J1856">
        <v>93910.15</v>
      </c>
      <c r="K1856" s="1"/>
      <c r="L1856" s="1"/>
      <c r="M1856" s="1"/>
      <c r="N1856" s="1"/>
    </row>
    <row r="1857" ht="15.75" customHeight="1">
      <c r="A1857" t="s">
        <v>25</v>
      </c>
      <c r="B1857" t="s">
        <v>54</v>
      </c>
      <c r="C1857" t="s">
        <v>4916</v>
      </c>
      <c r="D1857" t="s">
        <v>1936</v>
      </c>
      <c r="E1857">
        <v>69346.1345954609</v>
      </c>
      <c r="F1857">
        <v>22980.0954696793</v>
      </c>
      <c r="G1857">
        <v>15131.9029704311</v>
      </c>
      <c r="H1857">
        <v>13528.2076308077</v>
      </c>
      <c r="I1857">
        <v>107458.13</v>
      </c>
      <c r="J1857">
        <v>93929.92</v>
      </c>
      <c r="K1857" s="1"/>
      <c r="L1857" s="1"/>
      <c r="M1857" s="1"/>
      <c r="N1857" s="1"/>
    </row>
    <row r="1858" ht="15.75" customHeight="1">
      <c r="A1858" t="s">
        <v>17</v>
      </c>
      <c r="B1858" t="s">
        <v>26</v>
      </c>
      <c r="C1858" t="s">
        <v>4915</v>
      </c>
      <c r="D1858" t="s">
        <v>1937</v>
      </c>
      <c r="E1858">
        <v>69357.0175653671</v>
      </c>
      <c r="F1858">
        <v>22984.7101880067</v>
      </c>
      <c r="G1858">
        <v>15139.5829738606</v>
      </c>
      <c r="H1858">
        <v>13531.605181495</v>
      </c>
      <c r="I1858">
        <v>107481.31</v>
      </c>
      <c r="J1858">
        <v>93949.7</v>
      </c>
      <c r="K1858" s="1"/>
      <c r="L1858" s="1"/>
      <c r="M1858" s="1"/>
      <c r="N1858" s="1"/>
    </row>
    <row r="1859" ht="15.75" customHeight="1">
      <c r="A1859" t="s">
        <v>17</v>
      </c>
      <c r="B1859" t="s">
        <v>26</v>
      </c>
      <c r="C1859" t="s">
        <v>4913</v>
      </c>
      <c r="D1859" t="s">
        <v>1938</v>
      </c>
      <c r="E1859">
        <v>69367.9005352733</v>
      </c>
      <c r="F1859">
        <v>22989.3249063341</v>
      </c>
      <c r="G1859">
        <v>15147.2629772901</v>
      </c>
      <c r="H1859">
        <v>13535.0027321823</v>
      </c>
      <c r="I1859">
        <v>107504.49</v>
      </c>
      <c r="J1859">
        <v>93969.49</v>
      </c>
      <c r="K1859" s="1"/>
      <c r="L1859" s="1"/>
      <c r="M1859" s="1"/>
      <c r="N1859" s="1"/>
    </row>
    <row r="1860" ht="15.75" customHeight="1">
      <c r="A1860" t="s">
        <v>51</v>
      </c>
      <c r="B1860" t="s">
        <v>54</v>
      </c>
      <c r="C1860" t="s">
        <v>4911</v>
      </c>
      <c r="D1860" t="s">
        <v>1939</v>
      </c>
      <c r="E1860">
        <v>69378.7835051795</v>
      </c>
      <c r="F1860">
        <v>22993.9396246616</v>
      </c>
      <c r="G1860">
        <v>15154.9429807196</v>
      </c>
      <c r="H1860">
        <v>13538.4002828696</v>
      </c>
      <c r="I1860">
        <v>107527.67</v>
      </c>
      <c r="J1860">
        <v>93989.27</v>
      </c>
      <c r="K1860" s="1"/>
      <c r="L1860" s="1"/>
      <c r="M1860" s="1"/>
      <c r="N1860" s="1"/>
    </row>
    <row r="1861" ht="15.75" customHeight="1">
      <c r="A1861" t="s">
        <v>25</v>
      </c>
      <c r="B1861" t="s">
        <v>37</v>
      </c>
      <c r="C1861" t="s">
        <v>4917</v>
      </c>
      <c r="D1861" t="s">
        <v>1940</v>
      </c>
      <c r="E1861">
        <v>69389.6664750857</v>
      </c>
      <c r="F1861">
        <v>22998.554342989</v>
      </c>
      <c r="G1861">
        <v>15162.6229841491</v>
      </c>
      <c r="H1861">
        <v>13541.7978335569</v>
      </c>
      <c r="I1861">
        <v>107550.84</v>
      </c>
      <c r="J1861">
        <v>94009.04</v>
      </c>
      <c r="K1861" s="1"/>
      <c r="L1861" s="1"/>
      <c r="M1861" s="1"/>
      <c r="N1861" s="1"/>
    </row>
    <row r="1862" ht="15.75" customHeight="1">
      <c r="A1862" t="s">
        <v>13</v>
      </c>
      <c r="B1862" t="s">
        <v>37</v>
      </c>
      <c r="C1862" t="s">
        <v>4916</v>
      </c>
      <c r="D1862" t="s">
        <v>1941</v>
      </c>
      <c r="E1862">
        <v>69400.5494449919</v>
      </c>
      <c r="F1862">
        <v>23003.1690613164</v>
      </c>
      <c r="G1862">
        <v>15170.3029875786</v>
      </c>
      <c r="H1862">
        <v>13545.1953842442</v>
      </c>
      <c r="I1862">
        <v>107574.02</v>
      </c>
      <c r="J1862">
        <v>94028.82</v>
      </c>
      <c r="K1862" s="1"/>
      <c r="L1862" s="1"/>
      <c r="M1862" s="1"/>
      <c r="N1862" s="1"/>
    </row>
    <row r="1863" ht="15.75" customHeight="1">
      <c r="A1863" t="s">
        <v>53</v>
      </c>
      <c r="B1863" t="s">
        <v>37</v>
      </c>
      <c r="C1863" t="s">
        <v>4910</v>
      </c>
      <c r="D1863" t="s">
        <v>1942</v>
      </c>
      <c r="E1863">
        <v>69411.4324148981</v>
      </c>
      <c r="F1863">
        <v>23007.7837796438</v>
      </c>
      <c r="G1863">
        <v>15177.9829910081</v>
      </c>
      <c r="H1863">
        <v>13548.5929349315</v>
      </c>
      <c r="I1863">
        <v>107597.2</v>
      </c>
      <c r="J1863">
        <v>94048.61</v>
      </c>
      <c r="K1863" s="1"/>
      <c r="L1863" s="1"/>
      <c r="M1863" s="1"/>
      <c r="N1863" s="1"/>
    </row>
    <row r="1864" ht="15.75" customHeight="1">
      <c r="A1864" t="s">
        <v>13</v>
      </c>
      <c r="B1864" t="s">
        <v>26</v>
      </c>
      <c r="C1864" t="s">
        <v>4905</v>
      </c>
      <c r="D1864" t="s">
        <v>1943</v>
      </c>
      <c r="E1864">
        <v>69422.3153848043</v>
      </c>
      <c r="F1864">
        <v>23012.3984979712</v>
      </c>
      <c r="G1864">
        <v>15185.6629944376</v>
      </c>
      <c r="H1864">
        <v>13551.9904856187</v>
      </c>
      <c r="I1864">
        <v>107620.38</v>
      </c>
      <c r="J1864">
        <v>94068.39</v>
      </c>
      <c r="K1864" s="1"/>
      <c r="L1864" s="1"/>
      <c r="M1864" s="1"/>
      <c r="N1864" s="1"/>
    </row>
    <row r="1865" ht="15.75" customHeight="1">
      <c r="A1865" t="s">
        <v>36</v>
      </c>
      <c r="B1865" t="s">
        <v>26</v>
      </c>
      <c r="C1865" t="s">
        <v>4905</v>
      </c>
      <c r="D1865" t="s">
        <v>1944</v>
      </c>
      <c r="E1865">
        <v>69433.1983547105</v>
      </c>
      <c r="F1865">
        <v>23017.0132162987</v>
      </c>
      <c r="G1865">
        <v>15193.3429978671</v>
      </c>
      <c r="H1865">
        <v>13555.388036306</v>
      </c>
      <c r="I1865">
        <v>107643.55</v>
      </c>
      <c r="J1865">
        <v>94088.16</v>
      </c>
      <c r="K1865" s="1"/>
      <c r="L1865" s="1"/>
      <c r="M1865" s="1"/>
      <c r="N1865" s="1"/>
    </row>
    <row r="1866" ht="15.75" customHeight="1">
      <c r="A1866" t="s">
        <v>53</v>
      </c>
      <c r="B1866" t="s">
        <v>33</v>
      </c>
      <c r="C1866" t="s">
        <v>4917</v>
      </c>
      <c r="D1866" t="s">
        <v>1945</v>
      </c>
      <c r="E1866">
        <v>69444.0813246167</v>
      </c>
      <c r="F1866">
        <v>23021.6279346261</v>
      </c>
      <c r="G1866">
        <v>15201.0230012966</v>
      </c>
      <c r="H1866">
        <v>13558.7855869933</v>
      </c>
      <c r="I1866">
        <v>107666.73</v>
      </c>
      <c r="J1866">
        <v>94107.94</v>
      </c>
      <c r="K1866" s="1"/>
      <c r="L1866" s="1"/>
      <c r="M1866" s="1"/>
      <c r="N1866" s="1"/>
    </row>
    <row r="1867" ht="15.75" customHeight="1">
      <c r="A1867" t="s">
        <v>53</v>
      </c>
      <c r="B1867" t="s">
        <v>18</v>
      </c>
      <c r="C1867" t="s">
        <v>4911</v>
      </c>
      <c r="D1867" t="s">
        <v>1946</v>
      </c>
      <c r="E1867">
        <v>69454.9642945229</v>
      </c>
      <c r="F1867">
        <v>23026.2426529535</v>
      </c>
      <c r="G1867">
        <v>15208.7030047261</v>
      </c>
      <c r="H1867">
        <v>13562.1831376806</v>
      </c>
      <c r="I1867">
        <v>107689.91</v>
      </c>
      <c r="J1867">
        <v>94127.73</v>
      </c>
      <c r="K1867" s="1"/>
      <c r="L1867" s="1"/>
      <c r="M1867" s="1"/>
      <c r="N1867" s="1"/>
    </row>
    <row r="1868" ht="15.75" customHeight="1">
      <c r="A1868" t="s">
        <v>29</v>
      </c>
      <c r="B1868" t="s">
        <v>18</v>
      </c>
      <c r="C1868" t="s">
        <v>4912</v>
      </c>
      <c r="D1868" t="s">
        <v>1947</v>
      </c>
      <c r="E1868">
        <v>69465.8472644291</v>
      </c>
      <c r="F1868">
        <v>23030.8573712809</v>
      </c>
      <c r="G1868">
        <v>15216.3830081556</v>
      </c>
      <c r="H1868">
        <v>13565.5806883679</v>
      </c>
      <c r="I1868">
        <v>107713.09</v>
      </c>
      <c r="J1868">
        <v>94147.51</v>
      </c>
      <c r="K1868" s="1"/>
      <c r="L1868" s="1"/>
      <c r="M1868" s="1"/>
      <c r="N1868" s="1"/>
    </row>
    <row r="1869" ht="15.75" customHeight="1">
      <c r="A1869" t="s">
        <v>53</v>
      </c>
      <c r="B1869" t="s">
        <v>37</v>
      </c>
      <c r="C1869" t="s">
        <v>4917</v>
      </c>
      <c r="D1869" t="s">
        <v>1948</v>
      </c>
      <c r="E1869">
        <v>69476.7302343352</v>
      </c>
      <c r="F1869">
        <v>23035.4720896084</v>
      </c>
      <c r="G1869">
        <v>15224.0630115851</v>
      </c>
      <c r="H1869">
        <v>13568.9782390552</v>
      </c>
      <c r="I1869">
        <v>107736.27</v>
      </c>
      <c r="J1869">
        <v>94167.29</v>
      </c>
      <c r="K1869" s="1"/>
      <c r="L1869" s="1"/>
      <c r="M1869" s="1"/>
      <c r="N1869" s="1"/>
    </row>
    <row r="1870" ht="15.75" customHeight="1">
      <c r="A1870" t="s">
        <v>53</v>
      </c>
      <c r="B1870" t="s">
        <v>54</v>
      </c>
      <c r="C1870" t="s">
        <v>4907</v>
      </c>
      <c r="D1870" t="s">
        <v>1949</v>
      </c>
      <c r="E1870">
        <v>69487.6132042414</v>
      </c>
      <c r="F1870">
        <v>23040.0868079358</v>
      </c>
      <c r="G1870">
        <v>15231.7430150146</v>
      </c>
      <c r="H1870">
        <v>13572.3757897425</v>
      </c>
      <c r="I1870">
        <v>107759.44</v>
      </c>
      <c r="J1870">
        <v>94187.06</v>
      </c>
      <c r="K1870" s="1"/>
      <c r="L1870" s="1"/>
      <c r="M1870" s="1"/>
      <c r="N1870" s="1"/>
    </row>
    <row r="1871" ht="15.75" customHeight="1">
      <c r="A1871" t="s">
        <v>13</v>
      </c>
      <c r="B1871" t="s">
        <v>26</v>
      </c>
      <c r="C1871" t="s">
        <v>4908</v>
      </c>
      <c r="D1871" t="s">
        <v>1950</v>
      </c>
      <c r="E1871">
        <v>69498.4961741476</v>
      </c>
      <c r="F1871">
        <v>23044.7015262632</v>
      </c>
      <c r="G1871">
        <v>15239.4230184441</v>
      </c>
      <c r="H1871">
        <v>13575.7733404298</v>
      </c>
      <c r="I1871">
        <v>107782.62</v>
      </c>
      <c r="J1871">
        <v>94206.85</v>
      </c>
      <c r="K1871" s="1"/>
      <c r="L1871" s="1"/>
      <c r="M1871" s="1"/>
      <c r="N1871" s="1"/>
    </row>
    <row r="1872" ht="15.75" customHeight="1">
      <c r="A1872" t="s">
        <v>53</v>
      </c>
      <c r="B1872" t="s">
        <v>14</v>
      </c>
      <c r="C1872" t="s">
        <v>4911</v>
      </c>
      <c r="D1872" t="s">
        <v>1951</v>
      </c>
      <c r="E1872">
        <v>69509.3791440538</v>
      </c>
      <c r="F1872">
        <v>23049.3162445906</v>
      </c>
      <c r="G1872">
        <v>15247.1030218736</v>
      </c>
      <c r="H1872">
        <v>13579.170891117</v>
      </c>
      <c r="I1872">
        <v>107805.8</v>
      </c>
      <c r="J1872">
        <v>94226.63</v>
      </c>
      <c r="K1872" s="1"/>
      <c r="L1872" s="1"/>
      <c r="M1872" s="1"/>
      <c r="N1872" s="1"/>
    </row>
    <row r="1873" ht="15.75" customHeight="1">
      <c r="A1873" t="s">
        <v>29</v>
      </c>
      <c r="B1873" t="s">
        <v>26</v>
      </c>
      <c r="C1873" t="s">
        <v>4907</v>
      </c>
      <c r="D1873" t="s">
        <v>1952</v>
      </c>
      <c r="E1873">
        <v>69520.26211396</v>
      </c>
      <c r="F1873">
        <v>23053.930962918</v>
      </c>
      <c r="G1873">
        <v>15254.7830253031</v>
      </c>
      <c r="H1873">
        <v>13582.5684418043</v>
      </c>
      <c r="I1873">
        <v>107828.98</v>
      </c>
      <c r="J1873">
        <v>94246.41</v>
      </c>
      <c r="K1873" s="1"/>
      <c r="L1873" s="1"/>
      <c r="M1873" s="1"/>
      <c r="N1873" s="1"/>
    </row>
    <row r="1874" ht="15.75" customHeight="1">
      <c r="A1874" t="s">
        <v>25</v>
      </c>
      <c r="B1874" t="s">
        <v>14</v>
      </c>
      <c r="C1874" t="s">
        <v>4915</v>
      </c>
      <c r="D1874" t="s">
        <v>1953</v>
      </c>
      <c r="E1874">
        <v>69531.1450838662</v>
      </c>
      <c r="F1874">
        <v>23058.5456812455</v>
      </c>
      <c r="G1874">
        <v>15262.4630287326</v>
      </c>
      <c r="H1874">
        <v>13585.9659924916</v>
      </c>
      <c r="I1874">
        <v>107852.15</v>
      </c>
      <c r="J1874">
        <v>94266.18</v>
      </c>
      <c r="K1874" s="1"/>
      <c r="L1874" s="1"/>
      <c r="M1874" s="1"/>
      <c r="N1874" s="1"/>
    </row>
    <row r="1875" ht="15.75" customHeight="1">
      <c r="A1875" t="s">
        <v>29</v>
      </c>
      <c r="B1875" t="s">
        <v>26</v>
      </c>
      <c r="C1875" t="s">
        <v>4905</v>
      </c>
      <c r="D1875" t="s">
        <v>1954</v>
      </c>
      <c r="E1875">
        <v>69542.0280537724</v>
      </c>
      <c r="F1875">
        <v>23063.1603995729</v>
      </c>
      <c r="G1875">
        <v>15270.1430321621</v>
      </c>
      <c r="H1875">
        <v>13589.3635431789</v>
      </c>
      <c r="I1875">
        <v>107875.33</v>
      </c>
      <c r="J1875">
        <v>94285.97</v>
      </c>
      <c r="K1875" s="1"/>
      <c r="L1875" s="1"/>
      <c r="M1875" s="1"/>
      <c r="N1875" s="1"/>
    </row>
    <row r="1876" ht="15.75" customHeight="1">
      <c r="A1876" t="s">
        <v>25</v>
      </c>
      <c r="B1876" t="s">
        <v>30</v>
      </c>
      <c r="C1876" t="s">
        <v>4917</v>
      </c>
      <c r="D1876" t="s">
        <v>1955</v>
      </c>
      <c r="E1876">
        <v>69552.9110236786</v>
      </c>
      <c r="F1876">
        <v>23067.7751179003</v>
      </c>
      <c r="G1876">
        <v>15277.8230355916</v>
      </c>
      <c r="H1876">
        <v>13592.7610938662</v>
      </c>
      <c r="I1876">
        <v>107898.51</v>
      </c>
      <c r="J1876">
        <v>94305.75</v>
      </c>
      <c r="K1876" s="1"/>
      <c r="L1876" s="1"/>
      <c r="M1876" s="1"/>
      <c r="N1876" s="1"/>
    </row>
    <row r="1877" ht="15.75" customHeight="1">
      <c r="A1877" t="s">
        <v>29</v>
      </c>
      <c r="B1877" t="s">
        <v>18</v>
      </c>
      <c r="C1877" t="s">
        <v>4914</v>
      </c>
      <c r="D1877" t="s">
        <v>1956</v>
      </c>
      <c r="E1877">
        <v>69563.7939935848</v>
      </c>
      <c r="F1877">
        <v>23072.3898362277</v>
      </c>
      <c r="G1877">
        <v>15285.5030390211</v>
      </c>
      <c r="H1877">
        <v>13596.1586445535</v>
      </c>
      <c r="I1877">
        <v>107921.69</v>
      </c>
      <c r="J1877">
        <v>94325.53</v>
      </c>
      <c r="K1877" s="1"/>
      <c r="L1877" s="1"/>
      <c r="M1877" s="1"/>
      <c r="N1877" s="1"/>
    </row>
    <row r="1878" ht="15.75" customHeight="1">
      <c r="A1878" t="s">
        <v>29</v>
      </c>
      <c r="B1878" t="s">
        <v>37</v>
      </c>
      <c r="C1878" t="s">
        <v>4916</v>
      </c>
      <c r="D1878" t="s">
        <v>1957</v>
      </c>
      <c r="E1878">
        <v>69574.676963491</v>
      </c>
      <c r="F1878">
        <v>23077.0045545552</v>
      </c>
      <c r="G1878">
        <v>15293.1830424506</v>
      </c>
      <c r="H1878">
        <v>13599.5561952408</v>
      </c>
      <c r="I1878">
        <v>107944.86</v>
      </c>
      <c r="J1878">
        <v>94345.3</v>
      </c>
      <c r="K1878" s="1"/>
      <c r="L1878" s="1"/>
      <c r="M1878" s="1"/>
      <c r="N1878" s="1"/>
    </row>
    <row r="1879" ht="15.75" customHeight="1">
      <c r="A1879" t="s">
        <v>25</v>
      </c>
      <c r="B1879" t="s">
        <v>30</v>
      </c>
      <c r="C1879" t="s">
        <v>4910</v>
      </c>
      <c r="D1879" t="s">
        <v>1958</v>
      </c>
      <c r="E1879">
        <v>69585.5599333972</v>
      </c>
      <c r="F1879">
        <v>23081.6192728826</v>
      </c>
      <c r="G1879">
        <v>15300.8630458801</v>
      </c>
      <c r="H1879">
        <v>13602.953745928</v>
      </c>
      <c r="I1879">
        <v>107968.04</v>
      </c>
      <c r="J1879">
        <v>94365.09</v>
      </c>
      <c r="K1879" s="1"/>
      <c r="L1879" s="1"/>
      <c r="M1879" s="1"/>
      <c r="N1879" s="1"/>
    </row>
    <row r="1880" ht="15.75" customHeight="1">
      <c r="A1880" t="s">
        <v>53</v>
      </c>
      <c r="B1880" t="s">
        <v>18</v>
      </c>
      <c r="C1880" t="s">
        <v>4905</v>
      </c>
      <c r="D1880" t="s">
        <v>1959</v>
      </c>
      <c r="E1880">
        <v>69596.4429033034</v>
      </c>
      <c r="F1880">
        <v>23086.23399121</v>
      </c>
      <c r="G1880">
        <v>15308.5430493096</v>
      </c>
      <c r="H1880">
        <v>13606.3512966153</v>
      </c>
      <c r="I1880">
        <v>107991.22</v>
      </c>
      <c r="J1880">
        <v>94384.87</v>
      </c>
      <c r="K1880" s="1"/>
      <c r="L1880" s="1"/>
      <c r="M1880" s="1"/>
      <c r="N1880" s="1"/>
    </row>
    <row r="1881" ht="15.75" customHeight="1">
      <c r="A1881" t="s">
        <v>36</v>
      </c>
      <c r="B1881" t="s">
        <v>30</v>
      </c>
      <c r="C1881" t="s">
        <v>4911</v>
      </c>
      <c r="D1881" t="s">
        <v>1960</v>
      </c>
      <c r="E1881">
        <v>69607.3258732096</v>
      </c>
      <c r="F1881">
        <v>23090.8487095374</v>
      </c>
      <c r="G1881">
        <v>15316.2230527391</v>
      </c>
      <c r="H1881">
        <v>13609.7488473026</v>
      </c>
      <c r="I1881">
        <v>108014.4</v>
      </c>
      <c r="J1881">
        <v>94404.65</v>
      </c>
      <c r="K1881" s="1"/>
      <c r="L1881" s="1"/>
      <c r="M1881" s="1"/>
      <c r="N1881" s="1"/>
    </row>
    <row r="1882" ht="15.75" customHeight="1">
      <c r="A1882" t="s">
        <v>53</v>
      </c>
      <c r="B1882" t="s">
        <v>14</v>
      </c>
      <c r="C1882" t="s">
        <v>4911</v>
      </c>
      <c r="D1882" t="s">
        <v>1961</v>
      </c>
      <c r="E1882">
        <v>69618.2088431158</v>
      </c>
      <c r="F1882">
        <v>23095.4634278648</v>
      </c>
      <c r="G1882">
        <v>15323.9030561686</v>
      </c>
      <c r="H1882">
        <v>13613.1463979899</v>
      </c>
      <c r="I1882">
        <v>108037.58</v>
      </c>
      <c r="J1882">
        <v>94424.43</v>
      </c>
      <c r="K1882" s="1"/>
      <c r="L1882" s="1"/>
      <c r="M1882" s="1"/>
      <c r="N1882" s="1"/>
    </row>
    <row r="1883" ht="15.75" customHeight="1">
      <c r="A1883" t="s">
        <v>51</v>
      </c>
      <c r="B1883" t="s">
        <v>37</v>
      </c>
      <c r="C1883" t="s">
        <v>4917</v>
      </c>
      <c r="D1883" t="s">
        <v>1962</v>
      </c>
      <c r="E1883">
        <v>69629.091813022</v>
      </c>
      <c r="F1883">
        <v>23100.0781461923</v>
      </c>
      <c r="G1883">
        <v>15331.5830595981</v>
      </c>
      <c r="H1883">
        <v>13616.5439486772</v>
      </c>
      <c r="I1883">
        <v>108060.75</v>
      </c>
      <c r="J1883">
        <v>94444.21</v>
      </c>
      <c r="K1883" s="1"/>
      <c r="L1883" s="1"/>
      <c r="M1883" s="1"/>
      <c r="N1883" s="1"/>
    </row>
    <row r="1884" ht="15.75" customHeight="1">
      <c r="A1884" t="s">
        <v>17</v>
      </c>
      <c r="B1884" t="s">
        <v>30</v>
      </c>
      <c r="C1884" t="s">
        <v>4912</v>
      </c>
      <c r="D1884" t="s">
        <v>1963</v>
      </c>
      <c r="E1884">
        <v>69639.9747829281</v>
      </c>
      <c r="F1884">
        <v>23104.6928645197</v>
      </c>
      <c r="G1884">
        <v>15339.2630630276</v>
      </c>
      <c r="H1884">
        <v>13619.9414993645</v>
      </c>
      <c r="I1884">
        <v>108083.93</v>
      </c>
      <c r="J1884">
        <v>94463.99</v>
      </c>
      <c r="K1884" s="1"/>
      <c r="L1884" s="1"/>
      <c r="M1884" s="1"/>
      <c r="N1884" s="1"/>
    </row>
    <row r="1885" ht="15.75" customHeight="1">
      <c r="A1885" t="s">
        <v>36</v>
      </c>
      <c r="B1885" t="s">
        <v>26</v>
      </c>
      <c r="C1885" t="s">
        <v>4909</v>
      </c>
      <c r="D1885" t="s">
        <v>1964</v>
      </c>
      <c r="E1885">
        <v>69661.7407227405</v>
      </c>
      <c r="F1885">
        <v>23113.9223011745</v>
      </c>
      <c r="G1885">
        <v>15354.6230698866</v>
      </c>
      <c r="H1885">
        <v>13626.7366007391</v>
      </c>
      <c r="I1885">
        <v>108130.29</v>
      </c>
      <c r="J1885">
        <v>94503.55</v>
      </c>
      <c r="K1885" s="1"/>
      <c r="L1885" s="1"/>
      <c r="M1885" s="1"/>
      <c r="N1885" s="1"/>
    </row>
    <row r="1886" ht="15.75" customHeight="1">
      <c r="A1886" t="s">
        <v>17</v>
      </c>
      <c r="B1886" t="s">
        <v>26</v>
      </c>
      <c r="C1886" t="s">
        <v>4910</v>
      </c>
      <c r="D1886" t="s">
        <v>1965</v>
      </c>
      <c r="E1886">
        <v>69672.6236926467</v>
      </c>
      <c r="F1886">
        <v>23118.537019502</v>
      </c>
      <c r="G1886">
        <v>15362.303073316</v>
      </c>
      <c r="H1886">
        <v>13630.1341514263</v>
      </c>
      <c r="I1886">
        <v>108153.46</v>
      </c>
      <c r="J1886">
        <v>94523.33</v>
      </c>
      <c r="K1886" s="1"/>
      <c r="L1886" s="1"/>
      <c r="M1886" s="1"/>
      <c r="N1886" s="1"/>
    </row>
    <row r="1887" ht="15.75" customHeight="1">
      <c r="A1887" t="s">
        <v>29</v>
      </c>
      <c r="B1887" t="s">
        <v>30</v>
      </c>
      <c r="C1887" t="s">
        <v>4917</v>
      </c>
      <c r="D1887" t="s">
        <v>1966</v>
      </c>
      <c r="E1887">
        <v>69683.5066625529</v>
      </c>
      <c r="F1887">
        <v>23123.1517378294</v>
      </c>
      <c r="G1887">
        <v>15369.9830767455</v>
      </c>
      <c r="H1887">
        <v>13633.5317021136</v>
      </c>
      <c r="I1887">
        <v>108176.64</v>
      </c>
      <c r="J1887">
        <v>94543.11</v>
      </c>
      <c r="K1887" s="1"/>
      <c r="L1887" s="1"/>
      <c r="M1887" s="1"/>
      <c r="N1887" s="1"/>
    </row>
    <row r="1888" ht="15.75" customHeight="1">
      <c r="A1888" t="s">
        <v>51</v>
      </c>
      <c r="B1888" t="s">
        <v>26</v>
      </c>
      <c r="C1888" t="s">
        <v>4916</v>
      </c>
      <c r="D1888" t="s">
        <v>1967</v>
      </c>
      <c r="E1888">
        <v>69694.3896324591</v>
      </c>
      <c r="F1888">
        <v>23127.7664561568</v>
      </c>
      <c r="G1888">
        <v>15377.663080175</v>
      </c>
      <c r="H1888">
        <v>13636.9292528009</v>
      </c>
      <c r="I1888">
        <v>108199.82</v>
      </c>
      <c r="J1888">
        <v>94562.89</v>
      </c>
      <c r="K1888" s="1"/>
      <c r="L1888" s="1"/>
      <c r="M1888" s="1"/>
      <c r="N1888" s="1"/>
    </row>
    <row r="1889" ht="15.75" customHeight="1">
      <c r="A1889" t="s">
        <v>17</v>
      </c>
      <c r="B1889" t="s">
        <v>14</v>
      </c>
      <c r="C1889" t="s">
        <v>4909</v>
      </c>
      <c r="D1889" t="s">
        <v>1968</v>
      </c>
      <c r="E1889">
        <v>69705.2726023653</v>
      </c>
      <c r="F1889">
        <v>23132.3811744842</v>
      </c>
      <c r="G1889">
        <v>15385.3430836045</v>
      </c>
      <c r="H1889">
        <v>13640.3268034882</v>
      </c>
      <c r="I1889">
        <v>108223.0</v>
      </c>
      <c r="J1889">
        <v>94582.67</v>
      </c>
      <c r="K1889" s="1"/>
      <c r="L1889" s="1"/>
      <c r="M1889" s="1"/>
      <c r="N1889" s="1"/>
    </row>
    <row r="1890" ht="15.75" customHeight="1">
      <c r="A1890" t="s">
        <v>53</v>
      </c>
      <c r="B1890" t="s">
        <v>30</v>
      </c>
      <c r="C1890" t="s">
        <v>4912</v>
      </c>
      <c r="D1890" t="s">
        <v>1969</v>
      </c>
      <c r="E1890">
        <v>69716.1555722715</v>
      </c>
      <c r="F1890">
        <v>23136.9958928116</v>
      </c>
      <c r="G1890">
        <v>15393.023087034</v>
      </c>
      <c r="H1890">
        <v>13643.7243541755</v>
      </c>
      <c r="I1890">
        <v>108246.17</v>
      </c>
      <c r="J1890">
        <v>94602.45</v>
      </c>
      <c r="K1890" s="1"/>
      <c r="L1890" s="1"/>
      <c r="M1890" s="1"/>
      <c r="N1890" s="1"/>
    </row>
    <row r="1891" ht="15.75" customHeight="1">
      <c r="A1891" t="s">
        <v>36</v>
      </c>
      <c r="B1891" t="s">
        <v>33</v>
      </c>
      <c r="C1891" t="s">
        <v>4917</v>
      </c>
      <c r="D1891" t="s">
        <v>1970</v>
      </c>
      <c r="E1891">
        <v>69727.0385421777</v>
      </c>
      <c r="F1891">
        <v>23141.6106111391</v>
      </c>
      <c r="G1891">
        <v>15400.7030904635</v>
      </c>
      <c r="H1891">
        <v>13647.1219048628</v>
      </c>
      <c r="I1891">
        <v>108269.35</v>
      </c>
      <c r="J1891">
        <v>94622.23</v>
      </c>
      <c r="K1891" s="1"/>
      <c r="L1891" s="1"/>
      <c r="M1891" s="1"/>
      <c r="N1891" s="1"/>
    </row>
    <row r="1892" ht="15.75" customHeight="1">
      <c r="A1892" t="s">
        <v>53</v>
      </c>
      <c r="B1892" t="s">
        <v>26</v>
      </c>
      <c r="C1892" t="s">
        <v>4915</v>
      </c>
      <c r="D1892" t="s">
        <v>1971</v>
      </c>
      <c r="E1892">
        <v>69737.9215120839</v>
      </c>
      <c r="F1892">
        <v>23146.2253294665</v>
      </c>
      <c r="G1892">
        <v>15408.383093893</v>
      </c>
      <c r="H1892">
        <v>13650.5194555501</v>
      </c>
      <c r="I1892">
        <v>108292.53</v>
      </c>
      <c r="J1892">
        <v>94642.01</v>
      </c>
      <c r="K1892" s="1"/>
      <c r="L1892" s="1"/>
      <c r="M1892" s="1"/>
      <c r="N1892" s="1"/>
    </row>
    <row r="1893" ht="15.75" customHeight="1">
      <c r="A1893" t="s">
        <v>51</v>
      </c>
      <c r="B1893" t="s">
        <v>33</v>
      </c>
      <c r="C1893" t="s">
        <v>4908</v>
      </c>
      <c r="D1893" t="s">
        <v>1972</v>
      </c>
      <c r="E1893">
        <v>69748.8044819901</v>
      </c>
      <c r="F1893">
        <v>23150.8400477939</v>
      </c>
      <c r="G1893">
        <v>15416.0630973225</v>
      </c>
      <c r="H1893">
        <v>13653.9170062374</v>
      </c>
      <c r="I1893">
        <v>108315.71</v>
      </c>
      <c r="J1893">
        <v>94661.79</v>
      </c>
      <c r="K1893" s="1"/>
      <c r="L1893" s="1"/>
      <c r="M1893" s="1"/>
      <c r="N1893" s="1"/>
    </row>
    <row r="1894" ht="15.75" customHeight="1">
      <c r="A1894" t="s">
        <v>53</v>
      </c>
      <c r="B1894" t="s">
        <v>14</v>
      </c>
      <c r="C1894" t="s">
        <v>4905</v>
      </c>
      <c r="D1894" t="s">
        <v>1973</v>
      </c>
      <c r="E1894">
        <v>69759.6874518963</v>
      </c>
      <c r="F1894">
        <v>23155.4547661213</v>
      </c>
      <c r="G1894">
        <v>15423.743100752</v>
      </c>
      <c r="H1894">
        <v>13657.3145569246</v>
      </c>
      <c r="I1894">
        <v>108338.89</v>
      </c>
      <c r="J1894">
        <v>94681.58</v>
      </c>
      <c r="K1894" s="1"/>
      <c r="L1894" s="1"/>
      <c r="M1894" s="1"/>
      <c r="N1894" s="1"/>
    </row>
    <row r="1895" ht="15.75" customHeight="1">
      <c r="A1895" t="s">
        <v>25</v>
      </c>
      <c r="B1895" t="s">
        <v>18</v>
      </c>
      <c r="C1895" t="s">
        <v>4917</v>
      </c>
      <c r="D1895" t="s">
        <v>1974</v>
      </c>
      <c r="E1895">
        <v>69770.5704218025</v>
      </c>
      <c r="F1895">
        <v>23160.0694844488</v>
      </c>
      <c r="G1895">
        <v>15431.4231041815</v>
      </c>
      <c r="H1895">
        <v>13660.7121076119</v>
      </c>
      <c r="I1895">
        <v>108362.06</v>
      </c>
      <c r="J1895">
        <v>94701.35</v>
      </c>
      <c r="K1895" s="1"/>
      <c r="L1895" s="1"/>
      <c r="M1895" s="1"/>
      <c r="N1895" s="1"/>
    </row>
    <row r="1896" ht="15.75" customHeight="1">
      <c r="A1896" t="s">
        <v>13</v>
      </c>
      <c r="B1896" t="s">
        <v>26</v>
      </c>
      <c r="C1896" t="s">
        <v>4907</v>
      </c>
      <c r="D1896" t="s">
        <v>1975</v>
      </c>
      <c r="E1896">
        <v>69781.4533917087</v>
      </c>
      <c r="F1896">
        <v>23164.6842027762</v>
      </c>
      <c r="G1896">
        <v>15439.103107611</v>
      </c>
      <c r="H1896">
        <v>13664.1096582992</v>
      </c>
      <c r="I1896">
        <v>108385.24</v>
      </c>
      <c r="J1896">
        <v>94721.13</v>
      </c>
      <c r="K1896" s="1"/>
      <c r="L1896" s="1"/>
      <c r="M1896" s="1"/>
      <c r="N1896" s="1"/>
    </row>
    <row r="1897" ht="15.75" customHeight="1">
      <c r="A1897" t="s">
        <v>51</v>
      </c>
      <c r="B1897" t="s">
        <v>14</v>
      </c>
      <c r="C1897" t="s">
        <v>4910</v>
      </c>
      <c r="D1897" t="s">
        <v>1976</v>
      </c>
      <c r="E1897">
        <v>69792.3363616149</v>
      </c>
      <c r="F1897">
        <v>23169.2989211036</v>
      </c>
      <c r="G1897">
        <v>15446.7831110405</v>
      </c>
      <c r="H1897">
        <v>13667.5072089865</v>
      </c>
      <c r="I1897">
        <v>108408.42</v>
      </c>
      <c r="J1897">
        <v>94740.91</v>
      </c>
      <c r="K1897" s="1"/>
      <c r="L1897" s="1"/>
      <c r="M1897" s="1"/>
      <c r="N1897" s="1"/>
    </row>
    <row r="1898" ht="15.75" customHeight="1">
      <c r="A1898" t="s">
        <v>51</v>
      </c>
      <c r="B1898" t="s">
        <v>26</v>
      </c>
      <c r="C1898" t="s">
        <v>4913</v>
      </c>
      <c r="D1898" t="s">
        <v>1977</v>
      </c>
      <c r="E1898">
        <v>69803.2193315211</v>
      </c>
      <c r="F1898">
        <v>23173.913639431</v>
      </c>
      <c r="G1898">
        <v>15454.46311447</v>
      </c>
      <c r="H1898">
        <v>13670.9047596738</v>
      </c>
      <c r="I1898">
        <v>108431.6</v>
      </c>
      <c r="J1898">
        <v>94760.7</v>
      </c>
      <c r="K1898" s="1"/>
      <c r="L1898" s="1"/>
      <c r="M1898" s="1"/>
      <c r="N1898" s="1"/>
    </row>
    <row r="1899" ht="15.75" customHeight="1">
      <c r="A1899" t="s">
        <v>36</v>
      </c>
      <c r="B1899" t="s">
        <v>54</v>
      </c>
      <c r="C1899" t="s">
        <v>4905</v>
      </c>
      <c r="D1899" t="s">
        <v>1978</v>
      </c>
      <c r="E1899">
        <v>69814.1023014272</v>
      </c>
      <c r="F1899">
        <v>23178.5283577584</v>
      </c>
      <c r="G1899">
        <v>15462.1431178995</v>
      </c>
      <c r="H1899">
        <v>13674.3023103611</v>
      </c>
      <c r="I1899">
        <v>108454.77</v>
      </c>
      <c r="J1899">
        <v>94780.47</v>
      </c>
      <c r="K1899" s="1"/>
      <c r="L1899" s="1"/>
      <c r="M1899" s="1"/>
      <c r="N1899" s="1"/>
    </row>
    <row r="1900" ht="15.75" customHeight="1">
      <c r="A1900" t="s">
        <v>13</v>
      </c>
      <c r="B1900" t="s">
        <v>14</v>
      </c>
      <c r="C1900" t="s">
        <v>4909</v>
      </c>
      <c r="D1900" t="s">
        <v>1979</v>
      </c>
      <c r="E1900">
        <v>69824.9852713334</v>
      </c>
      <c r="F1900">
        <v>23183.1430760859</v>
      </c>
      <c r="G1900">
        <v>15469.823121329</v>
      </c>
      <c r="H1900">
        <v>13677.6998610484</v>
      </c>
      <c r="I1900">
        <v>108477.95</v>
      </c>
      <c r="J1900">
        <v>94800.25</v>
      </c>
      <c r="K1900" s="1"/>
      <c r="L1900" s="1"/>
      <c r="M1900" s="1"/>
      <c r="N1900" s="1"/>
    </row>
    <row r="1901" ht="15.75" customHeight="1">
      <c r="A1901" t="s">
        <v>53</v>
      </c>
      <c r="B1901" t="s">
        <v>14</v>
      </c>
      <c r="C1901" t="s">
        <v>4914</v>
      </c>
      <c r="D1901" t="s">
        <v>1980</v>
      </c>
      <c r="E1901">
        <v>69835.8682412396</v>
      </c>
      <c r="F1901">
        <v>23187.7577944133</v>
      </c>
      <c r="G1901">
        <v>15477.5031247585</v>
      </c>
      <c r="H1901">
        <v>13681.0974117356</v>
      </c>
      <c r="I1901">
        <v>108501.13</v>
      </c>
      <c r="J1901">
        <v>94820.03</v>
      </c>
      <c r="K1901" s="1"/>
      <c r="L1901" s="1"/>
      <c r="M1901" s="1"/>
      <c r="N1901" s="1"/>
    </row>
    <row r="1902" ht="15.75" customHeight="1">
      <c r="A1902" t="s">
        <v>29</v>
      </c>
      <c r="B1902" t="s">
        <v>26</v>
      </c>
      <c r="C1902" t="s">
        <v>4908</v>
      </c>
      <c r="D1902" t="s">
        <v>1981</v>
      </c>
      <c r="E1902">
        <v>69846.7512111458</v>
      </c>
      <c r="F1902">
        <v>23192.3725127407</v>
      </c>
      <c r="G1902">
        <v>15485.183128188</v>
      </c>
      <c r="H1902">
        <v>13684.4949624229</v>
      </c>
      <c r="I1902">
        <v>108524.31</v>
      </c>
      <c r="J1902">
        <v>94839.82</v>
      </c>
      <c r="K1902" s="1"/>
      <c r="L1902" s="1"/>
      <c r="M1902" s="1"/>
      <c r="N1902" s="1"/>
    </row>
    <row r="1903" ht="15.75" customHeight="1">
      <c r="A1903" t="s">
        <v>51</v>
      </c>
      <c r="B1903" t="s">
        <v>18</v>
      </c>
      <c r="C1903" t="s">
        <v>4905</v>
      </c>
      <c r="D1903" t="s">
        <v>1982</v>
      </c>
      <c r="E1903">
        <v>69868.5171509582</v>
      </c>
      <c r="F1903">
        <v>23201.6019493956</v>
      </c>
      <c r="G1903">
        <v>15500.543135047</v>
      </c>
      <c r="H1903">
        <v>13691.2900637975</v>
      </c>
      <c r="I1903">
        <v>108570.66</v>
      </c>
      <c r="J1903">
        <v>94879.37</v>
      </c>
      <c r="K1903" s="1"/>
      <c r="L1903" s="1"/>
      <c r="M1903" s="1"/>
      <c r="N1903" s="1"/>
    </row>
    <row r="1904" ht="15.75" customHeight="1">
      <c r="A1904" t="s">
        <v>13</v>
      </c>
      <c r="B1904" t="s">
        <v>33</v>
      </c>
      <c r="C1904" t="s">
        <v>4909</v>
      </c>
      <c r="D1904" t="s">
        <v>1983</v>
      </c>
      <c r="E1904">
        <v>69890.2830907706</v>
      </c>
      <c r="F1904">
        <v>23210.8313860504</v>
      </c>
      <c r="G1904">
        <v>15515.903141906</v>
      </c>
      <c r="H1904">
        <v>13698.0851651721</v>
      </c>
      <c r="I1904">
        <v>108617.02</v>
      </c>
      <c r="J1904">
        <v>94918.93</v>
      </c>
      <c r="K1904" s="1"/>
      <c r="L1904" s="1"/>
      <c r="M1904" s="1"/>
      <c r="N1904" s="1"/>
    </row>
    <row r="1905" ht="15.75" customHeight="1">
      <c r="A1905" t="s">
        <v>17</v>
      </c>
      <c r="B1905" t="s">
        <v>14</v>
      </c>
      <c r="C1905" t="s">
        <v>4913</v>
      </c>
      <c r="D1905" t="s">
        <v>1984</v>
      </c>
      <c r="E1905">
        <v>69901.1660606768</v>
      </c>
      <c r="F1905">
        <v>23215.4461043778</v>
      </c>
      <c r="G1905">
        <v>15523.5831453355</v>
      </c>
      <c r="H1905">
        <v>13701.4827158594</v>
      </c>
      <c r="I1905">
        <v>108640.2</v>
      </c>
      <c r="J1905">
        <v>94938.72</v>
      </c>
      <c r="K1905" s="1"/>
      <c r="L1905" s="1"/>
      <c r="M1905" s="1"/>
      <c r="N1905" s="1"/>
    </row>
    <row r="1906" ht="15.75" customHeight="1">
      <c r="A1906" t="s">
        <v>29</v>
      </c>
      <c r="B1906" t="s">
        <v>30</v>
      </c>
      <c r="C1906" t="s">
        <v>4910</v>
      </c>
      <c r="D1906" t="s">
        <v>1985</v>
      </c>
      <c r="E1906">
        <v>69912.049030583</v>
      </c>
      <c r="F1906">
        <v>23220.0608227052</v>
      </c>
      <c r="G1906">
        <v>15531.263148765</v>
      </c>
      <c r="H1906">
        <v>14830.17958067168</v>
      </c>
      <c r="I1906">
        <v>108663.37</v>
      </c>
      <c r="J1906">
        <v>93833.19</v>
      </c>
      <c r="K1906" s="1"/>
      <c r="L1906" s="1"/>
      <c r="M1906" s="1"/>
      <c r="N1906" s="1"/>
    </row>
    <row r="1907" ht="15.75" customHeight="1">
      <c r="A1907" t="s">
        <v>13</v>
      </c>
      <c r="B1907" t="s">
        <v>26</v>
      </c>
      <c r="C1907" t="s">
        <v>4915</v>
      </c>
      <c r="D1907" t="s">
        <v>1986</v>
      </c>
      <c r="E1907">
        <v>69922.9320004892</v>
      </c>
      <c r="F1907">
        <v>23224.6755410327</v>
      </c>
      <c r="G1907">
        <v>15538.9431521945</v>
      </c>
      <c r="H1907">
        <v>13708.2778172339</v>
      </c>
      <c r="I1907">
        <v>108686.55</v>
      </c>
      <c r="J1907">
        <v>94978.27</v>
      </c>
      <c r="K1907" s="1"/>
      <c r="L1907" s="1"/>
      <c r="M1907" s="1"/>
      <c r="N1907" s="1"/>
    </row>
    <row r="1908" ht="15.75" customHeight="1">
      <c r="A1908" t="s">
        <v>51</v>
      </c>
      <c r="B1908" t="s">
        <v>14</v>
      </c>
      <c r="C1908" t="s">
        <v>4909</v>
      </c>
      <c r="D1908" t="s">
        <v>1987</v>
      </c>
      <c r="E1908">
        <v>69933.8149703954</v>
      </c>
      <c r="F1908">
        <v>23229.2902593601</v>
      </c>
      <c r="G1908">
        <v>15546.623155624</v>
      </c>
      <c r="H1908">
        <v>13711.6753679212</v>
      </c>
      <c r="I1908">
        <v>108709.73</v>
      </c>
      <c r="J1908">
        <v>94998.05</v>
      </c>
      <c r="K1908" s="1"/>
      <c r="L1908" s="1"/>
      <c r="M1908" s="1"/>
      <c r="N1908" s="1"/>
    </row>
    <row r="1909" ht="15.75" customHeight="1">
      <c r="A1909" t="s">
        <v>36</v>
      </c>
      <c r="B1909" t="s">
        <v>18</v>
      </c>
      <c r="C1909" t="s">
        <v>4917</v>
      </c>
      <c r="D1909" t="s">
        <v>1988</v>
      </c>
      <c r="E1909">
        <v>69944.6979403016</v>
      </c>
      <c r="F1909">
        <v>23233.9049776875</v>
      </c>
      <c r="G1909">
        <v>15554.3031590535</v>
      </c>
      <c r="H1909">
        <v>13715.0729186085</v>
      </c>
      <c r="I1909">
        <v>108732.91</v>
      </c>
      <c r="J1909">
        <v>95017.84</v>
      </c>
      <c r="K1909" s="1"/>
      <c r="L1909" s="1"/>
      <c r="M1909" s="1"/>
      <c r="N1909" s="1"/>
    </row>
    <row r="1910" ht="15.75" customHeight="1">
      <c r="A1910" t="s">
        <v>51</v>
      </c>
      <c r="B1910" t="s">
        <v>18</v>
      </c>
      <c r="C1910" t="s">
        <v>4912</v>
      </c>
      <c r="D1910" t="s">
        <v>1989</v>
      </c>
      <c r="E1910">
        <v>69955.5809102078</v>
      </c>
      <c r="F1910">
        <v>23238.5196960149</v>
      </c>
      <c r="G1910">
        <v>15561.983162483</v>
      </c>
      <c r="H1910">
        <v>13718.4704692958</v>
      </c>
      <c r="I1910">
        <v>108756.08</v>
      </c>
      <c r="J1910">
        <v>95037.61</v>
      </c>
      <c r="K1910" s="1"/>
      <c r="L1910" s="1"/>
      <c r="M1910" s="1"/>
      <c r="N1910" s="1"/>
    </row>
    <row r="1911" ht="15.75" customHeight="1">
      <c r="A1911" t="s">
        <v>13</v>
      </c>
      <c r="B1911" t="s">
        <v>30</v>
      </c>
      <c r="C1911" t="s">
        <v>4911</v>
      </c>
      <c r="D1911" t="s">
        <v>1990</v>
      </c>
      <c r="E1911">
        <v>69966.4638801139</v>
      </c>
      <c r="F1911">
        <v>23243.1344143424</v>
      </c>
      <c r="G1911">
        <v>15569.6631659125</v>
      </c>
      <c r="H1911">
        <v>13721.8680199831</v>
      </c>
      <c r="I1911">
        <v>108779.26</v>
      </c>
      <c r="J1911">
        <v>95057.39</v>
      </c>
      <c r="K1911" s="1"/>
      <c r="L1911" s="1"/>
      <c r="M1911" s="1"/>
      <c r="N1911" s="1"/>
    </row>
    <row r="1912" ht="15.75" customHeight="1">
      <c r="A1912" t="s">
        <v>36</v>
      </c>
      <c r="B1912" t="s">
        <v>54</v>
      </c>
      <c r="C1912" t="s">
        <v>4907</v>
      </c>
      <c r="D1912" t="s">
        <v>1991</v>
      </c>
      <c r="E1912">
        <v>69977.3468500201</v>
      </c>
      <c r="F1912">
        <v>23247.7491326698</v>
      </c>
      <c r="G1912">
        <v>15577.343169342</v>
      </c>
      <c r="H1912">
        <v>13725.2655706704</v>
      </c>
      <c r="I1912">
        <v>108802.44</v>
      </c>
      <c r="J1912">
        <v>95077.17</v>
      </c>
      <c r="K1912" s="1"/>
      <c r="L1912" s="1"/>
      <c r="M1912" s="1"/>
      <c r="N1912" s="1"/>
    </row>
    <row r="1913" ht="15.75" customHeight="1">
      <c r="A1913" t="s">
        <v>53</v>
      </c>
      <c r="B1913" t="s">
        <v>37</v>
      </c>
      <c r="C1913" t="s">
        <v>4910</v>
      </c>
      <c r="D1913" t="s">
        <v>1992</v>
      </c>
      <c r="E1913">
        <v>69988.2298199263</v>
      </c>
      <c r="F1913">
        <v>23252.3638509972</v>
      </c>
      <c r="G1913">
        <v>15585.0231727715</v>
      </c>
      <c r="H1913">
        <v>13728.6631213577</v>
      </c>
      <c r="I1913">
        <v>108825.62</v>
      </c>
      <c r="J1913">
        <v>95096.96</v>
      </c>
      <c r="K1913" s="1"/>
      <c r="L1913" s="1"/>
      <c r="M1913" s="1"/>
      <c r="N1913" s="1"/>
    </row>
    <row r="1914" ht="15.75" customHeight="1">
      <c r="A1914" t="s">
        <v>25</v>
      </c>
      <c r="B1914" t="s">
        <v>33</v>
      </c>
      <c r="C1914" t="s">
        <v>4917</v>
      </c>
      <c r="D1914" t="s">
        <v>1993</v>
      </c>
      <c r="E1914">
        <v>70009.9957597387</v>
      </c>
      <c r="F1914">
        <v>23261.593287652</v>
      </c>
      <c r="G1914">
        <v>15600.3831796305</v>
      </c>
      <c r="H1914">
        <v>13735.4582227322</v>
      </c>
      <c r="I1914">
        <v>108871.97</v>
      </c>
      <c r="J1914">
        <v>95136.51</v>
      </c>
      <c r="K1914" s="1"/>
      <c r="L1914" s="1"/>
      <c r="M1914" s="1"/>
      <c r="N1914" s="1"/>
    </row>
    <row r="1915" ht="15.75" customHeight="1">
      <c r="A1915" t="s">
        <v>36</v>
      </c>
      <c r="B1915" t="s">
        <v>33</v>
      </c>
      <c r="C1915" t="s">
        <v>4915</v>
      </c>
      <c r="D1915" t="s">
        <v>1994</v>
      </c>
      <c r="E1915">
        <v>70020.8787296449</v>
      </c>
      <c r="F1915">
        <v>23266.2080059795</v>
      </c>
      <c r="G1915">
        <v>15608.06318306</v>
      </c>
      <c r="H1915">
        <v>13738.8557734195</v>
      </c>
      <c r="I1915">
        <v>108895.15</v>
      </c>
      <c r="J1915">
        <v>95156.29</v>
      </c>
      <c r="K1915" s="1"/>
      <c r="L1915" s="1"/>
      <c r="M1915" s="1"/>
      <c r="N1915" s="1"/>
    </row>
    <row r="1916" ht="15.75" customHeight="1">
      <c r="A1916" t="s">
        <v>53</v>
      </c>
      <c r="B1916" t="s">
        <v>14</v>
      </c>
      <c r="C1916" t="s">
        <v>4907</v>
      </c>
      <c r="D1916" t="s">
        <v>1995</v>
      </c>
      <c r="E1916">
        <v>70031.7616995511</v>
      </c>
      <c r="F1916">
        <v>23270.8227243069</v>
      </c>
      <c r="G1916">
        <v>15615.7431864895</v>
      </c>
      <c r="H1916">
        <v>13742.2533241068</v>
      </c>
      <c r="I1916">
        <v>108918.33</v>
      </c>
      <c r="J1916">
        <v>95176.08</v>
      </c>
      <c r="K1916" s="1"/>
      <c r="L1916" s="1"/>
      <c r="M1916" s="1"/>
      <c r="N1916" s="1"/>
    </row>
    <row r="1917" ht="15.75" customHeight="1">
      <c r="A1917" t="s">
        <v>51</v>
      </c>
      <c r="B1917" t="s">
        <v>33</v>
      </c>
      <c r="C1917" t="s">
        <v>4916</v>
      </c>
      <c r="D1917" t="s">
        <v>1996</v>
      </c>
      <c r="E1917">
        <v>70042.6446694573</v>
      </c>
      <c r="F1917">
        <v>23275.4374426343</v>
      </c>
      <c r="G1917">
        <v>15623.423189919</v>
      </c>
      <c r="H1917">
        <v>13745.6508747941</v>
      </c>
      <c r="I1917">
        <v>108941.51</v>
      </c>
      <c r="J1917">
        <v>95195.86</v>
      </c>
      <c r="K1917" s="1"/>
      <c r="L1917" s="1"/>
      <c r="M1917" s="1"/>
      <c r="N1917" s="1"/>
    </row>
    <row r="1918" ht="15.75" customHeight="1">
      <c r="A1918" t="s">
        <v>36</v>
      </c>
      <c r="B1918" t="s">
        <v>37</v>
      </c>
      <c r="C1918" t="s">
        <v>4914</v>
      </c>
      <c r="D1918" t="s">
        <v>1997</v>
      </c>
      <c r="E1918">
        <v>70053.5276393635</v>
      </c>
      <c r="F1918">
        <v>23280.0521609617</v>
      </c>
      <c r="G1918">
        <v>15631.1031933485</v>
      </c>
      <c r="H1918">
        <v>13749.0484254814</v>
      </c>
      <c r="I1918">
        <v>108964.68</v>
      </c>
      <c r="J1918">
        <v>95215.63</v>
      </c>
      <c r="K1918" s="1"/>
      <c r="L1918" s="1"/>
      <c r="M1918" s="1"/>
      <c r="N1918" s="1"/>
    </row>
    <row r="1919" ht="15.75" customHeight="1">
      <c r="A1919" t="s">
        <v>51</v>
      </c>
      <c r="B1919" t="s">
        <v>14</v>
      </c>
      <c r="C1919" t="s">
        <v>4916</v>
      </c>
      <c r="D1919" t="s">
        <v>1998</v>
      </c>
      <c r="E1919">
        <v>70064.4106092697</v>
      </c>
      <c r="F1919">
        <v>23284.6668792892</v>
      </c>
      <c r="G1919">
        <v>15638.783196778</v>
      </c>
      <c r="H1919">
        <v>13752.4459761687</v>
      </c>
      <c r="I1919">
        <v>108987.86</v>
      </c>
      <c r="J1919">
        <v>95235.41</v>
      </c>
      <c r="K1919" s="1"/>
      <c r="L1919" s="1"/>
      <c r="M1919" s="1"/>
      <c r="N1919" s="1"/>
    </row>
    <row r="1920" ht="15.75" customHeight="1">
      <c r="A1920" t="s">
        <v>13</v>
      </c>
      <c r="B1920" t="s">
        <v>26</v>
      </c>
      <c r="C1920" t="s">
        <v>4913</v>
      </c>
      <c r="D1920" t="s">
        <v>1999</v>
      </c>
      <c r="E1920">
        <v>70075.2935791759</v>
      </c>
      <c r="F1920">
        <v>23289.2815976166</v>
      </c>
      <c r="G1920">
        <v>15646.4632002074</v>
      </c>
      <c r="H1920">
        <v>13755.843526856</v>
      </c>
      <c r="I1920">
        <v>109011.04</v>
      </c>
      <c r="J1920">
        <v>95255.2</v>
      </c>
      <c r="K1920" s="1"/>
      <c r="L1920" s="1"/>
      <c r="M1920" s="1"/>
      <c r="N1920" s="1"/>
    </row>
    <row r="1921" ht="15.75" customHeight="1">
      <c r="A1921" t="s">
        <v>13</v>
      </c>
      <c r="B1921" t="s">
        <v>26</v>
      </c>
      <c r="C1921" t="s">
        <v>4916</v>
      </c>
      <c r="D1921" t="s">
        <v>2000</v>
      </c>
      <c r="E1921">
        <v>70086.1765490821</v>
      </c>
      <c r="F1921">
        <v>23293.896315944</v>
      </c>
      <c r="G1921">
        <v>15654.1432036369</v>
      </c>
      <c r="H1921">
        <v>13759.2410775432</v>
      </c>
      <c r="I1921">
        <v>109034.22</v>
      </c>
      <c r="J1921">
        <v>95274.98</v>
      </c>
      <c r="K1921" s="1"/>
      <c r="L1921" s="1"/>
      <c r="M1921" s="1"/>
      <c r="N1921" s="1"/>
    </row>
    <row r="1922" ht="15.75" customHeight="1">
      <c r="A1922" t="s">
        <v>29</v>
      </c>
      <c r="B1922" t="s">
        <v>37</v>
      </c>
      <c r="C1922" t="s">
        <v>4916</v>
      </c>
      <c r="D1922" t="s">
        <v>2001</v>
      </c>
      <c r="E1922">
        <v>70097.0595189883</v>
      </c>
      <c r="F1922">
        <v>23298.5110342714</v>
      </c>
      <c r="G1922">
        <v>15661.8232070664</v>
      </c>
      <c r="H1922">
        <v>13762.6386282305</v>
      </c>
      <c r="I1922">
        <v>109057.39</v>
      </c>
      <c r="J1922">
        <v>95294.75</v>
      </c>
      <c r="K1922" s="1"/>
      <c r="L1922" s="1"/>
      <c r="M1922" s="1"/>
      <c r="N1922" s="1"/>
    </row>
    <row r="1923" ht="15.75" customHeight="1">
      <c r="A1923" t="s">
        <v>13</v>
      </c>
      <c r="B1923" t="s">
        <v>30</v>
      </c>
      <c r="C1923" t="s">
        <v>4912</v>
      </c>
      <c r="D1923" t="s">
        <v>2002</v>
      </c>
      <c r="E1923">
        <v>71656.69906138915</v>
      </c>
      <c r="F1923">
        <v>23303.1257525988</v>
      </c>
      <c r="G1923">
        <v>15669.5032104959</v>
      </c>
      <c r="H1923">
        <v>13766.0361789178</v>
      </c>
      <c r="I1923">
        <v>110629.33</v>
      </c>
      <c r="J1923">
        <v>96863.29</v>
      </c>
      <c r="K1923" s="1"/>
      <c r="L1923" s="1"/>
      <c r="M1923" s="1"/>
      <c r="N1923" s="1"/>
    </row>
    <row r="1924" ht="15.75" customHeight="1">
      <c r="A1924" t="s">
        <v>53</v>
      </c>
      <c r="B1924" t="s">
        <v>18</v>
      </c>
      <c r="C1924" t="s">
        <v>4908</v>
      </c>
      <c r="D1924" t="s">
        <v>2003</v>
      </c>
      <c r="E1924">
        <v>70118.8254588007</v>
      </c>
      <c r="F1924">
        <v>23307.7404709263</v>
      </c>
      <c r="G1924">
        <v>15677.1832139254</v>
      </c>
      <c r="H1924">
        <v>13769.4337296051</v>
      </c>
      <c r="I1924">
        <v>109103.75</v>
      </c>
      <c r="J1924">
        <v>95334.32</v>
      </c>
      <c r="K1924" s="1"/>
      <c r="L1924" s="1"/>
      <c r="M1924" s="1"/>
      <c r="N1924" s="1"/>
    </row>
    <row r="1925" ht="15.75" customHeight="1">
      <c r="A1925" t="s">
        <v>17</v>
      </c>
      <c r="B1925" t="s">
        <v>30</v>
      </c>
      <c r="C1925" t="s">
        <v>4914</v>
      </c>
      <c r="D1925" t="s">
        <v>2004</v>
      </c>
      <c r="E1925">
        <v>70129.7084287069</v>
      </c>
      <c r="F1925">
        <v>23312.3551892537</v>
      </c>
      <c r="G1925">
        <v>15684.8632173549</v>
      </c>
      <c r="H1925">
        <v>13772.8312802924</v>
      </c>
      <c r="I1925">
        <v>109126.93</v>
      </c>
      <c r="J1925">
        <v>95354.1</v>
      </c>
      <c r="K1925" s="1"/>
      <c r="L1925" s="1"/>
      <c r="M1925" s="1"/>
      <c r="N1925" s="1"/>
    </row>
    <row r="1926" ht="15.75" customHeight="1">
      <c r="A1926" t="s">
        <v>17</v>
      </c>
      <c r="B1926" t="s">
        <v>18</v>
      </c>
      <c r="C1926" t="s">
        <v>4915</v>
      </c>
      <c r="D1926" t="s">
        <v>2005</v>
      </c>
      <c r="E1926">
        <v>70140.591398613</v>
      </c>
      <c r="F1926">
        <v>23316.9699075811</v>
      </c>
      <c r="G1926">
        <v>15692.5432207844</v>
      </c>
      <c r="H1926">
        <v>13776.2288309797</v>
      </c>
      <c r="I1926">
        <v>109150.1</v>
      </c>
      <c r="J1926">
        <v>95373.87</v>
      </c>
      <c r="K1926" s="1"/>
      <c r="L1926" s="1"/>
      <c r="M1926" s="1"/>
      <c r="N1926" s="1"/>
    </row>
    <row r="1927" ht="15.75" customHeight="1">
      <c r="A1927" t="s">
        <v>36</v>
      </c>
      <c r="B1927" t="s">
        <v>14</v>
      </c>
      <c r="C1927" t="s">
        <v>4916</v>
      </c>
      <c r="D1927" t="s">
        <v>2006</v>
      </c>
      <c r="E1927">
        <v>70151.4743685192</v>
      </c>
      <c r="F1927">
        <v>23321.5846259085</v>
      </c>
      <c r="G1927">
        <v>15700.2232242139</v>
      </c>
      <c r="H1927">
        <v>13779.626381667</v>
      </c>
      <c r="I1927">
        <v>109173.28</v>
      </c>
      <c r="J1927">
        <v>95393.65</v>
      </c>
      <c r="K1927" s="1"/>
      <c r="L1927" s="1"/>
      <c r="M1927" s="1"/>
      <c r="N1927" s="1"/>
    </row>
    <row r="1928" ht="15.75" customHeight="1">
      <c r="A1928" t="s">
        <v>13</v>
      </c>
      <c r="B1928" t="s">
        <v>26</v>
      </c>
      <c r="C1928" t="s">
        <v>4909</v>
      </c>
      <c r="D1928" t="s">
        <v>2007</v>
      </c>
      <c r="E1928">
        <v>70162.3573384254</v>
      </c>
      <c r="F1928">
        <v>23326.199344236</v>
      </c>
      <c r="G1928">
        <v>15707.9032276434</v>
      </c>
      <c r="H1928">
        <v>13783.0239323543</v>
      </c>
      <c r="I1928">
        <v>109196.46</v>
      </c>
      <c r="J1928">
        <v>95413.44</v>
      </c>
      <c r="K1928" s="1"/>
      <c r="L1928" s="1"/>
      <c r="M1928" s="1"/>
      <c r="N1928" s="1"/>
    </row>
    <row r="1929" ht="15.75" customHeight="1">
      <c r="A1929" t="s">
        <v>51</v>
      </c>
      <c r="B1929" t="s">
        <v>54</v>
      </c>
      <c r="C1929" t="s">
        <v>4912</v>
      </c>
      <c r="D1929" t="s">
        <v>2008</v>
      </c>
      <c r="E1929">
        <v>70173.2403083316</v>
      </c>
      <c r="F1929">
        <v>23330.8140625634</v>
      </c>
      <c r="G1929">
        <v>15715.5832310729</v>
      </c>
      <c r="H1929">
        <v>13786.4214830415</v>
      </c>
      <c r="I1929">
        <v>109219.64</v>
      </c>
      <c r="J1929">
        <v>95433.22</v>
      </c>
      <c r="K1929" s="1"/>
      <c r="L1929" s="1"/>
      <c r="M1929" s="1"/>
      <c r="N1929" s="1"/>
    </row>
    <row r="1930" ht="15.75" customHeight="1">
      <c r="A1930" t="s">
        <v>53</v>
      </c>
      <c r="B1930" t="s">
        <v>33</v>
      </c>
      <c r="C1930" t="s">
        <v>4907</v>
      </c>
      <c r="D1930" t="s">
        <v>2009</v>
      </c>
      <c r="E1930">
        <v>70184.1232782378</v>
      </c>
      <c r="F1930">
        <v>23335.4287808908</v>
      </c>
      <c r="G1930">
        <v>15723.2632345024</v>
      </c>
      <c r="H1930">
        <v>13789.8190337288</v>
      </c>
      <c r="I1930">
        <v>109242.82</v>
      </c>
      <c r="J1930">
        <v>95453.0</v>
      </c>
      <c r="K1930" s="1"/>
      <c r="L1930" s="1"/>
      <c r="M1930" s="1"/>
      <c r="N1930" s="1"/>
    </row>
    <row r="1931" ht="15.75" customHeight="1">
      <c r="A1931" t="s">
        <v>25</v>
      </c>
      <c r="B1931" t="s">
        <v>26</v>
      </c>
      <c r="C1931" t="s">
        <v>4910</v>
      </c>
      <c r="D1931" t="s">
        <v>2010</v>
      </c>
      <c r="E1931">
        <v>70195.006248144</v>
      </c>
      <c r="F1931">
        <v>23340.0434992182</v>
      </c>
      <c r="G1931">
        <v>15730.9432379319</v>
      </c>
      <c r="H1931">
        <v>13793.2165844161</v>
      </c>
      <c r="I1931">
        <v>109265.99</v>
      </c>
      <c r="J1931">
        <v>95472.77</v>
      </c>
      <c r="K1931" s="1"/>
      <c r="L1931" s="1"/>
      <c r="M1931" s="1"/>
      <c r="N1931" s="1"/>
    </row>
    <row r="1932" ht="15.75" customHeight="1">
      <c r="A1932" t="s">
        <v>53</v>
      </c>
      <c r="B1932" t="s">
        <v>30</v>
      </c>
      <c r="C1932" t="s">
        <v>4909</v>
      </c>
      <c r="D1932" t="s">
        <v>2011</v>
      </c>
      <c r="E1932">
        <v>70205.8892180502</v>
      </c>
      <c r="F1932">
        <v>23344.6582175456</v>
      </c>
      <c r="G1932">
        <v>15738.6232413614</v>
      </c>
      <c r="H1932">
        <v>13796.6141351034</v>
      </c>
      <c r="I1932">
        <v>109289.17</v>
      </c>
      <c r="J1932">
        <v>95492.56</v>
      </c>
      <c r="K1932" s="1"/>
      <c r="L1932" s="1"/>
      <c r="M1932" s="1"/>
      <c r="N1932" s="1"/>
    </row>
    <row r="1933" ht="15.75" customHeight="1">
      <c r="A1933" t="s">
        <v>51</v>
      </c>
      <c r="B1933" t="s">
        <v>30</v>
      </c>
      <c r="C1933" t="s">
        <v>4917</v>
      </c>
      <c r="D1933" t="s">
        <v>2012</v>
      </c>
      <c r="E1933">
        <v>70216.7721879564</v>
      </c>
      <c r="F1933">
        <v>23349.2729358731</v>
      </c>
      <c r="G1933">
        <v>15746.3032447909</v>
      </c>
      <c r="H1933">
        <v>13800.0116857907</v>
      </c>
      <c r="I1933">
        <v>109312.35</v>
      </c>
      <c r="J1933">
        <v>95512.34</v>
      </c>
      <c r="K1933" s="1"/>
      <c r="L1933" s="1"/>
      <c r="M1933" s="1"/>
      <c r="N1933" s="1"/>
    </row>
    <row r="1934" ht="15.75" customHeight="1">
      <c r="A1934" t="s">
        <v>13</v>
      </c>
      <c r="B1934" t="s">
        <v>30</v>
      </c>
      <c r="C1934" t="s">
        <v>4907</v>
      </c>
      <c r="D1934" t="s">
        <v>2013</v>
      </c>
      <c r="E1934">
        <v>70227.6551578626</v>
      </c>
      <c r="F1934">
        <v>23353.8876542005</v>
      </c>
      <c r="G1934">
        <v>15753.9832482204</v>
      </c>
      <c r="H1934">
        <v>13803.409236478</v>
      </c>
      <c r="I1934">
        <v>109335.53</v>
      </c>
      <c r="J1934">
        <v>95532.12</v>
      </c>
      <c r="K1934" s="1"/>
      <c r="L1934" s="1"/>
      <c r="M1934" s="1"/>
      <c r="N1934" s="1"/>
    </row>
    <row r="1935" ht="15.75" customHeight="1">
      <c r="A1935" t="s">
        <v>36</v>
      </c>
      <c r="B1935" t="s">
        <v>54</v>
      </c>
      <c r="C1935" t="s">
        <v>4915</v>
      </c>
      <c r="D1935" t="s">
        <v>2014</v>
      </c>
      <c r="E1935">
        <v>70238.5381277688</v>
      </c>
      <c r="F1935">
        <v>23358.5023725279</v>
      </c>
      <c r="G1935">
        <v>15761.6632516499</v>
      </c>
      <c r="H1935">
        <v>13806.8067871653</v>
      </c>
      <c r="I1935">
        <v>109358.7</v>
      </c>
      <c r="J1935">
        <v>95551.89</v>
      </c>
      <c r="K1935" s="1"/>
      <c r="L1935" s="1"/>
      <c r="M1935" s="1"/>
      <c r="N1935" s="1"/>
    </row>
    <row r="1936" ht="15.75" customHeight="1">
      <c r="A1936" t="s">
        <v>51</v>
      </c>
      <c r="B1936" t="s">
        <v>14</v>
      </c>
      <c r="C1936" t="s">
        <v>4915</v>
      </c>
      <c r="D1936" t="s">
        <v>2015</v>
      </c>
      <c r="E1936">
        <v>70249.421097675</v>
      </c>
      <c r="F1936">
        <v>23363.1170908553</v>
      </c>
      <c r="G1936">
        <v>15769.3432550794</v>
      </c>
      <c r="H1936">
        <v>13810.2043378526</v>
      </c>
      <c r="I1936">
        <v>109381.88</v>
      </c>
      <c r="J1936">
        <v>95571.68</v>
      </c>
      <c r="K1936" s="1"/>
      <c r="L1936" s="1"/>
      <c r="M1936" s="1"/>
      <c r="N1936" s="1"/>
    </row>
    <row r="1937" ht="15.75" customHeight="1">
      <c r="A1937" t="s">
        <v>17</v>
      </c>
      <c r="B1937" t="s">
        <v>37</v>
      </c>
      <c r="C1937" t="s">
        <v>4905</v>
      </c>
      <c r="D1937" t="s">
        <v>2016</v>
      </c>
      <c r="E1937">
        <v>70260.3040675812</v>
      </c>
      <c r="F1937">
        <v>23367.7318091828</v>
      </c>
      <c r="G1937">
        <v>15777.0232585089</v>
      </c>
      <c r="H1937">
        <v>13813.6018885398</v>
      </c>
      <c r="I1937">
        <v>109405.06</v>
      </c>
      <c r="J1937">
        <v>95591.46</v>
      </c>
      <c r="K1937" s="1"/>
      <c r="L1937" s="1"/>
      <c r="M1937" s="1"/>
      <c r="N1937" s="1"/>
    </row>
    <row r="1938" ht="15.75" customHeight="1">
      <c r="A1938" t="s">
        <v>36</v>
      </c>
      <c r="B1938" t="s">
        <v>37</v>
      </c>
      <c r="C1938" t="s">
        <v>4914</v>
      </c>
      <c r="D1938" t="s">
        <v>2017</v>
      </c>
      <c r="E1938">
        <v>70271.1870374874</v>
      </c>
      <c r="F1938">
        <v>23372.3465275102</v>
      </c>
      <c r="G1938">
        <v>15784.7032619384</v>
      </c>
      <c r="H1938">
        <v>13816.9994392271</v>
      </c>
      <c r="I1938">
        <v>109428.24</v>
      </c>
      <c r="J1938">
        <v>95611.24</v>
      </c>
      <c r="K1938" s="1"/>
      <c r="L1938" s="1"/>
      <c r="M1938" s="1"/>
      <c r="N1938" s="1"/>
    </row>
    <row r="1939" ht="15.75" customHeight="1">
      <c r="A1939" t="s">
        <v>13</v>
      </c>
      <c r="B1939" t="s">
        <v>26</v>
      </c>
      <c r="C1939" t="s">
        <v>4916</v>
      </c>
      <c r="D1939" t="s">
        <v>2018</v>
      </c>
      <c r="E1939">
        <v>70282.0700073936</v>
      </c>
      <c r="F1939">
        <v>23376.9612458376</v>
      </c>
      <c r="G1939">
        <v>15792.3832653679</v>
      </c>
      <c r="H1939">
        <v>13820.3969899144</v>
      </c>
      <c r="I1939">
        <v>109451.41</v>
      </c>
      <c r="J1939">
        <v>95631.01</v>
      </c>
      <c r="K1939" s="1"/>
      <c r="L1939" s="1"/>
      <c r="M1939" s="1"/>
      <c r="N1939" s="1"/>
    </row>
    <row r="1940" ht="15.75" customHeight="1">
      <c r="A1940" t="s">
        <v>25</v>
      </c>
      <c r="B1940" t="s">
        <v>54</v>
      </c>
      <c r="C1940" t="s">
        <v>4905</v>
      </c>
      <c r="D1940" t="s">
        <v>2019</v>
      </c>
      <c r="E1940">
        <v>70292.9529772998</v>
      </c>
      <c r="F1940">
        <v>23381.575964165</v>
      </c>
      <c r="G1940">
        <v>15800.0632687974</v>
      </c>
      <c r="H1940">
        <v>13823.7945406017</v>
      </c>
      <c r="I1940">
        <v>109474.59</v>
      </c>
      <c r="J1940">
        <v>95650.8</v>
      </c>
      <c r="K1940" s="1"/>
      <c r="L1940" s="1"/>
      <c r="M1940" s="1"/>
      <c r="N1940" s="1"/>
    </row>
    <row r="1941" ht="15.75" customHeight="1">
      <c r="A1941" t="s">
        <v>25</v>
      </c>
      <c r="B1941" t="s">
        <v>26</v>
      </c>
      <c r="C1941" t="s">
        <v>4913</v>
      </c>
      <c r="D1941" t="s">
        <v>2020</v>
      </c>
      <c r="E1941">
        <v>70303.8359472059</v>
      </c>
      <c r="F1941">
        <v>23386.1906824924</v>
      </c>
      <c r="G1941">
        <v>15807.7432722269</v>
      </c>
      <c r="H1941">
        <v>13827.192091289</v>
      </c>
      <c r="I1941">
        <v>109497.77</v>
      </c>
      <c r="J1941">
        <v>95670.58</v>
      </c>
      <c r="K1941" s="1"/>
      <c r="L1941" s="1"/>
      <c r="M1941" s="1"/>
      <c r="N1941" s="1"/>
    </row>
    <row r="1942" ht="15.75" customHeight="1">
      <c r="A1942" t="s">
        <v>13</v>
      </c>
      <c r="B1942" t="s">
        <v>33</v>
      </c>
      <c r="C1942" t="s">
        <v>4915</v>
      </c>
      <c r="D1942" t="s">
        <v>2021</v>
      </c>
      <c r="E1942">
        <v>70314.7189171121</v>
      </c>
      <c r="F1942">
        <v>23390.8054008199</v>
      </c>
      <c r="G1942">
        <v>15815.4232756564</v>
      </c>
      <c r="H1942">
        <v>13830.5896419763</v>
      </c>
      <c r="I1942">
        <v>109520.95</v>
      </c>
      <c r="J1942">
        <v>95690.36</v>
      </c>
      <c r="K1942" s="1"/>
      <c r="L1942" s="1"/>
      <c r="M1942" s="1"/>
      <c r="N1942" s="1"/>
    </row>
    <row r="1943" ht="15.75" customHeight="1">
      <c r="A1943" t="s">
        <v>36</v>
      </c>
      <c r="B1943" t="s">
        <v>30</v>
      </c>
      <c r="C1943" t="s">
        <v>4916</v>
      </c>
      <c r="D1943" t="s">
        <v>2022</v>
      </c>
      <c r="E1943">
        <v>70325.6018870183</v>
      </c>
      <c r="F1943">
        <v>23395.4201191473</v>
      </c>
      <c r="G1943">
        <v>15823.1032790859</v>
      </c>
      <c r="H1943">
        <v>13833.9871926636</v>
      </c>
      <c r="I1943">
        <v>109544.13</v>
      </c>
      <c r="J1943">
        <v>95710.14</v>
      </c>
      <c r="K1943" s="1"/>
      <c r="L1943" s="1"/>
      <c r="M1943" s="1"/>
      <c r="N1943" s="1"/>
    </row>
    <row r="1944" ht="15.75" customHeight="1">
      <c r="A1944" t="s">
        <v>13</v>
      </c>
      <c r="B1944" t="s">
        <v>54</v>
      </c>
      <c r="C1944" t="s">
        <v>4909</v>
      </c>
      <c r="D1944" t="s">
        <v>2023</v>
      </c>
      <c r="E1944">
        <v>70336.4848569245</v>
      </c>
      <c r="F1944">
        <v>23400.0348374747</v>
      </c>
      <c r="G1944">
        <v>15830.7832825154</v>
      </c>
      <c r="H1944">
        <v>13837.3847433508</v>
      </c>
      <c r="I1944">
        <v>109567.3</v>
      </c>
      <c r="J1944">
        <v>95729.92</v>
      </c>
      <c r="K1944" s="1"/>
      <c r="L1944" s="1"/>
      <c r="M1944" s="1"/>
      <c r="N1944" s="1"/>
    </row>
    <row r="1945" ht="15.75" customHeight="1">
      <c r="A1945" t="s">
        <v>53</v>
      </c>
      <c r="B1945" t="s">
        <v>14</v>
      </c>
      <c r="C1945" t="s">
        <v>4917</v>
      </c>
      <c r="D1945" t="s">
        <v>2024</v>
      </c>
      <c r="E1945">
        <v>70347.3678268307</v>
      </c>
      <c r="F1945">
        <v>23404.6495558021</v>
      </c>
      <c r="G1945">
        <v>15838.4632859449</v>
      </c>
      <c r="H1945">
        <v>13840.7822940381</v>
      </c>
      <c r="I1945">
        <v>109590.48</v>
      </c>
      <c r="J1945">
        <v>95749.7</v>
      </c>
      <c r="K1945" s="1"/>
      <c r="L1945" s="1"/>
      <c r="M1945" s="1"/>
      <c r="N1945" s="1"/>
    </row>
    <row r="1946" ht="15.75" customHeight="1">
      <c r="A1946" t="s">
        <v>36</v>
      </c>
      <c r="B1946" t="s">
        <v>18</v>
      </c>
      <c r="C1946" t="s">
        <v>4915</v>
      </c>
      <c r="D1946" t="s">
        <v>2025</v>
      </c>
      <c r="E1946">
        <v>70358.2507967369</v>
      </c>
      <c r="F1946">
        <v>23409.2642741296</v>
      </c>
      <c r="G1946">
        <v>15846.1432893744</v>
      </c>
      <c r="H1946">
        <v>13844.1798447254</v>
      </c>
      <c r="I1946">
        <v>109613.66</v>
      </c>
      <c r="J1946">
        <v>95769.48</v>
      </c>
      <c r="K1946" s="1"/>
      <c r="L1946" s="1"/>
      <c r="M1946" s="1"/>
      <c r="N1946" s="1"/>
    </row>
    <row r="1947" ht="15.75" customHeight="1">
      <c r="A1947" t="s">
        <v>13</v>
      </c>
      <c r="B1947" t="s">
        <v>54</v>
      </c>
      <c r="C1947" t="s">
        <v>4912</v>
      </c>
      <c r="D1947" t="s">
        <v>2026</v>
      </c>
      <c r="E1947">
        <v>70369.1337666431</v>
      </c>
      <c r="F1947">
        <v>23413.878992457</v>
      </c>
      <c r="G1947">
        <v>15853.8232928039</v>
      </c>
      <c r="H1947">
        <v>13847.5773954127</v>
      </c>
      <c r="I1947">
        <v>109636.84</v>
      </c>
      <c r="J1947">
        <v>95789.26</v>
      </c>
      <c r="K1947" s="1"/>
      <c r="L1947" s="1"/>
      <c r="M1947" s="1"/>
      <c r="N1947" s="1"/>
    </row>
    <row r="1948" ht="15.75" customHeight="1">
      <c r="A1948" t="s">
        <v>36</v>
      </c>
      <c r="B1948" t="s">
        <v>30</v>
      </c>
      <c r="C1948" t="s">
        <v>4909</v>
      </c>
      <c r="D1948" t="s">
        <v>2027</v>
      </c>
      <c r="E1948">
        <v>70380.0167365493</v>
      </c>
      <c r="F1948">
        <v>23418.4937107844</v>
      </c>
      <c r="G1948">
        <v>15861.5032962334</v>
      </c>
      <c r="H1948">
        <v>13850.9749461</v>
      </c>
      <c r="I1948">
        <v>109660.01</v>
      </c>
      <c r="J1948">
        <v>95809.04</v>
      </c>
      <c r="K1948" s="1"/>
      <c r="L1948" s="1"/>
      <c r="M1948" s="1"/>
      <c r="N1948" s="1"/>
    </row>
    <row r="1949" ht="15.75" customHeight="1">
      <c r="A1949" t="s">
        <v>53</v>
      </c>
      <c r="B1949" t="s">
        <v>26</v>
      </c>
      <c r="C1949" t="s">
        <v>4909</v>
      </c>
      <c r="D1949" t="s">
        <v>2028</v>
      </c>
      <c r="E1949">
        <v>70390.8997064555</v>
      </c>
      <c r="F1949">
        <v>23423.1084291118</v>
      </c>
      <c r="G1949">
        <v>15869.1832996629</v>
      </c>
      <c r="H1949">
        <v>13854.3724967873</v>
      </c>
      <c r="I1949">
        <v>109683.19</v>
      </c>
      <c r="J1949">
        <v>95828.82</v>
      </c>
      <c r="K1949" s="1"/>
      <c r="L1949" s="1"/>
      <c r="M1949" s="1"/>
      <c r="N1949" s="1"/>
    </row>
    <row r="1950" ht="15.75" customHeight="1">
      <c r="A1950" t="s">
        <v>36</v>
      </c>
      <c r="B1950" t="s">
        <v>30</v>
      </c>
      <c r="C1950" t="s">
        <v>4905</v>
      </c>
      <c r="D1950" t="s">
        <v>2029</v>
      </c>
      <c r="E1950">
        <v>70401.7826763617</v>
      </c>
      <c r="F1950">
        <v>23427.7231474392</v>
      </c>
      <c r="G1950">
        <v>15876.8633030924</v>
      </c>
      <c r="H1950">
        <v>13857.7700474746</v>
      </c>
      <c r="I1950">
        <v>109706.37</v>
      </c>
      <c r="J1950">
        <v>95848.6</v>
      </c>
      <c r="K1950" s="1"/>
      <c r="L1950" s="1"/>
      <c r="M1950" s="1"/>
      <c r="N1950" s="1"/>
    </row>
    <row r="1951" ht="15.75" customHeight="1">
      <c r="A1951" t="s">
        <v>29</v>
      </c>
      <c r="B1951" t="s">
        <v>37</v>
      </c>
      <c r="C1951" t="s">
        <v>4913</v>
      </c>
      <c r="D1951" t="s">
        <v>2030</v>
      </c>
      <c r="E1951">
        <v>70412.6656462679</v>
      </c>
      <c r="F1951">
        <v>23432.3378657667</v>
      </c>
      <c r="G1951">
        <v>15884.5433065219</v>
      </c>
      <c r="H1951">
        <v>13861.1675981619</v>
      </c>
      <c r="I1951">
        <v>109729.55</v>
      </c>
      <c r="J1951">
        <v>95868.38</v>
      </c>
      <c r="K1951" s="1"/>
      <c r="L1951" s="1"/>
      <c r="M1951" s="1"/>
      <c r="N1951" s="1"/>
    </row>
    <row r="1952" ht="15.75" customHeight="1">
      <c r="A1952" t="s">
        <v>13</v>
      </c>
      <c r="B1952" t="s">
        <v>26</v>
      </c>
      <c r="C1952" t="s">
        <v>4911</v>
      </c>
      <c r="D1952" t="s">
        <v>2031</v>
      </c>
      <c r="E1952">
        <v>70423.5486161741</v>
      </c>
      <c r="F1952">
        <v>23436.9525840941</v>
      </c>
      <c r="G1952">
        <v>15892.2233099514</v>
      </c>
      <c r="H1952">
        <v>13864.5651488491</v>
      </c>
      <c r="I1952">
        <v>109752.72</v>
      </c>
      <c r="J1952">
        <v>95888.15</v>
      </c>
      <c r="K1952" s="1"/>
      <c r="L1952" s="1"/>
      <c r="M1952" s="1"/>
      <c r="N1952" s="1"/>
    </row>
    <row r="1953" ht="15.75" customHeight="1">
      <c r="A1953" t="s">
        <v>13</v>
      </c>
      <c r="B1953" t="s">
        <v>30</v>
      </c>
      <c r="C1953" t="s">
        <v>4916</v>
      </c>
      <c r="D1953" t="s">
        <v>2032</v>
      </c>
      <c r="E1953">
        <v>70434.4315860803</v>
      </c>
      <c r="F1953">
        <v>23441.5673024215</v>
      </c>
      <c r="G1953">
        <v>15899.9033133809</v>
      </c>
      <c r="H1953">
        <v>13867.9626995364</v>
      </c>
      <c r="I1953">
        <v>109775.9</v>
      </c>
      <c r="J1953">
        <v>95907.94</v>
      </c>
      <c r="K1953" s="1"/>
      <c r="L1953" s="1"/>
      <c r="M1953" s="1"/>
      <c r="N1953" s="1"/>
    </row>
    <row r="1954" ht="15.75" customHeight="1">
      <c r="A1954" t="s">
        <v>36</v>
      </c>
      <c r="B1954" t="s">
        <v>18</v>
      </c>
      <c r="C1954" t="s">
        <v>4913</v>
      </c>
      <c r="D1954" t="s">
        <v>2033</v>
      </c>
      <c r="E1954">
        <v>70445.3145559865</v>
      </c>
      <c r="F1954">
        <v>23446.1820207489</v>
      </c>
      <c r="G1954">
        <v>15907.5833168104</v>
      </c>
      <c r="H1954">
        <v>13871.3602502237</v>
      </c>
      <c r="I1954">
        <v>109799.08</v>
      </c>
      <c r="J1954">
        <v>95927.72</v>
      </c>
      <c r="K1954" s="1"/>
      <c r="L1954" s="1"/>
      <c r="M1954" s="1"/>
      <c r="N1954" s="1"/>
    </row>
    <row r="1955" ht="15.75" customHeight="1">
      <c r="A1955" t="s">
        <v>29</v>
      </c>
      <c r="B1955" t="s">
        <v>37</v>
      </c>
      <c r="C1955" t="s">
        <v>4914</v>
      </c>
      <c r="D1955" t="s">
        <v>2034</v>
      </c>
      <c r="E1955">
        <v>70456.1975258927</v>
      </c>
      <c r="F1955">
        <v>23450.7967390763</v>
      </c>
      <c r="G1955">
        <v>15915.2633202399</v>
      </c>
      <c r="H1955">
        <v>13874.757800911</v>
      </c>
      <c r="I1955">
        <v>109822.26</v>
      </c>
      <c r="J1955">
        <v>95947.5</v>
      </c>
      <c r="K1955" s="1"/>
      <c r="L1955" s="1"/>
      <c r="M1955" s="1"/>
      <c r="N1955" s="1"/>
    </row>
    <row r="1956" ht="15.75" customHeight="1">
      <c r="A1956" t="s">
        <v>53</v>
      </c>
      <c r="B1956" t="s">
        <v>26</v>
      </c>
      <c r="C1956" t="s">
        <v>4911</v>
      </c>
      <c r="D1956" t="s">
        <v>2035</v>
      </c>
      <c r="E1956">
        <v>70467.0804957988</v>
      </c>
      <c r="F1956">
        <v>23455.4114574038</v>
      </c>
      <c r="G1956">
        <v>15922.9433236694</v>
      </c>
      <c r="H1956">
        <v>13878.1553515983</v>
      </c>
      <c r="I1956">
        <v>109845.44</v>
      </c>
      <c r="J1956">
        <v>95967.28</v>
      </c>
      <c r="K1956" s="1"/>
      <c r="L1956" s="1"/>
      <c r="M1956" s="1"/>
      <c r="N1956" s="1"/>
    </row>
    <row r="1957" ht="15.75" customHeight="1">
      <c r="A1957" t="s">
        <v>25</v>
      </c>
      <c r="B1957" t="s">
        <v>26</v>
      </c>
      <c r="C1957" t="s">
        <v>4915</v>
      </c>
      <c r="D1957" t="s">
        <v>2036</v>
      </c>
      <c r="E1957">
        <v>71780.1808858172</v>
      </c>
      <c r="F1957">
        <v>23464.6408940586</v>
      </c>
      <c r="G1957">
        <v>15938.3033305283</v>
      </c>
      <c r="H1957">
        <v>13884.9504529729</v>
      </c>
      <c r="I1957">
        <v>111183.13</v>
      </c>
      <c r="J1957">
        <v>97298.18</v>
      </c>
      <c r="K1957" s="1"/>
      <c r="L1957" s="1"/>
      <c r="M1957" s="1"/>
      <c r="N1957" s="1"/>
    </row>
    <row r="1958" ht="15.75" customHeight="1">
      <c r="A1958" t="s">
        <v>51</v>
      </c>
      <c r="B1958" t="s">
        <v>14</v>
      </c>
      <c r="C1958" t="s">
        <v>4917</v>
      </c>
      <c r="D1958" t="s">
        <v>2037</v>
      </c>
      <c r="E1958">
        <v>70499.7294055174</v>
      </c>
      <c r="F1958">
        <v>23469.255612386</v>
      </c>
      <c r="G1958">
        <v>15945.9833339578</v>
      </c>
      <c r="H1958">
        <v>13888.3480036602</v>
      </c>
      <c r="I1958">
        <v>109914.97</v>
      </c>
      <c r="J1958">
        <v>96026.62</v>
      </c>
      <c r="K1958" s="1"/>
      <c r="L1958" s="1"/>
      <c r="M1958" s="1"/>
      <c r="N1958" s="1"/>
    </row>
    <row r="1959" ht="15.75" customHeight="1">
      <c r="A1959" t="s">
        <v>53</v>
      </c>
      <c r="B1959" t="s">
        <v>18</v>
      </c>
      <c r="C1959" t="s">
        <v>4913</v>
      </c>
      <c r="D1959" t="s">
        <v>2038</v>
      </c>
      <c r="E1959">
        <v>70510.6123754236</v>
      </c>
      <c r="F1959">
        <v>23473.8703307135</v>
      </c>
      <c r="G1959">
        <v>15953.6633373873</v>
      </c>
      <c r="H1959">
        <v>13891.7455543474</v>
      </c>
      <c r="I1959">
        <v>109938.15</v>
      </c>
      <c r="J1959">
        <v>96046.4</v>
      </c>
      <c r="K1959" s="1"/>
      <c r="L1959" s="1"/>
      <c r="M1959" s="1"/>
      <c r="N1959" s="1"/>
    </row>
    <row r="1960" ht="15.75" customHeight="1">
      <c r="A1960" t="s">
        <v>17</v>
      </c>
      <c r="B1960" t="s">
        <v>26</v>
      </c>
      <c r="C1960" t="s">
        <v>4905</v>
      </c>
      <c r="D1960" t="s">
        <v>2039</v>
      </c>
      <c r="E1960">
        <v>70521.4953453298</v>
      </c>
      <c r="F1960">
        <v>23478.4850490409</v>
      </c>
      <c r="G1960">
        <v>15961.3433408168</v>
      </c>
      <c r="H1960">
        <v>13895.1431050347</v>
      </c>
      <c r="I1960">
        <v>109961.32</v>
      </c>
      <c r="J1960">
        <v>96066.18</v>
      </c>
      <c r="K1960" s="1"/>
      <c r="L1960" s="1"/>
      <c r="M1960" s="1"/>
      <c r="N1960" s="1"/>
    </row>
    <row r="1961" ht="15.75" customHeight="1">
      <c r="A1961" t="s">
        <v>36</v>
      </c>
      <c r="B1961" t="s">
        <v>54</v>
      </c>
      <c r="C1961" t="s">
        <v>4908</v>
      </c>
      <c r="D1961" t="s">
        <v>2040</v>
      </c>
      <c r="E1961">
        <v>70543.2612851422</v>
      </c>
      <c r="F1961">
        <v>23487.7144856957</v>
      </c>
      <c r="G1961">
        <v>15976.7033476758</v>
      </c>
      <c r="H1961">
        <v>13901.9382064093</v>
      </c>
      <c r="I1961">
        <v>110007.68</v>
      </c>
      <c r="J1961">
        <v>96105.74</v>
      </c>
      <c r="K1961" s="1"/>
      <c r="L1961" s="1"/>
      <c r="M1961" s="1"/>
      <c r="N1961" s="1"/>
    </row>
    <row r="1962" ht="15.75" customHeight="1">
      <c r="A1962" t="s">
        <v>17</v>
      </c>
      <c r="B1962" t="s">
        <v>26</v>
      </c>
      <c r="C1962" t="s">
        <v>4916</v>
      </c>
      <c r="D1962" t="s">
        <v>2041</v>
      </c>
      <c r="E1962">
        <v>70554.1442550484</v>
      </c>
      <c r="F1962">
        <v>23492.3292040231</v>
      </c>
      <c r="G1962">
        <v>15984.3833511053</v>
      </c>
      <c r="H1962">
        <v>13905.3357570966</v>
      </c>
      <c r="I1962">
        <v>110030.86</v>
      </c>
      <c r="J1962">
        <v>96125.52</v>
      </c>
      <c r="K1962" s="1"/>
      <c r="L1962" s="1"/>
      <c r="M1962" s="1"/>
      <c r="N1962" s="1"/>
    </row>
    <row r="1963" ht="15.75" customHeight="1">
      <c r="A1963" t="s">
        <v>25</v>
      </c>
      <c r="B1963" t="s">
        <v>18</v>
      </c>
      <c r="C1963" t="s">
        <v>4912</v>
      </c>
      <c r="D1963" t="s">
        <v>2042</v>
      </c>
      <c r="E1963">
        <v>70565.0272249546</v>
      </c>
      <c r="F1963">
        <v>23496.9439223506</v>
      </c>
      <c r="G1963">
        <v>15992.0633545348</v>
      </c>
      <c r="H1963">
        <v>13908.7333077839</v>
      </c>
      <c r="I1963">
        <v>110054.03</v>
      </c>
      <c r="J1963">
        <v>96145.3</v>
      </c>
      <c r="K1963" s="1"/>
      <c r="L1963" s="1"/>
      <c r="M1963" s="1"/>
      <c r="N1963" s="1"/>
    </row>
    <row r="1964" ht="15.75" customHeight="1">
      <c r="A1964" t="s">
        <v>53</v>
      </c>
      <c r="B1964" t="s">
        <v>37</v>
      </c>
      <c r="C1964" t="s">
        <v>4913</v>
      </c>
      <c r="D1964" t="s">
        <v>2043</v>
      </c>
      <c r="E1964">
        <v>70575.9101948608</v>
      </c>
      <c r="F1964">
        <v>23501.558640678</v>
      </c>
      <c r="G1964">
        <v>15999.7433579643</v>
      </c>
      <c r="H1964">
        <v>14765.30618879032</v>
      </c>
      <c r="I1964">
        <v>110077.21</v>
      </c>
      <c r="J1964">
        <v>95311.9</v>
      </c>
      <c r="K1964" s="1"/>
      <c r="L1964" s="1"/>
      <c r="M1964" s="1"/>
      <c r="N1964" s="1"/>
    </row>
    <row r="1965" ht="15.75" customHeight="1">
      <c r="A1965" t="s">
        <v>51</v>
      </c>
      <c r="B1965" t="s">
        <v>18</v>
      </c>
      <c r="C1965" t="s">
        <v>4905</v>
      </c>
      <c r="D1965" t="s">
        <v>2044</v>
      </c>
      <c r="E1965">
        <v>70586.793164767</v>
      </c>
      <c r="F1965">
        <v>23506.1733590054</v>
      </c>
      <c r="G1965">
        <v>16007.4233613938</v>
      </c>
      <c r="H1965">
        <v>13915.5284091584</v>
      </c>
      <c r="I1965">
        <v>110100.39</v>
      </c>
      <c r="J1965">
        <v>96184.86</v>
      </c>
      <c r="K1965" s="1"/>
      <c r="L1965" s="1"/>
      <c r="M1965" s="1"/>
      <c r="N1965" s="1"/>
    </row>
    <row r="1966" ht="15.75" customHeight="1">
      <c r="A1966" t="s">
        <v>29</v>
      </c>
      <c r="B1966" t="s">
        <v>18</v>
      </c>
      <c r="C1966" t="s">
        <v>4915</v>
      </c>
      <c r="D1966" t="s">
        <v>2045</v>
      </c>
      <c r="E1966">
        <v>70597.6761346732</v>
      </c>
      <c r="F1966">
        <v>23510.7880773328</v>
      </c>
      <c r="G1966">
        <v>16015.1033648233</v>
      </c>
      <c r="H1966">
        <v>13918.9259598457</v>
      </c>
      <c r="I1966">
        <v>110123.57</v>
      </c>
      <c r="J1966">
        <v>96204.64</v>
      </c>
      <c r="K1966" s="1"/>
      <c r="L1966" s="1"/>
      <c r="M1966" s="1"/>
      <c r="N1966" s="1"/>
    </row>
    <row r="1967" ht="15.75" customHeight="1">
      <c r="A1967" t="s">
        <v>13</v>
      </c>
      <c r="B1967" t="s">
        <v>14</v>
      </c>
      <c r="C1967" t="s">
        <v>4908</v>
      </c>
      <c r="D1967" t="s">
        <v>2046</v>
      </c>
      <c r="E1967">
        <v>70608.5591045794</v>
      </c>
      <c r="F1967">
        <v>23515.4027956603</v>
      </c>
      <c r="G1967">
        <v>16022.7833682528</v>
      </c>
      <c r="H1967">
        <v>13922.323510533</v>
      </c>
      <c r="I1967">
        <v>110146.75</v>
      </c>
      <c r="J1967">
        <v>96224.43</v>
      </c>
      <c r="K1967" s="1"/>
      <c r="L1967" s="1"/>
      <c r="M1967" s="1"/>
      <c r="N1967" s="1"/>
    </row>
    <row r="1968" ht="15.75" customHeight="1">
      <c r="A1968" t="s">
        <v>53</v>
      </c>
      <c r="B1968" t="s">
        <v>33</v>
      </c>
      <c r="C1968" t="s">
        <v>4909</v>
      </c>
      <c r="D1968" t="s">
        <v>2047</v>
      </c>
      <c r="E1968">
        <v>70619.4420744856</v>
      </c>
      <c r="F1968">
        <v>23520.0175139877</v>
      </c>
      <c r="G1968">
        <v>16030.4633716823</v>
      </c>
      <c r="H1968">
        <v>13925.7210612203</v>
      </c>
      <c r="I1968">
        <v>110169.92</v>
      </c>
      <c r="J1968">
        <v>96244.2</v>
      </c>
      <c r="K1968" s="1"/>
      <c r="L1968" s="1"/>
      <c r="M1968" s="1"/>
      <c r="N1968" s="1"/>
    </row>
    <row r="1969" ht="15.75" customHeight="1">
      <c r="A1969" t="s">
        <v>36</v>
      </c>
      <c r="B1969" t="s">
        <v>54</v>
      </c>
      <c r="C1969" t="s">
        <v>4915</v>
      </c>
      <c r="D1969" t="s">
        <v>2048</v>
      </c>
      <c r="E1969">
        <v>70630.3250443917</v>
      </c>
      <c r="F1969">
        <v>23524.6322323151</v>
      </c>
      <c r="G1969">
        <v>16038.1433751118</v>
      </c>
      <c r="H1969">
        <v>13929.1186119076</v>
      </c>
      <c r="I1969">
        <v>110193.1</v>
      </c>
      <c r="J1969">
        <v>96263.98</v>
      </c>
      <c r="K1969" s="1"/>
      <c r="L1969" s="1"/>
      <c r="M1969" s="1"/>
      <c r="N1969" s="1"/>
    </row>
    <row r="1970" ht="15.75" customHeight="1">
      <c r="A1970" t="s">
        <v>36</v>
      </c>
      <c r="B1970" t="s">
        <v>14</v>
      </c>
      <c r="C1970" t="s">
        <v>4913</v>
      </c>
      <c r="D1970" t="s">
        <v>2049</v>
      </c>
      <c r="E1970">
        <v>70641.2080142979</v>
      </c>
      <c r="F1970">
        <v>23529.2469506425</v>
      </c>
      <c r="G1970">
        <v>16045.8233785413</v>
      </c>
      <c r="H1970">
        <v>13932.5161625949</v>
      </c>
      <c r="I1970">
        <v>110216.28</v>
      </c>
      <c r="J1970">
        <v>96283.76</v>
      </c>
      <c r="K1970" s="1"/>
      <c r="L1970" s="1"/>
      <c r="M1970" s="1"/>
      <c r="N1970" s="1"/>
    </row>
    <row r="1971" ht="15.75" customHeight="1">
      <c r="A1971" t="s">
        <v>29</v>
      </c>
      <c r="B1971" t="s">
        <v>37</v>
      </c>
      <c r="C1971" t="s">
        <v>4914</v>
      </c>
      <c r="D1971" t="s">
        <v>2050</v>
      </c>
      <c r="E1971">
        <v>70652.0909842041</v>
      </c>
      <c r="F1971">
        <v>23533.8616689699</v>
      </c>
      <c r="G1971">
        <v>16053.5033819708</v>
      </c>
      <c r="H1971">
        <v>13935.9137132822</v>
      </c>
      <c r="I1971">
        <v>110239.46</v>
      </c>
      <c r="J1971">
        <v>96303.55</v>
      </c>
      <c r="K1971" s="1"/>
      <c r="L1971" s="1"/>
      <c r="M1971" s="1"/>
      <c r="N1971" s="1"/>
    </row>
    <row r="1972" ht="15.75" customHeight="1">
      <c r="A1972" t="s">
        <v>53</v>
      </c>
      <c r="B1972" t="s">
        <v>54</v>
      </c>
      <c r="C1972" t="s">
        <v>4910</v>
      </c>
      <c r="D1972" t="s">
        <v>2051</v>
      </c>
      <c r="E1972">
        <v>70662.9739541103</v>
      </c>
      <c r="F1972">
        <v>23538.4763872974</v>
      </c>
      <c r="G1972">
        <v>16061.1833854003</v>
      </c>
      <c r="H1972">
        <v>13939.3112639695</v>
      </c>
      <c r="I1972">
        <v>110262.63</v>
      </c>
      <c r="J1972">
        <v>96323.32</v>
      </c>
      <c r="K1972" s="1"/>
      <c r="L1972" s="1"/>
      <c r="M1972" s="1"/>
      <c r="N1972" s="1"/>
    </row>
    <row r="1973" ht="15.75" customHeight="1">
      <c r="A1973" t="s">
        <v>13</v>
      </c>
      <c r="B1973" t="s">
        <v>54</v>
      </c>
      <c r="C1973" t="s">
        <v>4908</v>
      </c>
      <c r="D1973" t="s">
        <v>2052</v>
      </c>
      <c r="E1973">
        <v>70673.8569240165</v>
      </c>
      <c r="F1973">
        <v>23543.0911056248</v>
      </c>
      <c r="G1973">
        <v>16068.8633888298</v>
      </c>
      <c r="H1973">
        <v>13942.7088146567</v>
      </c>
      <c r="I1973">
        <v>110285.81</v>
      </c>
      <c r="J1973">
        <v>96343.1</v>
      </c>
      <c r="K1973" s="1"/>
      <c r="L1973" s="1"/>
      <c r="M1973" s="1"/>
      <c r="N1973" s="1"/>
    </row>
    <row r="1974" ht="15.75" customHeight="1">
      <c r="A1974" t="s">
        <v>17</v>
      </c>
      <c r="B1974" t="s">
        <v>54</v>
      </c>
      <c r="C1974" t="s">
        <v>4905</v>
      </c>
      <c r="D1974" t="s">
        <v>2053</v>
      </c>
      <c r="E1974">
        <v>70684.7398939227</v>
      </c>
      <c r="F1974">
        <v>23547.7058239522</v>
      </c>
      <c r="G1974">
        <v>16076.5433922593</v>
      </c>
      <c r="H1974">
        <v>13946.106365344</v>
      </c>
      <c r="I1974">
        <v>110308.99</v>
      </c>
      <c r="J1974">
        <v>96362.88</v>
      </c>
      <c r="K1974" s="1"/>
      <c r="L1974" s="1"/>
      <c r="M1974" s="1"/>
      <c r="N1974" s="1"/>
    </row>
    <row r="1975" ht="15.75" customHeight="1">
      <c r="A1975" t="s">
        <v>25</v>
      </c>
      <c r="B1975" t="s">
        <v>33</v>
      </c>
      <c r="C1975" t="s">
        <v>4912</v>
      </c>
      <c r="D1975" t="s">
        <v>2054</v>
      </c>
      <c r="E1975">
        <v>70695.6228638289</v>
      </c>
      <c r="F1975">
        <v>23552.3205422796</v>
      </c>
      <c r="G1975">
        <v>16084.2233956888</v>
      </c>
      <c r="H1975">
        <v>13949.5039160313</v>
      </c>
      <c r="I1975">
        <v>110332.17</v>
      </c>
      <c r="J1975">
        <v>96382.67</v>
      </c>
      <c r="K1975" s="1"/>
      <c r="L1975" s="1"/>
      <c r="M1975" s="1"/>
      <c r="N1975" s="1"/>
    </row>
    <row r="1976" ht="15.75" customHeight="1">
      <c r="A1976" t="s">
        <v>25</v>
      </c>
      <c r="B1976" t="s">
        <v>33</v>
      </c>
      <c r="C1976" t="s">
        <v>4916</v>
      </c>
      <c r="D1976" t="s">
        <v>2055</v>
      </c>
      <c r="E1976">
        <v>70706.5058337351</v>
      </c>
      <c r="F1976">
        <v>23556.9352606071</v>
      </c>
      <c r="G1976">
        <v>16091.9033991183</v>
      </c>
      <c r="H1976">
        <v>13952.9014667186</v>
      </c>
      <c r="I1976">
        <v>110355.34</v>
      </c>
      <c r="J1976">
        <v>96402.44</v>
      </c>
      <c r="K1976" s="1"/>
      <c r="L1976" s="1"/>
      <c r="M1976" s="1"/>
      <c r="N1976" s="1"/>
    </row>
    <row r="1977" ht="15.75" customHeight="1">
      <c r="A1977" t="s">
        <v>17</v>
      </c>
      <c r="B1977" t="s">
        <v>37</v>
      </c>
      <c r="C1977" t="s">
        <v>4914</v>
      </c>
      <c r="D1977" t="s">
        <v>2056</v>
      </c>
      <c r="E1977">
        <v>70717.3888036413</v>
      </c>
      <c r="F1977">
        <v>23561.5499789345</v>
      </c>
      <c r="G1977">
        <v>16099.5834025478</v>
      </c>
      <c r="H1977">
        <v>13956.2990174059</v>
      </c>
      <c r="I1977">
        <v>110378.52</v>
      </c>
      <c r="J1977">
        <v>96422.22</v>
      </c>
      <c r="K1977" s="1"/>
      <c r="L1977" s="1"/>
      <c r="M1977" s="1"/>
      <c r="N1977" s="1"/>
    </row>
    <row r="1978" ht="15.75" customHeight="1">
      <c r="A1978" t="s">
        <v>29</v>
      </c>
      <c r="B1978" t="s">
        <v>30</v>
      </c>
      <c r="C1978" t="s">
        <v>4908</v>
      </c>
      <c r="D1978" t="s">
        <v>2057</v>
      </c>
      <c r="E1978">
        <v>70728.2717735475</v>
      </c>
      <c r="F1978">
        <v>23566.1646972619</v>
      </c>
      <c r="G1978">
        <v>16107.2634059773</v>
      </c>
      <c r="H1978">
        <v>13959.6965680932</v>
      </c>
      <c r="I1978">
        <v>110401.7</v>
      </c>
      <c r="J1978">
        <v>96442.0</v>
      </c>
      <c r="K1978" s="1"/>
      <c r="L1978" s="1"/>
      <c r="M1978" s="1"/>
      <c r="N1978" s="1"/>
    </row>
    <row r="1979" ht="15.75" customHeight="1">
      <c r="A1979" t="s">
        <v>51</v>
      </c>
      <c r="B1979" t="s">
        <v>26</v>
      </c>
      <c r="C1979" t="s">
        <v>4915</v>
      </c>
      <c r="D1979" t="s">
        <v>2058</v>
      </c>
      <c r="E1979">
        <v>70750.0377133599</v>
      </c>
      <c r="F1979">
        <v>23575.3941339167</v>
      </c>
      <c r="G1979">
        <v>16122.6234128363</v>
      </c>
      <c r="H1979">
        <v>13966.4916694678</v>
      </c>
      <c r="I1979">
        <v>110448.06</v>
      </c>
      <c r="J1979">
        <v>96481.57</v>
      </c>
      <c r="K1979" s="1"/>
      <c r="L1979" s="1"/>
      <c r="M1979" s="1"/>
      <c r="N1979" s="1"/>
    </row>
    <row r="1980" ht="15.75" customHeight="1">
      <c r="A1980" t="s">
        <v>17</v>
      </c>
      <c r="B1980" t="s">
        <v>14</v>
      </c>
      <c r="C1980" t="s">
        <v>4916</v>
      </c>
      <c r="D1980" t="s">
        <v>2059</v>
      </c>
      <c r="E1980">
        <v>70760.9206832661</v>
      </c>
      <c r="F1980">
        <v>23580.0088522442</v>
      </c>
      <c r="G1980">
        <v>16130.3034162658</v>
      </c>
      <c r="H1980">
        <v>13969.889220155</v>
      </c>
      <c r="I1980">
        <v>110471.23</v>
      </c>
      <c r="J1980">
        <v>96501.34</v>
      </c>
      <c r="K1980" s="1"/>
      <c r="L1980" s="1"/>
      <c r="M1980" s="1"/>
      <c r="N1980" s="1"/>
    </row>
    <row r="1981" ht="15.75" customHeight="1">
      <c r="A1981" t="s">
        <v>17</v>
      </c>
      <c r="B1981" t="s">
        <v>26</v>
      </c>
      <c r="C1981" t="s">
        <v>4910</v>
      </c>
      <c r="D1981" t="s">
        <v>2060</v>
      </c>
      <c r="E1981">
        <v>70771.8036531723</v>
      </c>
      <c r="F1981">
        <v>23584.6235705716</v>
      </c>
      <c r="G1981">
        <v>16137.9834196953</v>
      </c>
      <c r="H1981">
        <v>13973.2867708423</v>
      </c>
      <c r="I1981">
        <v>110494.41</v>
      </c>
      <c r="J1981">
        <v>96521.12</v>
      </c>
      <c r="K1981" s="1"/>
      <c r="L1981" s="1"/>
      <c r="M1981" s="1"/>
      <c r="N1981" s="1"/>
    </row>
    <row r="1982" ht="15.75" customHeight="1">
      <c r="A1982" t="s">
        <v>25</v>
      </c>
      <c r="B1982" t="s">
        <v>33</v>
      </c>
      <c r="C1982" t="s">
        <v>4913</v>
      </c>
      <c r="D1982" t="s">
        <v>2061</v>
      </c>
      <c r="E1982">
        <v>70782.6866230785</v>
      </c>
      <c r="F1982">
        <v>23589.238288899</v>
      </c>
      <c r="G1982">
        <v>16145.6634231248</v>
      </c>
      <c r="H1982">
        <v>13976.6843215296</v>
      </c>
      <c r="I1982">
        <v>110517.59</v>
      </c>
      <c r="J1982">
        <v>96540.91</v>
      </c>
      <c r="K1982" s="1"/>
      <c r="L1982" s="1"/>
      <c r="M1982" s="1"/>
      <c r="N1982" s="1"/>
    </row>
    <row r="1983" ht="15.75" customHeight="1">
      <c r="A1983" t="s">
        <v>36</v>
      </c>
      <c r="B1983" t="s">
        <v>30</v>
      </c>
      <c r="C1983" t="s">
        <v>4911</v>
      </c>
      <c r="D1983" t="s">
        <v>2062</v>
      </c>
      <c r="E1983">
        <v>70793.5695929846</v>
      </c>
      <c r="F1983">
        <v>23593.8530072264</v>
      </c>
      <c r="G1983">
        <v>16153.3434265543</v>
      </c>
      <c r="H1983">
        <v>13980.0818722169</v>
      </c>
      <c r="I1983">
        <v>110540.77</v>
      </c>
      <c r="J1983">
        <v>96560.69</v>
      </c>
      <c r="K1983" s="1"/>
      <c r="L1983" s="1"/>
      <c r="M1983" s="1"/>
      <c r="N1983" s="1"/>
    </row>
    <row r="1984" ht="15.75" customHeight="1">
      <c r="A1984" t="s">
        <v>36</v>
      </c>
      <c r="B1984" t="s">
        <v>37</v>
      </c>
      <c r="C1984" t="s">
        <v>4907</v>
      </c>
      <c r="D1984" t="s">
        <v>2063</v>
      </c>
      <c r="E1984">
        <v>70804.4525628908</v>
      </c>
      <c r="F1984">
        <v>23598.4677255539</v>
      </c>
      <c r="G1984">
        <v>16161.0234299838</v>
      </c>
      <c r="H1984">
        <v>13983.4794229042</v>
      </c>
      <c r="I1984">
        <v>110563.94</v>
      </c>
      <c r="J1984">
        <v>96580.46</v>
      </c>
      <c r="K1984" s="1"/>
      <c r="L1984" s="1"/>
      <c r="M1984" s="1"/>
      <c r="N1984" s="1"/>
    </row>
    <row r="1985" ht="15.75" customHeight="1">
      <c r="A1985" t="s">
        <v>36</v>
      </c>
      <c r="B1985" t="s">
        <v>14</v>
      </c>
      <c r="C1985" t="s">
        <v>4910</v>
      </c>
      <c r="D1985" t="s">
        <v>2064</v>
      </c>
      <c r="E1985">
        <v>70815.335532797</v>
      </c>
      <c r="F1985">
        <v>23603.0824438813</v>
      </c>
      <c r="G1985">
        <v>16168.7034334133</v>
      </c>
      <c r="H1985">
        <v>13986.8769735915</v>
      </c>
      <c r="I1985">
        <v>110587.12</v>
      </c>
      <c r="J1985">
        <v>96600.24</v>
      </c>
      <c r="K1985" s="1"/>
      <c r="L1985" s="1"/>
      <c r="M1985" s="1"/>
      <c r="N1985" s="1"/>
    </row>
    <row r="1986" ht="15.75" customHeight="1">
      <c r="A1986" t="s">
        <v>51</v>
      </c>
      <c r="B1986" t="s">
        <v>37</v>
      </c>
      <c r="C1986" t="s">
        <v>4912</v>
      </c>
      <c r="D1986" t="s">
        <v>2065</v>
      </c>
      <c r="E1986">
        <v>70837.1014726094</v>
      </c>
      <c r="F1986">
        <v>23612.3118805361</v>
      </c>
      <c r="G1986">
        <v>16184.0634402723</v>
      </c>
      <c r="H1986">
        <v>13993.672074966</v>
      </c>
      <c r="I1986">
        <v>110633.48</v>
      </c>
      <c r="J1986">
        <v>96639.81</v>
      </c>
      <c r="K1986" s="1"/>
      <c r="L1986" s="1"/>
      <c r="M1986" s="1"/>
      <c r="N1986" s="1"/>
    </row>
    <row r="1987" ht="15.75" customHeight="1">
      <c r="A1987" t="s">
        <v>29</v>
      </c>
      <c r="B1987" t="s">
        <v>30</v>
      </c>
      <c r="C1987" t="s">
        <v>4916</v>
      </c>
      <c r="D1987" t="s">
        <v>2066</v>
      </c>
      <c r="E1987">
        <v>70847.9844425156</v>
      </c>
      <c r="F1987">
        <v>23616.9265988635</v>
      </c>
      <c r="G1987">
        <v>16191.7434437018</v>
      </c>
      <c r="H1987">
        <v>13997.0696256533</v>
      </c>
      <c r="I1987">
        <v>110656.65</v>
      </c>
      <c r="J1987">
        <v>96659.58</v>
      </c>
      <c r="K1987" s="1"/>
      <c r="L1987" s="1"/>
      <c r="M1987" s="1"/>
      <c r="N1987" s="1"/>
    </row>
    <row r="1988" ht="15.75" customHeight="1">
      <c r="A1988" t="s">
        <v>29</v>
      </c>
      <c r="B1988" t="s">
        <v>26</v>
      </c>
      <c r="C1988" t="s">
        <v>4915</v>
      </c>
      <c r="D1988" t="s">
        <v>2067</v>
      </c>
      <c r="E1988">
        <v>70858.8674124218</v>
      </c>
      <c r="F1988">
        <v>23621.541317191</v>
      </c>
      <c r="G1988">
        <v>16199.4234471313</v>
      </c>
      <c r="H1988">
        <v>14000.4671763406</v>
      </c>
      <c r="I1988">
        <v>110679.83</v>
      </c>
      <c r="J1988">
        <v>96679.36</v>
      </c>
      <c r="K1988" s="1"/>
      <c r="L1988" s="1"/>
      <c r="M1988" s="1"/>
      <c r="N1988" s="1"/>
    </row>
    <row r="1989" ht="15.75" customHeight="1">
      <c r="A1989" t="s">
        <v>13</v>
      </c>
      <c r="B1989" t="s">
        <v>30</v>
      </c>
      <c r="C1989" t="s">
        <v>4911</v>
      </c>
      <c r="D1989" t="s">
        <v>2068</v>
      </c>
      <c r="E1989">
        <v>70869.750382328</v>
      </c>
      <c r="F1989">
        <v>23626.1560355184</v>
      </c>
      <c r="G1989">
        <v>16207.1034505608</v>
      </c>
      <c r="H1989">
        <v>14003.8647270279</v>
      </c>
      <c r="I1989">
        <v>110703.01</v>
      </c>
      <c r="J1989">
        <v>96699.15</v>
      </c>
      <c r="K1989" s="1"/>
      <c r="L1989" s="1"/>
      <c r="M1989" s="1"/>
      <c r="N1989" s="1"/>
    </row>
    <row r="1990" ht="15.75" customHeight="1">
      <c r="A1990" t="s">
        <v>36</v>
      </c>
      <c r="B1990" t="s">
        <v>26</v>
      </c>
      <c r="C1990" t="s">
        <v>4917</v>
      </c>
      <c r="D1990" t="s">
        <v>2069</v>
      </c>
      <c r="E1990">
        <v>70880.6333522342</v>
      </c>
      <c r="F1990">
        <v>23630.7707538458</v>
      </c>
      <c r="G1990">
        <v>16214.7834539902</v>
      </c>
      <c r="H1990">
        <v>14007.2622777152</v>
      </c>
      <c r="I1990">
        <v>110726.19</v>
      </c>
      <c r="J1990">
        <v>96718.93</v>
      </c>
      <c r="K1990" s="1"/>
      <c r="L1990" s="1"/>
      <c r="M1990" s="1"/>
      <c r="N1990" s="1"/>
    </row>
    <row r="1991" ht="15.75" customHeight="1">
      <c r="A1991" t="s">
        <v>36</v>
      </c>
      <c r="B1991" t="s">
        <v>26</v>
      </c>
      <c r="C1991" t="s">
        <v>4915</v>
      </c>
      <c r="D1991" t="s">
        <v>2070</v>
      </c>
      <c r="E1991">
        <v>70891.5163221404</v>
      </c>
      <c r="F1991">
        <v>23635.3854721732</v>
      </c>
      <c r="G1991">
        <v>16222.4634574197</v>
      </c>
      <c r="H1991">
        <v>14010.6598284025</v>
      </c>
      <c r="I1991">
        <v>110749.37</v>
      </c>
      <c r="J1991">
        <v>96738.71</v>
      </c>
      <c r="K1991" s="1"/>
      <c r="L1991" s="1"/>
      <c r="M1991" s="1"/>
      <c r="N1991" s="1"/>
    </row>
    <row r="1992" ht="15.75" customHeight="1">
      <c r="A1992" t="s">
        <v>53</v>
      </c>
      <c r="B1992" t="s">
        <v>37</v>
      </c>
      <c r="C1992" t="s">
        <v>4908</v>
      </c>
      <c r="D1992" t="s">
        <v>2071</v>
      </c>
      <c r="E1992">
        <v>70902.3992920466</v>
      </c>
      <c r="F1992">
        <v>23640.0001905007</v>
      </c>
      <c r="G1992">
        <v>16230.1434608492</v>
      </c>
      <c r="H1992">
        <v>14014.0573790898</v>
      </c>
      <c r="I1992">
        <v>110772.54</v>
      </c>
      <c r="J1992">
        <v>96758.48</v>
      </c>
      <c r="K1992" s="1"/>
      <c r="L1992" s="1"/>
      <c r="M1992" s="1"/>
      <c r="N1992" s="1"/>
    </row>
    <row r="1993" ht="15.75" customHeight="1">
      <c r="A1993" t="s">
        <v>25</v>
      </c>
      <c r="B1993" t="s">
        <v>37</v>
      </c>
      <c r="C1993" t="s">
        <v>4912</v>
      </c>
      <c r="D1993" t="s">
        <v>2072</v>
      </c>
      <c r="E1993">
        <v>70913.2822619528</v>
      </c>
      <c r="F1993">
        <v>23644.6149088281</v>
      </c>
      <c r="G1993">
        <v>16237.8234642787</v>
      </c>
      <c r="H1993">
        <v>14017.4549297771</v>
      </c>
      <c r="I1993">
        <v>110795.72</v>
      </c>
      <c r="J1993">
        <v>96778.27</v>
      </c>
      <c r="K1993" s="1"/>
      <c r="L1993" s="1"/>
      <c r="M1993" s="1"/>
      <c r="N1993" s="1"/>
    </row>
    <row r="1994" ht="15.75" customHeight="1">
      <c r="A1994" t="s">
        <v>25</v>
      </c>
      <c r="B1994" t="s">
        <v>33</v>
      </c>
      <c r="C1994" t="s">
        <v>4912</v>
      </c>
      <c r="D1994" t="s">
        <v>2073</v>
      </c>
      <c r="E1994">
        <v>70924.165231859</v>
      </c>
      <c r="F1994">
        <v>23649.2296271555</v>
      </c>
      <c r="G1994">
        <v>16245.5034677082</v>
      </c>
      <c r="H1994">
        <v>14020.8524804643</v>
      </c>
      <c r="I1994">
        <v>110818.9</v>
      </c>
      <c r="J1994">
        <v>96798.05</v>
      </c>
      <c r="K1994" s="1"/>
      <c r="L1994" s="1"/>
      <c r="M1994" s="1"/>
      <c r="N1994" s="1"/>
    </row>
    <row r="1995" ht="15.75" customHeight="1">
      <c r="A1995" t="s">
        <v>29</v>
      </c>
      <c r="B1995" t="s">
        <v>14</v>
      </c>
      <c r="C1995" t="s">
        <v>4908</v>
      </c>
      <c r="D1995" t="s">
        <v>2074</v>
      </c>
      <c r="E1995">
        <v>70935.0482017652</v>
      </c>
      <c r="F1995">
        <v>23653.8443454829</v>
      </c>
      <c r="G1995">
        <v>16253.1834711377</v>
      </c>
      <c r="H1995">
        <v>14024.2500311516</v>
      </c>
      <c r="I1995">
        <v>110842.08</v>
      </c>
      <c r="J1995">
        <v>96817.83</v>
      </c>
      <c r="K1995" s="1"/>
      <c r="L1995" s="1"/>
      <c r="M1995" s="1"/>
      <c r="N1995" s="1"/>
    </row>
    <row r="1996" ht="15.75" customHeight="1">
      <c r="A1996" t="s">
        <v>17</v>
      </c>
      <c r="B1996" t="s">
        <v>18</v>
      </c>
      <c r="C1996" t="s">
        <v>4910</v>
      </c>
      <c r="D1996" t="s">
        <v>2075</v>
      </c>
      <c r="E1996">
        <v>70945.9311716714</v>
      </c>
      <c r="F1996">
        <v>23658.4590638103</v>
      </c>
      <c r="G1996">
        <v>16260.8634745672</v>
      </c>
      <c r="H1996">
        <v>14027.6475818389</v>
      </c>
      <c r="I1996">
        <v>110865.25</v>
      </c>
      <c r="J1996">
        <v>96837.6</v>
      </c>
      <c r="K1996" s="1"/>
      <c r="L1996" s="1"/>
      <c r="M1996" s="1"/>
      <c r="N1996" s="1"/>
    </row>
    <row r="1997" ht="15.75" customHeight="1">
      <c r="A1997" t="s">
        <v>53</v>
      </c>
      <c r="B1997" t="s">
        <v>14</v>
      </c>
      <c r="C1997" t="s">
        <v>4909</v>
      </c>
      <c r="D1997" t="s">
        <v>2076</v>
      </c>
      <c r="E1997">
        <v>70956.8141415775</v>
      </c>
      <c r="F1997">
        <v>23663.0737821378</v>
      </c>
      <c r="G1997">
        <v>16268.5434779967</v>
      </c>
      <c r="H1997">
        <v>14031.0451325262</v>
      </c>
      <c r="I1997">
        <v>110888.43</v>
      </c>
      <c r="J1997">
        <v>96857.38</v>
      </c>
      <c r="K1997" s="1"/>
      <c r="L1997" s="1"/>
      <c r="M1997" s="1"/>
      <c r="N1997" s="1"/>
    </row>
    <row r="1998" ht="15.75" customHeight="1">
      <c r="A1998" t="s">
        <v>29</v>
      </c>
      <c r="B1998" t="s">
        <v>18</v>
      </c>
      <c r="C1998" t="s">
        <v>4911</v>
      </c>
      <c r="D1998" t="s">
        <v>2077</v>
      </c>
      <c r="E1998">
        <v>70967.6971114837</v>
      </c>
      <c r="F1998">
        <v>23667.6885004652</v>
      </c>
      <c r="G1998">
        <v>16276.2234814262</v>
      </c>
      <c r="H1998">
        <v>14034.4426832135</v>
      </c>
      <c r="I1998">
        <v>110911.61</v>
      </c>
      <c r="J1998">
        <v>96877.17</v>
      </c>
      <c r="K1998" s="1"/>
      <c r="L1998" s="1"/>
      <c r="M1998" s="1"/>
      <c r="N1998" s="1"/>
    </row>
    <row r="1999" ht="15.75" customHeight="1">
      <c r="A1999" t="s">
        <v>36</v>
      </c>
      <c r="B1999" t="s">
        <v>26</v>
      </c>
      <c r="C1999" t="s">
        <v>4913</v>
      </c>
      <c r="D1999" t="s">
        <v>2078</v>
      </c>
      <c r="E1999">
        <v>70978.5800813899</v>
      </c>
      <c r="F1999">
        <v>23672.3032187926</v>
      </c>
      <c r="G1999">
        <v>16283.9034848557</v>
      </c>
      <c r="H1999">
        <v>14037.8402339008</v>
      </c>
      <c r="I1999">
        <v>110934.79</v>
      </c>
      <c r="J1999">
        <v>96896.95</v>
      </c>
      <c r="K1999" s="1"/>
      <c r="L1999" s="1"/>
      <c r="M1999" s="1"/>
      <c r="N1999" s="1"/>
    </row>
    <row r="2000" ht="15.75" customHeight="1">
      <c r="A2000" t="s">
        <v>13</v>
      </c>
      <c r="B2000" t="s">
        <v>30</v>
      </c>
      <c r="C2000" t="s">
        <v>4917</v>
      </c>
      <c r="D2000" t="s">
        <v>2079</v>
      </c>
      <c r="E2000">
        <v>70989.4630512961</v>
      </c>
      <c r="F2000">
        <v>23676.91793712</v>
      </c>
      <c r="G2000">
        <v>16291.5834882852</v>
      </c>
      <c r="H2000">
        <v>14041.2377845881</v>
      </c>
      <c r="I2000">
        <v>110957.96</v>
      </c>
      <c r="J2000">
        <v>96916.72</v>
      </c>
      <c r="K2000" s="1"/>
      <c r="L2000" s="1"/>
      <c r="M2000" s="1"/>
      <c r="N2000" s="1"/>
    </row>
    <row r="2001" ht="15.75" customHeight="1">
      <c r="A2001" t="s">
        <v>25</v>
      </c>
      <c r="B2001" t="s">
        <v>33</v>
      </c>
      <c r="C2001" t="s">
        <v>4914</v>
      </c>
      <c r="D2001" t="s">
        <v>2080</v>
      </c>
      <c r="E2001">
        <v>71000.3460212023</v>
      </c>
      <c r="F2001">
        <v>23681.5326554475</v>
      </c>
      <c r="G2001">
        <v>16299.2634917147</v>
      </c>
      <c r="H2001">
        <v>14044.6353352754</v>
      </c>
      <c r="I2001">
        <v>110981.14</v>
      </c>
      <c r="J2001">
        <v>96936.5</v>
      </c>
      <c r="K2001" s="1"/>
      <c r="L2001" s="1"/>
      <c r="M2001" s="1"/>
      <c r="N2001" s="1"/>
    </row>
    <row r="2002" ht="15.75" customHeight="1">
      <c r="A2002" t="s">
        <v>29</v>
      </c>
      <c r="B2002" t="s">
        <v>37</v>
      </c>
      <c r="C2002" t="s">
        <v>4914</v>
      </c>
      <c r="D2002" t="s">
        <v>2081</v>
      </c>
      <c r="E2002">
        <v>71011.2289911085</v>
      </c>
      <c r="F2002">
        <v>23686.1473737749</v>
      </c>
      <c r="G2002">
        <v>16306.9434951442</v>
      </c>
      <c r="H2002">
        <v>14048.0328859626</v>
      </c>
      <c r="I2002">
        <v>111004.32</v>
      </c>
      <c r="J2002">
        <v>96956.29</v>
      </c>
      <c r="K2002" s="1"/>
      <c r="L2002" s="1"/>
      <c r="M2002" s="1"/>
      <c r="N2002" s="1"/>
    </row>
    <row r="2003" ht="15.75" customHeight="1">
      <c r="A2003" t="s">
        <v>25</v>
      </c>
      <c r="B2003" t="s">
        <v>18</v>
      </c>
      <c r="C2003" t="s">
        <v>4917</v>
      </c>
      <c r="D2003" t="s">
        <v>2082</v>
      </c>
      <c r="E2003">
        <v>71022.1119610147</v>
      </c>
      <c r="F2003">
        <v>23690.7620921023</v>
      </c>
      <c r="G2003">
        <v>16314.6234985737</v>
      </c>
      <c r="H2003">
        <v>14051.4304366499</v>
      </c>
      <c r="I2003">
        <v>111027.5</v>
      </c>
      <c r="J2003">
        <v>96976.07</v>
      </c>
      <c r="K2003" s="1"/>
      <c r="L2003" s="1"/>
      <c r="M2003" s="1"/>
      <c r="N2003" s="1"/>
    </row>
    <row r="2004" ht="15.75" customHeight="1">
      <c r="A2004" t="s">
        <v>36</v>
      </c>
      <c r="B2004" t="s">
        <v>14</v>
      </c>
      <c r="C2004" t="s">
        <v>4909</v>
      </c>
      <c r="D2004" t="s">
        <v>2083</v>
      </c>
      <c r="E2004">
        <v>71032.9949309209</v>
      </c>
      <c r="F2004">
        <v>23695.3768104297</v>
      </c>
      <c r="G2004">
        <v>16322.3035020032</v>
      </c>
      <c r="H2004">
        <v>14054.8279873372</v>
      </c>
      <c r="I2004">
        <v>111050.68</v>
      </c>
      <c r="J2004">
        <v>96995.85</v>
      </c>
      <c r="K2004" s="1"/>
      <c r="L2004" s="1"/>
      <c r="M2004" s="1"/>
      <c r="N2004" s="1"/>
    </row>
    <row r="2005" ht="15.75" customHeight="1">
      <c r="A2005" t="s">
        <v>29</v>
      </c>
      <c r="B2005" t="s">
        <v>14</v>
      </c>
      <c r="C2005" t="s">
        <v>4913</v>
      </c>
      <c r="D2005" t="s">
        <v>2084</v>
      </c>
      <c r="E2005">
        <v>71043.8779008271</v>
      </c>
      <c r="F2005">
        <v>23699.9915287571</v>
      </c>
      <c r="G2005">
        <v>16329.9835054327</v>
      </c>
      <c r="H2005">
        <v>14058.2255380245</v>
      </c>
      <c r="I2005">
        <v>111073.85</v>
      </c>
      <c r="J2005">
        <v>97015.62</v>
      </c>
      <c r="K2005" s="1"/>
      <c r="L2005" s="1"/>
      <c r="M2005" s="1"/>
      <c r="N2005" s="1"/>
    </row>
    <row r="2006" ht="15.75" customHeight="1">
      <c r="A2006" t="s">
        <v>53</v>
      </c>
      <c r="B2006" t="s">
        <v>37</v>
      </c>
      <c r="C2006" t="s">
        <v>4917</v>
      </c>
      <c r="D2006" t="s">
        <v>2085</v>
      </c>
      <c r="E2006">
        <v>71065.6438406395</v>
      </c>
      <c r="F2006">
        <v>23709.220965412</v>
      </c>
      <c r="G2006">
        <v>16345.3435122917</v>
      </c>
      <c r="H2006">
        <v>14065.0206393991</v>
      </c>
      <c r="I2006">
        <v>111120.21</v>
      </c>
      <c r="J2006">
        <v>97055.19</v>
      </c>
      <c r="K2006" s="1"/>
      <c r="L2006" s="1"/>
      <c r="M2006" s="1"/>
      <c r="N2006" s="1"/>
    </row>
    <row r="2007" ht="15.75" customHeight="1">
      <c r="A2007" t="s">
        <v>13</v>
      </c>
      <c r="B2007" t="s">
        <v>33</v>
      </c>
      <c r="C2007" t="s">
        <v>4912</v>
      </c>
      <c r="D2007" t="s">
        <v>2086</v>
      </c>
      <c r="E2007">
        <v>71076.5268105457</v>
      </c>
      <c r="F2007">
        <v>23713.8356837394</v>
      </c>
      <c r="G2007">
        <v>16353.0235157212</v>
      </c>
      <c r="H2007">
        <v>14068.4181900864</v>
      </c>
      <c r="I2007">
        <v>111143.39</v>
      </c>
      <c r="J2007">
        <v>97074.97</v>
      </c>
      <c r="K2007" s="1"/>
      <c r="L2007" s="1"/>
      <c r="M2007" s="1"/>
      <c r="N2007" s="1"/>
    </row>
    <row r="2008" ht="15.75" customHeight="1">
      <c r="A2008" t="s">
        <v>51</v>
      </c>
      <c r="B2008" t="s">
        <v>26</v>
      </c>
      <c r="C2008" t="s">
        <v>4910</v>
      </c>
      <c r="D2008" t="s">
        <v>2087</v>
      </c>
      <c r="E2008">
        <v>71087.4097804519</v>
      </c>
      <c r="F2008">
        <v>23718.4504020668</v>
      </c>
      <c r="G2008">
        <v>16360.7035191507</v>
      </c>
      <c r="H2008">
        <v>14071.8157407736</v>
      </c>
      <c r="I2008">
        <v>111166.56</v>
      </c>
      <c r="J2008">
        <v>97094.74</v>
      </c>
      <c r="K2008" s="1"/>
      <c r="L2008" s="1"/>
      <c r="M2008" s="1"/>
      <c r="N2008" s="1"/>
    </row>
    <row r="2009" ht="15.75" customHeight="1">
      <c r="A2009" t="s">
        <v>25</v>
      </c>
      <c r="B2009" t="s">
        <v>33</v>
      </c>
      <c r="C2009" t="s">
        <v>4916</v>
      </c>
      <c r="D2009" t="s">
        <v>2088</v>
      </c>
      <c r="E2009">
        <v>71098.2927503581</v>
      </c>
      <c r="F2009">
        <v>23723.0651203943</v>
      </c>
      <c r="G2009">
        <v>16368.3835225802</v>
      </c>
      <c r="H2009">
        <v>14075.2132914609</v>
      </c>
      <c r="I2009">
        <v>111189.74</v>
      </c>
      <c r="J2009">
        <v>97114.53</v>
      </c>
      <c r="K2009" s="1"/>
      <c r="L2009" s="1"/>
      <c r="M2009" s="1"/>
      <c r="N2009" s="1"/>
    </row>
    <row r="2010" ht="15.75" customHeight="1">
      <c r="A2010" t="s">
        <v>53</v>
      </c>
      <c r="B2010" t="s">
        <v>33</v>
      </c>
      <c r="C2010" t="s">
        <v>4908</v>
      </c>
      <c r="D2010" t="s">
        <v>2089</v>
      </c>
      <c r="E2010">
        <v>71120.0586901704</v>
      </c>
      <c r="F2010">
        <v>23732.2945570491</v>
      </c>
      <c r="G2010">
        <v>16383.7435294392</v>
      </c>
      <c r="H2010">
        <v>14082.0083928355</v>
      </c>
      <c r="I2010">
        <v>111236.1</v>
      </c>
      <c r="J2010">
        <v>97154.09</v>
      </c>
      <c r="K2010" s="1"/>
      <c r="L2010" s="1"/>
      <c r="M2010" s="1"/>
      <c r="N2010" s="1"/>
    </row>
    <row r="2011" ht="15.75" customHeight="1">
      <c r="A2011" t="s">
        <v>13</v>
      </c>
      <c r="B2011" t="s">
        <v>54</v>
      </c>
      <c r="C2011" t="s">
        <v>4910</v>
      </c>
      <c r="D2011" t="s">
        <v>2090</v>
      </c>
      <c r="E2011">
        <v>71130.9416600766</v>
      </c>
      <c r="F2011">
        <v>23736.9092753765</v>
      </c>
      <c r="G2011">
        <v>16391.4235328687</v>
      </c>
      <c r="H2011">
        <v>14085.4059435228</v>
      </c>
      <c r="I2011">
        <v>111259.27</v>
      </c>
      <c r="J2011">
        <v>97173.86</v>
      </c>
      <c r="K2011" s="1"/>
      <c r="L2011" s="1"/>
      <c r="M2011" s="1"/>
      <c r="N2011" s="1"/>
    </row>
    <row r="2012" ht="15.75" customHeight="1">
      <c r="A2012" t="s">
        <v>25</v>
      </c>
      <c r="B2012" t="s">
        <v>54</v>
      </c>
      <c r="C2012" t="s">
        <v>4910</v>
      </c>
      <c r="D2012" t="s">
        <v>2091</v>
      </c>
      <c r="E2012">
        <v>71141.8246299828</v>
      </c>
      <c r="F2012">
        <v>23741.5239937039</v>
      </c>
      <c r="G2012">
        <v>16399.1035362982</v>
      </c>
      <c r="H2012">
        <v>14088.8034942101</v>
      </c>
      <c r="I2012">
        <v>111282.45</v>
      </c>
      <c r="J2012">
        <v>97193.65</v>
      </c>
      <c r="K2012" s="1"/>
      <c r="L2012" s="1"/>
      <c r="M2012" s="1"/>
      <c r="N2012" s="1"/>
    </row>
    <row r="2013" ht="15.75" customHeight="1">
      <c r="A2013" t="s">
        <v>17</v>
      </c>
      <c r="B2013" t="s">
        <v>26</v>
      </c>
      <c r="C2013" t="s">
        <v>4914</v>
      </c>
      <c r="D2013" t="s">
        <v>2092</v>
      </c>
      <c r="E2013">
        <v>71152.707599889</v>
      </c>
      <c r="F2013">
        <v>23746.1387120314</v>
      </c>
      <c r="G2013">
        <v>16406.7835397277</v>
      </c>
      <c r="H2013">
        <v>14092.2010448974</v>
      </c>
      <c r="I2013">
        <v>111305.63</v>
      </c>
      <c r="J2013">
        <v>97213.43</v>
      </c>
      <c r="K2013" s="1"/>
      <c r="L2013" s="1"/>
      <c r="M2013" s="1"/>
      <c r="N2013" s="1"/>
    </row>
    <row r="2014" ht="15.75" customHeight="1">
      <c r="A2014" t="s">
        <v>36</v>
      </c>
      <c r="B2014" t="s">
        <v>37</v>
      </c>
      <c r="C2014" t="s">
        <v>4907</v>
      </c>
      <c r="D2014" t="s">
        <v>2093</v>
      </c>
      <c r="E2014">
        <v>71163.5905697952</v>
      </c>
      <c r="F2014">
        <v>23750.7534303588</v>
      </c>
      <c r="G2014">
        <v>16414.4635431572</v>
      </c>
      <c r="H2014">
        <v>14095.5985955847</v>
      </c>
      <c r="I2014">
        <v>111328.81</v>
      </c>
      <c r="J2014">
        <v>97233.21</v>
      </c>
      <c r="K2014" s="1"/>
      <c r="L2014" s="1"/>
      <c r="M2014" s="1"/>
      <c r="N2014" s="1"/>
    </row>
    <row r="2015" ht="15.75" customHeight="1">
      <c r="A2015" t="s">
        <v>29</v>
      </c>
      <c r="B2015" t="s">
        <v>14</v>
      </c>
      <c r="C2015" t="s">
        <v>4908</v>
      </c>
      <c r="D2015" t="s">
        <v>2094</v>
      </c>
      <c r="E2015">
        <v>71174.4735397014</v>
      </c>
      <c r="F2015">
        <v>23755.3681486862</v>
      </c>
      <c r="G2015">
        <v>16422.1435465867</v>
      </c>
      <c r="H2015">
        <v>14098.9961462719</v>
      </c>
      <c r="I2015">
        <v>111351.99</v>
      </c>
      <c r="J2015">
        <v>97252.99</v>
      </c>
      <c r="K2015" s="1"/>
      <c r="L2015" s="1"/>
      <c r="M2015" s="1"/>
      <c r="N2015" s="1"/>
    </row>
    <row r="2016" ht="15.75" customHeight="1">
      <c r="A2016" t="s">
        <v>51</v>
      </c>
      <c r="B2016" t="s">
        <v>33</v>
      </c>
      <c r="C2016" t="s">
        <v>4916</v>
      </c>
      <c r="D2016" t="s">
        <v>2095</v>
      </c>
      <c r="E2016">
        <v>71196.2394795138</v>
      </c>
      <c r="F2016">
        <v>23764.5975853411</v>
      </c>
      <c r="G2016">
        <v>16437.5035534457</v>
      </c>
      <c r="H2016">
        <v>14105.7912476465</v>
      </c>
      <c r="I2016">
        <v>111398.34</v>
      </c>
      <c r="J2016">
        <v>97292.55</v>
      </c>
      <c r="K2016" s="1"/>
      <c r="L2016" s="1"/>
      <c r="M2016" s="1"/>
      <c r="N2016" s="1"/>
    </row>
    <row r="2017" ht="15.75" customHeight="1">
      <c r="A2017" t="s">
        <v>17</v>
      </c>
      <c r="B2017" t="s">
        <v>18</v>
      </c>
      <c r="C2017" t="s">
        <v>4910</v>
      </c>
      <c r="D2017" t="s">
        <v>2096</v>
      </c>
      <c r="E2017">
        <v>71207.12244942</v>
      </c>
      <c r="F2017">
        <v>23769.2123036685</v>
      </c>
      <c r="G2017">
        <v>16445.1835568752</v>
      </c>
      <c r="H2017">
        <v>14109.1887983338</v>
      </c>
      <c r="I2017">
        <v>111421.52</v>
      </c>
      <c r="J2017">
        <v>97312.33</v>
      </c>
      <c r="K2017" s="1"/>
      <c r="L2017" s="1"/>
      <c r="M2017" s="1"/>
      <c r="N2017" s="1"/>
    </row>
    <row r="2018" ht="15.75" customHeight="1">
      <c r="A2018" t="s">
        <v>25</v>
      </c>
      <c r="B2018" t="s">
        <v>26</v>
      </c>
      <c r="C2018" t="s">
        <v>4917</v>
      </c>
      <c r="D2018" t="s">
        <v>2097</v>
      </c>
      <c r="E2018">
        <v>71218.0054193262</v>
      </c>
      <c r="F2018">
        <v>23773.8270219959</v>
      </c>
      <c r="G2018">
        <v>16452.8635603047</v>
      </c>
      <c r="H2018">
        <v>14112.5863490211</v>
      </c>
      <c r="I2018">
        <v>111444.7</v>
      </c>
      <c r="J2018">
        <v>97332.11</v>
      </c>
      <c r="K2018" s="1"/>
      <c r="L2018" s="1"/>
      <c r="M2018" s="1"/>
      <c r="N2018" s="1"/>
    </row>
    <row r="2019" ht="15.75" customHeight="1">
      <c r="A2019" t="s">
        <v>36</v>
      </c>
      <c r="B2019" t="s">
        <v>33</v>
      </c>
      <c r="C2019" t="s">
        <v>4912</v>
      </c>
      <c r="D2019" t="s">
        <v>2098</v>
      </c>
      <c r="E2019">
        <v>71228.8883892324</v>
      </c>
      <c r="F2019">
        <v>23778.4417403233</v>
      </c>
      <c r="G2019">
        <v>16460.5435637342</v>
      </c>
      <c r="H2019">
        <v>14115.9838997084</v>
      </c>
      <c r="I2019">
        <v>111467.87</v>
      </c>
      <c r="J2019">
        <v>97351.89</v>
      </c>
      <c r="K2019" s="1"/>
      <c r="L2019" s="1"/>
      <c r="M2019" s="1"/>
      <c r="N2019" s="1"/>
    </row>
    <row r="2020" ht="15.75" customHeight="1">
      <c r="A2020" t="s">
        <v>36</v>
      </c>
      <c r="B2020" t="s">
        <v>14</v>
      </c>
      <c r="C2020" t="s">
        <v>4909</v>
      </c>
      <c r="D2020" t="s">
        <v>2099</v>
      </c>
      <c r="E2020">
        <v>71239.7713591386</v>
      </c>
      <c r="F2020">
        <v>23783.0564586507</v>
      </c>
      <c r="G2020">
        <v>16468.2235671637</v>
      </c>
      <c r="H2020">
        <v>14119.3814503957</v>
      </c>
      <c r="I2020">
        <v>111491.05</v>
      </c>
      <c r="J2020">
        <v>97371.67</v>
      </c>
      <c r="K2020" s="1"/>
      <c r="L2020" s="1"/>
      <c r="M2020" s="1"/>
      <c r="N2020" s="1"/>
    </row>
    <row r="2021" ht="15.75" customHeight="1">
      <c r="A2021" t="s">
        <v>17</v>
      </c>
      <c r="B2021" t="s">
        <v>26</v>
      </c>
      <c r="C2021" t="s">
        <v>4909</v>
      </c>
      <c r="D2021" t="s">
        <v>2100</v>
      </c>
      <c r="E2021">
        <v>71250.6543290448</v>
      </c>
      <c r="F2021">
        <v>23787.6711769782</v>
      </c>
      <c r="G2021">
        <v>16475.9035705932</v>
      </c>
      <c r="H2021">
        <v>14122.779001083</v>
      </c>
      <c r="I2021">
        <v>111514.23</v>
      </c>
      <c r="J2021">
        <v>97391.45</v>
      </c>
      <c r="K2021" s="1"/>
      <c r="L2021" s="1"/>
      <c r="M2021" s="1"/>
      <c r="N2021" s="1"/>
    </row>
    <row r="2022" ht="15.75" customHeight="1">
      <c r="A2022" t="s">
        <v>29</v>
      </c>
      <c r="B2022" t="s">
        <v>54</v>
      </c>
      <c r="C2022" t="s">
        <v>4914</v>
      </c>
      <c r="D2022" t="s">
        <v>2101</v>
      </c>
      <c r="E2022">
        <v>71261.537298951</v>
      </c>
      <c r="F2022">
        <v>23792.2858953056</v>
      </c>
      <c r="G2022">
        <v>16483.5835740227</v>
      </c>
      <c r="H2022">
        <v>14126.1765517702</v>
      </c>
      <c r="I2022">
        <v>111537.41</v>
      </c>
      <c r="J2022">
        <v>97411.23</v>
      </c>
      <c r="K2022" s="1"/>
      <c r="L2022" s="1"/>
      <c r="M2022" s="1"/>
      <c r="N2022" s="1"/>
    </row>
    <row r="2023" ht="15.75" customHeight="1">
      <c r="A2023" t="s">
        <v>51</v>
      </c>
      <c r="B2023" t="s">
        <v>30</v>
      </c>
      <c r="C2023" t="s">
        <v>4911</v>
      </c>
      <c r="D2023" t="s">
        <v>2102</v>
      </c>
      <c r="E2023">
        <v>71272.4202688572</v>
      </c>
      <c r="F2023">
        <v>23796.900613633</v>
      </c>
      <c r="G2023">
        <v>16491.2635774521</v>
      </c>
      <c r="H2023">
        <v>14129.5741024575</v>
      </c>
      <c r="I2023">
        <v>111560.58</v>
      </c>
      <c r="J2023">
        <v>97431.01</v>
      </c>
      <c r="K2023" s="1"/>
      <c r="L2023" s="1"/>
      <c r="M2023" s="1"/>
      <c r="N2023" s="1"/>
    </row>
    <row r="2024" ht="15.75" customHeight="1">
      <c r="A2024" t="s">
        <v>29</v>
      </c>
      <c r="B2024" t="s">
        <v>54</v>
      </c>
      <c r="C2024" t="s">
        <v>4908</v>
      </c>
      <c r="D2024" t="s">
        <v>2103</v>
      </c>
      <c r="E2024">
        <v>71283.3032387633</v>
      </c>
      <c r="F2024">
        <v>23801.5153319604</v>
      </c>
      <c r="G2024">
        <v>16498.9435808816</v>
      </c>
      <c r="H2024">
        <v>14132.9716531448</v>
      </c>
      <c r="I2024">
        <v>111583.76</v>
      </c>
      <c r="J2024">
        <v>97450.79</v>
      </c>
      <c r="K2024" s="1"/>
      <c r="L2024" s="1"/>
      <c r="M2024" s="1"/>
      <c r="N2024" s="1"/>
    </row>
    <row r="2025" ht="15.75" customHeight="1">
      <c r="A2025" t="s">
        <v>17</v>
      </c>
      <c r="B2025" t="s">
        <v>14</v>
      </c>
      <c r="C2025" t="s">
        <v>4905</v>
      </c>
      <c r="D2025" t="s">
        <v>2104</v>
      </c>
      <c r="E2025">
        <v>71294.1862086695</v>
      </c>
      <c r="F2025">
        <v>23806.1300502879</v>
      </c>
      <c r="G2025">
        <v>16506.6235843111</v>
      </c>
      <c r="H2025">
        <v>14136.3692038321</v>
      </c>
      <c r="I2025">
        <v>111606.94</v>
      </c>
      <c r="J2025">
        <v>97470.57</v>
      </c>
      <c r="K2025" s="1"/>
      <c r="L2025" s="1"/>
      <c r="M2025" s="1"/>
      <c r="N2025" s="1"/>
    </row>
    <row r="2026" ht="15.75" customHeight="1">
      <c r="A2026" t="s">
        <v>51</v>
      </c>
      <c r="B2026" t="s">
        <v>14</v>
      </c>
      <c r="C2026" t="s">
        <v>4908</v>
      </c>
      <c r="D2026" t="s">
        <v>2105</v>
      </c>
      <c r="E2026">
        <v>71315.9521484819</v>
      </c>
      <c r="F2026">
        <v>23815.3594869427</v>
      </c>
      <c r="G2026">
        <v>16521.9835911701</v>
      </c>
      <c r="H2026">
        <v>14143.1643052067</v>
      </c>
      <c r="I2026">
        <v>111653.3</v>
      </c>
      <c r="J2026">
        <v>97510.14</v>
      </c>
      <c r="K2026" s="1"/>
      <c r="L2026" s="1"/>
      <c r="M2026" s="1"/>
      <c r="N2026" s="1"/>
    </row>
    <row r="2027" ht="15.75" customHeight="1">
      <c r="A2027" t="s">
        <v>51</v>
      </c>
      <c r="B2027" t="s">
        <v>30</v>
      </c>
      <c r="C2027" t="s">
        <v>4917</v>
      </c>
      <c r="D2027" t="s">
        <v>2106</v>
      </c>
      <c r="E2027">
        <v>71326.8351183881</v>
      </c>
      <c r="F2027">
        <v>23819.9742052701</v>
      </c>
      <c r="G2027">
        <v>16529.6635945996</v>
      </c>
      <c r="H2027">
        <v>14146.561855894</v>
      </c>
      <c r="I2027">
        <v>111676.47</v>
      </c>
      <c r="J2027">
        <v>97529.91</v>
      </c>
      <c r="K2027" s="1"/>
      <c r="L2027" s="1"/>
      <c r="M2027" s="1"/>
      <c r="N2027" s="1"/>
    </row>
    <row r="2028" ht="15.75" customHeight="1">
      <c r="A2028" t="s">
        <v>36</v>
      </c>
      <c r="B2028" t="s">
        <v>30</v>
      </c>
      <c r="C2028" t="s">
        <v>4914</v>
      </c>
      <c r="D2028" t="s">
        <v>2107</v>
      </c>
      <c r="E2028">
        <v>71337.7180882943</v>
      </c>
      <c r="F2028">
        <v>23824.5889235975</v>
      </c>
      <c r="G2028">
        <v>16537.3435980291</v>
      </c>
      <c r="H2028">
        <v>14149.9594065812</v>
      </c>
      <c r="I2028">
        <v>111699.65</v>
      </c>
      <c r="J2028">
        <v>97549.69</v>
      </c>
      <c r="K2028" s="1"/>
      <c r="L2028" s="1"/>
      <c r="M2028" s="1"/>
      <c r="N2028" s="1"/>
    </row>
    <row r="2029" ht="15.75" customHeight="1">
      <c r="A2029" t="s">
        <v>13</v>
      </c>
      <c r="B2029" t="s">
        <v>54</v>
      </c>
      <c r="C2029" t="s">
        <v>4908</v>
      </c>
      <c r="D2029" t="s">
        <v>2108</v>
      </c>
      <c r="E2029">
        <v>71348.6010582005</v>
      </c>
      <c r="F2029">
        <v>23829.203641925</v>
      </c>
      <c r="G2029">
        <v>16545.0236014586</v>
      </c>
      <c r="H2029">
        <v>14153.3569572685</v>
      </c>
      <c r="I2029">
        <v>111722.83</v>
      </c>
      <c r="J2029">
        <v>97569.47</v>
      </c>
      <c r="K2029" s="1"/>
      <c r="L2029" s="1"/>
      <c r="M2029" s="1"/>
      <c r="N2029" s="1"/>
    </row>
    <row r="2030" ht="15.75" customHeight="1">
      <c r="A2030" t="s">
        <v>17</v>
      </c>
      <c r="B2030" t="s">
        <v>26</v>
      </c>
      <c r="C2030" t="s">
        <v>4916</v>
      </c>
      <c r="D2030" t="s">
        <v>2109</v>
      </c>
      <c r="E2030">
        <v>71370.3669980129</v>
      </c>
      <c r="F2030">
        <v>23838.4330785798</v>
      </c>
      <c r="G2030">
        <v>16560.3836083176</v>
      </c>
      <c r="H2030">
        <v>14160.1520586431</v>
      </c>
      <c r="I2030">
        <v>111769.18</v>
      </c>
      <c r="J2030">
        <v>97609.03</v>
      </c>
      <c r="K2030" s="1"/>
      <c r="L2030" s="1"/>
      <c r="M2030" s="1"/>
      <c r="N2030" s="1"/>
    </row>
    <row r="2031" ht="15.75" customHeight="1">
      <c r="A2031" t="s">
        <v>53</v>
      </c>
      <c r="B2031" t="s">
        <v>30</v>
      </c>
      <c r="C2031" t="s">
        <v>4909</v>
      </c>
      <c r="D2031" t="s">
        <v>2110</v>
      </c>
      <c r="E2031">
        <v>71381.2499679191</v>
      </c>
      <c r="F2031">
        <v>23843.0477969072</v>
      </c>
      <c r="G2031">
        <v>16568.0636117471</v>
      </c>
      <c r="H2031">
        <v>14163.5496093304</v>
      </c>
      <c r="I2031">
        <v>111792.36</v>
      </c>
      <c r="J2031">
        <v>97628.81</v>
      </c>
      <c r="K2031" s="1"/>
      <c r="L2031" s="1"/>
      <c r="M2031" s="1"/>
      <c r="N2031" s="1"/>
    </row>
    <row r="2032" ht="15.75" customHeight="1">
      <c r="A2032" t="s">
        <v>51</v>
      </c>
      <c r="B2032" t="s">
        <v>14</v>
      </c>
      <c r="C2032" t="s">
        <v>4909</v>
      </c>
      <c r="D2032" t="s">
        <v>2111</v>
      </c>
      <c r="E2032">
        <v>71403.0159077315</v>
      </c>
      <c r="F2032">
        <v>23852.2772335621</v>
      </c>
      <c r="G2032">
        <v>16583.4236186061</v>
      </c>
      <c r="H2032">
        <v>14170.344710705</v>
      </c>
      <c r="I2032">
        <v>111838.72</v>
      </c>
      <c r="J2032">
        <v>97668.38</v>
      </c>
      <c r="K2032" s="1"/>
      <c r="L2032" s="1"/>
      <c r="M2032" s="1"/>
      <c r="N2032" s="1"/>
    </row>
    <row r="2033" ht="15.75" customHeight="1">
      <c r="A2033" t="s">
        <v>17</v>
      </c>
      <c r="B2033" t="s">
        <v>54</v>
      </c>
      <c r="C2033" t="s">
        <v>4912</v>
      </c>
      <c r="D2033" t="s">
        <v>2112</v>
      </c>
      <c r="E2033">
        <v>71413.8988776377</v>
      </c>
      <c r="F2033">
        <v>23856.8919518895</v>
      </c>
      <c r="G2033">
        <v>16591.1036220356</v>
      </c>
      <c r="H2033">
        <v>14173.7422613923</v>
      </c>
      <c r="I2033">
        <v>111861.89</v>
      </c>
      <c r="J2033">
        <v>97688.15</v>
      </c>
      <c r="K2033" s="1"/>
      <c r="L2033" s="1"/>
      <c r="M2033" s="1"/>
      <c r="N2033" s="1"/>
    </row>
    <row r="2034" ht="15.75" customHeight="1">
      <c r="A2034" t="s">
        <v>25</v>
      </c>
      <c r="B2034" t="s">
        <v>54</v>
      </c>
      <c r="C2034" t="s">
        <v>4910</v>
      </c>
      <c r="D2034" t="s">
        <v>2113</v>
      </c>
      <c r="E2034">
        <v>71435.6648174501</v>
      </c>
      <c r="F2034">
        <v>23866.1213885443</v>
      </c>
      <c r="G2034">
        <v>16606.4636288946</v>
      </c>
      <c r="H2034">
        <v>14180.5373627668</v>
      </c>
      <c r="I2034">
        <v>111908.25</v>
      </c>
      <c r="J2034">
        <v>97727.71</v>
      </c>
      <c r="K2034" s="1"/>
      <c r="L2034" s="1"/>
      <c r="M2034" s="1"/>
      <c r="N2034" s="1"/>
    </row>
    <row r="2035" ht="15.75" customHeight="1">
      <c r="A2035" t="s">
        <v>51</v>
      </c>
      <c r="B2035" t="s">
        <v>54</v>
      </c>
      <c r="C2035" t="s">
        <v>4912</v>
      </c>
      <c r="D2035" t="s">
        <v>2114</v>
      </c>
      <c r="E2035">
        <v>71446.5477873563</v>
      </c>
      <c r="F2035">
        <v>23870.7361068718</v>
      </c>
      <c r="G2035">
        <v>16614.1436323241</v>
      </c>
      <c r="H2035">
        <v>14183.9349134541</v>
      </c>
      <c r="I2035">
        <v>111931.43</v>
      </c>
      <c r="J2035">
        <v>97747.5</v>
      </c>
      <c r="K2035" s="1"/>
      <c r="L2035" s="1"/>
      <c r="M2035" s="1"/>
      <c r="N2035" s="1"/>
    </row>
    <row r="2036" ht="15.75" customHeight="1">
      <c r="A2036" t="s">
        <v>53</v>
      </c>
      <c r="B2036" t="s">
        <v>37</v>
      </c>
      <c r="C2036" t="s">
        <v>4915</v>
      </c>
      <c r="D2036" t="s">
        <v>2115</v>
      </c>
      <c r="E2036">
        <v>71457.4307572624</v>
      </c>
      <c r="F2036">
        <v>23875.3508251992</v>
      </c>
      <c r="G2036">
        <v>16621.8236357536</v>
      </c>
      <c r="H2036">
        <v>14187.3324641414</v>
      </c>
      <c r="I2036">
        <v>111954.61</v>
      </c>
      <c r="J2036">
        <v>97767.28</v>
      </c>
      <c r="K2036" s="1"/>
      <c r="L2036" s="1"/>
      <c r="M2036" s="1"/>
      <c r="N2036" s="1"/>
    </row>
    <row r="2037" ht="15.75" customHeight="1">
      <c r="A2037" t="s">
        <v>13</v>
      </c>
      <c r="B2037" t="s">
        <v>26</v>
      </c>
      <c r="C2037" t="s">
        <v>4915</v>
      </c>
      <c r="D2037" t="s">
        <v>2116</v>
      </c>
      <c r="E2037">
        <v>71468.3137271686</v>
      </c>
      <c r="F2037">
        <v>23879.9655435266</v>
      </c>
      <c r="G2037">
        <v>16629.5036391831</v>
      </c>
      <c r="H2037">
        <v>14190.7300148287</v>
      </c>
      <c r="I2037">
        <v>111977.78</v>
      </c>
      <c r="J2037">
        <v>97787.05</v>
      </c>
      <c r="K2037" s="1"/>
      <c r="L2037" s="1"/>
      <c r="M2037" s="1"/>
      <c r="N2037" s="1"/>
    </row>
    <row r="2038" ht="15.75" customHeight="1">
      <c r="A2038" t="s">
        <v>36</v>
      </c>
      <c r="B2038" t="s">
        <v>37</v>
      </c>
      <c r="C2038" t="s">
        <v>4911</v>
      </c>
      <c r="D2038" t="s">
        <v>2117</v>
      </c>
      <c r="E2038">
        <v>71479.1966970748</v>
      </c>
      <c r="F2038">
        <v>23884.580261854</v>
      </c>
      <c r="G2038">
        <v>16637.1836426126</v>
      </c>
      <c r="H2038">
        <v>14194.127565516</v>
      </c>
      <c r="I2038">
        <v>112000.96</v>
      </c>
      <c r="J2038">
        <v>97806.83</v>
      </c>
      <c r="K2038" s="1"/>
      <c r="L2038" s="1"/>
      <c r="M2038" s="1"/>
      <c r="N2038" s="1"/>
    </row>
    <row r="2039" ht="15.75" customHeight="1">
      <c r="A2039" t="s">
        <v>29</v>
      </c>
      <c r="B2039" t="s">
        <v>37</v>
      </c>
      <c r="C2039" t="s">
        <v>4905</v>
      </c>
      <c r="D2039" t="s">
        <v>2118</v>
      </c>
      <c r="E2039">
        <v>71490.079666981</v>
      </c>
      <c r="F2039">
        <v>23889.1949801814</v>
      </c>
      <c r="G2039">
        <v>16644.8636460421</v>
      </c>
      <c r="H2039">
        <v>14197.5251162033</v>
      </c>
      <c r="I2039">
        <v>112024.14</v>
      </c>
      <c r="J2039">
        <v>97826.61</v>
      </c>
      <c r="K2039" s="1"/>
      <c r="L2039" s="1"/>
      <c r="M2039" s="1"/>
      <c r="N2039" s="1"/>
    </row>
    <row r="2040" ht="15.75" customHeight="1">
      <c r="A2040" t="s">
        <v>17</v>
      </c>
      <c r="B2040" t="s">
        <v>33</v>
      </c>
      <c r="C2040" t="s">
        <v>4917</v>
      </c>
      <c r="D2040" t="s">
        <v>2119</v>
      </c>
      <c r="E2040">
        <v>71511.8456067934</v>
      </c>
      <c r="F2040">
        <v>23898.4244168363</v>
      </c>
      <c r="G2040">
        <v>16660.2236529011</v>
      </c>
      <c r="H2040">
        <v>14735.51589897765</v>
      </c>
      <c r="I2040">
        <v>112070.49</v>
      </c>
      <c r="J2040">
        <v>97334.97</v>
      </c>
      <c r="K2040" s="1"/>
      <c r="L2040" s="1"/>
      <c r="M2040" s="1"/>
      <c r="N2040" s="1"/>
    </row>
    <row r="2041" ht="15.75" customHeight="1">
      <c r="A2041" t="s">
        <v>36</v>
      </c>
      <c r="B2041" t="s">
        <v>14</v>
      </c>
      <c r="C2041" t="s">
        <v>4911</v>
      </c>
      <c r="D2041" t="s">
        <v>2120</v>
      </c>
      <c r="E2041">
        <v>71522.7285766996</v>
      </c>
      <c r="F2041">
        <v>23903.0391351637</v>
      </c>
      <c r="G2041">
        <v>16667.9036563306</v>
      </c>
      <c r="H2041">
        <v>14207.7177682651</v>
      </c>
      <c r="I2041">
        <v>112093.67</v>
      </c>
      <c r="J2041">
        <v>97885.95</v>
      </c>
      <c r="K2041" s="1"/>
      <c r="L2041" s="1"/>
      <c r="M2041" s="1"/>
      <c r="N2041" s="1"/>
    </row>
    <row r="2042" ht="15.75" customHeight="1">
      <c r="A2042" t="s">
        <v>29</v>
      </c>
      <c r="B2042" t="s">
        <v>37</v>
      </c>
      <c r="C2042" t="s">
        <v>4907</v>
      </c>
      <c r="D2042" t="s">
        <v>2121</v>
      </c>
      <c r="E2042">
        <v>71533.6115466058</v>
      </c>
      <c r="F2042">
        <v>23907.6538534911</v>
      </c>
      <c r="G2042">
        <v>16675.5836597601</v>
      </c>
      <c r="H2042">
        <v>14211.1153189524</v>
      </c>
      <c r="I2042">
        <v>112116.85</v>
      </c>
      <c r="J2042">
        <v>97905.73</v>
      </c>
      <c r="K2042" s="1"/>
      <c r="L2042" s="1"/>
      <c r="M2042" s="1"/>
      <c r="N2042" s="1"/>
    </row>
    <row r="2043" ht="15.75" customHeight="1">
      <c r="A2043" t="s">
        <v>51</v>
      </c>
      <c r="B2043" t="s">
        <v>33</v>
      </c>
      <c r="C2043" t="s">
        <v>4905</v>
      </c>
      <c r="D2043" t="s">
        <v>2122</v>
      </c>
      <c r="E2043">
        <v>71544.494516512</v>
      </c>
      <c r="F2043">
        <v>23912.2685718186</v>
      </c>
      <c r="G2043">
        <v>16683.2636631896</v>
      </c>
      <c r="H2043">
        <v>14214.5128696397</v>
      </c>
      <c r="I2043">
        <v>112140.03</v>
      </c>
      <c r="J2043">
        <v>97925.52</v>
      </c>
      <c r="K2043" s="1"/>
      <c r="L2043" s="1"/>
      <c r="M2043" s="1"/>
      <c r="N2043" s="1"/>
    </row>
    <row r="2044" ht="15.75" customHeight="1">
      <c r="A2044" t="s">
        <v>53</v>
      </c>
      <c r="B2044" t="s">
        <v>14</v>
      </c>
      <c r="C2044" t="s">
        <v>4917</v>
      </c>
      <c r="D2044" t="s">
        <v>2123</v>
      </c>
      <c r="E2044">
        <v>71566.2604563244</v>
      </c>
      <c r="F2044">
        <v>23921.4980084734</v>
      </c>
      <c r="G2044">
        <v>16698.6236700486</v>
      </c>
      <c r="H2044">
        <v>14221.3079710143</v>
      </c>
      <c r="I2044">
        <v>112186.38</v>
      </c>
      <c r="J2044">
        <v>97965.07</v>
      </c>
      <c r="K2044" s="1"/>
      <c r="L2044" s="1"/>
      <c r="M2044" s="1"/>
      <c r="N2044" s="1"/>
    </row>
    <row r="2045" ht="15.75" customHeight="1">
      <c r="A2045" t="s">
        <v>17</v>
      </c>
      <c r="B2045" t="s">
        <v>18</v>
      </c>
      <c r="C2045" t="s">
        <v>4905</v>
      </c>
      <c r="D2045" t="s">
        <v>2124</v>
      </c>
      <c r="E2045">
        <v>71588.0263961368</v>
      </c>
      <c r="F2045">
        <v>23930.7274451282</v>
      </c>
      <c r="G2045">
        <v>16713.9836769076</v>
      </c>
      <c r="H2045">
        <v>14228.1030723888</v>
      </c>
      <c r="I2045">
        <v>112232.74</v>
      </c>
      <c r="J2045">
        <v>98004.64</v>
      </c>
      <c r="K2045" s="1"/>
      <c r="L2045" s="1"/>
      <c r="M2045" s="1"/>
      <c r="N2045" s="1"/>
    </row>
    <row r="2046" ht="15.75" customHeight="1">
      <c r="A2046" t="s">
        <v>25</v>
      </c>
      <c r="B2046" t="s">
        <v>18</v>
      </c>
      <c r="C2046" t="s">
        <v>4909</v>
      </c>
      <c r="D2046" t="s">
        <v>2125</v>
      </c>
      <c r="E2046">
        <v>71598.909366043</v>
      </c>
      <c r="F2046">
        <v>23935.3421634557</v>
      </c>
      <c r="G2046">
        <v>16721.6636803371</v>
      </c>
      <c r="H2046">
        <v>14231.5006230761</v>
      </c>
      <c r="I2046">
        <v>112255.92</v>
      </c>
      <c r="J2046">
        <v>98024.42</v>
      </c>
      <c r="K2046" s="1"/>
      <c r="L2046" s="1"/>
      <c r="M2046" s="1"/>
      <c r="N2046" s="1"/>
    </row>
    <row r="2047" ht="15.75" customHeight="1">
      <c r="A2047" t="s">
        <v>17</v>
      </c>
      <c r="B2047" t="s">
        <v>33</v>
      </c>
      <c r="C2047" t="s">
        <v>4917</v>
      </c>
      <c r="D2047" t="s">
        <v>2126</v>
      </c>
      <c r="E2047">
        <v>71609.7923359491</v>
      </c>
      <c r="F2047">
        <v>23939.9568817831</v>
      </c>
      <c r="G2047">
        <v>16729.3436837666</v>
      </c>
      <c r="H2047">
        <v>14234.8981737634</v>
      </c>
      <c r="I2047">
        <v>112279.09</v>
      </c>
      <c r="J2047">
        <v>98044.19</v>
      </c>
      <c r="K2047" s="1"/>
      <c r="L2047" s="1"/>
      <c r="M2047" s="1"/>
      <c r="N2047" s="1"/>
    </row>
    <row r="2048" ht="15.75" customHeight="1">
      <c r="A2048" t="s">
        <v>17</v>
      </c>
      <c r="B2048" t="s">
        <v>14</v>
      </c>
      <c r="C2048" t="s">
        <v>4913</v>
      </c>
      <c r="D2048" t="s">
        <v>2127</v>
      </c>
      <c r="E2048">
        <v>71620.6753058553</v>
      </c>
      <c r="F2048">
        <v>23944.5716001105</v>
      </c>
      <c r="G2048">
        <v>16737.0236871961</v>
      </c>
      <c r="H2048">
        <v>14238.2957244507</v>
      </c>
      <c r="I2048">
        <v>112302.27</v>
      </c>
      <c r="J2048">
        <v>98063.97</v>
      </c>
      <c r="K2048" s="1"/>
      <c r="L2048" s="1"/>
      <c r="M2048" s="1"/>
      <c r="N2048" s="1"/>
    </row>
    <row r="2049" ht="15.75" customHeight="1">
      <c r="A2049" t="s">
        <v>51</v>
      </c>
      <c r="B2049" t="s">
        <v>26</v>
      </c>
      <c r="C2049" t="s">
        <v>4907</v>
      </c>
      <c r="D2049" t="s">
        <v>2128</v>
      </c>
      <c r="E2049">
        <v>71902.66457289942</v>
      </c>
      <c r="F2049">
        <v>23949.1863184379</v>
      </c>
      <c r="G2049">
        <v>16744.7036906256</v>
      </c>
      <c r="H2049">
        <v>14241.693275138</v>
      </c>
      <c r="I2049">
        <v>112596.55</v>
      </c>
      <c r="J2049">
        <v>98354.86</v>
      </c>
      <c r="K2049" s="1"/>
      <c r="L2049" s="1"/>
      <c r="M2049" s="1"/>
      <c r="N2049" s="1"/>
    </row>
    <row r="2050" ht="15.75" customHeight="1">
      <c r="A2050" t="s">
        <v>13</v>
      </c>
      <c r="B2050" t="s">
        <v>33</v>
      </c>
      <c r="C2050" t="s">
        <v>4913</v>
      </c>
      <c r="D2050" t="s">
        <v>2129</v>
      </c>
      <c r="E2050">
        <v>71642.4412456677</v>
      </c>
      <c r="F2050">
        <v>23953.8010367654</v>
      </c>
      <c r="G2050">
        <v>16752.3836940551</v>
      </c>
      <c r="H2050">
        <v>14245.0908258253</v>
      </c>
      <c r="I2050">
        <v>112348.63</v>
      </c>
      <c r="J2050">
        <v>98103.54</v>
      </c>
      <c r="K2050" s="1"/>
      <c r="L2050" s="1"/>
      <c r="M2050" s="1"/>
      <c r="N2050" s="1"/>
    </row>
    <row r="2051" ht="15.75" customHeight="1">
      <c r="A2051" t="s">
        <v>13</v>
      </c>
      <c r="B2051" t="s">
        <v>18</v>
      </c>
      <c r="C2051" t="s">
        <v>4912</v>
      </c>
      <c r="D2051" t="s">
        <v>2130</v>
      </c>
      <c r="E2051">
        <v>71653.3242155739</v>
      </c>
      <c r="F2051">
        <v>23958.4157550928</v>
      </c>
      <c r="G2051">
        <v>16760.0636974846</v>
      </c>
      <c r="H2051">
        <v>14248.4883765126</v>
      </c>
      <c r="I2051">
        <v>112371.8</v>
      </c>
      <c r="J2051">
        <v>98123.31</v>
      </c>
      <c r="K2051" s="1"/>
      <c r="L2051" s="1"/>
      <c r="M2051" s="1"/>
      <c r="N2051" s="1"/>
    </row>
    <row r="2052" ht="15.75" customHeight="1">
      <c r="A2052" t="s">
        <v>53</v>
      </c>
      <c r="B2052" t="s">
        <v>18</v>
      </c>
      <c r="C2052" t="s">
        <v>4917</v>
      </c>
      <c r="D2052" t="s">
        <v>2131</v>
      </c>
      <c r="E2052">
        <v>71664.2071854801</v>
      </c>
      <c r="F2052">
        <v>23963.0304734202</v>
      </c>
      <c r="G2052">
        <v>16767.743700914</v>
      </c>
      <c r="H2052">
        <v>14251.8859271999</v>
      </c>
      <c r="I2052">
        <v>112394.98</v>
      </c>
      <c r="J2052">
        <v>98143.09</v>
      </c>
      <c r="K2052" s="1"/>
      <c r="L2052" s="1"/>
      <c r="M2052" s="1"/>
      <c r="N2052" s="1"/>
    </row>
    <row r="2053" ht="15.75" customHeight="1">
      <c r="A2053" t="s">
        <v>29</v>
      </c>
      <c r="B2053" t="s">
        <v>14</v>
      </c>
      <c r="C2053" t="s">
        <v>4908</v>
      </c>
      <c r="D2053" t="s">
        <v>2132</v>
      </c>
      <c r="E2053">
        <v>71675.0901553863</v>
      </c>
      <c r="F2053">
        <v>23967.6451917476</v>
      </c>
      <c r="G2053">
        <v>16775.4237043435</v>
      </c>
      <c r="H2053">
        <v>14255.2834778871</v>
      </c>
      <c r="I2053">
        <v>112418.16</v>
      </c>
      <c r="J2053">
        <v>98162.88</v>
      </c>
      <c r="K2053" s="1"/>
      <c r="L2053" s="1"/>
      <c r="M2053" s="1"/>
      <c r="N2053" s="1"/>
    </row>
    <row r="2054" ht="15.75" customHeight="1">
      <c r="A2054" t="s">
        <v>36</v>
      </c>
      <c r="B2054" t="s">
        <v>18</v>
      </c>
      <c r="C2054" t="s">
        <v>4914</v>
      </c>
      <c r="D2054" t="s">
        <v>2133</v>
      </c>
      <c r="E2054">
        <v>71685.9731252925</v>
      </c>
      <c r="F2054">
        <v>23972.259910075</v>
      </c>
      <c r="G2054">
        <v>16783.103707773</v>
      </c>
      <c r="H2054">
        <v>14258.6810285744</v>
      </c>
      <c r="I2054">
        <v>112441.34</v>
      </c>
      <c r="J2054">
        <v>98182.66</v>
      </c>
      <c r="K2054" s="1"/>
      <c r="L2054" s="1"/>
      <c r="M2054" s="1"/>
      <c r="N2054" s="1"/>
    </row>
    <row r="2055" ht="15.75" customHeight="1">
      <c r="A2055" t="s">
        <v>36</v>
      </c>
      <c r="B2055" t="s">
        <v>54</v>
      </c>
      <c r="C2055" t="s">
        <v>4907</v>
      </c>
      <c r="D2055" t="s">
        <v>2134</v>
      </c>
      <c r="E2055">
        <v>71696.8560951987</v>
      </c>
      <c r="F2055">
        <v>23976.8746284025</v>
      </c>
      <c r="G2055">
        <v>16790.7837112025</v>
      </c>
      <c r="H2055">
        <v>14262.0785792617</v>
      </c>
      <c r="I2055">
        <v>112464.51</v>
      </c>
      <c r="J2055">
        <v>98202.43</v>
      </c>
      <c r="K2055" s="1"/>
      <c r="L2055" s="1"/>
      <c r="M2055" s="1"/>
      <c r="N2055" s="1"/>
    </row>
    <row r="2056" ht="15.75" customHeight="1">
      <c r="A2056" t="s">
        <v>36</v>
      </c>
      <c r="B2056" t="s">
        <v>33</v>
      </c>
      <c r="C2056" t="s">
        <v>4908</v>
      </c>
      <c r="D2056" t="s">
        <v>2135</v>
      </c>
      <c r="E2056">
        <v>71707.7390651049</v>
      </c>
      <c r="F2056">
        <v>23981.4893467299</v>
      </c>
      <c r="G2056">
        <v>16798.463714632</v>
      </c>
      <c r="H2056">
        <v>14194.35617001081</v>
      </c>
      <c r="I2056">
        <v>112487.69</v>
      </c>
      <c r="J2056">
        <v>98293.33</v>
      </c>
      <c r="K2056" s="1"/>
      <c r="L2056" s="1"/>
      <c r="M2056" s="1"/>
      <c r="N2056" s="1"/>
    </row>
    <row r="2057" ht="15.75" customHeight="1">
      <c r="A2057" t="s">
        <v>53</v>
      </c>
      <c r="B2057" t="s">
        <v>54</v>
      </c>
      <c r="C2057" t="s">
        <v>4910</v>
      </c>
      <c r="D2057" t="s">
        <v>2136</v>
      </c>
      <c r="E2057">
        <v>71718.6220350111</v>
      </c>
      <c r="F2057">
        <v>23986.1040650573</v>
      </c>
      <c r="G2057">
        <v>16806.1437180615</v>
      </c>
      <c r="H2057">
        <v>14268.8736806363</v>
      </c>
      <c r="I2057">
        <v>112510.87</v>
      </c>
      <c r="J2057">
        <v>98242.0</v>
      </c>
      <c r="K2057" s="1"/>
      <c r="L2057" s="1"/>
      <c r="M2057" s="1"/>
      <c r="N2057" s="1"/>
    </row>
    <row r="2058" ht="15.75" customHeight="1">
      <c r="A2058" t="s">
        <v>51</v>
      </c>
      <c r="B2058" t="s">
        <v>18</v>
      </c>
      <c r="C2058" t="s">
        <v>4907</v>
      </c>
      <c r="D2058" t="s">
        <v>2137</v>
      </c>
      <c r="E2058">
        <v>71729.5050049173</v>
      </c>
      <c r="F2058">
        <v>23990.7187833847</v>
      </c>
      <c r="G2058">
        <v>16813.823721491</v>
      </c>
      <c r="H2058">
        <v>14272.2712313236</v>
      </c>
      <c r="I2058">
        <v>112534.05</v>
      </c>
      <c r="J2058">
        <v>98261.78</v>
      </c>
      <c r="K2058" s="1"/>
      <c r="L2058" s="1"/>
      <c r="M2058" s="1"/>
      <c r="N2058" s="1"/>
    </row>
    <row r="2059" ht="15.75" customHeight="1">
      <c r="A2059" t="s">
        <v>53</v>
      </c>
      <c r="B2059" t="s">
        <v>14</v>
      </c>
      <c r="C2059" t="s">
        <v>4908</v>
      </c>
      <c r="D2059" t="s">
        <v>2138</v>
      </c>
      <c r="E2059">
        <v>71740.3879748235</v>
      </c>
      <c r="F2059">
        <v>23995.3335017122</v>
      </c>
      <c r="G2059">
        <v>16821.5037249205</v>
      </c>
      <c r="H2059">
        <v>14275.6687820109</v>
      </c>
      <c r="I2059">
        <v>112557.23</v>
      </c>
      <c r="J2059">
        <v>98281.56</v>
      </c>
      <c r="K2059" s="1"/>
      <c r="L2059" s="1"/>
      <c r="M2059" s="1"/>
      <c r="N2059" s="1"/>
    </row>
    <row r="2060" ht="15.75" customHeight="1">
      <c r="A2060" t="s">
        <v>36</v>
      </c>
      <c r="B2060" t="s">
        <v>14</v>
      </c>
      <c r="C2060" t="s">
        <v>4908</v>
      </c>
      <c r="D2060" t="s">
        <v>2139</v>
      </c>
      <c r="E2060">
        <v>71751.2709447297</v>
      </c>
      <c r="F2060">
        <v>23999.9482200396</v>
      </c>
      <c r="G2060">
        <v>16829.18372835</v>
      </c>
      <c r="H2060">
        <v>14279.0663326982</v>
      </c>
      <c r="I2060">
        <v>112580.4</v>
      </c>
      <c r="J2060">
        <v>98301.33</v>
      </c>
      <c r="K2060" s="1"/>
      <c r="L2060" s="1"/>
      <c r="M2060" s="1"/>
      <c r="N2060" s="1"/>
    </row>
    <row r="2061" ht="15.75" customHeight="1">
      <c r="A2061" t="s">
        <v>51</v>
      </c>
      <c r="B2061" t="s">
        <v>37</v>
      </c>
      <c r="C2061" t="s">
        <v>4905</v>
      </c>
      <c r="D2061" t="s">
        <v>2140</v>
      </c>
      <c r="E2061">
        <v>71762.1539146359</v>
      </c>
      <c r="F2061">
        <v>24004.562938367</v>
      </c>
      <c r="G2061">
        <v>16836.8637317795</v>
      </c>
      <c r="H2061">
        <v>14282.4638833854</v>
      </c>
      <c r="I2061">
        <v>112603.58</v>
      </c>
      <c r="J2061">
        <v>98321.12</v>
      </c>
      <c r="K2061" s="1"/>
      <c r="L2061" s="1"/>
      <c r="M2061" s="1"/>
      <c r="N2061" s="1"/>
    </row>
    <row r="2062" ht="15.75" customHeight="1">
      <c r="A2062" t="s">
        <v>13</v>
      </c>
      <c r="B2062" t="s">
        <v>54</v>
      </c>
      <c r="C2062" t="s">
        <v>4907</v>
      </c>
      <c r="D2062" t="s">
        <v>2141</v>
      </c>
      <c r="E2062">
        <v>71773.0368845421</v>
      </c>
      <c r="F2062">
        <v>24009.1776566944</v>
      </c>
      <c r="G2062">
        <v>16844.543735209</v>
      </c>
      <c r="H2062">
        <v>14285.8614340727</v>
      </c>
      <c r="I2062">
        <v>112626.76</v>
      </c>
      <c r="J2062">
        <v>98340.9</v>
      </c>
      <c r="K2062" s="1"/>
      <c r="L2062" s="1"/>
      <c r="M2062" s="1"/>
      <c r="N2062" s="1"/>
    </row>
    <row r="2063" ht="15.75" customHeight="1">
      <c r="A2063" t="s">
        <v>13</v>
      </c>
      <c r="B2063" t="s">
        <v>18</v>
      </c>
      <c r="C2063" t="s">
        <v>4912</v>
      </c>
      <c r="D2063" t="s">
        <v>2142</v>
      </c>
      <c r="E2063">
        <v>71783.9198544482</v>
      </c>
      <c r="F2063">
        <v>24013.7923750219</v>
      </c>
      <c r="G2063">
        <v>16852.2237386385</v>
      </c>
      <c r="H2063">
        <v>14289.25898476</v>
      </c>
      <c r="I2063">
        <v>112649.94</v>
      </c>
      <c r="J2063">
        <v>98360.68</v>
      </c>
      <c r="K2063" s="1"/>
      <c r="L2063" s="1"/>
      <c r="M2063" s="1"/>
      <c r="N2063" s="1"/>
    </row>
    <row r="2064" ht="15.75" customHeight="1">
      <c r="A2064" t="s">
        <v>13</v>
      </c>
      <c r="B2064" t="s">
        <v>37</v>
      </c>
      <c r="C2064" t="s">
        <v>4908</v>
      </c>
      <c r="D2064" t="s">
        <v>2143</v>
      </c>
      <c r="E2064">
        <v>71794.8028243544</v>
      </c>
      <c r="F2064">
        <v>24018.4070933493</v>
      </c>
      <c r="G2064">
        <v>16859.903742068</v>
      </c>
      <c r="H2064">
        <v>14292.6565354473</v>
      </c>
      <c r="I2064">
        <v>112673.11</v>
      </c>
      <c r="J2064">
        <v>98380.45</v>
      </c>
      <c r="K2064" s="1"/>
      <c r="L2064" s="1"/>
      <c r="M2064" s="1"/>
      <c r="N2064" s="1"/>
    </row>
    <row r="2065" ht="15.75" customHeight="1">
      <c r="A2065" t="s">
        <v>29</v>
      </c>
      <c r="B2065" t="s">
        <v>33</v>
      </c>
      <c r="C2065" t="s">
        <v>4917</v>
      </c>
      <c r="D2065" t="s">
        <v>2144</v>
      </c>
      <c r="E2065">
        <v>71805.6857942606</v>
      </c>
      <c r="F2065">
        <v>24023.0218116767</v>
      </c>
      <c r="G2065">
        <v>16867.5837454975</v>
      </c>
      <c r="H2065">
        <v>14296.0540861346</v>
      </c>
      <c r="I2065">
        <v>112696.29</v>
      </c>
      <c r="J2065">
        <v>98400.24</v>
      </c>
      <c r="K2065" s="1"/>
      <c r="L2065" s="1"/>
      <c r="M2065" s="1"/>
      <c r="N2065" s="1"/>
    </row>
    <row r="2066" ht="15.75" customHeight="1">
      <c r="A2066" t="s">
        <v>13</v>
      </c>
      <c r="B2066" t="s">
        <v>30</v>
      </c>
      <c r="C2066" t="s">
        <v>4911</v>
      </c>
      <c r="D2066" t="s">
        <v>2145</v>
      </c>
      <c r="E2066">
        <v>71816.5687641668</v>
      </c>
      <c r="F2066">
        <v>24027.6365300041</v>
      </c>
      <c r="G2066">
        <v>16875.263748927</v>
      </c>
      <c r="H2066">
        <v>14299.4516368219</v>
      </c>
      <c r="I2066">
        <v>112719.47</v>
      </c>
      <c r="J2066">
        <v>98420.02</v>
      </c>
      <c r="K2066" s="1"/>
      <c r="L2066" s="1"/>
      <c r="M2066" s="1"/>
      <c r="N2066" s="1"/>
    </row>
    <row r="2067" ht="15.75" customHeight="1">
      <c r="A2067" t="s">
        <v>36</v>
      </c>
      <c r="B2067" t="s">
        <v>37</v>
      </c>
      <c r="C2067" t="s">
        <v>4913</v>
      </c>
      <c r="D2067" t="s">
        <v>2146</v>
      </c>
      <c r="E2067">
        <v>71827.451734073</v>
      </c>
      <c r="F2067">
        <v>24032.2512483316</v>
      </c>
      <c r="G2067">
        <v>16882.9437523565</v>
      </c>
      <c r="H2067">
        <v>14302.8491875092</v>
      </c>
      <c r="I2067">
        <v>112742.65</v>
      </c>
      <c r="J2067">
        <v>98439.8</v>
      </c>
      <c r="K2067" s="1"/>
      <c r="L2067" s="1"/>
      <c r="M2067" s="1"/>
      <c r="N2067" s="1"/>
    </row>
    <row r="2068" ht="15.75" customHeight="1">
      <c r="A2068" t="s">
        <v>29</v>
      </c>
      <c r="B2068" t="s">
        <v>54</v>
      </c>
      <c r="C2068" t="s">
        <v>4910</v>
      </c>
      <c r="D2068" t="s">
        <v>2147</v>
      </c>
      <c r="E2068">
        <v>71838.3347039792</v>
      </c>
      <c r="F2068">
        <v>24036.865966659</v>
      </c>
      <c r="G2068">
        <v>16890.623755786</v>
      </c>
      <c r="H2068">
        <v>14306.2467381964</v>
      </c>
      <c r="I2068">
        <v>112765.82</v>
      </c>
      <c r="J2068">
        <v>98459.57</v>
      </c>
      <c r="K2068" s="1"/>
      <c r="L2068" s="1"/>
      <c r="M2068" s="1"/>
      <c r="N2068" s="1"/>
    </row>
    <row r="2069" ht="15.75" customHeight="1">
      <c r="A2069" t="s">
        <v>36</v>
      </c>
      <c r="B2069" t="s">
        <v>18</v>
      </c>
      <c r="C2069" t="s">
        <v>4905</v>
      </c>
      <c r="D2069" t="s">
        <v>2148</v>
      </c>
      <c r="E2069">
        <v>71849.2176738854</v>
      </c>
      <c r="F2069">
        <v>24041.4806849864</v>
      </c>
      <c r="G2069">
        <v>16898.3037592155</v>
      </c>
      <c r="H2069">
        <v>14309.6442888837</v>
      </c>
      <c r="I2069">
        <v>112789.0</v>
      </c>
      <c r="J2069">
        <v>98479.36</v>
      </c>
      <c r="K2069" s="1"/>
      <c r="L2069" s="1"/>
      <c r="M2069" s="1"/>
      <c r="N2069" s="1"/>
    </row>
    <row r="2070" ht="15.75" customHeight="1">
      <c r="A2070" t="s">
        <v>25</v>
      </c>
      <c r="B2070" t="s">
        <v>18</v>
      </c>
      <c r="C2070" t="s">
        <v>4905</v>
      </c>
      <c r="D2070" t="s">
        <v>2149</v>
      </c>
      <c r="E2070">
        <v>71860.1006437916</v>
      </c>
      <c r="F2070">
        <v>24046.0954033138</v>
      </c>
      <c r="G2070">
        <v>16905.983762645</v>
      </c>
      <c r="H2070">
        <v>14313.041839571</v>
      </c>
      <c r="I2070">
        <v>112812.18</v>
      </c>
      <c r="J2070">
        <v>98499.14</v>
      </c>
      <c r="K2070" s="1"/>
      <c r="L2070" s="1"/>
      <c r="M2070" s="1"/>
      <c r="N2070" s="1"/>
    </row>
    <row r="2071" ht="15.75" customHeight="1">
      <c r="A2071" t="s">
        <v>17</v>
      </c>
      <c r="B2071" t="s">
        <v>26</v>
      </c>
      <c r="C2071" t="s">
        <v>4917</v>
      </c>
      <c r="D2071" t="s">
        <v>2150</v>
      </c>
      <c r="E2071">
        <v>71870.9836136978</v>
      </c>
      <c r="F2071">
        <v>24050.7101216412</v>
      </c>
      <c r="G2071">
        <v>16913.6637660745</v>
      </c>
      <c r="H2071">
        <v>14316.4393902583</v>
      </c>
      <c r="I2071">
        <v>112835.36</v>
      </c>
      <c r="J2071">
        <v>98518.92</v>
      </c>
      <c r="K2071" s="1"/>
      <c r="L2071" s="1"/>
      <c r="M2071" s="1"/>
      <c r="N2071" s="1"/>
    </row>
    <row r="2072" ht="15.75" customHeight="1">
      <c r="A2072" t="s">
        <v>51</v>
      </c>
      <c r="B2072" t="s">
        <v>14</v>
      </c>
      <c r="C2072" t="s">
        <v>4908</v>
      </c>
      <c r="D2072" t="s">
        <v>2151</v>
      </c>
      <c r="E2072">
        <v>71881.866583604</v>
      </c>
      <c r="F2072">
        <v>24055.3248399687</v>
      </c>
      <c r="G2072">
        <v>16921.343769504</v>
      </c>
      <c r="H2072">
        <v>14319.8369409456</v>
      </c>
      <c r="I2072">
        <v>112858.54</v>
      </c>
      <c r="J2072">
        <v>98538.7</v>
      </c>
      <c r="K2072" s="1"/>
      <c r="L2072" s="1"/>
      <c r="M2072" s="1"/>
      <c r="N2072" s="1"/>
    </row>
    <row r="2073" ht="15.75" customHeight="1">
      <c r="A2073" t="s">
        <v>53</v>
      </c>
      <c r="B2073" t="s">
        <v>54</v>
      </c>
      <c r="C2073" t="s">
        <v>4909</v>
      </c>
      <c r="D2073" t="s">
        <v>2152</v>
      </c>
      <c r="E2073">
        <v>71892.7495535102</v>
      </c>
      <c r="F2073">
        <v>24059.9395582961</v>
      </c>
      <c r="G2073">
        <v>16929.0237729335</v>
      </c>
      <c r="H2073">
        <v>14323.2344916329</v>
      </c>
      <c r="I2073">
        <v>112881.71</v>
      </c>
      <c r="J2073">
        <v>98558.48</v>
      </c>
      <c r="K2073" s="1"/>
      <c r="L2073" s="1"/>
      <c r="M2073" s="1"/>
      <c r="N2073" s="1"/>
    </row>
    <row r="2074" ht="15.75" customHeight="1">
      <c r="A2074" t="s">
        <v>17</v>
      </c>
      <c r="B2074" t="s">
        <v>54</v>
      </c>
      <c r="C2074" t="s">
        <v>4912</v>
      </c>
      <c r="D2074" t="s">
        <v>2153</v>
      </c>
      <c r="E2074">
        <v>71903.6325234164</v>
      </c>
      <c r="F2074">
        <v>24064.5542766235</v>
      </c>
      <c r="G2074">
        <v>16936.703776363</v>
      </c>
      <c r="H2074">
        <v>14326.6320423202</v>
      </c>
      <c r="I2074">
        <v>112904.89</v>
      </c>
      <c r="J2074">
        <v>98578.26</v>
      </c>
      <c r="K2074" s="1"/>
      <c r="L2074" s="1"/>
      <c r="M2074" s="1"/>
      <c r="N2074" s="1"/>
    </row>
    <row r="2075" ht="15.75" customHeight="1">
      <c r="A2075" t="s">
        <v>17</v>
      </c>
      <c r="B2075" t="s">
        <v>54</v>
      </c>
      <c r="C2075" t="s">
        <v>4916</v>
      </c>
      <c r="D2075" t="s">
        <v>2154</v>
      </c>
      <c r="E2075">
        <v>71914.5154933226</v>
      </c>
      <c r="F2075">
        <v>24069.1689949509</v>
      </c>
      <c r="G2075">
        <v>16944.3837797925</v>
      </c>
      <c r="H2075">
        <v>14330.0295930075</v>
      </c>
      <c r="I2075">
        <v>112928.07</v>
      </c>
      <c r="J2075">
        <v>98598.04</v>
      </c>
      <c r="K2075" s="1"/>
      <c r="L2075" s="1"/>
      <c r="M2075" s="1"/>
      <c r="N2075" s="1"/>
    </row>
    <row r="2076" ht="15.75" customHeight="1">
      <c r="A2076" t="s">
        <v>53</v>
      </c>
      <c r="B2076" t="s">
        <v>37</v>
      </c>
      <c r="C2076" t="s">
        <v>4908</v>
      </c>
      <c r="D2076" t="s">
        <v>2155</v>
      </c>
      <c r="E2076">
        <v>72159.94658517206</v>
      </c>
      <c r="F2076">
        <v>24073.7837132784</v>
      </c>
      <c r="G2076">
        <v>16952.063783222</v>
      </c>
      <c r="H2076">
        <v>14333.4271436947</v>
      </c>
      <c r="I2076">
        <v>113185.79</v>
      </c>
      <c r="J2076">
        <v>98852.36</v>
      </c>
      <c r="K2076" s="1"/>
      <c r="L2076" s="1"/>
      <c r="M2076" s="1"/>
      <c r="N2076" s="1"/>
    </row>
    <row r="2077" ht="15.75" customHeight="1">
      <c r="A2077" t="s">
        <v>25</v>
      </c>
      <c r="B2077" t="s">
        <v>37</v>
      </c>
      <c r="C2077" t="s">
        <v>4909</v>
      </c>
      <c r="D2077" t="s">
        <v>2156</v>
      </c>
      <c r="E2077">
        <v>71936.281433135</v>
      </c>
      <c r="F2077">
        <v>24078.3984316058</v>
      </c>
      <c r="G2077">
        <v>16959.7437866515</v>
      </c>
      <c r="H2077">
        <v>14336.824694382</v>
      </c>
      <c r="I2077">
        <v>112974.42</v>
      </c>
      <c r="J2077">
        <v>98637.6</v>
      </c>
      <c r="K2077" s="1"/>
      <c r="L2077" s="1"/>
      <c r="M2077" s="1"/>
      <c r="N2077" s="1"/>
    </row>
    <row r="2078" ht="15.75" customHeight="1">
      <c r="A2078" t="s">
        <v>51</v>
      </c>
      <c r="B2078" t="s">
        <v>26</v>
      </c>
      <c r="C2078" t="s">
        <v>4910</v>
      </c>
      <c r="D2078" t="s">
        <v>2157</v>
      </c>
      <c r="E2078">
        <v>71947.1644030411</v>
      </c>
      <c r="F2078">
        <v>24083.0131499332</v>
      </c>
      <c r="G2078">
        <v>16967.423790081</v>
      </c>
      <c r="H2078">
        <v>14340.2222450693</v>
      </c>
      <c r="I2078">
        <v>112997.6</v>
      </c>
      <c r="J2078">
        <v>98657.38</v>
      </c>
      <c r="K2078" s="1"/>
      <c r="L2078" s="1"/>
      <c r="M2078" s="1"/>
      <c r="N2078" s="1"/>
    </row>
    <row r="2079" ht="15.75" customHeight="1">
      <c r="A2079" t="s">
        <v>13</v>
      </c>
      <c r="B2079" t="s">
        <v>30</v>
      </c>
      <c r="C2079" t="s">
        <v>4907</v>
      </c>
      <c r="D2079" t="s">
        <v>2158</v>
      </c>
      <c r="E2079">
        <v>71958.0473729473</v>
      </c>
      <c r="F2079">
        <v>24087.6278682606</v>
      </c>
      <c r="G2079">
        <v>16975.1037935105</v>
      </c>
      <c r="H2079">
        <v>14343.6197957566</v>
      </c>
      <c r="I2079">
        <v>113020.78</v>
      </c>
      <c r="J2079">
        <v>98677.16</v>
      </c>
      <c r="K2079" s="1"/>
      <c r="L2079" s="1"/>
      <c r="M2079" s="1"/>
      <c r="N2079" s="1"/>
    </row>
    <row r="2080" ht="15.75" customHeight="1">
      <c r="A2080" t="s">
        <v>17</v>
      </c>
      <c r="B2080" t="s">
        <v>18</v>
      </c>
      <c r="C2080" t="s">
        <v>4910</v>
      </c>
      <c r="D2080" t="s">
        <v>2159</v>
      </c>
      <c r="E2080">
        <v>71968.9303428535</v>
      </c>
      <c r="F2080">
        <v>24092.242586588</v>
      </c>
      <c r="G2080">
        <v>16982.78379694</v>
      </c>
      <c r="H2080">
        <v>14347.0173464439</v>
      </c>
      <c r="I2080">
        <v>113043.96</v>
      </c>
      <c r="J2080">
        <v>98696.94</v>
      </c>
      <c r="K2080" s="1"/>
      <c r="L2080" s="1"/>
      <c r="M2080" s="1"/>
      <c r="N2080" s="1"/>
    </row>
    <row r="2081" ht="15.75" customHeight="1">
      <c r="A2081" t="s">
        <v>29</v>
      </c>
      <c r="B2081" t="s">
        <v>54</v>
      </c>
      <c r="C2081" t="s">
        <v>4917</v>
      </c>
      <c r="D2081" t="s">
        <v>2160</v>
      </c>
      <c r="E2081">
        <v>71979.8133127597</v>
      </c>
      <c r="F2081">
        <v>24096.8573049155</v>
      </c>
      <c r="G2081">
        <v>16990.4638003695</v>
      </c>
      <c r="H2081">
        <v>14350.4148971312</v>
      </c>
      <c r="I2081">
        <v>113067.13</v>
      </c>
      <c r="J2081">
        <v>98716.72</v>
      </c>
      <c r="K2081" s="1"/>
      <c r="L2081" s="1"/>
      <c r="M2081" s="1"/>
      <c r="N2081" s="1"/>
    </row>
    <row r="2082" ht="15.75" customHeight="1">
      <c r="A2082" t="s">
        <v>53</v>
      </c>
      <c r="B2082" t="s">
        <v>14</v>
      </c>
      <c r="C2082" t="s">
        <v>4911</v>
      </c>
      <c r="D2082" t="s">
        <v>2161</v>
      </c>
      <c r="E2082">
        <v>71990.6962826659</v>
      </c>
      <c r="F2082">
        <v>24101.4720232429</v>
      </c>
      <c r="G2082">
        <v>16998.143803799</v>
      </c>
      <c r="H2082">
        <v>14353.8124478185</v>
      </c>
      <c r="I2082">
        <v>113090.31</v>
      </c>
      <c r="J2082">
        <v>98736.5</v>
      </c>
      <c r="K2082" s="1"/>
      <c r="L2082" s="1"/>
      <c r="M2082" s="1"/>
      <c r="N2082" s="1"/>
    </row>
    <row r="2083" ht="15.75" customHeight="1">
      <c r="A2083" t="s">
        <v>17</v>
      </c>
      <c r="B2083" t="s">
        <v>14</v>
      </c>
      <c r="C2083" t="s">
        <v>4914</v>
      </c>
      <c r="D2083" t="s">
        <v>2162</v>
      </c>
      <c r="E2083">
        <v>72001.5792525721</v>
      </c>
      <c r="F2083">
        <v>24106.0867415703</v>
      </c>
      <c r="G2083">
        <v>17005.8238072285</v>
      </c>
      <c r="H2083">
        <v>14357.2099985058</v>
      </c>
      <c r="I2083">
        <v>113113.49</v>
      </c>
      <c r="J2083">
        <v>98756.28</v>
      </c>
      <c r="K2083" s="1"/>
      <c r="L2083" s="1"/>
      <c r="M2083" s="1"/>
      <c r="N2083" s="1"/>
    </row>
    <row r="2084" ht="15.75" customHeight="1">
      <c r="A2084" t="s">
        <v>17</v>
      </c>
      <c r="B2084" t="s">
        <v>26</v>
      </c>
      <c r="C2084" t="s">
        <v>4917</v>
      </c>
      <c r="D2084" t="s">
        <v>2163</v>
      </c>
      <c r="E2084">
        <v>72012.4622224783</v>
      </c>
      <c r="F2084">
        <v>24110.7014598977</v>
      </c>
      <c r="G2084">
        <v>17013.503810658</v>
      </c>
      <c r="H2084">
        <v>14360.607549193</v>
      </c>
      <c r="I2084">
        <v>113136.67</v>
      </c>
      <c r="J2084">
        <v>98776.06</v>
      </c>
      <c r="K2084" s="1"/>
      <c r="L2084" s="1"/>
      <c r="M2084" s="1"/>
      <c r="N2084" s="1"/>
    </row>
    <row r="2085" ht="15.75" customHeight="1">
      <c r="A2085" t="s">
        <v>13</v>
      </c>
      <c r="B2085" t="s">
        <v>26</v>
      </c>
      <c r="C2085" t="s">
        <v>4913</v>
      </c>
      <c r="D2085" t="s">
        <v>2164</v>
      </c>
      <c r="E2085">
        <v>72023.3451923845</v>
      </c>
      <c r="F2085">
        <v>24115.3161782252</v>
      </c>
      <c r="G2085">
        <v>17021.1838140875</v>
      </c>
      <c r="H2085">
        <v>14364.0050998803</v>
      </c>
      <c r="I2085">
        <v>113159.85</v>
      </c>
      <c r="J2085">
        <v>98795.84</v>
      </c>
      <c r="K2085" s="1"/>
      <c r="L2085" s="1"/>
      <c r="M2085" s="1"/>
      <c r="N2085" s="1"/>
    </row>
    <row r="2086" ht="15.75" customHeight="1">
      <c r="A2086" t="s">
        <v>29</v>
      </c>
      <c r="B2086" t="s">
        <v>26</v>
      </c>
      <c r="C2086" t="s">
        <v>4914</v>
      </c>
      <c r="D2086" t="s">
        <v>2165</v>
      </c>
      <c r="E2086">
        <v>72034.2281622907</v>
      </c>
      <c r="F2086">
        <v>24119.9308965526</v>
      </c>
      <c r="G2086">
        <v>17028.863817517</v>
      </c>
      <c r="H2086">
        <v>14367.4026505676</v>
      </c>
      <c r="I2086">
        <v>113183.02</v>
      </c>
      <c r="J2086">
        <v>98815.62</v>
      </c>
      <c r="K2086" s="1"/>
      <c r="L2086" s="1"/>
      <c r="M2086" s="1"/>
      <c r="N2086" s="1"/>
    </row>
    <row r="2087" ht="15.75" customHeight="1">
      <c r="A2087" t="s">
        <v>51</v>
      </c>
      <c r="B2087" t="s">
        <v>18</v>
      </c>
      <c r="C2087" t="s">
        <v>4914</v>
      </c>
      <c r="D2087" t="s">
        <v>2166</v>
      </c>
      <c r="E2087">
        <v>72045.1111321969</v>
      </c>
      <c r="F2087">
        <v>24124.54561488</v>
      </c>
      <c r="G2087">
        <v>17036.5438209465</v>
      </c>
      <c r="H2087">
        <v>14370.8002012549</v>
      </c>
      <c r="I2087">
        <v>113206.2</v>
      </c>
      <c r="J2087">
        <v>98835.4</v>
      </c>
      <c r="K2087" s="1"/>
      <c r="L2087" s="1"/>
      <c r="M2087" s="1"/>
      <c r="N2087" s="1"/>
    </row>
    <row r="2088" ht="15.75" customHeight="1">
      <c r="A2088" t="s">
        <v>25</v>
      </c>
      <c r="B2088" t="s">
        <v>54</v>
      </c>
      <c r="C2088" t="s">
        <v>4912</v>
      </c>
      <c r="D2088" t="s">
        <v>2167</v>
      </c>
      <c r="E2088">
        <v>72055.9941021031</v>
      </c>
      <c r="F2088">
        <v>24129.1603332074</v>
      </c>
      <c r="G2088">
        <v>17044.223824376</v>
      </c>
      <c r="H2088">
        <v>14374.1977519422</v>
      </c>
      <c r="I2088">
        <v>113229.38</v>
      </c>
      <c r="J2088">
        <v>98855.18</v>
      </c>
      <c r="K2088" s="1"/>
      <c r="L2088" s="1"/>
      <c r="M2088" s="1"/>
      <c r="N2088" s="1"/>
    </row>
    <row r="2089" ht="15.75" customHeight="1">
      <c r="A2089" t="s">
        <v>53</v>
      </c>
      <c r="B2089" t="s">
        <v>30</v>
      </c>
      <c r="C2089" t="s">
        <v>4912</v>
      </c>
      <c r="D2089" t="s">
        <v>2168</v>
      </c>
      <c r="E2089">
        <v>72066.8770720093</v>
      </c>
      <c r="F2089">
        <v>24133.7750515348</v>
      </c>
      <c r="G2089">
        <v>17051.9038278054</v>
      </c>
      <c r="H2089">
        <v>14377.5953026295</v>
      </c>
      <c r="I2089">
        <v>113252.56</v>
      </c>
      <c r="J2089">
        <v>98874.96</v>
      </c>
      <c r="K2089" s="1"/>
      <c r="L2089" s="1"/>
      <c r="M2089" s="1"/>
      <c r="N2089" s="1"/>
    </row>
    <row r="2090" ht="15.75" customHeight="1">
      <c r="A2090" t="s">
        <v>36</v>
      </c>
      <c r="B2090" t="s">
        <v>54</v>
      </c>
      <c r="C2090" t="s">
        <v>4907</v>
      </c>
      <c r="D2090" t="s">
        <v>2169</v>
      </c>
      <c r="E2090">
        <v>72077.7600419155</v>
      </c>
      <c r="F2090">
        <v>24138.3897698623</v>
      </c>
      <c r="G2090">
        <v>17059.5838312349</v>
      </c>
      <c r="H2090">
        <v>14380.9928533168</v>
      </c>
      <c r="I2090">
        <v>113275.73</v>
      </c>
      <c r="J2090">
        <v>98894.74</v>
      </c>
      <c r="K2090" s="1"/>
      <c r="L2090" s="1"/>
      <c r="M2090" s="1"/>
      <c r="N2090" s="1"/>
    </row>
    <row r="2091" ht="15.75" customHeight="1">
      <c r="A2091" t="s">
        <v>13</v>
      </c>
      <c r="B2091" t="s">
        <v>33</v>
      </c>
      <c r="C2091" t="s">
        <v>4911</v>
      </c>
      <c r="D2091" t="s">
        <v>2170</v>
      </c>
      <c r="E2091">
        <v>72099.5259817279</v>
      </c>
      <c r="F2091">
        <v>24147.6192065171</v>
      </c>
      <c r="G2091">
        <v>17074.9438380939</v>
      </c>
      <c r="H2091">
        <v>14387.7879546913</v>
      </c>
      <c r="I2091">
        <v>113322.09</v>
      </c>
      <c r="J2091">
        <v>98934.3</v>
      </c>
      <c r="K2091" s="1"/>
      <c r="L2091" s="1"/>
      <c r="M2091" s="1"/>
      <c r="N2091" s="1"/>
    </row>
    <row r="2092" ht="15.75" customHeight="1">
      <c r="A2092" t="s">
        <v>53</v>
      </c>
      <c r="B2092" t="s">
        <v>26</v>
      </c>
      <c r="C2092" t="s">
        <v>4917</v>
      </c>
      <c r="D2092" t="s">
        <v>2171</v>
      </c>
      <c r="E2092">
        <v>72110.408951634</v>
      </c>
      <c r="F2092">
        <v>24152.2339248445</v>
      </c>
      <c r="G2092">
        <v>17082.6238415234</v>
      </c>
      <c r="H2092">
        <v>14391.1855053786</v>
      </c>
      <c r="I2092">
        <v>113345.27</v>
      </c>
      <c r="J2092">
        <v>98954.08</v>
      </c>
      <c r="K2092" s="1"/>
      <c r="L2092" s="1"/>
      <c r="M2092" s="1"/>
      <c r="N2092" s="1"/>
    </row>
    <row r="2093" ht="15.75" customHeight="1">
      <c r="A2093" t="s">
        <v>17</v>
      </c>
      <c r="B2093" t="s">
        <v>18</v>
      </c>
      <c r="C2093" t="s">
        <v>4910</v>
      </c>
      <c r="D2093" t="s">
        <v>2172</v>
      </c>
      <c r="E2093">
        <v>72121.2919215402</v>
      </c>
      <c r="F2093">
        <v>24156.848643172</v>
      </c>
      <c r="G2093">
        <v>17090.3038449529</v>
      </c>
      <c r="H2093">
        <v>14394.5830560659</v>
      </c>
      <c r="I2093">
        <v>113368.44</v>
      </c>
      <c r="J2093">
        <v>98973.86</v>
      </c>
      <c r="K2093" s="1"/>
      <c r="L2093" s="1"/>
      <c r="M2093" s="1"/>
      <c r="N2093" s="1"/>
    </row>
    <row r="2094" ht="15.75" customHeight="1">
      <c r="A2094" t="s">
        <v>13</v>
      </c>
      <c r="B2094" t="s">
        <v>30</v>
      </c>
      <c r="C2094" t="s">
        <v>4916</v>
      </c>
      <c r="D2094" t="s">
        <v>2173</v>
      </c>
      <c r="E2094">
        <v>72132.1748914464</v>
      </c>
      <c r="F2094">
        <v>24161.4633614994</v>
      </c>
      <c r="G2094">
        <v>17097.9838483824</v>
      </c>
      <c r="H2094">
        <v>14397.9806067532</v>
      </c>
      <c r="I2094">
        <v>113391.62</v>
      </c>
      <c r="J2094">
        <v>98993.64</v>
      </c>
      <c r="K2094" s="1"/>
      <c r="L2094" s="1"/>
      <c r="M2094" s="1"/>
      <c r="N2094" s="1"/>
    </row>
    <row r="2095" ht="15.75" customHeight="1">
      <c r="A2095" t="s">
        <v>53</v>
      </c>
      <c r="B2095" t="s">
        <v>14</v>
      </c>
      <c r="C2095" t="s">
        <v>4910</v>
      </c>
      <c r="D2095" t="s">
        <v>2174</v>
      </c>
      <c r="E2095">
        <v>72143.0578613526</v>
      </c>
      <c r="F2095">
        <v>24166.0780798268</v>
      </c>
      <c r="G2095">
        <v>17105.6638518119</v>
      </c>
      <c r="H2095">
        <v>14401.3781574405</v>
      </c>
      <c r="I2095">
        <v>113414.8</v>
      </c>
      <c r="J2095">
        <v>99013.42</v>
      </c>
      <c r="K2095" s="1"/>
      <c r="L2095" s="1"/>
      <c r="M2095" s="1"/>
      <c r="N2095" s="1"/>
    </row>
    <row r="2096" ht="15.75" customHeight="1">
      <c r="A2096" t="s">
        <v>17</v>
      </c>
      <c r="B2096" t="s">
        <v>37</v>
      </c>
      <c r="C2096" t="s">
        <v>4909</v>
      </c>
      <c r="D2096" t="s">
        <v>2175</v>
      </c>
      <c r="E2096">
        <v>72153.9408312588</v>
      </c>
      <c r="F2096">
        <v>24170.6927981542</v>
      </c>
      <c r="G2096">
        <v>17113.3438552414</v>
      </c>
      <c r="H2096">
        <v>14404.7757081278</v>
      </c>
      <c r="I2096">
        <v>113437.98</v>
      </c>
      <c r="J2096">
        <v>99033.2</v>
      </c>
      <c r="K2096" s="1"/>
      <c r="L2096" s="1"/>
      <c r="M2096" s="1"/>
      <c r="N2096" s="1"/>
    </row>
    <row r="2097" ht="15.75" customHeight="1">
      <c r="A2097" t="s">
        <v>51</v>
      </c>
      <c r="B2097" t="s">
        <v>14</v>
      </c>
      <c r="C2097" t="s">
        <v>4905</v>
      </c>
      <c r="D2097" t="s">
        <v>2176</v>
      </c>
      <c r="E2097">
        <v>72164.823801165</v>
      </c>
      <c r="F2097">
        <v>24175.3075164816</v>
      </c>
      <c r="G2097">
        <v>17121.0238586709</v>
      </c>
      <c r="H2097">
        <v>14408.1732588151</v>
      </c>
      <c r="I2097">
        <v>113461.16</v>
      </c>
      <c r="J2097">
        <v>99052.99</v>
      </c>
      <c r="K2097" s="1"/>
      <c r="L2097" s="1"/>
      <c r="M2097" s="1"/>
      <c r="N2097" s="1"/>
    </row>
    <row r="2098" ht="15.75" customHeight="1">
      <c r="A2098" t="s">
        <v>13</v>
      </c>
      <c r="B2098" t="s">
        <v>18</v>
      </c>
      <c r="C2098" t="s">
        <v>4908</v>
      </c>
      <c r="D2098" t="s">
        <v>2177</v>
      </c>
      <c r="E2098">
        <v>72175.7067710712</v>
      </c>
      <c r="F2098">
        <v>24179.9222348091</v>
      </c>
      <c r="G2098">
        <v>17128.7038621004</v>
      </c>
      <c r="H2098">
        <v>14411.5708095023</v>
      </c>
      <c r="I2098">
        <v>113484.33</v>
      </c>
      <c r="J2098">
        <v>99072.76</v>
      </c>
      <c r="K2098" s="1"/>
      <c r="L2098" s="1"/>
      <c r="M2098" s="1"/>
      <c r="N2098" s="1"/>
    </row>
    <row r="2099" ht="15.75" customHeight="1">
      <c r="A2099" t="s">
        <v>25</v>
      </c>
      <c r="B2099" t="s">
        <v>18</v>
      </c>
      <c r="C2099" t="s">
        <v>4905</v>
      </c>
      <c r="D2099" t="s">
        <v>2178</v>
      </c>
      <c r="E2099">
        <v>72186.5897409774</v>
      </c>
      <c r="F2099">
        <v>24184.5369531365</v>
      </c>
      <c r="G2099">
        <v>17136.3838655299</v>
      </c>
      <c r="H2099">
        <v>14414.9683601896</v>
      </c>
      <c r="I2099">
        <v>113507.51</v>
      </c>
      <c r="J2099">
        <v>99092.54</v>
      </c>
      <c r="K2099" s="1"/>
      <c r="L2099" s="1"/>
      <c r="M2099" s="1"/>
      <c r="N2099" s="1"/>
    </row>
    <row r="2100" ht="15.75" customHeight="1">
      <c r="A2100" t="s">
        <v>51</v>
      </c>
      <c r="B2100" t="s">
        <v>37</v>
      </c>
      <c r="C2100" t="s">
        <v>4909</v>
      </c>
      <c r="D2100" t="s">
        <v>2179</v>
      </c>
      <c r="E2100">
        <v>72197.4727108836</v>
      </c>
      <c r="F2100">
        <v>24189.1516714639</v>
      </c>
      <c r="G2100">
        <v>17144.0638689594</v>
      </c>
      <c r="H2100">
        <v>14418.3659108769</v>
      </c>
      <c r="I2100">
        <v>113530.69</v>
      </c>
      <c r="J2100">
        <v>99112.32</v>
      </c>
      <c r="K2100" s="1"/>
      <c r="L2100" s="1"/>
      <c r="M2100" s="1"/>
      <c r="N2100" s="1"/>
    </row>
    <row r="2101" ht="15.75" customHeight="1">
      <c r="A2101" t="s">
        <v>17</v>
      </c>
      <c r="B2101" t="s">
        <v>37</v>
      </c>
      <c r="C2101" t="s">
        <v>4911</v>
      </c>
      <c r="D2101" t="s">
        <v>2180</v>
      </c>
      <c r="E2101">
        <v>72475.40820418281</v>
      </c>
      <c r="F2101">
        <v>24193.7663897913</v>
      </c>
      <c r="G2101">
        <v>17151.7438723889</v>
      </c>
      <c r="H2101">
        <v>14421.7634615642</v>
      </c>
      <c r="I2101">
        <v>113820.92</v>
      </c>
      <c r="J2101">
        <v>99399.16</v>
      </c>
      <c r="K2101" s="1"/>
      <c r="L2101" s="1"/>
      <c r="M2101" s="1"/>
      <c r="N2101" s="1"/>
    </row>
    <row r="2102" ht="15.75" customHeight="1">
      <c r="A2102" t="s">
        <v>36</v>
      </c>
      <c r="B2102" t="s">
        <v>54</v>
      </c>
      <c r="C2102" t="s">
        <v>4915</v>
      </c>
      <c r="D2102" t="s">
        <v>2181</v>
      </c>
      <c r="E2102">
        <v>72219.238650696</v>
      </c>
      <c r="F2102">
        <v>24198.3811081188</v>
      </c>
      <c r="G2102">
        <v>17159.4238758184</v>
      </c>
      <c r="H2102">
        <v>14425.1610122515</v>
      </c>
      <c r="I2102">
        <v>113577.04</v>
      </c>
      <c r="J2102">
        <v>99151.88</v>
      </c>
      <c r="K2102" s="1"/>
      <c r="L2102" s="1"/>
      <c r="M2102" s="1"/>
      <c r="N2102" s="1"/>
    </row>
    <row r="2103" ht="15.75" customHeight="1">
      <c r="A2103" t="s">
        <v>51</v>
      </c>
      <c r="B2103" t="s">
        <v>54</v>
      </c>
      <c r="C2103" t="s">
        <v>4910</v>
      </c>
      <c r="D2103" t="s">
        <v>2182</v>
      </c>
      <c r="E2103">
        <v>72230.1216206022</v>
      </c>
      <c r="F2103">
        <v>24202.9958264462</v>
      </c>
      <c r="G2103">
        <v>17167.1038792479</v>
      </c>
      <c r="H2103">
        <v>14428.5585629388</v>
      </c>
      <c r="I2103">
        <v>113600.22</v>
      </c>
      <c r="J2103">
        <v>99171.66</v>
      </c>
      <c r="K2103" s="1"/>
      <c r="L2103" s="1"/>
      <c r="M2103" s="1"/>
      <c r="N2103" s="1"/>
    </row>
    <row r="2104" ht="15.75" customHeight="1">
      <c r="A2104" t="s">
        <v>51</v>
      </c>
      <c r="B2104" t="s">
        <v>37</v>
      </c>
      <c r="C2104" t="s">
        <v>4907</v>
      </c>
      <c r="D2104" t="s">
        <v>2183</v>
      </c>
      <c r="E2104">
        <v>72241.0045905084</v>
      </c>
      <c r="F2104">
        <v>24207.6105447736</v>
      </c>
      <c r="G2104">
        <v>17174.7838826774</v>
      </c>
      <c r="H2104">
        <v>14431.9561136261</v>
      </c>
      <c r="I2104">
        <v>113623.4</v>
      </c>
      <c r="J2104">
        <v>99191.44</v>
      </c>
      <c r="K2104" s="1"/>
      <c r="L2104" s="1"/>
      <c r="M2104" s="1"/>
      <c r="N2104" s="1"/>
    </row>
    <row r="2105" ht="15.75" customHeight="1">
      <c r="A2105" t="s">
        <v>36</v>
      </c>
      <c r="B2105" t="s">
        <v>33</v>
      </c>
      <c r="C2105" t="s">
        <v>4908</v>
      </c>
      <c r="D2105" t="s">
        <v>2184</v>
      </c>
      <c r="E2105">
        <v>72251.8875604146</v>
      </c>
      <c r="F2105">
        <v>24212.225263101</v>
      </c>
      <c r="G2105">
        <v>17182.4638861069</v>
      </c>
      <c r="H2105">
        <v>14435.3536643134</v>
      </c>
      <c r="I2105">
        <v>113646.58</v>
      </c>
      <c r="J2105">
        <v>99211.23</v>
      </c>
      <c r="K2105" s="1"/>
      <c r="L2105" s="1"/>
      <c r="M2105" s="1"/>
      <c r="N2105" s="1"/>
    </row>
    <row r="2106" ht="15.75" customHeight="1">
      <c r="A2106" t="s">
        <v>13</v>
      </c>
      <c r="B2106" t="s">
        <v>26</v>
      </c>
      <c r="C2106" t="s">
        <v>4908</v>
      </c>
      <c r="D2106" t="s">
        <v>2185</v>
      </c>
      <c r="E2106">
        <v>72262.7705303208</v>
      </c>
      <c r="F2106">
        <v>24216.8399814284</v>
      </c>
      <c r="G2106">
        <v>17190.1438895364</v>
      </c>
      <c r="H2106">
        <v>14438.7512150006</v>
      </c>
      <c r="I2106">
        <v>113669.75</v>
      </c>
      <c r="J2106">
        <v>99231.0</v>
      </c>
      <c r="K2106" s="1"/>
      <c r="L2106" s="1"/>
      <c r="M2106" s="1"/>
      <c r="N2106" s="1"/>
    </row>
    <row r="2107" ht="15.75" customHeight="1">
      <c r="A2107" t="s">
        <v>29</v>
      </c>
      <c r="B2107" t="s">
        <v>26</v>
      </c>
      <c r="C2107" t="s">
        <v>4908</v>
      </c>
      <c r="D2107" t="s">
        <v>2186</v>
      </c>
      <c r="E2107">
        <v>72273.6535002269</v>
      </c>
      <c r="F2107">
        <v>24221.4546997559</v>
      </c>
      <c r="G2107">
        <v>17197.8238929659</v>
      </c>
      <c r="H2107">
        <v>14442.1487656879</v>
      </c>
      <c r="I2107">
        <v>113692.93</v>
      </c>
      <c r="J2107">
        <v>99250.78</v>
      </c>
      <c r="K2107" s="1"/>
      <c r="L2107" s="1"/>
      <c r="M2107" s="1"/>
      <c r="N2107" s="1"/>
    </row>
    <row r="2108" ht="15.75" customHeight="1">
      <c r="A2108" t="s">
        <v>17</v>
      </c>
      <c r="B2108" t="s">
        <v>33</v>
      </c>
      <c r="C2108" t="s">
        <v>4916</v>
      </c>
      <c r="D2108" t="s">
        <v>2187</v>
      </c>
      <c r="E2108">
        <v>72284.5364701331</v>
      </c>
      <c r="F2108">
        <v>24226.0694180833</v>
      </c>
      <c r="G2108">
        <v>17205.5038963954</v>
      </c>
      <c r="H2108">
        <v>14445.5463163752</v>
      </c>
      <c r="I2108">
        <v>113716.11</v>
      </c>
      <c r="J2108">
        <v>99270.56</v>
      </c>
      <c r="K2108" s="1"/>
      <c r="L2108" s="1"/>
      <c r="M2108" s="1"/>
      <c r="N2108" s="1"/>
    </row>
    <row r="2109" ht="15.75" customHeight="1">
      <c r="A2109" t="s">
        <v>53</v>
      </c>
      <c r="B2109" t="s">
        <v>54</v>
      </c>
      <c r="C2109" t="s">
        <v>4914</v>
      </c>
      <c r="D2109" t="s">
        <v>2188</v>
      </c>
      <c r="E2109">
        <v>72306.3024099455</v>
      </c>
      <c r="F2109">
        <v>24235.2988547381</v>
      </c>
      <c r="G2109">
        <v>17220.8639032544</v>
      </c>
      <c r="H2109">
        <v>14452.3414177498</v>
      </c>
      <c r="I2109">
        <v>113762.47</v>
      </c>
      <c r="J2109">
        <v>99310.13</v>
      </c>
      <c r="K2109" s="1"/>
      <c r="L2109" s="1"/>
      <c r="M2109" s="1"/>
      <c r="N2109" s="1"/>
    </row>
    <row r="2110" ht="15.75" customHeight="1">
      <c r="A2110" t="s">
        <v>29</v>
      </c>
      <c r="B2110" t="s">
        <v>30</v>
      </c>
      <c r="C2110" t="s">
        <v>4914</v>
      </c>
      <c r="D2110" t="s">
        <v>2189</v>
      </c>
      <c r="E2110">
        <v>72317.1853798517</v>
      </c>
      <c r="F2110">
        <v>24239.9135730656</v>
      </c>
      <c r="G2110">
        <v>17228.5439066839</v>
      </c>
      <c r="H2110">
        <v>14455.7389684371</v>
      </c>
      <c r="I2110">
        <v>113785.64</v>
      </c>
      <c r="J2110">
        <v>99329.9</v>
      </c>
      <c r="K2110" s="1"/>
      <c r="L2110" s="1"/>
      <c r="M2110" s="1"/>
      <c r="N2110" s="1"/>
    </row>
    <row r="2111" ht="15.75" customHeight="1">
      <c r="A2111" t="s">
        <v>29</v>
      </c>
      <c r="B2111" t="s">
        <v>37</v>
      </c>
      <c r="C2111" t="s">
        <v>4909</v>
      </c>
      <c r="D2111" t="s">
        <v>2190</v>
      </c>
      <c r="E2111">
        <v>72328.0683497579</v>
      </c>
      <c r="F2111">
        <v>24244.528291393</v>
      </c>
      <c r="G2111">
        <v>17236.2239101134</v>
      </c>
      <c r="H2111">
        <v>14459.1365191244</v>
      </c>
      <c r="I2111">
        <v>113808.82</v>
      </c>
      <c r="J2111">
        <v>99349.68</v>
      </c>
      <c r="K2111" s="1"/>
      <c r="L2111" s="1"/>
      <c r="M2111" s="1"/>
      <c r="N2111" s="1"/>
    </row>
    <row r="2112" ht="15.75" customHeight="1">
      <c r="A2112" t="s">
        <v>29</v>
      </c>
      <c r="B2112" t="s">
        <v>18</v>
      </c>
      <c r="C2112" t="s">
        <v>4915</v>
      </c>
      <c r="D2112" t="s">
        <v>2191</v>
      </c>
      <c r="E2112">
        <v>72338.9513196641</v>
      </c>
      <c r="F2112">
        <v>24249.1430097204</v>
      </c>
      <c r="G2112">
        <v>17243.9039135429</v>
      </c>
      <c r="H2112">
        <v>14462.5340698116</v>
      </c>
      <c r="I2112">
        <v>113832.0</v>
      </c>
      <c r="J2112">
        <v>99369.47</v>
      </c>
      <c r="K2112" s="1"/>
      <c r="L2112" s="1"/>
      <c r="M2112" s="1"/>
      <c r="N2112" s="1"/>
    </row>
    <row r="2113" ht="15.75" customHeight="1">
      <c r="A2113" t="s">
        <v>29</v>
      </c>
      <c r="B2113" t="s">
        <v>33</v>
      </c>
      <c r="C2113" t="s">
        <v>4907</v>
      </c>
      <c r="D2113" t="s">
        <v>2192</v>
      </c>
      <c r="E2113">
        <v>72349.8342895703</v>
      </c>
      <c r="F2113">
        <v>24253.7577280478</v>
      </c>
      <c r="G2113">
        <v>17251.5839169724</v>
      </c>
      <c r="H2113">
        <v>14465.9316204989</v>
      </c>
      <c r="I2113">
        <v>113855.18</v>
      </c>
      <c r="J2113">
        <v>99389.25</v>
      </c>
      <c r="K2113" s="1"/>
      <c r="L2113" s="1"/>
      <c r="M2113" s="1"/>
      <c r="N2113" s="1"/>
    </row>
    <row r="2114" ht="15.75" customHeight="1">
      <c r="A2114" t="s">
        <v>17</v>
      </c>
      <c r="B2114" t="s">
        <v>30</v>
      </c>
      <c r="C2114" t="s">
        <v>4912</v>
      </c>
      <c r="D2114" t="s">
        <v>2193</v>
      </c>
      <c r="E2114">
        <v>72360.7172594765</v>
      </c>
      <c r="F2114">
        <v>24258.3724463752</v>
      </c>
      <c r="G2114">
        <v>17259.2639204019</v>
      </c>
      <c r="H2114">
        <v>14469.3291711862</v>
      </c>
      <c r="I2114">
        <v>113878.35</v>
      </c>
      <c r="J2114">
        <v>99409.02</v>
      </c>
      <c r="K2114" s="1"/>
      <c r="L2114" s="1"/>
      <c r="M2114" s="1"/>
      <c r="N2114" s="1"/>
    </row>
    <row r="2115" ht="15.75" customHeight="1">
      <c r="A2115" t="s">
        <v>25</v>
      </c>
      <c r="B2115" t="s">
        <v>33</v>
      </c>
      <c r="C2115" t="s">
        <v>4917</v>
      </c>
      <c r="D2115" t="s">
        <v>2194</v>
      </c>
      <c r="E2115">
        <v>72371.6002293827</v>
      </c>
      <c r="F2115">
        <v>24262.9871647027</v>
      </c>
      <c r="G2115">
        <v>17266.9439238314</v>
      </c>
      <c r="H2115">
        <v>14472.7267218735</v>
      </c>
      <c r="I2115">
        <v>113901.53</v>
      </c>
      <c r="J2115">
        <v>99428.8</v>
      </c>
      <c r="K2115" s="1"/>
      <c r="L2115" s="1"/>
      <c r="M2115" s="1"/>
      <c r="N2115" s="1"/>
    </row>
    <row r="2116" ht="15.75" customHeight="1">
      <c r="A2116" t="s">
        <v>51</v>
      </c>
      <c r="B2116" t="s">
        <v>33</v>
      </c>
      <c r="C2116" t="s">
        <v>4909</v>
      </c>
      <c r="D2116" t="s">
        <v>2195</v>
      </c>
      <c r="E2116">
        <v>72382.4831992889</v>
      </c>
      <c r="F2116">
        <v>24267.6018830301</v>
      </c>
      <c r="G2116">
        <v>17274.6239272609</v>
      </c>
      <c r="H2116">
        <v>14476.1242725608</v>
      </c>
      <c r="I2116">
        <v>113924.71</v>
      </c>
      <c r="J2116">
        <v>99448.59</v>
      </c>
      <c r="K2116" s="1"/>
      <c r="L2116" s="1"/>
      <c r="M2116" s="1"/>
      <c r="N2116" s="1"/>
    </row>
    <row r="2117" ht="15.75" customHeight="1">
      <c r="A2117" t="s">
        <v>36</v>
      </c>
      <c r="B2117" t="s">
        <v>26</v>
      </c>
      <c r="C2117" t="s">
        <v>4914</v>
      </c>
      <c r="D2117" t="s">
        <v>2196</v>
      </c>
      <c r="E2117">
        <v>72404.2491391013</v>
      </c>
      <c r="F2117">
        <v>24276.8313196849</v>
      </c>
      <c r="G2117">
        <v>17289.9839341199</v>
      </c>
      <c r="H2117">
        <v>14482.9193739354</v>
      </c>
      <c r="I2117">
        <v>113971.06</v>
      </c>
      <c r="J2117">
        <v>99488.14</v>
      </c>
      <c r="K2117" s="1"/>
      <c r="L2117" s="1"/>
      <c r="M2117" s="1"/>
      <c r="N2117" s="1"/>
    </row>
    <row r="2118" ht="15.75" customHeight="1">
      <c r="A2118" t="s">
        <v>25</v>
      </c>
      <c r="B2118" t="s">
        <v>54</v>
      </c>
      <c r="C2118" t="s">
        <v>4914</v>
      </c>
      <c r="D2118" t="s">
        <v>2197</v>
      </c>
      <c r="E2118">
        <v>72426.0150789137</v>
      </c>
      <c r="F2118">
        <v>24286.0607563398</v>
      </c>
      <c r="G2118">
        <v>17305.3439409789</v>
      </c>
      <c r="H2118">
        <v>14489.7144753099</v>
      </c>
      <c r="I2118">
        <v>114017.42</v>
      </c>
      <c r="J2118">
        <v>99527.71</v>
      </c>
      <c r="K2118" s="1"/>
      <c r="L2118" s="1"/>
      <c r="M2118" s="1"/>
      <c r="N2118" s="1"/>
    </row>
    <row r="2119" ht="15.75" customHeight="1">
      <c r="A2119" t="s">
        <v>25</v>
      </c>
      <c r="B2119" t="s">
        <v>37</v>
      </c>
      <c r="C2119" t="s">
        <v>4909</v>
      </c>
      <c r="D2119" t="s">
        <v>2198</v>
      </c>
      <c r="E2119">
        <v>72436.8980488198</v>
      </c>
      <c r="F2119">
        <v>24290.6754746672</v>
      </c>
      <c r="G2119">
        <v>17313.0239444084</v>
      </c>
      <c r="H2119">
        <v>14493.1120259972</v>
      </c>
      <c r="I2119">
        <v>114040.6</v>
      </c>
      <c r="J2119">
        <v>99547.49</v>
      </c>
      <c r="K2119" s="1"/>
      <c r="L2119" s="1"/>
      <c r="M2119" s="1"/>
      <c r="N2119" s="1"/>
    </row>
    <row r="2120" ht="15.75" customHeight="1">
      <c r="A2120" t="s">
        <v>53</v>
      </c>
      <c r="B2120" t="s">
        <v>54</v>
      </c>
      <c r="C2120" t="s">
        <v>4914</v>
      </c>
      <c r="D2120" t="s">
        <v>2199</v>
      </c>
      <c r="E2120">
        <v>72447.781018726</v>
      </c>
      <c r="F2120">
        <v>24295.2901929946</v>
      </c>
      <c r="G2120">
        <v>17320.7039478379</v>
      </c>
      <c r="H2120">
        <v>14496.5095766845</v>
      </c>
      <c r="I2120">
        <v>114063.78</v>
      </c>
      <c r="J2120">
        <v>99567.27</v>
      </c>
      <c r="K2120" s="1"/>
      <c r="L2120" s="1"/>
      <c r="M2120" s="1"/>
      <c r="N2120" s="1"/>
    </row>
    <row r="2121" ht="15.75" customHeight="1">
      <c r="A2121" t="s">
        <v>13</v>
      </c>
      <c r="B2121" t="s">
        <v>54</v>
      </c>
      <c r="C2121" t="s">
        <v>4908</v>
      </c>
      <c r="D2121" t="s">
        <v>2200</v>
      </c>
      <c r="E2121">
        <v>72458.6639886322</v>
      </c>
      <c r="F2121">
        <v>24299.904911322</v>
      </c>
      <c r="G2121">
        <v>17328.3839512674</v>
      </c>
      <c r="H2121">
        <v>14499.9071273718</v>
      </c>
      <c r="I2121">
        <v>114086.95</v>
      </c>
      <c r="J2121">
        <v>99587.04</v>
      </c>
      <c r="K2121" s="1"/>
      <c r="L2121" s="1"/>
      <c r="M2121" s="1"/>
      <c r="N2121" s="1"/>
    </row>
    <row r="2122" ht="15.75" customHeight="1">
      <c r="A2122" t="s">
        <v>13</v>
      </c>
      <c r="B2122" t="s">
        <v>37</v>
      </c>
      <c r="C2122" t="s">
        <v>4909</v>
      </c>
      <c r="D2122" t="s">
        <v>2201</v>
      </c>
      <c r="E2122">
        <v>72469.5469585384</v>
      </c>
      <c r="F2122">
        <v>24304.5196296495</v>
      </c>
      <c r="G2122">
        <v>17336.0639546968</v>
      </c>
      <c r="H2122">
        <v>14503.3046780591</v>
      </c>
      <c r="I2122">
        <v>114110.13</v>
      </c>
      <c r="J2122">
        <v>99606.83</v>
      </c>
      <c r="K2122" s="1"/>
      <c r="L2122" s="1"/>
      <c r="M2122" s="1"/>
      <c r="N2122" s="1"/>
    </row>
    <row r="2123" ht="15.75" customHeight="1">
      <c r="A2123" t="s">
        <v>53</v>
      </c>
      <c r="B2123" t="s">
        <v>30</v>
      </c>
      <c r="C2123" t="s">
        <v>4915</v>
      </c>
      <c r="D2123" t="s">
        <v>2202</v>
      </c>
      <c r="E2123">
        <v>72480.4299284446</v>
      </c>
      <c r="F2123">
        <v>24309.1343479769</v>
      </c>
      <c r="G2123">
        <v>17343.7439581263</v>
      </c>
      <c r="H2123">
        <v>14506.7022287464</v>
      </c>
      <c r="I2123">
        <v>114133.31</v>
      </c>
      <c r="J2123">
        <v>99626.61</v>
      </c>
      <c r="K2123" s="1"/>
      <c r="L2123" s="1"/>
      <c r="M2123" s="1"/>
      <c r="N2123" s="1"/>
    </row>
    <row r="2124" ht="15.75" customHeight="1">
      <c r="A2124" t="s">
        <v>29</v>
      </c>
      <c r="B2124" t="s">
        <v>30</v>
      </c>
      <c r="C2124" t="s">
        <v>4916</v>
      </c>
      <c r="D2124" t="s">
        <v>2203</v>
      </c>
      <c r="E2124">
        <v>72491.3128983508</v>
      </c>
      <c r="F2124">
        <v>24313.7490663043</v>
      </c>
      <c r="G2124">
        <v>17351.4239615558</v>
      </c>
      <c r="H2124">
        <v>14510.0997794337</v>
      </c>
      <c r="I2124">
        <v>114156.49</v>
      </c>
      <c r="J2124">
        <v>99646.39</v>
      </c>
      <c r="K2124" s="1"/>
      <c r="L2124" s="1"/>
      <c r="M2124" s="1"/>
      <c r="N2124" s="1"/>
    </row>
    <row r="2125" ht="15.75" customHeight="1">
      <c r="A2125" t="s">
        <v>36</v>
      </c>
      <c r="B2125" t="s">
        <v>30</v>
      </c>
      <c r="C2125" t="s">
        <v>4908</v>
      </c>
      <c r="D2125" t="s">
        <v>2204</v>
      </c>
      <c r="E2125">
        <v>72502.195868257</v>
      </c>
      <c r="F2125">
        <v>24318.3637846317</v>
      </c>
      <c r="G2125">
        <v>17359.1039649853</v>
      </c>
      <c r="H2125">
        <v>14513.497330121</v>
      </c>
      <c r="I2125">
        <v>114179.66</v>
      </c>
      <c r="J2125">
        <v>99666.16</v>
      </c>
      <c r="K2125" s="1"/>
      <c r="L2125" s="1"/>
      <c r="M2125" s="1"/>
      <c r="N2125" s="1"/>
    </row>
    <row r="2126" ht="15.75" customHeight="1">
      <c r="A2126" t="s">
        <v>17</v>
      </c>
      <c r="B2126" t="s">
        <v>30</v>
      </c>
      <c r="C2126" t="s">
        <v>4916</v>
      </c>
      <c r="D2126" t="s">
        <v>2205</v>
      </c>
      <c r="E2126">
        <v>72513.0788381632</v>
      </c>
      <c r="F2126">
        <v>24322.9785029592</v>
      </c>
      <c r="G2126">
        <v>17366.7839684148</v>
      </c>
      <c r="H2126">
        <v>14516.8948808082</v>
      </c>
      <c r="I2126">
        <v>114202.84</v>
      </c>
      <c r="J2126">
        <v>99685.95</v>
      </c>
      <c r="K2126" s="1"/>
      <c r="L2126" s="1"/>
      <c r="M2126" s="1"/>
      <c r="N2126" s="1"/>
    </row>
    <row r="2127" ht="15.75" customHeight="1">
      <c r="A2127" t="s">
        <v>51</v>
      </c>
      <c r="B2127" t="s">
        <v>30</v>
      </c>
      <c r="C2127" t="s">
        <v>4910</v>
      </c>
      <c r="D2127" t="s">
        <v>2206</v>
      </c>
      <c r="E2127">
        <v>72534.8447779756</v>
      </c>
      <c r="F2127">
        <v>24332.207939614</v>
      </c>
      <c r="G2127">
        <v>17382.1439752738</v>
      </c>
      <c r="H2127">
        <v>14523.6899821828</v>
      </c>
      <c r="I2127">
        <v>114249.2</v>
      </c>
      <c r="J2127">
        <v>99725.51</v>
      </c>
      <c r="K2127" s="1"/>
      <c r="L2127" s="1"/>
      <c r="M2127" s="1"/>
      <c r="N2127" s="1"/>
    </row>
    <row r="2128" ht="15.75" customHeight="1">
      <c r="A2128" t="s">
        <v>51</v>
      </c>
      <c r="B2128" t="s">
        <v>37</v>
      </c>
      <c r="C2128" t="s">
        <v>4916</v>
      </c>
      <c r="D2128" t="s">
        <v>2207</v>
      </c>
      <c r="E2128">
        <v>72545.7277478818</v>
      </c>
      <c r="F2128">
        <v>24336.8226579414</v>
      </c>
      <c r="G2128">
        <v>17389.8239787033</v>
      </c>
      <c r="H2128">
        <v>14527.0875328701</v>
      </c>
      <c r="I2128">
        <v>114272.37</v>
      </c>
      <c r="J2128">
        <v>99745.28</v>
      </c>
      <c r="K2128" s="1"/>
      <c r="L2128" s="1"/>
      <c r="M2128" s="1"/>
      <c r="N2128" s="1"/>
    </row>
    <row r="2129" ht="15.75" customHeight="1">
      <c r="A2129" t="s">
        <v>17</v>
      </c>
      <c r="B2129" t="s">
        <v>54</v>
      </c>
      <c r="C2129" t="s">
        <v>4907</v>
      </c>
      <c r="D2129" t="s">
        <v>2208</v>
      </c>
      <c r="E2129">
        <v>72556.610717788</v>
      </c>
      <c r="F2129">
        <v>24341.4373762688</v>
      </c>
      <c r="G2129">
        <v>17397.5039821328</v>
      </c>
      <c r="H2129">
        <v>14530.4850835574</v>
      </c>
      <c r="I2129">
        <v>114295.55</v>
      </c>
      <c r="J2129">
        <v>99765.06</v>
      </c>
      <c r="K2129" s="1"/>
      <c r="L2129" s="1"/>
      <c r="M2129" s="1"/>
      <c r="N2129" s="1"/>
    </row>
    <row r="2130" ht="15.75" customHeight="1">
      <c r="A2130" t="s">
        <v>13</v>
      </c>
      <c r="B2130" t="s">
        <v>14</v>
      </c>
      <c r="C2130" t="s">
        <v>4916</v>
      </c>
      <c r="D2130" t="s">
        <v>2209</v>
      </c>
      <c r="E2130">
        <v>72567.4936876942</v>
      </c>
      <c r="F2130">
        <v>24346.0520945963</v>
      </c>
      <c r="G2130">
        <v>17405.1839855623</v>
      </c>
      <c r="H2130">
        <v>14533.8826342447</v>
      </c>
      <c r="I2130">
        <v>114318.73</v>
      </c>
      <c r="J2130">
        <v>99784.85</v>
      </c>
      <c r="K2130" s="1"/>
      <c r="L2130" s="1"/>
      <c r="M2130" s="1"/>
      <c r="N2130" s="1"/>
    </row>
    <row r="2131" ht="15.75" customHeight="1">
      <c r="A2131" t="s">
        <v>53</v>
      </c>
      <c r="B2131" t="s">
        <v>30</v>
      </c>
      <c r="C2131" t="s">
        <v>4913</v>
      </c>
      <c r="D2131" t="s">
        <v>2210</v>
      </c>
      <c r="E2131">
        <v>72578.3766576004</v>
      </c>
      <c r="F2131">
        <v>24350.6668129237</v>
      </c>
      <c r="G2131">
        <v>17412.8639889918</v>
      </c>
      <c r="H2131">
        <v>14537.280184932</v>
      </c>
      <c r="I2131">
        <v>114341.91</v>
      </c>
      <c r="J2131">
        <v>99804.63</v>
      </c>
      <c r="K2131" s="1"/>
      <c r="L2131" s="1"/>
      <c r="M2131" s="1"/>
      <c r="N2131" s="1"/>
    </row>
    <row r="2132" ht="15.75" customHeight="1">
      <c r="A2132" t="s">
        <v>29</v>
      </c>
      <c r="B2132" t="s">
        <v>18</v>
      </c>
      <c r="C2132" t="s">
        <v>4909</v>
      </c>
      <c r="D2132" t="s">
        <v>2211</v>
      </c>
      <c r="E2132">
        <v>72589.2596275066</v>
      </c>
      <c r="F2132">
        <v>24355.2815312511</v>
      </c>
      <c r="G2132">
        <v>17420.5439924213</v>
      </c>
      <c r="H2132">
        <v>14540.6777356193</v>
      </c>
      <c r="I2132">
        <v>114365.09</v>
      </c>
      <c r="J2132">
        <v>99824.41</v>
      </c>
      <c r="K2132" s="1"/>
      <c r="L2132" s="1"/>
      <c r="M2132" s="1"/>
      <c r="N2132" s="1"/>
    </row>
    <row r="2133" ht="15.75" customHeight="1">
      <c r="A2133" t="s">
        <v>36</v>
      </c>
      <c r="B2133" t="s">
        <v>37</v>
      </c>
      <c r="C2133" t="s">
        <v>4905</v>
      </c>
      <c r="D2133" t="s">
        <v>2212</v>
      </c>
      <c r="E2133">
        <v>72600.1425974127</v>
      </c>
      <c r="F2133">
        <v>24359.8962495785</v>
      </c>
      <c r="G2133">
        <v>17428.2239958508</v>
      </c>
      <c r="H2133">
        <v>14544.0752863065</v>
      </c>
      <c r="I2133">
        <v>114388.26</v>
      </c>
      <c r="J2133">
        <v>99844.18</v>
      </c>
      <c r="K2133" s="1"/>
      <c r="L2133" s="1"/>
      <c r="M2133" s="1"/>
      <c r="N2133" s="1"/>
    </row>
    <row r="2134" ht="15.75" customHeight="1">
      <c r="A2134" t="s">
        <v>25</v>
      </c>
      <c r="B2134" t="s">
        <v>18</v>
      </c>
      <c r="C2134" t="s">
        <v>4914</v>
      </c>
      <c r="D2134" t="s">
        <v>2213</v>
      </c>
      <c r="E2134">
        <v>72611.0255673189</v>
      </c>
      <c r="F2134">
        <v>24364.5109679059</v>
      </c>
      <c r="G2134">
        <v>17435.9039992803</v>
      </c>
      <c r="H2134">
        <v>14547.4728369938</v>
      </c>
      <c r="I2134">
        <v>114411.44</v>
      </c>
      <c r="J2134">
        <v>99863.97</v>
      </c>
      <c r="K2134" s="1"/>
      <c r="L2134" s="1"/>
      <c r="M2134" s="1"/>
      <c r="N2134" s="1"/>
    </row>
    <row r="2135" ht="15.75" customHeight="1">
      <c r="A2135" t="s">
        <v>13</v>
      </c>
      <c r="B2135" t="s">
        <v>33</v>
      </c>
      <c r="C2135" t="s">
        <v>4917</v>
      </c>
      <c r="D2135" t="s">
        <v>2214</v>
      </c>
      <c r="E2135">
        <v>72621.9085372251</v>
      </c>
      <c r="F2135">
        <v>24369.1256862334</v>
      </c>
      <c r="G2135">
        <v>17443.5840027098</v>
      </c>
      <c r="H2135">
        <v>14550.8703876811</v>
      </c>
      <c r="I2135">
        <v>114434.62</v>
      </c>
      <c r="J2135">
        <v>99883.75</v>
      </c>
      <c r="K2135" s="1"/>
      <c r="L2135" s="1"/>
      <c r="M2135" s="1"/>
      <c r="N2135" s="1"/>
    </row>
    <row r="2136" ht="15.75" customHeight="1">
      <c r="A2136" t="s">
        <v>36</v>
      </c>
      <c r="B2136" t="s">
        <v>33</v>
      </c>
      <c r="C2136" t="s">
        <v>4908</v>
      </c>
      <c r="D2136" t="s">
        <v>2215</v>
      </c>
      <c r="E2136">
        <v>72632.7915071313</v>
      </c>
      <c r="F2136">
        <v>24373.7404045608</v>
      </c>
      <c r="G2136">
        <v>17451.2640061393</v>
      </c>
      <c r="H2136">
        <v>14554.2679383684</v>
      </c>
      <c r="I2136">
        <v>114457.8</v>
      </c>
      <c r="J2136">
        <v>99903.53</v>
      </c>
      <c r="K2136" s="1"/>
      <c r="L2136" s="1"/>
      <c r="M2136" s="1"/>
      <c r="N2136" s="1"/>
    </row>
    <row r="2137" ht="15.75" customHeight="1">
      <c r="A2137" t="s">
        <v>29</v>
      </c>
      <c r="B2137" t="s">
        <v>14</v>
      </c>
      <c r="C2137" t="s">
        <v>4916</v>
      </c>
      <c r="D2137" t="s">
        <v>2216</v>
      </c>
      <c r="E2137">
        <v>72643.6744770375</v>
      </c>
      <c r="F2137">
        <v>24378.3551228882</v>
      </c>
      <c r="G2137">
        <v>17458.9440095688</v>
      </c>
      <c r="H2137">
        <v>14557.6654890557</v>
      </c>
      <c r="I2137">
        <v>114480.97</v>
      </c>
      <c r="J2137">
        <v>99923.3</v>
      </c>
      <c r="K2137" s="1"/>
      <c r="L2137" s="1"/>
      <c r="M2137" s="1"/>
      <c r="N2137" s="1"/>
    </row>
    <row r="2138" ht="15.75" customHeight="1">
      <c r="A2138" t="s">
        <v>51</v>
      </c>
      <c r="B2138" t="s">
        <v>37</v>
      </c>
      <c r="C2138" t="s">
        <v>4917</v>
      </c>
      <c r="D2138" t="s">
        <v>2217</v>
      </c>
      <c r="E2138">
        <v>72654.5574469437</v>
      </c>
      <c r="F2138">
        <v>24382.9698412156</v>
      </c>
      <c r="G2138">
        <v>17466.6240129983</v>
      </c>
      <c r="H2138">
        <v>14561.063039743</v>
      </c>
      <c r="I2138">
        <v>114504.15</v>
      </c>
      <c r="J2138">
        <v>99943.09</v>
      </c>
      <c r="K2138" s="1"/>
      <c r="L2138" s="1"/>
      <c r="M2138" s="1"/>
      <c r="N2138" s="1"/>
    </row>
    <row r="2139" ht="15.75" customHeight="1">
      <c r="A2139" t="s">
        <v>53</v>
      </c>
      <c r="B2139" t="s">
        <v>14</v>
      </c>
      <c r="C2139" t="s">
        <v>4916</v>
      </c>
      <c r="D2139" t="s">
        <v>2218</v>
      </c>
      <c r="E2139">
        <v>72665.4404168499</v>
      </c>
      <c r="F2139">
        <v>24387.5845595431</v>
      </c>
      <c r="G2139">
        <v>17474.3040164278</v>
      </c>
      <c r="H2139">
        <v>14564.4605904303</v>
      </c>
      <c r="I2139">
        <v>114527.33</v>
      </c>
      <c r="J2139">
        <v>99962.87</v>
      </c>
      <c r="K2139" s="1"/>
      <c r="L2139" s="1"/>
      <c r="M2139" s="1"/>
      <c r="N2139" s="1"/>
    </row>
    <row r="2140" ht="15.75" customHeight="1">
      <c r="A2140" t="s">
        <v>29</v>
      </c>
      <c r="B2140" t="s">
        <v>26</v>
      </c>
      <c r="C2140" t="s">
        <v>4914</v>
      </c>
      <c r="D2140" t="s">
        <v>2219</v>
      </c>
      <c r="E2140">
        <v>72676.3233867561</v>
      </c>
      <c r="F2140">
        <v>24392.1992778705</v>
      </c>
      <c r="G2140">
        <v>17481.9840198573</v>
      </c>
      <c r="H2140">
        <v>14567.8581411175</v>
      </c>
      <c r="I2140">
        <v>114550.51</v>
      </c>
      <c r="J2140">
        <v>99982.65</v>
      </c>
      <c r="K2140" s="1"/>
      <c r="L2140" s="1"/>
      <c r="M2140" s="1"/>
      <c r="N2140" s="1"/>
    </row>
    <row r="2141" ht="15.75" customHeight="1">
      <c r="A2141" t="s">
        <v>13</v>
      </c>
      <c r="B2141" t="s">
        <v>18</v>
      </c>
      <c r="C2141" t="s">
        <v>4907</v>
      </c>
      <c r="D2141" t="s">
        <v>2220</v>
      </c>
      <c r="E2141">
        <v>72687.2063566623</v>
      </c>
      <c r="F2141">
        <v>24396.8139961979</v>
      </c>
      <c r="G2141">
        <v>17489.6640232868</v>
      </c>
      <c r="H2141">
        <v>14571.2556918048</v>
      </c>
      <c r="I2141">
        <v>114573.68</v>
      </c>
      <c r="J2141">
        <v>100002.42</v>
      </c>
      <c r="K2141" s="1"/>
      <c r="L2141" s="1"/>
      <c r="M2141" s="1"/>
      <c r="N2141" s="1"/>
    </row>
    <row r="2142" ht="15.75" customHeight="1">
      <c r="A2142" t="s">
        <v>51</v>
      </c>
      <c r="B2142" t="s">
        <v>30</v>
      </c>
      <c r="C2142" t="s">
        <v>4910</v>
      </c>
      <c r="D2142" t="s">
        <v>2221</v>
      </c>
      <c r="E2142">
        <v>72698.0893265685</v>
      </c>
      <c r="F2142">
        <v>24401.4287145253</v>
      </c>
      <c r="G2142">
        <v>17497.3440267163</v>
      </c>
      <c r="H2142">
        <v>14574.6532424921</v>
      </c>
      <c r="I2142">
        <v>114596.86</v>
      </c>
      <c r="J2142">
        <v>100022.21</v>
      </c>
      <c r="K2142" s="1"/>
      <c r="L2142" s="1"/>
      <c r="M2142" s="1"/>
      <c r="N2142" s="1"/>
    </row>
    <row r="2143" ht="15.75" customHeight="1">
      <c r="A2143" t="s">
        <v>25</v>
      </c>
      <c r="B2143" t="s">
        <v>14</v>
      </c>
      <c r="C2143" t="s">
        <v>4913</v>
      </c>
      <c r="D2143" t="s">
        <v>2222</v>
      </c>
      <c r="E2143">
        <v>72708.9722964747</v>
      </c>
      <c r="F2143">
        <v>24406.0434328527</v>
      </c>
      <c r="G2143">
        <v>17505.0240301458</v>
      </c>
      <c r="H2143">
        <v>14578.0507931794</v>
      </c>
      <c r="I2143">
        <v>114620.04</v>
      </c>
      <c r="J2143">
        <v>100041.99</v>
      </c>
      <c r="K2143" s="1"/>
      <c r="L2143" s="1"/>
      <c r="M2143" s="1"/>
      <c r="N2143" s="1"/>
    </row>
    <row r="2144" ht="15.75" customHeight="1">
      <c r="A2144" t="s">
        <v>25</v>
      </c>
      <c r="B2144" t="s">
        <v>33</v>
      </c>
      <c r="C2144" t="s">
        <v>4916</v>
      </c>
      <c r="D2144" t="s">
        <v>2223</v>
      </c>
      <c r="E2144">
        <v>72719.8552663809</v>
      </c>
      <c r="F2144">
        <v>24410.6581511802</v>
      </c>
      <c r="G2144">
        <v>17512.7040335753</v>
      </c>
      <c r="H2144">
        <v>14581.4483438667</v>
      </c>
      <c r="I2144">
        <v>114643.22</v>
      </c>
      <c r="J2144">
        <v>100061.77</v>
      </c>
      <c r="K2144" s="1"/>
      <c r="L2144" s="1"/>
      <c r="M2144" s="1"/>
      <c r="N2144" s="1"/>
    </row>
    <row r="2145" ht="15.75" customHeight="1">
      <c r="A2145" t="s">
        <v>29</v>
      </c>
      <c r="B2145" t="s">
        <v>54</v>
      </c>
      <c r="C2145" t="s">
        <v>4910</v>
      </c>
      <c r="D2145" t="s">
        <v>2224</v>
      </c>
      <c r="E2145">
        <v>72730.7382362871</v>
      </c>
      <c r="F2145">
        <v>24415.2728695076</v>
      </c>
      <c r="G2145">
        <v>17520.3840370048</v>
      </c>
      <c r="H2145">
        <v>14584.845894554</v>
      </c>
      <c r="I2145">
        <v>114666.4</v>
      </c>
      <c r="J2145">
        <v>100081.55</v>
      </c>
      <c r="K2145" s="1"/>
      <c r="L2145" s="1"/>
      <c r="M2145" s="1"/>
      <c r="N2145" s="1"/>
    </row>
    <row r="2146" ht="15.75" customHeight="1">
      <c r="A2146" t="s">
        <v>51</v>
      </c>
      <c r="B2146" t="s">
        <v>30</v>
      </c>
      <c r="C2146" t="s">
        <v>4914</v>
      </c>
      <c r="D2146" t="s">
        <v>2225</v>
      </c>
      <c r="E2146">
        <v>72741.6212061933</v>
      </c>
      <c r="F2146">
        <v>24419.887587835</v>
      </c>
      <c r="G2146">
        <v>17528.0640404343</v>
      </c>
      <c r="H2146">
        <v>14588.2434452413</v>
      </c>
      <c r="I2146">
        <v>114689.57</v>
      </c>
      <c r="J2146">
        <v>100101.33</v>
      </c>
      <c r="K2146" s="1"/>
      <c r="L2146" s="1"/>
      <c r="M2146" s="1"/>
      <c r="N2146" s="1"/>
    </row>
    <row r="2147" ht="15.75" customHeight="1">
      <c r="A2147" t="s">
        <v>51</v>
      </c>
      <c r="B2147" t="s">
        <v>37</v>
      </c>
      <c r="C2147" t="s">
        <v>4911</v>
      </c>
      <c r="D2147" t="s">
        <v>2226</v>
      </c>
      <c r="E2147">
        <v>72763.3871460056</v>
      </c>
      <c r="F2147">
        <v>24429.1170244899</v>
      </c>
      <c r="G2147">
        <v>17543.4240472933</v>
      </c>
      <c r="H2147">
        <v>14595.0385466158</v>
      </c>
      <c r="I2147">
        <v>114735.93</v>
      </c>
      <c r="J2147">
        <v>100140.89</v>
      </c>
      <c r="K2147" s="1"/>
      <c r="L2147" s="1"/>
      <c r="M2147" s="1"/>
      <c r="N2147" s="1"/>
    </row>
    <row r="2148" ht="15.75" customHeight="1">
      <c r="A2148" t="s">
        <v>36</v>
      </c>
      <c r="B2148" t="s">
        <v>54</v>
      </c>
      <c r="C2148" t="s">
        <v>4912</v>
      </c>
      <c r="D2148" t="s">
        <v>2227</v>
      </c>
      <c r="E2148">
        <v>72774.2701159118</v>
      </c>
      <c r="F2148">
        <v>24433.7317428173</v>
      </c>
      <c r="G2148">
        <v>17551.1040507228</v>
      </c>
      <c r="H2148">
        <v>14598.4360973031</v>
      </c>
      <c r="I2148">
        <v>114759.11</v>
      </c>
      <c r="J2148">
        <v>100160.67</v>
      </c>
      <c r="K2148" s="1"/>
      <c r="L2148" s="1"/>
      <c r="M2148" s="1"/>
      <c r="N2148" s="1"/>
    </row>
    <row r="2149" ht="15.75" customHeight="1">
      <c r="A2149" t="s">
        <v>13</v>
      </c>
      <c r="B2149" t="s">
        <v>26</v>
      </c>
      <c r="C2149" t="s">
        <v>4914</v>
      </c>
      <c r="D2149" t="s">
        <v>2228</v>
      </c>
      <c r="E2149">
        <v>72796.0360557242</v>
      </c>
      <c r="F2149">
        <v>24442.9611794721</v>
      </c>
      <c r="G2149">
        <v>17566.4640575818</v>
      </c>
      <c r="H2149">
        <v>14605.2311986777</v>
      </c>
      <c r="I2149">
        <v>114805.46</v>
      </c>
      <c r="J2149">
        <v>100200.23</v>
      </c>
      <c r="K2149" s="1"/>
      <c r="L2149" s="1"/>
      <c r="M2149" s="1"/>
      <c r="N2149" s="1"/>
    </row>
    <row r="2150" ht="15.75" customHeight="1">
      <c r="A2150" t="s">
        <v>29</v>
      </c>
      <c r="B2150" t="s">
        <v>18</v>
      </c>
      <c r="C2150" t="s">
        <v>4915</v>
      </c>
      <c r="D2150" t="s">
        <v>2229</v>
      </c>
      <c r="E2150">
        <v>72806.9190256304</v>
      </c>
      <c r="F2150">
        <v>24447.5758977995</v>
      </c>
      <c r="G2150">
        <v>17574.1440610113</v>
      </c>
      <c r="H2150">
        <v>14608.628749365</v>
      </c>
      <c r="I2150">
        <v>114828.64</v>
      </c>
      <c r="J2150">
        <v>100220.01</v>
      </c>
      <c r="K2150" s="1"/>
      <c r="L2150" s="1"/>
      <c r="M2150" s="1"/>
      <c r="N2150" s="1"/>
    </row>
    <row r="2151" ht="15.75" customHeight="1">
      <c r="A2151" t="s">
        <v>53</v>
      </c>
      <c r="B2151" t="s">
        <v>37</v>
      </c>
      <c r="C2151" t="s">
        <v>4910</v>
      </c>
      <c r="D2151" t="s">
        <v>2230</v>
      </c>
      <c r="E2151">
        <v>72817.8019955366</v>
      </c>
      <c r="F2151">
        <v>24452.190616127</v>
      </c>
      <c r="G2151">
        <v>17581.8240644408</v>
      </c>
      <c r="H2151">
        <v>14612.0263000523</v>
      </c>
      <c r="I2151">
        <v>114851.82</v>
      </c>
      <c r="J2151">
        <v>100239.79</v>
      </c>
      <c r="K2151" s="1"/>
      <c r="L2151" s="1"/>
      <c r="M2151" s="1"/>
      <c r="N2151" s="1"/>
    </row>
    <row r="2152" ht="15.75" customHeight="1">
      <c r="A2152" t="s">
        <v>17</v>
      </c>
      <c r="B2152" t="s">
        <v>37</v>
      </c>
      <c r="C2152" t="s">
        <v>4917</v>
      </c>
      <c r="D2152" t="s">
        <v>2231</v>
      </c>
      <c r="E2152">
        <v>72828.6849654428</v>
      </c>
      <c r="F2152">
        <v>24456.8053344544</v>
      </c>
      <c r="G2152">
        <v>17589.5040678703</v>
      </c>
      <c r="H2152">
        <v>14615.4238507396</v>
      </c>
      <c r="I2152">
        <v>114874.99</v>
      </c>
      <c r="J2152">
        <v>100259.57</v>
      </c>
      <c r="K2152" s="1"/>
      <c r="L2152" s="1"/>
      <c r="M2152" s="1"/>
      <c r="N2152" s="1"/>
    </row>
    <row r="2153" ht="15.75" customHeight="1">
      <c r="A2153" t="s">
        <v>29</v>
      </c>
      <c r="B2153" t="s">
        <v>14</v>
      </c>
      <c r="C2153" t="s">
        <v>4910</v>
      </c>
      <c r="D2153" t="s">
        <v>2232</v>
      </c>
      <c r="E2153">
        <v>72210.86634532797</v>
      </c>
      <c r="F2153">
        <v>24461.4200527818</v>
      </c>
      <c r="G2153">
        <v>17597.1840712998</v>
      </c>
      <c r="H2153">
        <v>14618.8214014269</v>
      </c>
      <c r="I2153">
        <v>114269.47</v>
      </c>
      <c r="J2153">
        <v>99650.65</v>
      </c>
      <c r="K2153" s="1"/>
      <c r="L2153" s="1"/>
      <c r="M2153" s="1"/>
      <c r="N2153" s="1"/>
    </row>
    <row r="2154" ht="15.75" customHeight="1">
      <c r="A2154" t="s">
        <v>51</v>
      </c>
      <c r="B2154" t="s">
        <v>18</v>
      </c>
      <c r="C2154" t="s">
        <v>4910</v>
      </c>
      <c r="D2154" t="s">
        <v>2233</v>
      </c>
      <c r="E2154">
        <v>72850.4509052552</v>
      </c>
      <c r="F2154">
        <v>24466.0347711092</v>
      </c>
      <c r="G2154">
        <v>17604.8640747293</v>
      </c>
      <c r="H2154">
        <v>14622.2189521141</v>
      </c>
      <c r="I2154">
        <v>114921.35</v>
      </c>
      <c r="J2154">
        <v>100299.13</v>
      </c>
      <c r="K2154" s="1"/>
      <c r="L2154" s="1"/>
      <c r="M2154" s="1"/>
      <c r="N2154" s="1"/>
    </row>
    <row r="2155" ht="15.75" customHeight="1">
      <c r="A2155" t="s">
        <v>13</v>
      </c>
      <c r="B2155" t="s">
        <v>33</v>
      </c>
      <c r="C2155" t="s">
        <v>4915</v>
      </c>
      <c r="D2155" t="s">
        <v>2234</v>
      </c>
      <c r="E2155">
        <v>72861.3338751614</v>
      </c>
      <c r="F2155">
        <v>24470.6494894367</v>
      </c>
      <c r="G2155">
        <v>17612.5440781587</v>
      </c>
      <c r="H2155">
        <v>14625.6165028014</v>
      </c>
      <c r="I2155">
        <v>114944.53</v>
      </c>
      <c r="J2155">
        <v>100318.91</v>
      </c>
      <c r="K2155" s="1"/>
      <c r="L2155" s="1"/>
      <c r="M2155" s="1"/>
      <c r="N2155" s="1"/>
    </row>
    <row r="2156" ht="15.75" customHeight="1">
      <c r="A2156" t="s">
        <v>13</v>
      </c>
      <c r="B2156" t="s">
        <v>37</v>
      </c>
      <c r="C2156" t="s">
        <v>4908</v>
      </c>
      <c r="D2156" t="s">
        <v>2235</v>
      </c>
      <c r="E2156">
        <v>72872.2168450676</v>
      </c>
      <c r="F2156">
        <v>24475.2642077641</v>
      </c>
      <c r="G2156">
        <v>17620.2240815882</v>
      </c>
      <c r="H2156">
        <v>14629.0140534887</v>
      </c>
      <c r="I2156">
        <v>114967.71</v>
      </c>
      <c r="J2156">
        <v>100338.7</v>
      </c>
      <c r="K2156" s="1"/>
      <c r="L2156" s="1"/>
      <c r="M2156" s="1"/>
      <c r="N2156" s="1"/>
    </row>
    <row r="2157" ht="15.75" customHeight="1">
      <c r="A2157" t="s">
        <v>25</v>
      </c>
      <c r="B2157" t="s">
        <v>30</v>
      </c>
      <c r="C2157" t="s">
        <v>4910</v>
      </c>
      <c r="D2157" t="s">
        <v>2236</v>
      </c>
      <c r="E2157">
        <v>72893.98278488</v>
      </c>
      <c r="F2157">
        <v>24484.4936444189</v>
      </c>
      <c r="G2157">
        <v>17635.5840884472</v>
      </c>
      <c r="H2157">
        <v>14635.8091548633</v>
      </c>
      <c r="I2157">
        <v>115014.06</v>
      </c>
      <c r="J2157">
        <v>100378.25</v>
      </c>
      <c r="K2157" s="1"/>
      <c r="L2157" s="1"/>
      <c r="M2157" s="1"/>
      <c r="N2157" s="1"/>
    </row>
    <row r="2158" ht="15.75" customHeight="1">
      <c r="A2158" t="s">
        <v>51</v>
      </c>
      <c r="B2158" t="s">
        <v>33</v>
      </c>
      <c r="C2158" t="s">
        <v>4917</v>
      </c>
      <c r="D2158" t="s">
        <v>2237</v>
      </c>
      <c r="E2158">
        <v>72904.8657547862</v>
      </c>
      <c r="F2158">
        <v>24489.1083627463</v>
      </c>
      <c r="G2158">
        <v>17643.2640918767</v>
      </c>
      <c r="H2158">
        <v>14639.2067055506</v>
      </c>
      <c r="I2158">
        <v>115037.24</v>
      </c>
      <c r="J2158">
        <v>100398.03</v>
      </c>
      <c r="K2158" s="1"/>
      <c r="L2158" s="1"/>
      <c r="M2158" s="1"/>
      <c r="N2158" s="1"/>
    </row>
    <row r="2159" ht="15.75" customHeight="1">
      <c r="A2159" t="s">
        <v>51</v>
      </c>
      <c r="B2159" t="s">
        <v>26</v>
      </c>
      <c r="C2159" t="s">
        <v>4915</v>
      </c>
      <c r="D2159" t="s">
        <v>2238</v>
      </c>
      <c r="E2159">
        <v>72915.7487246924</v>
      </c>
      <c r="F2159">
        <v>24493.7230810738</v>
      </c>
      <c r="G2159">
        <v>17650.9440953062</v>
      </c>
      <c r="H2159">
        <v>14642.6042562379</v>
      </c>
      <c r="I2159">
        <v>115060.42</v>
      </c>
      <c r="J2159">
        <v>100417.82</v>
      </c>
      <c r="K2159" s="1"/>
      <c r="L2159" s="1"/>
      <c r="M2159" s="1"/>
      <c r="N2159" s="1"/>
    </row>
    <row r="2160" ht="15.75" customHeight="1">
      <c r="A2160" t="s">
        <v>13</v>
      </c>
      <c r="B2160" t="s">
        <v>18</v>
      </c>
      <c r="C2160" t="s">
        <v>4915</v>
      </c>
      <c r="D2160" t="s">
        <v>2239</v>
      </c>
      <c r="E2160">
        <v>72926.6316945985</v>
      </c>
      <c r="F2160">
        <v>24498.3377994012</v>
      </c>
      <c r="G2160">
        <v>17658.6240987357</v>
      </c>
      <c r="H2160">
        <v>14646.0018069251</v>
      </c>
      <c r="I2160">
        <v>115083.59</v>
      </c>
      <c r="J2160">
        <v>100437.59</v>
      </c>
      <c r="K2160" s="1"/>
      <c r="L2160" s="1"/>
      <c r="M2160" s="1"/>
      <c r="N2160" s="1"/>
    </row>
    <row r="2161" ht="15.75" customHeight="1">
      <c r="A2161" t="s">
        <v>53</v>
      </c>
      <c r="B2161" t="s">
        <v>33</v>
      </c>
      <c r="C2161" t="s">
        <v>4910</v>
      </c>
      <c r="D2161" t="s">
        <v>2240</v>
      </c>
      <c r="E2161">
        <v>72937.5146645047</v>
      </c>
      <c r="F2161">
        <v>24502.9525177286</v>
      </c>
      <c r="G2161">
        <v>17666.3041021652</v>
      </c>
      <c r="H2161">
        <v>14649.3993576124</v>
      </c>
      <c r="I2161">
        <v>115106.77</v>
      </c>
      <c r="J2161">
        <v>100457.37</v>
      </c>
      <c r="K2161" s="1"/>
      <c r="L2161" s="1"/>
      <c r="M2161" s="1"/>
      <c r="N2161" s="1"/>
    </row>
    <row r="2162" ht="15.75" customHeight="1">
      <c r="A2162" t="s">
        <v>13</v>
      </c>
      <c r="B2162" t="s">
        <v>18</v>
      </c>
      <c r="C2162" t="s">
        <v>4917</v>
      </c>
      <c r="D2162" t="s">
        <v>2241</v>
      </c>
      <c r="E2162">
        <v>72948.3976344109</v>
      </c>
      <c r="F2162">
        <v>24507.567236056</v>
      </c>
      <c r="G2162">
        <v>17673.9841055947</v>
      </c>
      <c r="H2162">
        <v>14652.7969082997</v>
      </c>
      <c r="I2162">
        <v>115129.95</v>
      </c>
      <c r="J2162">
        <v>100477.15</v>
      </c>
      <c r="K2162" s="1"/>
      <c r="L2162" s="1"/>
      <c r="M2162" s="1"/>
      <c r="N2162" s="1"/>
    </row>
    <row r="2163" ht="15.75" customHeight="1">
      <c r="A2163" t="s">
        <v>17</v>
      </c>
      <c r="B2163" t="s">
        <v>18</v>
      </c>
      <c r="C2163" t="s">
        <v>4914</v>
      </c>
      <c r="D2163" t="s">
        <v>2242</v>
      </c>
      <c r="E2163">
        <v>72959.2806043171</v>
      </c>
      <c r="F2163">
        <v>24512.1819543835</v>
      </c>
      <c r="G2163">
        <v>17681.6641090242</v>
      </c>
      <c r="H2163">
        <v>14656.194458987</v>
      </c>
      <c r="I2163">
        <v>115153.13</v>
      </c>
      <c r="J2163">
        <v>100496.94</v>
      </c>
      <c r="K2163" s="1"/>
      <c r="L2163" s="1"/>
      <c r="M2163" s="1"/>
      <c r="N2163" s="1"/>
    </row>
    <row r="2164" ht="15.75" customHeight="1">
      <c r="A2164" t="s">
        <v>53</v>
      </c>
      <c r="B2164" t="s">
        <v>54</v>
      </c>
      <c r="C2164" t="s">
        <v>4909</v>
      </c>
      <c r="D2164" t="s">
        <v>2243</v>
      </c>
      <c r="E2164">
        <v>72970.1635742233</v>
      </c>
      <c r="F2164">
        <v>24516.7966727109</v>
      </c>
      <c r="G2164">
        <v>17689.3441124537</v>
      </c>
      <c r="H2164">
        <v>14659.5920096743</v>
      </c>
      <c r="I2164">
        <v>115176.3</v>
      </c>
      <c r="J2164">
        <v>100516.71</v>
      </c>
      <c r="K2164" s="1"/>
      <c r="L2164" s="1"/>
      <c r="M2164" s="1"/>
      <c r="N2164" s="1"/>
    </row>
    <row r="2165" ht="15.75" customHeight="1">
      <c r="A2165" t="s">
        <v>53</v>
      </c>
      <c r="B2165" t="s">
        <v>33</v>
      </c>
      <c r="C2165" t="s">
        <v>4911</v>
      </c>
      <c r="D2165" t="s">
        <v>2244</v>
      </c>
      <c r="E2165">
        <v>72159.94658517206</v>
      </c>
      <c r="F2165">
        <v>24521.4113910383</v>
      </c>
      <c r="G2165">
        <v>17697.0241158832</v>
      </c>
      <c r="H2165">
        <v>14662.9895603616</v>
      </c>
      <c r="I2165">
        <v>114378.38</v>
      </c>
      <c r="J2165">
        <v>99715.39</v>
      </c>
      <c r="K2165" s="1"/>
      <c r="L2165" s="1"/>
      <c r="M2165" s="1"/>
      <c r="N2165" s="1"/>
    </row>
    <row r="2166" ht="15.75" customHeight="1">
      <c r="A2166" t="s">
        <v>25</v>
      </c>
      <c r="B2166" t="s">
        <v>33</v>
      </c>
      <c r="C2166" t="s">
        <v>4914</v>
      </c>
      <c r="D2166" t="s">
        <v>2245</v>
      </c>
      <c r="E2166">
        <v>72991.9295140357</v>
      </c>
      <c r="F2166">
        <v>24526.0261093657</v>
      </c>
      <c r="G2166">
        <v>17704.7041193127</v>
      </c>
      <c r="H2166">
        <v>14666.3871110489</v>
      </c>
      <c r="I2166">
        <v>115222.66</v>
      </c>
      <c r="J2166">
        <v>100556.27</v>
      </c>
      <c r="K2166" s="1"/>
      <c r="L2166" s="1"/>
      <c r="M2166" s="1"/>
      <c r="N2166" s="1"/>
    </row>
    <row r="2167" ht="15.75" customHeight="1">
      <c r="A2167" t="s">
        <v>17</v>
      </c>
      <c r="B2167" t="s">
        <v>18</v>
      </c>
      <c r="C2167" t="s">
        <v>4907</v>
      </c>
      <c r="D2167" t="s">
        <v>2246</v>
      </c>
      <c r="E2167">
        <v>73002.8124839419</v>
      </c>
      <c r="F2167">
        <v>24530.6408276931</v>
      </c>
      <c r="G2167">
        <v>17712.3841227422</v>
      </c>
      <c r="H2167">
        <v>14669.7846617362</v>
      </c>
      <c r="I2167">
        <v>115245.84</v>
      </c>
      <c r="J2167">
        <v>100576.06</v>
      </c>
      <c r="K2167" s="1"/>
      <c r="L2167" s="1"/>
      <c r="M2167" s="1"/>
      <c r="N2167" s="1"/>
    </row>
    <row r="2168" ht="15.75" customHeight="1">
      <c r="A2168" t="s">
        <v>25</v>
      </c>
      <c r="B2168" t="s">
        <v>26</v>
      </c>
      <c r="C2168" t="s">
        <v>4912</v>
      </c>
      <c r="D2168" t="s">
        <v>2247</v>
      </c>
      <c r="E2168">
        <v>73013.6954538481</v>
      </c>
      <c r="F2168">
        <v>24535.2555460206</v>
      </c>
      <c r="G2168">
        <v>17720.0641261717</v>
      </c>
      <c r="H2168">
        <v>14673.1822124234</v>
      </c>
      <c r="I2168">
        <v>115269.02</v>
      </c>
      <c r="J2168">
        <v>100595.84</v>
      </c>
      <c r="K2168" s="1"/>
      <c r="L2168" s="1"/>
      <c r="M2168" s="1"/>
      <c r="N2168" s="1"/>
    </row>
    <row r="2169" ht="15.75" customHeight="1">
      <c r="A2169" t="s">
        <v>53</v>
      </c>
      <c r="B2169" t="s">
        <v>18</v>
      </c>
      <c r="C2169" t="s">
        <v>4915</v>
      </c>
      <c r="D2169" t="s">
        <v>2248</v>
      </c>
      <c r="E2169">
        <v>73024.5784237543</v>
      </c>
      <c r="F2169">
        <v>24539.870264348</v>
      </c>
      <c r="G2169">
        <v>17727.7441296012</v>
      </c>
      <c r="H2169">
        <v>14676.5797631107</v>
      </c>
      <c r="I2169">
        <v>115292.19</v>
      </c>
      <c r="J2169">
        <v>100615.61</v>
      </c>
      <c r="K2169" s="1"/>
      <c r="L2169" s="1"/>
      <c r="M2169" s="1"/>
      <c r="N2169" s="1"/>
    </row>
    <row r="2170" ht="15.75" customHeight="1">
      <c r="A2170" t="s">
        <v>36</v>
      </c>
      <c r="B2170" t="s">
        <v>18</v>
      </c>
      <c r="C2170" t="s">
        <v>4914</v>
      </c>
      <c r="D2170" t="s">
        <v>2249</v>
      </c>
      <c r="E2170">
        <v>73035.4613936605</v>
      </c>
      <c r="F2170">
        <v>24544.4849826754</v>
      </c>
      <c r="G2170">
        <v>17735.4241330307</v>
      </c>
      <c r="H2170">
        <v>14194.35617001081</v>
      </c>
      <c r="I2170">
        <v>115315.37</v>
      </c>
      <c r="J2170">
        <v>101121.01</v>
      </c>
      <c r="K2170" s="1"/>
      <c r="L2170" s="1"/>
      <c r="M2170" s="1"/>
      <c r="N2170" s="1"/>
    </row>
    <row r="2171" ht="15.75" customHeight="1">
      <c r="A2171" t="s">
        <v>25</v>
      </c>
      <c r="B2171" t="s">
        <v>30</v>
      </c>
      <c r="C2171" t="s">
        <v>4914</v>
      </c>
      <c r="D2171" t="s">
        <v>2250</v>
      </c>
      <c r="E2171">
        <v>73046.3443635667</v>
      </c>
      <c r="F2171">
        <v>24549.0997010028</v>
      </c>
      <c r="G2171">
        <v>17743.1041364602</v>
      </c>
      <c r="H2171">
        <v>14683.3748644853</v>
      </c>
      <c r="I2171">
        <v>115338.55</v>
      </c>
      <c r="J2171">
        <v>100655.18</v>
      </c>
      <c r="K2171" s="1"/>
      <c r="L2171" s="1"/>
      <c r="M2171" s="1"/>
      <c r="N2171" s="1"/>
    </row>
    <row r="2172" ht="15.75" customHeight="1">
      <c r="A2172" t="s">
        <v>17</v>
      </c>
      <c r="B2172" t="s">
        <v>26</v>
      </c>
      <c r="C2172" t="s">
        <v>4911</v>
      </c>
      <c r="D2172" t="s">
        <v>2251</v>
      </c>
      <c r="E2172">
        <v>73068.1103033791</v>
      </c>
      <c r="F2172">
        <v>24558.3291376577</v>
      </c>
      <c r="G2172">
        <v>17758.4641433192</v>
      </c>
      <c r="H2172">
        <v>14690.1699658599</v>
      </c>
      <c r="I2172">
        <v>115384.9</v>
      </c>
      <c r="J2172">
        <v>100694.73</v>
      </c>
      <c r="K2172" s="1"/>
      <c r="L2172" s="1"/>
      <c r="M2172" s="1"/>
      <c r="N2172" s="1"/>
    </row>
    <row r="2173" ht="15.75" customHeight="1">
      <c r="A2173" t="s">
        <v>51</v>
      </c>
      <c r="B2173" t="s">
        <v>26</v>
      </c>
      <c r="C2173" t="s">
        <v>4909</v>
      </c>
      <c r="D2173" t="s">
        <v>2252</v>
      </c>
      <c r="E2173">
        <v>73078.9932732853</v>
      </c>
      <c r="F2173">
        <v>24562.9438559851</v>
      </c>
      <c r="G2173">
        <v>17766.1441467487</v>
      </c>
      <c r="H2173">
        <v>14693.5675165472</v>
      </c>
      <c r="I2173">
        <v>115408.08</v>
      </c>
      <c r="J2173">
        <v>100714.51</v>
      </c>
      <c r="K2173" s="1"/>
      <c r="L2173" s="1"/>
      <c r="M2173" s="1"/>
      <c r="N2173" s="1"/>
    </row>
    <row r="2174" ht="15.75" customHeight="1">
      <c r="A2174" t="s">
        <v>25</v>
      </c>
      <c r="B2174" t="s">
        <v>30</v>
      </c>
      <c r="C2174" t="s">
        <v>4913</v>
      </c>
      <c r="D2174" t="s">
        <v>2253</v>
      </c>
      <c r="E2174">
        <v>73089.8762431914</v>
      </c>
      <c r="F2174">
        <v>24567.5585743125</v>
      </c>
      <c r="G2174">
        <v>17773.8241501782</v>
      </c>
      <c r="H2174">
        <v>14696.9650672345</v>
      </c>
      <c r="I2174">
        <v>115431.26</v>
      </c>
      <c r="J2174">
        <v>100734.29</v>
      </c>
      <c r="K2174" s="1"/>
      <c r="L2174" s="1"/>
      <c r="M2174" s="1"/>
      <c r="N2174" s="1"/>
    </row>
    <row r="2175" ht="15.75" customHeight="1">
      <c r="A2175" t="s">
        <v>25</v>
      </c>
      <c r="B2175" t="s">
        <v>14</v>
      </c>
      <c r="C2175" t="s">
        <v>4909</v>
      </c>
      <c r="D2175" t="s">
        <v>2254</v>
      </c>
      <c r="E2175">
        <v>73122.52515291</v>
      </c>
      <c r="F2175">
        <v>24581.4027292948</v>
      </c>
      <c r="G2175">
        <v>17796.8641604667</v>
      </c>
      <c r="H2175">
        <v>14707.1577192963</v>
      </c>
      <c r="I2175">
        <v>115500.79</v>
      </c>
      <c r="J2175">
        <v>100793.63</v>
      </c>
      <c r="K2175" s="1"/>
      <c r="L2175" s="1"/>
      <c r="M2175" s="1"/>
      <c r="N2175" s="1"/>
    </row>
    <row r="2176" ht="15.75" customHeight="1">
      <c r="A2176" t="s">
        <v>36</v>
      </c>
      <c r="B2176" t="s">
        <v>37</v>
      </c>
      <c r="C2176" t="s">
        <v>4914</v>
      </c>
      <c r="D2176" t="s">
        <v>2255</v>
      </c>
      <c r="E2176">
        <v>73133.4081228162</v>
      </c>
      <c r="F2176">
        <v>24586.0174476222</v>
      </c>
      <c r="G2176">
        <v>17804.5441638962</v>
      </c>
      <c r="H2176">
        <v>14710.5552699836</v>
      </c>
      <c r="I2176">
        <v>115523.97</v>
      </c>
      <c r="J2176">
        <v>100813.41</v>
      </c>
      <c r="K2176" s="1"/>
      <c r="L2176" s="1"/>
      <c r="M2176" s="1"/>
      <c r="N2176" s="1"/>
    </row>
    <row r="2177" ht="15.75" customHeight="1">
      <c r="A2177" t="s">
        <v>53</v>
      </c>
      <c r="B2177" t="s">
        <v>18</v>
      </c>
      <c r="C2177" t="s">
        <v>4912</v>
      </c>
      <c r="D2177" t="s">
        <v>2256</v>
      </c>
      <c r="E2177">
        <v>73144.2910927224</v>
      </c>
      <c r="F2177">
        <v>24590.6321659496</v>
      </c>
      <c r="G2177">
        <v>17812.2241673257</v>
      </c>
      <c r="H2177">
        <v>14713.9528206709</v>
      </c>
      <c r="I2177">
        <v>115547.15</v>
      </c>
      <c r="J2177">
        <v>100833.2</v>
      </c>
      <c r="K2177" s="1"/>
      <c r="L2177" s="1"/>
      <c r="M2177" s="1"/>
      <c r="N2177" s="1"/>
    </row>
    <row r="2178" ht="15.75" customHeight="1">
      <c r="A2178" t="s">
        <v>25</v>
      </c>
      <c r="B2178" t="s">
        <v>14</v>
      </c>
      <c r="C2178" t="s">
        <v>4917</v>
      </c>
      <c r="D2178" t="s">
        <v>2257</v>
      </c>
      <c r="E2178">
        <v>73155.1740626286</v>
      </c>
      <c r="F2178">
        <v>24595.2468842771</v>
      </c>
      <c r="G2178">
        <v>17819.9041707552</v>
      </c>
      <c r="H2178">
        <v>14717.3503713582</v>
      </c>
      <c r="I2178">
        <v>115570.33</v>
      </c>
      <c r="J2178">
        <v>100852.98</v>
      </c>
      <c r="K2178" s="1"/>
      <c r="L2178" s="1"/>
      <c r="M2178" s="1"/>
      <c r="N2178" s="1"/>
    </row>
    <row r="2179" ht="15.75" customHeight="1">
      <c r="A2179" t="s">
        <v>13</v>
      </c>
      <c r="B2179" t="s">
        <v>18</v>
      </c>
      <c r="C2179" t="s">
        <v>4917</v>
      </c>
      <c r="D2179" t="s">
        <v>2258</v>
      </c>
      <c r="E2179">
        <v>73166.0570325348</v>
      </c>
      <c r="F2179">
        <v>24599.8616026045</v>
      </c>
      <c r="G2179">
        <v>17827.5841741847</v>
      </c>
      <c r="H2179">
        <v>14720.7479220455</v>
      </c>
      <c r="I2179">
        <v>115593.5</v>
      </c>
      <c r="J2179">
        <v>100872.75</v>
      </c>
      <c r="K2179" s="1"/>
      <c r="L2179" s="1"/>
      <c r="M2179" s="1"/>
      <c r="N2179" s="1"/>
    </row>
    <row r="2180" ht="15.75" customHeight="1">
      <c r="A2180" t="s">
        <v>53</v>
      </c>
      <c r="B2180" t="s">
        <v>18</v>
      </c>
      <c r="C2180" t="s">
        <v>4915</v>
      </c>
      <c r="D2180" t="s">
        <v>2259</v>
      </c>
      <c r="E2180">
        <v>73176.940002441</v>
      </c>
      <c r="F2180">
        <v>24604.4763209319</v>
      </c>
      <c r="G2180">
        <v>17835.2641776142</v>
      </c>
      <c r="H2180">
        <v>14724.1454727327</v>
      </c>
      <c r="I2180">
        <v>115616.68</v>
      </c>
      <c r="J2180">
        <v>100892.53</v>
      </c>
      <c r="K2180" s="1"/>
      <c r="L2180" s="1"/>
      <c r="M2180" s="1"/>
      <c r="N2180" s="1"/>
    </row>
    <row r="2181" ht="15.75" customHeight="1">
      <c r="A2181" t="s">
        <v>53</v>
      </c>
      <c r="B2181" t="s">
        <v>54</v>
      </c>
      <c r="C2181" t="s">
        <v>4911</v>
      </c>
      <c r="D2181" t="s">
        <v>2260</v>
      </c>
      <c r="E2181">
        <v>73187.8229723472</v>
      </c>
      <c r="F2181">
        <v>24609.0910392593</v>
      </c>
      <c r="G2181">
        <v>17842.9441810437</v>
      </c>
      <c r="H2181">
        <v>14727.54302342</v>
      </c>
      <c r="I2181">
        <v>115639.86</v>
      </c>
      <c r="J2181">
        <v>100912.32</v>
      </c>
      <c r="K2181" s="1"/>
      <c r="L2181" s="1"/>
      <c r="M2181" s="1"/>
      <c r="N2181" s="1"/>
    </row>
    <row r="2182" ht="15.75" customHeight="1">
      <c r="A2182" t="s">
        <v>17</v>
      </c>
      <c r="B2182" t="s">
        <v>54</v>
      </c>
      <c r="C2182" t="s">
        <v>4908</v>
      </c>
      <c r="D2182" t="s">
        <v>2261</v>
      </c>
      <c r="E2182">
        <v>73198.7059422534</v>
      </c>
      <c r="F2182">
        <v>24613.7057575867</v>
      </c>
      <c r="G2182">
        <v>17850.6241844732</v>
      </c>
      <c r="H2182">
        <v>14730.9405741073</v>
      </c>
      <c r="I2182">
        <v>115663.04</v>
      </c>
      <c r="J2182">
        <v>100932.1</v>
      </c>
      <c r="K2182" s="1"/>
      <c r="L2182" s="1"/>
      <c r="M2182" s="1"/>
      <c r="N2182" s="1"/>
    </row>
    <row r="2183" ht="15.75" customHeight="1">
      <c r="A2183" t="s">
        <v>13</v>
      </c>
      <c r="B2183" t="s">
        <v>37</v>
      </c>
      <c r="C2183" t="s">
        <v>4909</v>
      </c>
      <c r="D2183" t="s">
        <v>2262</v>
      </c>
      <c r="E2183">
        <v>73209.5889121596</v>
      </c>
      <c r="F2183">
        <v>24618.3204759142</v>
      </c>
      <c r="G2183">
        <v>17858.3041879027</v>
      </c>
      <c r="H2183">
        <v>14734.3381247946</v>
      </c>
      <c r="I2183">
        <v>115686.21</v>
      </c>
      <c r="J2183">
        <v>100951.87</v>
      </c>
      <c r="K2183" s="1"/>
      <c r="L2183" s="1"/>
      <c r="M2183" s="1"/>
      <c r="N2183" s="1"/>
    </row>
    <row r="2184" ht="15.75" customHeight="1">
      <c r="A2184" t="s">
        <v>36</v>
      </c>
      <c r="B2184" t="s">
        <v>14</v>
      </c>
      <c r="C2184" t="s">
        <v>4908</v>
      </c>
      <c r="D2184" t="s">
        <v>2263</v>
      </c>
      <c r="E2184">
        <v>73220.4718820658</v>
      </c>
      <c r="F2184">
        <v>24622.9351942416</v>
      </c>
      <c r="G2184">
        <v>17865.9841913322</v>
      </c>
      <c r="H2184">
        <v>14737.7356754819</v>
      </c>
      <c r="I2184">
        <v>115709.39</v>
      </c>
      <c r="J2184">
        <v>100971.65</v>
      </c>
      <c r="K2184" s="1"/>
      <c r="L2184" s="1"/>
      <c r="M2184" s="1"/>
      <c r="N2184" s="1"/>
    </row>
    <row r="2185" ht="15.75" customHeight="1">
      <c r="A2185" t="s">
        <v>29</v>
      </c>
      <c r="B2185" t="s">
        <v>26</v>
      </c>
      <c r="C2185" t="s">
        <v>4910</v>
      </c>
      <c r="D2185" t="s">
        <v>2264</v>
      </c>
      <c r="E2185">
        <v>73242.2378218782</v>
      </c>
      <c r="F2185">
        <v>24632.1646308964</v>
      </c>
      <c r="G2185">
        <v>17881.3441981912</v>
      </c>
      <c r="H2185">
        <v>14744.5307768565</v>
      </c>
      <c r="I2185">
        <v>115755.75</v>
      </c>
      <c r="J2185">
        <v>101011.22</v>
      </c>
      <c r="K2185" s="1"/>
      <c r="L2185" s="1"/>
      <c r="M2185" s="1"/>
      <c r="N2185" s="1"/>
    </row>
    <row r="2186" ht="15.75" customHeight="1">
      <c r="A2186" t="s">
        <v>13</v>
      </c>
      <c r="B2186" t="s">
        <v>30</v>
      </c>
      <c r="C2186" t="s">
        <v>4915</v>
      </c>
      <c r="D2186" t="s">
        <v>2265</v>
      </c>
      <c r="E2186">
        <v>73253.1207917843</v>
      </c>
      <c r="F2186">
        <v>24636.7793492239</v>
      </c>
      <c r="G2186">
        <v>17889.0242016207</v>
      </c>
      <c r="H2186">
        <v>14747.9283275438</v>
      </c>
      <c r="I2186">
        <v>115778.92</v>
      </c>
      <c r="J2186">
        <v>101030.99</v>
      </c>
      <c r="K2186" s="1"/>
      <c r="L2186" s="1"/>
      <c r="M2186" s="1"/>
      <c r="N2186" s="1"/>
    </row>
    <row r="2187" ht="15.75" customHeight="1">
      <c r="A2187" t="s">
        <v>13</v>
      </c>
      <c r="B2187" t="s">
        <v>33</v>
      </c>
      <c r="C2187" t="s">
        <v>4910</v>
      </c>
      <c r="D2187" t="s">
        <v>2266</v>
      </c>
      <c r="E2187">
        <v>73264.0037616905</v>
      </c>
      <c r="F2187">
        <v>24641.3940675513</v>
      </c>
      <c r="G2187">
        <v>17896.7042050501</v>
      </c>
      <c r="H2187">
        <v>14751.325878231</v>
      </c>
      <c r="I2187">
        <v>115802.1</v>
      </c>
      <c r="J2187">
        <v>101050.77</v>
      </c>
      <c r="K2187" s="1"/>
      <c r="L2187" s="1"/>
      <c r="M2187" s="1"/>
      <c r="N2187" s="1"/>
    </row>
    <row r="2188" ht="15.75" customHeight="1">
      <c r="A2188" t="s">
        <v>13</v>
      </c>
      <c r="B2188" t="s">
        <v>30</v>
      </c>
      <c r="C2188" t="s">
        <v>4912</v>
      </c>
      <c r="D2188" t="s">
        <v>2267</v>
      </c>
      <c r="E2188">
        <v>73274.8867315967</v>
      </c>
      <c r="F2188">
        <v>24646.0087858787</v>
      </c>
      <c r="G2188">
        <v>17904.3842084796</v>
      </c>
      <c r="H2188">
        <v>14754.7234289183</v>
      </c>
      <c r="I2188">
        <v>115825.28</v>
      </c>
      <c r="J2188">
        <v>101070.56</v>
      </c>
      <c r="K2188" s="1"/>
      <c r="L2188" s="1"/>
      <c r="M2188" s="1"/>
      <c r="N2188" s="1"/>
    </row>
    <row r="2189" ht="15.75" customHeight="1">
      <c r="A2189" t="s">
        <v>13</v>
      </c>
      <c r="B2189" t="s">
        <v>26</v>
      </c>
      <c r="C2189" t="s">
        <v>4915</v>
      </c>
      <c r="D2189" t="s">
        <v>2268</v>
      </c>
      <c r="E2189">
        <v>73285.7697015029</v>
      </c>
      <c r="F2189">
        <v>24650.6235042061</v>
      </c>
      <c r="G2189">
        <v>17912.0642119091</v>
      </c>
      <c r="H2189">
        <v>14758.1209796056</v>
      </c>
      <c r="I2189">
        <v>115848.46</v>
      </c>
      <c r="J2189">
        <v>101090.34</v>
      </c>
      <c r="K2189" s="1"/>
      <c r="L2189" s="1"/>
      <c r="M2189" s="1"/>
      <c r="N2189" s="1"/>
    </row>
    <row r="2190" ht="15.75" customHeight="1">
      <c r="A2190" t="s">
        <v>17</v>
      </c>
      <c r="B2190" t="s">
        <v>18</v>
      </c>
      <c r="C2190" t="s">
        <v>4914</v>
      </c>
      <c r="D2190" t="s">
        <v>2269</v>
      </c>
      <c r="E2190">
        <v>73296.6526714091</v>
      </c>
      <c r="F2190">
        <v>24655.2382225335</v>
      </c>
      <c r="G2190">
        <v>17919.7442153386</v>
      </c>
      <c r="H2190">
        <v>14761.5185302929</v>
      </c>
      <c r="I2190">
        <v>115871.64</v>
      </c>
      <c r="J2190">
        <v>101110.12</v>
      </c>
      <c r="K2190" s="1"/>
      <c r="L2190" s="1"/>
      <c r="M2190" s="1"/>
      <c r="N2190" s="1"/>
    </row>
    <row r="2191" ht="15.75" customHeight="1">
      <c r="A2191" t="s">
        <v>25</v>
      </c>
      <c r="B2191" t="s">
        <v>33</v>
      </c>
      <c r="C2191" t="s">
        <v>4909</v>
      </c>
      <c r="D2191" t="s">
        <v>2270</v>
      </c>
      <c r="E2191">
        <v>73307.5356413153</v>
      </c>
      <c r="F2191">
        <v>24659.852940861</v>
      </c>
      <c r="G2191">
        <v>17927.4242187681</v>
      </c>
      <c r="H2191">
        <v>14764.9160809802</v>
      </c>
      <c r="I2191">
        <v>115894.81</v>
      </c>
      <c r="J2191">
        <v>101129.89</v>
      </c>
      <c r="K2191" s="1"/>
      <c r="L2191" s="1"/>
      <c r="M2191" s="1"/>
      <c r="N2191" s="1"/>
    </row>
    <row r="2192" ht="15.75" customHeight="1">
      <c r="A2192" t="s">
        <v>29</v>
      </c>
      <c r="B2192" t="s">
        <v>18</v>
      </c>
      <c r="C2192" t="s">
        <v>4917</v>
      </c>
      <c r="D2192" t="s">
        <v>2271</v>
      </c>
      <c r="E2192">
        <v>73318.4186112215</v>
      </c>
      <c r="F2192">
        <v>24664.4676591884</v>
      </c>
      <c r="G2192">
        <v>17935.1042221976</v>
      </c>
      <c r="H2192">
        <v>14768.3136316675</v>
      </c>
      <c r="I2192">
        <v>115917.99</v>
      </c>
      <c r="J2192">
        <v>101149.68</v>
      </c>
      <c r="K2192" s="1"/>
      <c r="L2192" s="1"/>
      <c r="M2192" s="1"/>
      <c r="N2192" s="1"/>
    </row>
    <row r="2193" ht="15.75" customHeight="1">
      <c r="A2193" t="s">
        <v>51</v>
      </c>
      <c r="B2193" t="s">
        <v>14</v>
      </c>
      <c r="C2193" t="s">
        <v>4910</v>
      </c>
      <c r="D2193" t="s">
        <v>2272</v>
      </c>
      <c r="E2193">
        <v>73329.3015811277</v>
      </c>
      <c r="F2193">
        <v>24669.0823775158</v>
      </c>
      <c r="G2193">
        <v>17942.7842256271</v>
      </c>
      <c r="H2193">
        <v>14771.7111823548</v>
      </c>
      <c r="I2193">
        <v>115941.17</v>
      </c>
      <c r="J2193">
        <v>101169.46</v>
      </c>
      <c r="K2193" s="1"/>
      <c r="L2193" s="1"/>
      <c r="M2193" s="1"/>
      <c r="N2193" s="1"/>
    </row>
    <row r="2194" ht="15.75" customHeight="1">
      <c r="A2194" t="s">
        <v>13</v>
      </c>
      <c r="B2194" t="s">
        <v>54</v>
      </c>
      <c r="C2194" t="s">
        <v>4916</v>
      </c>
      <c r="D2194" t="s">
        <v>2273</v>
      </c>
      <c r="E2194">
        <v>73340.1845510339</v>
      </c>
      <c r="F2194">
        <v>24673.6970958432</v>
      </c>
      <c r="G2194">
        <v>17950.4642290566</v>
      </c>
      <c r="H2194">
        <v>14775.1087330421</v>
      </c>
      <c r="I2194">
        <v>115964.35</v>
      </c>
      <c r="J2194">
        <v>101189.24</v>
      </c>
      <c r="K2194" s="1"/>
      <c r="L2194" s="1"/>
      <c r="M2194" s="1"/>
      <c r="N2194" s="1"/>
    </row>
    <row r="2195" ht="15.75" customHeight="1">
      <c r="A2195" t="s">
        <v>51</v>
      </c>
      <c r="B2195" t="s">
        <v>30</v>
      </c>
      <c r="C2195" t="s">
        <v>4908</v>
      </c>
      <c r="D2195" t="s">
        <v>2274</v>
      </c>
      <c r="E2195">
        <v>73351.0675209401</v>
      </c>
      <c r="F2195">
        <v>24678.3118141707</v>
      </c>
      <c r="G2195">
        <v>17958.1442324861</v>
      </c>
      <c r="H2195">
        <v>14778.5062837293</v>
      </c>
      <c r="I2195">
        <v>115987.52</v>
      </c>
      <c r="J2195">
        <v>101209.01</v>
      </c>
      <c r="K2195" s="1"/>
      <c r="L2195" s="1"/>
      <c r="M2195" s="1"/>
      <c r="N2195" s="1"/>
    </row>
    <row r="2196" ht="15.75" customHeight="1">
      <c r="A2196" t="s">
        <v>25</v>
      </c>
      <c r="B2196" t="s">
        <v>33</v>
      </c>
      <c r="C2196" t="s">
        <v>4916</v>
      </c>
      <c r="D2196" t="s">
        <v>2275</v>
      </c>
      <c r="E2196">
        <v>73361.9504908463</v>
      </c>
      <c r="F2196">
        <v>24682.9265324981</v>
      </c>
      <c r="G2196">
        <v>17965.8242359156</v>
      </c>
      <c r="H2196">
        <v>14781.9038344166</v>
      </c>
      <c r="I2196">
        <v>116010.7</v>
      </c>
      <c r="J2196">
        <v>101228.8</v>
      </c>
      <c r="K2196" s="1"/>
      <c r="L2196" s="1"/>
      <c r="M2196" s="1"/>
      <c r="N2196" s="1"/>
    </row>
    <row r="2197" ht="15.75" customHeight="1">
      <c r="A2197" t="s">
        <v>17</v>
      </c>
      <c r="B2197" t="s">
        <v>54</v>
      </c>
      <c r="C2197" t="s">
        <v>4917</v>
      </c>
      <c r="D2197" t="s">
        <v>2276</v>
      </c>
      <c r="E2197">
        <v>73372.8334607525</v>
      </c>
      <c r="F2197">
        <v>24687.5412508255</v>
      </c>
      <c r="G2197">
        <v>17973.5042393451</v>
      </c>
      <c r="H2197">
        <v>14785.3013851039</v>
      </c>
      <c r="I2197">
        <v>116033.88</v>
      </c>
      <c r="J2197">
        <v>101248.58</v>
      </c>
      <c r="K2197" s="1"/>
      <c r="L2197" s="1"/>
      <c r="M2197" s="1"/>
      <c r="N2197" s="1"/>
    </row>
    <row r="2198" ht="15.75" customHeight="1">
      <c r="A2198" t="s">
        <v>29</v>
      </c>
      <c r="B2198" t="s">
        <v>37</v>
      </c>
      <c r="C2198" t="s">
        <v>4911</v>
      </c>
      <c r="D2198" t="s">
        <v>2277</v>
      </c>
      <c r="E2198">
        <v>73383.7164306587</v>
      </c>
      <c r="F2198">
        <v>24692.1559691529</v>
      </c>
      <c r="G2198">
        <v>17981.1842427746</v>
      </c>
      <c r="H2198">
        <v>14788.6989357912</v>
      </c>
      <c r="I2198">
        <v>116057.06</v>
      </c>
      <c r="J2198">
        <v>101268.36</v>
      </c>
      <c r="K2198" s="1"/>
      <c r="L2198" s="1"/>
      <c r="M2198" s="1"/>
      <c r="N2198" s="1"/>
    </row>
    <row r="2199" ht="15.75" customHeight="1">
      <c r="A2199" t="s">
        <v>36</v>
      </c>
      <c r="B2199" t="s">
        <v>33</v>
      </c>
      <c r="C2199" t="s">
        <v>4912</v>
      </c>
      <c r="D2199" t="s">
        <v>2278</v>
      </c>
      <c r="E2199">
        <v>73394.5994005649</v>
      </c>
      <c r="F2199">
        <v>24696.7706874803</v>
      </c>
      <c r="G2199">
        <v>17988.8642462041</v>
      </c>
      <c r="H2199">
        <v>14792.0964864785</v>
      </c>
      <c r="I2199">
        <v>116080.23</v>
      </c>
      <c r="J2199">
        <v>101288.13</v>
      </c>
      <c r="K2199" s="1"/>
      <c r="L2199" s="1"/>
      <c r="M2199" s="1"/>
      <c r="N2199" s="1"/>
    </row>
    <row r="2200" ht="15.75" customHeight="1">
      <c r="A2200" t="s">
        <v>36</v>
      </c>
      <c r="B2200" t="s">
        <v>33</v>
      </c>
      <c r="C2200" t="s">
        <v>4911</v>
      </c>
      <c r="D2200" t="s">
        <v>2279</v>
      </c>
      <c r="E2200">
        <v>73405.4823704711</v>
      </c>
      <c r="F2200">
        <v>24701.3854058078</v>
      </c>
      <c r="G2200">
        <v>17996.5442496336</v>
      </c>
      <c r="H2200">
        <v>14795.4940371658</v>
      </c>
      <c r="I2200">
        <v>116103.41</v>
      </c>
      <c r="J2200">
        <v>101307.92</v>
      </c>
      <c r="K2200" s="1"/>
      <c r="L2200" s="1"/>
      <c r="M2200" s="1"/>
      <c r="N2200" s="1"/>
    </row>
    <row r="2201" ht="15.75" customHeight="1">
      <c r="A2201" t="s">
        <v>36</v>
      </c>
      <c r="B2201" t="s">
        <v>14</v>
      </c>
      <c r="C2201" t="s">
        <v>4908</v>
      </c>
      <c r="D2201" t="s">
        <v>2280</v>
      </c>
      <c r="E2201">
        <v>73416.3653403772</v>
      </c>
      <c r="F2201">
        <v>24706.0001241352</v>
      </c>
      <c r="G2201">
        <v>18004.2242530631</v>
      </c>
      <c r="H2201">
        <v>14798.8915878531</v>
      </c>
      <c r="I2201">
        <v>116126.59</v>
      </c>
      <c r="J2201">
        <v>101327.7</v>
      </c>
      <c r="K2201" s="1"/>
      <c r="L2201" s="1"/>
      <c r="M2201" s="1"/>
      <c r="N2201" s="1"/>
    </row>
    <row r="2202" ht="15.75" customHeight="1">
      <c r="A2202" t="s">
        <v>53</v>
      </c>
      <c r="B2202" t="s">
        <v>26</v>
      </c>
      <c r="C2202" t="s">
        <v>4913</v>
      </c>
      <c r="D2202" t="s">
        <v>2281</v>
      </c>
      <c r="E2202">
        <v>73427.2483102834</v>
      </c>
      <c r="F2202">
        <v>24710.6148424626</v>
      </c>
      <c r="G2202">
        <v>18011.9042564926</v>
      </c>
      <c r="H2202">
        <v>14802.2891385403</v>
      </c>
      <c r="I2202">
        <v>116149.77</v>
      </c>
      <c r="J2202">
        <v>101347.48</v>
      </c>
      <c r="K2202" s="1"/>
      <c r="L2202" s="1"/>
      <c r="M2202" s="1"/>
      <c r="N2202" s="1"/>
    </row>
    <row r="2203" ht="15.75" customHeight="1">
      <c r="A2203" t="s">
        <v>36</v>
      </c>
      <c r="B2203" t="s">
        <v>18</v>
      </c>
      <c r="C2203" t="s">
        <v>4911</v>
      </c>
      <c r="D2203" t="s">
        <v>2282</v>
      </c>
      <c r="E2203">
        <v>73438.1312801896</v>
      </c>
      <c r="F2203">
        <v>24715.22956079</v>
      </c>
      <c r="G2203">
        <v>18019.5842599221</v>
      </c>
      <c r="H2203">
        <v>14805.6866892276</v>
      </c>
      <c r="I2203">
        <v>116172.95</v>
      </c>
      <c r="J2203">
        <v>101367.26</v>
      </c>
      <c r="K2203" s="1"/>
      <c r="L2203" s="1"/>
      <c r="M2203" s="1"/>
      <c r="N2203" s="1"/>
    </row>
    <row r="2204" ht="15.75" customHeight="1">
      <c r="A2204" t="s">
        <v>36</v>
      </c>
      <c r="B2204" t="s">
        <v>18</v>
      </c>
      <c r="C2204" t="s">
        <v>4911</v>
      </c>
      <c r="D2204" t="s">
        <v>2283</v>
      </c>
      <c r="E2204">
        <v>73449.0142500958</v>
      </c>
      <c r="F2204">
        <v>24719.8442791175</v>
      </c>
      <c r="G2204">
        <v>18027.2642633516</v>
      </c>
      <c r="H2204">
        <v>14809.0842399149</v>
      </c>
      <c r="I2204">
        <v>116196.12</v>
      </c>
      <c r="J2204">
        <v>101387.04</v>
      </c>
      <c r="K2204" s="1"/>
      <c r="L2204" s="1"/>
      <c r="M2204" s="1"/>
      <c r="N2204" s="1"/>
    </row>
    <row r="2205" ht="15.75" customHeight="1">
      <c r="A2205" t="s">
        <v>29</v>
      </c>
      <c r="B2205" t="s">
        <v>37</v>
      </c>
      <c r="C2205" t="s">
        <v>4916</v>
      </c>
      <c r="D2205" t="s">
        <v>2284</v>
      </c>
      <c r="E2205">
        <v>73459.897220002</v>
      </c>
      <c r="F2205">
        <v>24724.4589974449</v>
      </c>
      <c r="G2205">
        <v>18034.9442667811</v>
      </c>
      <c r="H2205">
        <v>14812.4817906022</v>
      </c>
      <c r="I2205">
        <v>116219.3</v>
      </c>
      <c r="J2205">
        <v>101406.82</v>
      </c>
      <c r="K2205" s="1"/>
      <c r="L2205" s="1"/>
      <c r="M2205" s="1"/>
      <c r="N2205" s="1"/>
    </row>
    <row r="2206" ht="15.75" customHeight="1">
      <c r="A2206" t="s">
        <v>13</v>
      </c>
      <c r="B2206" t="s">
        <v>26</v>
      </c>
      <c r="C2206" t="s">
        <v>4917</v>
      </c>
      <c r="D2206" t="s">
        <v>2285</v>
      </c>
      <c r="E2206">
        <v>73470.7801899082</v>
      </c>
      <c r="F2206">
        <v>24729.0737157723</v>
      </c>
      <c r="G2206">
        <v>18042.6242702106</v>
      </c>
      <c r="H2206">
        <v>14815.8793412895</v>
      </c>
      <c r="I2206">
        <v>116242.48</v>
      </c>
      <c r="J2206">
        <v>101426.6</v>
      </c>
      <c r="K2206" s="1"/>
      <c r="L2206" s="1"/>
      <c r="M2206" s="1"/>
      <c r="N2206" s="1"/>
    </row>
    <row r="2207" ht="15.75" customHeight="1">
      <c r="A2207" t="s">
        <v>36</v>
      </c>
      <c r="B2207" t="s">
        <v>54</v>
      </c>
      <c r="C2207" t="s">
        <v>4911</v>
      </c>
      <c r="D2207" t="s">
        <v>2286</v>
      </c>
      <c r="E2207">
        <v>73481.6631598144</v>
      </c>
      <c r="F2207">
        <v>24733.6884340997</v>
      </c>
      <c r="G2207">
        <v>18050.3042736401</v>
      </c>
      <c r="H2207">
        <v>14819.2768919768</v>
      </c>
      <c r="I2207">
        <v>116265.66</v>
      </c>
      <c r="J2207">
        <v>101446.38</v>
      </c>
      <c r="K2207" s="1"/>
      <c r="L2207" s="1"/>
      <c r="M2207" s="1"/>
      <c r="N2207" s="1"/>
    </row>
    <row r="2208" ht="15.75" customHeight="1">
      <c r="A2208" t="s">
        <v>53</v>
      </c>
      <c r="B2208" t="s">
        <v>18</v>
      </c>
      <c r="C2208" t="s">
        <v>4912</v>
      </c>
      <c r="D2208" t="s">
        <v>2287</v>
      </c>
      <c r="E2208">
        <v>73492.5461297206</v>
      </c>
      <c r="F2208">
        <v>24738.3031524271</v>
      </c>
      <c r="G2208">
        <v>18057.9842770696</v>
      </c>
      <c r="H2208">
        <v>14822.6744426641</v>
      </c>
      <c r="I2208">
        <v>116288.83</v>
      </c>
      <c r="J2208">
        <v>101466.16</v>
      </c>
      <c r="K2208" s="1"/>
      <c r="L2208" s="1"/>
      <c r="M2208" s="1"/>
      <c r="N2208" s="1"/>
    </row>
    <row r="2209" ht="15.75" customHeight="1">
      <c r="A2209" t="s">
        <v>13</v>
      </c>
      <c r="B2209" t="s">
        <v>14</v>
      </c>
      <c r="C2209" t="s">
        <v>4915</v>
      </c>
      <c r="D2209" t="s">
        <v>2288</v>
      </c>
      <c r="E2209">
        <v>73503.4290996268</v>
      </c>
      <c r="F2209">
        <v>24742.9178707546</v>
      </c>
      <c r="G2209">
        <v>18065.6642804991</v>
      </c>
      <c r="H2209">
        <v>14826.0719933514</v>
      </c>
      <c r="I2209">
        <v>116312.01</v>
      </c>
      <c r="J2209">
        <v>101485.94</v>
      </c>
      <c r="K2209" s="1"/>
      <c r="L2209" s="1"/>
      <c r="M2209" s="1"/>
      <c r="N2209" s="1"/>
    </row>
    <row r="2210" ht="15.75" customHeight="1">
      <c r="A2210" t="s">
        <v>51</v>
      </c>
      <c r="B2210" t="s">
        <v>14</v>
      </c>
      <c r="C2210" t="s">
        <v>4914</v>
      </c>
      <c r="D2210" t="s">
        <v>2289</v>
      </c>
      <c r="E2210">
        <v>73514.312069533</v>
      </c>
      <c r="F2210">
        <v>24747.532589082</v>
      </c>
      <c r="G2210">
        <v>18073.3442839286</v>
      </c>
      <c r="H2210">
        <v>14517.91218360388</v>
      </c>
      <c r="I2210">
        <v>116335.19</v>
      </c>
      <c r="J2210">
        <v>101817.28</v>
      </c>
      <c r="K2210" s="1"/>
      <c r="L2210" s="1"/>
      <c r="M2210" s="1"/>
      <c r="N2210" s="1"/>
    </row>
    <row r="2211" ht="15.75" customHeight="1">
      <c r="A2211" t="s">
        <v>13</v>
      </c>
      <c r="B2211" t="s">
        <v>18</v>
      </c>
      <c r="C2211" t="s">
        <v>4917</v>
      </c>
      <c r="D2211" t="s">
        <v>2290</v>
      </c>
      <c r="E2211">
        <v>73525.1950394392</v>
      </c>
      <c r="F2211">
        <v>24752.1473074094</v>
      </c>
      <c r="G2211">
        <v>18081.0242873581</v>
      </c>
      <c r="H2211">
        <v>14832.8670947259</v>
      </c>
      <c r="I2211">
        <v>116358.37</v>
      </c>
      <c r="J2211">
        <v>101525.5</v>
      </c>
      <c r="K2211" s="1"/>
      <c r="L2211" s="1"/>
      <c r="M2211" s="1"/>
      <c r="N2211" s="1"/>
    </row>
    <row r="2212" ht="15.75" customHeight="1">
      <c r="A2212" t="s">
        <v>53</v>
      </c>
      <c r="B2212" t="s">
        <v>54</v>
      </c>
      <c r="C2212" t="s">
        <v>4916</v>
      </c>
      <c r="D2212" t="s">
        <v>2291</v>
      </c>
      <c r="E2212">
        <v>73536.0780093454</v>
      </c>
      <c r="F2212">
        <v>24756.7620257368</v>
      </c>
      <c r="G2212">
        <v>18088.7042907876</v>
      </c>
      <c r="H2212">
        <v>14836.2646454132</v>
      </c>
      <c r="I2212">
        <v>116381.54</v>
      </c>
      <c r="J2212">
        <v>101545.28</v>
      </c>
      <c r="K2212" s="1"/>
      <c r="L2212" s="1"/>
      <c r="M2212" s="1"/>
      <c r="N2212" s="1"/>
    </row>
    <row r="2213" ht="15.75" customHeight="1">
      <c r="A2213" t="s">
        <v>53</v>
      </c>
      <c r="B2213" t="s">
        <v>37</v>
      </c>
      <c r="C2213" t="s">
        <v>4913</v>
      </c>
      <c r="D2213" t="s">
        <v>2292</v>
      </c>
      <c r="E2213">
        <v>73546.9609792516</v>
      </c>
      <c r="F2213">
        <v>24761.3767440642</v>
      </c>
      <c r="G2213">
        <v>18096.3842942171</v>
      </c>
      <c r="H2213">
        <v>14839.6621961005</v>
      </c>
      <c r="I2213">
        <v>116404.72</v>
      </c>
      <c r="J2213">
        <v>101565.06</v>
      </c>
      <c r="K2213" s="1"/>
      <c r="L2213" s="1"/>
      <c r="M2213" s="1"/>
      <c r="N2213" s="1"/>
    </row>
    <row r="2214" ht="15.75" customHeight="1">
      <c r="A2214" t="s">
        <v>51</v>
      </c>
      <c r="B2214" t="s">
        <v>18</v>
      </c>
      <c r="C2214" t="s">
        <v>4905</v>
      </c>
      <c r="D2214" t="s">
        <v>2293</v>
      </c>
      <c r="E2214">
        <v>73557.8439491578</v>
      </c>
      <c r="F2214">
        <v>24765.9914623917</v>
      </c>
      <c r="G2214">
        <v>18104.0642976466</v>
      </c>
      <c r="H2214">
        <v>14843.0597467878</v>
      </c>
      <c r="I2214">
        <v>116427.9</v>
      </c>
      <c r="J2214">
        <v>101584.84</v>
      </c>
      <c r="K2214" s="1"/>
      <c r="L2214" s="1"/>
      <c r="M2214" s="1"/>
      <c r="N2214" s="1"/>
    </row>
    <row r="2215" ht="15.75" customHeight="1">
      <c r="A2215" t="s">
        <v>13</v>
      </c>
      <c r="B2215" t="s">
        <v>54</v>
      </c>
      <c r="C2215" t="s">
        <v>4910</v>
      </c>
      <c r="D2215" t="s">
        <v>2294</v>
      </c>
      <c r="E2215">
        <v>73568.726919064</v>
      </c>
      <c r="F2215">
        <v>24770.6061807191</v>
      </c>
      <c r="G2215">
        <v>18111.7443010761</v>
      </c>
      <c r="H2215">
        <v>14846.4572974751</v>
      </c>
      <c r="I2215">
        <v>116451.08</v>
      </c>
      <c r="J2215">
        <v>101604.62</v>
      </c>
      <c r="K2215" s="1"/>
      <c r="L2215" s="1"/>
      <c r="M2215" s="1"/>
      <c r="N2215" s="1"/>
    </row>
    <row r="2216" ht="15.75" customHeight="1">
      <c r="A2216" t="s">
        <v>25</v>
      </c>
      <c r="B2216" t="s">
        <v>33</v>
      </c>
      <c r="C2216" t="s">
        <v>4908</v>
      </c>
      <c r="D2216" t="s">
        <v>2295</v>
      </c>
      <c r="E2216">
        <v>73579.6098889702</v>
      </c>
      <c r="F2216">
        <v>24775.2208990465</v>
      </c>
      <c r="G2216">
        <v>18119.4243045056</v>
      </c>
      <c r="H2216">
        <v>14849.8548481624</v>
      </c>
      <c r="I2216">
        <v>116474.26</v>
      </c>
      <c r="J2216">
        <v>101624.41</v>
      </c>
      <c r="K2216" s="1"/>
      <c r="L2216" s="1"/>
      <c r="M2216" s="1"/>
      <c r="N2216" s="1"/>
    </row>
    <row r="2217" ht="15.75" customHeight="1">
      <c r="A2217" t="s">
        <v>53</v>
      </c>
      <c r="B2217" t="s">
        <v>30</v>
      </c>
      <c r="C2217" t="s">
        <v>4910</v>
      </c>
      <c r="D2217" t="s">
        <v>2296</v>
      </c>
      <c r="E2217">
        <v>73590.4928588763</v>
      </c>
      <c r="F2217">
        <v>24779.8356173739</v>
      </c>
      <c r="G2217">
        <v>18127.1043079351</v>
      </c>
      <c r="H2217">
        <v>14853.2523988497</v>
      </c>
      <c r="I2217">
        <v>116497.43</v>
      </c>
      <c r="J2217">
        <v>101644.18</v>
      </c>
      <c r="K2217" s="1"/>
      <c r="L2217" s="1"/>
      <c r="M2217" s="1"/>
      <c r="N2217" s="1"/>
    </row>
    <row r="2218" ht="15.75" customHeight="1">
      <c r="A2218" t="s">
        <v>51</v>
      </c>
      <c r="B2218" t="s">
        <v>26</v>
      </c>
      <c r="C2218" t="s">
        <v>4914</v>
      </c>
      <c r="D2218" t="s">
        <v>2297</v>
      </c>
      <c r="E2218">
        <v>73601.3758287825</v>
      </c>
      <c r="F2218">
        <v>24784.4503357014</v>
      </c>
      <c r="G2218">
        <v>18134.7843113646</v>
      </c>
      <c r="H2218">
        <v>14856.6499495369</v>
      </c>
      <c r="I2218">
        <v>116520.61</v>
      </c>
      <c r="J2218">
        <v>101663.96</v>
      </c>
      <c r="K2218" s="1"/>
      <c r="L2218" s="1"/>
      <c r="M2218" s="1"/>
      <c r="N2218" s="1"/>
    </row>
    <row r="2219" ht="15.75" customHeight="1">
      <c r="A2219" t="s">
        <v>13</v>
      </c>
      <c r="B2219" t="s">
        <v>18</v>
      </c>
      <c r="C2219" t="s">
        <v>4910</v>
      </c>
      <c r="D2219" t="s">
        <v>2298</v>
      </c>
      <c r="E2219">
        <v>73612.2587986887</v>
      </c>
      <c r="F2219">
        <v>24789.0650540288</v>
      </c>
      <c r="G2219">
        <v>18142.4643147941</v>
      </c>
      <c r="H2219">
        <v>14860.0475002242</v>
      </c>
      <c r="I2219">
        <v>116543.79</v>
      </c>
      <c r="J2219">
        <v>101683.74</v>
      </c>
      <c r="K2219" s="1"/>
      <c r="L2219" s="1"/>
      <c r="M2219" s="1"/>
      <c r="N2219" s="1"/>
    </row>
    <row r="2220" ht="15.75" customHeight="1">
      <c r="A2220" t="s">
        <v>53</v>
      </c>
      <c r="B2220" t="s">
        <v>37</v>
      </c>
      <c r="C2220" t="s">
        <v>4912</v>
      </c>
      <c r="D2220" t="s">
        <v>2299</v>
      </c>
      <c r="E2220">
        <v>73623.1417685949</v>
      </c>
      <c r="F2220">
        <v>24793.6797723562</v>
      </c>
      <c r="G2220">
        <v>18150.1443182236</v>
      </c>
      <c r="H2220">
        <v>14863.4450509115</v>
      </c>
      <c r="I2220">
        <v>116566.97</v>
      </c>
      <c r="J2220">
        <v>101703.52</v>
      </c>
      <c r="K2220" s="1"/>
      <c r="L2220" s="1"/>
      <c r="M2220" s="1"/>
      <c r="N2220" s="1"/>
    </row>
    <row r="2221" ht="15.75" customHeight="1">
      <c r="A2221" t="s">
        <v>25</v>
      </c>
      <c r="B2221" t="s">
        <v>54</v>
      </c>
      <c r="C2221" t="s">
        <v>4911</v>
      </c>
      <c r="D2221" t="s">
        <v>2300</v>
      </c>
      <c r="E2221">
        <v>73634.0247385011</v>
      </c>
      <c r="F2221">
        <v>24798.2944906836</v>
      </c>
      <c r="G2221">
        <v>18157.8243216531</v>
      </c>
      <c r="H2221">
        <v>14866.8426015988</v>
      </c>
      <c r="I2221">
        <v>116590.14</v>
      </c>
      <c r="J2221">
        <v>101723.3</v>
      </c>
      <c r="K2221" s="1"/>
      <c r="L2221" s="1"/>
      <c r="M2221" s="1"/>
      <c r="N2221" s="1"/>
    </row>
    <row r="2222" ht="15.75" customHeight="1">
      <c r="A2222" t="s">
        <v>13</v>
      </c>
      <c r="B2222" t="s">
        <v>37</v>
      </c>
      <c r="C2222" t="s">
        <v>4910</v>
      </c>
      <c r="D2222" t="s">
        <v>2301</v>
      </c>
      <c r="E2222">
        <v>73644.9077084073</v>
      </c>
      <c r="F2222">
        <v>24802.909209011</v>
      </c>
      <c r="G2222">
        <v>18165.5043250826</v>
      </c>
      <c r="H2222">
        <v>14870.2401522861</v>
      </c>
      <c r="I2222">
        <v>116613.32</v>
      </c>
      <c r="J2222">
        <v>101743.08</v>
      </c>
      <c r="K2222" s="1"/>
      <c r="L2222" s="1"/>
      <c r="M2222" s="1"/>
      <c r="N2222" s="1"/>
    </row>
    <row r="2223" ht="15.75" customHeight="1">
      <c r="A2223" t="s">
        <v>29</v>
      </c>
      <c r="B2223" t="s">
        <v>33</v>
      </c>
      <c r="C2223" t="s">
        <v>4912</v>
      </c>
      <c r="D2223" t="s">
        <v>2302</v>
      </c>
      <c r="E2223">
        <v>73655.7906783135</v>
      </c>
      <c r="F2223">
        <v>24807.5239273385</v>
      </c>
      <c r="G2223">
        <v>18173.184328512</v>
      </c>
      <c r="H2223">
        <v>14873.6377029734</v>
      </c>
      <c r="I2223">
        <v>116636.5</v>
      </c>
      <c r="J2223">
        <v>101762.86</v>
      </c>
      <c r="K2223" s="1"/>
      <c r="L2223" s="1"/>
      <c r="M2223" s="1"/>
      <c r="N2223" s="1"/>
    </row>
    <row r="2224" ht="15.75" customHeight="1">
      <c r="A2224" t="s">
        <v>51</v>
      </c>
      <c r="B2224" t="s">
        <v>14</v>
      </c>
      <c r="C2224" t="s">
        <v>4905</v>
      </c>
      <c r="D2224" t="s">
        <v>2303</v>
      </c>
      <c r="E2224">
        <v>73666.6736482197</v>
      </c>
      <c r="F2224">
        <v>24812.1386456659</v>
      </c>
      <c r="G2224">
        <v>18180.8643319415</v>
      </c>
      <c r="H2224">
        <v>14877.0352536607</v>
      </c>
      <c r="I2224">
        <v>116659.68</v>
      </c>
      <c r="J2224">
        <v>101782.64</v>
      </c>
      <c r="K2224" s="1"/>
      <c r="L2224" s="1"/>
      <c r="M2224" s="1"/>
      <c r="N2224" s="1"/>
    </row>
    <row r="2225" ht="15.75" customHeight="1">
      <c r="A2225" t="s">
        <v>13</v>
      </c>
      <c r="B2225" t="s">
        <v>14</v>
      </c>
      <c r="C2225" t="s">
        <v>4912</v>
      </c>
      <c r="D2225" t="s">
        <v>2304</v>
      </c>
      <c r="E2225">
        <v>71656.69906138915</v>
      </c>
      <c r="F2225">
        <v>24816.7533639933</v>
      </c>
      <c r="G2225">
        <v>18188.544335371</v>
      </c>
      <c r="H2225">
        <v>14880.4328043479</v>
      </c>
      <c r="I2225">
        <v>114662.0</v>
      </c>
      <c r="J2225">
        <v>99781.57</v>
      </c>
      <c r="K2225" s="1"/>
      <c r="L2225" s="1"/>
      <c r="M2225" s="1"/>
      <c r="N2225" s="1"/>
    </row>
    <row r="2226" ht="15.75" customHeight="1">
      <c r="A2226" t="s">
        <v>29</v>
      </c>
      <c r="B2226" t="s">
        <v>30</v>
      </c>
      <c r="C2226" t="s">
        <v>4905</v>
      </c>
      <c r="D2226" t="s">
        <v>2305</v>
      </c>
      <c r="E2226">
        <v>73688.4395880321</v>
      </c>
      <c r="F2226">
        <v>24821.3680823207</v>
      </c>
      <c r="G2226">
        <v>18196.2243388005</v>
      </c>
      <c r="H2226">
        <v>14883.8303550352</v>
      </c>
      <c r="I2226">
        <v>116706.03</v>
      </c>
      <c r="J2226">
        <v>101822.2</v>
      </c>
      <c r="K2226" s="1"/>
      <c r="L2226" s="1"/>
      <c r="M2226" s="1"/>
      <c r="N2226" s="1"/>
    </row>
    <row r="2227" ht="15.75" customHeight="1">
      <c r="A2227" t="s">
        <v>25</v>
      </c>
      <c r="B2227" t="s">
        <v>33</v>
      </c>
      <c r="C2227" t="s">
        <v>4912</v>
      </c>
      <c r="D2227" t="s">
        <v>2306</v>
      </c>
      <c r="E2227">
        <v>73699.3225579383</v>
      </c>
      <c r="F2227">
        <v>24825.9828006482</v>
      </c>
      <c r="G2227">
        <v>18203.90434223</v>
      </c>
      <c r="H2227">
        <v>14887.2279057225</v>
      </c>
      <c r="I2227">
        <v>116729.21</v>
      </c>
      <c r="J2227">
        <v>101841.98</v>
      </c>
      <c r="K2227" s="1"/>
      <c r="L2227" s="1"/>
      <c r="M2227" s="1"/>
      <c r="N2227" s="1"/>
    </row>
    <row r="2228" ht="15.75" customHeight="1">
      <c r="A2228" t="s">
        <v>53</v>
      </c>
      <c r="B2228" t="s">
        <v>14</v>
      </c>
      <c r="C2228" t="s">
        <v>4914</v>
      </c>
      <c r="D2228" t="s">
        <v>2307</v>
      </c>
      <c r="E2228">
        <v>73710.2055278445</v>
      </c>
      <c r="F2228">
        <v>24830.5975189756</v>
      </c>
      <c r="G2228">
        <v>18211.5843456595</v>
      </c>
      <c r="H2228">
        <v>14890.6254564098</v>
      </c>
      <c r="I2228">
        <v>116752.39</v>
      </c>
      <c r="J2228">
        <v>101861.76</v>
      </c>
      <c r="K2228" s="1"/>
      <c r="L2228" s="1"/>
      <c r="M2228" s="1"/>
      <c r="N2228" s="1"/>
    </row>
    <row r="2229" ht="15.75" customHeight="1">
      <c r="A2229" t="s">
        <v>29</v>
      </c>
      <c r="B2229" t="s">
        <v>30</v>
      </c>
      <c r="C2229" t="s">
        <v>4910</v>
      </c>
      <c r="D2229" t="s">
        <v>2308</v>
      </c>
      <c r="E2229">
        <v>73721.0884977507</v>
      </c>
      <c r="F2229">
        <v>24835.212237303</v>
      </c>
      <c r="G2229">
        <v>18219.264349089</v>
      </c>
      <c r="H2229">
        <v>14894.0230070971</v>
      </c>
      <c r="I2229">
        <v>116775.57</v>
      </c>
      <c r="J2229">
        <v>101881.55</v>
      </c>
      <c r="K2229" s="1"/>
      <c r="L2229" s="1"/>
      <c r="M2229" s="1"/>
      <c r="N2229" s="1"/>
    </row>
    <row r="2230" ht="15.75" customHeight="1">
      <c r="A2230" t="s">
        <v>51</v>
      </c>
      <c r="B2230" t="s">
        <v>37</v>
      </c>
      <c r="C2230" t="s">
        <v>4913</v>
      </c>
      <c r="D2230" t="s">
        <v>2309</v>
      </c>
      <c r="E2230">
        <v>73731.9714676569</v>
      </c>
      <c r="F2230">
        <v>24839.8269556304</v>
      </c>
      <c r="G2230">
        <v>18226.9443525185</v>
      </c>
      <c r="H2230">
        <v>14897.4205577844</v>
      </c>
      <c r="I2230">
        <v>116798.74</v>
      </c>
      <c r="J2230">
        <v>101901.32</v>
      </c>
      <c r="K2230" s="1"/>
      <c r="L2230" s="1"/>
      <c r="M2230" s="1"/>
      <c r="N2230" s="1"/>
    </row>
    <row r="2231" ht="15.75" customHeight="1">
      <c r="A2231" t="s">
        <v>13</v>
      </c>
      <c r="B2231" t="s">
        <v>33</v>
      </c>
      <c r="C2231" t="s">
        <v>4916</v>
      </c>
      <c r="D2231" t="s">
        <v>2310</v>
      </c>
      <c r="E2231">
        <v>73742.854437563</v>
      </c>
      <c r="F2231">
        <v>24844.4416739578</v>
      </c>
      <c r="G2231">
        <v>18234.624355948</v>
      </c>
      <c r="H2231">
        <v>14900.8181084717</v>
      </c>
      <c r="I2231">
        <v>116821.92</v>
      </c>
      <c r="J2231">
        <v>101921.1</v>
      </c>
      <c r="K2231" s="1"/>
      <c r="L2231" s="1"/>
      <c r="M2231" s="1"/>
      <c r="N2231" s="1"/>
    </row>
    <row r="2232" ht="15.75" customHeight="1">
      <c r="A2232" t="s">
        <v>29</v>
      </c>
      <c r="B2232" t="s">
        <v>54</v>
      </c>
      <c r="C2232" t="s">
        <v>4913</v>
      </c>
      <c r="D2232" t="s">
        <v>2311</v>
      </c>
      <c r="E2232">
        <v>73753.7374074692</v>
      </c>
      <c r="F2232">
        <v>24849.0563922853</v>
      </c>
      <c r="G2232">
        <v>18242.3043593775</v>
      </c>
      <c r="H2232">
        <v>14904.215659159</v>
      </c>
      <c r="I2232">
        <v>116845.1</v>
      </c>
      <c r="J2232">
        <v>101940.88</v>
      </c>
      <c r="K2232" s="1"/>
      <c r="L2232" s="1"/>
      <c r="M2232" s="1"/>
      <c r="N2232" s="1"/>
    </row>
    <row r="2233" ht="15.75" customHeight="1">
      <c r="A2233" t="s">
        <v>25</v>
      </c>
      <c r="B2233" t="s">
        <v>14</v>
      </c>
      <c r="C2233" t="s">
        <v>4913</v>
      </c>
      <c r="D2233" t="s">
        <v>2312</v>
      </c>
      <c r="E2233">
        <v>73764.6203773754</v>
      </c>
      <c r="F2233">
        <v>24853.6711106127</v>
      </c>
      <c r="G2233">
        <v>18249.984362807</v>
      </c>
      <c r="H2233">
        <v>14907.6132098462</v>
      </c>
      <c r="I2233">
        <v>116868.28</v>
      </c>
      <c r="J2233">
        <v>101960.67</v>
      </c>
      <c r="K2233" s="1"/>
      <c r="L2233" s="1"/>
      <c r="M2233" s="1"/>
      <c r="N2233" s="1"/>
    </row>
    <row r="2234" ht="15.75" customHeight="1">
      <c r="A2234" t="s">
        <v>36</v>
      </c>
      <c r="B2234" t="s">
        <v>18</v>
      </c>
      <c r="C2234" t="s">
        <v>4907</v>
      </c>
      <c r="D2234" t="s">
        <v>2313</v>
      </c>
      <c r="E2234">
        <v>70778.92354084158</v>
      </c>
      <c r="F2234">
        <v>24858.2858289401</v>
      </c>
      <c r="G2234">
        <v>18257.6643662365</v>
      </c>
      <c r="H2234">
        <v>14911.0107605335</v>
      </c>
      <c r="I2234">
        <v>113894.87</v>
      </c>
      <c r="J2234">
        <v>98983.86</v>
      </c>
      <c r="K2234" s="1"/>
      <c r="L2234" s="1"/>
      <c r="M2234" s="1"/>
      <c r="N2234" s="1"/>
    </row>
    <row r="2235" ht="15.75" customHeight="1">
      <c r="A2235" t="s">
        <v>36</v>
      </c>
      <c r="B2235" t="s">
        <v>54</v>
      </c>
      <c r="C2235" t="s">
        <v>4913</v>
      </c>
      <c r="D2235" t="s">
        <v>2314</v>
      </c>
      <c r="E2235">
        <v>73786.3863171878</v>
      </c>
      <c r="F2235">
        <v>24862.9005472675</v>
      </c>
      <c r="G2235">
        <v>18265.344369666</v>
      </c>
      <c r="H2235">
        <v>14914.4083112208</v>
      </c>
      <c r="I2235">
        <v>116914.63</v>
      </c>
      <c r="J2235">
        <v>102000.22</v>
      </c>
      <c r="K2235" s="1"/>
      <c r="L2235" s="1"/>
      <c r="M2235" s="1"/>
      <c r="N2235" s="1"/>
    </row>
    <row r="2236" ht="15.75" customHeight="1">
      <c r="A2236" t="s">
        <v>36</v>
      </c>
      <c r="B2236" t="s">
        <v>26</v>
      </c>
      <c r="C2236" t="s">
        <v>4907</v>
      </c>
      <c r="D2236" t="s">
        <v>2315</v>
      </c>
      <c r="E2236">
        <v>73797.269287094</v>
      </c>
      <c r="F2236">
        <v>24867.515265595</v>
      </c>
      <c r="G2236">
        <v>18273.0243730955</v>
      </c>
      <c r="H2236">
        <v>14917.8058619081</v>
      </c>
      <c r="I2236">
        <v>116937.81</v>
      </c>
      <c r="J2236">
        <v>102020.0</v>
      </c>
      <c r="K2236" s="1"/>
      <c r="L2236" s="1"/>
      <c r="M2236" s="1"/>
      <c r="N2236" s="1"/>
    </row>
    <row r="2237" ht="15.75" customHeight="1">
      <c r="A2237" t="s">
        <v>25</v>
      </c>
      <c r="B2237" t="s">
        <v>14</v>
      </c>
      <c r="C2237" t="s">
        <v>4913</v>
      </c>
      <c r="D2237" t="s">
        <v>2316</v>
      </c>
      <c r="E2237">
        <v>73808.1522570002</v>
      </c>
      <c r="F2237">
        <v>24872.1299839224</v>
      </c>
      <c r="G2237">
        <v>18280.704376525</v>
      </c>
      <c r="H2237">
        <v>14921.2034125954</v>
      </c>
      <c r="I2237">
        <v>116960.99</v>
      </c>
      <c r="J2237">
        <v>102039.79</v>
      </c>
      <c r="K2237" s="1"/>
      <c r="L2237" s="1"/>
      <c r="M2237" s="1"/>
      <c r="N2237" s="1"/>
    </row>
    <row r="2238" ht="15.75" customHeight="1">
      <c r="A2238" t="s">
        <v>53</v>
      </c>
      <c r="B2238" t="s">
        <v>37</v>
      </c>
      <c r="C2238" t="s">
        <v>4912</v>
      </c>
      <c r="D2238" t="s">
        <v>2317</v>
      </c>
      <c r="E2238">
        <v>73819.0352269064</v>
      </c>
      <c r="F2238">
        <v>24876.7447022498</v>
      </c>
      <c r="G2238">
        <v>18288.3843799545</v>
      </c>
      <c r="H2238">
        <v>14924.6009632827</v>
      </c>
      <c r="I2238">
        <v>116984.16</v>
      </c>
      <c r="J2238">
        <v>102059.56</v>
      </c>
      <c r="K2238" s="1"/>
      <c r="L2238" s="1"/>
      <c r="M2238" s="1"/>
      <c r="N2238" s="1"/>
    </row>
    <row r="2239" ht="15.75" customHeight="1">
      <c r="A2239" t="s">
        <v>13</v>
      </c>
      <c r="B2239" t="s">
        <v>37</v>
      </c>
      <c r="C2239" t="s">
        <v>4917</v>
      </c>
      <c r="D2239" t="s">
        <v>2318</v>
      </c>
      <c r="E2239">
        <v>73829.9181968126</v>
      </c>
      <c r="F2239">
        <v>24881.3594205772</v>
      </c>
      <c r="G2239">
        <v>18296.064383384</v>
      </c>
      <c r="H2239">
        <v>14927.99851397</v>
      </c>
      <c r="I2239">
        <v>117007.34</v>
      </c>
      <c r="J2239">
        <v>102079.34</v>
      </c>
      <c r="K2239" s="1"/>
      <c r="L2239" s="1"/>
      <c r="M2239" s="1"/>
      <c r="N2239" s="1"/>
    </row>
    <row r="2240" ht="15.75" customHeight="1">
      <c r="A2240" t="s">
        <v>36</v>
      </c>
      <c r="B2240" t="s">
        <v>26</v>
      </c>
      <c r="C2240" t="s">
        <v>4911</v>
      </c>
      <c r="D2240" t="s">
        <v>2319</v>
      </c>
      <c r="E2240">
        <v>73840.8011667188</v>
      </c>
      <c r="F2240">
        <v>24885.9741389046</v>
      </c>
      <c r="G2240">
        <v>18303.7443868135</v>
      </c>
      <c r="H2240">
        <v>14931.3960646573</v>
      </c>
      <c r="I2240">
        <v>117030.52</v>
      </c>
      <c r="J2240">
        <v>102099.12</v>
      </c>
      <c r="K2240" s="1"/>
      <c r="L2240" s="1"/>
      <c r="M2240" s="1"/>
      <c r="N2240" s="1"/>
    </row>
    <row r="2241" ht="15.75" customHeight="1">
      <c r="A2241" t="s">
        <v>17</v>
      </c>
      <c r="B2241" t="s">
        <v>14</v>
      </c>
      <c r="C2241" t="s">
        <v>4907</v>
      </c>
      <c r="D2241" t="s">
        <v>2320</v>
      </c>
      <c r="E2241">
        <v>73851.684136625</v>
      </c>
      <c r="F2241">
        <v>24890.5888572321</v>
      </c>
      <c r="G2241">
        <v>18311.424390243</v>
      </c>
      <c r="H2241">
        <v>14934.7936153445</v>
      </c>
      <c r="I2241">
        <v>117053.7</v>
      </c>
      <c r="J2241">
        <v>102118.91</v>
      </c>
      <c r="K2241" s="1"/>
      <c r="L2241" s="1"/>
      <c r="M2241" s="1"/>
      <c r="N2241" s="1"/>
    </row>
    <row r="2242" ht="15.75" customHeight="1">
      <c r="A2242" t="s">
        <v>51</v>
      </c>
      <c r="B2242" t="s">
        <v>26</v>
      </c>
      <c r="C2242" t="s">
        <v>4910</v>
      </c>
      <c r="D2242" t="s">
        <v>2322</v>
      </c>
      <c r="E2242">
        <v>73862.5671065312</v>
      </c>
      <c r="F2242">
        <v>24895.2035755595</v>
      </c>
      <c r="G2242">
        <v>18319.1043936725</v>
      </c>
      <c r="H2242">
        <v>14938.1911660318</v>
      </c>
      <c r="I2242">
        <v>117076.88</v>
      </c>
      <c r="J2242">
        <v>102138.69</v>
      </c>
      <c r="K2242" s="1"/>
      <c r="L2242" s="1"/>
      <c r="M2242" s="1"/>
      <c r="N2242" s="1"/>
    </row>
    <row r="2243" ht="15.75" customHeight="1">
      <c r="A2243" t="s">
        <v>17</v>
      </c>
      <c r="B2243" t="s">
        <v>37</v>
      </c>
      <c r="C2243" t="s">
        <v>4907</v>
      </c>
      <c r="D2243" t="s">
        <v>2323</v>
      </c>
      <c r="E2243">
        <v>73873.4500764374</v>
      </c>
      <c r="F2243">
        <v>24899.8182938869</v>
      </c>
      <c r="G2243">
        <v>18326.784397102</v>
      </c>
      <c r="H2243">
        <v>14941.5887167191</v>
      </c>
      <c r="I2243">
        <v>117100.05</v>
      </c>
      <c r="J2243">
        <v>102158.46</v>
      </c>
      <c r="K2243" s="1"/>
      <c r="L2243" s="1"/>
      <c r="M2243" s="1"/>
      <c r="N2243" s="1"/>
    </row>
    <row r="2244" ht="15.75" customHeight="1">
      <c r="A2244" t="s">
        <v>17</v>
      </c>
      <c r="B2244" t="s">
        <v>18</v>
      </c>
      <c r="C2244" t="s">
        <v>4905</v>
      </c>
      <c r="D2244" t="s">
        <v>2324</v>
      </c>
      <c r="E2244">
        <v>73884.3330463436</v>
      </c>
      <c r="F2244">
        <v>24904.4330122143</v>
      </c>
      <c r="G2244">
        <v>18334.4644005315</v>
      </c>
      <c r="H2244">
        <v>14944.9862674064</v>
      </c>
      <c r="I2244">
        <v>117123.23</v>
      </c>
      <c r="J2244">
        <v>102178.24</v>
      </c>
      <c r="K2244" s="1"/>
      <c r="L2244" s="1"/>
      <c r="M2244" s="1"/>
      <c r="N2244" s="1"/>
    </row>
    <row r="2245" ht="15.75" customHeight="1">
      <c r="A2245" t="s">
        <v>53</v>
      </c>
      <c r="B2245" t="s">
        <v>54</v>
      </c>
      <c r="C2245" t="s">
        <v>4908</v>
      </c>
      <c r="D2245" t="s">
        <v>2325</v>
      </c>
      <c r="E2245">
        <v>73895.2160162498</v>
      </c>
      <c r="F2245">
        <v>24909.0477305418</v>
      </c>
      <c r="G2245">
        <v>18342.144403961</v>
      </c>
      <c r="H2245">
        <v>14948.3838180937</v>
      </c>
      <c r="I2245">
        <v>117146.41</v>
      </c>
      <c r="J2245">
        <v>102198.03</v>
      </c>
      <c r="K2245" s="1"/>
      <c r="L2245" s="1"/>
      <c r="M2245" s="1"/>
      <c r="N2245" s="1"/>
    </row>
    <row r="2246" ht="15.75" customHeight="1">
      <c r="A2246" t="s">
        <v>36</v>
      </c>
      <c r="B2246" t="s">
        <v>18</v>
      </c>
      <c r="C2246" t="s">
        <v>4908</v>
      </c>
      <c r="D2246" t="s">
        <v>2326</v>
      </c>
      <c r="E2246">
        <v>73906.098986156</v>
      </c>
      <c r="F2246">
        <v>24913.6624488692</v>
      </c>
      <c r="G2246">
        <v>18349.8244073905</v>
      </c>
      <c r="H2246">
        <v>14951.781368781</v>
      </c>
      <c r="I2246">
        <v>117169.59</v>
      </c>
      <c r="J2246">
        <v>102217.81</v>
      </c>
      <c r="K2246" s="1"/>
      <c r="L2246" s="1"/>
      <c r="M2246" s="1"/>
      <c r="N2246" s="1"/>
    </row>
    <row r="2247" ht="15.75" customHeight="1">
      <c r="A2247" t="s">
        <v>25</v>
      </c>
      <c r="B2247" t="s">
        <v>37</v>
      </c>
      <c r="C2247" t="s">
        <v>4917</v>
      </c>
      <c r="D2247" t="s">
        <v>2327</v>
      </c>
      <c r="E2247">
        <v>73916.9819560621</v>
      </c>
      <c r="F2247">
        <v>24918.2771671966</v>
      </c>
      <c r="G2247">
        <v>18357.50441082</v>
      </c>
      <c r="H2247">
        <v>14955.1789194683</v>
      </c>
      <c r="I2247">
        <v>117192.76</v>
      </c>
      <c r="J2247">
        <v>102237.58</v>
      </c>
      <c r="K2247" s="1"/>
      <c r="L2247" s="1"/>
      <c r="M2247" s="1"/>
      <c r="N2247" s="1"/>
    </row>
    <row r="2248" ht="15.75" customHeight="1">
      <c r="A2248" t="s">
        <v>25</v>
      </c>
      <c r="B2248" t="s">
        <v>26</v>
      </c>
      <c r="C2248" t="s">
        <v>4905</v>
      </c>
      <c r="D2248" t="s">
        <v>2328</v>
      </c>
      <c r="E2248">
        <v>73927.8649259683</v>
      </c>
      <c r="F2248">
        <v>24922.891885524</v>
      </c>
      <c r="G2248">
        <v>18365.1844142495</v>
      </c>
      <c r="H2248">
        <v>14958.5764701555</v>
      </c>
      <c r="I2248">
        <v>117215.94</v>
      </c>
      <c r="J2248">
        <v>102257.36</v>
      </c>
      <c r="K2248" s="1"/>
      <c r="L2248" s="1"/>
      <c r="M2248" s="1"/>
      <c r="N2248" s="1"/>
    </row>
    <row r="2249" ht="15.75" customHeight="1">
      <c r="A2249" t="s">
        <v>25</v>
      </c>
      <c r="B2249" t="s">
        <v>26</v>
      </c>
      <c r="C2249" t="s">
        <v>4910</v>
      </c>
      <c r="D2249" t="s">
        <v>2329</v>
      </c>
      <c r="E2249">
        <v>73938.7478958745</v>
      </c>
      <c r="F2249">
        <v>24927.5066038514</v>
      </c>
      <c r="G2249">
        <v>18372.864417679</v>
      </c>
      <c r="H2249">
        <v>14961.9740208428</v>
      </c>
      <c r="I2249">
        <v>117239.12</v>
      </c>
      <c r="J2249">
        <v>102277.15</v>
      </c>
      <c r="K2249" s="1"/>
      <c r="L2249" s="1"/>
      <c r="M2249" s="1"/>
      <c r="N2249" s="1"/>
    </row>
    <row r="2250" ht="15.75" customHeight="1">
      <c r="A2250" t="s">
        <v>51</v>
      </c>
      <c r="B2250" t="s">
        <v>14</v>
      </c>
      <c r="C2250" t="s">
        <v>4907</v>
      </c>
      <c r="D2250" t="s">
        <v>2330</v>
      </c>
      <c r="E2250">
        <v>73949.6308657807</v>
      </c>
      <c r="F2250">
        <v>24932.1213221789</v>
      </c>
      <c r="G2250">
        <v>18380.5444211085</v>
      </c>
      <c r="H2250">
        <v>14965.3715715301</v>
      </c>
      <c r="I2250">
        <v>117262.3</v>
      </c>
      <c r="J2250">
        <v>102296.93</v>
      </c>
      <c r="K2250" s="1"/>
      <c r="L2250" s="1"/>
      <c r="M2250" s="1"/>
      <c r="N2250" s="1"/>
    </row>
    <row r="2251" ht="15.75" customHeight="1">
      <c r="A2251" t="s">
        <v>29</v>
      </c>
      <c r="B2251" t="s">
        <v>30</v>
      </c>
      <c r="C2251" t="s">
        <v>4912</v>
      </c>
      <c r="D2251" t="s">
        <v>2331</v>
      </c>
      <c r="E2251">
        <v>73960.5138356869</v>
      </c>
      <c r="F2251">
        <v>24936.7360405063</v>
      </c>
      <c r="G2251">
        <v>18388.224424538</v>
      </c>
      <c r="H2251">
        <v>14968.7691222174</v>
      </c>
      <c r="I2251">
        <v>117285.47</v>
      </c>
      <c r="J2251">
        <v>102316.7</v>
      </c>
      <c r="K2251" s="1"/>
      <c r="L2251" s="1"/>
      <c r="M2251" s="1"/>
      <c r="N2251" s="1"/>
    </row>
    <row r="2252" ht="15.75" customHeight="1">
      <c r="A2252" t="s">
        <v>53</v>
      </c>
      <c r="B2252" t="s">
        <v>54</v>
      </c>
      <c r="C2252" t="s">
        <v>4907</v>
      </c>
      <c r="D2252" t="s">
        <v>2332</v>
      </c>
      <c r="E2252">
        <v>73971.3968055931</v>
      </c>
      <c r="F2252">
        <v>24941.3507588337</v>
      </c>
      <c r="G2252">
        <v>18395.9044279675</v>
      </c>
      <c r="H2252">
        <v>14972.1666729047</v>
      </c>
      <c r="I2252">
        <v>117308.65</v>
      </c>
      <c r="J2252">
        <v>102336.48</v>
      </c>
      <c r="K2252" s="1"/>
      <c r="L2252" s="1"/>
      <c r="M2252" s="1"/>
      <c r="N2252" s="1"/>
    </row>
    <row r="2253" ht="15.75" customHeight="1">
      <c r="A2253" t="s">
        <v>17</v>
      </c>
      <c r="B2253" t="s">
        <v>33</v>
      </c>
      <c r="C2253" t="s">
        <v>4912</v>
      </c>
      <c r="D2253" t="s">
        <v>2333</v>
      </c>
      <c r="E2253">
        <v>73982.2797754993</v>
      </c>
      <c r="F2253">
        <v>24945.9654771611</v>
      </c>
      <c r="G2253">
        <v>18403.584431397</v>
      </c>
      <c r="H2253">
        <v>14975.564223592</v>
      </c>
      <c r="I2253">
        <v>117331.83</v>
      </c>
      <c r="J2253">
        <v>102356.27</v>
      </c>
      <c r="K2253" s="1"/>
      <c r="L2253" s="1"/>
      <c r="M2253" s="1"/>
      <c r="N2253" s="1"/>
    </row>
    <row r="2254" ht="15.75" customHeight="1">
      <c r="A2254" t="s">
        <v>29</v>
      </c>
      <c r="B2254" t="s">
        <v>26</v>
      </c>
      <c r="C2254" t="s">
        <v>4913</v>
      </c>
      <c r="D2254" t="s">
        <v>2334</v>
      </c>
      <c r="E2254">
        <v>73993.1627454055</v>
      </c>
      <c r="F2254">
        <v>24950.5801954886</v>
      </c>
      <c r="G2254">
        <v>18411.2644348265</v>
      </c>
      <c r="H2254">
        <v>14978.9617742793</v>
      </c>
      <c r="I2254">
        <v>117355.01</v>
      </c>
      <c r="J2254">
        <v>102376.05</v>
      </c>
      <c r="K2254" s="1"/>
      <c r="L2254" s="1"/>
      <c r="M2254" s="1"/>
      <c r="N2254" s="1"/>
    </row>
    <row r="2255" ht="15.75" customHeight="1">
      <c r="A2255" t="s">
        <v>53</v>
      </c>
      <c r="B2255" t="s">
        <v>54</v>
      </c>
      <c r="C2255" t="s">
        <v>4913</v>
      </c>
      <c r="D2255" t="s">
        <v>2335</v>
      </c>
      <c r="E2255">
        <v>74004.0457153117</v>
      </c>
      <c r="F2255">
        <v>24955.194913816</v>
      </c>
      <c r="G2255">
        <v>18418.944438256</v>
      </c>
      <c r="H2255">
        <v>14982.3593249666</v>
      </c>
      <c r="I2255">
        <v>117378.19</v>
      </c>
      <c r="J2255">
        <v>102395.83</v>
      </c>
      <c r="K2255" s="1"/>
      <c r="L2255" s="1"/>
      <c r="M2255" s="1"/>
      <c r="N2255" s="1"/>
    </row>
    <row r="2256" ht="15.75" customHeight="1">
      <c r="A2256" t="s">
        <v>25</v>
      </c>
      <c r="B2256" t="s">
        <v>30</v>
      </c>
      <c r="C2256" t="s">
        <v>4912</v>
      </c>
      <c r="D2256" t="s">
        <v>2336</v>
      </c>
      <c r="E2256">
        <v>74014.9286852179</v>
      </c>
      <c r="F2256">
        <v>24959.8096321434</v>
      </c>
      <c r="G2256">
        <v>18426.6244416855</v>
      </c>
      <c r="H2256">
        <v>14985.7568756538</v>
      </c>
      <c r="I2256">
        <v>117401.36</v>
      </c>
      <c r="J2256">
        <v>102415.6</v>
      </c>
      <c r="K2256" s="1"/>
      <c r="L2256" s="1"/>
      <c r="M2256" s="1"/>
      <c r="N2256" s="1"/>
    </row>
    <row r="2257" ht="15.75" customHeight="1">
      <c r="A2257" t="s">
        <v>25</v>
      </c>
      <c r="B2257" t="s">
        <v>18</v>
      </c>
      <c r="C2257" t="s">
        <v>4915</v>
      </c>
      <c r="D2257" t="s">
        <v>2337</v>
      </c>
      <c r="E2257">
        <v>74025.8116551241</v>
      </c>
      <c r="F2257">
        <v>24964.4243504708</v>
      </c>
      <c r="G2257">
        <v>18434.304445115</v>
      </c>
      <c r="H2257">
        <v>14989.1544263411</v>
      </c>
      <c r="I2257">
        <v>117424.54</v>
      </c>
      <c r="J2257">
        <v>102435.39</v>
      </c>
      <c r="K2257" s="1"/>
      <c r="L2257" s="1"/>
      <c r="M2257" s="1"/>
      <c r="N2257" s="1"/>
    </row>
    <row r="2258" ht="15.75" customHeight="1">
      <c r="A2258" t="s">
        <v>53</v>
      </c>
      <c r="B2258" t="s">
        <v>37</v>
      </c>
      <c r="C2258" t="s">
        <v>4915</v>
      </c>
      <c r="D2258" t="s">
        <v>2338</v>
      </c>
      <c r="E2258">
        <v>74036.6946250303</v>
      </c>
      <c r="F2258">
        <v>24969.0390687982</v>
      </c>
      <c r="G2258">
        <v>18441.9844485445</v>
      </c>
      <c r="H2258">
        <v>14992.5519770284</v>
      </c>
      <c r="I2258">
        <v>117447.72</v>
      </c>
      <c r="J2258">
        <v>102455.17</v>
      </c>
      <c r="K2258" s="1"/>
      <c r="L2258" s="1"/>
      <c r="M2258" s="1"/>
      <c r="N2258" s="1"/>
    </row>
    <row r="2259" ht="15.75" customHeight="1">
      <c r="A2259" t="s">
        <v>53</v>
      </c>
      <c r="B2259" t="s">
        <v>37</v>
      </c>
      <c r="C2259" t="s">
        <v>4905</v>
      </c>
      <c r="D2259" t="s">
        <v>2339</v>
      </c>
      <c r="E2259">
        <v>74047.5775949365</v>
      </c>
      <c r="F2259">
        <v>24973.6537871257</v>
      </c>
      <c r="G2259">
        <v>18449.664451974</v>
      </c>
      <c r="H2259">
        <v>14995.9495277157</v>
      </c>
      <c r="I2259">
        <v>117470.9</v>
      </c>
      <c r="J2259">
        <v>102474.95</v>
      </c>
      <c r="K2259" s="1"/>
      <c r="L2259" s="1"/>
      <c r="M2259" s="1"/>
      <c r="N2259" s="1"/>
    </row>
    <row r="2260" ht="15.75" customHeight="1">
      <c r="A2260" t="s">
        <v>29</v>
      </c>
      <c r="B2260" t="s">
        <v>54</v>
      </c>
      <c r="C2260" t="s">
        <v>4908</v>
      </c>
      <c r="D2260" t="s">
        <v>2340</v>
      </c>
      <c r="E2260">
        <v>74058.4605648427</v>
      </c>
      <c r="F2260">
        <v>24978.2685054531</v>
      </c>
      <c r="G2260">
        <v>18457.3444554034</v>
      </c>
      <c r="H2260">
        <v>14999.347078403</v>
      </c>
      <c r="I2260">
        <v>117494.07</v>
      </c>
      <c r="J2260">
        <v>102494.72</v>
      </c>
      <c r="K2260" s="1"/>
      <c r="L2260" s="1"/>
      <c r="M2260" s="1"/>
      <c r="N2260" s="1"/>
    </row>
    <row r="2261" ht="15.75" customHeight="1">
      <c r="A2261" t="s">
        <v>13</v>
      </c>
      <c r="B2261" t="s">
        <v>33</v>
      </c>
      <c r="C2261" t="s">
        <v>4908</v>
      </c>
      <c r="D2261" t="s">
        <v>2341</v>
      </c>
      <c r="E2261">
        <v>74069.3435347489</v>
      </c>
      <c r="F2261">
        <v>24982.8832237805</v>
      </c>
      <c r="G2261">
        <v>18465.0244588329</v>
      </c>
      <c r="H2261">
        <v>15002.7446290903</v>
      </c>
      <c r="I2261">
        <v>117517.25</v>
      </c>
      <c r="J2261">
        <v>102514.51</v>
      </c>
      <c r="K2261" s="1"/>
      <c r="L2261" s="1"/>
      <c r="M2261" s="1"/>
      <c r="N2261" s="1"/>
    </row>
    <row r="2262" ht="15.75" customHeight="1">
      <c r="A2262" t="s">
        <v>51</v>
      </c>
      <c r="B2262" t="s">
        <v>14</v>
      </c>
      <c r="C2262" t="s">
        <v>4916</v>
      </c>
      <c r="D2262" t="s">
        <v>2342</v>
      </c>
      <c r="E2262">
        <v>74080.226504655</v>
      </c>
      <c r="F2262">
        <v>24987.4979421079</v>
      </c>
      <c r="G2262">
        <v>18472.7044622624</v>
      </c>
      <c r="H2262">
        <v>15006.1421797776</v>
      </c>
      <c r="I2262">
        <v>117540.43</v>
      </c>
      <c r="J2262">
        <v>102534.29</v>
      </c>
      <c r="K2262" s="1"/>
      <c r="L2262" s="1"/>
      <c r="M2262" s="1"/>
      <c r="N2262" s="1"/>
    </row>
    <row r="2263" ht="15.75" customHeight="1">
      <c r="A2263" t="s">
        <v>25</v>
      </c>
      <c r="B2263" t="s">
        <v>33</v>
      </c>
      <c r="C2263" t="s">
        <v>4915</v>
      </c>
      <c r="D2263" t="s">
        <v>2343</v>
      </c>
      <c r="E2263">
        <v>74091.1094745612</v>
      </c>
      <c r="F2263">
        <v>24992.1126604354</v>
      </c>
      <c r="G2263">
        <v>18480.3844656919</v>
      </c>
      <c r="H2263">
        <v>15009.5397304649</v>
      </c>
      <c r="I2263">
        <v>117563.61</v>
      </c>
      <c r="J2263">
        <v>102554.07</v>
      </c>
      <c r="K2263" s="1"/>
      <c r="L2263" s="1"/>
      <c r="M2263" s="1"/>
      <c r="N2263" s="1"/>
    </row>
    <row r="2264" ht="15.75" customHeight="1">
      <c r="A2264" t="s">
        <v>17</v>
      </c>
      <c r="B2264" t="s">
        <v>30</v>
      </c>
      <c r="C2264" t="s">
        <v>4910</v>
      </c>
      <c r="D2264" t="s">
        <v>2344</v>
      </c>
      <c r="E2264">
        <v>74112.8754143736</v>
      </c>
      <c r="F2264">
        <v>25001.3420970902</v>
      </c>
      <c r="G2264">
        <v>18495.7444725509</v>
      </c>
      <c r="H2264">
        <v>15016.3348318394</v>
      </c>
      <c r="I2264">
        <v>117609.96</v>
      </c>
      <c r="J2264">
        <v>102593.63</v>
      </c>
      <c r="K2264" s="1"/>
      <c r="L2264" s="1"/>
      <c r="M2264" s="1"/>
      <c r="N2264" s="1"/>
    </row>
    <row r="2265" ht="15.75" customHeight="1">
      <c r="A2265" t="s">
        <v>13</v>
      </c>
      <c r="B2265" t="s">
        <v>33</v>
      </c>
      <c r="C2265" t="s">
        <v>4909</v>
      </c>
      <c r="D2265" t="s">
        <v>2345</v>
      </c>
      <c r="E2265">
        <v>74123.7583842798</v>
      </c>
      <c r="F2265">
        <v>25005.9568154176</v>
      </c>
      <c r="G2265">
        <v>18503.4244759804</v>
      </c>
      <c r="H2265">
        <v>15019.7323825267</v>
      </c>
      <c r="I2265">
        <v>117633.14</v>
      </c>
      <c r="J2265">
        <v>102613.41</v>
      </c>
      <c r="K2265" s="1"/>
      <c r="L2265" s="1"/>
      <c r="M2265" s="1"/>
      <c r="N2265" s="1"/>
    </row>
    <row r="2266" ht="15.75" customHeight="1">
      <c r="A2266" t="s">
        <v>13</v>
      </c>
      <c r="B2266" t="s">
        <v>37</v>
      </c>
      <c r="C2266" t="s">
        <v>4909</v>
      </c>
      <c r="D2266" t="s">
        <v>2346</v>
      </c>
      <c r="E2266">
        <v>74134.641354186</v>
      </c>
      <c r="F2266">
        <v>25010.571533745</v>
      </c>
      <c r="G2266">
        <v>18511.1044794099</v>
      </c>
      <c r="H2266">
        <v>15023.129933214</v>
      </c>
      <c r="I2266">
        <v>117656.32</v>
      </c>
      <c r="J2266">
        <v>102633.19</v>
      </c>
      <c r="K2266" s="1"/>
      <c r="L2266" s="1"/>
      <c r="M2266" s="1"/>
      <c r="N2266" s="1"/>
    </row>
    <row r="2267" ht="15.75" customHeight="1">
      <c r="A2267" t="s">
        <v>51</v>
      </c>
      <c r="B2267" t="s">
        <v>14</v>
      </c>
      <c r="C2267" t="s">
        <v>4911</v>
      </c>
      <c r="D2267" t="s">
        <v>2347</v>
      </c>
      <c r="E2267">
        <v>74156.4072939984</v>
      </c>
      <c r="F2267">
        <v>25019.8009703999</v>
      </c>
      <c r="G2267">
        <v>18526.4644862689</v>
      </c>
      <c r="H2267">
        <v>15029.9250345886</v>
      </c>
      <c r="I2267">
        <v>117702.67</v>
      </c>
      <c r="J2267">
        <v>102672.74</v>
      </c>
      <c r="K2267" s="1"/>
      <c r="L2267" s="1"/>
      <c r="M2267" s="1"/>
      <c r="N2267" s="1"/>
    </row>
    <row r="2268" ht="15.75" customHeight="1">
      <c r="A2268" t="s">
        <v>51</v>
      </c>
      <c r="B2268" t="s">
        <v>14</v>
      </c>
      <c r="C2268" t="s">
        <v>4912</v>
      </c>
      <c r="D2268" t="s">
        <v>2348</v>
      </c>
      <c r="E2268">
        <v>74167.2902639046</v>
      </c>
      <c r="F2268">
        <v>25024.4156887273</v>
      </c>
      <c r="G2268">
        <v>18534.1444896984</v>
      </c>
      <c r="H2268">
        <v>15033.3225852759</v>
      </c>
      <c r="I2268">
        <v>117725.85</v>
      </c>
      <c r="J2268">
        <v>102692.53</v>
      </c>
      <c r="K2268" s="1"/>
      <c r="L2268" s="1"/>
      <c r="M2268" s="1"/>
      <c r="N2268" s="1"/>
    </row>
    <row r="2269" ht="15.75" customHeight="1">
      <c r="A2269" t="s">
        <v>36</v>
      </c>
      <c r="B2269" t="s">
        <v>26</v>
      </c>
      <c r="C2269" t="s">
        <v>4905</v>
      </c>
      <c r="D2269" t="s">
        <v>2349</v>
      </c>
      <c r="E2269">
        <v>74178.1732338108</v>
      </c>
      <c r="F2269">
        <v>25029.0304070547</v>
      </c>
      <c r="G2269">
        <v>18541.8244931279</v>
      </c>
      <c r="H2269">
        <v>14194.35617001081</v>
      </c>
      <c r="I2269">
        <v>117749.03</v>
      </c>
      <c r="J2269">
        <v>103554.67</v>
      </c>
      <c r="K2269" s="1"/>
      <c r="L2269" s="1"/>
      <c r="M2269" s="1"/>
      <c r="N2269" s="1"/>
    </row>
    <row r="2270" ht="15.75" customHeight="1">
      <c r="A2270" t="s">
        <v>51</v>
      </c>
      <c r="B2270" t="s">
        <v>18</v>
      </c>
      <c r="C2270" t="s">
        <v>4914</v>
      </c>
      <c r="D2270" t="s">
        <v>2350</v>
      </c>
      <c r="E2270">
        <v>74189.056203717</v>
      </c>
      <c r="F2270">
        <v>25033.6451253822</v>
      </c>
      <c r="G2270">
        <v>18549.5044965574</v>
      </c>
      <c r="H2270">
        <v>15040.1176866504</v>
      </c>
      <c r="I2270">
        <v>117772.21</v>
      </c>
      <c r="J2270">
        <v>102732.09</v>
      </c>
      <c r="K2270" s="1"/>
      <c r="L2270" s="1"/>
      <c r="M2270" s="1"/>
      <c r="N2270" s="1"/>
    </row>
    <row r="2271" ht="15.75" customHeight="1">
      <c r="A2271" t="s">
        <v>51</v>
      </c>
      <c r="B2271" t="s">
        <v>14</v>
      </c>
      <c r="C2271" t="s">
        <v>4905</v>
      </c>
      <c r="D2271" t="s">
        <v>2351</v>
      </c>
      <c r="E2271">
        <v>74199.9391736232</v>
      </c>
      <c r="F2271">
        <v>25038.2598437096</v>
      </c>
      <c r="G2271">
        <v>18557.1844999869</v>
      </c>
      <c r="H2271">
        <v>15043.5152373377</v>
      </c>
      <c r="I2271">
        <v>117795.38</v>
      </c>
      <c r="J2271">
        <v>102751.86</v>
      </c>
      <c r="K2271" s="1"/>
      <c r="L2271" s="1"/>
      <c r="M2271" s="1"/>
      <c r="N2271" s="1"/>
    </row>
    <row r="2272" ht="15.75" customHeight="1">
      <c r="A2272" t="s">
        <v>13</v>
      </c>
      <c r="B2272" t="s">
        <v>26</v>
      </c>
      <c r="C2272" t="s">
        <v>4916</v>
      </c>
      <c r="D2272" t="s">
        <v>2352</v>
      </c>
      <c r="E2272">
        <v>74210.8221435294</v>
      </c>
      <c r="F2272">
        <v>25042.874562037</v>
      </c>
      <c r="G2272">
        <v>18564.8645034164</v>
      </c>
      <c r="H2272">
        <v>15046.912788025</v>
      </c>
      <c r="I2272">
        <v>117818.56</v>
      </c>
      <c r="J2272">
        <v>102771.65</v>
      </c>
      <c r="K2272" s="1"/>
      <c r="L2272" s="1"/>
      <c r="M2272" s="1"/>
      <c r="N2272" s="1"/>
    </row>
    <row r="2273" ht="15.75" customHeight="1">
      <c r="A2273" t="s">
        <v>29</v>
      </c>
      <c r="B2273" t="s">
        <v>26</v>
      </c>
      <c r="C2273" t="s">
        <v>4914</v>
      </c>
      <c r="D2273" t="s">
        <v>2353</v>
      </c>
      <c r="E2273">
        <v>74221.7051134356</v>
      </c>
      <c r="F2273">
        <v>25047.4892803644</v>
      </c>
      <c r="G2273">
        <v>18572.5445068459</v>
      </c>
      <c r="H2273">
        <v>15050.3103387123</v>
      </c>
      <c r="I2273">
        <v>117841.74</v>
      </c>
      <c r="J2273">
        <v>102791.43</v>
      </c>
      <c r="K2273" s="1"/>
      <c r="L2273" s="1"/>
      <c r="M2273" s="1"/>
      <c r="N2273" s="1"/>
    </row>
    <row r="2274" ht="15.75" customHeight="1">
      <c r="A2274" t="s">
        <v>17</v>
      </c>
      <c r="B2274" t="s">
        <v>26</v>
      </c>
      <c r="C2274" t="s">
        <v>4907</v>
      </c>
      <c r="D2274" t="s">
        <v>2354</v>
      </c>
      <c r="E2274">
        <v>74232.5880833418</v>
      </c>
      <c r="F2274">
        <v>25052.1039986918</v>
      </c>
      <c r="G2274">
        <v>18580.2245102754</v>
      </c>
      <c r="H2274">
        <v>15053.7078893996</v>
      </c>
      <c r="I2274">
        <v>117864.92</v>
      </c>
      <c r="J2274">
        <v>102811.21</v>
      </c>
      <c r="K2274" s="1"/>
      <c r="L2274" s="1"/>
      <c r="M2274" s="1"/>
      <c r="N2274" s="1"/>
    </row>
    <row r="2275" ht="15.75" customHeight="1">
      <c r="A2275" t="s">
        <v>53</v>
      </c>
      <c r="B2275" t="s">
        <v>30</v>
      </c>
      <c r="C2275" t="s">
        <v>4917</v>
      </c>
      <c r="D2275" t="s">
        <v>2355</v>
      </c>
      <c r="E2275">
        <v>74243.4710532479</v>
      </c>
      <c r="F2275">
        <v>25056.7187170193</v>
      </c>
      <c r="G2275">
        <v>18587.9045137049</v>
      </c>
      <c r="H2275">
        <v>15057.1054400869</v>
      </c>
      <c r="I2275">
        <v>117888.09</v>
      </c>
      <c r="J2275">
        <v>102830.98</v>
      </c>
      <c r="K2275" s="1"/>
      <c r="L2275" s="1"/>
      <c r="M2275" s="1"/>
      <c r="N2275" s="1"/>
    </row>
    <row r="2276" ht="15.75" customHeight="1">
      <c r="A2276" t="s">
        <v>53</v>
      </c>
      <c r="B2276" t="s">
        <v>54</v>
      </c>
      <c r="C2276" t="s">
        <v>4913</v>
      </c>
      <c r="D2276" t="s">
        <v>2356</v>
      </c>
      <c r="E2276">
        <v>74254.3540231541</v>
      </c>
      <c r="F2276">
        <v>25061.3334353467</v>
      </c>
      <c r="G2276">
        <v>18595.5845171344</v>
      </c>
      <c r="H2276">
        <v>15060.5029907742</v>
      </c>
      <c r="I2276">
        <v>117911.27</v>
      </c>
      <c r="J2276">
        <v>102850.77</v>
      </c>
      <c r="K2276" s="1"/>
      <c r="L2276" s="1"/>
      <c r="M2276" s="1"/>
      <c r="N2276" s="1"/>
    </row>
    <row r="2277" ht="15.75" customHeight="1">
      <c r="A2277" t="s">
        <v>53</v>
      </c>
      <c r="B2277" t="s">
        <v>33</v>
      </c>
      <c r="C2277" t="s">
        <v>4905</v>
      </c>
      <c r="D2277" t="s">
        <v>2357</v>
      </c>
      <c r="E2277">
        <v>74265.2369930603</v>
      </c>
      <c r="F2277">
        <v>25065.9481536741</v>
      </c>
      <c r="G2277">
        <v>18603.2645205639</v>
      </c>
      <c r="H2277">
        <v>15063.9005414614</v>
      </c>
      <c r="I2277">
        <v>117934.45</v>
      </c>
      <c r="J2277">
        <v>102870.55</v>
      </c>
      <c r="K2277" s="1"/>
      <c r="L2277" s="1"/>
      <c r="M2277" s="1"/>
      <c r="N2277" s="1"/>
    </row>
    <row r="2278" ht="15.75" customHeight="1">
      <c r="A2278" t="s">
        <v>29</v>
      </c>
      <c r="B2278" t="s">
        <v>14</v>
      </c>
      <c r="C2278" t="s">
        <v>4905</v>
      </c>
      <c r="D2278" t="s">
        <v>2358</v>
      </c>
      <c r="E2278">
        <v>74276.1199629665</v>
      </c>
      <c r="F2278">
        <v>25070.5628720015</v>
      </c>
      <c r="G2278">
        <v>18610.9445239934</v>
      </c>
      <c r="H2278">
        <v>15067.2980921487</v>
      </c>
      <c r="I2278">
        <v>117957.63</v>
      </c>
      <c r="J2278">
        <v>102890.33</v>
      </c>
      <c r="K2278" s="1"/>
      <c r="L2278" s="1"/>
      <c r="M2278" s="1"/>
      <c r="N2278" s="1"/>
    </row>
    <row r="2279" ht="15.75" customHeight="1">
      <c r="A2279" t="s">
        <v>17</v>
      </c>
      <c r="B2279" t="s">
        <v>33</v>
      </c>
      <c r="C2279" t="s">
        <v>4914</v>
      </c>
      <c r="D2279" t="s">
        <v>2359</v>
      </c>
      <c r="E2279">
        <v>74287.0029328727</v>
      </c>
      <c r="F2279">
        <v>25075.177590329</v>
      </c>
      <c r="G2279">
        <v>18618.6245274229</v>
      </c>
      <c r="H2279">
        <v>15070.695642836</v>
      </c>
      <c r="I2279">
        <v>117980.81</v>
      </c>
      <c r="J2279">
        <v>102910.11</v>
      </c>
      <c r="K2279" s="1"/>
      <c r="L2279" s="1"/>
      <c r="M2279" s="1"/>
      <c r="N2279" s="1"/>
    </row>
    <row r="2280" ht="15.75" customHeight="1">
      <c r="A2280" t="s">
        <v>36</v>
      </c>
      <c r="B2280" t="s">
        <v>26</v>
      </c>
      <c r="C2280" t="s">
        <v>4908</v>
      </c>
      <c r="D2280" t="s">
        <v>2360</v>
      </c>
      <c r="E2280">
        <v>74297.8859027789</v>
      </c>
      <c r="F2280">
        <v>25079.7923086564</v>
      </c>
      <c r="G2280">
        <v>18626.3045308524</v>
      </c>
      <c r="H2280">
        <v>15074.0931935233</v>
      </c>
      <c r="I2280">
        <v>118003.98</v>
      </c>
      <c r="J2280">
        <v>102929.89</v>
      </c>
      <c r="K2280" s="1"/>
      <c r="L2280" s="1"/>
      <c r="M2280" s="1"/>
      <c r="N2280" s="1"/>
    </row>
    <row r="2281" ht="15.75" customHeight="1">
      <c r="A2281" t="s">
        <v>53</v>
      </c>
      <c r="B2281" t="s">
        <v>33</v>
      </c>
      <c r="C2281" t="s">
        <v>4910</v>
      </c>
      <c r="D2281" t="s">
        <v>2361</v>
      </c>
      <c r="E2281">
        <v>74308.7688726851</v>
      </c>
      <c r="F2281">
        <v>25084.4070269838</v>
      </c>
      <c r="G2281">
        <v>18633.9845342819</v>
      </c>
      <c r="H2281">
        <v>15077.4907442106</v>
      </c>
      <c r="I2281">
        <v>118027.16</v>
      </c>
      <c r="J2281">
        <v>102949.67</v>
      </c>
      <c r="K2281" s="1"/>
      <c r="L2281" s="1"/>
      <c r="M2281" s="1"/>
      <c r="N2281" s="1"/>
    </row>
    <row r="2282" ht="15.75" customHeight="1">
      <c r="A2282" t="s">
        <v>25</v>
      </c>
      <c r="B2282" t="s">
        <v>37</v>
      </c>
      <c r="C2282" t="s">
        <v>4916</v>
      </c>
      <c r="D2282" t="s">
        <v>2362</v>
      </c>
      <c r="E2282">
        <v>74319.6518425913</v>
      </c>
      <c r="F2282">
        <v>25089.0217453112</v>
      </c>
      <c r="G2282">
        <v>18641.6645377114</v>
      </c>
      <c r="H2282">
        <v>15080.8882948979</v>
      </c>
      <c r="I2282">
        <v>118050.34</v>
      </c>
      <c r="J2282">
        <v>102969.45</v>
      </c>
      <c r="K2282" s="1"/>
      <c r="L2282" s="1"/>
      <c r="M2282" s="1"/>
      <c r="N2282" s="1"/>
    </row>
    <row r="2283" ht="15.75" customHeight="1">
      <c r="A2283" t="s">
        <v>51</v>
      </c>
      <c r="B2283" t="s">
        <v>18</v>
      </c>
      <c r="C2283" t="s">
        <v>4916</v>
      </c>
      <c r="D2283" t="s">
        <v>2363</v>
      </c>
      <c r="E2283">
        <v>74330.5348124975</v>
      </c>
      <c r="F2283">
        <v>25093.6364636386</v>
      </c>
      <c r="G2283">
        <v>18649.3445411409</v>
      </c>
      <c r="H2283">
        <v>15084.2858455852</v>
      </c>
      <c r="I2283">
        <v>118073.52</v>
      </c>
      <c r="J2283">
        <v>102989.23</v>
      </c>
      <c r="K2283" s="1"/>
      <c r="L2283" s="1"/>
      <c r="M2283" s="1"/>
      <c r="N2283" s="1"/>
    </row>
    <row r="2284" ht="15.75" customHeight="1">
      <c r="A2284" t="s">
        <v>17</v>
      </c>
      <c r="B2284" t="s">
        <v>26</v>
      </c>
      <c r="C2284" t="s">
        <v>4913</v>
      </c>
      <c r="D2284" t="s">
        <v>2364</v>
      </c>
      <c r="E2284">
        <v>74341.4177824037</v>
      </c>
      <c r="F2284">
        <v>25098.2511819661</v>
      </c>
      <c r="G2284">
        <v>18657.0245445704</v>
      </c>
      <c r="H2284">
        <v>15087.6833962725</v>
      </c>
      <c r="I2284">
        <v>118096.69</v>
      </c>
      <c r="J2284">
        <v>103009.01</v>
      </c>
      <c r="K2284" s="1"/>
      <c r="L2284" s="1"/>
      <c r="M2284" s="1"/>
      <c r="N2284" s="1"/>
    </row>
    <row r="2285" ht="15.75" customHeight="1">
      <c r="A2285" t="s">
        <v>17</v>
      </c>
      <c r="B2285" t="s">
        <v>26</v>
      </c>
      <c r="C2285" t="s">
        <v>4907</v>
      </c>
      <c r="D2285" t="s">
        <v>2365</v>
      </c>
      <c r="E2285">
        <v>74352.3007523099</v>
      </c>
      <c r="F2285">
        <v>25102.8659002935</v>
      </c>
      <c r="G2285">
        <v>18664.7045479999</v>
      </c>
      <c r="H2285">
        <v>15091.0809469597</v>
      </c>
      <c r="I2285">
        <v>118119.87</v>
      </c>
      <c r="J2285">
        <v>103028.79</v>
      </c>
      <c r="K2285" s="1"/>
      <c r="L2285" s="1"/>
      <c r="M2285" s="1"/>
      <c r="N2285" s="1"/>
    </row>
    <row r="2286" ht="15.75" customHeight="1">
      <c r="A2286" t="s">
        <v>17</v>
      </c>
      <c r="B2286" t="s">
        <v>26</v>
      </c>
      <c r="C2286" t="s">
        <v>4905</v>
      </c>
      <c r="D2286" t="s">
        <v>2366</v>
      </c>
      <c r="E2286">
        <v>74363.1837222161</v>
      </c>
      <c r="F2286">
        <v>25107.4806186209</v>
      </c>
      <c r="G2286">
        <v>18672.3845514294</v>
      </c>
      <c r="H2286">
        <v>15094.478497647</v>
      </c>
      <c r="I2286">
        <v>118143.05</v>
      </c>
      <c r="J2286">
        <v>103048.57</v>
      </c>
      <c r="K2286" s="1"/>
      <c r="L2286" s="1"/>
      <c r="M2286" s="1"/>
      <c r="N2286" s="1"/>
    </row>
    <row r="2287" ht="15.75" customHeight="1">
      <c r="A2287" t="s">
        <v>17</v>
      </c>
      <c r="B2287" t="s">
        <v>33</v>
      </c>
      <c r="C2287" t="s">
        <v>4907</v>
      </c>
      <c r="D2287" t="s">
        <v>2367</v>
      </c>
      <c r="E2287">
        <v>74374.0666921223</v>
      </c>
      <c r="F2287">
        <v>25112.0953369483</v>
      </c>
      <c r="G2287">
        <v>18680.0645548589</v>
      </c>
      <c r="H2287">
        <v>15097.8760483343</v>
      </c>
      <c r="I2287">
        <v>118166.23</v>
      </c>
      <c r="J2287">
        <v>103068.35</v>
      </c>
      <c r="K2287" s="1"/>
      <c r="L2287" s="1"/>
      <c r="M2287" s="1"/>
      <c r="N2287" s="1"/>
    </row>
    <row r="2288" ht="15.75" customHeight="1">
      <c r="A2288" t="s">
        <v>13</v>
      </c>
      <c r="B2288" t="s">
        <v>33</v>
      </c>
      <c r="C2288" t="s">
        <v>4908</v>
      </c>
      <c r="D2288" t="s">
        <v>2368</v>
      </c>
      <c r="E2288">
        <v>74384.9496620285</v>
      </c>
      <c r="F2288">
        <v>25116.7100552758</v>
      </c>
      <c r="G2288">
        <v>18687.7445582884</v>
      </c>
      <c r="H2288">
        <v>15101.2735990216</v>
      </c>
      <c r="I2288">
        <v>118189.4</v>
      </c>
      <c r="J2288">
        <v>103088.13</v>
      </c>
      <c r="K2288" s="1"/>
      <c r="L2288" s="1"/>
      <c r="M2288" s="1"/>
      <c r="N2288" s="1"/>
    </row>
    <row r="2289" ht="15.75" customHeight="1">
      <c r="A2289" t="s">
        <v>17</v>
      </c>
      <c r="B2289" t="s">
        <v>54</v>
      </c>
      <c r="C2289" t="s">
        <v>4910</v>
      </c>
      <c r="D2289" t="s">
        <v>2369</v>
      </c>
      <c r="E2289">
        <v>74395.8326319347</v>
      </c>
      <c r="F2289">
        <v>25121.3247736032</v>
      </c>
      <c r="G2289">
        <v>18695.4245617179</v>
      </c>
      <c r="H2289">
        <v>15104.6711497089</v>
      </c>
      <c r="I2289">
        <v>118212.58</v>
      </c>
      <c r="J2289">
        <v>103107.91</v>
      </c>
      <c r="K2289" s="1"/>
      <c r="L2289" s="1"/>
      <c r="M2289" s="1"/>
      <c r="N2289" s="1"/>
    </row>
    <row r="2290" ht="15.75" customHeight="1">
      <c r="A2290" t="s">
        <v>17</v>
      </c>
      <c r="B2290" t="s">
        <v>30</v>
      </c>
      <c r="C2290" t="s">
        <v>4912</v>
      </c>
      <c r="D2290" t="s">
        <v>2370</v>
      </c>
      <c r="E2290">
        <v>74406.7156018408</v>
      </c>
      <c r="F2290">
        <v>25125.9394919306</v>
      </c>
      <c r="G2290">
        <v>18703.1045651474</v>
      </c>
      <c r="H2290">
        <v>15108.0687003962</v>
      </c>
      <c r="I2290">
        <v>118235.76</v>
      </c>
      <c r="J2290">
        <v>103127.69</v>
      </c>
      <c r="K2290" s="1"/>
      <c r="L2290" s="1"/>
      <c r="M2290" s="1"/>
      <c r="N2290" s="1"/>
    </row>
    <row r="2291" ht="15.75" customHeight="1">
      <c r="A2291" t="s">
        <v>13</v>
      </c>
      <c r="B2291" t="s">
        <v>33</v>
      </c>
      <c r="C2291" t="s">
        <v>4913</v>
      </c>
      <c r="D2291" t="s">
        <v>2371</v>
      </c>
      <c r="E2291">
        <v>74417.598571747</v>
      </c>
      <c r="F2291">
        <v>25130.554210258</v>
      </c>
      <c r="G2291">
        <v>18710.7845685769</v>
      </c>
      <c r="H2291">
        <v>15111.4662510835</v>
      </c>
      <c r="I2291">
        <v>118258.94</v>
      </c>
      <c r="J2291">
        <v>103147.47</v>
      </c>
      <c r="K2291" s="1"/>
      <c r="L2291" s="1"/>
      <c r="M2291" s="1"/>
      <c r="N2291" s="1"/>
    </row>
    <row r="2292" ht="15.75" customHeight="1">
      <c r="A2292" t="s">
        <v>25</v>
      </c>
      <c r="B2292" t="s">
        <v>30</v>
      </c>
      <c r="C2292" t="s">
        <v>4905</v>
      </c>
      <c r="D2292" t="s">
        <v>2372</v>
      </c>
      <c r="E2292">
        <v>74428.4815416532</v>
      </c>
      <c r="F2292">
        <v>25135.1689285854</v>
      </c>
      <c r="G2292">
        <v>18718.4645720064</v>
      </c>
      <c r="H2292">
        <v>15114.8638017707</v>
      </c>
      <c r="I2292">
        <v>118282.12</v>
      </c>
      <c r="J2292">
        <v>103167.26</v>
      </c>
      <c r="K2292" s="1"/>
      <c r="L2292" s="1"/>
      <c r="M2292" s="1"/>
      <c r="N2292" s="1"/>
    </row>
    <row r="2293" ht="15.75" customHeight="1">
      <c r="A2293" t="s">
        <v>29</v>
      </c>
      <c r="B2293" t="s">
        <v>14</v>
      </c>
      <c r="C2293" t="s">
        <v>4910</v>
      </c>
      <c r="D2293" t="s">
        <v>2373</v>
      </c>
      <c r="E2293">
        <v>20500.0</v>
      </c>
      <c r="F2293">
        <v>25139.7836469129</v>
      </c>
      <c r="G2293">
        <v>18726.1445754359</v>
      </c>
      <c r="H2293">
        <v>15118.261352458</v>
      </c>
      <c r="I2293">
        <v>64365.93</v>
      </c>
      <c r="J2293">
        <v>49247.67</v>
      </c>
      <c r="K2293" s="1"/>
      <c r="L2293" s="1"/>
      <c r="M2293" s="1"/>
      <c r="N2293" s="1"/>
    </row>
    <row r="2294" ht="15.75" customHeight="1">
      <c r="A2294" t="s">
        <v>17</v>
      </c>
      <c r="B2294" t="s">
        <v>18</v>
      </c>
      <c r="C2294" t="s">
        <v>4905</v>
      </c>
      <c r="D2294" t="s">
        <v>2374</v>
      </c>
      <c r="E2294">
        <v>21000.0</v>
      </c>
      <c r="F2294">
        <v>25144.3983652403</v>
      </c>
      <c r="G2294">
        <v>18733.8245788654</v>
      </c>
      <c r="H2294">
        <v>15121.6589031453</v>
      </c>
      <c r="I2294">
        <v>64878.22</v>
      </c>
      <c r="J2294">
        <v>49756.56</v>
      </c>
      <c r="K2294" s="1"/>
      <c r="L2294" s="1"/>
      <c r="M2294" s="1"/>
      <c r="N2294" s="1"/>
    </row>
    <row r="2295" ht="15.75" customHeight="1">
      <c r="A2295" t="s">
        <v>36</v>
      </c>
      <c r="B2295" t="s">
        <v>18</v>
      </c>
      <c r="C2295" t="s">
        <v>4908</v>
      </c>
      <c r="D2295" t="s">
        <v>2375</v>
      </c>
      <c r="E2295">
        <v>21500.0</v>
      </c>
      <c r="F2295">
        <v>25149.0130835677</v>
      </c>
      <c r="G2295">
        <v>18741.5045822948</v>
      </c>
      <c r="H2295">
        <v>15125.0564538326</v>
      </c>
      <c r="I2295">
        <v>65390.52</v>
      </c>
      <c r="J2295">
        <v>50265.46</v>
      </c>
      <c r="K2295" s="1"/>
      <c r="L2295" s="1"/>
      <c r="M2295" s="1"/>
      <c r="N2295" s="1"/>
    </row>
    <row r="2296" ht="15.75" customHeight="1">
      <c r="A2296" t="s">
        <v>25</v>
      </c>
      <c r="B2296" t="s">
        <v>14</v>
      </c>
      <c r="C2296" t="s">
        <v>4911</v>
      </c>
      <c r="D2296" t="s">
        <v>2376</v>
      </c>
      <c r="E2296">
        <v>21500.0</v>
      </c>
      <c r="F2296">
        <v>25153.6278018951</v>
      </c>
      <c r="G2296">
        <v>18749.1845857243</v>
      </c>
      <c r="H2296">
        <v>15128.4540045199</v>
      </c>
      <c r="I2296">
        <v>65402.81</v>
      </c>
      <c r="J2296">
        <v>50274.36</v>
      </c>
      <c r="K2296" s="1"/>
      <c r="L2296" s="1"/>
      <c r="M2296" s="1"/>
      <c r="N2296" s="1"/>
    </row>
    <row r="2297" ht="15.75" customHeight="1">
      <c r="A2297" t="s">
        <v>17</v>
      </c>
      <c r="B2297" t="s">
        <v>33</v>
      </c>
      <c r="C2297" t="s">
        <v>4917</v>
      </c>
      <c r="D2297" t="s">
        <v>2377</v>
      </c>
      <c r="E2297">
        <v>240200.0</v>
      </c>
      <c r="F2297">
        <v>25158.2425202225</v>
      </c>
      <c r="G2297">
        <v>18756.8645891538</v>
      </c>
      <c r="H2297">
        <v>15131.8515552072</v>
      </c>
      <c r="I2297">
        <v>284115.11</v>
      </c>
      <c r="J2297">
        <v>268983.26</v>
      </c>
      <c r="K2297" s="1"/>
      <c r="L2297" s="1"/>
      <c r="M2297" s="1"/>
      <c r="N2297" s="1"/>
    </row>
    <row r="2298" ht="15.75" customHeight="1">
      <c r="A2298" t="s">
        <v>25</v>
      </c>
      <c r="B2298" t="s">
        <v>37</v>
      </c>
      <c r="C2298" t="s">
        <v>4914</v>
      </c>
      <c r="D2298" t="s">
        <v>2378</v>
      </c>
      <c r="E2298">
        <v>74439.3645115594</v>
      </c>
      <c r="F2298">
        <v>25162.85723855</v>
      </c>
      <c r="G2298">
        <v>18764.5445925833</v>
      </c>
      <c r="H2298">
        <v>15135.2491058945</v>
      </c>
      <c r="I2298">
        <v>118366.77</v>
      </c>
      <c r="J2298">
        <v>103231.52</v>
      </c>
      <c r="K2298" s="1"/>
      <c r="L2298" s="1"/>
      <c r="M2298" s="1"/>
      <c r="N2298" s="1"/>
    </row>
    <row r="2299" ht="15.75" customHeight="1">
      <c r="A2299" t="s">
        <v>29</v>
      </c>
      <c r="B2299" t="s">
        <v>54</v>
      </c>
      <c r="C2299" t="s">
        <v>4917</v>
      </c>
      <c r="D2299" t="s">
        <v>2379</v>
      </c>
      <c r="E2299">
        <v>74450.2474814656</v>
      </c>
      <c r="F2299">
        <v>25167.4719568774</v>
      </c>
      <c r="G2299">
        <v>18772.2245960128</v>
      </c>
      <c r="H2299">
        <v>15138.6466565818</v>
      </c>
      <c r="I2299">
        <v>118389.94</v>
      </c>
      <c r="J2299">
        <v>103251.29</v>
      </c>
      <c r="K2299" s="1"/>
      <c r="L2299" s="1"/>
      <c r="M2299" s="1"/>
      <c r="N2299" s="1"/>
    </row>
    <row r="2300" ht="15.75" customHeight="1">
      <c r="A2300" t="s">
        <v>17</v>
      </c>
      <c r="B2300" t="s">
        <v>33</v>
      </c>
      <c r="C2300" t="s">
        <v>4912</v>
      </c>
      <c r="D2300" t="s">
        <v>2380</v>
      </c>
      <c r="E2300">
        <v>74461.1304513718</v>
      </c>
      <c r="F2300">
        <v>25172.0866752048</v>
      </c>
      <c r="G2300">
        <v>18779.9045994423</v>
      </c>
      <c r="H2300">
        <v>15142.044207269</v>
      </c>
      <c r="I2300">
        <v>118413.12</v>
      </c>
      <c r="J2300">
        <v>103271.08</v>
      </c>
      <c r="K2300" s="1"/>
      <c r="L2300" s="1"/>
      <c r="M2300" s="1"/>
      <c r="N2300" s="1"/>
    </row>
    <row r="2301" ht="15.75" customHeight="1">
      <c r="A2301" t="s">
        <v>36</v>
      </c>
      <c r="B2301" t="s">
        <v>26</v>
      </c>
      <c r="C2301" t="s">
        <v>4905</v>
      </c>
      <c r="D2301" t="s">
        <v>2381</v>
      </c>
      <c r="E2301">
        <v>74472.013421278</v>
      </c>
      <c r="F2301">
        <v>25176.7013935322</v>
      </c>
      <c r="G2301">
        <v>18787.5846028718</v>
      </c>
      <c r="H2301">
        <v>15145.4417579563</v>
      </c>
      <c r="I2301">
        <v>118436.3</v>
      </c>
      <c r="J2301">
        <v>103290.86</v>
      </c>
      <c r="K2301" s="1"/>
      <c r="L2301" s="1"/>
      <c r="M2301" s="1"/>
      <c r="N2301" s="1"/>
    </row>
    <row r="2302" ht="15.75" customHeight="1">
      <c r="A2302" t="s">
        <v>29</v>
      </c>
      <c r="B2302" t="s">
        <v>37</v>
      </c>
      <c r="C2302" t="s">
        <v>4914</v>
      </c>
      <c r="D2302" t="s">
        <v>2382</v>
      </c>
      <c r="E2302">
        <v>74482.8963911842</v>
      </c>
      <c r="F2302">
        <v>25181.3161118597</v>
      </c>
      <c r="G2302">
        <v>18795.2646063013</v>
      </c>
      <c r="H2302">
        <v>15148.8393086436</v>
      </c>
      <c r="I2302">
        <v>118459.48</v>
      </c>
      <c r="J2302">
        <v>103310.64</v>
      </c>
      <c r="K2302" s="1"/>
      <c r="L2302" s="1"/>
      <c r="M2302" s="1"/>
      <c r="N2302" s="1"/>
    </row>
    <row r="2303" ht="15.75" customHeight="1">
      <c r="A2303" t="s">
        <v>36</v>
      </c>
      <c r="B2303" t="s">
        <v>30</v>
      </c>
      <c r="C2303" t="s">
        <v>4905</v>
      </c>
      <c r="D2303" t="s">
        <v>2383</v>
      </c>
      <c r="E2303">
        <v>74493.7793610904</v>
      </c>
      <c r="F2303">
        <v>25185.9308301871</v>
      </c>
      <c r="G2303">
        <v>18802.9446097308</v>
      </c>
      <c r="H2303">
        <v>15152.2368593309</v>
      </c>
      <c r="I2303">
        <v>118482.65</v>
      </c>
      <c r="J2303">
        <v>103330.41</v>
      </c>
      <c r="K2303" s="1"/>
      <c r="L2303" s="1"/>
      <c r="M2303" s="1"/>
      <c r="N2303" s="1"/>
    </row>
    <row r="2304" ht="15.75" customHeight="1">
      <c r="A2304" t="s">
        <v>29</v>
      </c>
      <c r="B2304" t="s">
        <v>26</v>
      </c>
      <c r="C2304" t="s">
        <v>4911</v>
      </c>
      <c r="D2304" t="s">
        <v>2384</v>
      </c>
      <c r="E2304">
        <v>74504.6623309966</v>
      </c>
      <c r="F2304">
        <v>25190.5455485145</v>
      </c>
      <c r="G2304">
        <v>18810.6246131603</v>
      </c>
      <c r="H2304">
        <v>15155.6344100182</v>
      </c>
      <c r="I2304">
        <v>118505.83</v>
      </c>
      <c r="J2304">
        <v>103350.2</v>
      </c>
      <c r="K2304" s="1"/>
      <c r="L2304" s="1"/>
      <c r="M2304" s="1"/>
      <c r="N2304" s="1"/>
    </row>
    <row r="2305" ht="15.75" customHeight="1">
      <c r="A2305" t="s">
        <v>51</v>
      </c>
      <c r="B2305" t="s">
        <v>18</v>
      </c>
      <c r="C2305" t="s">
        <v>4917</v>
      </c>
      <c r="D2305" t="s">
        <v>2385</v>
      </c>
      <c r="E2305">
        <v>74515.5453009028</v>
      </c>
      <c r="F2305">
        <v>25195.1602668419</v>
      </c>
      <c r="G2305">
        <v>18818.3046165898</v>
      </c>
      <c r="H2305">
        <v>15159.0319607055</v>
      </c>
      <c r="I2305">
        <v>118529.01</v>
      </c>
      <c r="J2305">
        <v>103369.98</v>
      </c>
      <c r="K2305" s="1"/>
      <c r="L2305" s="1"/>
      <c r="M2305" s="1"/>
      <c r="N2305" s="1"/>
    </row>
    <row r="2306" ht="15.75" customHeight="1">
      <c r="A2306" t="s">
        <v>53</v>
      </c>
      <c r="B2306" t="s">
        <v>37</v>
      </c>
      <c r="C2306" t="s">
        <v>4916</v>
      </c>
      <c r="D2306" t="s">
        <v>2386</v>
      </c>
      <c r="E2306">
        <v>74526.428270809</v>
      </c>
      <c r="F2306">
        <v>25199.7749851693</v>
      </c>
      <c r="G2306">
        <v>18825.9846200193</v>
      </c>
      <c r="H2306">
        <v>14765.30618879032</v>
      </c>
      <c r="I2306">
        <v>118552.19</v>
      </c>
      <c r="J2306">
        <v>103786.88</v>
      </c>
      <c r="K2306" s="1"/>
      <c r="L2306" s="1"/>
      <c r="M2306" s="1"/>
      <c r="N2306" s="1"/>
    </row>
    <row r="2307" ht="15.75" customHeight="1">
      <c r="A2307" t="s">
        <v>53</v>
      </c>
      <c r="B2307" t="s">
        <v>26</v>
      </c>
      <c r="C2307" t="s">
        <v>4917</v>
      </c>
      <c r="D2307" t="s">
        <v>2387</v>
      </c>
      <c r="E2307">
        <v>74537.3112407152</v>
      </c>
      <c r="F2307">
        <v>25204.3897034968</v>
      </c>
      <c r="G2307">
        <v>18833.6646234488</v>
      </c>
      <c r="H2307">
        <v>15165.8270620801</v>
      </c>
      <c r="I2307">
        <v>118575.37</v>
      </c>
      <c r="J2307">
        <v>103409.54</v>
      </c>
      <c r="K2307" s="1"/>
      <c r="L2307" s="1"/>
      <c r="M2307" s="1"/>
      <c r="N2307" s="1"/>
    </row>
    <row r="2308" ht="15.75" customHeight="1">
      <c r="A2308" t="s">
        <v>51</v>
      </c>
      <c r="B2308" t="s">
        <v>18</v>
      </c>
      <c r="C2308" t="s">
        <v>4917</v>
      </c>
      <c r="D2308" t="s">
        <v>2388</v>
      </c>
      <c r="E2308">
        <v>74548.1942106214</v>
      </c>
      <c r="F2308">
        <v>25209.0044218242</v>
      </c>
      <c r="G2308">
        <v>18841.3446268783</v>
      </c>
      <c r="H2308">
        <v>15169.2246127673</v>
      </c>
      <c r="I2308">
        <v>118598.54</v>
      </c>
      <c r="J2308">
        <v>103429.32</v>
      </c>
      <c r="K2308" s="1"/>
      <c r="L2308" s="1"/>
      <c r="M2308" s="1"/>
      <c r="N2308" s="1"/>
    </row>
    <row r="2309" ht="15.75" customHeight="1">
      <c r="A2309" t="s">
        <v>36</v>
      </c>
      <c r="B2309" t="s">
        <v>37</v>
      </c>
      <c r="C2309" t="s">
        <v>4905</v>
      </c>
      <c r="D2309" t="s">
        <v>2389</v>
      </c>
      <c r="E2309">
        <v>74559.0771805276</v>
      </c>
      <c r="F2309">
        <v>25213.6191401516</v>
      </c>
      <c r="G2309">
        <v>18849.0246303078</v>
      </c>
      <c r="H2309">
        <v>15172.6221634546</v>
      </c>
      <c r="I2309">
        <v>118621.72</v>
      </c>
      <c r="J2309">
        <v>103449.1</v>
      </c>
      <c r="K2309" s="1"/>
      <c r="L2309" s="1"/>
      <c r="M2309" s="1"/>
      <c r="N2309" s="1"/>
    </row>
    <row r="2310" ht="15.75" customHeight="1">
      <c r="A2310" t="s">
        <v>13</v>
      </c>
      <c r="B2310" t="s">
        <v>33</v>
      </c>
      <c r="C2310" t="s">
        <v>4909</v>
      </c>
      <c r="D2310" t="s">
        <v>2390</v>
      </c>
      <c r="E2310">
        <v>74569.9601504337</v>
      </c>
      <c r="F2310">
        <v>25218.233858479</v>
      </c>
      <c r="G2310">
        <v>18856.7046337373</v>
      </c>
      <c r="H2310">
        <v>15176.0197141419</v>
      </c>
      <c r="I2310">
        <v>118644.9</v>
      </c>
      <c r="J2310">
        <v>103468.88</v>
      </c>
      <c r="K2310" s="1"/>
      <c r="L2310" s="1"/>
      <c r="M2310" s="1"/>
      <c r="N2310" s="1"/>
    </row>
    <row r="2311" ht="15.75" customHeight="1">
      <c r="A2311" t="s">
        <v>29</v>
      </c>
      <c r="B2311" t="s">
        <v>14</v>
      </c>
      <c r="C2311" t="s">
        <v>4911</v>
      </c>
      <c r="D2311" t="s">
        <v>2391</v>
      </c>
      <c r="E2311">
        <v>74580.8431203399</v>
      </c>
      <c r="F2311">
        <v>25222.8485768065</v>
      </c>
      <c r="G2311">
        <v>18864.3846371668</v>
      </c>
      <c r="H2311">
        <v>15179.4172648292</v>
      </c>
      <c r="I2311">
        <v>118668.08</v>
      </c>
      <c r="J2311">
        <v>103488.66</v>
      </c>
      <c r="K2311" s="1"/>
      <c r="L2311" s="1"/>
      <c r="M2311" s="1"/>
      <c r="N2311" s="1"/>
    </row>
    <row r="2312" ht="15.75" customHeight="1">
      <c r="A2312" t="s">
        <v>13</v>
      </c>
      <c r="B2312" t="s">
        <v>33</v>
      </c>
      <c r="C2312" t="s">
        <v>4907</v>
      </c>
      <c r="D2312" t="s">
        <v>2392</v>
      </c>
      <c r="E2312">
        <v>74591.7260902461</v>
      </c>
      <c r="F2312">
        <v>25227.4632951339</v>
      </c>
      <c r="G2312">
        <v>18872.0646405963</v>
      </c>
      <c r="H2312">
        <v>15182.8148155165</v>
      </c>
      <c r="I2312">
        <v>118691.25</v>
      </c>
      <c r="J2312">
        <v>103508.44</v>
      </c>
      <c r="K2312" s="1"/>
      <c r="L2312" s="1"/>
      <c r="M2312" s="1"/>
      <c r="N2312" s="1"/>
    </row>
    <row r="2313" ht="15.75" customHeight="1">
      <c r="A2313" t="s">
        <v>25</v>
      </c>
      <c r="B2313" t="s">
        <v>33</v>
      </c>
      <c r="C2313" t="s">
        <v>4910</v>
      </c>
      <c r="D2313" t="s">
        <v>2393</v>
      </c>
      <c r="E2313">
        <v>74602.6090601523</v>
      </c>
      <c r="F2313">
        <v>25232.0780134613</v>
      </c>
      <c r="G2313">
        <v>18879.7446440258</v>
      </c>
      <c r="H2313">
        <v>15186.2123662038</v>
      </c>
      <c r="I2313">
        <v>118714.43</v>
      </c>
      <c r="J2313">
        <v>103528.22</v>
      </c>
      <c r="K2313" s="1"/>
      <c r="L2313" s="1"/>
      <c r="M2313" s="1"/>
      <c r="N2313" s="1"/>
    </row>
    <row r="2314" ht="15.75" customHeight="1">
      <c r="A2314" t="s">
        <v>29</v>
      </c>
      <c r="B2314" t="s">
        <v>33</v>
      </c>
      <c r="C2314" t="s">
        <v>4905</v>
      </c>
      <c r="D2314" t="s">
        <v>2394</v>
      </c>
      <c r="E2314">
        <v>74613.4920300585</v>
      </c>
      <c r="F2314">
        <v>25236.6927317887</v>
      </c>
      <c r="G2314">
        <v>18887.4246474553</v>
      </c>
      <c r="H2314">
        <v>15189.6099168911</v>
      </c>
      <c r="I2314">
        <v>118737.61</v>
      </c>
      <c r="J2314">
        <v>103548.0</v>
      </c>
      <c r="K2314" s="1"/>
      <c r="L2314" s="1"/>
      <c r="M2314" s="1"/>
      <c r="N2314" s="1"/>
    </row>
    <row r="2315" ht="15.75" customHeight="1">
      <c r="A2315" t="s">
        <v>53</v>
      </c>
      <c r="B2315" t="s">
        <v>14</v>
      </c>
      <c r="C2315" t="s">
        <v>4911</v>
      </c>
      <c r="D2315" t="s">
        <v>2395</v>
      </c>
      <c r="E2315">
        <v>74624.3749999647</v>
      </c>
      <c r="F2315">
        <v>25241.3074501161</v>
      </c>
      <c r="G2315">
        <v>18895.1046508848</v>
      </c>
      <c r="H2315">
        <v>15193.0074675783</v>
      </c>
      <c r="I2315">
        <v>118760.79</v>
      </c>
      <c r="J2315">
        <v>103567.78</v>
      </c>
      <c r="K2315" s="1"/>
      <c r="L2315" s="1"/>
      <c r="M2315" s="1"/>
      <c r="N2315" s="1"/>
    </row>
    <row r="2316" ht="15.75" customHeight="1">
      <c r="A2316" t="s">
        <v>51</v>
      </c>
      <c r="B2316" t="s">
        <v>30</v>
      </c>
      <c r="C2316" t="s">
        <v>4916</v>
      </c>
      <c r="D2316" t="s">
        <v>2396</v>
      </c>
      <c r="E2316">
        <v>74635.2579698709</v>
      </c>
      <c r="F2316">
        <v>25245.9221684436</v>
      </c>
      <c r="G2316">
        <v>18902.7846543143</v>
      </c>
      <c r="H2316">
        <v>15196.4050182656</v>
      </c>
      <c r="I2316">
        <v>118783.96</v>
      </c>
      <c r="J2316">
        <v>103587.55</v>
      </c>
      <c r="K2316" s="1"/>
      <c r="L2316" s="1"/>
      <c r="M2316" s="1"/>
      <c r="N2316" s="1"/>
    </row>
    <row r="2317" ht="15.75" customHeight="1">
      <c r="A2317" t="s">
        <v>36</v>
      </c>
      <c r="B2317" t="s">
        <v>30</v>
      </c>
      <c r="C2317" t="s">
        <v>4905</v>
      </c>
      <c r="D2317" t="s">
        <v>2397</v>
      </c>
      <c r="E2317">
        <v>74646.1409397771</v>
      </c>
      <c r="F2317">
        <v>25250.536886771</v>
      </c>
      <c r="G2317">
        <v>18910.4646577438</v>
      </c>
      <c r="H2317">
        <v>15199.8025689529</v>
      </c>
      <c r="I2317">
        <v>118807.14</v>
      </c>
      <c r="J2317">
        <v>103607.34</v>
      </c>
      <c r="K2317" s="1"/>
      <c r="L2317" s="1"/>
      <c r="M2317" s="1"/>
      <c r="N2317" s="1"/>
    </row>
    <row r="2318" ht="15.75" customHeight="1">
      <c r="A2318" t="s">
        <v>13</v>
      </c>
      <c r="B2318" t="s">
        <v>14</v>
      </c>
      <c r="C2318" t="s">
        <v>4915</v>
      </c>
      <c r="D2318" t="s">
        <v>2398</v>
      </c>
      <c r="E2318">
        <v>71656.69906138915</v>
      </c>
      <c r="F2318">
        <v>25255.1516050984</v>
      </c>
      <c r="G2318">
        <v>18918.1446611733</v>
      </c>
      <c r="H2318">
        <v>15203.2001196402</v>
      </c>
      <c r="I2318">
        <v>115830.0</v>
      </c>
      <c r="J2318">
        <v>100626.8</v>
      </c>
      <c r="K2318" s="1"/>
      <c r="L2318" s="1"/>
      <c r="M2318" s="1"/>
      <c r="N2318" s="1"/>
    </row>
    <row r="2319" ht="15.75" customHeight="1">
      <c r="A2319" t="s">
        <v>36</v>
      </c>
      <c r="B2319" t="s">
        <v>37</v>
      </c>
      <c r="C2319" t="s">
        <v>4915</v>
      </c>
      <c r="D2319" t="s">
        <v>2399</v>
      </c>
      <c r="E2319">
        <v>74667.9068795895</v>
      </c>
      <c r="F2319">
        <v>25259.7663234258</v>
      </c>
      <c r="G2319">
        <v>18925.8246646028</v>
      </c>
      <c r="H2319">
        <v>15206.5976703275</v>
      </c>
      <c r="I2319">
        <v>118853.5</v>
      </c>
      <c r="J2319">
        <v>103646.9</v>
      </c>
      <c r="K2319" s="1"/>
      <c r="L2319" s="1"/>
      <c r="M2319" s="1"/>
      <c r="N2319" s="1"/>
    </row>
    <row r="2320" ht="15.75" customHeight="1">
      <c r="A2320" t="s">
        <v>51</v>
      </c>
      <c r="B2320" t="s">
        <v>37</v>
      </c>
      <c r="C2320" t="s">
        <v>4916</v>
      </c>
      <c r="D2320" t="s">
        <v>2400</v>
      </c>
      <c r="E2320">
        <v>74700.5557893081</v>
      </c>
      <c r="F2320">
        <v>25273.6104784081</v>
      </c>
      <c r="G2320">
        <v>18948.8646748913</v>
      </c>
      <c r="H2320">
        <v>15216.7903223894</v>
      </c>
      <c r="I2320">
        <v>118923.03</v>
      </c>
      <c r="J2320">
        <v>103706.24</v>
      </c>
      <c r="K2320" s="1"/>
      <c r="L2320" s="1"/>
      <c r="M2320" s="1"/>
      <c r="N2320" s="1"/>
    </row>
    <row r="2321" ht="15.75" customHeight="1">
      <c r="A2321" t="s">
        <v>17</v>
      </c>
      <c r="B2321" t="s">
        <v>26</v>
      </c>
      <c r="C2321" t="s">
        <v>4909</v>
      </c>
      <c r="D2321" t="s">
        <v>2401</v>
      </c>
      <c r="E2321">
        <v>74711.4387592143</v>
      </c>
      <c r="F2321">
        <v>25278.2251967355</v>
      </c>
      <c r="G2321">
        <v>18956.5446783208</v>
      </c>
      <c r="H2321">
        <v>15220.1878730766</v>
      </c>
      <c r="I2321">
        <v>118946.21</v>
      </c>
      <c r="J2321">
        <v>103726.02</v>
      </c>
      <c r="K2321" s="1"/>
      <c r="L2321" s="1"/>
      <c r="M2321" s="1"/>
      <c r="N2321" s="1"/>
    </row>
    <row r="2322" ht="15.75" customHeight="1">
      <c r="A2322" t="s">
        <v>36</v>
      </c>
      <c r="B2322" t="s">
        <v>30</v>
      </c>
      <c r="C2322" t="s">
        <v>4907</v>
      </c>
      <c r="D2322" t="s">
        <v>2402</v>
      </c>
      <c r="E2322">
        <v>74722.3217291205</v>
      </c>
      <c r="F2322">
        <v>25282.8399150629</v>
      </c>
      <c r="G2322">
        <v>18964.2246817503</v>
      </c>
      <c r="H2322">
        <v>15223.5854237639</v>
      </c>
      <c r="I2322">
        <v>118969.39</v>
      </c>
      <c r="J2322">
        <v>103745.8</v>
      </c>
      <c r="K2322" s="1"/>
      <c r="L2322" s="1"/>
      <c r="M2322" s="1"/>
      <c r="N2322" s="1"/>
    </row>
    <row r="2323" ht="15.75" customHeight="1">
      <c r="A2323" t="s">
        <v>36</v>
      </c>
      <c r="B2323" t="s">
        <v>33</v>
      </c>
      <c r="C2323" t="s">
        <v>4912</v>
      </c>
      <c r="D2323" t="s">
        <v>2403</v>
      </c>
      <c r="E2323">
        <v>74733.2046990266</v>
      </c>
      <c r="F2323">
        <v>25287.4546333904</v>
      </c>
      <c r="G2323">
        <v>18971.9046851798</v>
      </c>
      <c r="H2323">
        <v>15226.9829744512</v>
      </c>
      <c r="I2323">
        <v>118992.56</v>
      </c>
      <c r="J2323">
        <v>103765.58</v>
      </c>
      <c r="K2323" s="1"/>
      <c r="L2323" s="1"/>
      <c r="M2323" s="1"/>
      <c r="N2323" s="1"/>
    </row>
    <row r="2324" ht="15.75" customHeight="1">
      <c r="A2324" t="s">
        <v>13</v>
      </c>
      <c r="B2324" t="s">
        <v>14</v>
      </c>
      <c r="C2324" t="s">
        <v>4911</v>
      </c>
      <c r="D2324" t="s">
        <v>2404</v>
      </c>
      <c r="E2324">
        <v>74744.0876689328</v>
      </c>
      <c r="F2324">
        <v>25292.0693517178</v>
      </c>
      <c r="G2324">
        <v>18979.5846886093</v>
      </c>
      <c r="H2324">
        <v>15230.3805251385</v>
      </c>
      <c r="I2324">
        <v>119015.74</v>
      </c>
      <c r="J2324">
        <v>103785.36</v>
      </c>
      <c r="K2324" s="1"/>
      <c r="L2324" s="1"/>
      <c r="M2324" s="1"/>
      <c r="N2324" s="1"/>
    </row>
    <row r="2325" ht="15.75" customHeight="1">
      <c r="A2325" t="s">
        <v>36</v>
      </c>
      <c r="B2325" t="s">
        <v>37</v>
      </c>
      <c r="C2325" t="s">
        <v>4911</v>
      </c>
      <c r="D2325" t="s">
        <v>2405</v>
      </c>
      <c r="E2325">
        <v>74776.7365786514</v>
      </c>
      <c r="F2325">
        <v>25305.9135067001</v>
      </c>
      <c r="G2325">
        <v>19002.6246988978</v>
      </c>
      <c r="H2325">
        <v>15240.5731772004</v>
      </c>
      <c r="I2325">
        <v>119085.27</v>
      </c>
      <c r="J2325">
        <v>103844.7</v>
      </c>
      <c r="K2325" s="1"/>
      <c r="L2325" s="1"/>
      <c r="M2325" s="1"/>
      <c r="N2325" s="1"/>
    </row>
    <row r="2326" ht="15.75" customHeight="1">
      <c r="A2326" t="s">
        <v>25</v>
      </c>
      <c r="B2326" t="s">
        <v>26</v>
      </c>
      <c r="C2326" t="s">
        <v>4911</v>
      </c>
      <c r="D2326" t="s">
        <v>2406</v>
      </c>
      <c r="E2326">
        <v>74787.6195485576</v>
      </c>
      <c r="F2326">
        <v>25310.5282250275</v>
      </c>
      <c r="G2326">
        <v>19010.3047023273</v>
      </c>
      <c r="H2326">
        <v>15243.9707278877</v>
      </c>
      <c r="I2326">
        <v>119108.45</v>
      </c>
      <c r="J2326">
        <v>103864.48</v>
      </c>
      <c r="K2326" s="1"/>
      <c r="L2326" s="1"/>
      <c r="M2326" s="1"/>
      <c r="N2326" s="1"/>
    </row>
    <row r="2327" ht="15.75" customHeight="1">
      <c r="A2327" t="s">
        <v>36</v>
      </c>
      <c r="B2327" t="s">
        <v>54</v>
      </c>
      <c r="C2327" t="s">
        <v>4917</v>
      </c>
      <c r="D2327" t="s">
        <v>2407</v>
      </c>
      <c r="E2327">
        <v>74809.38548837</v>
      </c>
      <c r="F2327">
        <v>25319.7576616823</v>
      </c>
      <c r="G2327">
        <v>19025.6647091862</v>
      </c>
      <c r="H2327">
        <v>15250.7658292622</v>
      </c>
      <c r="I2327">
        <v>119154.81</v>
      </c>
      <c r="J2327">
        <v>103904.04</v>
      </c>
      <c r="K2327" s="1"/>
      <c r="L2327" s="1"/>
      <c r="M2327" s="1"/>
      <c r="N2327" s="1"/>
    </row>
    <row r="2328" ht="15.75" customHeight="1">
      <c r="A2328" t="s">
        <v>36</v>
      </c>
      <c r="B2328" t="s">
        <v>30</v>
      </c>
      <c r="C2328" t="s">
        <v>4916</v>
      </c>
      <c r="D2328" t="s">
        <v>2408</v>
      </c>
      <c r="E2328">
        <v>74820.2684582762</v>
      </c>
      <c r="F2328">
        <v>25324.3723800097</v>
      </c>
      <c r="G2328">
        <v>19033.3447126157</v>
      </c>
      <c r="H2328">
        <v>15254.1633799495</v>
      </c>
      <c r="I2328">
        <v>119177.99</v>
      </c>
      <c r="J2328">
        <v>103923.83</v>
      </c>
      <c r="K2328" s="1"/>
      <c r="L2328" s="1"/>
      <c r="M2328" s="1"/>
      <c r="N2328" s="1"/>
    </row>
    <row r="2329" ht="15.75" customHeight="1">
      <c r="A2329" t="s">
        <v>13</v>
      </c>
      <c r="B2329" t="s">
        <v>37</v>
      </c>
      <c r="C2329" t="s">
        <v>4911</v>
      </c>
      <c r="D2329" t="s">
        <v>2409</v>
      </c>
      <c r="E2329">
        <v>74842.0343980886</v>
      </c>
      <c r="F2329">
        <v>25333.6018166646</v>
      </c>
      <c r="G2329">
        <v>19048.7047194747</v>
      </c>
      <c r="H2329">
        <v>15260.9584813241</v>
      </c>
      <c r="I2329">
        <v>119224.34</v>
      </c>
      <c r="J2329">
        <v>103963.38</v>
      </c>
      <c r="K2329" s="1"/>
      <c r="L2329" s="1"/>
      <c r="M2329" s="1"/>
      <c r="N2329" s="1"/>
    </row>
    <row r="2330" ht="15.75" customHeight="1">
      <c r="A2330" t="s">
        <v>36</v>
      </c>
      <c r="B2330" t="s">
        <v>30</v>
      </c>
      <c r="C2330" t="s">
        <v>4916</v>
      </c>
      <c r="D2330" t="s">
        <v>2410</v>
      </c>
      <c r="E2330">
        <v>74852.9173679948</v>
      </c>
      <c r="F2330">
        <v>25338.216534992</v>
      </c>
      <c r="G2330">
        <v>19056.3847229042</v>
      </c>
      <c r="H2330">
        <v>15264.3560320114</v>
      </c>
      <c r="I2330">
        <v>119247.52</v>
      </c>
      <c r="J2330">
        <v>103983.16</v>
      </c>
      <c r="K2330" s="1"/>
      <c r="L2330" s="1"/>
      <c r="M2330" s="1"/>
      <c r="N2330" s="1"/>
    </row>
    <row r="2331" ht="15.75" customHeight="1">
      <c r="A2331" t="s">
        <v>53</v>
      </c>
      <c r="B2331" t="s">
        <v>26</v>
      </c>
      <c r="C2331" t="s">
        <v>4916</v>
      </c>
      <c r="D2331" t="s">
        <v>2411</v>
      </c>
      <c r="E2331">
        <v>74863.800337901</v>
      </c>
      <c r="F2331">
        <v>25342.8312533194</v>
      </c>
      <c r="G2331">
        <v>19064.0647263337</v>
      </c>
      <c r="H2331">
        <v>15267.7535826987</v>
      </c>
      <c r="I2331">
        <v>119270.7</v>
      </c>
      <c r="J2331">
        <v>104002.95</v>
      </c>
      <c r="K2331" s="1"/>
      <c r="L2331" s="1"/>
      <c r="M2331" s="1"/>
      <c r="N2331" s="1"/>
    </row>
    <row r="2332" ht="15.75" customHeight="1">
      <c r="A2332" t="s">
        <v>17</v>
      </c>
      <c r="B2332" t="s">
        <v>37</v>
      </c>
      <c r="C2332" t="s">
        <v>4912</v>
      </c>
      <c r="D2332" t="s">
        <v>2412</v>
      </c>
      <c r="E2332">
        <v>74874.6833078072</v>
      </c>
      <c r="F2332">
        <v>25347.4459716469</v>
      </c>
      <c r="G2332">
        <v>19071.7447297632</v>
      </c>
      <c r="H2332">
        <v>15271.1511333859</v>
      </c>
      <c r="I2332">
        <v>119293.87</v>
      </c>
      <c r="J2332">
        <v>104022.72</v>
      </c>
      <c r="K2332" s="1"/>
      <c r="L2332" s="1"/>
      <c r="M2332" s="1"/>
      <c r="N2332" s="1"/>
    </row>
    <row r="2333" ht="15.75" customHeight="1">
      <c r="A2333" t="s">
        <v>51</v>
      </c>
      <c r="B2333" t="s">
        <v>54</v>
      </c>
      <c r="C2333" t="s">
        <v>4912</v>
      </c>
      <c r="D2333" t="s">
        <v>2413</v>
      </c>
      <c r="E2333">
        <v>74885.5662777134</v>
      </c>
      <c r="F2333">
        <v>25352.0606899743</v>
      </c>
      <c r="G2333">
        <v>19079.4247331927</v>
      </c>
      <c r="H2333">
        <v>15274.5486840732</v>
      </c>
      <c r="I2333">
        <v>119317.05</v>
      </c>
      <c r="J2333">
        <v>104042.5</v>
      </c>
      <c r="K2333" s="1"/>
      <c r="L2333" s="1"/>
      <c r="M2333" s="1"/>
      <c r="N2333" s="1"/>
    </row>
    <row r="2334" ht="15.75" customHeight="1">
      <c r="A2334" t="s">
        <v>53</v>
      </c>
      <c r="B2334" t="s">
        <v>18</v>
      </c>
      <c r="C2334" t="s">
        <v>4909</v>
      </c>
      <c r="D2334" t="s">
        <v>2414</v>
      </c>
      <c r="E2334">
        <v>74896.4492476195</v>
      </c>
      <c r="F2334">
        <v>25356.6754083017</v>
      </c>
      <c r="G2334">
        <v>19087.1047366222</v>
      </c>
      <c r="H2334">
        <v>15277.9462347605</v>
      </c>
      <c r="I2334">
        <v>119340.23</v>
      </c>
      <c r="J2334">
        <v>104062.28</v>
      </c>
      <c r="K2334" s="1"/>
      <c r="L2334" s="1"/>
      <c r="M2334" s="1"/>
      <c r="N2334" s="1"/>
    </row>
    <row r="2335" ht="15.75" customHeight="1">
      <c r="A2335" t="s">
        <v>51</v>
      </c>
      <c r="B2335" t="s">
        <v>37</v>
      </c>
      <c r="C2335" t="s">
        <v>4909</v>
      </c>
      <c r="D2335" t="s">
        <v>2415</v>
      </c>
      <c r="E2335">
        <v>74907.3322175257</v>
      </c>
      <c r="F2335">
        <v>25361.2901266291</v>
      </c>
      <c r="G2335">
        <v>19094.7847400517</v>
      </c>
      <c r="H2335">
        <v>15281.3437854478</v>
      </c>
      <c r="I2335">
        <v>119363.41</v>
      </c>
      <c r="J2335">
        <v>104082.07</v>
      </c>
      <c r="K2335" s="1"/>
      <c r="L2335" s="1"/>
      <c r="M2335" s="1"/>
      <c r="N2335" s="1"/>
    </row>
    <row r="2336" ht="15.75" customHeight="1">
      <c r="A2336" t="s">
        <v>25</v>
      </c>
      <c r="B2336" t="s">
        <v>30</v>
      </c>
      <c r="C2336" t="s">
        <v>4910</v>
      </c>
      <c r="D2336" t="s">
        <v>2416</v>
      </c>
      <c r="E2336">
        <v>74918.2151874319</v>
      </c>
      <c r="F2336">
        <v>25365.9048449565</v>
      </c>
      <c r="G2336">
        <v>19102.4647434812</v>
      </c>
      <c r="H2336">
        <v>15284.7413361351</v>
      </c>
      <c r="I2336">
        <v>119386.58</v>
      </c>
      <c r="J2336">
        <v>104101.84</v>
      </c>
      <c r="K2336" s="1"/>
      <c r="L2336" s="1"/>
      <c r="M2336" s="1"/>
      <c r="N2336" s="1"/>
    </row>
    <row r="2337" ht="15.75" customHeight="1">
      <c r="A2337" t="s">
        <v>17</v>
      </c>
      <c r="B2337" t="s">
        <v>18</v>
      </c>
      <c r="C2337" t="s">
        <v>4910</v>
      </c>
      <c r="D2337" t="s">
        <v>2417</v>
      </c>
      <c r="E2337">
        <v>74929.0981573381</v>
      </c>
      <c r="F2337">
        <v>25370.519563284</v>
      </c>
      <c r="G2337">
        <v>19110.1447469107</v>
      </c>
      <c r="H2337">
        <v>15288.1388868224</v>
      </c>
      <c r="I2337">
        <v>119409.76</v>
      </c>
      <c r="J2337">
        <v>104121.62</v>
      </c>
      <c r="K2337" s="1"/>
      <c r="L2337" s="1"/>
      <c r="M2337" s="1"/>
      <c r="N2337" s="1"/>
    </row>
    <row r="2338" ht="15.75" customHeight="1">
      <c r="A2338" t="s">
        <v>51</v>
      </c>
      <c r="B2338" t="s">
        <v>26</v>
      </c>
      <c r="C2338" t="s">
        <v>4909</v>
      </c>
      <c r="D2338" t="s">
        <v>2418</v>
      </c>
      <c r="E2338">
        <v>74939.9811272443</v>
      </c>
      <c r="F2338">
        <v>25375.1342816114</v>
      </c>
      <c r="G2338">
        <v>19117.8247503402</v>
      </c>
      <c r="H2338">
        <v>15291.5364375097</v>
      </c>
      <c r="I2338">
        <v>119432.94</v>
      </c>
      <c r="J2338">
        <v>104141.4</v>
      </c>
      <c r="K2338" s="1"/>
      <c r="L2338" s="1"/>
      <c r="M2338" s="1"/>
      <c r="N2338" s="1"/>
    </row>
    <row r="2339" ht="15.75" customHeight="1">
      <c r="A2339" t="s">
        <v>13</v>
      </c>
      <c r="B2339" t="s">
        <v>30</v>
      </c>
      <c r="C2339" t="s">
        <v>4907</v>
      </c>
      <c r="D2339" t="s">
        <v>2419</v>
      </c>
      <c r="E2339">
        <v>74961.7470670567</v>
      </c>
      <c r="F2339">
        <v>25384.3637182662</v>
      </c>
      <c r="G2339">
        <v>19133.1847571992</v>
      </c>
      <c r="H2339">
        <v>15298.3315388842</v>
      </c>
      <c r="I2339">
        <v>119479.3</v>
      </c>
      <c r="J2339">
        <v>104180.97</v>
      </c>
      <c r="K2339" s="1"/>
      <c r="L2339" s="1"/>
      <c r="M2339" s="1"/>
      <c r="N2339" s="1"/>
    </row>
    <row r="2340" ht="15.75" customHeight="1">
      <c r="A2340" t="s">
        <v>13</v>
      </c>
      <c r="B2340" t="s">
        <v>30</v>
      </c>
      <c r="C2340" t="s">
        <v>4911</v>
      </c>
      <c r="D2340" t="s">
        <v>2420</v>
      </c>
      <c r="E2340">
        <v>74972.6300369629</v>
      </c>
      <c r="F2340">
        <v>25388.9784365937</v>
      </c>
      <c r="G2340">
        <v>19140.8647606287</v>
      </c>
      <c r="H2340">
        <v>15301.7290895715</v>
      </c>
      <c r="I2340">
        <v>119502.47</v>
      </c>
      <c r="J2340">
        <v>104200.74</v>
      </c>
      <c r="K2340" s="1"/>
      <c r="L2340" s="1"/>
      <c r="M2340" s="1"/>
      <c r="N2340" s="1"/>
    </row>
    <row r="2341" ht="15.75" customHeight="1">
      <c r="A2341" t="s">
        <v>51</v>
      </c>
      <c r="B2341" t="s">
        <v>37</v>
      </c>
      <c r="C2341" t="s">
        <v>4915</v>
      </c>
      <c r="D2341" t="s">
        <v>2421</v>
      </c>
      <c r="E2341">
        <v>74983.5130068691</v>
      </c>
      <c r="F2341">
        <v>25393.5931549211</v>
      </c>
      <c r="G2341">
        <v>19148.5447640582</v>
      </c>
      <c r="H2341">
        <v>15305.1266402588</v>
      </c>
      <c r="I2341">
        <v>119525.65</v>
      </c>
      <c r="J2341">
        <v>104220.52</v>
      </c>
      <c r="K2341" s="1"/>
      <c r="L2341" s="1"/>
      <c r="M2341" s="1"/>
      <c r="N2341" s="1"/>
    </row>
    <row r="2342" ht="15.75" customHeight="1">
      <c r="A2342" t="s">
        <v>17</v>
      </c>
      <c r="B2342" t="s">
        <v>54</v>
      </c>
      <c r="C2342" t="s">
        <v>4915</v>
      </c>
      <c r="D2342" t="s">
        <v>2422</v>
      </c>
      <c r="E2342">
        <v>74994.3959767753</v>
      </c>
      <c r="F2342">
        <v>25398.2078732485</v>
      </c>
      <c r="G2342">
        <v>19156.2247674877</v>
      </c>
      <c r="H2342">
        <v>15308.5241909461</v>
      </c>
      <c r="I2342">
        <v>119548.83</v>
      </c>
      <c r="J2342">
        <v>104240.31</v>
      </c>
      <c r="K2342" s="1"/>
      <c r="L2342" s="1"/>
      <c r="M2342" s="1"/>
      <c r="N2342" s="1"/>
    </row>
    <row r="2343" ht="15.75" customHeight="1">
      <c r="A2343" t="s">
        <v>13</v>
      </c>
      <c r="B2343" t="s">
        <v>54</v>
      </c>
      <c r="C2343" t="s">
        <v>4907</v>
      </c>
      <c r="D2343" t="s">
        <v>2423</v>
      </c>
      <c r="E2343">
        <v>71656.69906138915</v>
      </c>
      <c r="F2343">
        <v>25402.8225915759</v>
      </c>
      <c r="G2343">
        <v>19163.9047709172</v>
      </c>
      <c r="H2343">
        <v>15311.9217416334</v>
      </c>
      <c r="I2343">
        <v>116223.43</v>
      </c>
      <c r="J2343">
        <v>100911.51</v>
      </c>
      <c r="K2343" s="1"/>
      <c r="L2343" s="1"/>
      <c r="M2343" s="1"/>
      <c r="N2343" s="1"/>
    </row>
    <row r="2344" ht="15.75" customHeight="1">
      <c r="A2344" t="s">
        <v>17</v>
      </c>
      <c r="B2344" t="s">
        <v>26</v>
      </c>
      <c r="C2344" t="s">
        <v>4912</v>
      </c>
      <c r="D2344" t="s">
        <v>2424</v>
      </c>
      <c r="E2344">
        <v>75016.1619165877</v>
      </c>
      <c r="F2344">
        <v>25407.4373099033</v>
      </c>
      <c r="G2344">
        <v>19171.5847743467</v>
      </c>
      <c r="H2344">
        <v>15315.3192923207</v>
      </c>
      <c r="I2344">
        <v>119595.18</v>
      </c>
      <c r="J2344">
        <v>104279.86</v>
      </c>
      <c r="K2344" s="1"/>
      <c r="L2344" s="1"/>
      <c r="M2344" s="1"/>
      <c r="N2344" s="1"/>
    </row>
    <row r="2345" ht="15.75" customHeight="1">
      <c r="A2345" t="s">
        <v>17</v>
      </c>
      <c r="B2345" t="s">
        <v>37</v>
      </c>
      <c r="C2345" t="s">
        <v>4913</v>
      </c>
      <c r="D2345" t="s">
        <v>2425</v>
      </c>
      <c r="E2345">
        <v>75027.0448864939</v>
      </c>
      <c r="F2345">
        <v>25412.0520282308</v>
      </c>
      <c r="G2345">
        <v>19179.2647777762</v>
      </c>
      <c r="H2345">
        <v>15318.716843008</v>
      </c>
      <c r="I2345">
        <v>119618.36</v>
      </c>
      <c r="J2345">
        <v>104299.64</v>
      </c>
      <c r="K2345" s="1"/>
      <c r="L2345" s="1"/>
      <c r="M2345" s="1"/>
      <c r="N2345" s="1"/>
    </row>
    <row r="2346" ht="15.75" customHeight="1">
      <c r="A2346" t="s">
        <v>29</v>
      </c>
      <c r="B2346" t="s">
        <v>54</v>
      </c>
      <c r="C2346" t="s">
        <v>4911</v>
      </c>
      <c r="D2346" t="s">
        <v>2426</v>
      </c>
      <c r="E2346">
        <v>75037.9278564001</v>
      </c>
      <c r="F2346">
        <v>25416.6667465582</v>
      </c>
      <c r="G2346">
        <v>19186.9447812057</v>
      </c>
      <c r="H2346">
        <v>15322.1143936953</v>
      </c>
      <c r="I2346">
        <v>119641.54</v>
      </c>
      <c r="J2346">
        <v>104319.43</v>
      </c>
      <c r="K2346" s="1"/>
      <c r="L2346" s="1"/>
      <c r="M2346" s="1"/>
      <c r="N2346" s="1"/>
    </row>
    <row r="2347" ht="15.75" customHeight="1">
      <c r="A2347" t="s">
        <v>53</v>
      </c>
      <c r="B2347" t="s">
        <v>14</v>
      </c>
      <c r="C2347" t="s">
        <v>4905</v>
      </c>
      <c r="D2347" t="s">
        <v>2427</v>
      </c>
      <c r="E2347">
        <v>75059.6937962124</v>
      </c>
      <c r="F2347">
        <v>25425.896183213</v>
      </c>
      <c r="G2347">
        <v>19202.3047880647</v>
      </c>
      <c r="H2347">
        <v>14765.30618879032</v>
      </c>
      <c r="I2347">
        <v>119687.89</v>
      </c>
      <c r="J2347">
        <v>104922.58</v>
      </c>
      <c r="K2347" s="1"/>
      <c r="L2347" s="1"/>
      <c r="M2347" s="1"/>
      <c r="N2347" s="1"/>
    </row>
    <row r="2348" ht="15.75" customHeight="1">
      <c r="A2348" t="s">
        <v>36</v>
      </c>
      <c r="B2348" t="s">
        <v>54</v>
      </c>
      <c r="C2348" t="s">
        <v>4914</v>
      </c>
      <c r="D2348" t="s">
        <v>2428</v>
      </c>
      <c r="E2348">
        <v>75070.5767661186</v>
      </c>
      <c r="F2348">
        <v>25430.5109015405</v>
      </c>
      <c r="G2348">
        <v>19209.9847914942</v>
      </c>
      <c r="H2348">
        <v>15332.3070457571</v>
      </c>
      <c r="I2348">
        <v>119711.07</v>
      </c>
      <c r="J2348">
        <v>104378.76</v>
      </c>
      <c r="K2348" s="1"/>
      <c r="L2348" s="1"/>
      <c r="M2348" s="1"/>
      <c r="N2348" s="1"/>
    </row>
    <row r="2349" ht="15.75" customHeight="1">
      <c r="A2349" t="s">
        <v>25</v>
      </c>
      <c r="B2349" t="s">
        <v>37</v>
      </c>
      <c r="C2349" t="s">
        <v>4917</v>
      </c>
      <c r="D2349" t="s">
        <v>2429</v>
      </c>
      <c r="E2349">
        <v>75081.4597360248</v>
      </c>
      <c r="F2349">
        <v>25435.1256198679</v>
      </c>
      <c r="G2349">
        <v>19217.6647949237</v>
      </c>
      <c r="H2349">
        <v>15335.7045964444</v>
      </c>
      <c r="I2349">
        <v>119734.25</v>
      </c>
      <c r="J2349">
        <v>104398.55</v>
      </c>
      <c r="K2349" s="1"/>
      <c r="L2349" s="1"/>
      <c r="M2349" s="1"/>
      <c r="N2349" s="1"/>
    </row>
    <row r="2350" ht="15.75" customHeight="1">
      <c r="A2350" t="s">
        <v>17</v>
      </c>
      <c r="B2350" t="s">
        <v>54</v>
      </c>
      <c r="C2350" t="s">
        <v>4910</v>
      </c>
      <c r="D2350" t="s">
        <v>2430</v>
      </c>
      <c r="E2350">
        <v>75092.342705931</v>
      </c>
      <c r="F2350">
        <v>25439.7403381953</v>
      </c>
      <c r="G2350">
        <v>19225.3447983532</v>
      </c>
      <c r="H2350">
        <v>15339.1021471317</v>
      </c>
      <c r="I2350">
        <v>119757.43</v>
      </c>
      <c r="J2350">
        <v>104418.33</v>
      </c>
      <c r="K2350" s="1"/>
      <c r="L2350" s="1"/>
      <c r="M2350" s="1"/>
      <c r="N2350" s="1"/>
    </row>
    <row r="2351" ht="15.75" customHeight="1">
      <c r="A2351" t="s">
        <v>29</v>
      </c>
      <c r="B2351" t="s">
        <v>33</v>
      </c>
      <c r="C2351" t="s">
        <v>4912</v>
      </c>
      <c r="D2351" t="s">
        <v>2431</v>
      </c>
      <c r="E2351">
        <v>75103.2256758372</v>
      </c>
      <c r="F2351">
        <v>25444.3550565227</v>
      </c>
      <c r="G2351">
        <v>19233.0248017827</v>
      </c>
      <c r="H2351">
        <v>15342.499697819</v>
      </c>
      <c r="I2351">
        <v>119780.61</v>
      </c>
      <c r="J2351">
        <v>104438.11</v>
      </c>
      <c r="K2351" s="1"/>
      <c r="L2351" s="1"/>
      <c r="M2351" s="1"/>
      <c r="N2351" s="1"/>
    </row>
    <row r="2352" ht="15.75" customHeight="1">
      <c r="A2352" t="s">
        <v>51</v>
      </c>
      <c r="B2352" t="s">
        <v>26</v>
      </c>
      <c r="C2352" t="s">
        <v>4910</v>
      </c>
      <c r="D2352" t="s">
        <v>2432</v>
      </c>
      <c r="E2352">
        <v>75114.1086457434</v>
      </c>
      <c r="F2352">
        <v>25448.9697748501</v>
      </c>
      <c r="G2352">
        <v>19240.7048052122</v>
      </c>
      <c r="H2352">
        <v>15345.8972485063</v>
      </c>
      <c r="I2352">
        <v>119803.78</v>
      </c>
      <c r="J2352">
        <v>104457.88</v>
      </c>
      <c r="K2352" s="1"/>
      <c r="L2352" s="1"/>
      <c r="M2352" s="1"/>
      <c r="N2352" s="1"/>
    </row>
    <row r="2353" ht="15.75" customHeight="1">
      <c r="A2353" t="s">
        <v>29</v>
      </c>
      <c r="B2353" t="s">
        <v>30</v>
      </c>
      <c r="C2353" t="s">
        <v>4913</v>
      </c>
      <c r="D2353" t="s">
        <v>2433</v>
      </c>
      <c r="E2353">
        <v>75124.9916156496</v>
      </c>
      <c r="F2353">
        <v>25453.5844931776</v>
      </c>
      <c r="G2353">
        <v>19248.3848086417</v>
      </c>
      <c r="H2353">
        <v>15349.2947991935</v>
      </c>
      <c r="I2353">
        <v>119826.96</v>
      </c>
      <c r="J2353">
        <v>104477.67</v>
      </c>
      <c r="K2353" s="1"/>
      <c r="L2353" s="1"/>
      <c r="M2353" s="1"/>
      <c r="N2353" s="1"/>
    </row>
    <row r="2354" ht="15.75" customHeight="1">
      <c r="A2354" t="s">
        <v>17</v>
      </c>
      <c r="B2354" t="s">
        <v>54</v>
      </c>
      <c r="C2354" t="s">
        <v>4907</v>
      </c>
      <c r="D2354" t="s">
        <v>2434</v>
      </c>
      <c r="E2354">
        <v>75135.8745855558</v>
      </c>
      <c r="F2354">
        <v>25458.199211505</v>
      </c>
      <c r="G2354">
        <v>19256.0648120712</v>
      </c>
      <c r="H2354">
        <v>15352.6923498808</v>
      </c>
      <c r="I2354">
        <v>119850.14</v>
      </c>
      <c r="J2354">
        <v>104497.45</v>
      </c>
      <c r="K2354" s="1"/>
      <c r="L2354" s="1"/>
      <c r="M2354" s="1"/>
      <c r="N2354" s="1"/>
    </row>
    <row r="2355" ht="15.75" customHeight="1">
      <c r="A2355" t="s">
        <v>17</v>
      </c>
      <c r="B2355" t="s">
        <v>14</v>
      </c>
      <c r="C2355" t="s">
        <v>4905</v>
      </c>
      <c r="D2355" t="s">
        <v>2435</v>
      </c>
      <c r="E2355">
        <v>75146.757555462</v>
      </c>
      <c r="F2355">
        <v>25462.8139298324</v>
      </c>
      <c r="G2355">
        <v>19263.7448155007</v>
      </c>
      <c r="H2355">
        <v>15356.0899005681</v>
      </c>
      <c r="I2355">
        <v>119873.32</v>
      </c>
      <c r="J2355">
        <v>104517.23</v>
      </c>
      <c r="K2355" s="1"/>
      <c r="L2355" s="1"/>
      <c r="M2355" s="1"/>
      <c r="N2355" s="1"/>
    </row>
    <row r="2356" ht="15.75" customHeight="1">
      <c r="A2356" t="s">
        <v>53</v>
      </c>
      <c r="B2356" t="s">
        <v>54</v>
      </c>
      <c r="C2356" t="s">
        <v>4917</v>
      </c>
      <c r="D2356" t="s">
        <v>2436</v>
      </c>
      <c r="E2356">
        <v>75157.6405253682</v>
      </c>
      <c r="F2356">
        <v>25467.4286481598</v>
      </c>
      <c r="G2356">
        <v>19271.4248189302</v>
      </c>
      <c r="H2356">
        <v>15359.4874512554</v>
      </c>
      <c r="I2356">
        <v>119896.49</v>
      </c>
      <c r="J2356">
        <v>104537.0</v>
      </c>
      <c r="K2356" s="1"/>
      <c r="L2356" s="1"/>
      <c r="M2356" s="1"/>
      <c r="N2356" s="1"/>
    </row>
    <row r="2357" ht="15.75" customHeight="1">
      <c r="A2357" t="s">
        <v>13</v>
      </c>
      <c r="B2357" t="s">
        <v>33</v>
      </c>
      <c r="C2357" t="s">
        <v>4910</v>
      </c>
      <c r="D2357" t="s">
        <v>2437</v>
      </c>
      <c r="E2357">
        <v>75168.5234952744</v>
      </c>
      <c r="F2357">
        <v>25472.0433664873</v>
      </c>
      <c r="G2357">
        <v>19279.1048223597</v>
      </c>
      <c r="H2357">
        <v>15362.8850019427</v>
      </c>
      <c r="I2357">
        <v>119919.67</v>
      </c>
      <c r="J2357">
        <v>104556.78</v>
      </c>
      <c r="K2357" s="1"/>
      <c r="L2357" s="1"/>
      <c r="M2357" s="1"/>
      <c r="N2357" s="1"/>
    </row>
    <row r="2358" ht="15.75" customHeight="1">
      <c r="A2358" t="s">
        <v>13</v>
      </c>
      <c r="B2358" t="s">
        <v>30</v>
      </c>
      <c r="C2358" t="s">
        <v>4915</v>
      </c>
      <c r="D2358" t="s">
        <v>2438</v>
      </c>
      <c r="E2358">
        <v>75179.4064651806</v>
      </c>
      <c r="F2358">
        <v>25476.6580848147</v>
      </c>
      <c r="G2358">
        <v>19286.7848257892</v>
      </c>
      <c r="H2358">
        <v>15366.28255263</v>
      </c>
      <c r="I2358">
        <v>119942.85</v>
      </c>
      <c r="J2358">
        <v>104576.57</v>
      </c>
      <c r="K2358" s="1"/>
      <c r="L2358" s="1"/>
      <c r="M2358" s="1"/>
      <c r="N2358" s="1"/>
    </row>
    <row r="2359" ht="15.75" customHeight="1">
      <c r="A2359" t="s">
        <v>29</v>
      </c>
      <c r="B2359" t="s">
        <v>33</v>
      </c>
      <c r="C2359" t="s">
        <v>4911</v>
      </c>
      <c r="D2359" t="s">
        <v>2439</v>
      </c>
      <c r="E2359">
        <v>75190.2894350868</v>
      </c>
      <c r="F2359">
        <v>25481.2728031421</v>
      </c>
      <c r="G2359">
        <v>19294.4648292186</v>
      </c>
      <c r="H2359">
        <v>15369.6801033173</v>
      </c>
      <c r="I2359">
        <v>119966.03</v>
      </c>
      <c r="J2359">
        <v>104596.35</v>
      </c>
      <c r="K2359" s="1"/>
      <c r="L2359" s="1"/>
      <c r="M2359" s="1"/>
      <c r="N2359" s="1"/>
    </row>
    <row r="2360" ht="15.75" customHeight="1">
      <c r="A2360" t="s">
        <v>53</v>
      </c>
      <c r="B2360" t="s">
        <v>18</v>
      </c>
      <c r="C2360" t="s">
        <v>4910</v>
      </c>
      <c r="D2360" t="s">
        <v>2440</v>
      </c>
      <c r="E2360">
        <v>75201.172404993</v>
      </c>
      <c r="F2360">
        <v>25485.8875214695</v>
      </c>
      <c r="G2360">
        <v>19302.1448326481</v>
      </c>
      <c r="H2360">
        <v>15373.0776540046</v>
      </c>
      <c r="I2360">
        <v>119989.2</v>
      </c>
      <c r="J2360">
        <v>104616.12</v>
      </c>
      <c r="K2360" s="1"/>
      <c r="L2360" s="1"/>
      <c r="M2360" s="1"/>
      <c r="N2360" s="1"/>
    </row>
    <row r="2361" ht="15.75" customHeight="1">
      <c r="A2361" t="s">
        <v>51</v>
      </c>
      <c r="B2361" t="s">
        <v>26</v>
      </c>
      <c r="C2361" t="s">
        <v>4914</v>
      </c>
      <c r="D2361" t="s">
        <v>2441</v>
      </c>
      <c r="E2361">
        <v>75212.0553748992</v>
      </c>
      <c r="F2361">
        <v>25490.5022397969</v>
      </c>
      <c r="G2361">
        <v>19309.8248360776</v>
      </c>
      <c r="H2361">
        <v>15376.4752046918</v>
      </c>
      <c r="I2361">
        <v>120012.38</v>
      </c>
      <c r="J2361">
        <v>104635.9</v>
      </c>
      <c r="K2361" s="1"/>
      <c r="L2361" s="1"/>
      <c r="M2361" s="1"/>
      <c r="N2361" s="1"/>
    </row>
    <row r="2362" ht="15.75" customHeight="1">
      <c r="A2362" t="s">
        <v>53</v>
      </c>
      <c r="B2362" t="s">
        <v>14</v>
      </c>
      <c r="C2362" t="s">
        <v>4905</v>
      </c>
      <c r="D2362" t="s">
        <v>2442</v>
      </c>
      <c r="E2362">
        <v>75222.9383448054</v>
      </c>
      <c r="F2362">
        <v>25495.1169581244</v>
      </c>
      <c r="G2362">
        <v>19317.5048395071</v>
      </c>
      <c r="H2362">
        <v>15379.8727553791</v>
      </c>
      <c r="I2362">
        <v>120035.56</v>
      </c>
      <c r="J2362">
        <v>104655.69</v>
      </c>
      <c r="K2362" s="1"/>
      <c r="L2362" s="1"/>
      <c r="M2362" s="1"/>
      <c r="N2362" s="1"/>
    </row>
    <row r="2363" ht="15.75" customHeight="1">
      <c r="A2363" t="s">
        <v>51</v>
      </c>
      <c r="B2363" t="s">
        <v>30</v>
      </c>
      <c r="C2363" t="s">
        <v>4912</v>
      </c>
      <c r="D2363" t="s">
        <v>2443</v>
      </c>
      <c r="E2363">
        <v>75233.8213147115</v>
      </c>
      <c r="F2363">
        <v>25499.7316764518</v>
      </c>
      <c r="G2363">
        <v>19325.1848429366</v>
      </c>
      <c r="H2363">
        <v>15383.2703060664</v>
      </c>
      <c r="I2363">
        <v>120058.74</v>
      </c>
      <c r="J2363">
        <v>104675.47</v>
      </c>
      <c r="K2363" s="1"/>
      <c r="L2363" s="1"/>
      <c r="M2363" s="1"/>
      <c r="N2363" s="1"/>
    </row>
    <row r="2364" ht="15.75" customHeight="1">
      <c r="A2364" t="s">
        <v>36</v>
      </c>
      <c r="B2364" t="s">
        <v>18</v>
      </c>
      <c r="C2364" t="s">
        <v>4908</v>
      </c>
      <c r="D2364" t="s">
        <v>2444</v>
      </c>
      <c r="E2364">
        <v>75244.7042846177</v>
      </c>
      <c r="F2364">
        <v>25504.3463947792</v>
      </c>
      <c r="G2364">
        <v>19332.8648463661</v>
      </c>
      <c r="H2364">
        <v>15386.6678567537</v>
      </c>
      <c r="I2364">
        <v>120081.92</v>
      </c>
      <c r="J2364">
        <v>104695.25</v>
      </c>
      <c r="K2364" s="1"/>
      <c r="L2364" s="1"/>
      <c r="M2364" s="1"/>
      <c r="N2364" s="1"/>
    </row>
    <row r="2365" ht="15.75" customHeight="1">
      <c r="A2365" t="s">
        <v>51</v>
      </c>
      <c r="B2365" t="s">
        <v>30</v>
      </c>
      <c r="C2365" t="s">
        <v>4909</v>
      </c>
      <c r="D2365" t="s">
        <v>2445</v>
      </c>
      <c r="E2365">
        <v>75255.5872545239</v>
      </c>
      <c r="F2365">
        <v>25508.9611131066</v>
      </c>
      <c r="G2365">
        <v>19340.5448497956</v>
      </c>
      <c r="H2365">
        <v>15390.065407441</v>
      </c>
      <c r="I2365">
        <v>120105.09</v>
      </c>
      <c r="J2365">
        <v>104715.02</v>
      </c>
      <c r="K2365" s="1"/>
      <c r="L2365" s="1"/>
      <c r="M2365" s="1"/>
      <c r="N2365" s="1"/>
    </row>
    <row r="2366" ht="15.75" customHeight="1">
      <c r="A2366" t="s">
        <v>17</v>
      </c>
      <c r="B2366" t="s">
        <v>26</v>
      </c>
      <c r="C2366" t="s">
        <v>4913</v>
      </c>
      <c r="D2366" t="s">
        <v>2446</v>
      </c>
      <c r="E2366">
        <v>75266.4702244301</v>
      </c>
      <c r="F2366">
        <v>25513.575831434</v>
      </c>
      <c r="G2366">
        <v>19348.2248532251</v>
      </c>
      <c r="H2366">
        <v>15393.4629581283</v>
      </c>
      <c r="I2366">
        <v>120128.27</v>
      </c>
      <c r="J2366">
        <v>104734.81</v>
      </c>
      <c r="K2366" s="1"/>
      <c r="L2366" s="1"/>
      <c r="M2366" s="1"/>
      <c r="N2366" s="1"/>
    </row>
    <row r="2367" ht="15.75" customHeight="1">
      <c r="A2367" t="s">
        <v>51</v>
      </c>
      <c r="B2367" t="s">
        <v>30</v>
      </c>
      <c r="C2367" t="s">
        <v>4909</v>
      </c>
      <c r="D2367" t="s">
        <v>2447</v>
      </c>
      <c r="E2367">
        <v>75277.3531943363</v>
      </c>
      <c r="F2367">
        <v>25518.1905497615</v>
      </c>
      <c r="G2367">
        <v>19355.9048566546</v>
      </c>
      <c r="H2367">
        <v>15396.8605088156</v>
      </c>
      <c r="I2367">
        <v>120151.45</v>
      </c>
      <c r="J2367">
        <v>104754.59</v>
      </c>
      <c r="K2367" s="1"/>
      <c r="L2367" s="1"/>
      <c r="M2367" s="1"/>
      <c r="N2367" s="1"/>
    </row>
    <row r="2368" ht="15.75" customHeight="1">
      <c r="A2368" t="s">
        <v>36</v>
      </c>
      <c r="B2368" t="s">
        <v>14</v>
      </c>
      <c r="C2368" t="s">
        <v>4914</v>
      </c>
      <c r="D2368" t="s">
        <v>2448</v>
      </c>
      <c r="E2368">
        <v>75288.2361642425</v>
      </c>
      <c r="F2368">
        <v>25522.8052680889</v>
      </c>
      <c r="G2368">
        <v>19363.5848600841</v>
      </c>
      <c r="H2368">
        <v>15400.2580595029</v>
      </c>
      <c r="I2368">
        <v>120174.63</v>
      </c>
      <c r="J2368">
        <v>104774.37</v>
      </c>
      <c r="K2368" s="1"/>
      <c r="L2368" s="1"/>
      <c r="M2368" s="1"/>
      <c r="N2368" s="1"/>
    </row>
    <row r="2369" ht="15.75" customHeight="1">
      <c r="A2369" t="s">
        <v>36</v>
      </c>
      <c r="B2369" t="s">
        <v>54</v>
      </c>
      <c r="C2369" t="s">
        <v>4914</v>
      </c>
      <c r="D2369" t="s">
        <v>2449</v>
      </c>
      <c r="E2369">
        <v>75299.1191341487</v>
      </c>
      <c r="F2369">
        <v>25527.4199864163</v>
      </c>
      <c r="G2369">
        <v>19371.2648635136</v>
      </c>
      <c r="H2369">
        <v>15403.6556101901</v>
      </c>
      <c r="I2369">
        <v>120197.8</v>
      </c>
      <c r="J2369">
        <v>104794.14</v>
      </c>
      <c r="K2369" s="1"/>
      <c r="L2369" s="1"/>
      <c r="M2369" s="1"/>
      <c r="N2369" s="1"/>
    </row>
    <row r="2370" ht="15.75" customHeight="1">
      <c r="A2370" t="s">
        <v>25</v>
      </c>
      <c r="B2370" t="s">
        <v>54</v>
      </c>
      <c r="C2370" t="s">
        <v>4914</v>
      </c>
      <c r="D2370" t="s">
        <v>2450</v>
      </c>
      <c r="E2370">
        <v>75310.0021040549</v>
      </c>
      <c r="F2370">
        <v>25532.0347047437</v>
      </c>
      <c r="G2370">
        <v>19378.9448669431</v>
      </c>
      <c r="H2370">
        <v>15407.0531608774</v>
      </c>
      <c r="I2370">
        <v>120220.98</v>
      </c>
      <c r="J2370">
        <v>104813.93</v>
      </c>
      <c r="K2370" s="1"/>
      <c r="L2370" s="1"/>
      <c r="M2370" s="1"/>
      <c r="N2370" s="1"/>
    </row>
    <row r="2371" ht="15.75" customHeight="1">
      <c r="A2371" t="s">
        <v>17</v>
      </c>
      <c r="B2371" t="s">
        <v>14</v>
      </c>
      <c r="C2371" t="s">
        <v>4915</v>
      </c>
      <c r="D2371" t="s">
        <v>2451</v>
      </c>
      <c r="E2371">
        <v>75320.8850739611</v>
      </c>
      <c r="F2371">
        <v>25536.6494230712</v>
      </c>
      <c r="G2371">
        <v>19386.6248703726</v>
      </c>
      <c r="H2371">
        <v>15410.4507115647</v>
      </c>
      <c r="I2371">
        <v>120244.16</v>
      </c>
      <c r="J2371">
        <v>104833.71</v>
      </c>
      <c r="K2371" s="1"/>
      <c r="L2371" s="1"/>
      <c r="M2371" s="1"/>
      <c r="N2371" s="1"/>
    </row>
    <row r="2372" ht="15.75" customHeight="1">
      <c r="A2372" t="s">
        <v>13</v>
      </c>
      <c r="B2372" t="s">
        <v>33</v>
      </c>
      <c r="C2372" t="s">
        <v>4908</v>
      </c>
      <c r="D2372" t="s">
        <v>2452</v>
      </c>
      <c r="E2372">
        <v>75331.7680438673</v>
      </c>
      <c r="F2372">
        <v>25541.2641413986</v>
      </c>
      <c r="G2372">
        <v>19394.3048738021</v>
      </c>
      <c r="H2372">
        <v>15413.848262252</v>
      </c>
      <c r="I2372">
        <v>120267.34</v>
      </c>
      <c r="J2372">
        <v>104853.49</v>
      </c>
      <c r="K2372" s="1"/>
      <c r="L2372" s="1"/>
      <c r="M2372" s="1"/>
      <c r="N2372" s="1"/>
    </row>
    <row r="2373" ht="15.75" customHeight="1">
      <c r="A2373" t="s">
        <v>36</v>
      </c>
      <c r="B2373" t="s">
        <v>18</v>
      </c>
      <c r="C2373" t="s">
        <v>4912</v>
      </c>
      <c r="D2373" t="s">
        <v>2453</v>
      </c>
      <c r="E2373">
        <v>75353.5339836797</v>
      </c>
      <c r="F2373">
        <v>25550.4935780534</v>
      </c>
      <c r="G2373">
        <v>19409.6648806611</v>
      </c>
      <c r="H2373">
        <v>15420.6433636266</v>
      </c>
      <c r="I2373">
        <v>120313.69</v>
      </c>
      <c r="J2373">
        <v>104893.05</v>
      </c>
      <c r="K2373" s="1"/>
      <c r="L2373" s="1"/>
      <c r="M2373" s="1"/>
      <c r="N2373" s="1"/>
    </row>
    <row r="2374" ht="15.75" customHeight="1">
      <c r="A2374" t="s">
        <v>25</v>
      </c>
      <c r="B2374" t="s">
        <v>33</v>
      </c>
      <c r="C2374" t="s">
        <v>4905</v>
      </c>
      <c r="D2374" t="s">
        <v>2454</v>
      </c>
      <c r="E2374">
        <v>75364.4169535859</v>
      </c>
      <c r="F2374">
        <v>25555.1082963809</v>
      </c>
      <c r="G2374">
        <v>19417.3448840906</v>
      </c>
      <c r="H2374">
        <v>15424.0409143139</v>
      </c>
      <c r="I2374">
        <v>120336.87</v>
      </c>
      <c r="J2374">
        <v>104912.83</v>
      </c>
      <c r="K2374" s="1"/>
      <c r="L2374" s="1"/>
      <c r="M2374" s="1"/>
      <c r="N2374" s="1"/>
    </row>
    <row r="2375" ht="15.75" customHeight="1">
      <c r="A2375" t="s">
        <v>29</v>
      </c>
      <c r="B2375" t="s">
        <v>26</v>
      </c>
      <c r="C2375" t="s">
        <v>4907</v>
      </c>
      <c r="D2375" t="s">
        <v>2455</v>
      </c>
      <c r="E2375">
        <v>75375.2999234921</v>
      </c>
      <c r="F2375">
        <v>25559.7230147083</v>
      </c>
      <c r="G2375">
        <v>19425.0248875201</v>
      </c>
      <c r="H2375">
        <v>15427.4384650011</v>
      </c>
      <c r="I2375">
        <v>120360.05</v>
      </c>
      <c r="J2375">
        <v>104932.61</v>
      </c>
      <c r="K2375" s="1"/>
      <c r="L2375" s="1"/>
      <c r="M2375" s="1"/>
      <c r="N2375" s="1"/>
    </row>
    <row r="2376" ht="15.75" customHeight="1">
      <c r="A2376" t="s">
        <v>53</v>
      </c>
      <c r="B2376" t="s">
        <v>30</v>
      </c>
      <c r="C2376" t="s">
        <v>4905</v>
      </c>
      <c r="D2376" t="s">
        <v>2456</v>
      </c>
      <c r="E2376">
        <v>75386.1828933982</v>
      </c>
      <c r="F2376">
        <v>25564.3377330357</v>
      </c>
      <c r="G2376">
        <v>19432.7048909496</v>
      </c>
      <c r="H2376">
        <v>15430.8360156884</v>
      </c>
      <c r="I2376">
        <v>120383.23</v>
      </c>
      <c r="J2376">
        <v>104952.39</v>
      </c>
      <c r="K2376" s="1"/>
      <c r="L2376" s="1"/>
      <c r="M2376" s="1"/>
      <c r="N2376" s="1"/>
    </row>
    <row r="2377" ht="15.75" customHeight="1">
      <c r="A2377" t="s">
        <v>51</v>
      </c>
      <c r="B2377" t="s">
        <v>26</v>
      </c>
      <c r="C2377" t="s">
        <v>4912</v>
      </c>
      <c r="D2377" t="s">
        <v>2457</v>
      </c>
      <c r="E2377">
        <v>75397.0658633044</v>
      </c>
      <c r="F2377">
        <v>25568.9524513631</v>
      </c>
      <c r="G2377">
        <v>19440.3848943791</v>
      </c>
      <c r="H2377">
        <v>15434.2335663757</v>
      </c>
      <c r="I2377">
        <v>120406.4</v>
      </c>
      <c r="J2377">
        <v>104972.17</v>
      </c>
      <c r="K2377" s="1"/>
      <c r="L2377" s="1"/>
      <c r="M2377" s="1"/>
      <c r="N2377" s="1"/>
    </row>
    <row r="2378" ht="15.75" customHeight="1">
      <c r="A2378" t="s">
        <v>51</v>
      </c>
      <c r="B2378" t="s">
        <v>30</v>
      </c>
      <c r="C2378" t="s">
        <v>4915</v>
      </c>
      <c r="D2378" t="s">
        <v>2458</v>
      </c>
      <c r="E2378">
        <v>75407.9488332106</v>
      </c>
      <c r="F2378">
        <v>25573.5671696905</v>
      </c>
      <c r="G2378">
        <v>19448.0648978086</v>
      </c>
      <c r="H2378">
        <v>15437.631117063</v>
      </c>
      <c r="I2378">
        <v>120429.58</v>
      </c>
      <c r="J2378">
        <v>104991.95</v>
      </c>
      <c r="K2378" s="1"/>
      <c r="L2378" s="1"/>
      <c r="M2378" s="1"/>
      <c r="N2378" s="1"/>
    </row>
    <row r="2379" ht="15.75" customHeight="1">
      <c r="A2379" t="s">
        <v>17</v>
      </c>
      <c r="B2379" t="s">
        <v>26</v>
      </c>
      <c r="C2379" t="s">
        <v>4908</v>
      </c>
      <c r="D2379" t="s">
        <v>2459</v>
      </c>
      <c r="E2379">
        <v>75418.8318031168</v>
      </c>
      <c r="F2379">
        <v>25578.181888018</v>
      </c>
      <c r="G2379">
        <v>19455.7449012381</v>
      </c>
      <c r="H2379">
        <v>15441.0286677503</v>
      </c>
      <c r="I2379">
        <v>120452.76</v>
      </c>
      <c r="J2379">
        <v>105011.73</v>
      </c>
      <c r="K2379" s="1"/>
      <c r="L2379" s="1"/>
      <c r="M2379" s="1"/>
      <c r="N2379" s="1"/>
    </row>
    <row r="2380" ht="15.75" customHeight="1">
      <c r="A2380" t="s">
        <v>29</v>
      </c>
      <c r="B2380" t="s">
        <v>33</v>
      </c>
      <c r="C2380" t="s">
        <v>4913</v>
      </c>
      <c r="D2380" t="s">
        <v>2460</v>
      </c>
      <c r="E2380">
        <v>75429.714773023</v>
      </c>
      <c r="F2380">
        <v>25582.7966063454</v>
      </c>
      <c r="G2380">
        <v>19463.4249046676</v>
      </c>
      <c r="H2380">
        <v>15444.4262184376</v>
      </c>
      <c r="I2380">
        <v>120475.94</v>
      </c>
      <c r="J2380">
        <v>105031.51</v>
      </c>
      <c r="K2380" s="1"/>
      <c r="L2380" s="1"/>
      <c r="M2380" s="1"/>
      <c r="N2380" s="1"/>
    </row>
    <row r="2381" ht="15.75" customHeight="1">
      <c r="A2381" t="s">
        <v>13</v>
      </c>
      <c r="B2381" t="s">
        <v>54</v>
      </c>
      <c r="C2381" t="s">
        <v>4915</v>
      </c>
      <c r="D2381" t="s">
        <v>2461</v>
      </c>
      <c r="E2381">
        <v>75440.5977429292</v>
      </c>
      <c r="F2381">
        <v>25587.4113246728</v>
      </c>
      <c r="G2381">
        <v>19471.1049080971</v>
      </c>
      <c r="H2381">
        <v>15447.8237691249</v>
      </c>
      <c r="I2381">
        <v>120499.11</v>
      </c>
      <c r="J2381">
        <v>105051.29</v>
      </c>
      <c r="K2381" s="1"/>
      <c r="L2381" s="1"/>
      <c r="M2381" s="1"/>
      <c r="N2381" s="1"/>
    </row>
    <row r="2382" ht="15.75" customHeight="1">
      <c r="A2382" t="s">
        <v>29</v>
      </c>
      <c r="B2382" t="s">
        <v>18</v>
      </c>
      <c r="C2382" t="s">
        <v>4913</v>
      </c>
      <c r="D2382" t="s">
        <v>2462</v>
      </c>
      <c r="E2382">
        <v>75451.4807128354</v>
      </c>
      <c r="F2382">
        <v>25592.0260430002</v>
      </c>
      <c r="G2382">
        <v>19478.7849115266</v>
      </c>
      <c r="H2382">
        <v>15451.2213198122</v>
      </c>
      <c r="I2382">
        <v>120522.29</v>
      </c>
      <c r="J2382">
        <v>105071.07</v>
      </c>
      <c r="K2382" s="1"/>
      <c r="L2382" s="1"/>
      <c r="M2382" s="1"/>
      <c r="N2382" s="1"/>
    </row>
    <row r="2383" ht="15.75" customHeight="1">
      <c r="A2383" t="s">
        <v>13</v>
      </c>
      <c r="B2383" t="s">
        <v>18</v>
      </c>
      <c r="C2383" t="s">
        <v>4908</v>
      </c>
      <c r="D2383" t="s">
        <v>2463</v>
      </c>
      <c r="E2383">
        <v>75462.3636827416</v>
      </c>
      <c r="F2383">
        <v>25596.6407613276</v>
      </c>
      <c r="G2383">
        <v>19486.4649149561</v>
      </c>
      <c r="H2383">
        <v>15454.6188704994</v>
      </c>
      <c r="I2383">
        <v>120545.47</v>
      </c>
      <c r="J2383">
        <v>105090.85</v>
      </c>
      <c r="K2383" s="1"/>
      <c r="L2383" s="1"/>
      <c r="M2383" s="1"/>
      <c r="N2383" s="1"/>
    </row>
    <row r="2384" ht="15.75" customHeight="1">
      <c r="A2384" t="s">
        <v>17</v>
      </c>
      <c r="B2384" t="s">
        <v>33</v>
      </c>
      <c r="C2384" t="s">
        <v>4913</v>
      </c>
      <c r="D2384" t="s">
        <v>2464</v>
      </c>
      <c r="E2384">
        <v>75473.2466526478</v>
      </c>
      <c r="F2384">
        <v>25601.2554796551</v>
      </c>
      <c r="G2384">
        <v>19494.1449183856</v>
      </c>
      <c r="H2384">
        <v>15458.0164211867</v>
      </c>
      <c r="I2384">
        <v>120568.65</v>
      </c>
      <c r="J2384">
        <v>105110.63</v>
      </c>
      <c r="K2384" s="1"/>
      <c r="L2384" s="1"/>
      <c r="M2384" s="1"/>
      <c r="N2384" s="1"/>
    </row>
    <row r="2385" ht="15.75" customHeight="1">
      <c r="A2385" t="s">
        <v>51</v>
      </c>
      <c r="B2385" t="s">
        <v>26</v>
      </c>
      <c r="C2385" t="s">
        <v>4912</v>
      </c>
      <c r="D2385" t="s">
        <v>2465</v>
      </c>
      <c r="E2385">
        <v>75484.129622554</v>
      </c>
      <c r="F2385">
        <v>25605.8701979825</v>
      </c>
      <c r="G2385">
        <v>19501.8249218151</v>
      </c>
      <c r="H2385">
        <v>15461.413971874</v>
      </c>
      <c r="I2385">
        <v>120591.82</v>
      </c>
      <c r="J2385">
        <v>105130.41</v>
      </c>
      <c r="K2385" s="1"/>
      <c r="L2385" s="1"/>
      <c r="M2385" s="1"/>
      <c r="N2385" s="1"/>
    </row>
    <row r="2386" ht="15.75" customHeight="1">
      <c r="A2386" t="s">
        <v>36</v>
      </c>
      <c r="B2386" t="s">
        <v>54</v>
      </c>
      <c r="C2386" t="s">
        <v>4907</v>
      </c>
      <c r="D2386" t="s">
        <v>2466</v>
      </c>
      <c r="E2386">
        <v>75495.0125924602</v>
      </c>
      <c r="F2386">
        <v>25610.4849163099</v>
      </c>
      <c r="G2386">
        <v>19509.5049252446</v>
      </c>
      <c r="H2386">
        <v>15464.8115225613</v>
      </c>
      <c r="I2386">
        <v>120615.0</v>
      </c>
      <c r="J2386">
        <v>105150.19</v>
      </c>
      <c r="K2386" s="1"/>
      <c r="L2386" s="1"/>
      <c r="M2386" s="1"/>
      <c r="N2386" s="1"/>
    </row>
    <row r="2387" ht="15.75" customHeight="1">
      <c r="A2387" t="s">
        <v>29</v>
      </c>
      <c r="B2387" t="s">
        <v>18</v>
      </c>
      <c r="C2387" t="s">
        <v>4914</v>
      </c>
      <c r="D2387" t="s">
        <v>2467</v>
      </c>
      <c r="E2387">
        <v>75505.8955623664</v>
      </c>
      <c r="F2387">
        <v>25615.0996346373</v>
      </c>
      <c r="G2387">
        <v>19517.1849286741</v>
      </c>
      <c r="H2387">
        <v>15468.2090732486</v>
      </c>
      <c r="I2387">
        <v>120638.18</v>
      </c>
      <c r="J2387">
        <v>105169.97</v>
      </c>
      <c r="K2387" s="1"/>
      <c r="L2387" s="1"/>
      <c r="M2387" s="1"/>
      <c r="N2387" s="1"/>
    </row>
    <row r="2388" ht="15.75" customHeight="1">
      <c r="A2388" t="s">
        <v>51</v>
      </c>
      <c r="B2388" t="s">
        <v>26</v>
      </c>
      <c r="C2388" t="s">
        <v>4912</v>
      </c>
      <c r="D2388" t="s">
        <v>2468</v>
      </c>
      <c r="E2388">
        <v>75516.7785322726</v>
      </c>
      <c r="F2388">
        <v>25619.7143529648</v>
      </c>
      <c r="G2388">
        <v>19524.8649321036</v>
      </c>
      <c r="H2388">
        <v>15471.6066239359</v>
      </c>
      <c r="I2388">
        <v>120661.36</v>
      </c>
      <c r="J2388">
        <v>105189.75</v>
      </c>
      <c r="K2388" s="1"/>
      <c r="L2388" s="1"/>
      <c r="M2388" s="1"/>
      <c r="N2388" s="1"/>
    </row>
    <row r="2389" ht="15.75" customHeight="1">
      <c r="A2389" t="s">
        <v>51</v>
      </c>
      <c r="B2389" t="s">
        <v>26</v>
      </c>
      <c r="C2389" t="s">
        <v>4911</v>
      </c>
      <c r="D2389" t="s">
        <v>2469</v>
      </c>
      <c r="E2389">
        <v>75527.6615021788</v>
      </c>
      <c r="F2389">
        <v>25624.3290712922</v>
      </c>
      <c r="G2389">
        <v>19532.5449355331</v>
      </c>
      <c r="H2389">
        <v>15475.0041746232</v>
      </c>
      <c r="I2389">
        <v>120684.54</v>
      </c>
      <c r="J2389">
        <v>105209.54</v>
      </c>
      <c r="K2389" s="1"/>
      <c r="L2389" s="1"/>
      <c r="M2389" s="1"/>
      <c r="N2389" s="1"/>
    </row>
    <row r="2390" ht="15.75" customHeight="1">
      <c r="A2390" t="s">
        <v>13</v>
      </c>
      <c r="B2390" t="s">
        <v>30</v>
      </c>
      <c r="C2390" t="s">
        <v>4913</v>
      </c>
      <c r="D2390" t="s">
        <v>2470</v>
      </c>
      <c r="E2390">
        <v>75538.544472085</v>
      </c>
      <c r="F2390">
        <v>25628.9437896196</v>
      </c>
      <c r="G2390">
        <v>19540.2249389626</v>
      </c>
      <c r="H2390">
        <v>15478.4017253105</v>
      </c>
      <c r="I2390">
        <v>120707.71</v>
      </c>
      <c r="J2390">
        <v>105229.31</v>
      </c>
      <c r="K2390" s="1"/>
      <c r="L2390" s="1"/>
      <c r="M2390" s="1"/>
      <c r="N2390" s="1"/>
    </row>
    <row r="2391" ht="15.75" customHeight="1">
      <c r="A2391" t="s">
        <v>51</v>
      </c>
      <c r="B2391" t="s">
        <v>30</v>
      </c>
      <c r="C2391" t="s">
        <v>4908</v>
      </c>
      <c r="D2391" t="s">
        <v>2471</v>
      </c>
      <c r="E2391">
        <v>75549.4274419912</v>
      </c>
      <c r="F2391">
        <v>25633.558507947</v>
      </c>
      <c r="G2391">
        <v>19547.9049423921</v>
      </c>
      <c r="H2391">
        <v>15481.7992759977</v>
      </c>
      <c r="I2391">
        <v>120730.89</v>
      </c>
      <c r="J2391">
        <v>105249.09</v>
      </c>
      <c r="K2391" s="1"/>
      <c r="L2391" s="1"/>
      <c r="M2391" s="1"/>
      <c r="N2391" s="1"/>
    </row>
    <row r="2392" ht="15.75" customHeight="1">
      <c r="A2392" t="s">
        <v>29</v>
      </c>
      <c r="B2392" t="s">
        <v>18</v>
      </c>
      <c r="C2392" t="s">
        <v>4909</v>
      </c>
      <c r="D2392" t="s">
        <v>2472</v>
      </c>
      <c r="E2392">
        <v>75560.3104118973</v>
      </c>
      <c r="F2392">
        <v>25638.1732262744</v>
      </c>
      <c r="G2392">
        <v>19555.5849458216</v>
      </c>
      <c r="H2392">
        <v>15485.196826685</v>
      </c>
      <c r="I2392">
        <v>120754.07</v>
      </c>
      <c r="J2392">
        <v>105268.87</v>
      </c>
      <c r="K2392" s="1"/>
      <c r="L2392" s="1"/>
      <c r="M2392" s="1"/>
      <c r="N2392" s="1"/>
    </row>
    <row r="2393" ht="15.75" customHeight="1">
      <c r="A2393" t="s">
        <v>36</v>
      </c>
      <c r="B2393" t="s">
        <v>26</v>
      </c>
      <c r="C2393" t="s">
        <v>4912</v>
      </c>
      <c r="D2393" t="s">
        <v>2473</v>
      </c>
      <c r="E2393">
        <v>75571.1933818035</v>
      </c>
      <c r="F2393">
        <v>25642.7879446019</v>
      </c>
      <c r="G2393">
        <v>19563.2649492511</v>
      </c>
      <c r="H2393">
        <v>15488.5943773723</v>
      </c>
      <c r="I2393">
        <v>120777.25</v>
      </c>
      <c r="J2393">
        <v>105288.66</v>
      </c>
      <c r="K2393" s="1"/>
      <c r="L2393" s="1"/>
      <c r="M2393" s="1"/>
      <c r="N2393" s="1"/>
    </row>
    <row r="2394" ht="15.75" customHeight="1">
      <c r="A2394" t="s">
        <v>17</v>
      </c>
      <c r="B2394" t="s">
        <v>33</v>
      </c>
      <c r="C2394" t="s">
        <v>4914</v>
      </c>
      <c r="D2394" t="s">
        <v>2474</v>
      </c>
      <c r="E2394">
        <v>75582.0763517097</v>
      </c>
      <c r="F2394">
        <v>25647.4026629293</v>
      </c>
      <c r="G2394">
        <v>19570.9449526806</v>
      </c>
      <c r="H2394">
        <v>15491.9919280596</v>
      </c>
      <c r="I2394">
        <v>120800.42</v>
      </c>
      <c r="J2394">
        <v>105308.43</v>
      </c>
      <c r="K2394" s="1"/>
      <c r="L2394" s="1"/>
      <c r="M2394" s="1"/>
      <c r="N2394" s="1"/>
    </row>
    <row r="2395" ht="15.75" customHeight="1">
      <c r="A2395" t="s">
        <v>25</v>
      </c>
      <c r="B2395" t="s">
        <v>26</v>
      </c>
      <c r="C2395" t="s">
        <v>4905</v>
      </c>
      <c r="D2395" t="s">
        <v>2475</v>
      </c>
      <c r="E2395">
        <v>71780.1808858172</v>
      </c>
      <c r="F2395">
        <v>25652.0173812567</v>
      </c>
      <c r="G2395">
        <v>19578.62495611</v>
      </c>
      <c r="H2395">
        <v>15495.3894787469</v>
      </c>
      <c r="I2395">
        <v>117010.82</v>
      </c>
      <c r="J2395">
        <v>101515.43</v>
      </c>
      <c r="K2395" s="1"/>
      <c r="L2395" s="1"/>
      <c r="M2395" s="1"/>
      <c r="N2395" s="1"/>
    </row>
    <row r="2396" ht="15.75" customHeight="1">
      <c r="A2396" t="s">
        <v>17</v>
      </c>
      <c r="B2396" t="s">
        <v>37</v>
      </c>
      <c r="C2396" t="s">
        <v>4916</v>
      </c>
      <c r="D2396" t="s">
        <v>2476</v>
      </c>
      <c r="E2396">
        <v>75603.8422915221</v>
      </c>
      <c r="F2396">
        <v>25656.6320995841</v>
      </c>
      <c r="G2396">
        <v>19586.3049595395</v>
      </c>
      <c r="H2396">
        <v>15498.7870294342</v>
      </c>
      <c r="I2396">
        <v>120846.78</v>
      </c>
      <c r="J2396">
        <v>105347.99</v>
      </c>
      <c r="K2396" s="1"/>
      <c r="L2396" s="1"/>
      <c r="M2396" s="1"/>
      <c r="N2396" s="1"/>
    </row>
    <row r="2397" ht="15.75" customHeight="1">
      <c r="A2397" t="s">
        <v>17</v>
      </c>
      <c r="B2397" t="s">
        <v>37</v>
      </c>
      <c r="C2397" t="s">
        <v>4916</v>
      </c>
      <c r="D2397" t="s">
        <v>2477</v>
      </c>
      <c r="E2397">
        <v>75614.7252614283</v>
      </c>
      <c r="F2397">
        <v>25661.2468179116</v>
      </c>
      <c r="G2397">
        <v>19593.984962969</v>
      </c>
      <c r="H2397">
        <v>15502.1845801215</v>
      </c>
      <c r="I2397">
        <v>120869.96</v>
      </c>
      <c r="J2397">
        <v>105367.78</v>
      </c>
      <c r="K2397" s="1"/>
      <c r="L2397" s="1"/>
      <c r="M2397" s="1"/>
      <c r="N2397" s="1"/>
    </row>
    <row r="2398" ht="15.75" customHeight="1">
      <c r="A2398" t="s">
        <v>51</v>
      </c>
      <c r="B2398" t="s">
        <v>37</v>
      </c>
      <c r="C2398" t="s">
        <v>4914</v>
      </c>
      <c r="D2398" t="s">
        <v>2478</v>
      </c>
      <c r="E2398">
        <v>75625.6082313345</v>
      </c>
      <c r="F2398">
        <v>25665.861536239</v>
      </c>
      <c r="G2398">
        <v>19601.6649663985</v>
      </c>
      <c r="H2398">
        <v>15505.5821308087</v>
      </c>
      <c r="I2398">
        <v>120893.13</v>
      </c>
      <c r="J2398">
        <v>105387.55</v>
      </c>
      <c r="K2398" s="1"/>
      <c r="L2398" s="1"/>
      <c r="M2398" s="1"/>
      <c r="N2398" s="1"/>
    </row>
    <row r="2399" ht="15.75" customHeight="1">
      <c r="A2399" t="s">
        <v>25</v>
      </c>
      <c r="B2399" t="s">
        <v>33</v>
      </c>
      <c r="C2399" t="s">
        <v>4907</v>
      </c>
      <c r="D2399" t="s">
        <v>2479</v>
      </c>
      <c r="E2399">
        <v>75636.4912012407</v>
      </c>
      <c r="F2399">
        <v>25670.4762545664</v>
      </c>
      <c r="G2399">
        <v>19609.344969828</v>
      </c>
      <c r="H2399">
        <v>15508.979681496</v>
      </c>
      <c r="I2399">
        <v>120916.31</v>
      </c>
      <c r="J2399">
        <v>105407.33</v>
      </c>
      <c r="K2399" s="1"/>
      <c r="L2399" s="1"/>
      <c r="M2399" s="1"/>
      <c r="N2399" s="1"/>
    </row>
    <row r="2400" ht="15.75" customHeight="1">
      <c r="A2400" t="s">
        <v>29</v>
      </c>
      <c r="B2400" t="s">
        <v>54</v>
      </c>
      <c r="C2400" t="s">
        <v>4910</v>
      </c>
      <c r="D2400" t="s">
        <v>2480</v>
      </c>
      <c r="E2400">
        <v>72210.86634532797</v>
      </c>
      <c r="F2400">
        <v>25675.0909728938</v>
      </c>
      <c r="G2400">
        <v>19617.0249732575</v>
      </c>
      <c r="H2400">
        <v>15512.3772321833</v>
      </c>
      <c r="I2400">
        <v>117502.98</v>
      </c>
      <c r="J2400">
        <v>101990.6</v>
      </c>
      <c r="K2400" s="1"/>
      <c r="L2400" s="1"/>
      <c r="M2400" s="1"/>
      <c r="N2400" s="1"/>
    </row>
    <row r="2401" ht="15.75" customHeight="1">
      <c r="A2401" t="s">
        <v>51</v>
      </c>
      <c r="B2401" t="s">
        <v>54</v>
      </c>
      <c r="C2401" t="s">
        <v>4907</v>
      </c>
      <c r="D2401" t="s">
        <v>2481</v>
      </c>
      <c r="E2401">
        <v>75658.2571410531</v>
      </c>
      <c r="F2401">
        <v>25679.7056912212</v>
      </c>
      <c r="G2401">
        <v>19624.704976687</v>
      </c>
      <c r="H2401">
        <v>15515.7747828706</v>
      </c>
      <c r="I2401">
        <v>120962.67</v>
      </c>
      <c r="J2401">
        <v>105446.9</v>
      </c>
      <c r="K2401" s="1"/>
      <c r="L2401" s="1"/>
      <c r="M2401" s="1"/>
      <c r="N2401" s="1"/>
    </row>
    <row r="2402" ht="15.75" customHeight="1">
      <c r="A2402" t="s">
        <v>36</v>
      </c>
      <c r="B2402" t="s">
        <v>14</v>
      </c>
      <c r="C2402" t="s">
        <v>4908</v>
      </c>
      <c r="D2402" t="s">
        <v>2482</v>
      </c>
      <c r="E2402">
        <v>75669.1401109593</v>
      </c>
      <c r="F2402">
        <v>25684.3204095487</v>
      </c>
      <c r="G2402">
        <v>19632.3849801165</v>
      </c>
      <c r="H2402">
        <v>15519.1723335579</v>
      </c>
      <c r="I2402">
        <v>120985.85</v>
      </c>
      <c r="J2402">
        <v>105466.68</v>
      </c>
      <c r="K2402" s="1"/>
      <c r="L2402" s="1"/>
      <c r="M2402" s="1"/>
      <c r="N2402" s="1"/>
    </row>
    <row r="2403" ht="15.75" customHeight="1">
      <c r="A2403" t="s">
        <v>29</v>
      </c>
      <c r="B2403" t="s">
        <v>14</v>
      </c>
      <c r="C2403" t="s">
        <v>4909</v>
      </c>
      <c r="D2403" t="s">
        <v>2483</v>
      </c>
      <c r="E2403">
        <v>75680.0230808655</v>
      </c>
      <c r="F2403">
        <v>25688.9351278761</v>
      </c>
      <c r="G2403">
        <v>19640.064983546</v>
      </c>
      <c r="H2403">
        <v>15522.5698842452</v>
      </c>
      <c r="I2403">
        <v>121009.02</v>
      </c>
      <c r="J2403">
        <v>105486.45</v>
      </c>
      <c r="K2403" s="1"/>
      <c r="L2403" s="1"/>
      <c r="M2403" s="1"/>
      <c r="N2403" s="1"/>
    </row>
    <row r="2404" ht="15.75" customHeight="1">
      <c r="A2404" t="s">
        <v>53</v>
      </c>
      <c r="B2404" t="s">
        <v>14</v>
      </c>
      <c r="C2404" t="s">
        <v>4912</v>
      </c>
      <c r="D2404" t="s">
        <v>2484</v>
      </c>
      <c r="E2404">
        <v>75690.9060507717</v>
      </c>
      <c r="F2404">
        <v>25693.5498462035</v>
      </c>
      <c r="G2404">
        <v>19647.7449869755</v>
      </c>
      <c r="H2404">
        <v>15525.9674349325</v>
      </c>
      <c r="I2404">
        <v>121032.2</v>
      </c>
      <c r="J2404">
        <v>105506.23</v>
      </c>
      <c r="K2404" s="1"/>
      <c r="L2404" s="1"/>
      <c r="M2404" s="1"/>
      <c r="N2404" s="1"/>
    </row>
    <row r="2405" ht="15.75" customHeight="1">
      <c r="A2405" t="s">
        <v>13</v>
      </c>
      <c r="B2405" t="s">
        <v>37</v>
      </c>
      <c r="C2405" t="s">
        <v>4912</v>
      </c>
      <c r="D2405" t="s">
        <v>2485</v>
      </c>
      <c r="E2405">
        <v>75701.7890206779</v>
      </c>
      <c r="F2405">
        <v>25698.1645645309</v>
      </c>
      <c r="G2405">
        <v>19655.424990405</v>
      </c>
      <c r="H2405">
        <v>15529.3649856198</v>
      </c>
      <c r="I2405">
        <v>121055.38</v>
      </c>
      <c r="J2405">
        <v>105526.02</v>
      </c>
      <c r="K2405" s="1"/>
      <c r="L2405" s="1"/>
      <c r="M2405" s="1"/>
      <c r="N2405" s="1"/>
    </row>
    <row r="2406" ht="15.75" customHeight="1">
      <c r="A2406" t="s">
        <v>29</v>
      </c>
      <c r="B2406" t="s">
        <v>54</v>
      </c>
      <c r="C2406" t="s">
        <v>4905</v>
      </c>
      <c r="D2406" t="s">
        <v>2486</v>
      </c>
      <c r="E2406">
        <v>75712.6719905841</v>
      </c>
      <c r="F2406">
        <v>25702.7792828584</v>
      </c>
      <c r="G2406">
        <v>19663.1049938345</v>
      </c>
      <c r="H2406">
        <v>15532.762536307</v>
      </c>
      <c r="I2406">
        <v>121078.56</v>
      </c>
      <c r="J2406">
        <v>105545.8</v>
      </c>
      <c r="K2406" s="1"/>
      <c r="L2406" s="1"/>
      <c r="M2406" s="1"/>
      <c r="N2406" s="1"/>
    </row>
    <row r="2407" ht="15.75" customHeight="1">
      <c r="A2407" t="s">
        <v>36</v>
      </c>
      <c r="B2407" t="s">
        <v>37</v>
      </c>
      <c r="C2407" t="s">
        <v>4911</v>
      </c>
      <c r="D2407" t="s">
        <v>2487</v>
      </c>
      <c r="E2407">
        <v>75723.5549604902</v>
      </c>
      <c r="F2407">
        <v>25707.3940011858</v>
      </c>
      <c r="G2407">
        <v>19670.784997264</v>
      </c>
      <c r="H2407">
        <v>15536.1600869943</v>
      </c>
      <c r="I2407">
        <v>121101.73</v>
      </c>
      <c r="J2407">
        <v>105565.57</v>
      </c>
      <c r="K2407" s="1"/>
      <c r="L2407" s="1"/>
      <c r="M2407" s="1"/>
      <c r="N2407" s="1"/>
    </row>
    <row r="2408" ht="15.75" customHeight="1">
      <c r="A2408" t="s">
        <v>29</v>
      </c>
      <c r="B2408" t="s">
        <v>14</v>
      </c>
      <c r="C2408" t="s">
        <v>4915</v>
      </c>
      <c r="D2408" t="s">
        <v>2488</v>
      </c>
      <c r="E2408">
        <v>75734.4379303964</v>
      </c>
      <c r="F2408">
        <v>25712.0087195132</v>
      </c>
      <c r="G2408">
        <v>19678.4650006935</v>
      </c>
      <c r="H2408">
        <v>15539.5576376816</v>
      </c>
      <c r="I2408">
        <v>121124.91</v>
      </c>
      <c r="J2408">
        <v>105585.35</v>
      </c>
      <c r="K2408" s="1"/>
      <c r="L2408" s="1"/>
      <c r="M2408" s="1"/>
      <c r="N2408" s="1"/>
    </row>
    <row r="2409" ht="15.75" customHeight="1">
      <c r="A2409" t="s">
        <v>51</v>
      </c>
      <c r="B2409" t="s">
        <v>33</v>
      </c>
      <c r="C2409" t="s">
        <v>4912</v>
      </c>
      <c r="D2409" t="s">
        <v>2489</v>
      </c>
      <c r="E2409">
        <v>75745.3209003026</v>
      </c>
      <c r="F2409">
        <v>25716.6234378406</v>
      </c>
      <c r="G2409">
        <v>19686.145004123</v>
      </c>
      <c r="H2409">
        <v>15542.9551883689</v>
      </c>
      <c r="I2409">
        <v>121148.09</v>
      </c>
      <c r="J2409">
        <v>105605.13</v>
      </c>
      <c r="K2409" s="1"/>
      <c r="L2409" s="1"/>
      <c r="M2409" s="1"/>
      <c r="N2409" s="1"/>
    </row>
    <row r="2410" ht="15.75" customHeight="1">
      <c r="A2410" t="s">
        <v>51</v>
      </c>
      <c r="B2410" t="s">
        <v>37</v>
      </c>
      <c r="C2410" t="s">
        <v>4907</v>
      </c>
      <c r="D2410" t="s">
        <v>2490</v>
      </c>
      <c r="E2410">
        <v>75756.2038702088</v>
      </c>
      <c r="F2410">
        <v>25721.238156168</v>
      </c>
      <c r="G2410">
        <v>19693.8250075525</v>
      </c>
      <c r="H2410">
        <v>15546.3527390562</v>
      </c>
      <c r="I2410">
        <v>121171.27</v>
      </c>
      <c r="J2410">
        <v>105624.92</v>
      </c>
      <c r="K2410" s="1"/>
      <c r="L2410" s="1"/>
      <c r="M2410" s="1"/>
      <c r="N2410" s="1"/>
    </row>
    <row r="2411" ht="15.75" customHeight="1">
      <c r="A2411" t="s">
        <v>53</v>
      </c>
      <c r="B2411" t="s">
        <v>26</v>
      </c>
      <c r="C2411" t="s">
        <v>4914</v>
      </c>
      <c r="D2411" t="s">
        <v>2491</v>
      </c>
      <c r="E2411">
        <v>75767.086840115</v>
      </c>
      <c r="F2411">
        <v>25725.8528744955</v>
      </c>
      <c r="G2411">
        <v>19701.505010982</v>
      </c>
      <c r="H2411">
        <v>15549.7502897435</v>
      </c>
      <c r="I2411">
        <v>121194.44</v>
      </c>
      <c r="J2411">
        <v>105644.69</v>
      </c>
      <c r="K2411" s="1"/>
      <c r="L2411" s="1"/>
      <c r="M2411" s="1"/>
      <c r="N2411" s="1"/>
    </row>
    <row r="2412" ht="15.75" customHeight="1">
      <c r="A2412" t="s">
        <v>51</v>
      </c>
      <c r="B2412" t="s">
        <v>54</v>
      </c>
      <c r="C2412" t="s">
        <v>4912</v>
      </c>
      <c r="D2412" t="s">
        <v>2492</v>
      </c>
      <c r="E2412">
        <v>75777.9698100212</v>
      </c>
      <c r="F2412">
        <v>25730.4675928229</v>
      </c>
      <c r="G2412">
        <v>19709.1850144115</v>
      </c>
      <c r="H2412">
        <v>15553.1478404308</v>
      </c>
      <c r="I2412">
        <v>121217.62</v>
      </c>
      <c r="J2412">
        <v>105664.47</v>
      </c>
      <c r="K2412" s="1"/>
      <c r="L2412" s="1"/>
      <c r="M2412" s="1"/>
      <c r="N2412" s="1"/>
    </row>
    <row r="2413" ht="15.75" customHeight="1">
      <c r="A2413" t="s">
        <v>53</v>
      </c>
      <c r="B2413" t="s">
        <v>54</v>
      </c>
      <c r="C2413" t="s">
        <v>4909</v>
      </c>
      <c r="D2413" t="s">
        <v>2493</v>
      </c>
      <c r="E2413">
        <v>75788.8527799274</v>
      </c>
      <c r="F2413">
        <v>25735.0823111503</v>
      </c>
      <c r="G2413">
        <v>19716.865017841</v>
      </c>
      <c r="H2413">
        <v>15556.5453911181</v>
      </c>
      <c r="I2413">
        <v>121240.8</v>
      </c>
      <c r="J2413">
        <v>105684.25</v>
      </c>
      <c r="K2413" s="1"/>
      <c r="L2413" s="1"/>
      <c r="M2413" s="1"/>
      <c r="N2413" s="1"/>
    </row>
    <row r="2414" ht="15.75" customHeight="1">
      <c r="A2414" t="s">
        <v>17</v>
      </c>
      <c r="B2414" t="s">
        <v>14</v>
      </c>
      <c r="C2414" t="s">
        <v>4911</v>
      </c>
      <c r="D2414" t="s">
        <v>2494</v>
      </c>
      <c r="E2414">
        <v>75799.7357498336</v>
      </c>
      <c r="F2414">
        <v>25739.6970294777</v>
      </c>
      <c r="G2414">
        <v>19724.5450212705</v>
      </c>
      <c r="H2414">
        <v>15559.9429418053</v>
      </c>
      <c r="I2414">
        <v>121263.98</v>
      </c>
      <c r="J2414">
        <v>105704.04</v>
      </c>
      <c r="K2414" s="1"/>
      <c r="L2414" s="1"/>
      <c r="M2414" s="1"/>
      <c r="N2414" s="1"/>
    </row>
    <row r="2415" ht="15.75" customHeight="1">
      <c r="A2415" t="s">
        <v>51</v>
      </c>
      <c r="B2415" t="s">
        <v>33</v>
      </c>
      <c r="C2415" t="s">
        <v>4915</v>
      </c>
      <c r="D2415" t="s">
        <v>2495</v>
      </c>
      <c r="E2415">
        <v>75810.6187197398</v>
      </c>
      <c r="F2415">
        <v>25744.3117478052</v>
      </c>
      <c r="G2415">
        <v>19732.2250247</v>
      </c>
      <c r="H2415">
        <v>15563.3404924926</v>
      </c>
      <c r="I2415">
        <v>121287.16</v>
      </c>
      <c r="J2415">
        <v>105723.82</v>
      </c>
      <c r="K2415" s="1"/>
      <c r="L2415" s="1"/>
      <c r="M2415" s="1"/>
      <c r="N2415" s="1"/>
    </row>
    <row r="2416" ht="15.75" customHeight="1">
      <c r="A2416" t="s">
        <v>36</v>
      </c>
      <c r="B2416" t="s">
        <v>18</v>
      </c>
      <c r="C2416" t="s">
        <v>4915</v>
      </c>
      <c r="D2416" t="s">
        <v>2496</v>
      </c>
      <c r="E2416">
        <v>75821.501689646</v>
      </c>
      <c r="F2416">
        <v>25748.9264661326</v>
      </c>
      <c r="G2416">
        <v>19739.9050281295</v>
      </c>
      <c r="H2416">
        <v>15566.7380431799</v>
      </c>
      <c r="I2416">
        <v>121310.33</v>
      </c>
      <c r="J2416">
        <v>105743.59</v>
      </c>
      <c r="K2416" s="1"/>
      <c r="L2416" s="1"/>
      <c r="M2416" s="1"/>
      <c r="N2416" s="1"/>
    </row>
    <row r="2417" ht="15.75" customHeight="1">
      <c r="A2417" t="s">
        <v>25</v>
      </c>
      <c r="B2417" t="s">
        <v>30</v>
      </c>
      <c r="C2417" t="s">
        <v>4913</v>
      </c>
      <c r="D2417" t="s">
        <v>2497</v>
      </c>
      <c r="E2417">
        <v>75832.3846595522</v>
      </c>
      <c r="F2417">
        <v>25753.54118446</v>
      </c>
      <c r="G2417">
        <v>19747.585031559</v>
      </c>
      <c r="H2417">
        <v>15570.1355938672</v>
      </c>
      <c r="I2417">
        <v>121333.51</v>
      </c>
      <c r="J2417">
        <v>105763.37</v>
      </c>
      <c r="K2417" s="1"/>
      <c r="L2417" s="1"/>
      <c r="M2417" s="1"/>
      <c r="N2417" s="1"/>
    </row>
    <row r="2418" ht="15.75" customHeight="1">
      <c r="A2418" t="s">
        <v>25</v>
      </c>
      <c r="B2418" t="s">
        <v>30</v>
      </c>
      <c r="C2418" t="s">
        <v>4908</v>
      </c>
      <c r="D2418" t="s">
        <v>2498</v>
      </c>
      <c r="E2418">
        <v>75843.2676294584</v>
      </c>
      <c r="F2418">
        <v>25758.1559027874</v>
      </c>
      <c r="G2418">
        <v>19755.2650349885</v>
      </c>
      <c r="H2418">
        <v>15573.5331445545</v>
      </c>
      <c r="I2418">
        <v>121356.69</v>
      </c>
      <c r="J2418">
        <v>105783.16</v>
      </c>
      <c r="K2418" s="1"/>
      <c r="L2418" s="1"/>
      <c r="M2418" s="1"/>
      <c r="N2418" s="1"/>
    </row>
    <row r="2419" ht="15.75" customHeight="1">
      <c r="A2419" t="s">
        <v>36</v>
      </c>
      <c r="B2419" t="s">
        <v>33</v>
      </c>
      <c r="C2419" t="s">
        <v>4915</v>
      </c>
      <c r="D2419" t="s">
        <v>2499</v>
      </c>
      <c r="E2419">
        <v>75854.1505993646</v>
      </c>
      <c r="F2419">
        <v>25762.7706211148</v>
      </c>
      <c r="G2419">
        <v>19762.945038418</v>
      </c>
      <c r="H2419">
        <v>15576.9306952418</v>
      </c>
      <c r="I2419">
        <v>121379.87</v>
      </c>
      <c r="J2419">
        <v>105802.94</v>
      </c>
      <c r="K2419" s="1"/>
      <c r="L2419" s="1"/>
      <c r="M2419" s="1"/>
      <c r="N2419" s="1"/>
    </row>
    <row r="2420" ht="15.75" customHeight="1">
      <c r="A2420" t="s">
        <v>29</v>
      </c>
      <c r="B2420" t="s">
        <v>14</v>
      </c>
      <c r="C2420" t="s">
        <v>4910</v>
      </c>
      <c r="D2420" t="s">
        <v>2500</v>
      </c>
      <c r="E2420">
        <v>75865.0335692708</v>
      </c>
      <c r="F2420">
        <v>25767.3853394423</v>
      </c>
      <c r="G2420">
        <v>19770.6250418475</v>
      </c>
      <c r="H2420">
        <v>15580.3282459291</v>
      </c>
      <c r="I2420">
        <v>121403.04</v>
      </c>
      <c r="J2420">
        <v>105822.71</v>
      </c>
      <c r="K2420" s="1"/>
      <c r="L2420" s="1"/>
      <c r="M2420" s="1"/>
      <c r="N2420" s="1"/>
    </row>
    <row r="2421" ht="15.75" customHeight="1">
      <c r="A2421" t="s">
        <v>13</v>
      </c>
      <c r="B2421" t="s">
        <v>26</v>
      </c>
      <c r="C2421" t="s">
        <v>4909</v>
      </c>
      <c r="D2421" t="s">
        <v>2501</v>
      </c>
      <c r="E2421">
        <v>75875.916539177</v>
      </c>
      <c r="F2421">
        <v>25772.0000577697</v>
      </c>
      <c r="G2421">
        <v>19778.305045277</v>
      </c>
      <c r="H2421">
        <v>15583.7257966163</v>
      </c>
      <c r="I2421">
        <v>121426.22</v>
      </c>
      <c r="J2421">
        <v>105842.49</v>
      </c>
      <c r="K2421" s="1"/>
      <c r="L2421" s="1"/>
      <c r="M2421" s="1"/>
      <c r="N2421" s="1"/>
    </row>
    <row r="2422" ht="15.75" customHeight="1">
      <c r="A2422" t="s">
        <v>17</v>
      </c>
      <c r="B2422" t="s">
        <v>26</v>
      </c>
      <c r="C2422" t="s">
        <v>4917</v>
      </c>
      <c r="D2422" t="s">
        <v>2502</v>
      </c>
      <c r="E2422">
        <v>75886.7995090831</v>
      </c>
      <c r="F2422">
        <v>25776.6147760971</v>
      </c>
      <c r="G2422">
        <v>19785.9850487065</v>
      </c>
      <c r="H2422">
        <v>15587.1233473036</v>
      </c>
      <c r="I2422">
        <v>121449.4</v>
      </c>
      <c r="J2422">
        <v>105862.28</v>
      </c>
      <c r="K2422" s="1"/>
      <c r="L2422" s="1"/>
      <c r="M2422" s="1"/>
      <c r="N2422" s="1"/>
    </row>
    <row r="2423" ht="15.75" customHeight="1">
      <c r="A2423" t="s">
        <v>17</v>
      </c>
      <c r="B2423" t="s">
        <v>30</v>
      </c>
      <c r="C2423" t="s">
        <v>4910</v>
      </c>
      <c r="D2423" t="s">
        <v>2503</v>
      </c>
      <c r="E2423">
        <v>75897.6824789893</v>
      </c>
      <c r="F2423">
        <v>25781.2294944245</v>
      </c>
      <c r="G2423">
        <v>19793.665052136</v>
      </c>
      <c r="H2423">
        <v>15590.5208979909</v>
      </c>
      <c r="I2423">
        <v>121472.58</v>
      </c>
      <c r="J2423">
        <v>105882.06</v>
      </c>
      <c r="K2423" s="1"/>
      <c r="L2423" s="1"/>
      <c r="M2423" s="1"/>
      <c r="N2423" s="1"/>
    </row>
    <row r="2424" ht="15.75" customHeight="1">
      <c r="A2424" t="s">
        <v>13</v>
      </c>
      <c r="B2424" t="s">
        <v>18</v>
      </c>
      <c r="C2424" t="s">
        <v>4905</v>
      </c>
      <c r="D2424" t="s">
        <v>2504</v>
      </c>
      <c r="E2424">
        <v>75908.5654488955</v>
      </c>
      <c r="F2424">
        <v>25785.844212752</v>
      </c>
      <c r="G2424">
        <v>19801.3450555655</v>
      </c>
      <c r="H2424">
        <v>15593.9184486782</v>
      </c>
      <c r="I2424">
        <v>121495.75</v>
      </c>
      <c r="J2424">
        <v>105901.83</v>
      </c>
      <c r="K2424" s="1"/>
      <c r="L2424" s="1"/>
      <c r="M2424" s="1"/>
      <c r="N2424" s="1"/>
    </row>
    <row r="2425" ht="15.75" customHeight="1">
      <c r="A2425" t="s">
        <v>25</v>
      </c>
      <c r="B2425" t="s">
        <v>14</v>
      </c>
      <c r="C2425" t="s">
        <v>4910</v>
      </c>
      <c r="D2425" t="s">
        <v>2505</v>
      </c>
      <c r="E2425">
        <v>75919.4484188017</v>
      </c>
      <c r="F2425">
        <v>25790.4589310794</v>
      </c>
      <c r="G2425">
        <v>19809.025058995</v>
      </c>
      <c r="H2425">
        <v>15597.3159993655</v>
      </c>
      <c r="I2425">
        <v>121518.93</v>
      </c>
      <c r="J2425">
        <v>105921.61</v>
      </c>
      <c r="K2425" s="1"/>
      <c r="L2425" s="1"/>
      <c r="M2425" s="1"/>
      <c r="N2425" s="1"/>
    </row>
    <row r="2426" ht="15.75" customHeight="1">
      <c r="A2426" t="s">
        <v>25</v>
      </c>
      <c r="B2426" t="s">
        <v>18</v>
      </c>
      <c r="C2426" t="s">
        <v>4909</v>
      </c>
      <c r="D2426" t="s">
        <v>2506</v>
      </c>
      <c r="E2426">
        <v>75930.3313887079</v>
      </c>
      <c r="F2426">
        <v>25795.0736494068</v>
      </c>
      <c r="G2426">
        <v>19816.7050624245</v>
      </c>
      <c r="H2426">
        <v>15600.7135500528</v>
      </c>
      <c r="I2426">
        <v>121542.11</v>
      </c>
      <c r="J2426">
        <v>105941.4</v>
      </c>
      <c r="K2426" s="1"/>
      <c r="L2426" s="1"/>
      <c r="M2426" s="1"/>
      <c r="N2426" s="1"/>
    </row>
    <row r="2427" ht="15.75" customHeight="1">
      <c r="A2427" t="s">
        <v>25</v>
      </c>
      <c r="B2427" t="s">
        <v>33</v>
      </c>
      <c r="C2427" t="s">
        <v>4907</v>
      </c>
      <c r="D2427" t="s">
        <v>2508</v>
      </c>
      <c r="E2427">
        <v>75941.2143586141</v>
      </c>
      <c r="F2427">
        <v>25799.6883677342</v>
      </c>
      <c r="G2427">
        <v>19824.385065854</v>
      </c>
      <c r="H2427">
        <v>15604.1111007401</v>
      </c>
      <c r="I2427">
        <v>121565.29</v>
      </c>
      <c r="J2427">
        <v>105961.18</v>
      </c>
      <c r="K2427" s="1"/>
      <c r="L2427" s="1"/>
      <c r="M2427" s="1"/>
      <c r="N2427" s="1"/>
    </row>
    <row r="2428" ht="15.75" customHeight="1">
      <c r="A2428" t="s">
        <v>13</v>
      </c>
      <c r="B2428" t="s">
        <v>37</v>
      </c>
      <c r="C2428" t="s">
        <v>4907</v>
      </c>
      <c r="D2428" t="s">
        <v>2509</v>
      </c>
      <c r="E2428">
        <v>75952.0973285203</v>
      </c>
      <c r="F2428">
        <v>25804.3030860616</v>
      </c>
      <c r="G2428">
        <v>19832.0650692835</v>
      </c>
      <c r="H2428">
        <v>14327.38295125808</v>
      </c>
      <c r="I2428">
        <v>121588.47</v>
      </c>
      <c r="J2428">
        <v>107261.09</v>
      </c>
      <c r="K2428" s="1"/>
      <c r="L2428" s="1"/>
      <c r="M2428" s="1"/>
      <c r="N2428" s="1"/>
    </row>
    <row r="2429" ht="15.75" customHeight="1">
      <c r="A2429" t="s">
        <v>53</v>
      </c>
      <c r="B2429" t="s">
        <v>14</v>
      </c>
      <c r="C2429" t="s">
        <v>4911</v>
      </c>
      <c r="D2429" t="s">
        <v>2510</v>
      </c>
      <c r="E2429">
        <v>75962.9802984265</v>
      </c>
      <c r="F2429">
        <v>25808.9178043891</v>
      </c>
      <c r="G2429">
        <v>19839.745072713</v>
      </c>
      <c r="H2429">
        <v>15610.9062021146</v>
      </c>
      <c r="I2429">
        <v>121611.64</v>
      </c>
      <c r="J2429">
        <v>106000.73</v>
      </c>
      <c r="K2429" s="1"/>
      <c r="L2429" s="1"/>
      <c r="M2429" s="1"/>
      <c r="N2429" s="1"/>
    </row>
    <row r="2430" ht="15.75" customHeight="1">
      <c r="A2430" t="s">
        <v>17</v>
      </c>
      <c r="B2430" t="s">
        <v>54</v>
      </c>
      <c r="C2430" t="s">
        <v>4916</v>
      </c>
      <c r="D2430" t="s">
        <v>2511</v>
      </c>
      <c r="E2430">
        <v>75973.8632683327</v>
      </c>
      <c r="F2430">
        <v>25813.5325227165</v>
      </c>
      <c r="G2430">
        <v>19847.4250761425</v>
      </c>
      <c r="H2430">
        <v>15614.3037528019</v>
      </c>
      <c r="I2430">
        <v>121634.82</v>
      </c>
      <c r="J2430">
        <v>106020.52</v>
      </c>
      <c r="K2430" s="1"/>
      <c r="L2430" s="1"/>
      <c r="M2430" s="1"/>
      <c r="N2430" s="1"/>
    </row>
    <row r="2431" ht="15.75" customHeight="1">
      <c r="A2431" t="s">
        <v>25</v>
      </c>
      <c r="B2431" t="s">
        <v>37</v>
      </c>
      <c r="C2431" t="s">
        <v>4913</v>
      </c>
      <c r="D2431" t="s">
        <v>2512</v>
      </c>
      <c r="E2431">
        <v>75984.7462382389</v>
      </c>
      <c r="F2431">
        <v>25818.1472410439</v>
      </c>
      <c r="G2431">
        <v>19855.105079572</v>
      </c>
      <c r="H2431">
        <v>15617.7013034892</v>
      </c>
      <c r="I2431">
        <v>121658.0</v>
      </c>
      <c r="J2431">
        <v>106040.3</v>
      </c>
      <c r="K2431" s="1"/>
      <c r="L2431" s="1"/>
      <c r="M2431" s="1"/>
      <c r="N2431" s="1"/>
    </row>
    <row r="2432" ht="15.75" customHeight="1">
      <c r="A2432" t="s">
        <v>36</v>
      </c>
      <c r="B2432" t="s">
        <v>54</v>
      </c>
      <c r="C2432" t="s">
        <v>4905</v>
      </c>
      <c r="D2432" t="s">
        <v>2513</v>
      </c>
      <c r="E2432">
        <v>75995.6292081451</v>
      </c>
      <c r="F2432">
        <v>25822.7619593713</v>
      </c>
      <c r="G2432">
        <v>19862.7850830014</v>
      </c>
      <c r="H2432">
        <v>15621.0988541765</v>
      </c>
      <c r="I2432">
        <v>121681.18</v>
      </c>
      <c r="J2432">
        <v>106060.08</v>
      </c>
      <c r="K2432" s="1"/>
      <c r="L2432" s="1"/>
      <c r="M2432" s="1"/>
      <c r="N2432" s="1"/>
    </row>
    <row r="2433" ht="15.75" customHeight="1">
      <c r="A2433" t="s">
        <v>36</v>
      </c>
      <c r="B2433" t="s">
        <v>26</v>
      </c>
      <c r="C2433" t="s">
        <v>4907</v>
      </c>
      <c r="D2433" t="s">
        <v>2514</v>
      </c>
      <c r="E2433">
        <v>76006.5121780513</v>
      </c>
      <c r="F2433">
        <v>25827.3766776988</v>
      </c>
      <c r="G2433">
        <v>19870.4650864309</v>
      </c>
      <c r="H2433">
        <v>15624.4964048638</v>
      </c>
      <c r="I2433">
        <v>121704.35</v>
      </c>
      <c r="J2433">
        <v>106079.85</v>
      </c>
      <c r="K2433" s="1"/>
      <c r="L2433" s="1"/>
      <c r="M2433" s="1"/>
      <c r="N2433" s="1"/>
    </row>
    <row r="2434" ht="15.75" customHeight="1">
      <c r="A2434" t="s">
        <v>29</v>
      </c>
      <c r="B2434" t="s">
        <v>37</v>
      </c>
      <c r="C2434" t="s">
        <v>4913</v>
      </c>
      <c r="D2434" t="s">
        <v>2515</v>
      </c>
      <c r="E2434">
        <v>76017.3951479575</v>
      </c>
      <c r="F2434">
        <v>25831.9913960262</v>
      </c>
      <c r="G2434">
        <v>19878.1450898604</v>
      </c>
      <c r="H2434">
        <v>15627.8939555511</v>
      </c>
      <c r="I2434">
        <v>121727.53</v>
      </c>
      <c r="J2434">
        <v>106099.64</v>
      </c>
      <c r="K2434" s="1"/>
      <c r="L2434" s="1"/>
      <c r="M2434" s="1"/>
      <c r="N2434" s="1"/>
    </row>
    <row r="2435" ht="15.75" customHeight="1">
      <c r="A2435" t="s">
        <v>36</v>
      </c>
      <c r="B2435" t="s">
        <v>33</v>
      </c>
      <c r="C2435" t="s">
        <v>4914</v>
      </c>
      <c r="D2435" t="s">
        <v>2516</v>
      </c>
      <c r="E2435">
        <v>76028.2781178637</v>
      </c>
      <c r="F2435">
        <v>25836.6061143536</v>
      </c>
      <c r="G2435">
        <v>19885.8250932899</v>
      </c>
      <c r="H2435">
        <v>15631.2915062384</v>
      </c>
      <c r="I2435">
        <v>121750.71</v>
      </c>
      <c r="J2435">
        <v>106119.42</v>
      </c>
      <c r="K2435" s="1"/>
      <c r="L2435" s="1"/>
      <c r="M2435" s="1"/>
      <c r="N2435" s="1"/>
    </row>
    <row r="2436" ht="15.75" customHeight="1">
      <c r="A2436" t="s">
        <v>36</v>
      </c>
      <c r="B2436" t="s">
        <v>54</v>
      </c>
      <c r="C2436" t="s">
        <v>4917</v>
      </c>
      <c r="D2436" t="s">
        <v>2517</v>
      </c>
      <c r="E2436">
        <v>76039.1610877699</v>
      </c>
      <c r="F2436">
        <v>25841.220832681</v>
      </c>
      <c r="G2436">
        <v>19893.5050967194</v>
      </c>
      <c r="H2436">
        <v>15634.6890569257</v>
      </c>
      <c r="I2436">
        <v>121773.89</v>
      </c>
      <c r="J2436">
        <v>106139.2</v>
      </c>
      <c r="K2436" s="1"/>
      <c r="L2436" s="1"/>
      <c r="M2436" s="1"/>
      <c r="N2436" s="1"/>
    </row>
    <row r="2437" ht="15.75" customHeight="1">
      <c r="A2437" t="s">
        <v>25</v>
      </c>
      <c r="B2437" t="s">
        <v>33</v>
      </c>
      <c r="C2437" t="s">
        <v>4910</v>
      </c>
      <c r="D2437" t="s">
        <v>2518</v>
      </c>
      <c r="E2437">
        <v>76050.044057676</v>
      </c>
      <c r="F2437">
        <v>25845.8355510084</v>
      </c>
      <c r="G2437">
        <v>19901.1851001489</v>
      </c>
      <c r="H2437">
        <v>15638.0866076129</v>
      </c>
      <c r="I2437">
        <v>121797.06</v>
      </c>
      <c r="J2437">
        <v>106158.97</v>
      </c>
      <c r="K2437" s="1"/>
      <c r="L2437" s="1"/>
      <c r="M2437" s="1"/>
      <c r="N2437" s="1"/>
    </row>
    <row r="2438" ht="15.75" customHeight="1">
      <c r="A2438" t="s">
        <v>36</v>
      </c>
      <c r="B2438" t="s">
        <v>33</v>
      </c>
      <c r="C2438" t="s">
        <v>4908</v>
      </c>
      <c r="D2438" t="s">
        <v>2519</v>
      </c>
      <c r="E2438">
        <v>76060.9270275822</v>
      </c>
      <c r="F2438">
        <v>25850.4502693359</v>
      </c>
      <c r="G2438">
        <v>19908.8651035784</v>
      </c>
      <c r="H2438">
        <v>15641.4841583002</v>
      </c>
      <c r="I2438">
        <v>121820.24</v>
      </c>
      <c r="J2438">
        <v>106178.76</v>
      </c>
      <c r="K2438" s="1"/>
      <c r="L2438" s="1"/>
      <c r="M2438" s="1"/>
      <c r="N2438" s="1"/>
    </row>
    <row r="2439" ht="15.75" customHeight="1">
      <c r="A2439" t="s">
        <v>36</v>
      </c>
      <c r="B2439" t="s">
        <v>30</v>
      </c>
      <c r="C2439" t="s">
        <v>4908</v>
      </c>
      <c r="D2439" t="s">
        <v>2520</v>
      </c>
      <c r="E2439">
        <v>76071.8099974884</v>
      </c>
      <c r="F2439">
        <v>25855.0649876633</v>
      </c>
      <c r="G2439">
        <v>19916.5451070079</v>
      </c>
      <c r="H2439">
        <v>15644.8817089875</v>
      </c>
      <c r="I2439">
        <v>121843.42</v>
      </c>
      <c r="J2439">
        <v>106198.54</v>
      </c>
      <c r="K2439" s="1"/>
      <c r="L2439" s="1"/>
      <c r="M2439" s="1"/>
      <c r="N2439" s="1"/>
    </row>
    <row r="2440" ht="15.75" customHeight="1">
      <c r="A2440" t="s">
        <v>36</v>
      </c>
      <c r="B2440" t="s">
        <v>37</v>
      </c>
      <c r="C2440" t="s">
        <v>4914</v>
      </c>
      <c r="D2440" t="s">
        <v>2521</v>
      </c>
      <c r="E2440">
        <v>76082.6929673946</v>
      </c>
      <c r="F2440">
        <v>25859.6797059907</v>
      </c>
      <c r="G2440">
        <v>19924.2251104374</v>
      </c>
      <c r="H2440">
        <v>15648.2792596748</v>
      </c>
      <c r="I2440">
        <v>121866.6</v>
      </c>
      <c r="J2440">
        <v>106218.32</v>
      </c>
      <c r="K2440" s="1"/>
      <c r="L2440" s="1"/>
      <c r="M2440" s="1"/>
      <c r="N2440" s="1"/>
    </row>
    <row r="2441" ht="15.75" customHeight="1">
      <c r="A2441" t="s">
        <v>13</v>
      </c>
      <c r="B2441" t="s">
        <v>18</v>
      </c>
      <c r="C2441" t="s">
        <v>4914</v>
      </c>
      <c r="D2441" t="s">
        <v>2522</v>
      </c>
      <c r="E2441">
        <v>76093.5759373008</v>
      </c>
      <c r="F2441">
        <v>25864.2944243181</v>
      </c>
      <c r="G2441">
        <v>19931.9051138669</v>
      </c>
      <c r="H2441">
        <v>15651.6768103621</v>
      </c>
      <c r="I2441">
        <v>121889.78</v>
      </c>
      <c r="J2441">
        <v>106238.1</v>
      </c>
      <c r="K2441" s="1"/>
      <c r="L2441" s="1"/>
      <c r="M2441" s="1"/>
      <c r="N2441" s="1"/>
    </row>
    <row r="2442" ht="15.75" customHeight="1">
      <c r="A2442" t="s">
        <v>25</v>
      </c>
      <c r="B2442" t="s">
        <v>18</v>
      </c>
      <c r="C2442" t="s">
        <v>4915</v>
      </c>
      <c r="D2442" t="s">
        <v>2523</v>
      </c>
      <c r="E2442">
        <v>76104.458907207</v>
      </c>
      <c r="F2442">
        <v>25868.9091426456</v>
      </c>
      <c r="G2442">
        <v>19939.5851172964</v>
      </c>
      <c r="H2442">
        <v>15655.0743610494</v>
      </c>
      <c r="I2442">
        <v>121912.95</v>
      </c>
      <c r="J2442">
        <v>106257.88</v>
      </c>
      <c r="K2442" s="1"/>
      <c r="L2442" s="1"/>
      <c r="M2442" s="1"/>
      <c r="N2442" s="1"/>
    </row>
    <row r="2443" ht="15.75" customHeight="1">
      <c r="A2443" t="s">
        <v>13</v>
      </c>
      <c r="B2443" t="s">
        <v>30</v>
      </c>
      <c r="C2443" t="s">
        <v>4913</v>
      </c>
      <c r="D2443" t="s">
        <v>2524</v>
      </c>
      <c r="E2443">
        <v>76115.3418771132</v>
      </c>
      <c r="F2443">
        <v>25873.523860973</v>
      </c>
      <c r="G2443">
        <v>19947.2651207259</v>
      </c>
      <c r="H2443">
        <v>15658.4719117367</v>
      </c>
      <c r="I2443">
        <v>121936.13</v>
      </c>
      <c r="J2443">
        <v>106277.66</v>
      </c>
      <c r="K2443" s="1"/>
      <c r="L2443" s="1"/>
      <c r="M2443" s="1"/>
      <c r="N2443" s="1"/>
    </row>
    <row r="2444" ht="15.75" customHeight="1">
      <c r="A2444" t="s">
        <v>51</v>
      </c>
      <c r="B2444" t="s">
        <v>26</v>
      </c>
      <c r="C2444" t="s">
        <v>4910</v>
      </c>
      <c r="D2444" t="s">
        <v>2525</v>
      </c>
      <c r="E2444">
        <v>76126.2248470194</v>
      </c>
      <c r="F2444">
        <v>25878.1385793004</v>
      </c>
      <c r="G2444">
        <v>19954.9451241554</v>
      </c>
      <c r="H2444">
        <v>15661.8694624239</v>
      </c>
      <c r="I2444">
        <v>121959.31</v>
      </c>
      <c r="J2444">
        <v>106297.44</v>
      </c>
      <c r="K2444" s="1"/>
      <c r="L2444" s="1"/>
      <c r="M2444" s="1"/>
      <c r="N2444" s="1"/>
    </row>
    <row r="2445" ht="15.75" customHeight="1">
      <c r="A2445" t="s">
        <v>13</v>
      </c>
      <c r="B2445" t="s">
        <v>37</v>
      </c>
      <c r="C2445" t="s">
        <v>4914</v>
      </c>
      <c r="D2445" t="s">
        <v>2526</v>
      </c>
      <c r="E2445">
        <v>76137.1078169256</v>
      </c>
      <c r="F2445">
        <v>25882.7532976278</v>
      </c>
      <c r="G2445">
        <v>19962.6251275849</v>
      </c>
      <c r="H2445">
        <v>15665.2670131112</v>
      </c>
      <c r="I2445">
        <v>121982.49</v>
      </c>
      <c r="J2445">
        <v>106317.22</v>
      </c>
      <c r="K2445" s="1"/>
      <c r="L2445" s="1"/>
      <c r="M2445" s="1"/>
      <c r="N2445" s="1"/>
    </row>
    <row r="2446" ht="15.75" customHeight="1">
      <c r="A2446" t="s">
        <v>29</v>
      </c>
      <c r="B2446" t="s">
        <v>26</v>
      </c>
      <c r="C2446" t="s">
        <v>4914</v>
      </c>
      <c r="D2446" t="s">
        <v>2527</v>
      </c>
      <c r="E2446">
        <v>76147.9907868318</v>
      </c>
      <c r="F2446">
        <v>25887.3680159552</v>
      </c>
      <c r="G2446">
        <v>19970.3051310144</v>
      </c>
      <c r="H2446">
        <v>15668.6645637985</v>
      </c>
      <c r="I2446">
        <v>122005.66</v>
      </c>
      <c r="J2446">
        <v>106337.0</v>
      </c>
      <c r="K2446" s="1"/>
      <c r="L2446" s="1"/>
      <c r="M2446" s="1"/>
      <c r="N2446" s="1"/>
    </row>
    <row r="2447" ht="15.75" customHeight="1">
      <c r="A2447" t="s">
        <v>25</v>
      </c>
      <c r="B2447" t="s">
        <v>14</v>
      </c>
      <c r="C2447" t="s">
        <v>4908</v>
      </c>
      <c r="D2447" t="s">
        <v>2528</v>
      </c>
      <c r="E2447">
        <v>76158.873756738</v>
      </c>
      <c r="F2447">
        <v>25891.9827342827</v>
      </c>
      <c r="G2447">
        <v>19977.9851344439</v>
      </c>
      <c r="H2447">
        <v>15672.0621144858</v>
      </c>
      <c r="I2447">
        <v>122028.84</v>
      </c>
      <c r="J2447">
        <v>106356.78</v>
      </c>
      <c r="K2447" s="1"/>
      <c r="L2447" s="1"/>
      <c r="M2447" s="1"/>
      <c r="N2447" s="1"/>
    </row>
    <row r="2448" ht="15.75" customHeight="1">
      <c r="A2448" t="s">
        <v>53</v>
      </c>
      <c r="B2448" t="s">
        <v>37</v>
      </c>
      <c r="C2448" t="s">
        <v>4913</v>
      </c>
      <c r="D2448" t="s">
        <v>2529</v>
      </c>
      <c r="E2448">
        <v>76169.7567266442</v>
      </c>
      <c r="F2448">
        <v>25896.5974526101</v>
      </c>
      <c r="G2448">
        <v>19985.6651378734</v>
      </c>
      <c r="H2448">
        <v>15675.4596651731</v>
      </c>
      <c r="I2448">
        <v>122052.02</v>
      </c>
      <c r="J2448">
        <v>106376.56</v>
      </c>
      <c r="K2448" s="1"/>
      <c r="L2448" s="1"/>
      <c r="M2448" s="1"/>
      <c r="N2448" s="1"/>
    </row>
    <row r="2449" ht="15.75" customHeight="1">
      <c r="A2449" t="s">
        <v>29</v>
      </c>
      <c r="B2449" t="s">
        <v>33</v>
      </c>
      <c r="C2449" t="s">
        <v>4907</v>
      </c>
      <c r="D2449" t="s">
        <v>2530</v>
      </c>
      <c r="E2449">
        <v>76180.6396965504</v>
      </c>
      <c r="F2449">
        <v>25901.2121709375</v>
      </c>
      <c r="G2449">
        <v>19993.3451413029</v>
      </c>
      <c r="H2449">
        <v>15678.8572158604</v>
      </c>
      <c r="I2449">
        <v>122075.2</v>
      </c>
      <c r="J2449">
        <v>106396.34</v>
      </c>
      <c r="K2449" s="1"/>
      <c r="L2449" s="1"/>
      <c r="M2449" s="1"/>
      <c r="N2449" s="1"/>
    </row>
    <row r="2450" ht="15.75" customHeight="1">
      <c r="A2450" t="s">
        <v>25</v>
      </c>
      <c r="B2450" t="s">
        <v>37</v>
      </c>
      <c r="C2450" t="s">
        <v>4914</v>
      </c>
      <c r="D2450" t="s">
        <v>2531</v>
      </c>
      <c r="E2450">
        <v>76191.5226664566</v>
      </c>
      <c r="F2450">
        <v>25905.8268892649</v>
      </c>
      <c r="G2450">
        <v>20001.0251447324</v>
      </c>
      <c r="H2450">
        <v>15682.2547665477</v>
      </c>
      <c r="I2450">
        <v>122098.37</v>
      </c>
      <c r="J2450">
        <v>106416.12</v>
      </c>
      <c r="K2450" s="1"/>
      <c r="L2450" s="1"/>
      <c r="M2450" s="1"/>
      <c r="N2450" s="1"/>
    </row>
    <row r="2451" ht="15.75" customHeight="1">
      <c r="A2451" t="s">
        <v>36</v>
      </c>
      <c r="B2451" t="s">
        <v>33</v>
      </c>
      <c r="C2451" t="s">
        <v>4917</v>
      </c>
      <c r="D2451" t="s">
        <v>2532</v>
      </c>
      <c r="E2451">
        <v>76202.4056363628</v>
      </c>
      <c r="F2451">
        <v>25910.4416075923</v>
      </c>
      <c r="G2451">
        <v>20008.7051481619</v>
      </c>
      <c r="H2451">
        <v>15685.652317235</v>
      </c>
      <c r="I2451">
        <v>122121.55</v>
      </c>
      <c r="J2451">
        <v>106435.9</v>
      </c>
      <c r="K2451" s="1"/>
      <c r="L2451" s="1"/>
      <c r="M2451" s="1"/>
      <c r="N2451" s="1"/>
    </row>
    <row r="2452" ht="15.75" customHeight="1">
      <c r="A2452" t="s">
        <v>51</v>
      </c>
      <c r="B2452" t="s">
        <v>33</v>
      </c>
      <c r="C2452" t="s">
        <v>4905</v>
      </c>
      <c r="D2452" t="s">
        <v>2533</v>
      </c>
      <c r="E2452">
        <v>76213.2886062689</v>
      </c>
      <c r="F2452">
        <v>25915.0563259198</v>
      </c>
      <c r="G2452">
        <v>20016.3851515914</v>
      </c>
      <c r="H2452">
        <v>15689.0498679222</v>
      </c>
      <c r="I2452">
        <v>122144.73</v>
      </c>
      <c r="J2452">
        <v>106455.68</v>
      </c>
      <c r="K2452" s="1"/>
      <c r="L2452" s="1"/>
      <c r="M2452" s="1"/>
      <c r="N2452" s="1"/>
    </row>
    <row r="2453" ht="15.75" customHeight="1">
      <c r="A2453" t="s">
        <v>17</v>
      </c>
      <c r="B2453" t="s">
        <v>26</v>
      </c>
      <c r="C2453" t="s">
        <v>4915</v>
      </c>
      <c r="D2453" t="s">
        <v>2534</v>
      </c>
      <c r="E2453">
        <v>76224.1715761751</v>
      </c>
      <c r="F2453">
        <v>25919.6710442472</v>
      </c>
      <c r="G2453">
        <v>20024.0651550209</v>
      </c>
      <c r="H2453">
        <v>15692.4474186095</v>
      </c>
      <c r="I2453">
        <v>122167.91</v>
      </c>
      <c r="J2453">
        <v>106475.46</v>
      </c>
      <c r="K2453" s="1"/>
      <c r="L2453" s="1"/>
      <c r="M2453" s="1"/>
      <c r="N2453" s="1"/>
    </row>
    <row r="2454" ht="15.75" customHeight="1">
      <c r="A2454" t="s">
        <v>51</v>
      </c>
      <c r="B2454" t="s">
        <v>30</v>
      </c>
      <c r="C2454" t="s">
        <v>4915</v>
      </c>
      <c r="D2454" t="s">
        <v>2535</v>
      </c>
      <c r="E2454">
        <v>76235.0545460813</v>
      </c>
      <c r="F2454">
        <v>25924.2857625746</v>
      </c>
      <c r="G2454">
        <v>20031.7451584504</v>
      </c>
      <c r="H2454">
        <v>15695.8449692968</v>
      </c>
      <c r="I2454">
        <v>122191.09</v>
      </c>
      <c r="J2454">
        <v>106495.25</v>
      </c>
      <c r="K2454" s="1"/>
      <c r="L2454" s="1"/>
      <c r="M2454" s="1"/>
      <c r="N2454" s="1"/>
    </row>
    <row r="2455" ht="15.75" customHeight="1">
      <c r="A2455" t="s">
        <v>36</v>
      </c>
      <c r="B2455" t="s">
        <v>54</v>
      </c>
      <c r="C2455" t="s">
        <v>4908</v>
      </c>
      <c r="D2455" t="s">
        <v>2536</v>
      </c>
      <c r="E2455">
        <v>76245.9375159875</v>
      </c>
      <c r="F2455">
        <v>25928.900480902</v>
      </c>
      <c r="G2455">
        <v>20039.4251618799</v>
      </c>
      <c r="H2455">
        <v>15699.2425199841</v>
      </c>
      <c r="I2455">
        <v>122214.26</v>
      </c>
      <c r="J2455">
        <v>106515.02</v>
      </c>
      <c r="K2455" s="1"/>
      <c r="L2455" s="1"/>
      <c r="M2455" s="1"/>
      <c r="N2455" s="1"/>
    </row>
    <row r="2456" ht="15.75" customHeight="1">
      <c r="A2456" t="s">
        <v>36</v>
      </c>
      <c r="B2456" t="s">
        <v>26</v>
      </c>
      <c r="C2456" t="s">
        <v>4909</v>
      </c>
      <c r="D2456" t="s">
        <v>2537</v>
      </c>
      <c r="E2456">
        <v>76256.8204858937</v>
      </c>
      <c r="F2456">
        <v>25933.5151992295</v>
      </c>
      <c r="G2456">
        <v>20047.1051653094</v>
      </c>
      <c r="H2456">
        <v>15702.6400706714</v>
      </c>
      <c r="I2456">
        <v>122237.44</v>
      </c>
      <c r="J2456">
        <v>106534.8</v>
      </c>
      <c r="K2456" s="1"/>
      <c r="L2456" s="1"/>
      <c r="M2456" s="1"/>
      <c r="N2456" s="1"/>
    </row>
    <row r="2457" ht="15.75" customHeight="1">
      <c r="A2457" t="s">
        <v>17</v>
      </c>
      <c r="B2457" t="s">
        <v>37</v>
      </c>
      <c r="C2457" t="s">
        <v>4907</v>
      </c>
      <c r="D2457" t="s">
        <v>2538</v>
      </c>
      <c r="E2457">
        <v>76267.7034557999</v>
      </c>
      <c r="F2457">
        <v>25938.1299175569</v>
      </c>
      <c r="G2457">
        <v>20054.7851687389</v>
      </c>
      <c r="H2457">
        <v>15706.0376213587</v>
      </c>
      <c r="I2457">
        <v>122260.62</v>
      </c>
      <c r="J2457">
        <v>106554.58</v>
      </c>
      <c r="K2457" s="1"/>
      <c r="L2457" s="1"/>
      <c r="M2457" s="1"/>
      <c r="N2457" s="1"/>
    </row>
    <row r="2458" ht="15.75" customHeight="1">
      <c r="A2458" t="s">
        <v>13</v>
      </c>
      <c r="B2458" t="s">
        <v>26</v>
      </c>
      <c r="C2458" t="s">
        <v>4916</v>
      </c>
      <c r="D2458" t="s">
        <v>2539</v>
      </c>
      <c r="E2458">
        <v>76278.5864257061</v>
      </c>
      <c r="F2458">
        <v>25942.7446358843</v>
      </c>
      <c r="G2458">
        <v>20062.4651721684</v>
      </c>
      <c r="H2458">
        <v>15709.435172046</v>
      </c>
      <c r="I2458">
        <v>122283.8</v>
      </c>
      <c r="J2458">
        <v>106574.36</v>
      </c>
      <c r="K2458" s="1"/>
      <c r="L2458" s="1"/>
      <c r="M2458" s="1"/>
      <c r="N2458" s="1"/>
    </row>
    <row r="2459" ht="15.75" customHeight="1">
      <c r="A2459" t="s">
        <v>36</v>
      </c>
      <c r="B2459" t="s">
        <v>14</v>
      </c>
      <c r="C2459" t="s">
        <v>4913</v>
      </c>
      <c r="D2459" t="s">
        <v>2540</v>
      </c>
      <c r="E2459">
        <v>76289.4693956123</v>
      </c>
      <c r="F2459">
        <v>25947.3593542117</v>
      </c>
      <c r="G2459">
        <v>20070.1451755979</v>
      </c>
      <c r="H2459">
        <v>15712.8327227333</v>
      </c>
      <c r="I2459">
        <v>122306.97</v>
      </c>
      <c r="J2459">
        <v>106594.14</v>
      </c>
      <c r="K2459" s="1"/>
      <c r="L2459" s="1"/>
      <c r="M2459" s="1"/>
      <c r="N2459" s="1"/>
    </row>
    <row r="2460" ht="15.75" customHeight="1">
      <c r="A2460" t="s">
        <v>29</v>
      </c>
      <c r="B2460" t="s">
        <v>14</v>
      </c>
      <c r="C2460" t="s">
        <v>4914</v>
      </c>
      <c r="D2460" t="s">
        <v>2541</v>
      </c>
      <c r="E2460">
        <v>76300.3523655185</v>
      </c>
      <c r="F2460">
        <v>25951.9740725392</v>
      </c>
      <c r="G2460">
        <v>20077.8251790274</v>
      </c>
      <c r="H2460">
        <v>15716.2302734205</v>
      </c>
      <c r="I2460">
        <v>122330.15</v>
      </c>
      <c r="J2460">
        <v>106613.92</v>
      </c>
      <c r="K2460" s="1"/>
      <c r="L2460" s="1"/>
      <c r="M2460" s="1"/>
      <c r="N2460" s="1"/>
    </row>
    <row r="2461" ht="15.75" customHeight="1">
      <c r="A2461" t="s">
        <v>13</v>
      </c>
      <c r="B2461" t="s">
        <v>14</v>
      </c>
      <c r="C2461" t="s">
        <v>4914</v>
      </c>
      <c r="D2461" t="s">
        <v>2542</v>
      </c>
      <c r="E2461">
        <v>76311.2353354247</v>
      </c>
      <c r="F2461">
        <v>25956.5887908666</v>
      </c>
      <c r="G2461">
        <v>20085.5051824569</v>
      </c>
      <c r="H2461">
        <v>15719.6278241078</v>
      </c>
      <c r="I2461">
        <v>122353.33</v>
      </c>
      <c r="J2461">
        <v>106633.7</v>
      </c>
      <c r="K2461" s="1"/>
      <c r="L2461" s="1"/>
      <c r="M2461" s="1"/>
      <c r="N2461" s="1"/>
    </row>
    <row r="2462" ht="15.75" customHeight="1">
      <c r="A2462" t="s">
        <v>53</v>
      </c>
      <c r="B2462" t="s">
        <v>14</v>
      </c>
      <c r="C2462" t="s">
        <v>4916</v>
      </c>
      <c r="D2462" t="s">
        <v>2543</v>
      </c>
      <c r="E2462">
        <v>76322.1183053309</v>
      </c>
      <c r="F2462">
        <v>25961.203509194</v>
      </c>
      <c r="G2462">
        <v>20093.1851858864</v>
      </c>
      <c r="H2462">
        <v>15723.0253747951</v>
      </c>
      <c r="I2462">
        <v>122376.51</v>
      </c>
      <c r="J2462">
        <v>106653.48</v>
      </c>
      <c r="K2462" s="1"/>
      <c r="L2462" s="1"/>
      <c r="M2462" s="1"/>
      <c r="N2462" s="1"/>
    </row>
    <row r="2463" ht="15.75" customHeight="1">
      <c r="A2463" t="s">
        <v>13</v>
      </c>
      <c r="B2463" t="s">
        <v>37</v>
      </c>
      <c r="C2463" t="s">
        <v>4910</v>
      </c>
      <c r="D2463" t="s">
        <v>2544</v>
      </c>
      <c r="E2463">
        <v>76333.0012752371</v>
      </c>
      <c r="F2463">
        <v>25965.8182275214</v>
      </c>
      <c r="G2463">
        <v>20100.8651893159</v>
      </c>
      <c r="H2463">
        <v>15726.4229254824</v>
      </c>
      <c r="I2463">
        <v>122399.68</v>
      </c>
      <c r="J2463">
        <v>106673.26</v>
      </c>
      <c r="K2463" s="1"/>
      <c r="L2463" s="1"/>
      <c r="M2463" s="1"/>
      <c r="N2463" s="1"/>
    </row>
    <row r="2464" ht="15.75" customHeight="1">
      <c r="A2464" t="s">
        <v>29</v>
      </c>
      <c r="B2464" t="s">
        <v>54</v>
      </c>
      <c r="C2464" t="s">
        <v>4912</v>
      </c>
      <c r="D2464" t="s">
        <v>2545</v>
      </c>
      <c r="E2464">
        <v>76343.8842451433</v>
      </c>
      <c r="F2464">
        <v>25970.4329458488</v>
      </c>
      <c r="G2464">
        <v>20108.5451927454</v>
      </c>
      <c r="H2464">
        <v>15729.8204761697</v>
      </c>
      <c r="I2464">
        <v>122422.86</v>
      </c>
      <c r="J2464">
        <v>106693.04</v>
      </c>
      <c r="K2464" s="1"/>
      <c r="L2464" s="1"/>
      <c r="M2464" s="1"/>
      <c r="N2464" s="1"/>
    </row>
    <row r="2465" ht="15.75" customHeight="1">
      <c r="A2465" t="s">
        <v>29</v>
      </c>
      <c r="B2465" t="s">
        <v>37</v>
      </c>
      <c r="C2465" t="s">
        <v>4917</v>
      </c>
      <c r="D2465" t="s">
        <v>2546</v>
      </c>
      <c r="E2465">
        <v>76354.7672150495</v>
      </c>
      <c r="F2465">
        <v>25975.0476641763</v>
      </c>
      <c r="G2465">
        <v>20116.2251961749</v>
      </c>
      <c r="H2465">
        <v>15733.218026857</v>
      </c>
      <c r="I2465">
        <v>122446.04</v>
      </c>
      <c r="J2465">
        <v>106712.82</v>
      </c>
      <c r="K2465" s="1"/>
      <c r="L2465" s="1"/>
      <c r="M2465" s="1"/>
      <c r="N2465" s="1"/>
    </row>
    <row r="2466" ht="15.75" customHeight="1">
      <c r="A2466" t="s">
        <v>51</v>
      </c>
      <c r="B2466" t="s">
        <v>30</v>
      </c>
      <c r="C2466" t="s">
        <v>4907</v>
      </c>
      <c r="D2466" t="s">
        <v>2547</v>
      </c>
      <c r="E2466">
        <v>76365.6501849557</v>
      </c>
      <c r="F2466">
        <v>25979.6623825037</v>
      </c>
      <c r="G2466">
        <v>20123.9051996044</v>
      </c>
      <c r="H2466">
        <v>15736.6155775443</v>
      </c>
      <c r="I2466">
        <v>122469.22</v>
      </c>
      <c r="J2466">
        <v>106732.6</v>
      </c>
      <c r="K2466" s="1"/>
      <c r="L2466" s="1"/>
      <c r="M2466" s="1"/>
      <c r="N2466" s="1"/>
    </row>
    <row r="2467" ht="15.75" customHeight="1">
      <c r="A2467" t="s">
        <v>53</v>
      </c>
      <c r="B2467" t="s">
        <v>37</v>
      </c>
      <c r="C2467" t="s">
        <v>4908</v>
      </c>
      <c r="D2467" t="s">
        <v>2548</v>
      </c>
      <c r="E2467">
        <v>76376.5331548618</v>
      </c>
      <c r="F2467">
        <v>25984.2771008311</v>
      </c>
      <c r="G2467">
        <v>20131.5852030339</v>
      </c>
      <c r="H2467">
        <v>15740.0131282315</v>
      </c>
      <c r="I2467">
        <v>122492.4</v>
      </c>
      <c r="J2467">
        <v>106752.39</v>
      </c>
      <c r="K2467" s="1"/>
      <c r="L2467" s="1"/>
      <c r="M2467" s="1"/>
      <c r="N2467" s="1"/>
    </row>
    <row r="2468" ht="15.75" customHeight="1">
      <c r="A2468" t="s">
        <v>36</v>
      </c>
      <c r="B2468" t="s">
        <v>30</v>
      </c>
      <c r="C2468" t="s">
        <v>4917</v>
      </c>
      <c r="D2468" t="s">
        <v>2549</v>
      </c>
      <c r="E2468">
        <v>76387.416124768</v>
      </c>
      <c r="F2468">
        <v>25988.8918191585</v>
      </c>
      <c r="G2468">
        <v>20139.2652064634</v>
      </c>
      <c r="H2468">
        <v>15743.4106789188</v>
      </c>
      <c r="I2468">
        <v>122515.57</v>
      </c>
      <c r="J2468">
        <v>106772.16</v>
      </c>
      <c r="K2468" s="1"/>
      <c r="L2468" s="1"/>
      <c r="M2468" s="1"/>
      <c r="N2468" s="1"/>
    </row>
    <row r="2469" ht="15.75" customHeight="1">
      <c r="A2469" t="s">
        <v>53</v>
      </c>
      <c r="B2469" t="s">
        <v>54</v>
      </c>
      <c r="C2469" t="s">
        <v>4909</v>
      </c>
      <c r="D2469" t="s">
        <v>2550</v>
      </c>
      <c r="E2469">
        <v>76398.2990946742</v>
      </c>
      <c r="F2469">
        <v>25993.5065374859</v>
      </c>
      <c r="G2469">
        <v>20146.9452098928</v>
      </c>
      <c r="H2469">
        <v>15746.8082296061</v>
      </c>
      <c r="I2469">
        <v>122538.75</v>
      </c>
      <c r="J2469">
        <v>106791.94</v>
      </c>
      <c r="K2469" s="1"/>
      <c r="L2469" s="1"/>
      <c r="M2469" s="1"/>
      <c r="N2469" s="1"/>
    </row>
    <row r="2470" ht="15.75" customHeight="1">
      <c r="A2470" t="s">
        <v>53</v>
      </c>
      <c r="B2470" t="s">
        <v>30</v>
      </c>
      <c r="C2470" t="s">
        <v>4912</v>
      </c>
      <c r="D2470" t="s">
        <v>2551</v>
      </c>
      <c r="E2470">
        <v>76409.1820645804</v>
      </c>
      <c r="F2470">
        <v>25998.1212558134</v>
      </c>
      <c r="G2470">
        <v>20154.6252133223</v>
      </c>
      <c r="H2470">
        <v>15750.2057802934</v>
      </c>
      <c r="I2470">
        <v>122561.93</v>
      </c>
      <c r="J2470">
        <v>106811.72</v>
      </c>
      <c r="K2470" s="1"/>
      <c r="L2470" s="1"/>
      <c r="M2470" s="1"/>
      <c r="N2470" s="1"/>
    </row>
    <row r="2471" ht="15.75" customHeight="1">
      <c r="A2471" t="s">
        <v>25</v>
      </c>
      <c r="B2471" t="s">
        <v>18</v>
      </c>
      <c r="C2471" t="s">
        <v>4911</v>
      </c>
      <c r="D2471" t="s">
        <v>2552</v>
      </c>
      <c r="E2471">
        <v>76420.0650344866</v>
      </c>
      <c r="F2471">
        <v>26002.7359741408</v>
      </c>
      <c r="G2471">
        <v>20162.3052167518</v>
      </c>
      <c r="H2471">
        <v>15753.6033309807</v>
      </c>
      <c r="I2471">
        <v>122585.11</v>
      </c>
      <c r="J2471">
        <v>106831.51</v>
      </c>
      <c r="K2471" s="1"/>
      <c r="L2471" s="1"/>
      <c r="M2471" s="1"/>
      <c r="N2471" s="1"/>
    </row>
    <row r="2472" ht="15.75" customHeight="1">
      <c r="A2472" t="s">
        <v>13</v>
      </c>
      <c r="B2472" t="s">
        <v>37</v>
      </c>
      <c r="C2472" t="s">
        <v>4910</v>
      </c>
      <c r="D2472" t="s">
        <v>2553</v>
      </c>
      <c r="E2472">
        <v>76441.830974299</v>
      </c>
      <c r="F2472">
        <v>26011.9654107956</v>
      </c>
      <c r="G2472">
        <v>20177.6652236108</v>
      </c>
      <c r="H2472">
        <v>15760.3984323553</v>
      </c>
      <c r="I2472">
        <v>122631.46</v>
      </c>
      <c r="J2472">
        <v>106871.06</v>
      </c>
      <c r="K2472" s="1"/>
      <c r="L2472" s="1"/>
      <c r="M2472" s="1"/>
      <c r="N2472" s="1"/>
    </row>
    <row r="2473" ht="15.75" customHeight="1">
      <c r="A2473" t="s">
        <v>51</v>
      </c>
      <c r="B2473" t="s">
        <v>37</v>
      </c>
      <c r="C2473" t="s">
        <v>4911</v>
      </c>
      <c r="D2473" t="s">
        <v>2554</v>
      </c>
      <c r="E2473">
        <v>76452.7139442052</v>
      </c>
      <c r="F2473">
        <v>26016.5801291231</v>
      </c>
      <c r="G2473">
        <v>20185.3452270403</v>
      </c>
      <c r="H2473">
        <v>15763.7959830426</v>
      </c>
      <c r="I2473">
        <v>122654.64</v>
      </c>
      <c r="J2473">
        <v>106890.84</v>
      </c>
      <c r="K2473" s="1"/>
      <c r="L2473" s="1"/>
      <c r="M2473" s="1"/>
      <c r="N2473" s="1"/>
    </row>
    <row r="2474" ht="15.75" customHeight="1">
      <c r="A2474" t="s">
        <v>29</v>
      </c>
      <c r="B2474" t="s">
        <v>26</v>
      </c>
      <c r="C2474" t="s">
        <v>4915</v>
      </c>
      <c r="D2474" t="s">
        <v>2555</v>
      </c>
      <c r="E2474">
        <v>76463.5969141114</v>
      </c>
      <c r="F2474">
        <v>26021.1948474505</v>
      </c>
      <c r="G2474">
        <v>20193.0252304698</v>
      </c>
      <c r="H2474">
        <v>15767.1935337298</v>
      </c>
      <c r="I2474">
        <v>122677.82</v>
      </c>
      <c r="J2474">
        <v>106910.63</v>
      </c>
      <c r="K2474" s="1"/>
      <c r="L2474" s="1"/>
      <c r="M2474" s="1"/>
      <c r="N2474" s="1"/>
    </row>
    <row r="2475" ht="15.75" customHeight="1">
      <c r="A2475" t="s">
        <v>13</v>
      </c>
      <c r="B2475" t="s">
        <v>14</v>
      </c>
      <c r="C2475" t="s">
        <v>4914</v>
      </c>
      <c r="D2475" t="s">
        <v>2556</v>
      </c>
      <c r="E2475">
        <v>76474.4798840176</v>
      </c>
      <c r="F2475">
        <v>26025.8095657779</v>
      </c>
      <c r="G2475">
        <v>20200.7052338993</v>
      </c>
      <c r="H2475">
        <v>15770.5910844171</v>
      </c>
      <c r="I2475">
        <v>122700.99</v>
      </c>
      <c r="J2475">
        <v>106930.4</v>
      </c>
      <c r="K2475" s="1"/>
      <c r="L2475" s="1"/>
      <c r="M2475" s="1"/>
      <c r="N2475" s="1"/>
    </row>
    <row r="2476" ht="15.75" customHeight="1">
      <c r="A2476" t="s">
        <v>25</v>
      </c>
      <c r="B2476" t="s">
        <v>33</v>
      </c>
      <c r="C2476" t="s">
        <v>4917</v>
      </c>
      <c r="D2476" t="s">
        <v>2557</v>
      </c>
      <c r="E2476">
        <v>76485.3628539238</v>
      </c>
      <c r="F2476">
        <v>26030.4242841053</v>
      </c>
      <c r="G2476">
        <v>20208.3852373288</v>
      </c>
      <c r="H2476">
        <v>15773.9886351044</v>
      </c>
      <c r="I2476">
        <v>122724.17</v>
      </c>
      <c r="J2476">
        <v>106950.18</v>
      </c>
      <c r="K2476" s="1"/>
      <c r="L2476" s="1"/>
      <c r="M2476" s="1"/>
      <c r="N2476" s="1"/>
    </row>
    <row r="2477" ht="15.75" customHeight="1">
      <c r="A2477" t="s">
        <v>29</v>
      </c>
      <c r="B2477" t="s">
        <v>26</v>
      </c>
      <c r="C2477" t="s">
        <v>4915</v>
      </c>
      <c r="D2477" t="s">
        <v>2558</v>
      </c>
      <c r="E2477">
        <v>76496.24582383</v>
      </c>
      <c r="F2477">
        <v>26035.0390024327</v>
      </c>
      <c r="G2477">
        <v>20216.0652407583</v>
      </c>
      <c r="H2477">
        <v>15777.3861857917</v>
      </c>
      <c r="I2477">
        <v>122747.35</v>
      </c>
      <c r="J2477">
        <v>106969.96</v>
      </c>
      <c r="K2477" s="1"/>
      <c r="L2477" s="1"/>
      <c r="M2477" s="1"/>
      <c r="N2477" s="1"/>
    </row>
    <row r="2478" ht="15.75" customHeight="1">
      <c r="A2478" t="s">
        <v>29</v>
      </c>
      <c r="B2478" t="s">
        <v>18</v>
      </c>
      <c r="C2478" t="s">
        <v>4905</v>
      </c>
      <c r="D2478" t="s">
        <v>2559</v>
      </c>
      <c r="E2478">
        <v>76507.1287937362</v>
      </c>
      <c r="F2478">
        <v>26039.6537207602</v>
      </c>
      <c r="G2478">
        <v>20223.7452441878</v>
      </c>
      <c r="H2478">
        <v>15780.783736479</v>
      </c>
      <c r="I2478">
        <v>122770.53</v>
      </c>
      <c r="J2478">
        <v>106989.75</v>
      </c>
      <c r="K2478" s="1"/>
      <c r="L2478" s="1"/>
      <c r="M2478" s="1"/>
      <c r="N2478" s="1"/>
    </row>
    <row r="2479" ht="15.75" customHeight="1">
      <c r="A2479" t="s">
        <v>29</v>
      </c>
      <c r="B2479" t="s">
        <v>30</v>
      </c>
      <c r="C2479" t="s">
        <v>4910</v>
      </c>
      <c r="D2479" t="s">
        <v>2560</v>
      </c>
      <c r="E2479">
        <v>76518.0117636424</v>
      </c>
      <c r="F2479">
        <v>26044.2684390876</v>
      </c>
      <c r="G2479">
        <v>20231.4252476173</v>
      </c>
      <c r="H2479">
        <v>15784.1812871663</v>
      </c>
      <c r="I2479">
        <v>122793.71</v>
      </c>
      <c r="J2479">
        <v>107009.53</v>
      </c>
      <c r="K2479" s="1"/>
      <c r="L2479" s="1"/>
      <c r="M2479" s="1"/>
      <c r="N2479" s="1"/>
    </row>
    <row r="2480" ht="15.75" customHeight="1">
      <c r="A2480" t="s">
        <v>29</v>
      </c>
      <c r="B2480" t="s">
        <v>30</v>
      </c>
      <c r="C2480" t="s">
        <v>4914</v>
      </c>
      <c r="D2480" t="s">
        <v>2561</v>
      </c>
      <c r="E2480">
        <v>76528.8947335486</v>
      </c>
      <c r="F2480">
        <v>26048.883157415</v>
      </c>
      <c r="G2480">
        <v>20239.1052510468</v>
      </c>
      <c r="H2480">
        <v>15787.5788378536</v>
      </c>
      <c r="I2480">
        <v>122816.88</v>
      </c>
      <c r="J2480">
        <v>107029.3</v>
      </c>
      <c r="K2480" s="1"/>
      <c r="L2480" s="1"/>
      <c r="M2480" s="1"/>
      <c r="N2480" s="1"/>
    </row>
    <row r="2481" ht="15.75" customHeight="1">
      <c r="A2481" t="s">
        <v>29</v>
      </c>
      <c r="B2481" t="s">
        <v>37</v>
      </c>
      <c r="C2481" t="s">
        <v>4916</v>
      </c>
      <c r="D2481" t="s">
        <v>2562</v>
      </c>
      <c r="E2481">
        <v>72210.86634532797</v>
      </c>
      <c r="F2481">
        <v>26053.4978757424</v>
      </c>
      <c r="G2481">
        <v>20246.7852544763</v>
      </c>
      <c r="H2481">
        <v>15790.9763885409</v>
      </c>
      <c r="I2481">
        <v>118511.15</v>
      </c>
      <c r="J2481">
        <v>102720.17</v>
      </c>
      <c r="K2481" s="1"/>
      <c r="L2481" s="1"/>
      <c r="M2481" s="1"/>
      <c r="N2481" s="1"/>
    </row>
    <row r="2482" ht="15.75" customHeight="1">
      <c r="A2482" t="s">
        <v>36</v>
      </c>
      <c r="B2482" t="s">
        <v>33</v>
      </c>
      <c r="C2482" t="s">
        <v>4914</v>
      </c>
      <c r="D2482" t="s">
        <v>2563</v>
      </c>
      <c r="E2482">
        <v>76550.6606733609</v>
      </c>
      <c r="F2482">
        <v>26058.1125940699</v>
      </c>
      <c r="G2482">
        <v>20254.4652579058</v>
      </c>
      <c r="H2482">
        <v>15794.3739392281</v>
      </c>
      <c r="I2482">
        <v>122863.24</v>
      </c>
      <c r="J2482">
        <v>107068.87</v>
      </c>
      <c r="K2482" s="1"/>
      <c r="L2482" s="1"/>
      <c r="M2482" s="1"/>
      <c r="N2482" s="1"/>
    </row>
    <row r="2483" ht="15.75" customHeight="1">
      <c r="A2483" t="s">
        <v>29</v>
      </c>
      <c r="B2483" t="s">
        <v>18</v>
      </c>
      <c r="C2483" t="s">
        <v>4908</v>
      </c>
      <c r="D2483" t="s">
        <v>2564</v>
      </c>
      <c r="E2483">
        <v>76561.5436432671</v>
      </c>
      <c r="F2483">
        <v>26062.7273123973</v>
      </c>
      <c r="G2483">
        <v>20262.1452613353</v>
      </c>
      <c r="H2483">
        <v>15797.7714899154</v>
      </c>
      <c r="I2483">
        <v>122886.42</v>
      </c>
      <c r="J2483">
        <v>107088.65</v>
      </c>
      <c r="K2483" s="1"/>
      <c r="L2483" s="1"/>
      <c r="M2483" s="1"/>
      <c r="N2483" s="1"/>
    </row>
    <row r="2484" ht="15.75" customHeight="1">
      <c r="A2484" t="s">
        <v>13</v>
      </c>
      <c r="B2484" t="s">
        <v>30</v>
      </c>
      <c r="C2484" t="s">
        <v>4917</v>
      </c>
      <c r="D2484" t="s">
        <v>2565</v>
      </c>
      <c r="E2484">
        <v>76572.4266131733</v>
      </c>
      <c r="F2484">
        <v>26067.3420307247</v>
      </c>
      <c r="G2484">
        <v>20269.8252647648</v>
      </c>
      <c r="H2484">
        <v>15801.1690406027</v>
      </c>
      <c r="I2484">
        <v>122909.59</v>
      </c>
      <c r="J2484">
        <v>107108.42</v>
      </c>
      <c r="K2484" s="1"/>
      <c r="L2484" s="1"/>
      <c r="M2484" s="1"/>
      <c r="N2484" s="1"/>
    </row>
    <row r="2485" ht="15.75" customHeight="1">
      <c r="A2485" t="s">
        <v>53</v>
      </c>
      <c r="B2485" t="s">
        <v>18</v>
      </c>
      <c r="C2485" t="s">
        <v>4910</v>
      </c>
      <c r="D2485" t="s">
        <v>2566</v>
      </c>
      <c r="E2485">
        <v>76583.3095830795</v>
      </c>
      <c r="F2485">
        <v>26071.9567490521</v>
      </c>
      <c r="G2485">
        <v>20277.5052681943</v>
      </c>
      <c r="H2485">
        <v>15804.56659129</v>
      </c>
      <c r="I2485">
        <v>122932.77</v>
      </c>
      <c r="J2485">
        <v>107128.2</v>
      </c>
      <c r="K2485" s="1"/>
      <c r="L2485" s="1"/>
      <c r="M2485" s="1"/>
      <c r="N2485" s="1"/>
    </row>
    <row r="2486" ht="15.75" customHeight="1">
      <c r="A2486" t="s">
        <v>36</v>
      </c>
      <c r="B2486" t="s">
        <v>18</v>
      </c>
      <c r="C2486" t="s">
        <v>4908</v>
      </c>
      <c r="D2486" t="s">
        <v>2567</v>
      </c>
      <c r="E2486">
        <v>76594.1925529857</v>
      </c>
      <c r="F2486">
        <v>26076.5714673795</v>
      </c>
      <c r="G2486">
        <v>20285.1852716238</v>
      </c>
      <c r="H2486">
        <v>15807.9641419773</v>
      </c>
      <c r="I2486">
        <v>122955.95</v>
      </c>
      <c r="J2486">
        <v>107147.99</v>
      </c>
      <c r="K2486" s="1"/>
      <c r="L2486" s="1"/>
      <c r="M2486" s="1"/>
      <c r="N2486" s="1"/>
    </row>
    <row r="2487" ht="15.75" customHeight="1">
      <c r="A2487" t="s">
        <v>29</v>
      </c>
      <c r="B2487" t="s">
        <v>14</v>
      </c>
      <c r="C2487" t="s">
        <v>4908</v>
      </c>
      <c r="D2487" t="s">
        <v>2568</v>
      </c>
      <c r="E2487">
        <v>76605.0755228919</v>
      </c>
      <c r="F2487">
        <v>26081.186185707</v>
      </c>
      <c r="G2487">
        <v>20292.8652750533</v>
      </c>
      <c r="H2487">
        <v>15811.3616926646</v>
      </c>
      <c r="I2487">
        <v>122979.13</v>
      </c>
      <c r="J2487">
        <v>107167.77</v>
      </c>
      <c r="K2487" s="1"/>
      <c r="L2487" s="1"/>
      <c r="M2487" s="1"/>
      <c r="N2487" s="1"/>
    </row>
    <row r="2488" ht="15.75" customHeight="1">
      <c r="A2488" t="s">
        <v>51</v>
      </c>
      <c r="B2488" t="s">
        <v>18</v>
      </c>
      <c r="C2488" t="s">
        <v>4908</v>
      </c>
      <c r="D2488" t="s">
        <v>2569</v>
      </c>
      <c r="E2488">
        <v>76615.9584927981</v>
      </c>
      <c r="F2488">
        <v>26085.8009040344</v>
      </c>
      <c r="G2488">
        <v>20300.5452784828</v>
      </c>
      <c r="H2488">
        <v>15814.7592433519</v>
      </c>
      <c r="I2488">
        <v>123002.3</v>
      </c>
      <c r="J2488">
        <v>107187.54</v>
      </c>
      <c r="K2488" s="1"/>
      <c r="L2488" s="1"/>
      <c r="M2488" s="1"/>
      <c r="N2488" s="1"/>
    </row>
    <row r="2489" ht="15.75" customHeight="1">
      <c r="A2489" t="s">
        <v>13</v>
      </c>
      <c r="B2489" t="s">
        <v>54</v>
      </c>
      <c r="C2489" t="s">
        <v>4916</v>
      </c>
      <c r="D2489" t="s">
        <v>2570</v>
      </c>
      <c r="E2489">
        <v>76626.8414627043</v>
      </c>
      <c r="F2489">
        <v>26090.4156223618</v>
      </c>
      <c r="G2489">
        <v>20308.2252819123</v>
      </c>
      <c r="H2489">
        <v>15818.1567940391</v>
      </c>
      <c r="I2489">
        <v>123025.48</v>
      </c>
      <c r="J2489">
        <v>107207.32</v>
      </c>
      <c r="K2489" s="1"/>
      <c r="L2489" s="1"/>
      <c r="M2489" s="1"/>
      <c r="N2489" s="1"/>
    </row>
    <row r="2490" ht="15.75" customHeight="1">
      <c r="A2490" t="s">
        <v>51</v>
      </c>
      <c r="B2490" t="s">
        <v>37</v>
      </c>
      <c r="C2490" t="s">
        <v>4910</v>
      </c>
      <c r="D2490" t="s">
        <v>2571</v>
      </c>
      <c r="E2490">
        <v>76637.7244326105</v>
      </c>
      <c r="F2490">
        <v>26095.0303406892</v>
      </c>
      <c r="G2490">
        <v>20315.9052853418</v>
      </c>
      <c r="H2490">
        <v>15821.5543447264</v>
      </c>
      <c r="I2490">
        <v>123048.66</v>
      </c>
      <c r="J2490">
        <v>107227.11</v>
      </c>
      <c r="K2490" s="1"/>
      <c r="L2490" s="1"/>
      <c r="M2490" s="1"/>
      <c r="N2490" s="1"/>
    </row>
    <row r="2491" ht="15.75" customHeight="1">
      <c r="A2491" t="s">
        <v>53</v>
      </c>
      <c r="B2491" t="s">
        <v>26</v>
      </c>
      <c r="C2491" t="s">
        <v>4912</v>
      </c>
      <c r="D2491" t="s">
        <v>2572</v>
      </c>
      <c r="E2491">
        <v>76648.6074025167</v>
      </c>
      <c r="F2491">
        <v>26099.6450590167</v>
      </c>
      <c r="G2491">
        <v>20323.5852887713</v>
      </c>
      <c r="H2491">
        <v>15824.9518954137</v>
      </c>
      <c r="I2491">
        <v>123071.84</v>
      </c>
      <c r="J2491">
        <v>107246.89</v>
      </c>
      <c r="K2491" s="1"/>
      <c r="L2491" s="1"/>
      <c r="M2491" s="1"/>
      <c r="N2491" s="1"/>
    </row>
    <row r="2492" ht="15.75" customHeight="1">
      <c r="A2492" t="s">
        <v>25</v>
      </c>
      <c r="B2492" t="s">
        <v>18</v>
      </c>
      <c r="C2492" t="s">
        <v>4914</v>
      </c>
      <c r="D2492" t="s">
        <v>2573</v>
      </c>
      <c r="E2492">
        <v>76670.3733423291</v>
      </c>
      <c r="F2492">
        <v>26108.8744956715</v>
      </c>
      <c r="G2492">
        <v>20338.9452956303</v>
      </c>
      <c r="H2492">
        <v>15831.7469967883</v>
      </c>
      <c r="I2492">
        <v>123118.19</v>
      </c>
      <c r="J2492">
        <v>107286.44</v>
      </c>
      <c r="K2492" s="1"/>
      <c r="L2492" s="1"/>
      <c r="M2492" s="1"/>
      <c r="N2492" s="1"/>
    </row>
    <row r="2493" ht="15.75" customHeight="1">
      <c r="A2493" t="s">
        <v>25</v>
      </c>
      <c r="B2493" t="s">
        <v>18</v>
      </c>
      <c r="C2493" t="s">
        <v>4916</v>
      </c>
      <c r="D2493" t="s">
        <v>2574</v>
      </c>
      <c r="E2493">
        <v>76681.2563122353</v>
      </c>
      <c r="F2493">
        <v>26113.4892139989</v>
      </c>
      <c r="G2493">
        <v>20346.6252990598</v>
      </c>
      <c r="H2493">
        <v>15835.1445474756</v>
      </c>
      <c r="I2493">
        <v>123141.37</v>
      </c>
      <c r="J2493">
        <v>107306.23</v>
      </c>
      <c r="K2493" s="1"/>
      <c r="L2493" s="1"/>
      <c r="M2493" s="1"/>
      <c r="N2493" s="1"/>
    </row>
    <row r="2494" ht="15.75" customHeight="1">
      <c r="A2494" t="s">
        <v>51</v>
      </c>
      <c r="B2494" t="s">
        <v>14</v>
      </c>
      <c r="C2494" t="s">
        <v>4914</v>
      </c>
      <c r="D2494" t="s">
        <v>2575</v>
      </c>
      <c r="E2494">
        <v>76692.1392821415</v>
      </c>
      <c r="F2494">
        <v>26118.1039323263</v>
      </c>
      <c r="G2494">
        <v>20354.3053024893</v>
      </c>
      <c r="H2494">
        <v>15838.5420981629</v>
      </c>
      <c r="I2494">
        <v>123164.55</v>
      </c>
      <c r="J2494">
        <v>107326.01</v>
      </c>
      <c r="K2494" s="1"/>
      <c r="L2494" s="1"/>
      <c r="M2494" s="1"/>
      <c r="N2494" s="1"/>
    </row>
    <row r="2495" ht="15.75" customHeight="1">
      <c r="A2495" t="s">
        <v>25</v>
      </c>
      <c r="B2495" t="s">
        <v>18</v>
      </c>
      <c r="C2495" t="s">
        <v>4917</v>
      </c>
      <c r="D2495" t="s">
        <v>2576</v>
      </c>
      <c r="E2495">
        <v>76703.0222520476</v>
      </c>
      <c r="F2495">
        <v>26122.7186506538</v>
      </c>
      <c r="G2495">
        <v>20361.9853059188</v>
      </c>
      <c r="H2495">
        <v>15841.9396488502</v>
      </c>
      <c r="I2495">
        <v>123187.73</v>
      </c>
      <c r="J2495">
        <v>107345.79</v>
      </c>
      <c r="K2495" s="1"/>
      <c r="L2495" s="1"/>
      <c r="M2495" s="1"/>
      <c r="N2495" s="1"/>
    </row>
    <row r="2496" ht="15.75" customHeight="1">
      <c r="A2496" t="s">
        <v>17</v>
      </c>
      <c r="B2496" t="s">
        <v>37</v>
      </c>
      <c r="C2496" t="s">
        <v>4912</v>
      </c>
      <c r="D2496" t="s">
        <v>2577</v>
      </c>
      <c r="E2496">
        <v>76713.9052219538</v>
      </c>
      <c r="F2496">
        <v>26127.3333689812</v>
      </c>
      <c r="G2496">
        <v>20369.6653093483</v>
      </c>
      <c r="H2496">
        <v>15845.3371995374</v>
      </c>
      <c r="I2496">
        <v>123210.9</v>
      </c>
      <c r="J2496">
        <v>107365.56</v>
      </c>
      <c r="K2496" s="1"/>
      <c r="L2496" s="1"/>
      <c r="M2496" s="1"/>
      <c r="N2496" s="1"/>
    </row>
    <row r="2497" ht="15.75" customHeight="1">
      <c r="A2497" t="s">
        <v>13</v>
      </c>
      <c r="B2497" t="s">
        <v>26</v>
      </c>
      <c r="C2497" t="s">
        <v>4915</v>
      </c>
      <c r="D2497" t="s">
        <v>2578</v>
      </c>
      <c r="E2497">
        <v>76724.78819186</v>
      </c>
      <c r="F2497">
        <v>26131.9480873086</v>
      </c>
      <c r="G2497">
        <v>20377.3453127778</v>
      </c>
      <c r="H2497">
        <v>15848.7347502247</v>
      </c>
      <c r="I2497">
        <v>123234.08</v>
      </c>
      <c r="J2497">
        <v>107385.35</v>
      </c>
      <c r="K2497" s="1"/>
      <c r="L2497" s="1"/>
      <c r="M2497" s="1"/>
      <c r="N2497" s="1"/>
    </row>
    <row r="2498" ht="15.75" customHeight="1">
      <c r="A2498" t="s">
        <v>17</v>
      </c>
      <c r="B2498" t="s">
        <v>30</v>
      </c>
      <c r="C2498" t="s">
        <v>4915</v>
      </c>
      <c r="D2498" t="s">
        <v>2579</v>
      </c>
      <c r="E2498">
        <v>76735.6711617662</v>
      </c>
      <c r="F2498">
        <v>26136.562805636</v>
      </c>
      <c r="G2498">
        <v>20385.0253162073</v>
      </c>
      <c r="H2498">
        <v>15852.132300912</v>
      </c>
      <c r="I2498">
        <v>123257.26</v>
      </c>
      <c r="J2498">
        <v>107405.13</v>
      </c>
      <c r="K2498" s="1"/>
      <c r="L2498" s="1"/>
      <c r="M2498" s="1"/>
      <c r="N2498" s="1"/>
    </row>
    <row r="2499" ht="15.75" customHeight="1">
      <c r="A2499" t="s">
        <v>53</v>
      </c>
      <c r="B2499" t="s">
        <v>33</v>
      </c>
      <c r="C2499" t="s">
        <v>4917</v>
      </c>
      <c r="D2499" t="s">
        <v>2580</v>
      </c>
      <c r="E2499">
        <v>76746.5541316724</v>
      </c>
      <c r="F2499">
        <v>26141.1775239635</v>
      </c>
      <c r="G2499">
        <v>20392.7053196368</v>
      </c>
      <c r="H2499">
        <v>15855.5298515993</v>
      </c>
      <c r="I2499">
        <v>123280.44</v>
      </c>
      <c r="J2499">
        <v>107424.91</v>
      </c>
      <c r="K2499" s="1"/>
      <c r="L2499" s="1"/>
      <c r="M2499" s="1"/>
      <c r="N2499" s="1"/>
    </row>
    <row r="2500" ht="15.75" customHeight="1">
      <c r="A2500" t="s">
        <v>13</v>
      </c>
      <c r="B2500" t="s">
        <v>18</v>
      </c>
      <c r="C2500" t="s">
        <v>4908</v>
      </c>
      <c r="D2500" t="s">
        <v>2581</v>
      </c>
      <c r="E2500">
        <v>76757.4371015786</v>
      </c>
      <c r="F2500">
        <v>26145.7922422909</v>
      </c>
      <c r="G2500">
        <v>20400.3853230663</v>
      </c>
      <c r="H2500">
        <v>14327.38295125808</v>
      </c>
      <c r="I2500">
        <v>123303.61</v>
      </c>
      <c r="J2500">
        <v>108976.23</v>
      </c>
      <c r="K2500" s="1"/>
      <c r="L2500" s="1"/>
      <c r="M2500" s="1"/>
      <c r="N2500" s="1"/>
    </row>
    <row r="2501" ht="15.75" customHeight="1">
      <c r="A2501" t="s">
        <v>53</v>
      </c>
      <c r="B2501" t="s">
        <v>54</v>
      </c>
      <c r="C2501" t="s">
        <v>4912</v>
      </c>
      <c r="D2501" t="s">
        <v>2582</v>
      </c>
      <c r="E2501">
        <v>76768.3200714848</v>
      </c>
      <c r="F2501">
        <v>26150.4069606183</v>
      </c>
      <c r="G2501">
        <v>20408.0653264958</v>
      </c>
      <c r="H2501">
        <v>15862.3249529739</v>
      </c>
      <c r="I2501">
        <v>123326.79</v>
      </c>
      <c r="J2501">
        <v>107464.47</v>
      </c>
      <c r="K2501" s="1"/>
      <c r="L2501" s="1"/>
      <c r="M2501" s="1"/>
      <c r="N2501" s="1"/>
    </row>
    <row r="2502" ht="15.75" customHeight="1">
      <c r="A2502" t="s">
        <v>25</v>
      </c>
      <c r="B2502" t="s">
        <v>18</v>
      </c>
      <c r="C2502" t="s">
        <v>4914</v>
      </c>
      <c r="D2502" t="s">
        <v>2583</v>
      </c>
      <c r="E2502">
        <v>76779.203041391</v>
      </c>
      <c r="F2502">
        <v>26155.0216789457</v>
      </c>
      <c r="G2502">
        <v>20415.7453299252</v>
      </c>
      <c r="H2502">
        <v>15865.7225036612</v>
      </c>
      <c r="I2502">
        <v>123349.97</v>
      </c>
      <c r="J2502">
        <v>107484.25</v>
      </c>
      <c r="K2502" s="1"/>
      <c r="L2502" s="1"/>
      <c r="M2502" s="1"/>
      <c r="N2502" s="1"/>
    </row>
    <row r="2503" ht="15.75" customHeight="1">
      <c r="A2503" t="s">
        <v>36</v>
      </c>
      <c r="B2503" t="s">
        <v>14</v>
      </c>
      <c r="C2503" t="s">
        <v>4905</v>
      </c>
      <c r="D2503" t="s">
        <v>2584</v>
      </c>
      <c r="E2503">
        <v>76790.0860112972</v>
      </c>
      <c r="F2503">
        <v>26159.6363972731</v>
      </c>
      <c r="G2503">
        <v>20423.4253333547</v>
      </c>
      <c r="H2503">
        <v>15869.1200543485</v>
      </c>
      <c r="I2503">
        <v>123373.15</v>
      </c>
      <c r="J2503">
        <v>107504.03</v>
      </c>
      <c r="K2503" s="1"/>
      <c r="L2503" s="1"/>
      <c r="M2503" s="1"/>
      <c r="N2503" s="1"/>
    </row>
    <row r="2504" ht="15.75" customHeight="1">
      <c r="A2504" t="s">
        <v>36</v>
      </c>
      <c r="B2504" t="s">
        <v>30</v>
      </c>
      <c r="C2504" t="s">
        <v>4915</v>
      </c>
      <c r="D2504" t="s">
        <v>2585</v>
      </c>
      <c r="E2504">
        <v>76800.9689812034</v>
      </c>
      <c r="F2504">
        <v>26164.2511156006</v>
      </c>
      <c r="G2504">
        <v>20431.1053367842</v>
      </c>
      <c r="H2504">
        <v>15872.5176050357</v>
      </c>
      <c r="I2504">
        <v>123396.33</v>
      </c>
      <c r="J2504">
        <v>107523.81</v>
      </c>
      <c r="K2504" s="1"/>
      <c r="L2504" s="1"/>
      <c r="M2504" s="1"/>
      <c r="N2504" s="1"/>
    </row>
    <row r="2505" ht="15.75" customHeight="1">
      <c r="A2505" t="s">
        <v>17</v>
      </c>
      <c r="B2505" t="s">
        <v>18</v>
      </c>
      <c r="C2505" t="s">
        <v>4913</v>
      </c>
      <c r="D2505" t="s">
        <v>2586</v>
      </c>
      <c r="E2505">
        <v>72475.40820418281</v>
      </c>
      <c r="F2505">
        <v>26168.865833928</v>
      </c>
      <c r="G2505">
        <v>20438.7853402137</v>
      </c>
      <c r="H2505">
        <v>15875.915155723</v>
      </c>
      <c r="I2505">
        <v>119083.06</v>
      </c>
      <c r="J2505">
        <v>103207.14</v>
      </c>
      <c r="K2505" s="1"/>
      <c r="L2505" s="1"/>
      <c r="M2505" s="1"/>
      <c r="N2505" s="1"/>
    </row>
    <row r="2506" ht="15.75" customHeight="1">
      <c r="A2506" t="s">
        <v>29</v>
      </c>
      <c r="B2506" t="s">
        <v>30</v>
      </c>
      <c r="C2506" t="s">
        <v>4909</v>
      </c>
      <c r="D2506" t="s">
        <v>2587</v>
      </c>
      <c r="E2506">
        <v>76822.7349210158</v>
      </c>
      <c r="F2506">
        <v>26173.4805522554</v>
      </c>
      <c r="G2506">
        <v>20446.4653436432</v>
      </c>
      <c r="H2506">
        <v>15879.3127064103</v>
      </c>
      <c r="I2506">
        <v>123442.68</v>
      </c>
      <c r="J2506">
        <v>107563.37</v>
      </c>
      <c r="K2506" s="1"/>
      <c r="L2506" s="1"/>
      <c r="M2506" s="1"/>
      <c r="N2506" s="1"/>
    </row>
    <row r="2507" ht="15.75" customHeight="1">
      <c r="A2507" t="s">
        <v>29</v>
      </c>
      <c r="B2507" t="s">
        <v>14</v>
      </c>
      <c r="C2507" t="s">
        <v>4909</v>
      </c>
      <c r="D2507" t="s">
        <v>2588</v>
      </c>
      <c r="E2507">
        <v>76833.617890922</v>
      </c>
      <c r="F2507">
        <v>26178.0952705828</v>
      </c>
      <c r="G2507">
        <v>20454.1453470727</v>
      </c>
      <c r="H2507">
        <v>15882.7102570976</v>
      </c>
      <c r="I2507">
        <v>123465.86</v>
      </c>
      <c r="J2507">
        <v>107583.15</v>
      </c>
      <c r="K2507" s="1"/>
      <c r="L2507" s="1"/>
      <c r="M2507" s="1"/>
      <c r="N2507" s="1"/>
    </row>
    <row r="2508" ht="15.75" customHeight="1">
      <c r="A2508" t="s">
        <v>25</v>
      </c>
      <c r="B2508" t="s">
        <v>30</v>
      </c>
      <c r="C2508" t="s">
        <v>4908</v>
      </c>
      <c r="D2508" t="s">
        <v>2589</v>
      </c>
      <c r="E2508">
        <v>76844.5008608282</v>
      </c>
      <c r="F2508">
        <v>26182.7099889103</v>
      </c>
      <c r="G2508">
        <v>20461.8253505022</v>
      </c>
      <c r="H2508">
        <v>15886.1078077849</v>
      </c>
      <c r="I2508">
        <v>123489.04</v>
      </c>
      <c r="J2508">
        <v>107602.93</v>
      </c>
      <c r="K2508" s="1"/>
      <c r="L2508" s="1"/>
      <c r="M2508" s="1"/>
      <c r="N2508" s="1"/>
    </row>
    <row r="2509" ht="15.75" customHeight="1">
      <c r="A2509" t="s">
        <v>53</v>
      </c>
      <c r="B2509" t="s">
        <v>33</v>
      </c>
      <c r="C2509" t="s">
        <v>4916</v>
      </c>
      <c r="D2509" t="s">
        <v>2590</v>
      </c>
      <c r="E2509">
        <v>76855.3838307344</v>
      </c>
      <c r="F2509">
        <v>26187.3247072377</v>
      </c>
      <c r="G2509">
        <v>20469.5053539317</v>
      </c>
      <c r="H2509">
        <v>15889.5053584722</v>
      </c>
      <c r="I2509">
        <v>123512.21</v>
      </c>
      <c r="J2509">
        <v>107622.7</v>
      </c>
      <c r="K2509" s="1"/>
      <c r="L2509" s="1"/>
      <c r="M2509" s="1"/>
      <c r="N2509" s="1"/>
    </row>
    <row r="2510" ht="15.75" customHeight="1">
      <c r="A2510" t="s">
        <v>36</v>
      </c>
      <c r="B2510" t="s">
        <v>18</v>
      </c>
      <c r="C2510" t="s">
        <v>4905</v>
      </c>
      <c r="D2510" t="s">
        <v>2591</v>
      </c>
      <c r="E2510">
        <v>76866.2668006405</v>
      </c>
      <c r="F2510">
        <v>26191.9394255651</v>
      </c>
      <c r="G2510">
        <v>20477.1853573612</v>
      </c>
      <c r="H2510">
        <v>15892.9029091595</v>
      </c>
      <c r="I2510">
        <v>123535.39</v>
      </c>
      <c r="J2510">
        <v>107642.49</v>
      </c>
      <c r="K2510" s="1"/>
      <c r="L2510" s="1"/>
      <c r="M2510" s="1"/>
      <c r="N2510" s="1"/>
    </row>
    <row r="2511" ht="15.75" customHeight="1">
      <c r="A2511" t="s">
        <v>25</v>
      </c>
      <c r="B2511" t="s">
        <v>37</v>
      </c>
      <c r="C2511" t="s">
        <v>4912</v>
      </c>
      <c r="D2511" t="s">
        <v>2592</v>
      </c>
      <c r="E2511">
        <v>76877.1497705467</v>
      </c>
      <c r="F2511">
        <v>26196.5541438925</v>
      </c>
      <c r="G2511">
        <v>20484.8653607907</v>
      </c>
      <c r="H2511">
        <v>15896.3004598467</v>
      </c>
      <c r="I2511">
        <v>123558.57</v>
      </c>
      <c r="J2511">
        <v>107662.27</v>
      </c>
      <c r="K2511" s="1"/>
      <c r="L2511" s="1"/>
      <c r="M2511" s="1"/>
      <c r="N2511" s="1"/>
    </row>
    <row r="2512" ht="15.75" customHeight="1">
      <c r="A2512" t="s">
        <v>13</v>
      </c>
      <c r="B2512" t="s">
        <v>54</v>
      </c>
      <c r="C2512" t="s">
        <v>4909</v>
      </c>
      <c r="D2512" t="s">
        <v>2593</v>
      </c>
      <c r="E2512">
        <v>71656.69906138915</v>
      </c>
      <c r="F2512">
        <v>26201.1688622199</v>
      </c>
      <c r="G2512">
        <v>20492.5453642202</v>
      </c>
      <c r="H2512">
        <v>15899.698010534</v>
      </c>
      <c r="I2512">
        <v>118350.41</v>
      </c>
      <c r="J2512">
        <v>102450.71</v>
      </c>
      <c r="K2512" s="1"/>
      <c r="L2512" s="1"/>
      <c r="M2512" s="1"/>
      <c r="N2512" s="1"/>
    </row>
    <row r="2513" ht="15.75" customHeight="1">
      <c r="A2513" t="s">
        <v>29</v>
      </c>
      <c r="B2513" t="s">
        <v>18</v>
      </c>
      <c r="C2513" t="s">
        <v>4908</v>
      </c>
      <c r="D2513" t="s">
        <v>2594</v>
      </c>
      <c r="E2513">
        <v>76898.9157103591</v>
      </c>
      <c r="F2513">
        <v>26205.7835805474</v>
      </c>
      <c r="G2513">
        <v>20500.2253676497</v>
      </c>
      <c r="H2513">
        <v>15903.0955612213</v>
      </c>
      <c r="I2513">
        <v>123604.92</v>
      </c>
      <c r="J2513">
        <v>107701.82</v>
      </c>
      <c r="K2513" s="1"/>
      <c r="L2513" s="1"/>
      <c r="M2513" s="1"/>
      <c r="N2513" s="1"/>
    </row>
    <row r="2514" ht="15.75" customHeight="1">
      <c r="A2514" t="s">
        <v>29</v>
      </c>
      <c r="B2514" t="s">
        <v>14</v>
      </c>
      <c r="C2514" t="s">
        <v>4912</v>
      </c>
      <c r="D2514" t="s">
        <v>2595</v>
      </c>
      <c r="E2514">
        <v>76909.7986802653</v>
      </c>
      <c r="F2514">
        <v>26210.3982988748</v>
      </c>
      <c r="G2514">
        <v>20507.9053710792</v>
      </c>
      <c r="H2514">
        <v>15906.4931119086</v>
      </c>
      <c r="I2514">
        <v>123628.1</v>
      </c>
      <c r="J2514">
        <v>107721.61</v>
      </c>
      <c r="K2514" s="1"/>
      <c r="L2514" s="1"/>
      <c r="M2514" s="1"/>
      <c r="N2514" s="1"/>
    </row>
    <row r="2515" ht="15.75" customHeight="1">
      <c r="A2515" t="s">
        <v>51</v>
      </c>
      <c r="B2515" t="s">
        <v>33</v>
      </c>
      <c r="C2515" t="s">
        <v>4916</v>
      </c>
      <c r="D2515" t="s">
        <v>2596</v>
      </c>
      <c r="E2515">
        <v>76920.6816501715</v>
      </c>
      <c r="F2515">
        <v>26215.0130172022</v>
      </c>
      <c r="G2515">
        <v>20515.5853745087</v>
      </c>
      <c r="H2515">
        <v>15909.8906625959</v>
      </c>
      <c r="I2515">
        <v>123651.28</v>
      </c>
      <c r="J2515">
        <v>107741.39</v>
      </c>
      <c r="K2515" s="1"/>
      <c r="L2515" s="1"/>
      <c r="M2515" s="1"/>
      <c r="N2515" s="1"/>
    </row>
    <row r="2516" ht="15.75" customHeight="1">
      <c r="A2516" t="s">
        <v>25</v>
      </c>
      <c r="B2516" t="s">
        <v>30</v>
      </c>
      <c r="C2516" t="s">
        <v>4913</v>
      </c>
      <c r="D2516" t="s">
        <v>2597</v>
      </c>
      <c r="E2516">
        <v>76942.4475899839</v>
      </c>
      <c r="F2516">
        <v>26224.2424538571</v>
      </c>
      <c r="G2516">
        <v>20530.9453813677</v>
      </c>
      <c r="H2516">
        <v>15916.6857639705</v>
      </c>
      <c r="I2516">
        <v>123697.64</v>
      </c>
      <c r="J2516">
        <v>107780.95</v>
      </c>
      <c r="K2516" s="1"/>
      <c r="L2516" s="1"/>
      <c r="M2516" s="1"/>
      <c r="N2516" s="1"/>
    </row>
    <row r="2517" ht="15.75" customHeight="1">
      <c r="A2517" t="s">
        <v>17</v>
      </c>
      <c r="B2517" t="s">
        <v>33</v>
      </c>
      <c r="C2517" t="s">
        <v>4910</v>
      </c>
      <c r="D2517" t="s">
        <v>2598</v>
      </c>
      <c r="E2517">
        <v>76953.3305598901</v>
      </c>
      <c r="F2517">
        <v>26228.8571721845</v>
      </c>
      <c r="G2517">
        <v>20538.6253847972</v>
      </c>
      <c r="H2517">
        <v>15920.0833146578</v>
      </c>
      <c r="I2517">
        <v>123720.81</v>
      </c>
      <c r="J2517">
        <v>107800.73</v>
      </c>
      <c r="K2517" s="1"/>
      <c r="L2517" s="1"/>
      <c r="M2517" s="1"/>
      <c r="N2517" s="1"/>
    </row>
    <row r="2518" ht="15.75" customHeight="1">
      <c r="A2518" t="s">
        <v>36</v>
      </c>
      <c r="B2518" t="s">
        <v>30</v>
      </c>
      <c r="C2518" t="s">
        <v>4910</v>
      </c>
      <c r="D2518" t="s">
        <v>2599</v>
      </c>
      <c r="E2518">
        <v>76964.2135297963</v>
      </c>
      <c r="F2518">
        <v>26233.4718905119</v>
      </c>
      <c r="G2518">
        <v>20546.3053882267</v>
      </c>
      <c r="H2518">
        <v>15923.480865345</v>
      </c>
      <c r="I2518">
        <v>123743.99</v>
      </c>
      <c r="J2518">
        <v>107820.51</v>
      </c>
      <c r="K2518" s="1"/>
      <c r="L2518" s="1"/>
      <c r="M2518" s="1"/>
      <c r="N2518" s="1"/>
    </row>
    <row r="2519" ht="15.75" customHeight="1">
      <c r="A2519" t="s">
        <v>17</v>
      </c>
      <c r="B2519" t="s">
        <v>26</v>
      </c>
      <c r="C2519" t="s">
        <v>4907</v>
      </c>
      <c r="D2519" t="s">
        <v>2600</v>
      </c>
      <c r="E2519">
        <v>76975.0964997025</v>
      </c>
      <c r="F2519">
        <v>26238.0866088393</v>
      </c>
      <c r="G2519">
        <v>20553.9853916562</v>
      </c>
      <c r="H2519">
        <v>14735.51589897765</v>
      </c>
      <c r="I2519">
        <v>123767.17</v>
      </c>
      <c r="J2519">
        <v>109031.65</v>
      </c>
      <c r="K2519" s="1"/>
      <c r="L2519" s="1"/>
      <c r="M2519" s="1"/>
      <c r="N2519" s="1"/>
    </row>
    <row r="2520" ht="15.75" customHeight="1">
      <c r="A2520" t="s">
        <v>17</v>
      </c>
      <c r="B2520" t="s">
        <v>26</v>
      </c>
      <c r="C2520" t="s">
        <v>4908</v>
      </c>
      <c r="D2520" t="s">
        <v>2601</v>
      </c>
      <c r="E2520">
        <v>76985.9794696087</v>
      </c>
      <c r="F2520">
        <v>26242.7013271667</v>
      </c>
      <c r="G2520">
        <v>20561.6653950857</v>
      </c>
      <c r="H2520">
        <v>15930.2759667196</v>
      </c>
      <c r="I2520">
        <v>123790.35</v>
      </c>
      <c r="J2520">
        <v>107860.07</v>
      </c>
      <c r="K2520" s="1"/>
      <c r="L2520" s="1"/>
      <c r="M2520" s="1"/>
      <c r="N2520" s="1"/>
    </row>
    <row r="2521" ht="15.75" customHeight="1">
      <c r="A2521" t="s">
        <v>51</v>
      </c>
      <c r="B2521" t="s">
        <v>26</v>
      </c>
      <c r="C2521" t="s">
        <v>4905</v>
      </c>
      <c r="D2521" t="s">
        <v>2602</v>
      </c>
      <c r="E2521">
        <v>76996.8624395149</v>
      </c>
      <c r="F2521">
        <v>26247.3160454942</v>
      </c>
      <c r="G2521">
        <v>20569.3453985152</v>
      </c>
      <c r="H2521">
        <v>15933.6735174069</v>
      </c>
      <c r="I2521">
        <v>123813.52</v>
      </c>
      <c r="J2521">
        <v>107879.85</v>
      </c>
      <c r="K2521" s="1"/>
      <c r="L2521" s="1"/>
      <c r="M2521" s="1"/>
      <c r="N2521" s="1"/>
    </row>
    <row r="2522" ht="15.75" customHeight="1">
      <c r="A2522" t="s">
        <v>36</v>
      </c>
      <c r="B2522" t="s">
        <v>14</v>
      </c>
      <c r="C2522" t="s">
        <v>4916</v>
      </c>
      <c r="D2522" t="s">
        <v>2603</v>
      </c>
      <c r="E2522">
        <v>77007.7454094211</v>
      </c>
      <c r="F2522">
        <v>26251.9307638216</v>
      </c>
      <c r="G2522">
        <v>20577.0254019447</v>
      </c>
      <c r="H2522">
        <v>15937.0710680942</v>
      </c>
      <c r="I2522">
        <v>123836.7</v>
      </c>
      <c r="J2522">
        <v>107899.63</v>
      </c>
      <c r="K2522" s="1"/>
      <c r="L2522" s="1"/>
      <c r="M2522" s="1"/>
      <c r="N2522" s="1"/>
    </row>
    <row r="2523" ht="15.75" customHeight="1">
      <c r="A2523" t="s">
        <v>53</v>
      </c>
      <c r="B2523" t="s">
        <v>33</v>
      </c>
      <c r="C2523" t="s">
        <v>4913</v>
      </c>
      <c r="D2523" t="s">
        <v>2604</v>
      </c>
      <c r="E2523">
        <v>77018.6283793273</v>
      </c>
      <c r="F2523">
        <v>26256.545482149</v>
      </c>
      <c r="G2523">
        <v>20584.7054053742</v>
      </c>
      <c r="H2523">
        <v>15940.4686187815</v>
      </c>
      <c r="I2523">
        <v>123859.88</v>
      </c>
      <c r="J2523">
        <v>107919.41</v>
      </c>
      <c r="K2523" s="1"/>
      <c r="L2523" s="1"/>
      <c r="M2523" s="1"/>
      <c r="N2523" s="1"/>
    </row>
    <row r="2524" ht="15.75" customHeight="1">
      <c r="A2524" t="s">
        <v>17</v>
      </c>
      <c r="B2524" t="s">
        <v>14</v>
      </c>
      <c r="C2524" t="s">
        <v>4905</v>
      </c>
      <c r="D2524" t="s">
        <v>2605</v>
      </c>
      <c r="E2524">
        <v>77029.5113492334</v>
      </c>
      <c r="F2524">
        <v>26261.1602004764</v>
      </c>
      <c r="G2524">
        <v>20592.3854088037</v>
      </c>
      <c r="H2524">
        <v>15943.8661694688</v>
      </c>
      <c r="I2524">
        <v>123883.06</v>
      </c>
      <c r="J2524">
        <v>107939.19</v>
      </c>
      <c r="K2524" s="1"/>
      <c r="L2524" s="1"/>
      <c r="M2524" s="1"/>
      <c r="N2524" s="1"/>
    </row>
    <row r="2525" ht="15.75" customHeight="1">
      <c r="A2525" t="s">
        <v>36</v>
      </c>
      <c r="B2525" t="s">
        <v>14</v>
      </c>
      <c r="C2525" t="s">
        <v>4913</v>
      </c>
      <c r="D2525" t="s">
        <v>2606</v>
      </c>
      <c r="E2525">
        <v>77040.3943191396</v>
      </c>
      <c r="F2525">
        <v>26265.7749188039</v>
      </c>
      <c r="G2525">
        <v>20600.0654122332</v>
      </c>
      <c r="H2525">
        <v>15947.2637201561</v>
      </c>
      <c r="I2525">
        <v>123906.23</v>
      </c>
      <c r="J2525">
        <v>107958.97</v>
      </c>
      <c r="K2525" s="1"/>
      <c r="L2525" s="1"/>
      <c r="M2525" s="1"/>
      <c r="N2525" s="1"/>
    </row>
    <row r="2526" ht="15.75" customHeight="1">
      <c r="A2526" t="s">
        <v>17</v>
      </c>
      <c r="B2526" t="s">
        <v>26</v>
      </c>
      <c r="C2526" t="s">
        <v>4912</v>
      </c>
      <c r="D2526" t="s">
        <v>2607</v>
      </c>
      <c r="E2526">
        <v>77051.2772890458</v>
      </c>
      <c r="F2526">
        <v>26270.3896371313</v>
      </c>
      <c r="G2526">
        <v>20607.7454156627</v>
      </c>
      <c r="H2526">
        <v>15950.6612708433</v>
      </c>
      <c r="I2526">
        <v>123929.41</v>
      </c>
      <c r="J2526">
        <v>107978.75</v>
      </c>
      <c r="K2526" s="1"/>
      <c r="L2526" s="1"/>
      <c r="M2526" s="1"/>
      <c r="N2526" s="1"/>
    </row>
    <row r="2527" ht="15.75" customHeight="1">
      <c r="A2527" t="s">
        <v>29</v>
      </c>
      <c r="B2527" t="s">
        <v>54</v>
      </c>
      <c r="C2527" t="s">
        <v>4908</v>
      </c>
      <c r="D2527" t="s">
        <v>2609</v>
      </c>
      <c r="E2527">
        <v>77062.160258952</v>
      </c>
      <c r="F2527">
        <v>26275.0043554587</v>
      </c>
      <c r="G2527">
        <v>20615.4254190922</v>
      </c>
      <c r="H2527">
        <v>15954.0588215306</v>
      </c>
      <c r="I2527">
        <v>123952.59</v>
      </c>
      <c r="J2527">
        <v>107998.53</v>
      </c>
      <c r="K2527" s="1"/>
      <c r="L2527" s="1"/>
      <c r="M2527" s="1"/>
      <c r="N2527" s="1"/>
    </row>
    <row r="2528" ht="15.75" customHeight="1">
      <c r="A2528" t="s">
        <v>53</v>
      </c>
      <c r="B2528" t="s">
        <v>14</v>
      </c>
      <c r="C2528" t="s">
        <v>4911</v>
      </c>
      <c r="D2528" t="s">
        <v>2610</v>
      </c>
      <c r="E2528">
        <v>77073.0432288582</v>
      </c>
      <c r="F2528">
        <v>26279.6190737861</v>
      </c>
      <c r="G2528">
        <v>20623.1054225217</v>
      </c>
      <c r="H2528">
        <v>15957.4563722179</v>
      </c>
      <c r="I2528">
        <v>123975.77</v>
      </c>
      <c r="J2528">
        <v>108018.31</v>
      </c>
      <c r="K2528" s="1"/>
      <c r="L2528" s="1"/>
      <c r="M2528" s="1"/>
      <c r="N2528" s="1"/>
    </row>
    <row r="2529" ht="15.75" customHeight="1">
      <c r="A2529" t="s">
        <v>25</v>
      </c>
      <c r="B2529" t="s">
        <v>54</v>
      </c>
      <c r="C2529" t="s">
        <v>4917</v>
      </c>
      <c r="D2529" t="s">
        <v>2611</v>
      </c>
      <c r="E2529">
        <v>77083.9261987644</v>
      </c>
      <c r="F2529">
        <v>26284.2337921135</v>
      </c>
      <c r="G2529">
        <v>20630.7854259512</v>
      </c>
      <c r="H2529">
        <v>15960.8539229052</v>
      </c>
      <c r="I2529">
        <v>123998.95</v>
      </c>
      <c r="J2529">
        <v>108038.1</v>
      </c>
      <c r="K2529" s="1"/>
      <c r="L2529" s="1"/>
      <c r="M2529" s="1"/>
      <c r="N2529" s="1"/>
    </row>
    <row r="2530" ht="15.75" customHeight="1">
      <c r="A2530" t="s">
        <v>25</v>
      </c>
      <c r="B2530" t="s">
        <v>14</v>
      </c>
      <c r="C2530" t="s">
        <v>4916</v>
      </c>
      <c r="D2530" t="s">
        <v>2612</v>
      </c>
      <c r="E2530">
        <v>77094.8091686706</v>
      </c>
      <c r="F2530">
        <v>26288.848510441</v>
      </c>
      <c r="G2530">
        <v>20638.4654293807</v>
      </c>
      <c r="H2530">
        <v>15964.2514735925</v>
      </c>
      <c r="I2530">
        <v>124022.12</v>
      </c>
      <c r="J2530">
        <v>108057.87</v>
      </c>
      <c r="K2530" s="1"/>
      <c r="L2530" s="1"/>
      <c r="M2530" s="1"/>
      <c r="N2530" s="1"/>
    </row>
    <row r="2531" ht="15.75" customHeight="1">
      <c r="A2531" t="s">
        <v>51</v>
      </c>
      <c r="B2531" t="s">
        <v>33</v>
      </c>
      <c r="C2531" t="s">
        <v>4917</v>
      </c>
      <c r="D2531" t="s">
        <v>2613</v>
      </c>
      <c r="E2531">
        <v>77105.6921385768</v>
      </c>
      <c r="F2531">
        <v>26293.4632287684</v>
      </c>
      <c r="G2531">
        <v>20646.1454328102</v>
      </c>
      <c r="H2531">
        <v>15967.6490242798</v>
      </c>
      <c r="I2531">
        <v>124045.3</v>
      </c>
      <c r="J2531">
        <v>108077.65</v>
      </c>
      <c r="K2531" s="1"/>
      <c r="L2531" s="1"/>
      <c r="M2531" s="1"/>
      <c r="N2531" s="1"/>
    </row>
    <row r="2532" ht="15.75" customHeight="1">
      <c r="A2532" t="s">
        <v>17</v>
      </c>
      <c r="B2532" t="s">
        <v>26</v>
      </c>
      <c r="C2532" t="s">
        <v>4909</v>
      </c>
      <c r="D2532" t="s">
        <v>2614</v>
      </c>
      <c r="E2532">
        <v>77116.575108483</v>
      </c>
      <c r="F2532">
        <v>26298.0779470958</v>
      </c>
      <c r="G2532">
        <v>20653.8254362397</v>
      </c>
      <c r="H2532">
        <v>15971.0465749671</v>
      </c>
      <c r="I2532">
        <v>124068.48</v>
      </c>
      <c r="J2532">
        <v>108097.43</v>
      </c>
      <c r="K2532" s="1"/>
      <c r="L2532" s="1"/>
      <c r="M2532" s="1"/>
      <c r="N2532" s="1"/>
    </row>
    <row r="2533" ht="15.75" customHeight="1">
      <c r="A2533" t="s">
        <v>25</v>
      </c>
      <c r="B2533" t="s">
        <v>14</v>
      </c>
      <c r="C2533" t="s">
        <v>4912</v>
      </c>
      <c r="D2533" t="s">
        <v>2615</v>
      </c>
      <c r="E2533">
        <v>77127.4580783892</v>
      </c>
      <c r="F2533">
        <v>26302.6926654232</v>
      </c>
      <c r="G2533">
        <v>20661.5054396692</v>
      </c>
      <c r="H2533">
        <v>15974.4441256543</v>
      </c>
      <c r="I2533">
        <v>124091.66</v>
      </c>
      <c r="J2533">
        <v>108117.22</v>
      </c>
      <c r="K2533" s="1"/>
      <c r="L2533" s="1"/>
      <c r="M2533" s="1"/>
      <c r="N2533" s="1"/>
    </row>
    <row r="2534" ht="15.75" customHeight="1">
      <c r="A2534" t="s">
        <v>53</v>
      </c>
      <c r="B2534" t="s">
        <v>18</v>
      </c>
      <c r="C2534" t="s">
        <v>4910</v>
      </c>
      <c r="D2534" t="s">
        <v>2616</v>
      </c>
      <c r="E2534">
        <v>77138.3410482954</v>
      </c>
      <c r="F2534">
        <v>26307.3073837507</v>
      </c>
      <c r="G2534">
        <v>20669.1854430987</v>
      </c>
      <c r="H2534">
        <v>15977.8416763416</v>
      </c>
      <c r="I2534">
        <v>124114.83</v>
      </c>
      <c r="J2534">
        <v>108136.99</v>
      </c>
      <c r="K2534" s="1"/>
      <c r="L2534" s="1"/>
      <c r="M2534" s="1"/>
      <c r="N2534" s="1"/>
    </row>
    <row r="2535" ht="15.75" customHeight="1">
      <c r="A2535" t="s">
        <v>36</v>
      </c>
      <c r="B2535" t="s">
        <v>26</v>
      </c>
      <c r="C2535" t="s">
        <v>4915</v>
      </c>
      <c r="D2535" t="s">
        <v>2617</v>
      </c>
      <c r="E2535">
        <v>77149.2240182016</v>
      </c>
      <c r="F2535">
        <v>26311.9221020781</v>
      </c>
      <c r="G2535">
        <v>20676.8654465282</v>
      </c>
      <c r="H2535">
        <v>14194.35617001081</v>
      </c>
      <c r="I2535">
        <v>124138.01</v>
      </c>
      <c r="J2535">
        <v>109943.65</v>
      </c>
      <c r="K2535" s="1"/>
      <c r="L2535" s="1"/>
      <c r="M2535" s="1"/>
      <c r="N2535" s="1"/>
    </row>
    <row r="2536" ht="15.75" customHeight="1">
      <c r="A2536" t="s">
        <v>53</v>
      </c>
      <c r="B2536" t="s">
        <v>54</v>
      </c>
      <c r="C2536" t="s">
        <v>4907</v>
      </c>
      <c r="D2536" t="s">
        <v>2618</v>
      </c>
      <c r="E2536">
        <v>77160.1069881078</v>
      </c>
      <c r="F2536">
        <v>26316.5368204055</v>
      </c>
      <c r="G2536">
        <v>20684.5454499577</v>
      </c>
      <c r="H2536">
        <v>15984.6367777162</v>
      </c>
      <c r="I2536">
        <v>124161.19</v>
      </c>
      <c r="J2536">
        <v>108176.55</v>
      </c>
      <c r="K2536" s="1"/>
      <c r="L2536" s="1"/>
      <c r="M2536" s="1"/>
      <c r="N2536" s="1"/>
    </row>
    <row r="2537" ht="15.75" customHeight="1">
      <c r="A2537" t="s">
        <v>17</v>
      </c>
      <c r="B2537" t="s">
        <v>14</v>
      </c>
      <c r="C2537" t="s">
        <v>4915</v>
      </c>
      <c r="D2537" t="s">
        <v>2619</v>
      </c>
      <c r="E2537">
        <v>77170.989958014</v>
      </c>
      <c r="F2537">
        <v>26321.1515387329</v>
      </c>
      <c r="G2537">
        <v>20692.2254533872</v>
      </c>
      <c r="H2537">
        <v>15988.0343284035</v>
      </c>
      <c r="I2537">
        <v>124184.37</v>
      </c>
      <c r="J2537">
        <v>108196.34</v>
      </c>
      <c r="K2537" s="1"/>
      <c r="L2537" s="1"/>
      <c r="M2537" s="1"/>
      <c r="N2537" s="1"/>
    </row>
    <row r="2538" ht="15.75" customHeight="1">
      <c r="A2538" t="s">
        <v>36</v>
      </c>
      <c r="B2538" t="s">
        <v>54</v>
      </c>
      <c r="C2538" t="s">
        <v>4905</v>
      </c>
      <c r="D2538" t="s">
        <v>2620</v>
      </c>
      <c r="E2538">
        <v>77181.8729279202</v>
      </c>
      <c r="F2538">
        <v>26325.7662570603</v>
      </c>
      <c r="G2538">
        <v>20699.9054568167</v>
      </c>
      <c r="H2538">
        <v>15991.4318790908</v>
      </c>
      <c r="I2538">
        <v>124207.54</v>
      </c>
      <c r="J2538">
        <v>108216.11</v>
      </c>
      <c r="K2538" s="1"/>
      <c r="L2538" s="1"/>
      <c r="M2538" s="1"/>
      <c r="N2538" s="1"/>
    </row>
    <row r="2539" ht="15.75" customHeight="1">
      <c r="A2539" t="s">
        <v>36</v>
      </c>
      <c r="B2539" t="s">
        <v>26</v>
      </c>
      <c r="C2539" t="s">
        <v>4914</v>
      </c>
      <c r="D2539" t="s">
        <v>2621</v>
      </c>
      <c r="E2539">
        <v>77192.7558978263</v>
      </c>
      <c r="F2539">
        <v>26330.3809753878</v>
      </c>
      <c r="G2539">
        <v>20707.5854602461</v>
      </c>
      <c r="H2539">
        <v>15994.8294297781</v>
      </c>
      <c r="I2539">
        <v>124230.72</v>
      </c>
      <c r="J2539">
        <v>108235.89</v>
      </c>
      <c r="K2539" s="1"/>
      <c r="L2539" s="1"/>
      <c r="M2539" s="1"/>
      <c r="N2539" s="1"/>
    </row>
    <row r="2540" ht="15.75" customHeight="1">
      <c r="A2540" t="s">
        <v>51</v>
      </c>
      <c r="B2540" t="s">
        <v>30</v>
      </c>
      <c r="C2540" t="s">
        <v>4913</v>
      </c>
      <c r="D2540" t="s">
        <v>2622</v>
      </c>
      <c r="E2540">
        <v>77203.6388677325</v>
      </c>
      <c r="F2540">
        <v>26334.9956937152</v>
      </c>
      <c r="G2540">
        <v>20715.2654636756</v>
      </c>
      <c r="H2540">
        <v>15998.2269804654</v>
      </c>
      <c r="I2540">
        <v>124253.9</v>
      </c>
      <c r="J2540">
        <v>108255.67</v>
      </c>
      <c r="K2540" s="1"/>
      <c r="L2540" s="1"/>
      <c r="M2540" s="1"/>
      <c r="N2540" s="1"/>
    </row>
    <row r="2541" ht="15.75" customHeight="1">
      <c r="A2541" t="s">
        <v>17</v>
      </c>
      <c r="B2541" t="s">
        <v>26</v>
      </c>
      <c r="C2541" t="s">
        <v>4917</v>
      </c>
      <c r="D2541" t="s">
        <v>2623</v>
      </c>
      <c r="E2541">
        <v>77214.5218376387</v>
      </c>
      <c r="F2541">
        <v>26339.6104120426</v>
      </c>
      <c r="G2541">
        <v>20722.9454671051</v>
      </c>
      <c r="H2541">
        <v>16001.6245311526</v>
      </c>
      <c r="I2541">
        <v>124277.08</v>
      </c>
      <c r="J2541">
        <v>108275.46</v>
      </c>
      <c r="K2541" s="1"/>
      <c r="L2541" s="1"/>
      <c r="M2541" s="1"/>
      <c r="N2541" s="1"/>
    </row>
    <row r="2542" ht="15.75" customHeight="1">
      <c r="A2542" t="s">
        <v>53</v>
      </c>
      <c r="B2542" t="s">
        <v>30</v>
      </c>
      <c r="C2542" t="s">
        <v>4910</v>
      </c>
      <c r="D2542" t="s">
        <v>2624</v>
      </c>
      <c r="E2542">
        <v>77225.4048075449</v>
      </c>
      <c r="F2542">
        <v>26344.22513037</v>
      </c>
      <c r="G2542">
        <v>20730.6254705346</v>
      </c>
      <c r="H2542">
        <v>16005.0220818399</v>
      </c>
      <c r="I2542">
        <v>124300.26</v>
      </c>
      <c r="J2542">
        <v>108295.24</v>
      </c>
      <c r="K2542" s="1"/>
      <c r="L2542" s="1"/>
      <c r="M2542" s="1"/>
      <c r="N2542" s="1"/>
    </row>
    <row r="2543" ht="15.75" customHeight="1">
      <c r="A2543" t="s">
        <v>36</v>
      </c>
      <c r="B2543" t="s">
        <v>54</v>
      </c>
      <c r="C2543" t="s">
        <v>4912</v>
      </c>
      <c r="D2543" t="s">
        <v>2625</v>
      </c>
      <c r="E2543">
        <v>77236.2877774511</v>
      </c>
      <c r="F2543">
        <v>26348.8398486975</v>
      </c>
      <c r="G2543">
        <v>20738.3054739641</v>
      </c>
      <c r="H2543">
        <v>16008.4196325272</v>
      </c>
      <c r="I2543">
        <v>124323.43</v>
      </c>
      <c r="J2543">
        <v>108315.01</v>
      </c>
      <c r="K2543" s="1"/>
      <c r="L2543" s="1"/>
      <c r="M2543" s="1"/>
      <c r="N2543" s="1"/>
    </row>
    <row r="2544" ht="15.75" customHeight="1">
      <c r="A2544" t="s">
        <v>29</v>
      </c>
      <c r="B2544" t="s">
        <v>33</v>
      </c>
      <c r="C2544" t="s">
        <v>4917</v>
      </c>
      <c r="D2544" t="s">
        <v>2626</v>
      </c>
      <c r="E2544">
        <v>77247.1707473573</v>
      </c>
      <c r="F2544">
        <v>26353.4545670249</v>
      </c>
      <c r="G2544">
        <v>20745.9854773936</v>
      </c>
      <c r="H2544">
        <v>16011.8171832145</v>
      </c>
      <c r="I2544">
        <v>124346.61</v>
      </c>
      <c r="J2544">
        <v>108334.79</v>
      </c>
      <c r="K2544" s="1"/>
      <c r="L2544" s="1"/>
      <c r="M2544" s="1"/>
      <c r="N2544" s="1"/>
    </row>
    <row r="2545" ht="15.75" customHeight="1">
      <c r="A2545" t="s">
        <v>13</v>
      </c>
      <c r="B2545" t="s">
        <v>26</v>
      </c>
      <c r="C2545" t="s">
        <v>4910</v>
      </c>
      <c r="D2545" t="s">
        <v>2627</v>
      </c>
      <c r="E2545">
        <v>77258.0537172635</v>
      </c>
      <c r="F2545">
        <v>26358.0692853523</v>
      </c>
      <c r="G2545">
        <v>20753.6654808231</v>
      </c>
      <c r="H2545">
        <v>16015.2147339018</v>
      </c>
      <c r="I2545">
        <v>124369.79</v>
      </c>
      <c r="J2545">
        <v>108354.58</v>
      </c>
      <c r="K2545" s="1"/>
      <c r="L2545" s="1"/>
      <c r="M2545" s="1"/>
      <c r="N2545" s="1"/>
    </row>
    <row r="2546" ht="15.75" customHeight="1">
      <c r="A2546" t="s">
        <v>17</v>
      </c>
      <c r="B2546" t="s">
        <v>14</v>
      </c>
      <c r="C2546" t="s">
        <v>4905</v>
      </c>
      <c r="D2546" t="s">
        <v>2628</v>
      </c>
      <c r="E2546">
        <v>77268.9366871697</v>
      </c>
      <c r="F2546">
        <v>26362.6840036797</v>
      </c>
      <c r="G2546">
        <v>20761.3454842526</v>
      </c>
      <c r="H2546">
        <v>16018.6122845891</v>
      </c>
      <c r="I2546">
        <v>124392.97</v>
      </c>
      <c r="J2546">
        <v>108374.36</v>
      </c>
      <c r="K2546" s="1"/>
      <c r="L2546" s="1"/>
      <c r="M2546" s="1"/>
      <c r="N2546" s="1"/>
    </row>
    <row r="2547" ht="15.75" customHeight="1">
      <c r="A2547" t="s">
        <v>13</v>
      </c>
      <c r="B2547" t="s">
        <v>33</v>
      </c>
      <c r="C2547" t="s">
        <v>4917</v>
      </c>
      <c r="D2547" t="s">
        <v>2629</v>
      </c>
      <c r="E2547">
        <v>77279.8196570759</v>
      </c>
      <c r="F2547">
        <v>26367.2987220071</v>
      </c>
      <c r="G2547">
        <v>20769.0254876821</v>
      </c>
      <c r="H2547">
        <v>16022.0098352764</v>
      </c>
      <c r="I2547">
        <v>124416.14</v>
      </c>
      <c r="J2547">
        <v>108394.13</v>
      </c>
      <c r="K2547" s="1"/>
      <c r="L2547" s="1"/>
      <c r="M2547" s="1"/>
      <c r="N2547" s="1"/>
    </row>
    <row r="2548" ht="15.75" customHeight="1">
      <c r="A2548" t="s">
        <v>53</v>
      </c>
      <c r="B2548" t="s">
        <v>54</v>
      </c>
      <c r="C2548" t="s">
        <v>4907</v>
      </c>
      <c r="D2548" t="s">
        <v>2630</v>
      </c>
      <c r="E2548">
        <v>77290.7026269821</v>
      </c>
      <c r="F2548">
        <v>26371.9134403346</v>
      </c>
      <c r="G2548">
        <v>20776.7054911116</v>
      </c>
      <c r="H2548">
        <v>16025.4073859637</v>
      </c>
      <c r="I2548">
        <v>124439.32</v>
      </c>
      <c r="J2548">
        <v>108413.91</v>
      </c>
      <c r="K2548" s="1"/>
      <c r="L2548" s="1"/>
      <c r="M2548" s="1"/>
      <c r="N2548" s="1"/>
    </row>
    <row r="2549" ht="15.75" customHeight="1">
      <c r="A2549" t="s">
        <v>25</v>
      </c>
      <c r="B2549" t="s">
        <v>26</v>
      </c>
      <c r="C2549" t="s">
        <v>4909</v>
      </c>
      <c r="D2549" t="s">
        <v>2631</v>
      </c>
      <c r="E2549">
        <v>77301.5855968883</v>
      </c>
      <c r="F2549">
        <v>26376.528158662</v>
      </c>
      <c r="G2549">
        <v>20784.3854945411</v>
      </c>
      <c r="H2549">
        <v>16028.8049366509</v>
      </c>
      <c r="I2549">
        <v>124462.5</v>
      </c>
      <c r="J2549">
        <v>108433.7</v>
      </c>
      <c r="K2549" s="1"/>
      <c r="L2549" s="1"/>
      <c r="M2549" s="1"/>
      <c r="N2549" s="1"/>
    </row>
    <row r="2550" ht="15.75" customHeight="1">
      <c r="A2550" t="s">
        <v>36</v>
      </c>
      <c r="B2550" t="s">
        <v>30</v>
      </c>
      <c r="C2550" t="s">
        <v>4905</v>
      </c>
      <c r="D2550" t="s">
        <v>2632</v>
      </c>
      <c r="E2550">
        <v>77312.4685667945</v>
      </c>
      <c r="F2550">
        <v>26381.1428769894</v>
      </c>
      <c r="G2550">
        <v>20792.0654979706</v>
      </c>
      <c r="H2550">
        <v>16032.2024873382</v>
      </c>
      <c r="I2550">
        <v>124485.68</v>
      </c>
      <c r="J2550">
        <v>108453.48</v>
      </c>
      <c r="K2550" s="1"/>
      <c r="L2550" s="1"/>
      <c r="M2550" s="1"/>
      <c r="N2550" s="1"/>
    </row>
    <row r="2551" ht="15.75" customHeight="1">
      <c r="A2551" t="s">
        <v>29</v>
      </c>
      <c r="B2551" t="s">
        <v>37</v>
      </c>
      <c r="C2551" t="s">
        <v>4916</v>
      </c>
      <c r="D2551" t="s">
        <v>2633</v>
      </c>
      <c r="E2551">
        <v>77323.3515367007</v>
      </c>
      <c r="F2551">
        <v>26385.7575953168</v>
      </c>
      <c r="G2551">
        <v>20799.7455014001</v>
      </c>
      <c r="H2551">
        <v>16035.6000380255</v>
      </c>
      <c r="I2551">
        <v>124508.85</v>
      </c>
      <c r="J2551">
        <v>108473.25</v>
      </c>
      <c r="K2551" s="1"/>
      <c r="L2551" s="1"/>
      <c r="M2551" s="1"/>
      <c r="N2551" s="1"/>
    </row>
    <row r="2552" ht="15.75" customHeight="1">
      <c r="A2552" t="s">
        <v>29</v>
      </c>
      <c r="B2552" t="s">
        <v>18</v>
      </c>
      <c r="C2552" t="s">
        <v>4911</v>
      </c>
      <c r="D2552" t="s">
        <v>2634</v>
      </c>
      <c r="E2552">
        <v>77334.2345066069</v>
      </c>
      <c r="F2552">
        <v>26390.3723136442</v>
      </c>
      <c r="G2552">
        <v>20807.4255048296</v>
      </c>
      <c r="H2552">
        <v>16038.9975887128</v>
      </c>
      <c r="I2552">
        <v>124532.03</v>
      </c>
      <c r="J2552">
        <v>108493.03</v>
      </c>
      <c r="K2552" s="1"/>
      <c r="L2552" s="1"/>
      <c r="M2552" s="1"/>
      <c r="N2552" s="1"/>
    </row>
    <row r="2553" ht="15.75" customHeight="1">
      <c r="A2553" t="s">
        <v>53</v>
      </c>
      <c r="B2553" t="s">
        <v>14</v>
      </c>
      <c r="C2553" t="s">
        <v>4914</v>
      </c>
      <c r="D2553" t="s">
        <v>2635</v>
      </c>
      <c r="E2553">
        <v>77345.1174765131</v>
      </c>
      <c r="F2553">
        <v>26394.9870319717</v>
      </c>
      <c r="G2553">
        <v>20815.1055082591</v>
      </c>
      <c r="H2553">
        <v>16042.3951394001</v>
      </c>
      <c r="I2553">
        <v>124555.21</v>
      </c>
      <c r="J2553">
        <v>108512.81</v>
      </c>
      <c r="K2553" s="1"/>
      <c r="L2553" s="1"/>
      <c r="M2553" s="1"/>
      <c r="N2553" s="1"/>
    </row>
    <row r="2554" ht="15.75" customHeight="1">
      <c r="A2554" t="s">
        <v>36</v>
      </c>
      <c r="B2554" t="s">
        <v>18</v>
      </c>
      <c r="C2554" t="s">
        <v>4908</v>
      </c>
      <c r="D2554" t="s">
        <v>2636</v>
      </c>
      <c r="E2554">
        <v>77356.0004464193</v>
      </c>
      <c r="F2554">
        <v>26399.6017502991</v>
      </c>
      <c r="G2554">
        <v>20822.7855116886</v>
      </c>
      <c r="H2554">
        <v>16045.7926900874</v>
      </c>
      <c r="I2554">
        <v>124578.39</v>
      </c>
      <c r="J2554">
        <v>108532.6</v>
      </c>
      <c r="K2554" s="1"/>
      <c r="L2554" s="1"/>
      <c r="M2554" s="1"/>
      <c r="N2554" s="1"/>
    </row>
    <row r="2555" ht="15.75" customHeight="1">
      <c r="A2555" t="s">
        <v>13</v>
      </c>
      <c r="B2555" t="s">
        <v>30</v>
      </c>
      <c r="C2555" t="s">
        <v>4917</v>
      </c>
      <c r="D2555" t="s">
        <v>2637</v>
      </c>
      <c r="E2555">
        <v>77366.8834163254</v>
      </c>
      <c r="F2555">
        <v>26404.2164686265</v>
      </c>
      <c r="G2555">
        <v>20830.4655151181</v>
      </c>
      <c r="H2555">
        <v>16049.1902407747</v>
      </c>
      <c r="I2555">
        <v>124601.57</v>
      </c>
      <c r="J2555">
        <v>108552.38</v>
      </c>
      <c r="K2555" s="1"/>
      <c r="L2555" s="1"/>
      <c r="M2555" s="1"/>
      <c r="N2555" s="1"/>
    </row>
    <row r="2556" ht="15.75" customHeight="1">
      <c r="A2556" t="s">
        <v>53</v>
      </c>
      <c r="B2556" t="s">
        <v>37</v>
      </c>
      <c r="C2556" t="s">
        <v>4915</v>
      </c>
      <c r="D2556" t="s">
        <v>2638</v>
      </c>
      <c r="E2556">
        <v>77377.7663862316</v>
      </c>
      <c r="F2556">
        <v>26408.8311869539</v>
      </c>
      <c r="G2556">
        <v>20838.1455185476</v>
      </c>
      <c r="H2556">
        <v>16052.5877914619</v>
      </c>
      <c r="I2556">
        <v>124624.74</v>
      </c>
      <c r="J2556">
        <v>108572.15</v>
      </c>
      <c r="K2556" s="1"/>
      <c r="L2556" s="1"/>
      <c r="M2556" s="1"/>
      <c r="N2556" s="1"/>
    </row>
    <row r="2557" ht="15.75" customHeight="1">
      <c r="A2557" t="s">
        <v>29</v>
      </c>
      <c r="B2557" t="s">
        <v>54</v>
      </c>
      <c r="C2557" t="s">
        <v>4910</v>
      </c>
      <c r="D2557" t="s">
        <v>2639</v>
      </c>
      <c r="E2557">
        <v>77388.6493561378</v>
      </c>
      <c r="F2557">
        <v>26413.4459052814</v>
      </c>
      <c r="G2557">
        <v>20845.8255219771</v>
      </c>
      <c r="H2557">
        <v>16055.9853421492</v>
      </c>
      <c r="I2557">
        <v>124647.92</v>
      </c>
      <c r="J2557">
        <v>108591.93</v>
      </c>
      <c r="K2557" s="1"/>
      <c r="L2557" s="1"/>
      <c r="M2557" s="1"/>
      <c r="N2557" s="1"/>
    </row>
    <row r="2558" ht="15.75" customHeight="1">
      <c r="A2558" t="s">
        <v>53</v>
      </c>
      <c r="B2558" t="s">
        <v>26</v>
      </c>
      <c r="C2558" t="s">
        <v>4905</v>
      </c>
      <c r="D2558" t="s">
        <v>2640</v>
      </c>
      <c r="E2558">
        <v>77399.532326044</v>
      </c>
      <c r="F2558">
        <v>26418.0606236088</v>
      </c>
      <c r="G2558">
        <v>20853.5055254066</v>
      </c>
      <c r="H2558">
        <v>16059.3828928365</v>
      </c>
      <c r="I2558">
        <v>124671.1</v>
      </c>
      <c r="J2558">
        <v>108611.72</v>
      </c>
      <c r="K2558" s="1"/>
      <c r="L2558" s="1"/>
      <c r="M2558" s="1"/>
      <c r="N2558" s="1"/>
    </row>
    <row r="2559" ht="15.75" customHeight="1">
      <c r="A2559" t="s">
        <v>36</v>
      </c>
      <c r="B2559" t="s">
        <v>26</v>
      </c>
      <c r="C2559" t="s">
        <v>4910</v>
      </c>
      <c r="D2559" t="s">
        <v>2641</v>
      </c>
      <c r="E2559">
        <v>77410.4152959502</v>
      </c>
      <c r="F2559">
        <v>26422.6753419362</v>
      </c>
      <c r="G2559">
        <v>20861.1855288361</v>
      </c>
      <c r="H2559">
        <v>16062.7804435238</v>
      </c>
      <c r="I2559">
        <v>124694.28</v>
      </c>
      <c r="J2559">
        <v>108631.5</v>
      </c>
      <c r="K2559" s="1"/>
      <c r="L2559" s="1"/>
      <c r="M2559" s="1"/>
      <c r="N2559" s="1"/>
    </row>
    <row r="2560" ht="15.75" customHeight="1">
      <c r="A2560" t="s">
        <v>17</v>
      </c>
      <c r="B2560" t="s">
        <v>37</v>
      </c>
      <c r="C2560" t="s">
        <v>4908</v>
      </c>
      <c r="D2560" t="s">
        <v>2642</v>
      </c>
      <c r="E2560">
        <v>77421.2982658564</v>
      </c>
      <c r="F2560">
        <v>26427.2900602636</v>
      </c>
      <c r="G2560">
        <v>20868.8655322656</v>
      </c>
      <c r="H2560">
        <v>16066.1779942111</v>
      </c>
      <c r="I2560">
        <v>124717.45</v>
      </c>
      <c r="J2560">
        <v>108651.27</v>
      </c>
      <c r="K2560" s="1"/>
      <c r="L2560" s="1"/>
      <c r="M2560" s="1"/>
      <c r="N2560" s="1"/>
    </row>
    <row r="2561" ht="15.75" customHeight="1">
      <c r="A2561" t="s">
        <v>25</v>
      </c>
      <c r="B2561" t="s">
        <v>14</v>
      </c>
      <c r="C2561" t="s">
        <v>4913</v>
      </c>
      <c r="D2561" t="s">
        <v>2643</v>
      </c>
      <c r="E2561">
        <v>77432.1812357626</v>
      </c>
      <c r="F2561">
        <v>26431.904778591</v>
      </c>
      <c r="G2561">
        <v>20876.5455356951</v>
      </c>
      <c r="H2561">
        <v>16069.5755448984</v>
      </c>
      <c r="I2561">
        <v>124740.63</v>
      </c>
      <c r="J2561">
        <v>108671.05</v>
      </c>
      <c r="K2561" s="1"/>
      <c r="L2561" s="1"/>
      <c r="M2561" s="1"/>
      <c r="N2561" s="1"/>
    </row>
    <row r="2562" ht="15.75" customHeight="1">
      <c r="A2562" t="s">
        <v>36</v>
      </c>
      <c r="B2562" t="s">
        <v>33</v>
      </c>
      <c r="C2562" t="s">
        <v>4907</v>
      </c>
      <c r="D2562" t="s">
        <v>2644</v>
      </c>
      <c r="E2562">
        <v>77443.0642056688</v>
      </c>
      <c r="F2562">
        <v>26436.5194969185</v>
      </c>
      <c r="G2562">
        <v>20884.2255391246</v>
      </c>
      <c r="H2562">
        <v>16072.9730955857</v>
      </c>
      <c r="I2562">
        <v>124763.81</v>
      </c>
      <c r="J2562">
        <v>108690.84</v>
      </c>
      <c r="K2562" s="1"/>
      <c r="L2562" s="1"/>
      <c r="M2562" s="1"/>
      <c r="N2562" s="1"/>
    </row>
    <row r="2563" ht="15.75" customHeight="1">
      <c r="A2563" t="s">
        <v>25</v>
      </c>
      <c r="B2563" t="s">
        <v>18</v>
      </c>
      <c r="C2563" t="s">
        <v>4911</v>
      </c>
      <c r="D2563" t="s">
        <v>2645</v>
      </c>
      <c r="E2563">
        <v>77453.947175575</v>
      </c>
      <c r="F2563">
        <v>26441.1342152459</v>
      </c>
      <c r="G2563">
        <v>20891.9055425541</v>
      </c>
      <c r="H2563">
        <v>16076.370646273</v>
      </c>
      <c r="I2563">
        <v>124786.99</v>
      </c>
      <c r="J2563">
        <v>108710.62</v>
      </c>
      <c r="K2563" s="1"/>
      <c r="L2563" s="1"/>
      <c r="M2563" s="1"/>
      <c r="N2563" s="1"/>
    </row>
    <row r="2564" ht="15.75" customHeight="1">
      <c r="A2564" t="s">
        <v>17</v>
      </c>
      <c r="B2564" t="s">
        <v>18</v>
      </c>
      <c r="C2564" t="s">
        <v>4909</v>
      </c>
      <c r="D2564" t="s">
        <v>2646</v>
      </c>
      <c r="E2564">
        <v>77486.5960852936</v>
      </c>
      <c r="F2564">
        <v>26454.9783702282</v>
      </c>
      <c r="G2564">
        <v>20914.9455528426</v>
      </c>
      <c r="H2564">
        <v>16086.5632983348</v>
      </c>
      <c r="I2564">
        <v>124856.52</v>
      </c>
      <c r="J2564">
        <v>108769.96</v>
      </c>
      <c r="K2564" s="1"/>
      <c r="L2564" s="1"/>
      <c r="M2564" s="1"/>
      <c r="N2564" s="1"/>
    </row>
    <row r="2565" ht="15.75" customHeight="1">
      <c r="A2565" t="s">
        <v>36</v>
      </c>
      <c r="B2565" t="s">
        <v>37</v>
      </c>
      <c r="C2565" t="s">
        <v>4917</v>
      </c>
      <c r="D2565" t="s">
        <v>2647</v>
      </c>
      <c r="E2565">
        <v>77497.4790551998</v>
      </c>
      <c r="F2565">
        <v>26459.5930885556</v>
      </c>
      <c r="G2565">
        <v>20922.6255562721</v>
      </c>
      <c r="H2565">
        <v>16089.9608490221</v>
      </c>
      <c r="I2565">
        <v>124879.7</v>
      </c>
      <c r="J2565">
        <v>108789.74</v>
      </c>
      <c r="K2565" s="1"/>
      <c r="L2565" s="1"/>
      <c r="M2565" s="1"/>
      <c r="N2565" s="1"/>
    </row>
    <row r="2566" ht="15.75" customHeight="1">
      <c r="A2566" t="s">
        <v>25</v>
      </c>
      <c r="B2566" t="s">
        <v>33</v>
      </c>
      <c r="C2566" t="s">
        <v>4916</v>
      </c>
      <c r="D2566" t="s">
        <v>2648</v>
      </c>
      <c r="E2566">
        <v>77508.362025106</v>
      </c>
      <c r="F2566">
        <v>26464.207806883</v>
      </c>
      <c r="G2566">
        <v>20930.3055597016</v>
      </c>
      <c r="H2566">
        <v>16093.3583997094</v>
      </c>
      <c r="I2566">
        <v>124902.88</v>
      </c>
      <c r="J2566">
        <v>108809.52</v>
      </c>
      <c r="K2566" s="1"/>
      <c r="L2566" s="1"/>
      <c r="M2566" s="1"/>
      <c r="N2566" s="1"/>
    </row>
    <row r="2567" ht="15.75" customHeight="1">
      <c r="A2567" t="s">
        <v>25</v>
      </c>
      <c r="B2567" t="s">
        <v>14</v>
      </c>
      <c r="C2567" t="s">
        <v>4910</v>
      </c>
      <c r="D2567" t="s">
        <v>2649</v>
      </c>
      <c r="E2567">
        <v>77519.2449950121</v>
      </c>
      <c r="F2567">
        <v>26468.8225252104</v>
      </c>
      <c r="G2567">
        <v>20937.9855631311</v>
      </c>
      <c r="H2567">
        <v>16096.7559503967</v>
      </c>
      <c r="I2567">
        <v>124926.05</v>
      </c>
      <c r="J2567">
        <v>108829.29</v>
      </c>
      <c r="K2567" s="1"/>
      <c r="L2567" s="1"/>
      <c r="M2567" s="1"/>
      <c r="N2567" s="1"/>
    </row>
    <row r="2568" ht="15.75" customHeight="1">
      <c r="A2568" t="s">
        <v>25</v>
      </c>
      <c r="B2568" t="s">
        <v>30</v>
      </c>
      <c r="C2568" t="s">
        <v>4917</v>
      </c>
      <c r="D2568" t="s">
        <v>2650</v>
      </c>
      <c r="E2568">
        <v>77530.1279649183</v>
      </c>
      <c r="F2568">
        <v>26473.4372435378</v>
      </c>
      <c r="G2568">
        <v>20945.6655665606</v>
      </c>
      <c r="H2568">
        <v>16100.153501084</v>
      </c>
      <c r="I2568">
        <v>124949.23</v>
      </c>
      <c r="J2568">
        <v>108849.08</v>
      </c>
      <c r="K2568" s="1"/>
      <c r="L2568" s="1"/>
      <c r="M2568" s="1"/>
      <c r="N2568" s="1"/>
    </row>
    <row r="2569" ht="15.75" customHeight="1">
      <c r="A2569" t="s">
        <v>53</v>
      </c>
      <c r="B2569" t="s">
        <v>14</v>
      </c>
      <c r="C2569" t="s">
        <v>4915</v>
      </c>
      <c r="D2569" t="s">
        <v>2651</v>
      </c>
      <c r="E2569">
        <v>77541.0109348245</v>
      </c>
      <c r="F2569">
        <v>26478.0519618653</v>
      </c>
      <c r="G2569">
        <v>20953.3455699901</v>
      </c>
      <c r="H2569">
        <v>16103.5510517713</v>
      </c>
      <c r="I2569">
        <v>124972.41</v>
      </c>
      <c r="J2569">
        <v>108868.86</v>
      </c>
      <c r="K2569" s="1"/>
      <c r="L2569" s="1"/>
      <c r="M2569" s="1"/>
      <c r="N2569" s="1"/>
    </row>
    <row r="2570" ht="15.75" customHeight="1">
      <c r="A2570" t="s">
        <v>36</v>
      </c>
      <c r="B2570" t="s">
        <v>37</v>
      </c>
      <c r="C2570" t="s">
        <v>4914</v>
      </c>
      <c r="D2570" t="s">
        <v>2652</v>
      </c>
      <c r="E2570">
        <v>77551.8939047307</v>
      </c>
      <c r="F2570">
        <v>26482.6666801927</v>
      </c>
      <c r="G2570">
        <v>20961.0255734196</v>
      </c>
      <c r="H2570">
        <v>16106.9486024585</v>
      </c>
      <c r="I2570">
        <v>124995.59</v>
      </c>
      <c r="J2570">
        <v>108888.64</v>
      </c>
      <c r="K2570" s="1"/>
      <c r="L2570" s="1"/>
      <c r="M2570" s="1"/>
      <c r="N2570" s="1"/>
    </row>
    <row r="2571" ht="15.75" customHeight="1">
      <c r="A2571" t="s">
        <v>13</v>
      </c>
      <c r="B2571" t="s">
        <v>37</v>
      </c>
      <c r="C2571" t="s">
        <v>4912</v>
      </c>
      <c r="D2571" t="s">
        <v>2653</v>
      </c>
      <c r="E2571">
        <v>77562.7768746369</v>
      </c>
      <c r="F2571">
        <v>26487.2813985201</v>
      </c>
      <c r="G2571">
        <v>20968.7055768491</v>
      </c>
      <c r="H2571">
        <v>16110.3461531458</v>
      </c>
      <c r="I2571">
        <v>125018.76</v>
      </c>
      <c r="J2571">
        <v>108908.41</v>
      </c>
      <c r="K2571" s="1"/>
      <c r="L2571" s="1"/>
      <c r="M2571" s="1"/>
      <c r="N2571" s="1"/>
    </row>
    <row r="2572" ht="15.75" customHeight="1">
      <c r="A2572" t="s">
        <v>53</v>
      </c>
      <c r="B2572" t="s">
        <v>54</v>
      </c>
      <c r="C2572" t="s">
        <v>4916</v>
      </c>
      <c r="D2572" t="s">
        <v>2654</v>
      </c>
      <c r="E2572">
        <v>77573.6598445431</v>
      </c>
      <c r="F2572">
        <v>26491.8961168475</v>
      </c>
      <c r="G2572">
        <v>20976.3855802786</v>
      </c>
      <c r="H2572">
        <v>16113.7437038331</v>
      </c>
      <c r="I2572">
        <v>125041.94</v>
      </c>
      <c r="J2572">
        <v>108928.2</v>
      </c>
      <c r="K2572" s="1"/>
      <c r="L2572" s="1"/>
      <c r="M2572" s="1"/>
      <c r="N2572" s="1"/>
    </row>
    <row r="2573" ht="15.75" customHeight="1">
      <c r="A2573" t="s">
        <v>17</v>
      </c>
      <c r="B2573" t="s">
        <v>37</v>
      </c>
      <c r="C2573" t="s">
        <v>4917</v>
      </c>
      <c r="D2573" t="s">
        <v>2655</v>
      </c>
      <c r="E2573">
        <v>77584.5428144493</v>
      </c>
      <c r="F2573">
        <v>26496.510835175</v>
      </c>
      <c r="G2573">
        <v>20984.065583708</v>
      </c>
      <c r="H2573">
        <v>16117.1412545204</v>
      </c>
      <c r="I2573">
        <v>125065.12</v>
      </c>
      <c r="J2573">
        <v>108947.98</v>
      </c>
      <c r="K2573" s="1"/>
      <c r="L2573" s="1"/>
      <c r="M2573" s="1"/>
      <c r="N2573" s="1"/>
    </row>
    <row r="2574" ht="15.75" customHeight="1">
      <c r="A2574" t="s">
        <v>25</v>
      </c>
      <c r="B2574" t="s">
        <v>37</v>
      </c>
      <c r="C2574" t="s">
        <v>4917</v>
      </c>
      <c r="D2574" t="s">
        <v>2656</v>
      </c>
      <c r="E2574">
        <v>77595.4257843555</v>
      </c>
      <c r="F2574">
        <v>26501.1255535024</v>
      </c>
      <c r="G2574">
        <v>20991.7455871375</v>
      </c>
      <c r="H2574">
        <v>16120.5388052077</v>
      </c>
      <c r="I2574">
        <v>125088.3</v>
      </c>
      <c r="J2574">
        <v>108967.76</v>
      </c>
      <c r="K2574" s="1"/>
      <c r="L2574" s="1"/>
      <c r="M2574" s="1"/>
      <c r="N2574" s="1"/>
    </row>
    <row r="2575" ht="15.75" customHeight="1">
      <c r="A2575" t="s">
        <v>13</v>
      </c>
      <c r="B2575" t="s">
        <v>30</v>
      </c>
      <c r="C2575" t="s">
        <v>4907</v>
      </c>
      <c r="D2575" t="s">
        <v>2657</v>
      </c>
      <c r="E2575">
        <v>77606.3087542617</v>
      </c>
      <c r="F2575">
        <v>26505.7402718298</v>
      </c>
      <c r="G2575">
        <v>20999.425590567</v>
      </c>
      <c r="H2575">
        <v>16123.936355895</v>
      </c>
      <c r="I2575">
        <v>125111.47</v>
      </c>
      <c r="J2575">
        <v>108987.53</v>
      </c>
      <c r="K2575" s="1"/>
      <c r="L2575" s="1"/>
      <c r="M2575" s="1"/>
      <c r="N2575" s="1"/>
    </row>
    <row r="2576" ht="15.75" customHeight="1">
      <c r="A2576" t="s">
        <v>51</v>
      </c>
      <c r="B2576" t="s">
        <v>26</v>
      </c>
      <c r="C2576" t="s">
        <v>4910</v>
      </c>
      <c r="D2576" t="s">
        <v>2658</v>
      </c>
      <c r="E2576">
        <v>77617.1917241679</v>
      </c>
      <c r="F2576">
        <v>26510.3549901572</v>
      </c>
      <c r="G2576">
        <v>21007.1055939965</v>
      </c>
      <c r="H2576">
        <v>16127.3339065823</v>
      </c>
      <c r="I2576">
        <v>125134.65</v>
      </c>
      <c r="J2576">
        <v>109007.32</v>
      </c>
      <c r="K2576" s="1"/>
      <c r="L2576" s="1"/>
      <c r="M2576" s="1"/>
      <c r="N2576" s="1"/>
    </row>
    <row r="2577" ht="15.75" customHeight="1">
      <c r="A2577" t="s">
        <v>51</v>
      </c>
      <c r="B2577" t="s">
        <v>18</v>
      </c>
      <c r="C2577" t="s">
        <v>4917</v>
      </c>
      <c r="D2577" t="s">
        <v>2659</v>
      </c>
      <c r="E2577">
        <v>77628.0746940741</v>
      </c>
      <c r="F2577">
        <v>26514.9697084846</v>
      </c>
      <c r="G2577">
        <v>21014.785597426</v>
      </c>
      <c r="H2577">
        <v>16130.7314572696</v>
      </c>
      <c r="I2577">
        <v>125157.83</v>
      </c>
      <c r="J2577">
        <v>109027.1</v>
      </c>
      <c r="K2577" s="1"/>
      <c r="L2577" s="1"/>
      <c r="M2577" s="1"/>
      <c r="N2577" s="1"/>
    </row>
    <row r="2578" ht="15.75" customHeight="1">
      <c r="A2578" t="s">
        <v>29</v>
      </c>
      <c r="B2578" t="s">
        <v>30</v>
      </c>
      <c r="C2578" t="s">
        <v>4912</v>
      </c>
      <c r="D2578" t="s">
        <v>2660</v>
      </c>
      <c r="E2578">
        <v>77638.9576639803</v>
      </c>
      <c r="F2578">
        <v>26519.5844268121</v>
      </c>
      <c r="G2578">
        <v>21022.4656008555</v>
      </c>
      <c r="H2578">
        <v>16134.1290079568</v>
      </c>
      <c r="I2578">
        <v>125181.01</v>
      </c>
      <c r="J2578">
        <v>109046.88</v>
      </c>
      <c r="K2578" s="1"/>
      <c r="L2578" s="1"/>
      <c r="M2578" s="1"/>
      <c r="N2578" s="1"/>
    </row>
    <row r="2579" ht="15.75" customHeight="1">
      <c r="A2579" t="s">
        <v>53</v>
      </c>
      <c r="B2579" t="s">
        <v>18</v>
      </c>
      <c r="C2579" t="s">
        <v>4914</v>
      </c>
      <c r="D2579" t="s">
        <v>2661</v>
      </c>
      <c r="E2579">
        <v>77649.8406338865</v>
      </c>
      <c r="F2579">
        <v>26524.1991451395</v>
      </c>
      <c r="G2579">
        <v>21030.145604285</v>
      </c>
      <c r="H2579">
        <v>16137.5265586441</v>
      </c>
      <c r="I2579">
        <v>125204.19</v>
      </c>
      <c r="J2579">
        <v>109066.66</v>
      </c>
      <c r="K2579" s="1"/>
      <c r="L2579" s="1"/>
      <c r="M2579" s="1"/>
      <c r="N2579" s="1"/>
    </row>
    <row r="2580" ht="15.75" customHeight="1">
      <c r="A2580" t="s">
        <v>51</v>
      </c>
      <c r="B2580" t="s">
        <v>30</v>
      </c>
      <c r="C2580" t="s">
        <v>4915</v>
      </c>
      <c r="D2580" t="s">
        <v>2662</v>
      </c>
      <c r="E2580">
        <v>77660.7236037927</v>
      </c>
      <c r="F2580">
        <v>26528.8138634669</v>
      </c>
      <c r="G2580">
        <v>21037.8256077145</v>
      </c>
      <c r="H2580">
        <v>16140.9241093314</v>
      </c>
      <c r="I2580">
        <v>125227.36</v>
      </c>
      <c r="J2580">
        <v>109086.44</v>
      </c>
      <c r="K2580" s="1"/>
      <c r="L2580" s="1"/>
      <c r="M2580" s="1"/>
      <c r="N2580" s="1"/>
    </row>
    <row r="2581" ht="15.75" customHeight="1">
      <c r="A2581" t="s">
        <v>29</v>
      </c>
      <c r="B2581" t="s">
        <v>14</v>
      </c>
      <c r="C2581" t="s">
        <v>4911</v>
      </c>
      <c r="D2581" t="s">
        <v>2663</v>
      </c>
      <c r="E2581">
        <v>77671.6065736989</v>
      </c>
      <c r="F2581">
        <v>26533.4285817943</v>
      </c>
      <c r="G2581">
        <v>21045.505611144</v>
      </c>
      <c r="H2581">
        <v>16144.3216600187</v>
      </c>
      <c r="I2581">
        <v>125250.54</v>
      </c>
      <c r="J2581">
        <v>109106.22</v>
      </c>
      <c r="K2581" s="1"/>
      <c r="L2581" s="1"/>
      <c r="M2581" s="1"/>
      <c r="N2581" s="1"/>
    </row>
    <row r="2582" ht="15.75" customHeight="1">
      <c r="A2582" t="s">
        <v>36</v>
      </c>
      <c r="B2582" t="s">
        <v>54</v>
      </c>
      <c r="C2582" t="s">
        <v>4910</v>
      </c>
      <c r="D2582" t="s">
        <v>2664</v>
      </c>
      <c r="E2582">
        <v>77682.4895436051</v>
      </c>
      <c r="F2582">
        <v>26538.0433001218</v>
      </c>
      <c r="G2582">
        <v>21053.1856145735</v>
      </c>
      <c r="H2582">
        <v>16147.719210706</v>
      </c>
      <c r="I2582">
        <v>125273.72</v>
      </c>
      <c r="J2582">
        <v>109126.0</v>
      </c>
      <c r="K2582" s="1"/>
      <c r="L2582" s="1"/>
      <c r="M2582" s="1"/>
      <c r="N2582" s="1"/>
    </row>
    <row r="2583" ht="15.75" customHeight="1">
      <c r="A2583" t="s">
        <v>53</v>
      </c>
      <c r="B2583" t="s">
        <v>26</v>
      </c>
      <c r="C2583" t="s">
        <v>4910</v>
      </c>
      <c r="D2583" t="s">
        <v>2665</v>
      </c>
      <c r="E2583">
        <v>77704.2554834174</v>
      </c>
      <c r="F2583">
        <v>26547.2727367766</v>
      </c>
      <c r="G2583">
        <v>21068.5456214325</v>
      </c>
      <c r="H2583">
        <v>16154.5143120806</v>
      </c>
      <c r="I2583">
        <v>125320.07</v>
      </c>
      <c r="J2583">
        <v>109165.56</v>
      </c>
      <c r="K2583" s="1"/>
      <c r="L2583" s="1"/>
      <c r="M2583" s="1"/>
      <c r="N2583" s="1"/>
    </row>
    <row r="2584" ht="15.75" customHeight="1">
      <c r="A2584" t="s">
        <v>36</v>
      </c>
      <c r="B2584" t="s">
        <v>33</v>
      </c>
      <c r="C2584" t="s">
        <v>4912</v>
      </c>
      <c r="D2584" t="s">
        <v>2666</v>
      </c>
      <c r="E2584">
        <v>77715.1384533236</v>
      </c>
      <c r="F2584">
        <v>26551.887455104</v>
      </c>
      <c r="G2584">
        <v>21076.225624862</v>
      </c>
      <c r="H2584">
        <v>16157.9118627678</v>
      </c>
      <c r="I2584">
        <v>125343.25</v>
      </c>
      <c r="J2584">
        <v>109185.34</v>
      </c>
      <c r="K2584" s="1"/>
      <c r="L2584" s="1"/>
      <c r="M2584" s="1"/>
      <c r="N2584" s="1"/>
    </row>
    <row r="2585" ht="15.75" customHeight="1">
      <c r="A2585" t="s">
        <v>13</v>
      </c>
      <c r="B2585" t="s">
        <v>18</v>
      </c>
      <c r="C2585" t="s">
        <v>4917</v>
      </c>
      <c r="D2585" t="s">
        <v>2667</v>
      </c>
      <c r="E2585">
        <v>77736.904393136</v>
      </c>
      <c r="F2585">
        <v>26561.1168917589</v>
      </c>
      <c r="G2585">
        <v>21091.585631721</v>
      </c>
      <c r="H2585">
        <v>16164.7069641424</v>
      </c>
      <c r="I2585">
        <v>125389.61</v>
      </c>
      <c r="J2585">
        <v>109224.9</v>
      </c>
      <c r="K2585" s="1"/>
      <c r="L2585" s="1"/>
      <c r="M2585" s="1"/>
      <c r="N2585" s="1"/>
    </row>
    <row r="2586" ht="15.75" customHeight="1">
      <c r="A2586" t="s">
        <v>53</v>
      </c>
      <c r="B2586" t="s">
        <v>30</v>
      </c>
      <c r="C2586" t="s">
        <v>4917</v>
      </c>
      <c r="D2586" t="s">
        <v>2668</v>
      </c>
      <c r="E2586">
        <v>77747.7873630422</v>
      </c>
      <c r="F2586">
        <v>26565.7316100863</v>
      </c>
      <c r="G2586">
        <v>21099.2656351505</v>
      </c>
      <c r="H2586">
        <v>16168.1045148297</v>
      </c>
      <c r="I2586">
        <v>125412.78</v>
      </c>
      <c r="J2586">
        <v>109244.68</v>
      </c>
      <c r="K2586" s="1"/>
      <c r="L2586" s="1"/>
      <c r="M2586" s="1"/>
      <c r="N2586" s="1"/>
    </row>
    <row r="2587" ht="15.75" customHeight="1">
      <c r="A2587" t="s">
        <v>13</v>
      </c>
      <c r="B2587" t="s">
        <v>33</v>
      </c>
      <c r="C2587" t="s">
        <v>4915</v>
      </c>
      <c r="D2587" t="s">
        <v>2669</v>
      </c>
      <c r="E2587">
        <v>77758.6703329484</v>
      </c>
      <c r="F2587">
        <v>26570.3463284137</v>
      </c>
      <c r="G2587">
        <v>21106.94563858</v>
      </c>
      <c r="H2587">
        <v>16171.502065517</v>
      </c>
      <c r="I2587">
        <v>125435.96</v>
      </c>
      <c r="J2587">
        <v>109264.46</v>
      </c>
      <c r="K2587" s="1"/>
      <c r="L2587" s="1"/>
      <c r="M2587" s="1"/>
      <c r="N2587" s="1"/>
    </row>
    <row r="2588" ht="15.75" customHeight="1">
      <c r="A2588" t="s">
        <v>29</v>
      </c>
      <c r="B2588" t="s">
        <v>37</v>
      </c>
      <c r="C2588" t="s">
        <v>4907</v>
      </c>
      <c r="D2588" t="s">
        <v>2670</v>
      </c>
      <c r="E2588">
        <v>77769.5533028546</v>
      </c>
      <c r="F2588">
        <v>26574.9610467411</v>
      </c>
      <c r="G2588">
        <v>21114.6256420095</v>
      </c>
      <c r="H2588">
        <v>16174.8996162043</v>
      </c>
      <c r="I2588">
        <v>125459.14</v>
      </c>
      <c r="J2588">
        <v>109284.24</v>
      </c>
      <c r="K2588" s="1"/>
      <c r="L2588" s="1"/>
      <c r="M2588" s="1"/>
      <c r="N2588" s="1"/>
    </row>
    <row r="2589" ht="15.75" customHeight="1">
      <c r="A2589" t="s">
        <v>29</v>
      </c>
      <c r="B2589" t="s">
        <v>30</v>
      </c>
      <c r="C2589" t="s">
        <v>4905</v>
      </c>
      <c r="D2589" t="s">
        <v>2671</v>
      </c>
      <c r="E2589">
        <v>77791.319242667</v>
      </c>
      <c r="F2589">
        <v>26584.190483396</v>
      </c>
      <c r="G2589">
        <v>21129.9856488685</v>
      </c>
      <c r="H2589">
        <v>16181.6947175789</v>
      </c>
      <c r="I2589">
        <v>125505.5</v>
      </c>
      <c r="J2589">
        <v>109323.81</v>
      </c>
      <c r="K2589" s="1"/>
      <c r="L2589" s="1"/>
      <c r="M2589" s="1"/>
      <c r="N2589" s="1"/>
    </row>
    <row r="2590" ht="15.75" customHeight="1">
      <c r="A2590" t="s">
        <v>13</v>
      </c>
      <c r="B2590" t="s">
        <v>26</v>
      </c>
      <c r="C2590" t="s">
        <v>4905</v>
      </c>
      <c r="D2590" t="s">
        <v>2672</v>
      </c>
      <c r="E2590">
        <v>77802.2022125732</v>
      </c>
      <c r="F2590">
        <v>26588.8052017234</v>
      </c>
      <c r="G2590">
        <v>21137.665652298</v>
      </c>
      <c r="H2590">
        <v>16185.0922682661</v>
      </c>
      <c r="I2590">
        <v>125528.67</v>
      </c>
      <c r="J2590">
        <v>109343.58</v>
      </c>
      <c r="K2590" s="1"/>
      <c r="L2590" s="1"/>
      <c r="M2590" s="1"/>
      <c r="N2590" s="1"/>
    </row>
    <row r="2591" ht="15.75" customHeight="1">
      <c r="A2591" t="s">
        <v>36</v>
      </c>
      <c r="B2591" t="s">
        <v>14</v>
      </c>
      <c r="C2591" t="s">
        <v>4911</v>
      </c>
      <c r="D2591" t="s">
        <v>2673</v>
      </c>
      <c r="E2591">
        <v>77823.9681523856</v>
      </c>
      <c r="F2591">
        <v>26598.0346383782</v>
      </c>
      <c r="G2591">
        <v>21153.025659157</v>
      </c>
      <c r="H2591">
        <v>16191.8873696407</v>
      </c>
      <c r="I2591">
        <v>125575.03</v>
      </c>
      <c r="J2591">
        <v>109383.14</v>
      </c>
      <c r="K2591" s="1"/>
      <c r="L2591" s="1"/>
      <c r="M2591" s="1"/>
      <c r="N2591" s="1"/>
    </row>
    <row r="2592" ht="15.75" customHeight="1">
      <c r="A2592" t="s">
        <v>36</v>
      </c>
      <c r="B2592" t="s">
        <v>14</v>
      </c>
      <c r="C2592" t="s">
        <v>4915</v>
      </c>
      <c r="D2592" t="s">
        <v>2674</v>
      </c>
      <c r="E2592">
        <v>77834.8511222918</v>
      </c>
      <c r="F2592">
        <v>26602.6493567057</v>
      </c>
      <c r="G2592">
        <v>21160.7056625865</v>
      </c>
      <c r="H2592">
        <v>16195.284920328</v>
      </c>
      <c r="I2592">
        <v>125598.21</v>
      </c>
      <c r="J2592">
        <v>109402.93</v>
      </c>
      <c r="K2592" s="1"/>
      <c r="L2592" s="1"/>
      <c r="M2592" s="1"/>
      <c r="N2592" s="1"/>
    </row>
    <row r="2593" ht="15.75" customHeight="1">
      <c r="A2593" t="s">
        <v>29</v>
      </c>
      <c r="B2593" t="s">
        <v>26</v>
      </c>
      <c r="C2593" t="s">
        <v>4914</v>
      </c>
      <c r="D2593" t="s">
        <v>2675</v>
      </c>
      <c r="E2593">
        <v>77845.734092198</v>
      </c>
      <c r="F2593">
        <v>26607.2640750331</v>
      </c>
      <c r="G2593">
        <v>21168.385666016</v>
      </c>
      <c r="H2593">
        <v>16198.6824710153</v>
      </c>
      <c r="I2593">
        <v>125621.38</v>
      </c>
      <c r="J2593">
        <v>109422.7</v>
      </c>
      <c r="K2593" s="1"/>
      <c r="L2593" s="1"/>
      <c r="M2593" s="1"/>
      <c r="N2593" s="1"/>
    </row>
    <row r="2594" ht="15.75" customHeight="1">
      <c r="A2594" t="s">
        <v>13</v>
      </c>
      <c r="B2594" t="s">
        <v>26</v>
      </c>
      <c r="C2594" t="s">
        <v>4915</v>
      </c>
      <c r="D2594" t="s">
        <v>2676</v>
      </c>
      <c r="E2594">
        <v>77856.6170621041</v>
      </c>
      <c r="F2594">
        <v>26611.8787933605</v>
      </c>
      <c r="G2594">
        <v>21176.0656694455</v>
      </c>
      <c r="H2594">
        <v>16202.0800217026</v>
      </c>
      <c r="I2594">
        <v>125644.56</v>
      </c>
      <c r="J2594">
        <v>109442.48</v>
      </c>
      <c r="K2594" s="1"/>
      <c r="L2594" s="1"/>
      <c r="M2594" s="1"/>
      <c r="N2594" s="1"/>
    </row>
    <row r="2595" ht="15.75" customHeight="1">
      <c r="A2595" t="s">
        <v>51</v>
      </c>
      <c r="B2595" t="s">
        <v>54</v>
      </c>
      <c r="C2595" t="s">
        <v>4905</v>
      </c>
      <c r="D2595" t="s">
        <v>2677</v>
      </c>
      <c r="E2595">
        <v>77867.5000320103</v>
      </c>
      <c r="F2595">
        <v>26616.4935116879</v>
      </c>
      <c r="G2595">
        <v>21183.745672875</v>
      </c>
      <c r="H2595">
        <v>16205.4775723899</v>
      </c>
      <c r="I2595">
        <v>125667.74</v>
      </c>
      <c r="J2595">
        <v>109462.26</v>
      </c>
      <c r="K2595" s="1"/>
      <c r="L2595" s="1"/>
      <c r="M2595" s="1"/>
      <c r="N2595" s="1"/>
    </row>
    <row r="2596" ht="15.75" customHeight="1">
      <c r="A2596" t="s">
        <v>17</v>
      </c>
      <c r="B2596" t="s">
        <v>18</v>
      </c>
      <c r="C2596" t="s">
        <v>4909</v>
      </c>
      <c r="D2596" t="s">
        <v>2678</v>
      </c>
      <c r="E2596">
        <v>77878.3830019165</v>
      </c>
      <c r="F2596">
        <v>26621.1082300154</v>
      </c>
      <c r="G2596">
        <v>21191.4256763045</v>
      </c>
      <c r="H2596">
        <v>16208.8751230772</v>
      </c>
      <c r="I2596">
        <v>125690.92</v>
      </c>
      <c r="J2596">
        <v>109482.04</v>
      </c>
      <c r="K2596" s="1"/>
      <c r="L2596" s="1"/>
      <c r="M2596" s="1"/>
      <c r="N2596" s="1"/>
    </row>
    <row r="2597" ht="15.75" customHeight="1">
      <c r="A2597" t="s">
        <v>51</v>
      </c>
      <c r="B2597" t="s">
        <v>37</v>
      </c>
      <c r="C2597" t="s">
        <v>4912</v>
      </c>
      <c r="D2597" t="s">
        <v>2679</v>
      </c>
      <c r="E2597">
        <v>77889.2659718227</v>
      </c>
      <c r="F2597">
        <v>26625.7229483428</v>
      </c>
      <c r="G2597">
        <v>21199.105679734</v>
      </c>
      <c r="H2597">
        <v>16212.2726737644</v>
      </c>
      <c r="I2597">
        <v>125714.09</v>
      </c>
      <c r="J2597">
        <v>109501.82</v>
      </c>
      <c r="K2597" s="1"/>
      <c r="L2597" s="1"/>
      <c r="M2597" s="1"/>
      <c r="N2597" s="1"/>
    </row>
    <row r="2598" ht="15.75" customHeight="1">
      <c r="A2598" t="s">
        <v>13</v>
      </c>
      <c r="B2598" t="s">
        <v>26</v>
      </c>
      <c r="C2598" t="s">
        <v>4911</v>
      </c>
      <c r="D2598" t="s">
        <v>2680</v>
      </c>
      <c r="E2598">
        <v>77900.1489417289</v>
      </c>
      <c r="F2598">
        <v>26630.3376666702</v>
      </c>
      <c r="G2598">
        <v>21206.7856831635</v>
      </c>
      <c r="H2598">
        <v>16215.6702244517</v>
      </c>
      <c r="I2598">
        <v>125737.27</v>
      </c>
      <c r="J2598">
        <v>109521.6</v>
      </c>
      <c r="K2598" s="1"/>
      <c r="L2598" s="1"/>
      <c r="M2598" s="1"/>
      <c r="N2598" s="1"/>
    </row>
    <row r="2599" ht="15.75" customHeight="1">
      <c r="A2599" t="s">
        <v>51</v>
      </c>
      <c r="B2599" t="s">
        <v>30</v>
      </c>
      <c r="C2599" t="s">
        <v>4911</v>
      </c>
      <c r="D2599" t="s">
        <v>2681</v>
      </c>
      <c r="E2599">
        <v>77911.0319116351</v>
      </c>
      <c r="F2599">
        <v>26634.9523849976</v>
      </c>
      <c r="G2599">
        <v>21214.465686593</v>
      </c>
      <c r="H2599">
        <v>16219.067775139</v>
      </c>
      <c r="I2599">
        <v>125760.45</v>
      </c>
      <c r="J2599">
        <v>109541.38</v>
      </c>
      <c r="K2599" s="1"/>
      <c r="L2599" s="1"/>
      <c r="M2599" s="1"/>
      <c r="N2599" s="1"/>
    </row>
    <row r="2600" ht="15.75" customHeight="1">
      <c r="A2600" t="s">
        <v>51</v>
      </c>
      <c r="B2600" t="s">
        <v>18</v>
      </c>
      <c r="C2600" t="s">
        <v>4915</v>
      </c>
      <c r="D2600" t="s">
        <v>2682</v>
      </c>
      <c r="E2600">
        <v>77921.9148815413</v>
      </c>
      <c r="F2600">
        <v>26639.567103325</v>
      </c>
      <c r="G2600">
        <v>21222.1456900225</v>
      </c>
      <c r="H2600">
        <v>16222.4653258263</v>
      </c>
      <c r="I2600">
        <v>125783.63</v>
      </c>
      <c r="J2600">
        <v>109561.16</v>
      </c>
      <c r="K2600" s="1"/>
      <c r="L2600" s="1"/>
      <c r="M2600" s="1"/>
      <c r="N2600" s="1"/>
    </row>
    <row r="2601" ht="15.75" customHeight="1">
      <c r="A2601" t="s">
        <v>36</v>
      </c>
      <c r="B2601" t="s">
        <v>33</v>
      </c>
      <c r="C2601" t="s">
        <v>4910</v>
      </c>
      <c r="D2601" t="s">
        <v>2683</v>
      </c>
      <c r="E2601">
        <v>77932.7978514475</v>
      </c>
      <c r="F2601">
        <v>26644.1818216525</v>
      </c>
      <c r="G2601">
        <v>21229.825693452</v>
      </c>
      <c r="H2601">
        <v>16225.8628765136</v>
      </c>
      <c r="I2601">
        <v>125806.81</v>
      </c>
      <c r="J2601">
        <v>109580.95</v>
      </c>
      <c r="K2601" s="1"/>
      <c r="L2601" s="1"/>
      <c r="M2601" s="1"/>
      <c r="N2601" s="1"/>
    </row>
    <row r="2602" ht="15.75" customHeight="1">
      <c r="A2602" t="s">
        <v>29</v>
      </c>
      <c r="B2602" t="s">
        <v>18</v>
      </c>
      <c r="C2602" t="s">
        <v>4911</v>
      </c>
      <c r="D2602" t="s">
        <v>2684</v>
      </c>
      <c r="E2602">
        <v>77943.6808213537</v>
      </c>
      <c r="F2602">
        <v>26648.7965399799</v>
      </c>
      <c r="G2602">
        <v>21237.5056968815</v>
      </c>
      <c r="H2602">
        <v>16229.2604272009</v>
      </c>
      <c r="I2602">
        <v>125829.98</v>
      </c>
      <c r="J2602">
        <v>109600.72</v>
      </c>
      <c r="K2602" s="1"/>
      <c r="L2602" s="1"/>
      <c r="M2602" s="1"/>
      <c r="N2602" s="1"/>
    </row>
    <row r="2603" ht="15.75" customHeight="1">
      <c r="A2603" t="s">
        <v>29</v>
      </c>
      <c r="B2603" t="s">
        <v>30</v>
      </c>
      <c r="C2603" t="s">
        <v>4916</v>
      </c>
      <c r="D2603" t="s">
        <v>2685</v>
      </c>
      <c r="E2603">
        <v>77954.5637912599</v>
      </c>
      <c r="F2603">
        <v>26653.4112583073</v>
      </c>
      <c r="G2603">
        <v>21245.185700311</v>
      </c>
      <c r="H2603">
        <v>16232.6579778882</v>
      </c>
      <c r="I2603">
        <v>125853.16</v>
      </c>
      <c r="J2603">
        <v>109620.5</v>
      </c>
      <c r="K2603" s="1"/>
      <c r="L2603" s="1"/>
      <c r="M2603" s="1"/>
      <c r="N2603" s="1"/>
    </row>
    <row r="2604" ht="15.75" customHeight="1">
      <c r="A2604" t="s">
        <v>51</v>
      </c>
      <c r="B2604" t="s">
        <v>37</v>
      </c>
      <c r="C2604" t="s">
        <v>4909</v>
      </c>
      <c r="D2604" t="s">
        <v>2686</v>
      </c>
      <c r="E2604">
        <v>77965.4467611661</v>
      </c>
      <c r="F2604">
        <v>26658.0259766347</v>
      </c>
      <c r="G2604">
        <v>21252.8657037405</v>
      </c>
      <c r="H2604">
        <v>16236.0555285754</v>
      </c>
      <c r="I2604">
        <v>125876.34</v>
      </c>
      <c r="J2604">
        <v>109640.28</v>
      </c>
      <c r="K2604" s="1"/>
      <c r="L2604" s="1"/>
      <c r="M2604" s="1"/>
      <c r="N2604" s="1"/>
    </row>
    <row r="2605" ht="15.75" customHeight="1">
      <c r="A2605" t="s">
        <v>53</v>
      </c>
      <c r="B2605" t="s">
        <v>33</v>
      </c>
      <c r="C2605" t="s">
        <v>4916</v>
      </c>
      <c r="D2605" t="s">
        <v>2687</v>
      </c>
      <c r="E2605">
        <v>77976.3297310723</v>
      </c>
      <c r="F2605">
        <v>26662.6406949622</v>
      </c>
      <c r="G2605">
        <v>21260.54570717</v>
      </c>
      <c r="H2605">
        <v>16239.4530792627</v>
      </c>
      <c r="I2605">
        <v>125899.52</v>
      </c>
      <c r="J2605">
        <v>109660.07</v>
      </c>
      <c r="K2605" s="1"/>
      <c r="L2605" s="1"/>
      <c r="M2605" s="1"/>
      <c r="N2605" s="1"/>
    </row>
    <row r="2606" ht="15.75" customHeight="1">
      <c r="A2606" t="s">
        <v>29</v>
      </c>
      <c r="B2606" t="s">
        <v>33</v>
      </c>
      <c r="C2606" t="s">
        <v>4910</v>
      </c>
      <c r="D2606" t="s">
        <v>2688</v>
      </c>
      <c r="E2606">
        <v>77987.2127009785</v>
      </c>
      <c r="F2606">
        <v>26667.2554132896</v>
      </c>
      <c r="G2606">
        <v>21268.2257105994</v>
      </c>
      <c r="H2606">
        <v>16242.85062995</v>
      </c>
      <c r="I2606">
        <v>125922.69</v>
      </c>
      <c r="J2606">
        <v>109679.84</v>
      </c>
      <c r="K2606" s="1"/>
      <c r="L2606" s="1"/>
      <c r="M2606" s="1"/>
      <c r="N2606" s="1"/>
    </row>
    <row r="2607" ht="15.75" customHeight="1">
      <c r="A2607" t="s">
        <v>17</v>
      </c>
      <c r="B2607" t="s">
        <v>54</v>
      </c>
      <c r="C2607" t="s">
        <v>4910</v>
      </c>
      <c r="D2607" t="s">
        <v>2689</v>
      </c>
      <c r="E2607">
        <v>72475.40820418281</v>
      </c>
      <c r="F2607">
        <v>26671.870131617</v>
      </c>
      <c r="G2607">
        <v>21275.9057140289</v>
      </c>
      <c r="H2607">
        <v>16246.2481806373</v>
      </c>
      <c r="I2607">
        <v>120423.18</v>
      </c>
      <c r="J2607">
        <v>104176.93</v>
      </c>
      <c r="K2607" s="1"/>
      <c r="L2607" s="1"/>
      <c r="M2607" s="1"/>
      <c r="N2607" s="1"/>
    </row>
    <row r="2608" ht="15.75" customHeight="1">
      <c r="A2608" t="s">
        <v>36</v>
      </c>
      <c r="B2608" t="s">
        <v>33</v>
      </c>
      <c r="C2608" t="s">
        <v>4914</v>
      </c>
      <c r="D2608" t="s">
        <v>2690</v>
      </c>
      <c r="E2608">
        <v>78008.9786407909</v>
      </c>
      <c r="F2608">
        <v>26676.4848499444</v>
      </c>
      <c r="G2608">
        <v>21283.5857174584</v>
      </c>
      <c r="H2608">
        <v>16249.6457313246</v>
      </c>
      <c r="I2608">
        <v>125969.05</v>
      </c>
      <c r="J2608">
        <v>109719.4</v>
      </c>
      <c r="K2608" s="1"/>
      <c r="L2608" s="1"/>
      <c r="M2608" s="1"/>
      <c r="N2608" s="1"/>
    </row>
    <row r="2609" ht="15.75" customHeight="1">
      <c r="A2609" t="s">
        <v>13</v>
      </c>
      <c r="B2609" t="s">
        <v>33</v>
      </c>
      <c r="C2609" t="s">
        <v>4905</v>
      </c>
      <c r="D2609" t="s">
        <v>2691</v>
      </c>
      <c r="E2609">
        <v>78019.861610697</v>
      </c>
      <c r="F2609">
        <v>26681.0995682718</v>
      </c>
      <c r="G2609">
        <v>21291.2657208879</v>
      </c>
      <c r="H2609">
        <v>16253.0432820119</v>
      </c>
      <c r="I2609">
        <v>125992.23</v>
      </c>
      <c r="J2609">
        <v>109739.19</v>
      </c>
      <c r="K2609" s="1"/>
      <c r="L2609" s="1"/>
      <c r="M2609" s="1"/>
      <c r="N2609" s="1"/>
    </row>
    <row r="2610" ht="15.75" customHeight="1">
      <c r="A2610" t="s">
        <v>36</v>
      </c>
      <c r="B2610" t="s">
        <v>33</v>
      </c>
      <c r="C2610" t="s">
        <v>4915</v>
      </c>
      <c r="D2610" t="s">
        <v>2692</v>
      </c>
      <c r="E2610">
        <v>78030.7445806032</v>
      </c>
      <c r="F2610">
        <v>26685.7142865993</v>
      </c>
      <c r="G2610">
        <v>21298.9457243174</v>
      </c>
      <c r="H2610">
        <v>16256.4408326992</v>
      </c>
      <c r="I2610">
        <v>126015.4</v>
      </c>
      <c r="J2610">
        <v>109758.96</v>
      </c>
      <c r="K2610" s="1"/>
      <c r="L2610" s="1"/>
      <c r="M2610" s="1"/>
      <c r="N2610" s="1"/>
    </row>
    <row r="2611" ht="15.75" customHeight="1">
      <c r="A2611" t="s">
        <v>51</v>
      </c>
      <c r="B2611" t="s">
        <v>54</v>
      </c>
      <c r="C2611" t="s">
        <v>4911</v>
      </c>
      <c r="D2611" t="s">
        <v>2693</v>
      </c>
      <c r="E2611">
        <v>78041.6275505094</v>
      </c>
      <c r="F2611">
        <v>26690.3290049267</v>
      </c>
      <c r="G2611">
        <v>21306.6257277469</v>
      </c>
      <c r="H2611">
        <v>16259.8383833865</v>
      </c>
      <c r="I2611">
        <v>126038.58</v>
      </c>
      <c r="J2611">
        <v>109778.74</v>
      </c>
      <c r="K2611" s="1"/>
      <c r="L2611" s="1"/>
      <c r="M2611" s="1"/>
      <c r="N2611" s="1"/>
    </row>
    <row r="2612" ht="15.75" customHeight="1">
      <c r="A2612" t="s">
        <v>17</v>
      </c>
      <c r="B2612" t="s">
        <v>30</v>
      </c>
      <c r="C2612" t="s">
        <v>4908</v>
      </c>
      <c r="D2612" t="s">
        <v>2694</v>
      </c>
      <c r="E2612">
        <v>78063.3934903218</v>
      </c>
      <c r="F2612">
        <v>26699.5584415815</v>
      </c>
      <c r="G2612">
        <v>21321.9857346059</v>
      </c>
      <c r="H2612">
        <v>16266.633484761</v>
      </c>
      <c r="I2612">
        <v>126084.94</v>
      </c>
      <c r="J2612">
        <v>109818.31</v>
      </c>
      <c r="K2612" s="1"/>
      <c r="L2612" s="1"/>
      <c r="M2612" s="1"/>
      <c r="N2612" s="1"/>
    </row>
    <row r="2613" ht="15.75" customHeight="1">
      <c r="A2613" t="s">
        <v>17</v>
      </c>
      <c r="B2613" t="s">
        <v>14</v>
      </c>
      <c r="C2613" t="s">
        <v>4910</v>
      </c>
      <c r="D2613" t="s">
        <v>2695</v>
      </c>
      <c r="E2613">
        <v>78074.276460228</v>
      </c>
      <c r="F2613">
        <v>26704.173159909</v>
      </c>
      <c r="G2613">
        <v>21329.6657380354</v>
      </c>
      <c r="H2613">
        <v>16270.0310354483</v>
      </c>
      <c r="I2613">
        <v>126108.12</v>
      </c>
      <c r="J2613">
        <v>109838.09</v>
      </c>
      <c r="K2613" s="1"/>
      <c r="L2613" s="1"/>
      <c r="M2613" s="1"/>
      <c r="N2613" s="1"/>
    </row>
    <row r="2614" ht="15.75" customHeight="1">
      <c r="A2614" t="s">
        <v>25</v>
      </c>
      <c r="B2614" t="s">
        <v>14</v>
      </c>
      <c r="C2614" t="s">
        <v>4908</v>
      </c>
      <c r="D2614" t="s">
        <v>2696</v>
      </c>
      <c r="E2614">
        <v>78085.1594301342</v>
      </c>
      <c r="F2614">
        <v>26708.7878782364</v>
      </c>
      <c r="G2614">
        <v>21337.3457414649</v>
      </c>
      <c r="H2614">
        <v>16273.4285861356</v>
      </c>
      <c r="I2614">
        <v>126131.29</v>
      </c>
      <c r="J2614">
        <v>109857.86</v>
      </c>
      <c r="K2614" s="1"/>
      <c r="L2614" s="1"/>
      <c r="M2614" s="1"/>
      <c r="N2614" s="1"/>
    </row>
    <row r="2615" ht="15.75" customHeight="1">
      <c r="A2615" t="s">
        <v>36</v>
      </c>
      <c r="B2615" t="s">
        <v>30</v>
      </c>
      <c r="C2615" t="s">
        <v>4911</v>
      </c>
      <c r="D2615" t="s">
        <v>2697</v>
      </c>
      <c r="E2615">
        <v>78106.9253699466</v>
      </c>
      <c r="F2615">
        <v>26718.0173148912</v>
      </c>
      <c r="G2615">
        <v>21352.7057483239</v>
      </c>
      <c r="H2615">
        <v>16280.2236875102</v>
      </c>
      <c r="I2615">
        <v>126177.65</v>
      </c>
      <c r="J2615">
        <v>109897.43</v>
      </c>
      <c r="K2615" s="1"/>
      <c r="L2615" s="1"/>
      <c r="M2615" s="1"/>
      <c r="N2615" s="1"/>
    </row>
    <row r="2616" ht="15.75" customHeight="1">
      <c r="A2616" t="s">
        <v>51</v>
      </c>
      <c r="B2616" t="s">
        <v>37</v>
      </c>
      <c r="C2616" t="s">
        <v>4907</v>
      </c>
      <c r="D2616" t="s">
        <v>2698</v>
      </c>
      <c r="E2616">
        <v>78117.8083398528</v>
      </c>
      <c r="F2616">
        <v>26722.6320332186</v>
      </c>
      <c r="G2616">
        <v>21360.3857517534</v>
      </c>
      <c r="H2616">
        <v>16283.6212381975</v>
      </c>
      <c r="I2616">
        <v>126200.83</v>
      </c>
      <c r="J2616">
        <v>109917.21</v>
      </c>
      <c r="K2616" s="1"/>
      <c r="L2616" s="1"/>
      <c r="M2616" s="1"/>
      <c r="N2616" s="1"/>
    </row>
    <row r="2617" ht="15.75" customHeight="1">
      <c r="A2617" t="s">
        <v>13</v>
      </c>
      <c r="B2617" t="s">
        <v>18</v>
      </c>
      <c r="C2617" t="s">
        <v>4915</v>
      </c>
      <c r="D2617" t="s">
        <v>2699</v>
      </c>
      <c r="E2617">
        <v>78128.691309759</v>
      </c>
      <c r="F2617">
        <v>26727.2467515461</v>
      </c>
      <c r="G2617">
        <v>21368.0657551829</v>
      </c>
      <c r="H2617">
        <v>16287.0187888848</v>
      </c>
      <c r="I2617">
        <v>126224.0</v>
      </c>
      <c r="J2617">
        <v>109936.98</v>
      </c>
      <c r="K2617" s="1"/>
      <c r="L2617" s="1"/>
      <c r="M2617" s="1"/>
      <c r="N2617" s="1"/>
    </row>
    <row r="2618" ht="15.75" customHeight="1">
      <c r="A2618" t="s">
        <v>29</v>
      </c>
      <c r="B2618" t="s">
        <v>30</v>
      </c>
      <c r="C2618" t="s">
        <v>4916</v>
      </c>
      <c r="D2618" t="s">
        <v>2700</v>
      </c>
      <c r="E2618">
        <v>78139.5742796652</v>
      </c>
      <c r="F2618">
        <v>26731.8614698735</v>
      </c>
      <c r="G2618">
        <v>21375.7457586124</v>
      </c>
      <c r="H2618">
        <v>16290.416339572</v>
      </c>
      <c r="I2618">
        <v>126247.18</v>
      </c>
      <c r="J2618">
        <v>109956.76</v>
      </c>
      <c r="K2618" s="1"/>
      <c r="L2618" s="1"/>
      <c r="M2618" s="1"/>
      <c r="N2618" s="1"/>
    </row>
    <row r="2619" ht="15.75" customHeight="1">
      <c r="A2619" t="s">
        <v>53</v>
      </c>
      <c r="B2619" t="s">
        <v>54</v>
      </c>
      <c r="C2619" t="s">
        <v>4912</v>
      </c>
      <c r="D2619" t="s">
        <v>2701</v>
      </c>
      <c r="E2619">
        <v>78150.4572495714</v>
      </c>
      <c r="F2619">
        <v>26736.4761882009</v>
      </c>
      <c r="G2619">
        <v>21383.4257620419</v>
      </c>
      <c r="H2619">
        <v>16293.8138902593</v>
      </c>
      <c r="I2619">
        <v>126270.36</v>
      </c>
      <c r="J2619">
        <v>109976.55</v>
      </c>
      <c r="K2619" s="1"/>
      <c r="L2619" s="1"/>
      <c r="M2619" s="1"/>
      <c r="N2619" s="1"/>
    </row>
    <row r="2620" ht="15.75" customHeight="1">
      <c r="A2620" t="s">
        <v>36</v>
      </c>
      <c r="B2620" t="s">
        <v>54</v>
      </c>
      <c r="C2620" t="s">
        <v>4915</v>
      </c>
      <c r="D2620" t="s">
        <v>2702</v>
      </c>
      <c r="E2620">
        <v>78161.3402194776</v>
      </c>
      <c r="F2620">
        <v>26741.0909065283</v>
      </c>
      <c r="G2620">
        <v>21391.1057654714</v>
      </c>
      <c r="H2620">
        <v>16297.2114409466</v>
      </c>
      <c r="I2620">
        <v>126293.54</v>
      </c>
      <c r="J2620">
        <v>109996.33</v>
      </c>
      <c r="K2620" s="1"/>
      <c r="L2620" s="1"/>
      <c r="M2620" s="1"/>
      <c r="N2620" s="1"/>
    </row>
    <row r="2621" ht="15.75" customHeight="1">
      <c r="A2621" t="s">
        <v>17</v>
      </c>
      <c r="B2621" t="s">
        <v>33</v>
      </c>
      <c r="C2621" t="s">
        <v>4907</v>
      </c>
      <c r="D2621" t="s">
        <v>2703</v>
      </c>
      <c r="E2621">
        <v>78172.2231893838</v>
      </c>
      <c r="F2621">
        <v>26745.7056248557</v>
      </c>
      <c r="G2621">
        <v>21398.7857689009</v>
      </c>
      <c r="H2621">
        <v>16300.6089916339</v>
      </c>
      <c r="I2621">
        <v>126316.71</v>
      </c>
      <c r="J2621">
        <v>110016.1</v>
      </c>
      <c r="K2621" s="1"/>
      <c r="L2621" s="1"/>
      <c r="M2621" s="1"/>
      <c r="N2621" s="1"/>
    </row>
    <row r="2622" ht="15.75" customHeight="1">
      <c r="A2622" t="s">
        <v>17</v>
      </c>
      <c r="B2622" t="s">
        <v>54</v>
      </c>
      <c r="C2622" t="s">
        <v>4916</v>
      </c>
      <c r="D2622" t="s">
        <v>2705</v>
      </c>
      <c r="E2622">
        <v>78193.9891291961</v>
      </c>
      <c r="F2622">
        <v>26754.9350615106</v>
      </c>
      <c r="G2622">
        <v>21414.1457757599</v>
      </c>
      <c r="H2622">
        <v>16307.4040930085</v>
      </c>
      <c r="I2622">
        <v>126363.07</v>
      </c>
      <c r="J2622">
        <v>110055.67</v>
      </c>
      <c r="K2622" s="1"/>
      <c r="L2622" s="1"/>
      <c r="M2622" s="1"/>
      <c r="N2622" s="1"/>
    </row>
    <row r="2623" ht="15.75" customHeight="1">
      <c r="A2623" t="s">
        <v>36</v>
      </c>
      <c r="B2623" t="s">
        <v>14</v>
      </c>
      <c r="C2623" t="s">
        <v>4910</v>
      </c>
      <c r="D2623" t="s">
        <v>2706</v>
      </c>
      <c r="E2623">
        <v>78204.8720991023</v>
      </c>
      <c r="F2623">
        <v>26759.549779838</v>
      </c>
      <c r="G2623">
        <v>21421.8257791894</v>
      </c>
      <c r="H2623">
        <v>16310.8016436958</v>
      </c>
      <c r="I2623">
        <v>126386.25</v>
      </c>
      <c r="J2623">
        <v>110075.45</v>
      </c>
      <c r="K2623" s="1"/>
      <c r="L2623" s="1"/>
      <c r="M2623" s="1"/>
      <c r="N2623" s="1"/>
    </row>
    <row r="2624" ht="15.75" customHeight="1">
      <c r="A2624" t="s">
        <v>29</v>
      </c>
      <c r="B2624" t="s">
        <v>18</v>
      </c>
      <c r="C2624" t="s">
        <v>4913</v>
      </c>
      <c r="D2624" t="s">
        <v>2707</v>
      </c>
      <c r="E2624">
        <v>78215.7550690085</v>
      </c>
      <c r="F2624">
        <v>26764.1644981654</v>
      </c>
      <c r="G2624">
        <v>21429.5057826189</v>
      </c>
      <c r="H2624">
        <v>16314.199194383</v>
      </c>
      <c r="I2624">
        <v>126409.43</v>
      </c>
      <c r="J2624">
        <v>110095.23</v>
      </c>
      <c r="K2624" s="1"/>
      <c r="L2624" s="1"/>
      <c r="M2624" s="1"/>
      <c r="N2624" s="1"/>
    </row>
    <row r="2625" ht="15.75" customHeight="1">
      <c r="A2625" t="s">
        <v>29</v>
      </c>
      <c r="B2625" t="s">
        <v>33</v>
      </c>
      <c r="C2625" t="s">
        <v>4907</v>
      </c>
      <c r="D2625" t="s">
        <v>2708</v>
      </c>
      <c r="E2625">
        <v>78226.6380389147</v>
      </c>
      <c r="F2625">
        <v>26768.7792164929</v>
      </c>
      <c r="G2625">
        <v>21437.1857860484</v>
      </c>
      <c r="H2625">
        <v>16317.5967450703</v>
      </c>
      <c r="I2625">
        <v>126432.6</v>
      </c>
      <c r="J2625">
        <v>110115.0</v>
      </c>
      <c r="K2625" s="1"/>
      <c r="L2625" s="1"/>
      <c r="M2625" s="1"/>
      <c r="N2625" s="1"/>
    </row>
    <row r="2626" ht="15.75" customHeight="1">
      <c r="A2626" t="s">
        <v>36</v>
      </c>
      <c r="B2626" t="s">
        <v>18</v>
      </c>
      <c r="C2626" t="s">
        <v>4916</v>
      </c>
      <c r="D2626" t="s">
        <v>2709</v>
      </c>
      <c r="E2626">
        <v>78237.5210088209</v>
      </c>
      <c r="F2626">
        <v>26773.3939348203</v>
      </c>
      <c r="G2626">
        <v>21444.8657894779</v>
      </c>
      <c r="H2626">
        <v>16320.9942957576</v>
      </c>
      <c r="I2626">
        <v>126455.78</v>
      </c>
      <c r="J2626">
        <v>110134.79</v>
      </c>
      <c r="K2626" s="1"/>
      <c r="L2626" s="1"/>
      <c r="M2626" s="1"/>
      <c r="N2626" s="1"/>
    </row>
    <row r="2627" ht="15.75" customHeight="1">
      <c r="A2627" t="s">
        <v>53</v>
      </c>
      <c r="B2627" t="s">
        <v>30</v>
      </c>
      <c r="C2627" t="s">
        <v>4917</v>
      </c>
      <c r="D2627" t="s">
        <v>2710</v>
      </c>
      <c r="E2627">
        <v>78248.4039787271</v>
      </c>
      <c r="F2627">
        <v>26778.0086531477</v>
      </c>
      <c r="G2627">
        <v>21452.5457929074</v>
      </c>
      <c r="H2627">
        <v>16324.3918464449</v>
      </c>
      <c r="I2627">
        <v>126478.96</v>
      </c>
      <c r="J2627">
        <v>110154.57</v>
      </c>
      <c r="K2627" s="1"/>
      <c r="L2627" s="1"/>
      <c r="M2627" s="1"/>
      <c r="N2627" s="1"/>
    </row>
    <row r="2628" ht="15.75" customHeight="1">
      <c r="A2628" t="s">
        <v>53</v>
      </c>
      <c r="B2628" t="s">
        <v>18</v>
      </c>
      <c r="C2628" t="s">
        <v>4908</v>
      </c>
      <c r="D2628" t="s">
        <v>2711</v>
      </c>
      <c r="E2628">
        <v>78259.2869486333</v>
      </c>
      <c r="F2628">
        <v>26782.6233714751</v>
      </c>
      <c r="G2628">
        <v>21460.2257963369</v>
      </c>
      <c r="H2628">
        <v>16327.7893971322</v>
      </c>
      <c r="I2628">
        <v>126502.14</v>
      </c>
      <c r="J2628">
        <v>110174.35</v>
      </c>
      <c r="K2628" s="1"/>
      <c r="L2628" s="1"/>
      <c r="M2628" s="1"/>
      <c r="N2628" s="1"/>
    </row>
    <row r="2629" ht="15.75" customHeight="1">
      <c r="A2629" t="s">
        <v>53</v>
      </c>
      <c r="B2629" t="s">
        <v>33</v>
      </c>
      <c r="C2629" t="s">
        <v>4912</v>
      </c>
      <c r="D2629" t="s">
        <v>2712</v>
      </c>
      <c r="E2629">
        <v>78270.1699185395</v>
      </c>
      <c r="F2629">
        <v>26787.2380898025</v>
      </c>
      <c r="G2629">
        <v>21467.9057997664</v>
      </c>
      <c r="H2629">
        <v>16331.1869478195</v>
      </c>
      <c r="I2629">
        <v>126525.31</v>
      </c>
      <c r="J2629">
        <v>110194.12</v>
      </c>
      <c r="K2629" s="1"/>
      <c r="L2629" s="1"/>
      <c r="M2629" s="1"/>
      <c r="N2629" s="1"/>
    </row>
    <row r="2630" ht="15.75" customHeight="1">
      <c r="A2630" t="s">
        <v>13</v>
      </c>
      <c r="B2630" t="s">
        <v>37</v>
      </c>
      <c r="C2630" t="s">
        <v>4916</v>
      </c>
      <c r="D2630" t="s">
        <v>2713</v>
      </c>
      <c r="E2630">
        <v>78281.0528884457</v>
      </c>
      <c r="F2630">
        <v>26791.85280813</v>
      </c>
      <c r="G2630">
        <v>21475.5858031959</v>
      </c>
      <c r="H2630">
        <v>16334.5844985068</v>
      </c>
      <c r="I2630">
        <v>126548.49</v>
      </c>
      <c r="J2630">
        <v>110213.91</v>
      </c>
      <c r="K2630" s="1"/>
      <c r="L2630" s="1"/>
      <c r="M2630" s="1"/>
      <c r="N2630" s="1"/>
    </row>
    <row r="2631" ht="15.75" customHeight="1">
      <c r="A2631" t="s">
        <v>17</v>
      </c>
      <c r="B2631" t="s">
        <v>18</v>
      </c>
      <c r="C2631" t="s">
        <v>4915</v>
      </c>
      <c r="D2631" t="s">
        <v>2714</v>
      </c>
      <c r="E2631">
        <v>78291.9358583519</v>
      </c>
      <c r="F2631">
        <v>26796.4675264574</v>
      </c>
      <c r="G2631">
        <v>21483.2658066254</v>
      </c>
      <c r="H2631">
        <v>16337.9820491941</v>
      </c>
      <c r="I2631">
        <v>126571.67</v>
      </c>
      <c r="J2631">
        <v>110233.69</v>
      </c>
      <c r="K2631" s="1"/>
      <c r="L2631" s="1"/>
      <c r="M2631" s="1"/>
      <c r="N2631" s="1"/>
    </row>
    <row r="2632" ht="15.75" customHeight="1">
      <c r="A2632" t="s">
        <v>36</v>
      </c>
      <c r="B2632" t="s">
        <v>26</v>
      </c>
      <c r="C2632" t="s">
        <v>4912</v>
      </c>
      <c r="D2632" t="s">
        <v>2715</v>
      </c>
      <c r="E2632">
        <v>78302.8188282581</v>
      </c>
      <c r="F2632">
        <v>26801.0822447848</v>
      </c>
      <c r="G2632">
        <v>21490.9458100549</v>
      </c>
      <c r="H2632">
        <v>16341.3795998813</v>
      </c>
      <c r="I2632">
        <v>126594.85</v>
      </c>
      <c r="J2632">
        <v>110253.47</v>
      </c>
      <c r="K2632" s="1"/>
      <c r="L2632" s="1"/>
      <c r="M2632" s="1"/>
      <c r="N2632" s="1"/>
    </row>
    <row r="2633" ht="15.75" customHeight="1">
      <c r="A2633" t="s">
        <v>36</v>
      </c>
      <c r="B2633" t="s">
        <v>54</v>
      </c>
      <c r="C2633" t="s">
        <v>4905</v>
      </c>
      <c r="D2633" t="s">
        <v>2716</v>
      </c>
      <c r="E2633">
        <v>78313.7017981643</v>
      </c>
      <c r="F2633">
        <v>26805.6969631122</v>
      </c>
      <c r="G2633">
        <v>21498.6258134844</v>
      </c>
      <c r="H2633">
        <v>16344.7771505686</v>
      </c>
      <c r="I2633">
        <v>126618.02</v>
      </c>
      <c r="J2633">
        <v>110273.24</v>
      </c>
      <c r="K2633" s="1"/>
      <c r="L2633" s="1"/>
      <c r="M2633" s="1"/>
      <c r="N2633" s="1"/>
    </row>
    <row r="2634" ht="15.75" customHeight="1">
      <c r="A2634" t="s">
        <v>51</v>
      </c>
      <c r="B2634" t="s">
        <v>33</v>
      </c>
      <c r="C2634" t="s">
        <v>4908</v>
      </c>
      <c r="D2634" t="s">
        <v>2717</v>
      </c>
      <c r="E2634">
        <v>78324.5847680705</v>
      </c>
      <c r="F2634">
        <v>26810.3116814397</v>
      </c>
      <c r="G2634">
        <v>21506.3058169139</v>
      </c>
      <c r="H2634">
        <v>16348.1747012559</v>
      </c>
      <c r="I2634">
        <v>126641.2</v>
      </c>
      <c r="J2634">
        <v>110293.03</v>
      </c>
      <c r="K2634" s="1"/>
      <c r="L2634" s="1"/>
      <c r="M2634" s="1"/>
      <c r="N2634" s="1"/>
    </row>
    <row r="2635" ht="15.75" customHeight="1">
      <c r="A2635" t="s">
        <v>51</v>
      </c>
      <c r="B2635" t="s">
        <v>26</v>
      </c>
      <c r="C2635" t="s">
        <v>4910</v>
      </c>
      <c r="D2635" t="s">
        <v>2718</v>
      </c>
      <c r="E2635">
        <v>78335.4677379767</v>
      </c>
      <c r="F2635">
        <v>26814.9263997671</v>
      </c>
      <c r="G2635">
        <v>21513.9858203434</v>
      </c>
      <c r="H2635">
        <v>16351.5722519432</v>
      </c>
      <c r="I2635">
        <v>126664.38</v>
      </c>
      <c r="J2635">
        <v>110312.81</v>
      </c>
      <c r="K2635" s="1"/>
      <c r="L2635" s="1"/>
      <c r="M2635" s="1"/>
      <c r="N2635" s="1"/>
    </row>
    <row r="2636" ht="15.75" customHeight="1">
      <c r="A2636" t="s">
        <v>13</v>
      </c>
      <c r="B2636" t="s">
        <v>14</v>
      </c>
      <c r="C2636" t="s">
        <v>4915</v>
      </c>
      <c r="D2636" t="s">
        <v>2719</v>
      </c>
      <c r="E2636">
        <v>78346.3507078828</v>
      </c>
      <c r="F2636">
        <v>26819.5411180945</v>
      </c>
      <c r="G2636">
        <v>21521.6658237729</v>
      </c>
      <c r="H2636">
        <v>16354.9698026305</v>
      </c>
      <c r="I2636">
        <v>126687.56</v>
      </c>
      <c r="J2636">
        <v>110332.59</v>
      </c>
      <c r="K2636" s="1"/>
      <c r="L2636" s="1"/>
      <c r="M2636" s="1"/>
      <c r="N2636" s="1"/>
    </row>
    <row r="2637" ht="15.75" customHeight="1">
      <c r="A2637" t="s">
        <v>29</v>
      </c>
      <c r="B2637" t="s">
        <v>54</v>
      </c>
      <c r="C2637" t="s">
        <v>4913</v>
      </c>
      <c r="D2637" t="s">
        <v>2720</v>
      </c>
      <c r="E2637">
        <v>78357.233677789</v>
      </c>
      <c r="F2637">
        <v>26824.1558364219</v>
      </c>
      <c r="G2637">
        <v>21529.3458272024</v>
      </c>
      <c r="H2637">
        <v>16358.3673533178</v>
      </c>
      <c r="I2637">
        <v>126710.74</v>
      </c>
      <c r="J2637">
        <v>110352.37</v>
      </c>
      <c r="K2637" s="1"/>
      <c r="L2637" s="1"/>
      <c r="M2637" s="1"/>
      <c r="N2637" s="1"/>
    </row>
    <row r="2638" ht="15.75" customHeight="1">
      <c r="A2638" t="s">
        <v>13</v>
      </c>
      <c r="B2638" t="s">
        <v>33</v>
      </c>
      <c r="C2638" t="s">
        <v>4907</v>
      </c>
      <c r="D2638" t="s">
        <v>2721</v>
      </c>
      <c r="E2638">
        <v>78368.1166476952</v>
      </c>
      <c r="F2638">
        <v>26828.7705547493</v>
      </c>
      <c r="G2638">
        <v>21537.0258306319</v>
      </c>
      <c r="H2638">
        <v>16361.7649040051</v>
      </c>
      <c r="I2638">
        <v>126733.91</v>
      </c>
      <c r="J2638">
        <v>110372.15</v>
      </c>
      <c r="K2638" s="1"/>
      <c r="L2638" s="1"/>
      <c r="M2638" s="1"/>
      <c r="N2638" s="1"/>
    </row>
    <row r="2639" ht="15.75" customHeight="1">
      <c r="A2639" t="s">
        <v>25</v>
      </c>
      <c r="B2639" t="s">
        <v>54</v>
      </c>
      <c r="C2639" t="s">
        <v>4905</v>
      </c>
      <c r="D2639" t="s">
        <v>2722</v>
      </c>
      <c r="E2639">
        <v>78378.9996176014</v>
      </c>
      <c r="F2639">
        <v>26833.3852730768</v>
      </c>
      <c r="G2639">
        <v>21544.7058340613</v>
      </c>
      <c r="H2639">
        <v>16365.1624546924</v>
      </c>
      <c r="I2639">
        <v>126757.09</v>
      </c>
      <c r="J2639">
        <v>110391.93</v>
      </c>
      <c r="K2639" s="1"/>
      <c r="L2639" s="1"/>
      <c r="M2639" s="1"/>
      <c r="N2639" s="1"/>
    </row>
    <row r="2640" ht="15.75" customHeight="1">
      <c r="A2640" t="s">
        <v>36</v>
      </c>
      <c r="B2640" t="s">
        <v>26</v>
      </c>
      <c r="C2640" t="s">
        <v>4905</v>
      </c>
      <c r="D2640" t="s">
        <v>2723</v>
      </c>
      <c r="E2640">
        <v>78389.8825875076</v>
      </c>
      <c r="F2640">
        <v>26837.9999914042</v>
      </c>
      <c r="G2640">
        <v>21552.3858374908</v>
      </c>
      <c r="H2640">
        <v>16368.5600053796</v>
      </c>
      <c r="I2640">
        <v>126780.27</v>
      </c>
      <c r="J2640">
        <v>110411.71</v>
      </c>
      <c r="K2640" s="1"/>
      <c r="L2640" s="1"/>
      <c r="M2640" s="1"/>
      <c r="N2640" s="1"/>
    </row>
    <row r="2641" ht="15.75" customHeight="1">
      <c r="A2641" t="s">
        <v>29</v>
      </c>
      <c r="B2641" t="s">
        <v>33</v>
      </c>
      <c r="C2641" t="s">
        <v>4907</v>
      </c>
      <c r="D2641" t="s">
        <v>2724</v>
      </c>
      <c r="E2641">
        <v>78400.7655574138</v>
      </c>
      <c r="F2641">
        <v>26842.6147097316</v>
      </c>
      <c r="G2641">
        <v>21560.0658409203</v>
      </c>
      <c r="H2641">
        <v>16371.9575560669</v>
      </c>
      <c r="I2641">
        <v>126803.45</v>
      </c>
      <c r="J2641">
        <v>110431.49</v>
      </c>
      <c r="K2641" s="1"/>
      <c r="L2641" s="1"/>
      <c r="M2641" s="1"/>
      <c r="N2641" s="1"/>
    </row>
    <row r="2642" ht="15.75" customHeight="1">
      <c r="A2642" t="s">
        <v>36</v>
      </c>
      <c r="B2642" t="s">
        <v>26</v>
      </c>
      <c r="C2642" t="s">
        <v>4912</v>
      </c>
      <c r="D2642" t="s">
        <v>2725</v>
      </c>
      <c r="E2642">
        <v>78411.64852732</v>
      </c>
      <c r="F2642">
        <v>26847.229428059</v>
      </c>
      <c r="G2642">
        <v>21567.7458443498</v>
      </c>
      <c r="H2642">
        <v>16375.3551067542</v>
      </c>
      <c r="I2642">
        <v>126826.62</v>
      </c>
      <c r="J2642">
        <v>110451.26</v>
      </c>
      <c r="K2642" s="1"/>
      <c r="L2642" s="1"/>
      <c r="M2642" s="1"/>
      <c r="N2642" s="1"/>
    </row>
    <row r="2643" ht="15.75" customHeight="1">
      <c r="A2643" t="s">
        <v>29</v>
      </c>
      <c r="B2643" t="s">
        <v>54</v>
      </c>
      <c r="C2643" t="s">
        <v>4915</v>
      </c>
      <c r="D2643" t="s">
        <v>2726</v>
      </c>
      <c r="E2643">
        <v>78422.5314972262</v>
      </c>
      <c r="F2643">
        <v>26851.8441463865</v>
      </c>
      <c r="G2643">
        <v>21575.4258477793</v>
      </c>
      <c r="H2643">
        <v>16378.7526574415</v>
      </c>
      <c r="I2643">
        <v>126849.8</v>
      </c>
      <c r="J2643">
        <v>110471.05</v>
      </c>
      <c r="K2643" s="1"/>
      <c r="L2643" s="1"/>
      <c r="M2643" s="1"/>
      <c r="N2643" s="1"/>
    </row>
    <row r="2644" ht="15.75" customHeight="1">
      <c r="A2644" t="s">
        <v>13</v>
      </c>
      <c r="B2644" t="s">
        <v>14</v>
      </c>
      <c r="C2644" t="s">
        <v>4917</v>
      </c>
      <c r="D2644" t="s">
        <v>2727</v>
      </c>
      <c r="E2644">
        <v>78433.4144671324</v>
      </c>
      <c r="F2644">
        <v>26856.4588647139</v>
      </c>
      <c r="G2644">
        <v>21583.1058512088</v>
      </c>
      <c r="H2644">
        <v>16382.1502081288</v>
      </c>
      <c r="I2644">
        <v>126872.98</v>
      </c>
      <c r="J2644">
        <v>110490.83</v>
      </c>
      <c r="K2644" s="1"/>
      <c r="L2644" s="1"/>
      <c r="M2644" s="1"/>
      <c r="N2644" s="1"/>
    </row>
    <row r="2645" ht="15.75" customHeight="1">
      <c r="A2645" t="s">
        <v>13</v>
      </c>
      <c r="B2645" t="s">
        <v>26</v>
      </c>
      <c r="C2645" t="s">
        <v>4909</v>
      </c>
      <c r="D2645" t="s">
        <v>2728</v>
      </c>
      <c r="E2645">
        <v>78444.2974370386</v>
      </c>
      <c r="F2645">
        <v>26861.0735830413</v>
      </c>
      <c r="G2645">
        <v>21590.7858546383</v>
      </c>
      <c r="H2645">
        <v>16385.5477588161</v>
      </c>
      <c r="I2645">
        <v>126896.16</v>
      </c>
      <c r="J2645">
        <v>110510.61</v>
      </c>
      <c r="K2645" s="1"/>
      <c r="L2645" s="1"/>
      <c r="M2645" s="1"/>
      <c r="N2645" s="1"/>
    </row>
    <row r="2646" ht="15.75" customHeight="1">
      <c r="A2646" t="s">
        <v>51</v>
      </c>
      <c r="B2646" t="s">
        <v>30</v>
      </c>
      <c r="C2646" t="s">
        <v>4907</v>
      </c>
      <c r="D2646" t="s">
        <v>2729</v>
      </c>
      <c r="E2646">
        <v>78455.1804069448</v>
      </c>
      <c r="F2646">
        <v>26865.6883013687</v>
      </c>
      <c r="G2646">
        <v>21598.4658580678</v>
      </c>
      <c r="H2646">
        <v>16388.9453095034</v>
      </c>
      <c r="I2646">
        <v>126919.33</v>
      </c>
      <c r="J2646">
        <v>110530.38</v>
      </c>
      <c r="K2646" s="1"/>
      <c r="L2646" s="1"/>
      <c r="M2646" s="1"/>
      <c r="N2646" s="1"/>
    </row>
    <row r="2647" ht="15.75" customHeight="1">
      <c r="A2647" t="s">
        <v>51</v>
      </c>
      <c r="B2647" t="s">
        <v>37</v>
      </c>
      <c r="C2647" t="s">
        <v>4913</v>
      </c>
      <c r="D2647" t="s">
        <v>2730</v>
      </c>
      <c r="E2647">
        <v>78466.063376851</v>
      </c>
      <c r="F2647">
        <v>26870.3030196961</v>
      </c>
      <c r="G2647">
        <v>21606.1458614973</v>
      </c>
      <c r="H2647">
        <v>16392.3428601906</v>
      </c>
      <c r="I2647">
        <v>126942.51</v>
      </c>
      <c r="J2647">
        <v>110550.17</v>
      </c>
      <c r="K2647" s="1"/>
      <c r="L2647" s="1"/>
      <c r="M2647" s="1"/>
      <c r="N2647" s="1"/>
    </row>
    <row r="2648" ht="15.75" customHeight="1">
      <c r="A2648" t="s">
        <v>13</v>
      </c>
      <c r="B2648" t="s">
        <v>18</v>
      </c>
      <c r="C2648" t="s">
        <v>4910</v>
      </c>
      <c r="D2648" t="s">
        <v>2731</v>
      </c>
      <c r="E2648">
        <v>78476.9463467572</v>
      </c>
      <c r="F2648">
        <v>26874.9177380236</v>
      </c>
      <c r="G2648">
        <v>21613.8258649268</v>
      </c>
      <c r="H2648">
        <v>16395.7404108779</v>
      </c>
      <c r="I2648">
        <v>126965.69</v>
      </c>
      <c r="J2648">
        <v>110569.95</v>
      </c>
      <c r="K2648" s="1"/>
      <c r="L2648" s="1"/>
      <c r="M2648" s="1"/>
      <c r="N2648" s="1"/>
    </row>
    <row r="2649" ht="15.75" customHeight="1">
      <c r="A2649" t="s">
        <v>51</v>
      </c>
      <c r="B2649" t="s">
        <v>33</v>
      </c>
      <c r="C2649" t="s">
        <v>4912</v>
      </c>
      <c r="D2649" t="s">
        <v>2732</v>
      </c>
      <c r="E2649">
        <v>78487.8293166634</v>
      </c>
      <c r="F2649">
        <v>26879.532456351</v>
      </c>
      <c r="G2649">
        <v>21621.5058683563</v>
      </c>
      <c r="H2649">
        <v>16399.1379615652</v>
      </c>
      <c r="I2649">
        <v>126988.87</v>
      </c>
      <c r="J2649">
        <v>110589.73</v>
      </c>
      <c r="K2649" s="1"/>
      <c r="L2649" s="1"/>
      <c r="M2649" s="1"/>
      <c r="N2649" s="1"/>
    </row>
    <row r="2650" ht="15.75" customHeight="1">
      <c r="A2650" t="s">
        <v>25</v>
      </c>
      <c r="B2650" t="s">
        <v>54</v>
      </c>
      <c r="C2650" t="s">
        <v>4911</v>
      </c>
      <c r="D2650" t="s">
        <v>2733</v>
      </c>
      <c r="E2650">
        <v>78498.7122865696</v>
      </c>
      <c r="F2650">
        <v>26884.1471746784</v>
      </c>
      <c r="G2650">
        <v>21629.1858717858</v>
      </c>
      <c r="H2650">
        <v>16402.5355122525</v>
      </c>
      <c r="I2650">
        <v>127012.05</v>
      </c>
      <c r="J2650">
        <v>110609.51</v>
      </c>
      <c r="K2650" s="1"/>
      <c r="L2650" s="1"/>
      <c r="M2650" s="1"/>
      <c r="N2650" s="1"/>
    </row>
    <row r="2651" ht="15.75" customHeight="1">
      <c r="A2651" t="s">
        <v>17</v>
      </c>
      <c r="B2651" t="s">
        <v>14</v>
      </c>
      <c r="C2651" t="s">
        <v>4911</v>
      </c>
      <c r="D2651" t="s">
        <v>2734</v>
      </c>
      <c r="E2651">
        <v>78509.5952564757</v>
      </c>
      <c r="F2651">
        <v>26888.7618930058</v>
      </c>
      <c r="G2651">
        <v>21636.8658752153</v>
      </c>
      <c r="H2651">
        <v>16405.9330629398</v>
      </c>
      <c r="I2651">
        <v>127035.22</v>
      </c>
      <c r="J2651">
        <v>110629.29</v>
      </c>
      <c r="K2651" s="1"/>
      <c r="L2651" s="1"/>
      <c r="M2651" s="1"/>
      <c r="N2651" s="1"/>
    </row>
    <row r="2652" ht="15.75" customHeight="1">
      <c r="A2652" t="s">
        <v>29</v>
      </c>
      <c r="B2652" t="s">
        <v>14</v>
      </c>
      <c r="C2652" t="s">
        <v>4912</v>
      </c>
      <c r="D2652" t="s">
        <v>2735</v>
      </c>
      <c r="E2652">
        <v>78520.4782263819</v>
      </c>
      <c r="F2652">
        <v>26893.3766113333</v>
      </c>
      <c r="G2652">
        <v>21644.5458786448</v>
      </c>
      <c r="H2652">
        <v>16409.3306136271</v>
      </c>
      <c r="I2652">
        <v>127058.4</v>
      </c>
      <c r="J2652">
        <v>110649.07</v>
      </c>
      <c r="K2652" s="1"/>
      <c r="L2652" s="1"/>
      <c r="M2652" s="1"/>
      <c r="N2652" s="1"/>
    </row>
    <row r="2653" ht="15.75" customHeight="1">
      <c r="A2653" t="s">
        <v>25</v>
      </c>
      <c r="B2653" t="s">
        <v>37</v>
      </c>
      <c r="C2653" t="s">
        <v>4917</v>
      </c>
      <c r="D2653" t="s">
        <v>2736</v>
      </c>
      <c r="E2653">
        <v>78531.3611962881</v>
      </c>
      <c r="F2653">
        <v>26897.9913296607</v>
      </c>
      <c r="G2653">
        <v>21652.2258820743</v>
      </c>
      <c r="H2653">
        <v>16412.7281643144</v>
      </c>
      <c r="I2653">
        <v>127081.58</v>
      </c>
      <c r="J2653">
        <v>110668.85</v>
      </c>
      <c r="K2653" s="1"/>
      <c r="L2653" s="1"/>
      <c r="M2653" s="1"/>
      <c r="N2653" s="1"/>
    </row>
    <row r="2654" ht="15.75" customHeight="1">
      <c r="A2654" t="s">
        <v>13</v>
      </c>
      <c r="B2654" t="s">
        <v>18</v>
      </c>
      <c r="C2654" t="s">
        <v>4909</v>
      </c>
      <c r="D2654" t="s">
        <v>2737</v>
      </c>
      <c r="E2654">
        <v>78542.2441661943</v>
      </c>
      <c r="F2654">
        <v>26902.6060479881</v>
      </c>
      <c r="G2654">
        <v>21659.9058855038</v>
      </c>
      <c r="H2654">
        <v>16416.1257150017</v>
      </c>
      <c r="I2654">
        <v>127104.76</v>
      </c>
      <c r="J2654">
        <v>110688.63</v>
      </c>
      <c r="K2654" s="1"/>
      <c r="L2654" s="1"/>
      <c r="M2654" s="1"/>
      <c r="N2654" s="1"/>
    </row>
    <row r="2655" ht="15.75" customHeight="1">
      <c r="A2655" t="s">
        <v>25</v>
      </c>
      <c r="B2655" t="s">
        <v>18</v>
      </c>
      <c r="C2655" t="s">
        <v>4913</v>
      </c>
      <c r="D2655" t="s">
        <v>2738</v>
      </c>
      <c r="E2655">
        <v>78553.1271361005</v>
      </c>
      <c r="F2655">
        <v>26907.2207663155</v>
      </c>
      <c r="G2655">
        <v>21667.5858889333</v>
      </c>
      <c r="H2655">
        <v>16419.5232656889</v>
      </c>
      <c r="I2655">
        <v>127127.93</v>
      </c>
      <c r="J2655">
        <v>110708.41</v>
      </c>
      <c r="K2655" s="1"/>
      <c r="L2655" s="1"/>
      <c r="M2655" s="1"/>
      <c r="N2655" s="1"/>
    </row>
    <row r="2656" ht="15.75" customHeight="1">
      <c r="A2656" t="s">
        <v>36</v>
      </c>
      <c r="B2656" t="s">
        <v>18</v>
      </c>
      <c r="C2656" t="s">
        <v>4905</v>
      </c>
      <c r="D2656" t="s">
        <v>2739</v>
      </c>
      <c r="E2656">
        <v>78564.0101060067</v>
      </c>
      <c r="F2656">
        <v>26911.8354846429</v>
      </c>
      <c r="G2656">
        <v>21675.2658923628</v>
      </c>
      <c r="H2656">
        <v>16422.9208163762</v>
      </c>
      <c r="I2656">
        <v>127151.11</v>
      </c>
      <c r="J2656">
        <v>110728.19</v>
      </c>
      <c r="K2656" s="1"/>
      <c r="L2656" s="1"/>
      <c r="M2656" s="1"/>
      <c r="N2656" s="1"/>
    </row>
    <row r="2657" ht="15.75" customHeight="1">
      <c r="A2657" t="s">
        <v>51</v>
      </c>
      <c r="B2657" t="s">
        <v>14</v>
      </c>
      <c r="C2657" t="s">
        <v>4905</v>
      </c>
      <c r="D2657" t="s">
        <v>2740</v>
      </c>
      <c r="E2657">
        <v>78585.7760458191</v>
      </c>
      <c r="F2657">
        <v>26921.0649212978</v>
      </c>
      <c r="G2657">
        <v>21690.6258992218</v>
      </c>
      <c r="H2657">
        <v>16429.7159177508</v>
      </c>
      <c r="I2657">
        <v>127197.47</v>
      </c>
      <c r="J2657">
        <v>110767.75</v>
      </c>
      <c r="K2657" s="1"/>
      <c r="L2657" s="1"/>
      <c r="M2657" s="1"/>
      <c r="N2657" s="1"/>
    </row>
    <row r="2658" ht="15.75" customHeight="1">
      <c r="A2658" t="s">
        <v>53</v>
      </c>
      <c r="B2658" t="s">
        <v>37</v>
      </c>
      <c r="C2658" t="s">
        <v>4912</v>
      </c>
      <c r="D2658" t="s">
        <v>2741</v>
      </c>
      <c r="E2658">
        <v>78596.6590157253</v>
      </c>
      <c r="F2658">
        <v>26925.6796396252</v>
      </c>
      <c r="G2658">
        <v>21698.3059026513</v>
      </c>
      <c r="H2658">
        <v>16433.1134684381</v>
      </c>
      <c r="I2658">
        <v>127220.64</v>
      </c>
      <c r="J2658">
        <v>110787.53</v>
      </c>
      <c r="K2658" s="1"/>
      <c r="L2658" s="1"/>
      <c r="M2658" s="1"/>
      <c r="N2658" s="1"/>
    </row>
    <row r="2659" ht="15.75" customHeight="1">
      <c r="A2659" t="s">
        <v>17</v>
      </c>
      <c r="B2659" t="s">
        <v>37</v>
      </c>
      <c r="C2659" t="s">
        <v>4905</v>
      </c>
      <c r="D2659" t="s">
        <v>2742</v>
      </c>
      <c r="E2659">
        <v>78607.5419856315</v>
      </c>
      <c r="F2659">
        <v>26930.2943579526</v>
      </c>
      <c r="G2659">
        <v>21705.9859060808</v>
      </c>
      <c r="H2659">
        <v>16436.5110191254</v>
      </c>
      <c r="I2659">
        <v>127243.82</v>
      </c>
      <c r="J2659">
        <v>110807.31</v>
      </c>
      <c r="K2659" s="1"/>
      <c r="L2659" s="1"/>
      <c r="M2659" s="1"/>
      <c r="N2659" s="1"/>
    </row>
    <row r="2660" ht="15.75" customHeight="1">
      <c r="A2660" t="s">
        <v>25</v>
      </c>
      <c r="B2660" t="s">
        <v>14</v>
      </c>
      <c r="C2660" t="s">
        <v>4915</v>
      </c>
      <c r="D2660" t="s">
        <v>2743</v>
      </c>
      <c r="E2660">
        <v>78618.4249555377</v>
      </c>
      <c r="F2660">
        <v>26934.9090762801</v>
      </c>
      <c r="G2660">
        <v>21713.6659095103</v>
      </c>
      <c r="H2660">
        <v>16439.9085698127</v>
      </c>
      <c r="I2660">
        <v>127267.0</v>
      </c>
      <c r="J2660">
        <v>110827.09</v>
      </c>
      <c r="K2660" s="1"/>
      <c r="L2660" s="1"/>
      <c r="M2660" s="1"/>
      <c r="N2660" s="1"/>
    </row>
    <row r="2661" ht="15.75" customHeight="1">
      <c r="A2661" t="s">
        <v>53</v>
      </c>
      <c r="B2661" t="s">
        <v>54</v>
      </c>
      <c r="C2661" t="s">
        <v>4916</v>
      </c>
      <c r="D2661" t="s">
        <v>2744</v>
      </c>
      <c r="E2661">
        <v>78629.3079254439</v>
      </c>
      <c r="F2661">
        <v>26939.5237946075</v>
      </c>
      <c r="G2661">
        <v>21721.3459129398</v>
      </c>
      <c r="H2661">
        <v>16443.3061205</v>
      </c>
      <c r="I2661">
        <v>127290.18</v>
      </c>
      <c r="J2661">
        <v>110846.87</v>
      </c>
      <c r="K2661" s="1"/>
      <c r="L2661" s="1"/>
      <c r="M2661" s="1"/>
      <c r="N2661" s="1"/>
    </row>
    <row r="2662" ht="15.75" customHeight="1">
      <c r="A2662" t="s">
        <v>53</v>
      </c>
      <c r="B2662" t="s">
        <v>14</v>
      </c>
      <c r="C2662" t="s">
        <v>4909</v>
      </c>
      <c r="D2662" t="s">
        <v>2745</v>
      </c>
      <c r="E2662">
        <v>78640.1908953501</v>
      </c>
      <c r="F2662">
        <v>26944.1385129349</v>
      </c>
      <c r="G2662">
        <v>21729.0259163693</v>
      </c>
      <c r="H2662">
        <v>16446.7036711872</v>
      </c>
      <c r="I2662">
        <v>127313.36</v>
      </c>
      <c r="J2662">
        <v>110866.66</v>
      </c>
      <c r="K2662" s="1"/>
      <c r="L2662" s="1"/>
      <c r="M2662" s="1"/>
      <c r="N2662" s="1"/>
    </row>
    <row r="2663" ht="15.75" customHeight="1">
      <c r="A2663" t="s">
        <v>25</v>
      </c>
      <c r="B2663" t="s">
        <v>54</v>
      </c>
      <c r="C2663" t="s">
        <v>4916</v>
      </c>
      <c r="D2663" t="s">
        <v>2746</v>
      </c>
      <c r="E2663">
        <v>78651.0738652563</v>
      </c>
      <c r="F2663">
        <v>26948.7532312623</v>
      </c>
      <c r="G2663">
        <v>21736.7059197988</v>
      </c>
      <c r="H2663">
        <v>16450.1012218745</v>
      </c>
      <c r="I2663">
        <v>127336.53</v>
      </c>
      <c r="J2663">
        <v>110886.43</v>
      </c>
      <c r="K2663" s="1"/>
      <c r="L2663" s="1"/>
      <c r="M2663" s="1"/>
      <c r="N2663" s="1"/>
    </row>
    <row r="2664" ht="15.75" customHeight="1">
      <c r="A2664" t="s">
        <v>25</v>
      </c>
      <c r="B2664" t="s">
        <v>26</v>
      </c>
      <c r="C2664" t="s">
        <v>4917</v>
      </c>
      <c r="D2664" t="s">
        <v>2747</v>
      </c>
      <c r="E2664">
        <v>78661.9568351625</v>
      </c>
      <c r="F2664">
        <v>26953.3679495897</v>
      </c>
      <c r="G2664">
        <v>21744.3859232283</v>
      </c>
      <c r="H2664">
        <v>16453.4987725618</v>
      </c>
      <c r="I2664">
        <v>127359.71</v>
      </c>
      <c r="J2664">
        <v>110906.21</v>
      </c>
      <c r="K2664" s="1"/>
      <c r="L2664" s="1"/>
      <c r="M2664" s="1"/>
      <c r="N2664" s="1"/>
    </row>
    <row r="2665" ht="15.75" customHeight="1">
      <c r="A2665" t="s">
        <v>53</v>
      </c>
      <c r="B2665" t="s">
        <v>26</v>
      </c>
      <c r="C2665" t="s">
        <v>4907</v>
      </c>
      <c r="D2665" t="s">
        <v>2748</v>
      </c>
      <c r="E2665">
        <v>78672.8398050686</v>
      </c>
      <c r="F2665">
        <v>26957.9826679172</v>
      </c>
      <c r="G2665">
        <v>21752.0659266578</v>
      </c>
      <c r="H2665">
        <v>16456.8963232491</v>
      </c>
      <c r="I2665">
        <v>127382.89</v>
      </c>
      <c r="J2665">
        <v>110925.99</v>
      </c>
      <c r="K2665" s="1"/>
      <c r="L2665" s="1"/>
      <c r="M2665" s="1"/>
      <c r="N2665" s="1"/>
    </row>
    <row r="2666" ht="15.75" customHeight="1">
      <c r="A2666" t="s">
        <v>53</v>
      </c>
      <c r="B2666" t="s">
        <v>33</v>
      </c>
      <c r="C2666" t="s">
        <v>4914</v>
      </c>
      <c r="D2666" t="s">
        <v>2749</v>
      </c>
      <c r="E2666">
        <v>78683.7227749748</v>
      </c>
      <c r="F2666">
        <v>26962.5973862446</v>
      </c>
      <c r="G2666">
        <v>21759.7459300873</v>
      </c>
      <c r="H2666">
        <v>16460.2938739364</v>
      </c>
      <c r="I2666">
        <v>127406.07</v>
      </c>
      <c r="J2666">
        <v>110945.78</v>
      </c>
      <c r="K2666" s="1"/>
      <c r="L2666" s="1"/>
      <c r="M2666" s="1"/>
      <c r="N2666" s="1"/>
    </row>
    <row r="2667" ht="15.75" customHeight="1">
      <c r="A2667" t="s">
        <v>51</v>
      </c>
      <c r="B2667" t="s">
        <v>54</v>
      </c>
      <c r="C2667" t="s">
        <v>4907</v>
      </c>
      <c r="D2667" t="s">
        <v>2750</v>
      </c>
      <c r="E2667">
        <v>78694.605744881</v>
      </c>
      <c r="F2667">
        <v>26967.212104572</v>
      </c>
      <c r="G2667">
        <v>21767.4259335168</v>
      </c>
      <c r="H2667">
        <v>16463.6914246237</v>
      </c>
      <c r="I2667">
        <v>127429.24</v>
      </c>
      <c r="J2667">
        <v>110965.55</v>
      </c>
      <c r="K2667" s="1"/>
      <c r="L2667" s="1"/>
      <c r="M2667" s="1"/>
      <c r="N2667" s="1"/>
    </row>
    <row r="2668" ht="15.75" customHeight="1">
      <c r="A2668" t="s">
        <v>36</v>
      </c>
      <c r="B2668" t="s">
        <v>54</v>
      </c>
      <c r="C2668" t="s">
        <v>4909</v>
      </c>
      <c r="D2668" t="s">
        <v>2751</v>
      </c>
      <c r="E2668">
        <v>78705.4887147872</v>
      </c>
      <c r="F2668">
        <v>26971.8268228994</v>
      </c>
      <c r="G2668">
        <v>21775.1059369463</v>
      </c>
      <c r="H2668">
        <v>16467.088975311</v>
      </c>
      <c r="I2668">
        <v>127452.42</v>
      </c>
      <c r="J2668">
        <v>110985.33</v>
      </c>
      <c r="K2668" s="1"/>
      <c r="L2668" s="1"/>
      <c r="M2668" s="1"/>
      <c r="N2668" s="1"/>
    </row>
    <row r="2669" ht="15.75" customHeight="1">
      <c r="A2669" t="s">
        <v>13</v>
      </c>
      <c r="B2669" t="s">
        <v>18</v>
      </c>
      <c r="C2669" t="s">
        <v>4907</v>
      </c>
      <c r="D2669" t="s">
        <v>2752</v>
      </c>
      <c r="E2669">
        <v>78716.3716846934</v>
      </c>
      <c r="F2669">
        <v>26976.4415412269</v>
      </c>
      <c r="G2669">
        <v>21782.7859403758</v>
      </c>
      <c r="H2669">
        <v>16470.4865259982</v>
      </c>
      <c r="I2669">
        <v>127475.6</v>
      </c>
      <c r="J2669">
        <v>111005.11</v>
      </c>
      <c r="K2669" s="1"/>
      <c r="L2669" s="1"/>
      <c r="M2669" s="1"/>
      <c r="N2669" s="1"/>
    </row>
    <row r="2670" ht="15.75" customHeight="1">
      <c r="A2670" t="s">
        <v>13</v>
      </c>
      <c r="B2670" t="s">
        <v>37</v>
      </c>
      <c r="C2670" t="s">
        <v>4905</v>
      </c>
      <c r="D2670" t="s">
        <v>2753</v>
      </c>
      <c r="E2670">
        <v>78727.2546545996</v>
      </c>
      <c r="F2670">
        <v>26981.0562595543</v>
      </c>
      <c r="G2670">
        <v>21790.4659438053</v>
      </c>
      <c r="H2670">
        <v>16473.8840766855</v>
      </c>
      <c r="I2670">
        <v>127498.78</v>
      </c>
      <c r="J2670">
        <v>111024.9</v>
      </c>
      <c r="K2670" s="1"/>
      <c r="L2670" s="1"/>
      <c r="M2670" s="1"/>
      <c r="N2670" s="1"/>
    </row>
    <row r="2671" ht="15.75" customHeight="1">
      <c r="A2671" t="s">
        <v>53</v>
      </c>
      <c r="B2671" t="s">
        <v>26</v>
      </c>
      <c r="C2671" t="s">
        <v>4913</v>
      </c>
      <c r="D2671" t="s">
        <v>2754</v>
      </c>
      <c r="E2671">
        <v>78738.1376245058</v>
      </c>
      <c r="F2671">
        <v>26985.6709778817</v>
      </c>
      <c r="G2671">
        <v>21798.1459472348</v>
      </c>
      <c r="H2671">
        <v>16477.2816273728</v>
      </c>
      <c r="I2671">
        <v>127521.95</v>
      </c>
      <c r="J2671">
        <v>111044.67</v>
      </c>
      <c r="K2671" s="1"/>
      <c r="L2671" s="1"/>
      <c r="M2671" s="1"/>
      <c r="N2671" s="1"/>
    </row>
    <row r="2672" ht="15.75" customHeight="1">
      <c r="A2672" t="s">
        <v>29</v>
      </c>
      <c r="B2672" t="s">
        <v>54</v>
      </c>
      <c r="C2672" t="s">
        <v>4917</v>
      </c>
      <c r="D2672" t="s">
        <v>2755</v>
      </c>
      <c r="E2672">
        <v>78749.020594412</v>
      </c>
      <c r="F2672">
        <v>26990.2856962091</v>
      </c>
      <c r="G2672">
        <v>21805.8259506643</v>
      </c>
      <c r="H2672">
        <v>16480.6791780601</v>
      </c>
      <c r="I2672">
        <v>127545.13</v>
      </c>
      <c r="J2672">
        <v>111064.45</v>
      </c>
      <c r="K2672" s="1"/>
      <c r="L2672" s="1"/>
      <c r="M2672" s="1"/>
      <c r="N2672" s="1"/>
    </row>
    <row r="2673" ht="15.75" customHeight="1">
      <c r="A2673" t="s">
        <v>13</v>
      </c>
      <c r="B2673" t="s">
        <v>33</v>
      </c>
      <c r="C2673" t="s">
        <v>4911</v>
      </c>
      <c r="D2673" t="s">
        <v>2756</v>
      </c>
      <c r="E2673">
        <v>78759.9035643182</v>
      </c>
      <c r="F2673">
        <v>26994.9004145365</v>
      </c>
      <c r="G2673">
        <v>21813.5059540938</v>
      </c>
      <c r="H2673">
        <v>16484.0767287474</v>
      </c>
      <c r="I2673">
        <v>127568.31</v>
      </c>
      <c r="J2673">
        <v>111084.23</v>
      </c>
      <c r="K2673" s="1"/>
      <c r="L2673" s="1"/>
      <c r="M2673" s="1"/>
      <c r="N2673" s="1"/>
    </row>
    <row r="2674" ht="15.75" customHeight="1">
      <c r="A2674" t="s">
        <v>36</v>
      </c>
      <c r="B2674" t="s">
        <v>18</v>
      </c>
      <c r="C2674" t="s">
        <v>4914</v>
      </c>
      <c r="D2674" t="s">
        <v>2757</v>
      </c>
      <c r="E2674">
        <v>78770.7865342244</v>
      </c>
      <c r="F2674">
        <v>26999.515132864</v>
      </c>
      <c r="G2674">
        <v>21821.1859575232</v>
      </c>
      <c r="H2674">
        <v>16487.4742794347</v>
      </c>
      <c r="I2674">
        <v>127591.49</v>
      </c>
      <c r="J2674">
        <v>111104.02</v>
      </c>
      <c r="K2674" s="1"/>
      <c r="L2674" s="1"/>
      <c r="M2674" s="1"/>
      <c r="N2674" s="1"/>
    </row>
    <row r="2675" ht="15.75" customHeight="1">
      <c r="A2675" t="s">
        <v>25</v>
      </c>
      <c r="B2675" t="s">
        <v>33</v>
      </c>
      <c r="C2675" t="s">
        <v>4908</v>
      </c>
      <c r="D2675" t="s">
        <v>2758</v>
      </c>
      <c r="E2675">
        <v>78781.6695041306</v>
      </c>
      <c r="F2675">
        <v>27004.1298511914</v>
      </c>
      <c r="G2675">
        <v>21828.8659609527</v>
      </c>
      <c r="H2675">
        <v>16490.871830122</v>
      </c>
      <c r="I2675">
        <v>127614.67</v>
      </c>
      <c r="J2675">
        <v>111123.8</v>
      </c>
      <c r="K2675" s="1"/>
      <c r="L2675" s="1"/>
      <c r="M2675" s="1"/>
      <c r="N2675" s="1"/>
    </row>
    <row r="2676" ht="15.75" customHeight="1">
      <c r="A2676" t="s">
        <v>13</v>
      </c>
      <c r="B2676" t="s">
        <v>18</v>
      </c>
      <c r="C2676" t="s">
        <v>4909</v>
      </c>
      <c r="D2676" t="s">
        <v>2759</v>
      </c>
      <c r="E2676">
        <v>78792.5524740368</v>
      </c>
      <c r="F2676">
        <v>27008.7445695188</v>
      </c>
      <c r="G2676">
        <v>21836.5459643822</v>
      </c>
      <c r="H2676">
        <v>16494.2693808093</v>
      </c>
      <c r="I2676">
        <v>127637.84</v>
      </c>
      <c r="J2676">
        <v>111143.57</v>
      </c>
      <c r="K2676" s="1"/>
      <c r="L2676" s="1"/>
      <c r="M2676" s="1"/>
      <c r="N2676" s="1"/>
    </row>
    <row r="2677" ht="15.75" customHeight="1">
      <c r="A2677" t="s">
        <v>13</v>
      </c>
      <c r="B2677" t="s">
        <v>26</v>
      </c>
      <c r="C2677" t="s">
        <v>4907</v>
      </c>
      <c r="D2677" t="s">
        <v>2760</v>
      </c>
      <c r="E2677">
        <v>78803.435443943</v>
      </c>
      <c r="F2677">
        <v>27013.3592878462</v>
      </c>
      <c r="G2677">
        <v>21844.2259678117</v>
      </c>
      <c r="H2677">
        <v>16497.6669314965</v>
      </c>
      <c r="I2677">
        <v>127661.02</v>
      </c>
      <c r="J2677">
        <v>111163.35</v>
      </c>
      <c r="K2677" s="1"/>
      <c r="L2677" s="1"/>
      <c r="M2677" s="1"/>
      <c r="N2677" s="1"/>
    </row>
    <row r="2678" ht="15.75" customHeight="1">
      <c r="A2678" t="s">
        <v>36</v>
      </c>
      <c r="B2678" t="s">
        <v>30</v>
      </c>
      <c r="C2678" t="s">
        <v>4917</v>
      </c>
      <c r="D2678" t="s">
        <v>2761</v>
      </c>
      <c r="E2678">
        <v>78814.3184138492</v>
      </c>
      <c r="F2678">
        <v>27017.9740061737</v>
      </c>
      <c r="G2678">
        <v>21851.9059712412</v>
      </c>
      <c r="H2678">
        <v>16501.0644821838</v>
      </c>
      <c r="I2678">
        <v>127684.2</v>
      </c>
      <c r="J2678">
        <v>111183.14</v>
      </c>
      <c r="K2678" s="1"/>
      <c r="L2678" s="1"/>
      <c r="M2678" s="1"/>
      <c r="N2678" s="1"/>
    </row>
    <row r="2679" ht="15.75" customHeight="1">
      <c r="A2679" t="s">
        <v>17</v>
      </c>
      <c r="B2679" t="s">
        <v>26</v>
      </c>
      <c r="C2679" t="s">
        <v>4908</v>
      </c>
      <c r="D2679" t="s">
        <v>2762</v>
      </c>
      <c r="E2679">
        <v>78825.2013837554</v>
      </c>
      <c r="F2679">
        <v>27022.5887245011</v>
      </c>
      <c r="G2679">
        <v>21859.5859746707</v>
      </c>
      <c r="H2679">
        <v>16504.4620328711</v>
      </c>
      <c r="I2679">
        <v>127707.38</v>
      </c>
      <c r="J2679">
        <v>111202.92</v>
      </c>
      <c r="K2679" s="1"/>
      <c r="L2679" s="1"/>
      <c r="M2679" s="1"/>
      <c r="N2679" s="1"/>
    </row>
    <row r="2680" ht="15.75" customHeight="1">
      <c r="A2680" t="s">
        <v>51</v>
      </c>
      <c r="B2680" t="s">
        <v>30</v>
      </c>
      <c r="C2680" t="s">
        <v>4910</v>
      </c>
      <c r="D2680" t="s">
        <v>2764</v>
      </c>
      <c r="E2680">
        <v>78836.0843536615</v>
      </c>
      <c r="F2680">
        <v>27027.2034428285</v>
      </c>
      <c r="G2680">
        <v>21867.2659781002</v>
      </c>
      <c r="H2680">
        <v>16507.8595835584</v>
      </c>
      <c r="I2680">
        <v>127730.55</v>
      </c>
      <c r="J2680">
        <v>111222.69</v>
      </c>
      <c r="K2680" s="1"/>
      <c r="L2680" s="1"/>
      <c r="M2680" s="1"/>
      <c r="N2680" s="1"/>
    </row>
    <row r="2681" ht="15.75" customHeight="1">
      <c r="A2681" t="s">
        <v>13</v>
      </c>
      <c r="B2681" t="s">
        <v>54</v>
      </c>
      <c r="C2681" t="s">
        <v>4917</v>
      </c>
      <c r="D2681" t="s">
        <v>2765</v>
      </c>
      <c r="E2681">
        <v>78846.9673235677</v>
      </c>
      <c r="F2681">
        <v>27031.8181611559</v>
      </c>
      <c r="G2681">
        <v>21874.9459815297</v>
      </c>
      <c r="H2681">
        <v>16511.2571342457</v>
      </c>
      <c r="I2681">
        <v>127753.73</v>
      </c>
      <c r="J2681">
        <v>111242.47</v>
      </c>
      <c r="K2681" s="1"/>
      <c r="L2681" s="1"/>
      <c r="M2681" s="1"/>
      <c r="N2681" s="1"/>
    </row>
    <row r="2682" ht="15.75" customHeight="1">
      <c r="A2682" t="s">
        <v>53</v>
      </c>
      <c r="B2682" t="s">
        <v>14</v>
      </c>
      <c r="C2682" t="s">
        <v>4915</v>
      </c>
      <c r="D2682" t="s">
        <v>2766</v>
      </c>
      <c r="E2682">
        <v>78857.8502934739</v>
      </c>
      <c r="F2682">
        <v>27036.4328794833</v>
      </c>
      <c r="G2682">
        <v>21882.6259849592</v>
      </c>
      <c r="H2682">
        <v>16514.654684933</v>
      </c>
      <c r="I2682">
        <v>127776.91</v>
      </c>
      <c r="J2682">
        <v>111262.26</v>
      </c>
      <c r="K2682" s="1"/>
      <c r="L2682" s="1"/>
      <c r="M2682" s="1"/>
      <c r="N2682" s="1"/>
    </row>
    <row r="2683" ht="15.75" customHeight="1">
      <c r="A2683" t="s">
        <v>51</v>
      </c>
      <c r="B2683" t="s">
        <v>14</v>
      </c>
      <c r="C2683" t="s">
        <v>4905</v>
      </c>
      <c r="D2683" t="s">
        <v>2767</v>
      </c>
      <c r="E2683">
        <v>78868.7332633801</v>
      </c>
      <c r="F2683">
        <v>27041.0475978108</v>
      </c>
      <c r="G2683">
        <v>21890.3059883887</v>
      </c>
      <c r="H2683">
        <v>16518.0522356203</v>
      </c>
      <c r="I2683">
        <v>127800.09</v>
      </c>
      <c r="J2683">
        <v>111282.04</v>
      </c>
      <c r="K2683" s="1"/>
      <c r="L2683" s="1"/>
      <c r="M2683" s="1"/>
      <c r="N2683" s="1"/>
    </row>
    <row r="2684" ht="15.75" customHeight="1">
      <c r="A2684" t="s">
        <v>25</v>
      </c>
      <c r="B2684" t="s">
        <v>18</v>
      </c>
      <c r="C2684" t="s">
        <v>4912</v>
      </c>
      <c r="D2684" t="s">
        <v>2768</v>
      </c>
      <c r="E2684">
        <v>78879.6162332863</v>
      </c>
      <c r="F2684">
        <v>27045.6623161382</v>
      </c>
      <c r="G2684">
        <v>21897.9859918182</v>
      </c>
      <c r="H2684">
        <v>16521.4497863076</v>
      </c>
      <c r="I2684">
        <v>127823.26</v>
      </c>
      <c r="J2684">
        <v>111301.81</v>
      </c>
      <c r="K2684" s="1"/>
      <c r="L2684" s="1"/>
      <c r="M2684" s="1"/>
      <c r="N2684" s="1"/>
    </row>
    <row r="2685" ht="15.75" customHeight="1">
      <c r="A2685" t="s">
        <v>51</v>
      </c>
      <c r="B2685" t="s">
        <v>33</v>
      </c>
      <c r="C2685" t="s">
        <v>4913</v>
      </c>
      <c r="D2685" t="s">
        <v>2769</v>
      </c>
      <c r="E2685">
        <v>78890.4992031925</v>
      </c>
      <c r="F2685">
        <v>27050.2770344656</v>
      </c>
      <c r="G2685">
        <v>21905.6659952477</v>
      </c>
      <c r="H2685">
        <v>16524.8473369948</v>
      </c>
      <c r="I2685">
        <v>127846.44</v>
      </c>
      <c r="J2685">
        <v>111321.59</v>
      </c>
      <c r="K2685" s="1"/>
      <c r="L2685" s="1"/>
      <c r="M2685" s="1"/>
      <c r="N2685" s="1"/>
    </row>
    <row r="2686" ht="15.75" customHeight="1">
      <c r="A2686" t="s">
        <v>51</v>
      </c>
      <c r="B2686" t="s">
        <v>37</v>
      </c>
      <c r="C2686" t="s">
        <v>4908</v>
      </c>
      <c r="D2686" t="s">
        <v>2770</v>
      </c>
      <c r="E2686">
        <v>78901.3821730987</v>
      </c>
      <c r="F2686">
        <v>27054.891752793</v>
      </c>
      <c r="G2686">
        <v>21913.3459986772</v>
      </c>
      <c r="H2686">
        <v>16528.2448876821</v>
      </c>
      <c r="I2686">
        <v>127869.62</v>
      </c>
      <c r="J2686">
        <v>111341.38</v>
      </c>
      <c r="K2686" s="1"/>
      <c r="L2686" s="1"/>
      <c r="M2686" s="1"/>
      <c r="N2686" s="1"/>
    </row>
    <row r="2687" ht="15.75" customHeight="1">
      <c r="A2687" t="s">
        <v>13</v>
      </c>
      <c r="B2687" t="s">
        <v>54</v>
      </c>
      <c r="C2687" t="s">
        <v>4915</v>
      </c>
      <c r="D2687" t="s">
        <v>2771</v>
      </c>
      <c r="E2687">
        <v>78912.2651430049</v>
      </c>
      <c r="F2687">
        <v>27059.5064711205</v>
      </c>
      <c r="G2687">
        <v>21921.0260021067</v>
      </c>
      <c r="H2687">
        <v>14327.38295125808</v>
      </c>
      <c r="I2687">
        <v>127892.8</v>
      </c>
      <c r="J2687">
        <v>113565.42</v>
      </c>
      <c r="K2687" s="1"/>
      <c r="L2687" s="1"/>
      <c r="M2687" s="1"/>
      <c r="N2687" s="1"/>
    </row>
    <row r="2688" ht="15.75" customHeight="1">
      <c r="A2688" t="s">
        <v>51</v>
      </c>
      <c r="B2688" t="s">
        <v>26</v>
      </c>
      <c r="C2688" t="s">
        <v>4908</v>
      </c>
      <c r="D2688" t="s">
        <v>2772</v>
      </c>
      <c r="E2688">
        <v>78923.1481129111</v>
      </c>
      <c r="F2688">
        <v>27064.1211894479</v>
      </c>
      <c r="G2688">
        <v>21928.7060055362</v>
      </c>
      <c r="H2688">
        <v>16535.0399890567</v>
      </c>
      <c r="I2688">
        <v>127915.98</v>
      </c>
      <c r="J2688">
        <v>111380.94</v>
      </c>
      <c r="K2688" s="1"/>
      <c r="L2688" s="1"/>
      <c r="M2688" s="1"/>
      <c r="N2688" s="1"/>
    </row>
    <row r="2689" ht="15.75" customHeight="1">
      <c r="A2689" t="s">
        <v>29</v>
      </c>
      <c r="B2689" t="s">
        <v>14</v>
      </c>
      <c r="C2689" t="s">
        <v>4915</v>
      </c>
      <c r="D2689" t="s">
        <v>2773</v>
      </c>
      <c r="E2689">
        <v>78934.0310828173</v>
      </c>
      <c r="F2689">
        <v>27068.7359077753</v>
      </c>
      <c r="G2689">
        <v>21936.3860089657</v>
      </c>
      <c r="H2689">
        <v>16538.437539744</v>
      </c>
      <c r="I2689">
        <v>127939.15</v>
      </c>
      <c r="J2689">
        <v>111400.71</v>
      </c>
      <c r="K2689" s="1"/>
      <c r="L2689" s="1"/>
      <c r="M2689" s="1"/>
      <c r="N2689" s="1"/>
    </row>
    <row r="2690" ht="15.75" customHeight="1">
      <c r="A2690" t="s">
        <v>36</v>
      </c>
      <c r="B2690" t="s">
        <v>18</v>
      </c>
      <c r="C2690" t="s">
        <v>4916</v>
      </c>
      <c r="D2690" t="s">
        <v>2774</v>
      </c>
      <c r="E2690">
        <v>78944.9140527235</v>
      </c>
      <c r="F2690">
        <v>27073.3506261027</v>
      </c>
      <c r="G2690">
        <v>21944.0660123952</v>
      </c>
      <c r="H2690">
        <v>16541.8350904313</v>
      </c>
      <c r="I2690">
        <v>127962.33</v>
      </c>
      <c r="J2690">
        <v>111420.49</v>
      </c>
      <c r="K2690" s="1"/>
      <c r="L2690" s="1"/>
      <c r="M2690" s="1"/>
      <c r="N2690" s="1"/>
    </row>
    <row r="2691" ht="15.75" customHeight="1">
      <c r="A2691" t="s">
        <v>29</v>
      </c>
      <c r="B2691" t="s">
        <v>54</v>
      </c>
      <c r="C2691" t="s">
        <v>4917</v>
      </c>
      <c r="D2691" t="s">
        <v>2775</v>
      </c>
      <c r="E2691">
        <v>78955.7970226297</v>
      </c>
      <c r="F2691">
        <v>27077.9653444301</v>
      </c>
      <c r="G2691">
        <v>21951.7460158247</v>
      </c>
      <c r="H2691">
        <v>16545.2326411186</v>
      </c>
      <c r="I2691">
        <v>127985.51</v>
      </c>
      <c r="J2691">
        <v>111440.28</v>
      </c>
      <c r="K2691" s="1"/>
      <c r="L2691" s="1"/>
      <c r="M2691" s="1"/>
      <c r="N2691" s="1"/>
    </row>
    <row r="2692" ht="15.75" customHeight="1">
      <c r="A2692" t="s">
        <v>13</v>
      </c>
      <c r="B2692" t="s">
        <v>26</v>
      </c>
      <c r="C2692" t="s">
        <v>4907</v>
      </c>
      <c r="D2692" t="s">
        <v>2776</v>
      </c>
      <c r="E2692">
        <v>78966.6799925359</v>
      </c>
      <c r="F2692">
        <v>27082.5800627576</v>
      </c>
      <c r="G2692">
        <v>21959.4260192542</v>
      </c>
      <c r="H2692">
        <v>16548.6301918058</v>
      </c>
      <c r="I2692">
        <v>128008.69</v>
      </c>
      <c r="J2692">
        <v>111460.06</v>
      </c>
      <c r="K2692" s="1"/>
      <c r="L2692" s="1"/>
      <c r="M2692" s="1"/>
      <c r="N2692" s="1"/>
    </row>
    <row r="2693" ht="15.75" customHeight="1">
      <c r="A2693" t="s">
        <v>17</v>
      </c>
      <c r="B2693" t="s">
        <v>26</v>
      </c>
      <c r="C2693" t="s">
        <v>4914</v>
      </c>
      <c r="D2693" t="s">
        <v>2777</v>
      </c>
      <c r="E2693">
        <v>78977.5629624421</v>
      </c>
      <c r="F2693">
        <v>27087.194781085</v>
      </c>
      <c r="G2693">
        <v>21967.1060226837</v>
      </c>
      <c r="H2693">
        <v>16552.0277424931</v>
      </c>
      <c r="I2693">
        <v>128031.86</v>
      </c>
      <c r="J2693">
        <v>111479.83</v>
      </c>
      <c r="K2693" s="1"/>
      <c r="L2693" s="1"/>
      <c r="M2693" s="1"/>
      <c r="N2693" s="1"/>
    </row>
    <row r="2694" ht="15.75" customHeight="1">
      <c r="A2694" t="s">
        <v>53</v>
      </c>
      <c r="B2694" t="s">
        <v>54</v>
      </c>
      <c r="C2694" t="s">
        <v>4915</v>
      </c>
      <c r="D2694" t="s">
        <v>2778</v>
      </c>
      <c r="E2694">
        <v>78988.4459323483</v>
      </c>
      <c r="F2694">
        <v>27091.8094994124</v>
      </c>
      <c r="G2694">
        <v>21974.7860261132</v>
      </c>
      <c r="H2694">
        <v>16555.4252931804</v>
      </c>
      <c r="I2694">
        <v>128055.04</v>
      </c>
      <c r="J2694">
        <v>111499.61</v>
      </c>
      <c r="K2694" s="1"/>
      <c r="L2694" s="1"/>
      <c r="M2694" s="1"/>
      <c r="N2694" s="1"/>
    </row>
    <row r="2695" ht="15.75" customHeight="1">
      <c r="A2695" t="s">
        <v>51</v>
      </c>
      <c r="B2695" t="s">
        <v>37</v>
      </c>
      <c r="C2695" t="s">
        <v>4910</v>
      </c>
      <c r="D2695" t="s">
        <v>2779</v>
      </c>
      <c r="E2695">
        <v>78999.3289022545</v>
      </c>
      <c r="F2695">
        <v>27096.4242177398</v>
      </c>
      <c r="G2695">
        <v>21982.4660295427</v>
      </c>
      <c r="H2695">
        <v>16558.8228438677</v>
      </c>
      <c r="I2695">
        <v>128078.22</v>
      </c>
      <c r="J2695">
        <v>111519.4</v>
      </c>
      <c r="K2695" s="1"/>
      <c r="L2695" s="1"/>
      <c r="M2695" s="1"/>
      <c r="N2695" s="1"/>
    </row>
    <row r="2696" ht="15.75" customHeight="1">
      <c r="A2696" t="s">
        <v>51</v>
      </c>
      <c r="B2696" t="s">
        <v>37</v>
      </c>
      <c r="C2696" t="s">
        <v>4905</v>
      </c>
      <c r="D2696" t="s">
        <v>2780</v>
      </c>
      <c r="E2696">
        <v>79010.2118721606</v>
      </c>
      <c r="F2696">
        <v>27101.0389360673</v>
      </c>
      <c r="G2696">
        <v>21990.1460329722</v>
      </c>
      <c r="H2696">
        <v>16562.220394555</v>
      </c>
      <c r="I2696">
        <v>128101.4</v>
      </c>
      <c r="J2696">
        <v>111539.18</v>
      </c>
      <c r="K2696" s="1"/>
      <c r="L2696" s="1"/>
      <c r="M2696" s="1"/>
      <c r="N2696" s="1"/>
    </row>
    <row r="2697" ht="15.75" customHeight="1">
      <c r="A2697" t="s">
        <v>29</v>
      </c>
      <c r="B2697" t="s">
        <v>37</v>
      </c>
      <c r="C2697" t="s">
        <v>4913</v>
      </c>
      <c r="D2697" t="s">
        <v>2781</v>
      </c>
      <c r="E2697">
        <v>79021.0948420668</v>
      </c>
      <c r="F2697">
        <v>27105.6536543947</v>
      </c>
      <c r="G2697">
        <v>21997.8260364017</v>
      </c>
      <c r="H2697">
        <v>16565.6179452423</v>
      </c>
      <c r="I2697">
        <v>128124.57</v>
      </c>
      <c r="J2697">
        <v>111558.95</v>
      </c>
      <c r="K2697" s="1"/>
      <c r="L2697" s="1"/>
      <c r="M2697" s="1"/>
      <c r="N2697" s="1"/>
    </row>
    <row r="2698" ht="15.75" customHeight="1">
      <c r="A2698" t="s">
        <v>29</v>
      </c>
      <c r="B2698" t="s">
        <v>26</v>
      </c>
      <c r="C2698" t="s">
        <v>4915</v>
      </c>
      <c r="D2698" t="s">
        <v>2782</v>
      </c>
      <c r="E2698">
        <v>79031.977811973</v>
      </c>
      <c r="F2698">
        <v>27110.2683727221</v>
      </c>
      <c r="G2698">
        <v>22005.5060398312</v>
      </c>
      <c r="H2698">
        <v>16569.0154959296</v>
      </c>
      <c r="I2698">
        <v>128147.75</v>
      </c>
      <c r="J2698">
        <v>111578.73</v>
      </c>
      <c r="K2698" s="1"/>
      <c r="L2698" s="1"/>
      <c r="M2698" s="1"/>
      <c r="N2698" s="1"/>
    </row>
    <row r="2699" ht="15.75" customHeight="1">
      <c r="A2699" t="s">
        <v>36</v>
      </c>
      <c r="B2699" t="s">
        <v>26</v>
      </c>
      <c r="C2699" t="s">
        <v>4908</v>
      </c>
      <c r="D2699" t="s">
        <v>2783</v>
      </c>
      <c r="E2699">
        <v>79042.8607818792</v>
      </c>
      <c r="F2699">
        <v>27114.8830910495</v>
      </c>
      <c r="G2699">
        <v>22013.1860432607</v>
      </c>
      <c r="H2699">
        <v>16572.4130466169</v>
      </c>
      <c r="I2699">
        <v>128170.93</v>
      </c>
      <c r="J2699">
        <v>111598.52</v>
      </c>
      <c r="K2699" s="1"/>
      <c r="L2699" s="1"/>
      <c r="M2699" s="1"/>
      <c r="N2699" s="1"/>
    </row>
    <row r="2700" ht="15.75" customHeight="1">
      <c r="A2700" t="s">
        <v>17</v>
      </c>
      <c r="B2700" t="s">
        <v>33</v>
      </c>
      <c r="C2700" t="s">
        <v>4917</v>
      </c>
      <c r="D2700" t="s">
        <v>2784</v>
      </c>
      <c r="E2700">
        <v>79053.7437517854</v>
      </c>
      <c r="F2700">
        <v>27119.4978093769</v>
      </c>
      <c r="G2700">
        <v>22020.8660466902</v>
      </c>
      <c r="H2700">
        <v>16575.8105973041</v>
      </c>
      <c r="I2700">
        <v>128194.11</v>
      </c>
      <c r="J2700">
        <v>111618.3</v>
      </c>
      <c r="K2700" s="1"/>
      <c r="L2700" s="1"/>
      <c r="M2700" s="1"/>
      <c r="N2700" s="1"/>
    </row>
    <row r="2701" ht="15.75" customHeight="1">
      <c r="A2701" t="s">
        <v>53</v>
      </c>
      <c r="B2701" t="s">
        <v>18</v>
      </c>
      <c r="C2701" t="s">
        <v>4905</v>
      </c>
      <c r="D2701" t="s">
        <v>2785</v>
      </c>
      <c r="E2701">
        <v>79064.6267216916</v>
      </c>
      <c r="F2701">
        <v>27124.1125277044</v>
      </c>
      <c r="G2701">
        <v>22028.5460501197</v>
      </c>
      <c r="H2701">
        <v>16579.2081479914</v>
      </c>
      <c r="I2701">
        <v>128217.29</v>
      </c>
      <c r="J2701">
        <v>111638.08</v>
      </c>
      <c r="K2701" s="1"/>
      <c r="L2701" s="1"/>
      <c r="M2701" s="1"/>
      <c r="N2701" s="1"/>
    </row>
    <row r="2702" ht="15.75" customHeight="1">
      <c r="A2702" t="s">
        <v>36</v>
      </c>
      <c r="B2702" t="s">
        <v>18</v>
      </c>
      <c r="C2702" t="s">
        <v>4905</v>
      </c>
      <c r="D2702" t="s">
        <v>2786</v>
      </c>
      <c r="E2702">
        <v>79075.5096915978</v>
      </c>
      <c r="F2702">
        <v>27128.7272460318</v>
      </c>
      <c r="G2702">
        <v>22036.2260535492</v>
      </c>
      <c r="H2702">
        <v>16582.6056986787</v>
      </c>
      <c r="I2702">
        <v>128240.46</v>
      </c>
      <c r="J2702">
        <v>111657.85</v>
      </c>
      <c r="K2702" s="1"/>
      <c r="L2702" s="1"/>
      <c r="M2702" s="1"/>
      <c r="N2702" s="1"/>
    </row>
    <row r="2703" ht="15.75" customHeight="1">
      <c r="A2703" t="s">
        <v>29</v>
      </c>
      <c r="B2703" t="s">
        <v>37</v>
      </c>
      <c r="C2703" t="s">
        <v>4907</v>
      </c>
      <c r="D2703" t="s">
        <v>2787</v>
      </c>
      <c r="E2703">
        <v>79086.392661504</v>
      </c>
      <c r="F2703">
        <v>27133.3419643592</v>
      </c>
      <c r="G2703">
        <v>22043.9060569787</v>
      </c>
      <c r="H2703">
        <v>16586.003249366</v>
      </c>
      <c r="I2703">
        <v>128263.64</v>
      </c>
      <c r="J2703">
        <v>111677.64</v>
      </c>
      <c r="K2703" s="1"/>
      <c r="L2703" s="1"/>
      <c r="M2703" s="1"/>
      <c r="N2703" s="1"/>
    </row>
    <row r="2704" ht="15.75" customHeight="1">
      <c r="A2704" t="s">
        <v>36</v>
      </c>
      <c r="B2704" t="s">
        <v>54</v>
      </c>
      <c r="C2704" t="s">
        <v>4907</v>
      </c>
      <c r="D2704" t="s">
        <v>2788</v>
      </c>
      <c r="E2704">
        <v>79097.2756314102</v>
      </c>
      <c r="F2704">
        <v>27137.9566826866</v>
      </c>
      <c r="G2704">
        <v>22051.5860604082</v>
      </c>
      <c r="H2704">
        <v>16589.4008000533</v>
      </c>
      <c r="I2704">
        <v>128286.82</v>
      </c>
      <c r="J2704">
        <v>111697.42</v>
      </c>
      <c r="K2704" s="1"/>
      <c r="L2704" s="1"/>
      <c r="M2704" s="1"/>
      <c r="N2704" s="1"/>
    </row>
    <row r="2705" ht="15.75" customHeight="1">
      <c r="A2705" t="s">
        <v>53</v>
      </c>
      <c r="B2705" t="s">
        <v>26</v>
      </c>
      <c r="C2705" t="s">
        <v>4905</v>
      </c>
      <c r="D2705" t="s">
        <v>2789</v>
      </c>
      <c r="E2705">
        <v>79108.1586013164</v>
      </c>
      <c r="F2705">
        <v>27142.571401014</v>
      </c>
      <c r="G2705">
        <v>22059.2660638377</v>
      </c>
      <c r="H2705">
        <v>16592.7983507406</v>
      </c>
      <c r="I2705">
        <v>128310.0</v>
      </c>
      <c r="J2705">
        <v>111717.2</v>
      </c>
      <c r="K2705" s="1"/>
      <c r="L2705" s="1"/>
      <c r="M2705" s="1"/>
      <c r="N2705" s="1"/>
    </row>
    <row r="2706" ht="15.75" customHeight="1">
      <c r="A2706" t="s">
        <v>53</v>
      </c>
      <c r="B2706" t="s">
        <v>14</v>
      </c>
      <c r="C2706" t="s">
        <v>4917</v>
      </c>
      <c r="D2706" t="s">
        <v>2790</v>
      </c>
      <c r="E2706">
        <v>79119.0415712226</v>
      </c>
      <c r="F2706">
        <v>27147.1861193415</v>
      </c>
      <c r="G2706">
        <v>22066.9460672672</v>
      </c>
      <c r="H2706">
        <v>16596.1959014279</v>
      </c>
      <c r="I2706">
        <v>128333.17</v>
      </c>
      <c r="J2706">
        <v>111736.97</v>
      </c>
      <c r="K2706" s="1"/>
      <c r="L2706" s="1"/>
      <c r="M2706" s="1"/>
      <c r="N2706" s="1"/>
    </row>
    <row r="2707" ht="15.75" customHeight="1">
      <c r="A2707" t="s">
        <v>25</v>
      </c>
      <c r="B2707" t="s">
        <v>26</v>
      </c>
      <c r="C2707" t="s">
        <v>4915</v>
      </c>
      <c r="D2707" t="s">
        <v>2791</v>
      </c>
      <c r="E2707">
        <v>79129.9245411288</v>
      </c>
      <c r="F2707">
        <v>27151.8008376689</v>
      </c>
      <c r="G2707">
        <v>22074.6260706967</v>
      </c>
      <c r="H2707">
        <v>16599.5934521152</v>
      </c>
      <c r="I2707">
        <v>128356.35</v>
      </c>
      <c r="J2707">
        <v>111756.76</v>
      </c>
      <c r="K2707" s="1"/>
      <c r="L2707" s="1"/>
      <c r="M2707" s="1"/>
      <c r="N2707" s="1"/>
    </row>
    <row r="2708" ht="15.75" customHeight="1">
      <c r="A2708" t="s">
        <v>51</v>
      </c>
      <c r="B2708" t="s">
        <v>14</v>
      </c>
      <c r="C2708" t="s">
        <v>4910</v>
      </c>
      <c r="D2708" t="s">
        <v>2792</v>
      </c>
      <c r="E2708">
        <v>79140.807511035</v>
      </c>
      <c r="F2708">
        <v>27156.4155559963</v>
      </c>
      <c r="G2708">
        <v>22082.3060741262</v>
      </c>
      <c r="H2708">
        <v>16602.9910028024</v>
      </c>
      <c r="I2708">
        <v>128379.53</v>
      </c>
      <c r="J2708">
        <v>111776.54</v>
      </c>
      <c r="K2708" s="1"/>
      <c r="L2708" s="1"/>
      <c r="M2708" s="1"/>
      <c r="N2708" s="1"/>
    </row>
    <row r="2709" ht="15.75" customHeight="1">
      <c r="A2709" t="s">
        <v>13</v>
      </c>
      <c r="B2709" t="s">
        <v>26</v>
      </c>
      <c r="C2709" t="s">
        <v>4911</v>
      </c>
      <c r="D2709" t="s">
        <v>2793</v>
      </c>
      <c r="E2709">
        <v>79151.6904809412</v>
      </c>
      <c r="F2709">
        <v>27161.0302743237</v>
      </c>
      <c r="G2709">
        <v>22089.9860775557</v>
      </c>
      <c r="H2709">
        <v>16606.3885534897</v>
      </c>
      <c r="I2709">
        <v>128402.71</v>
      </c>
      <c r="J2709">
        <v>111796.32</v>
      </c>
      <c r="K2709" s="1"/>
      <c r="L2709" s="1"/>
      <c r="M2709" s="1"/>
      <c r="N2709" s="1"/>
    </row>
    <row r="2710" ht="15.75" customHeight="1">
      <c r="A2710" t="s">
        <v>53</v>
      </c>
      <c r="B2710" t="s">
        <v>30</v>
      </c>
      <c r="C2710" t="s">
        <v>4910</v>
      </c>
      <c r="D2710" t="s">
        <v>2794</v>
      </c>
      <c r="E2710">
        <v>79162.5734508473</v>
      </c>
      <c r="F2710">
        <v>27165.6449926512</v>
      </c>
      <c r="G2710">
        <v>22097.6660809852</v>
      </c>
      <c r="H2710">
        <v>16609.786104177</v>
      </c>
      <c r="I2710">
        <v>128425.88</v>
      </c>
      <c r="J2710">
        <v>111816.09</v>
      </c>
      <c r="K2710" s="1"/>
      <c r="L2710" s="1"/>
      <c r="M2710" s="1"/>
      <c r="N2710" s="1"/>
    </row>
    <row r="2711" ht="15.75" customHeight="1">
      <c r="A2711" t="s">
        <v>17</v>
      </c>
      <c r="B2711" t="s">
        <v>18</v>
      </c>
      <c r="C2711" t="s">
        <v>4913</v>
      </c>
      <c r="D2711" t="s">
        <v>2795</v>
      </c>
      <c r="E2711">
        <v>79173.4564207535</v>
      </c>
      <c r="F2711">
        <v>27170.2597109786</v>
      </c>
      <c r="G2711">
        <v>22105.3460844147</v>
      </c>
      <c r="H2711">
        <v>16613.1836548643</v>
      </c>
      <c r="I2711">
        <v>128449.06</v>
      </c>
      <c r="J2711">
        <v>111835.88</v>
      </c>
      <c r="K2711" s="1"/>
      <c r="L2711" s="1"/>
      <c r="M2711" s="1"/>
      <c r="N2711" s="1"/>
    </row>
    <row r="2712" ht="15.75" customHeight="1">
      <c r="A2712" t="s">
        <v>17</v>
      </c>
      <c r="B2712" t="s">
        <v>37</v>
      </c>
      <c r="C2712" t="s">
        <v>4909</v>
      </c>
      <c r="D2712" t="s">
        <v>2796</v>
      </c>
      <c r="E2712">
        <v>79184.3393906597</v>
      </c>
      <c r="F2712">
        <v>27174.874429306</v>
      </c>
      <c r="G2712">
        <v>22113.0260878441</v>
      </c>
      <c r="H2712">
        <v>16616.5812055516</v>
      </c>
      <c r="I2712">
        <v>128472.24</v>
      </c>
      <c r="J2712">
        <v>111855.66</v>
      </c>
      <c r="K2712" s="1"/>
      <c r="L2712" s="1"/>
      <c r="M2712" s="1"/>
      <c r="N2712" s="1"/>
    </row>
    <row r="2713" ht="15.75" customHeight="1">
      <c r="A2713" t="s">
        <v>25</v>
      </c>
      <c r="B2713" t="s">
        <v>30</v>
      </c>
      <c r="C2713" t="s">
        <v>4913</v>
      </c>
      <c r="D2713" t="s">
        <v>2797</v>
      </c>
      <c r="E2713">
        <v>79195.2223605659</v>
      </c>
      <c r="F2713">
        <v>27179.4891476334</v>
      </c>
      <c r="G2713">
        <v>22120.7060912736</v>
      </c>
      <c r="H2713">
        <v>16619.9787562389</v>
      </c>
      <c r="I2713">
        <v>128495.42</v>
      </c>
      <c r="J2713">
        <v>111875.44</v>
      </c>
      <c r="K2713" s="1"/>
      <c r="L2713" s="1"/>
      <c r="M2713" s="1"/>
      <c r="N2713" s="1"/>
    </row>
    <row r="2714" ht="15.75" customHeight="1">
      <c r="A2714" t="s">
        <v>36</v>
      </c>
      <c r="B2714" t="s">
        <v>18</v>
      </c>
      <c r="C2714" t="s">
        <v>4914</v>
      </c>
      <c r="D2714" t="s">
        <v>2798</v>
      </c>
      <c r="E2714">
        <v>79206.1053304721</v>
      </c>
      <c r="F2714">
        <v>27184.1038659608</v>
      </c>
      <c r="G2714">
        <v>22128.3860947031</v>
      </c>
      <c r="H2714">
        <v>16623.3763069262</v>
      </c>
      <c r="I2714">
        <v>128518.6</v>
      </c>
      <c r="J2714">
        <v>111895.22</v>
      </c>
      <c r="K2714" s="1"/>
      <c r="L2714" s="1"/>
      <c r="M2714" s="1"/>
      <c r="N2714" s="1"/>
    </row>
    <row r="2715" ht="15.75" customHeight="1">
      <c r="A2715" t="s">
        <v>13</v>
      </c>
      <c r="B2715" t="s">
        <v>30</v>
      </c>
      <c r="C2715" t="s">
        <v>4909</v>
      </c>
      <c r="D2715" t="s">
        <v>2799</v>
      </c>
      <c r="E2715">
        <v>79216.9883003783</v>
      </c>
      <c r="F2715">
        <v>27188.7185842883</v>
      </c>
      <c r="G2715">
        <v>22136.0660981326</v>
      </c>
      <c r="H2715">
        <v>16626.7738576134</v>
      </c>
      <c r="I2715">
        <v>128541.77</v>
      </c>
      <c r="J2715">
        <v>111915.0</v>
      </c>
      <c r="K2715" s="1"/>
      <c r="L2715" s="1"/>
      <c r="M2715" s="1"/>
      <c r="N2715" s="1"/>
    </row>
    <row r="2716" ht="15.75" customHeight="1">
      <c r="A2716" t="s">
        <v>53</v>
      </c>
      <c r="B2716" t="s">
        <v>14</v>
      </c>
      <c r="C2716" t="s">
        <v>4916</v>
      </c>
      <c r="D2716" t="s">
        <v>2800</v>
      </c>
      <c r="E2716">
        <v>79227.8712702845</v>
      </c>
      <c r="F2716">
        <v>27193.3333026157</v>
      </c>
      <c r="G2716">
        <v>22143.7461015621</v>
      </c>
      <c r="H2716">
        <v>16630.1714083007</v>
      </c>
      <c r="I2716">
        <v>128564.95</v>
      </c>
      <c r="J2716">
        <v>111934.78</v>
      </c>
      <c r="K2716" s="1"/>
      <c r="L2716" s="1"/>
      <c r="M2716" s="1"/>
      <c r="N2716" s="1"/>
    </row>
    <row r="2717" ht="15.75" customHeight="1">
      <c r="A2717" t="s">
        <v>25</v>
      </c>
      <c r="B2717" t="s">
        <v>37</v>
      </c>
      <c r="C2717" t="s">
        <v>4915</v>
      </c>
      <c r="D2717" t="s">
        <v>2801</v>
      </c>
      <c r="E2717">
        <v>79238.7542401907</v>
      </c>
      <c r="F2717">
        <v>27197.9480209431</v>
      </c>
      <c r="G2717">
        <v>22151.4261049916</v>
      </c>
      <c r="H2717">
        <v>16633.568958988</v>
      </c>
      <c r="I2717">
        <v>128588.13</v>
      </c>
      <c r="J2717">
        <v>111954.56</v>
      </c>
      <c r="K2717" s="1"/>
      <c r="L2717" s="1"/>
      <c r="M2717" s="1"/>
      <c r="N2717" s="1"/>
    </row>
    <row r="2718" ht="15.75" customHeight="1">
      <c r="A2718" t="s">
        <v>53</v>
      </c>
      <c r="B2718" t="s">
        <v>30</v>
      </c>
      <c r="C2718" t="s">
        <v>4908</v>
      </c>
      <c r="D2718" t="s">
        <v>2802</v>
      </c>
      <c r="E2718">
        <v>79249.6372100969</v>
      </c>
      <c r="F2718">
        <v>27202.5627392705</v>
      </c>
      <c r="G2718">
        <v>22159.1061084211</v>
      </c>
      <c r="H2718">
        <v>16636.9665096753</v>
      </c>
      <c r="I2718">
        <v>128611.31</v>
      </c>
      <c r="J2718">
        <v>111974.34</v>
      </c>
      <c r="K2718" s="1"/>
      <c r="L2718" s="1"/>
      <c r="M2718" s="1"/>
      <c r="N2718" s="1"/>
    </row>
    <row r="2719" ht="15.75" customHeight="1">
      <c r="A2719" t="s">
        <v>36</v>
      </c>
      <c r="B2719" t="s">
        <v>26</v>
      </c>
      <c r="C2719" t="s">
        <v>4909</v>
      </c>
      <c r="D2719" t="s">
        <v>2803</v>
      </c>
      <c r="E2719">
        <v>79260.5201800031</v>
      </c>
      <c r="F2719">
        <v>27207.177457598</v>
      </c>
      <c r="G2719">
        <v>22166.7861118506</v>
      </c>
      <c r="H2719">
        <v>16640.3640603626</v>
      </c>
      <c r="I2719">
        <v>128634.48</v>
      </c>
      <c r="J2719">
        <v>111994.12</v>
      </c>
      <c r="K2719" s="1"/>
      <c r="L2719" s="1"/>
      <c r="M2719" s="1"/>
      <c r="N2719" s="1"/>
    </row>
    <row r="2720" ht="15.75" customHeight="1">
      <c r="A2720" t="s">
        <v>53</v>
      </c>
      <c r="B2720" t="s">
        <v>26</v>
      </c>
      <c r="C2720" t="s">
        <v>4917</v>
      </c>
      <c r="D2720" t="s">
        <v>2804</v>
      </c>
      <c r="E2720">
        <v>79271.4031499093</v>
      </c>
      <c r="F2720">
        <v>27211.7921759254</v>
      </c>
      <c r="G2720">
        <v>22174.4661152801</v>
      </c>
      <c r="H2720">
        <v>16643.7616110499</v>
      </c>
      <c r="I2720">
        <v>128657.66</v>
      </c>
      <c r="J2720">
        <v>112013.9</v>
      </c>
      <c r="K2720" s="1"/>
      <c r="L2720" s="1"/>
      <c r="M2720" s="1"/>
      <c r="N2720" s="1"/>
    </row>
    <row r="2721" ht="15.75" customHeight="1">
      <c r="A2721" t="s">
        <v>53</v>
      </c>
      <c r="B2721" t="s">
        <v>26</v>
      </c>
      <c r="C2721" t="s">
        <v>4905</v>
      </c>
      <c r="D2721" t="s">
        <v>2805</v>
      </c>
      <c r="E2721">
        <v>79282.2861198155</v>
      </c>
      <c r="F2721">
        <v>27216.4068942528</v>
      </c>
      <c r="G2721">
        <v>22182.1461187096</v>
      </c>
      <c r="H2721">
        <v>16647.1591617372</v>
      </c>
      <c r="I2721">
        <v>128680.84</v>
      </c>
      <c r="J2721">
        <v>112033.68</v>
      </c>
      <c r="K2721" s="1"/>
      <c r="L2721" s="1"/>
      <c r="M2721" s="1"/>
      <c r="N2721" s="1"/>
    </row>
    <row r="2722" ht="15.75" customHeight="1">
      <c r="A2722" t="s">
        <v>29</v>
      </c>
      <c r="B2722" t="s">
        <v>30</v>
      </c>
      <c r="C2722" t="s">
        <v>4913</v>
      </c>
      <c r="D2722" t="s">
        <v>2806</v>
      </c>
      <c r="E2722">
        <v>79293.1690897217</v>
      </c>
      <c r="F2722">
        <v>27221.0216125802</v>
      </c>
      <c r="G2722">
        <v>22189.8261221391</v>
      </c>
      <c r="H2722">
        <v>16650.5567124245</v>
      </c>
      <c r="I2722">
        <v>128704.02</v>
      </c>
      <c r="J2722">
        <v>112053.46</v>
      </c>
      <c r="K2722" s="1"/>
      <c r="L2722" s="1"/>
      <c r="M2722" s="1"/>
      <c r="N2722" s="1"/>
    </row>
    <row r="2723" ht="15.75" customHeight="1">
      <c r="A2723" t="s">
        <v>53</v>
      </c>
      <c r="B2723" t="s">
        <v>26</v>
      </c>
      <c r="C2723" t="s">
        <v>4916</v>
      </c>
      <c r="D2723" t="s">
        <v>2807</v>
      </c>
      <c r="E2723">
        <v>79304.0520596279</v>
      </c>
      <c r="F2723">
        <v>27225.6363309076</v>
      </c>
      <c r="G2723">
        <v>22197.5061255686</v>
      </c>
      <c r="H2723">
        <v>16653.9542631117</v>
      </c>
      <c r="I2723">
        <v>128727.19</v>
      </c>
      <c r="J2723">
        <v>112073.24</v>
      </c>
      <c r="K2723" s="1"/>
      <c r="L2723" s="1"/>
      <c r="M2723" s="1"/>
      <c r="N2723" s="1"/>
    </row>
    <row r="2724" ht="15.75" customHeight="1">
      <c r="A2724" t="s">
        <v>13</v>
      </c>
      <c r="B2724" t="s">
        <v>14</v>
      </c>
      <c r="C2724" t="s">
        <v>4914</v>
      </c>
      <c r="D2724" t="s">
        <v>2808</v>
      </c>
      <c r="E2724">
        <v>79314.9350295341</v>
      </c>
      <c r="F2724">
        <v>27230.2510492351</v>
      </c>
      <c r="G2724">
        <v>22205.1861289981</v>
      </c>
      <c r="H2724">
        <v>16657.351813799</v>
      </c>
      <c r="I2724">
        <v>128750.37</v>
      </c>
      <c r="J2724">
        <v>112093.02</v>
      </c>
      <c r="K2724" s="1"/>
      <c r="L2724" s="1"/>
      <c r="M2724" s="1"/>
      <c r="N2724" s="1"/>
    </row>
    <row r="2725" ht="15.75" customHeight="1">
      <c r="A2725" t="s">
        <v>51</v>
      </c>
      <c r="B2725" t="s">
        <v>30</v>
      </c>
      <c r="C2725" t="s">
        <v>4917</v>
      </c>
      <c r="D2725" t="s">
        <v>2809</v>
      </c>
      <c r="E2725">
        <v>79325.8179994403</v>
      </c>
      <c r="F2725">
        <v>27234.8657675625</v>
      </c>
      <c r="G2725">
        <v>22212.8661324276</v>
      </c>
      <c r="H2725">
        <v>16660.7493644863</v>
      </c>
      <c r="I2725">
        <v>128773.55</v>
      </c>
      <c r="J2725">
        <v>112112.8</v>
      </c>
      <c r="K2725" s="1"/>
      <c r="L2725" s="1"/>
      <c r="M2725" s="1"/>
      <c r="N2725" s="1"/>
    </row>
    <row r="2726" ht="15.75" customHeight="1">
      <c r="A2726" t="s">
        <v>36</v>
      </c>
      <c r="B2726" t="s">
        <v>33</v>
      </c>
      <c r="C2726" t="s">
        <v>4908</v>
      </c>
      <c r="D2726" t="s">
        <v>2810</v>
      </c>
      <c r="E2726">
        <v>79336.7009693464</v>
      </c>
      <c r="F2726">
        <v>27239.4804858899</v>
      </c>
      <c r="G2726">
        <v>22220.5461358571</v>
      </c>
      <c r="H2726">
        <v>16664.1469151736</v>
      </c>
      <c r="I2726">
        <v>128796.73</v>
      </c>
      <c r="J2726">
        <v>112132.58</v>
      </c>
      <c r="K2726" s="1"/>
      <c r="L2726" s="1"/>
      <c r="M2726" s="1"/>
      <c r="N2726" s="1"/>
    </row>
    <row r="2727" ht="15.75" customHeight="1">
      <c r="A2727" t="s">
        <v>36</v>
      </c>
      <c r="B2727" t="s">
        <v>26</v>
      </c>
      <c r="C2727" t="s">
        <v>4917</v>
      </c>
      <c r="D2727" t="s">
        <v>2811</v>
      </c>
      <c r="E2727">
        <v>79347.5839392526</v>
      </c>
      <c r="F2727">
        <v>27244.0952042173</v>
      </c>
      <c r="G2727">
        <v>22228.2261392866</v>
      </c>
      <c r="H2727">
        <v>16667.5444658609</v>
      </c>
      <c r="I2727">
        <v>128819.91</v>
      </c>
      <c r="J2727">
        <v>112152.37</v>
      </c>
      <c r="K2727" s="1"/>
      <c r="L2727" s="1"/>
      <c r="M2727" s="1"/>
      <c r="N2727" s="1"/>
    </row>
    <row r="2728" ht="15.75" customHeight="1">
      <c r="A2728" t="s">
        <v>53</v>
      </c>
      <c r="B2728" t="s">
        <v>33</v>
      </c>
      <c r="C2728" t="s">
        <v>4910</v>
      </c>
      <c r="D2728" t="s">
        <v>2812</v>
      </c>
      <c r="E2728">
        <v>79358.4669091588</v>
      </c>
      <c r="F2728">
        <v>27248.7099225448</v>
      </c>
      <c r="G2728">
        <v>22235.9061427161</v>
      </c>
      <c r="H2728">
        <v>14765.30618879032</v>
      </c>
      <c r="I2728">
        <v>128843.08</v>
      </c>
      <c r="J2728">
        <v>114077.77</v>
      </c>
      <c r="K2728" s="1"/>
      <c r="L2728" s="1"/>
      <c r="M2728" s="1"/>
      <c r="N2728" s="1"/>
    </row>
    <row r="2729" ht="15.75" customHeight="1">
      <c r="A2729" t="s">
        <v>13</v>
      </c>
      <c r="B2729" t="s">
        <v>14</v>
      </c>
      <c r="C2729" t="s">
        <v>4913</v>
      </c>
      <c r="D2729" t="s">
        <v>2813</v>
      </c>
      <c r="E2729">
        <v>79369.349879065</v>
      </c>
      <c r="F2729">
        <v>27253.3246408722</v>
      </c>
      <c r="G2729">
        <v>22243.5861461456</v>
      </c>
      <c r="H2729">
        <v>16674.3395672355</v>
      </c>
      <c r="I2729">
        <v>128866.26</v>
      </c>
      <c r="J2729">
        <v>112191.92</v>
      </c>
      <c r="K2729" s="1"/>
      <c r="L2729" s="1"/>
      <c r="M2729" s="1"/>
      <c r="N2729" s="1"/>
    </row>
    <row r="2730" ht="15.75" customHeight="1">
      <c r="A2730" t="s">
        <v>51</v>
      </c>
      <c r="B2730" t="s">
        <v>18</v>
      </c>
      <c r="C2730" t="s">
        <v>4912</v>
      </c>
      <c r="D2730" t="s">
        <v>2814</v>
      </c>
      <c r="E2730">
        <v>79380.2328489712</v>
      </c>
      <c r="F2730">
        <v>27257.9393591996</v>
      </c>
      <c r="G2730">
        <v>22251.2661495751</v>
      </c>
      <c r="H2730">
        <v>16677.7371179228</v>
      </c>
      <c r="I2730">
        <v>128889.44</v>
      </c>
      <c r="J2730">
        <v>112211.7</v>
      </c>
      <c r="K2730" s="1"/>
      <c r="L2730" s="1"/>
      <c r="M2730" s="1"/>
      <c r="N2730" s="1"/>
    </row>
    <row r="2731" ht="15.75" customHeight="1">
      <c r="A2731" t="s">
        <v>36</v>
      </c>
      <c r="B2731" t="s">
        <v>26</v>
      </c>
      <c r="C2731" t="s">
        <v>4907</v>
      </c>
      <c r="D2731" t="s">
        <v>2815</v>
      </c>
      <c r="E2731">
        <v>79391.1158188774</v>
      </c>
      <c r="F2731">
        <v>27262.554077527</v>
      </c>
      <c r="G2731">
        <v>22258.9461530046</v>
      </c>
      <c r="H2731">
        <v>16681.13466861</v>
      </c>
      <c r="I2731">
        <v>128912.62</v>
      </c>
      <c r="J2731">
        <v>112231.49</v>
      </c>
      <c r="K2731" s="1"/>
      <c r="L2731" s="1"/>
      <c r="M2731" s="1"/>
      <c r="N2731" s="1"/>
    </row>
    <row r="2732" ht="15.75" customHeight="1">
      <c r="A2732" t="s">
        <v>36</v>
      </c>
      <c r="B2732" t="s">
        <v>14</v>
      </c>
      <c r="C2732" t="s">
        <v>4908</v>
      </c>
      <c r="D2732" t="s">
        <v>2816</v>
      </c>
      <c r="E2732">
        <v>79401.9987887836</v>
      </c>
      <c r="F2732">
        <v>27267.1687958544</v>
      </c>
      <c r="G2732">
        <v>22266.6261564341</v>
      </c>
      <c r="H2732">
        <v>16684.5322192973</v>
      </c>
      <c r="I2732">
        <v>128935.79</v>
      </c>
      <c r="J2732">
        <v>112251.26</v>
      </c>
      <c r="K2732" s="1"/>
      <c r="L2732" s="1"/>
      <c r="M2732" s="1"/>
      <c r="N2732" s="1"/>
    </row>
    <row r="2733" ht="15.75" customHeight="1">
      <c r="A2733" t="s">
        <v>53</v>
      </c>
      <c r="B2733" t="s">
        <v>26</v>
      </c>
      <c r="C2733" t="s">
        <v>4910</v>
      </c>
      <c r="D2733" t="s">
        <v>2817</v>
      </c>
      <c r="E2733">
        <v>79412.8817586898</v>
      </c>
      <c r="F2733">
        <v>27271.7835141819</v>
      </c>
      <c r="G2733">
        <v>22274.3061598636</v>
      </c>
      <c r="H2733">
        <v>16687.9297699846</v>
      </c>
      <c r="I2733">
        <v>128958.97</v>
      </c>
      <c r="J2733">
        <v>112271.04</v>
      </c>
      <c r="K2733" s="1"/>
      <c r="L2733" s="1"/>
      <c r="M2733" s="1"/>
      <c r="N2733" s="1"/>
    </row>
    <row r="2734" ht="15.75" customHeight="1">
      <c r="A2734" t="s">
        <v>29</v>
      </c>
      <c r="B2734" t="s">
        <v>54</v>
      </c>
      <c r="C2734" t="s">
        <v>4910</v>
      </c>
      <c r="D2734" t="s">
        <v>2818</v>
      </c>
      <c r="E2734">
        <v>79423.764728596</v>
      </c>
      <c r="F2734">
        <v>27276.3982325093</v>
      </c>
      <c r="G2734">
        <v>22281.9861632931</v>
      </c>
      <c r="H2734">
        <v>16691.3273206719</v>
      </c>
      <c r="I2734">
        <v>128982.15</v>
      </c>
      <c r="J2734">
        <v>112290.82</v>
      </c>
      <c r="K2734" s="1"/>
      <c r="L2734" s="1"/>
      <c r="M2734" s="1"/>
      <c r="N2734" s="1"/>
    </row>
    <row r="2735" ht="15.75" customHeight="1">
      <c r="A2735" t="s">
        <v>29</v>
      </c>
      <c r="B2735" t="s">
        <v>14</v>
      </c>
      <c r="C2735" t="s">
        <v>4907</v>
      </c>
      <c r="D2735" t="s">
        <v>2819</v>
      </c>
      <c r="E2735">
        <v>79445.5306684084</v>
      </c>
      <c r="F2735">
        <v>27285.6276691641</v>
      </c>
      <c r="G2735">
        <v>22297.3461701521</v>
      </c>
      <c r="H2735">
        <v>16698.1224220465</v>
      </c>
      <c r="I2735">
        <v>129028.5</v>
      </c>
      <c r="J2735">
        <v>112330.38</v>
      </c>
      <c r="K2735" s="1"/>
      <c r="L2735" s="1"/>
      <c r="M2735" s="1"/>
      <c r="N2735" s="1"/>
    </row>
    <row r="2736" ht="15.75" customHeight="1">
      <c r="A2736" t="s">
        <v>36</v>
      </c>
      <c r="B2736" t="s">
        <v>26</v>
      </c>
      <c r="C2736" t="s">
        <v>4914</v>
      </c>
      <c r="D2736" t="s">
        <v>2820</v>
      </c>
      <c r="E2736">
        <v>79456.4136383146</v>
      </c>
      <c r="F2736">
        <v>27290.2423874916</v>
      </c>
      <c r="G2736">
        <v>22305.0261735816</v>
      </c>
      <c r="H2736">
        <v>16701.5199727338</v>
      </c>
      <c r="I2736">
        <v>129051.68</v>
      </c>
      <c r="J2736">
        <v>112350.16</v>
      </c>
      <c r="K2736" s="1"/>
      <c r="L2736" s="1"/>
      <c r="M2736" s="1"/>
      <c r="N2736" s="1"/>
    </row>
    <row r="2737" ht="15.75" customHeight="1">
      <c r="A2737" t="s">
        <v>36</v>
      </c>
      <c r="B2737" t="s">
        <v>54</v>
      </c>
      <c r="C2737" t="s">
        <v>4911</v>
      </c>
      <c r="D2737" t="s">
        <v>2821</v>
      </c>
      <c r="E2737">
        <v>79467.2966082208</v>
      </c>
      <c r="F2737">
        <v>27294.857105819</v>
      </c>
      <c r="G2737">
        <v>22312.7061770111</v>
      </c>
      <c r="H2737">
        <v>16704.917523421</v>
      </c>
      <c r="I2737">
        <v>129074.86</v>
      </c>
      <c r="J2737">
        <v>112369.94</v>
      </c>
      <c r="K2737" s="1"/>
      <c r="L2737" s="1"/>
      <c r="M2737" s="1"/>
      <c r="N2737" s="1"/>
    </row>
    <row r="2738" ht="15.75" customHeight="1">
      <c r="A2738" t="s">
        <v>36</v>
      </c>
      <c r="B2738" t="s">
        <v>18</v>
      </c>
      <c r="C2738" t="s">
        <v>4911</v>
      </c>
      <c r="D2738" t="s">
        <v>2822</v>
      </c>
      <c r="E2738">
        <v>79478.179578127</v>
      </c>
      <c r="F2738">
        <v>27299.4718241464</v>
      </c>
      <c r="G2738">
        <v>22320.3861804406</v>
      </c>
      <c r="H2738">
        <v>16708.3150741083</v>
      </c>
      <c r="I2738">
        <v>129098.04</v>
      </c>
      <c r="J2738">
        <v>112389.72</v>
      </c>
      <c r="K2738" s="1"/>
      <c r="L2738" s="1"/>
      <c r="M2738" s="1"/>
      <c r="N2738" s="1"/>
    </row>
    <row r="2739" ht="15.75" customHeight="1">
      <c r="A2739" t="s">
        <v>29</v>
      </c>
      <c r="B2739" t="s">
        <v>33</v>
      </c>
      <c r="C2739" t="s">
        <v>4916</v>
      </c>
      <c r="D2739" t="s">
        <v>2823</v>
      </c>
      <c r="E2739">
        <v>79489.0625480332</v>
      </c>
      <c r="F2739">
        <v>27304.0865424738</v>
      </c>
      <c r="G2739">
        <v>22328.0661838701</v>
      </c>
      <c r="H2739">
        <v>16711.7126247956</v>
      </c>
      <c r="I2739">
        <v>129121.22</v>
      </c>
      <c r="J2739">
        <v>112409.51</v>
      </c>
      <c r="K2739" s="1"/>
      <c r="L2739" s="1"/>
      <c r="M2739" s="1"/>
      <c r="N2739" s="1"/>
    </row>
    <row r="2740" ht="15.75" customHeight="1">
      <c r="A2740" t="s">
        <v>29</v>
      </c>
      <c r="B2740" t="s">
        <v>33</v>
      </c>
      <c r="C2740" t="s">
        <v>4912</v>
      </c>
      <c r="D2740" t="s">
        <v>2824</v>
      </c>
      <c r="E2740">
        <v>79499.9455179393</v>
      </c>
      <c r="F2740">
        <v>27308.7012608012</v>
      </c>
      <c r="G2740">
        <v>22335.7461872996</v>
      </c>
      <c r="H2740">
        <v>16715.1101754829</v>
      </c>
      <c r="I2740">
        <v>129144.39</v>
      </c>
      <c r="J2740">
        <v>112429.28</v>
      </c>
      <c r="K2740" s="1"/>
      <c r="L2740" s="1"/>
      <c r="M2740" s="1"/>
      <c r="N2740" s="1"/>
    </row>
    <row r="2741" ht="15.75" customHeight="1">
      <c r="A2741" t="s">
        <v>36</v>
      </c>
      <c r="B2741" t="s">
        <v>14</v>
      </c>
      <c r="C2741" t="s">
        <v>4915</v>
      </c>
      <c r="D2741" t="s">
        <v>2825</v>
      </c>
      <c r="E2741">
        <v>79510.8284878455</v>
      </c>
      <c r="F2741">
        <v>27313.3159791287</v>
      </c>
      <c r="G2741">
        <v>22343.4261907291</v>
      </c>
      <c r="H2741">
        <v>16718.5077261702</v>
      </c>
      <c r="I2741">
        <v>129167.57</v>
      </c>
      <c r="J2741">
        <v>112449.06</v>
      </c>
      <c r="K2741" s="1"/>
      <c r="L2741" s="1"/>
      <c r="M2741" s="1"/>
      <c r="N2741" s="1"/>
    </row>
    <row r="2742" ht="15.75" customHeight="1">
      <c r="A2742" t="s">
        <v>25</v>
      </c>
      <c r="B2742" t="s">
        <v>30</v>
      </c>
      <c r="C2742" t="s">
        <v>4910</v>
      </c>
      <c r="D2742" t="s">
        <v>2826</v>
      </c>
      <c r="E2742">
        <v>79521.7114577517</v>
      </c>
      <c r="F2742">
        <v>27317.9306974561</v>
      </c>
      <c r="G2742">
        <v>22351.1061941586</v>
      </c>
      <c r="H2742">
        <v>16721.9052768575</v>
      </c>
      <c r="I2742">
        <v>129190.75</v>
      </c>
      <c r="J2742">
        <v>112468.84</v>
      </c>
      <c r="K2742" s="1"/>
      <c r="L2742" s="1"/>
      <c r="M2742" s="1"/>
      <c r="N2742" s="1"/>
    </row>
    <row r="2743" ht="15.75" customHeight="1">
      <c r="A2743" t="s">
        <v>17</v>
      </c>
      <c r="B2743" t="s">
        <v>26</v>
      </c>
      <c r="C2743" t="s">
        <v>4917</v>
      </c>
      <c r="D2743" t="s">
        <v>2828</v>
      </c>
      <c r="E2743">
        <v>79532.5944276579</v>
      </c>
      <c r="F2743">
        <v>27322.5454157835</v>
      </c>
      <c r="G2743">
        <v>22358.7861975881</v>
      </c>
      <c r="H2743">
        <v>16725.3028275448</v>
      </c>
      <c r="I2743">
        <v>129213.93</v>
      </c>
      <c r="J2743">
        <v>112488.63</v>
      </c>
      <c r="K2743" s="1"/>
      <c r="L2743" s="1"/>
      <c r="M2743" s="1"/>
      <c r="N2743" s="1"/>
    </row>
    <row r="2744" ht="15.75" customHeight="1">
      <c r="A2744" t="s">
        <v>17</v>
      </c>
      <c r="B2744" t="s">
        <v>14</v>
      </c>
      <c r="C2744" t="s">
        <v>4905</v>
      </c>
      <c r="D2744" t="s">
        <v>2829</v>
      </c>
      <c r="E2744">
        <v>79543.4773975641</v>
      </c>
      <c r="F2744">
        <v>27327.1601341109</v>
      </c>
      <c r="G2744">
        <v>22366.4662010176</v>
      </c>
      <c r="H2744">
        <v>16728.7003782321</v>
      </c>
      <c r="I2744">
        <v>129237.1</v>
      </c>
      <c r="J2744">
        <v>112508.4</v>
      </c>
      <c r="K2744" s="1"/>
      <c r="L2744" s="1"/>
      <c r="M2744" s="1"/>
      <c r="N2744" s="1"/>
    </row>
    <row r="2745" ht="15.75" customHeight="1">
      <c r="A2745" t="s">
        <v>25</v>
      </c>
      <c r="B2745" t="s">
        <v>18</v>
      </c>
      <c r="C2745" t="s">
        <v>4916</v>
      </c>
      <c r="D2745" t="s">
        <v>2830</v>
      </c>
      <c r="E2745">
        <v>79554.3603674703</v>
      </c>
      <c r="F2745">
        <v>27331.7748524384</v>
      </c>
      <c r="G2745">
        <v>22374.1462044471</v>
      </c>
      <c r="H2745">
        <v>16732.0979289193</v>
      </c>
      <c r="I2745">
        <v>129260.28</v>
      </c>
      <c r="J2745">
        <v>112528.18</v>
      </c>
      <c r="K2745" s="1"/>
      <c r="L2745" s="1"/>
      <c r="M2745" s="1"/>
      <c r="N2745" s="1"/>
    </row>
    <row r="2746" ht="15.75" customHeight="1">
      <c r="A2746" t="s">
        <v>36</v>
      </c>
      <c r="B2746" t="s">
        <v>18</v>
      </c>
      <c r="C2746" t="s">
        <v>4915</v>
      </c>
      <c r="D2746" t="s">
        <v>2831</v>
      </c>
      <c r="E2746">
        <v>79565.2433373765</v>
      </c>
      <c r="F2746">
        <v>27336.3895707658</v>
      </c>
      <c r="G2746">
        <v>22381.8262078766</v>
      </c>
      <c r="H2746">
        <v>16735.4954796066</v>
      </c>
      <c r="I2746">
        <v>129283.46</v>
      </c>
      <c r="J2746">
        <v>112547.96</v>
      </c>
      <c r="K2746" s="1"/>
      <c r="L2746" s="1"/>
      <c r="M2746" s="1"/>
      <c r="N2746" s="1"/>
    </row>
    <row r="2747" ht="15.75" customHeight="1">
      <c r="A2747" t="s">
        <v>36</v>
      </c>
      <c r="B2747" t="s">
        <v>30</v>
      </c>
      <c r="C2747" t="s">
        <v>4916</v>
      </c>
      <c r="D2747" t="s">
        <v>2832</v>
      </c>
      <c r="E2747">
        <v>79576.1263072827</v>
      </c>
      <c r="F2747">
        <v>27341.0042890932</v>
      </c>
      <c r="G2747">
        <v>22389.506211306</v>
      </c>
      <c r="H2747">
        <v>16738.8930302939</v>
      </c>
      <c r="I2747">
        <v>129306.64</v>
      </c>
      <c r="J2747">
        <v>112567.75</v>
      </c>
      <c r="K2747" s="1"/>
      <c r="L2747" s="1"/>
      <c r="M2747" s="1"/>
      <c r="N2747" s="1"/>
    </row>
    <row r="2748" ht="15.75" customHeight="1">
      <c r="A2748" t="s">
        <v>36</v>
      </c>
      <c r="B2748" t="s">
        <v>54</v>
      </c>
      <c r="C2748" t="s">
        <v>4911</v>
      </c>
      <c r="D2748" t="s">
        <v>2833</v>
      </c>
      <c r="E2748">
        <v>79587.0092771889</v>
      </c>
      <c r="F2748">
        <v>27345.6190074206</v>
      </c>
      <c r="G2748">
        <v>22397.1862147355</v>
      </c>
      <c r="H2748">
        <v>16742.2905809812</v>
      </c>
      <c r="I2748">
        <v>129329.81</v>
      </c>
      <c r="J2748">
        <v>112587.52</v>
      </c>
      <c r="K2748" s="1"/>
      <c r="L2748" s="1"/>
      <c r="M2748" s="1"/>
      <c r="N2748" s="1"/>
    </row>
    <row r="2749" ht="15.75" customHeight="1">
      <c r="A2749" t="s">
        <v>17</v>
      </c>
      <c r="B2749" t="s">
        <v>37</v>
      </c>
      <c r="C2749" t="s">
        <v>4913</v>
      </c>
      <c r="D2749" t="s">
        <v>2834</v>
      </c>
      <c r="E2749">
        <v>79597.8922470951</v>
      </c>
      <c r="F2749">
        <v>27350.233725748</v>
      </c>
      <c r="G2749">
        <v>22404.866218165</v>
      </c>
      <c r="H2749">
        <v>16745.6881316685</v>
      </c>
      <c r="I2749">
        <v>129352.99</v>
      </c>
      <c r="J2749">
        <v>112607.3</v>
      </c>
      <c r="K2749" s="1"/>
      <c r="L2749" s="1"/>
      <c r="M2749" s="1"/>
      <c r="N2749" s="1"/>
    </row>
    <row r="2750" ht="15.75" customHeight="1">
      <c r="A2750" t="s">
        <v>13</v>
      </c>
      <c r="B2750" t="s">
        <v>30</v>
      </c>
      <c r="C2750" t="s">
        <v>4910</v>
      </c>
      <c r="D2750" t="s">
        <v>2835</v>
      </c>
      <c r="E2750">
        <v>79608.7752170013</v>
      </c>
      <c r="F2750">
        <v>27354.8484440755</v>
      </c>
      <c r="G2750">
        <v>22412.5462215945</v>
      </c>
      <c r="H2750">
        <v>16749.0856823558</v>
      </c>
      <c r="I2750">
        <v>129376.17</v>
      </c>
      <c r="J2750">
        <v>112627.08</v>
      </c>
      <c r="K2750" s="1"/>
      <c r="L2750" s="1"/>
      <c r="M2750" s="1"/>
      <c r="N2750" s="1"/>
    </row>
    <row r="2751" ht="15.75" customHeight="1">
      <c r="A2751" t="s">
        <v>13</v>
      </c>
      <c r="B2751" t="s">
        <v>33</v>
      </c>
      <c r="C2751" t="s">
        <v>4908</v>
      </c>
      <c r="D2751" t="s">
        <v>2836</v>
      </c>
      <c r="E2751">
        <v>79619.6581869075</v>
      </c>
      <c r="F2751">
        <v>27359.4631624029</v>
      </c>
      <c r="G2751">
        <v>22420.226225024</v>
      </c>
      <c r="H2751">
        <v>16752.4832330431</v>
      </c>
      <c r="I2751">
        <v>129399.35</v>
      </c>
      <c r="J2751">
        <v>112646.87</v>
      </c>
      <c r="K2751" s="1"/>
      <c r="L2751" s="1"/>
      <c r="M2751" s="1"/>
      <c r="N2751" s="1"/>
    </row>
    <row r="2752" ht="15.75" customHeight="1">
      <c r="A2752" t="s">
        <v>25</v>
      </c>
      <c r="B2752" t="s">
        <v>33</v>
      </c>
      <c r="C2752" t="s">
        <v>4915</v>
      </c>
      <c r="D2752" t="s">
        <v>2837</v>
      </c>
      <c r="E2752">
        <v>79630.5411568137</v>
      </c>
      <c r="F2752">
        <v>27364.0778807303</v>
      </c>
      <c r="G2752">
        <v>22427.9062284535</v>
      </c>
      <c r="H2752">
        <v>16755.8807837304</v>
      </c>
      <c r="I2752">
        <v>129422.53</v>
      </c>
      <c r="J2752">
        <v>112666.65</v>
      </c>
      <c r="K2752" s="1"/>
      <c r="L2752" s="1"/>
      <c r="M2752" s="1"/>
      <c r="N2752" s="1"/>
    </row>
    <row r="2753" ht="15.75" customHeight="1">
      <c r="A2753" t="s">
        <v>51</v>
      </c>
      <c r="B2753" t="s">
        <v>14</v>
      </c>
      <c r="C2753" t="s">
        <v>4909</v>
      </c>
      <c r="D2753" t="s">
        <v>2838</v>
      </c>
      <c r="E2753">
        <v>79641.4241267199</v>
      </c>
      <c r="F2753">
        <v>27368.6925990577</v>
      </c>
      <c r="G2753">
        <v>22435.586231883</v>
      </c>
      <c r="H2753">
        <v>16759.2783344176</v>
      </c>
      <c r="I2753">
        <v>129445.7</v>
      </c>
      <c r="J2753">
        <v>112686.42</v>
      </c>
      <c r="K2753" s="1"/>
      <c r="L2753" s="1"/>
      <c r="M2753" s="1"/>
      <c r="N2753" s="1"/>
    </row>
    <row r="2754" ht="15.75" customHeight="1">
      <c r="A2754" t="s">
        <v>36</v>
      </c>
      <c r="B2754" t="s">
        <v>33</v>
      </c>
      <c r="C2754" t="s">
        <v>4914</v>
      </c>
      <c r="D2754" t="s">
        <v>2839</v>
      </c>
      <c r="E2754">
        <v>79652.3070966261</v>
      </c>
      <c r="F2754">
        <v>27373.3073173852</v>
      </c>
      <c r="G2754">
        <v>22443.2662353125</v>
      </c>
      <c r="H2754">
        <v>16762.6758851049</v>
      </c>
      <c r="I2754">
        <v>129468.88</v>
      </c>
      <c r="J2754">
        <v>112706.2</v>
      </c>
      <c r="K2754" s="1"/>
      <c r="L2754" s="1"/>
      <c r="M2754" s="1"/>
      <c r="N2754" s="1"/>
    </row>
    <row r="2755" ht="15.75" customHeight="1">
      <c r="A2755" t="s">
        <v>51</v>
      </c>
      <c r="B2755" t="s">
        <v>37</v>
      </c>
      <c r="C2755" t="s">
        <v>4905</v>
      </c>
      <c r="D2755" t="s">
        <v>2840</v>
      </c>
      <c r="E2755">
        <v>79663.1900665322</v>
      </c>
      <c r="F2755">
        <v>27377.9220357126</v>
      </c>
      <c r="G2755">
        <v>22450.946238742</v>
      </c>
      <c r="H2755">
        <v>16766.0734357922</v>
      </c>
      <c r="I2755">
        <v>129492.06</v>
      </c>
      <c r="J2755">
        <v>112725.99</v>
      </c>
      <c r="K2755" s="1"/>
      <c r="L2755" s="1"/>
      <c r="M2755" s="1"/>
      <c r="N2755" s="1"/>
    </row>
    <row r="2756" ht="15.75" customHeight="1">
      <c r="A2756" t="s">
        <v>17</v>
      </c>
      <c r="B2756" t="s">
        <v>14</v>
      </c>
      <c r="C2756" t="s">
        <v>4909</v>
      </c>
      <c r="D2756" t="s">
        <v>2841</v>
      </c>
      <c r="E2756">
        <v>79674.0730364384</v>
      </c>
      <c r="F2756">
        <v>27382.53675404</v>
      </c>
      <c r="G2756">
        <v>22458.6262421715</v>
      </c>
      <c r="H2756">
        <v>16769.4709864795</v>
      </c>
      <c r="I2756">
        <v>129515.24</v>
      </c>
      <c r="J2756">
        <v>112745.77</v>
      </c>
      <c r="K2756" s="1"/>
      <c r="L2756" s="1"/>
      <c r="M2756" s="1"/>
      <c r="N2756" s="1"/>
    </row>
    <row r="2757" ht="15.75" customHeight="1">
      <c r="A2757" t="s">
        <v>25</v>
      </c>
      <c r="B2757" t="s">
        <v>26</v>
      </c>
      <c r="C2757" t="s">
        <v>4905</v>
      </c>
      <c r="D2757" t="s">
        <v>2842</v>
      </c>
      <c r="E2757">
        <v>79684.9560063446</v>
      </c>
      <c r="F2757">
        <v>27387.1514723674</v>
      </c>
      <c r="G2757">
        <v>22466.306245601</v>
      </c>
      <c r="H2757">
        <v>16772.8685371668</v>
      </c>
      <c r="I2757">
        <v>129538.41</v>
      </c>
      <c r="J2757">
        <v>112765.54</v>
      </c>
      <c r="K2757" s="1"/>
      <c r="L2757" s="1"/>
      <c r="M2757" s="1"/>
      <c r="N2757" s="1"/>
    </row>
    <row r="2758" ht="15.75" customHeight="1">
      <c r="A2758" t="s">
        <v>13</v>
      </c>
      <c r="B2758" t="s">
        <v>26</v>
      </c>
      <c r="C2758" t="s">
        <v>4907</v>
      </c>
      <c r="D2758" t="s">
        <v>2843</v>
      </c>
      <c r="E2758">
        <v>79695.8389762508</v>
      </c>
      <c r="F2758">
        <v>27391.7661906948</v>
      </c>
      <c r="G2758">
        <v>22473.9862490305</v>
      </c>
      <c r="H2758">
        <v>16776.2660878541</v>
      </c>
      <c r="I2758">
        <v>129561.59</v>
      </c>
      <c r="J2758">
        <v>112785.32</v>
      </c>
      <c r="K2758" s="1"/>
      <c r="L2758" s="1"/>
      <c r="M2758" s="1"/>
      <c r="N2758" s="1"/>
    </row>
    <row r="2759" ht="15.75" customHeight="1">
      <c r="A2759" t="s">
        <v>17</v>
      </c>
      <c r="B2759" t="s">
        <v>37</v>
      </c>
      <c r="C2759" t="s">
        <v>4913</v>
      </c>
      <c r="D2759" t="s">
        <v>2844</v>
      </c>
      <c r="E2759">
        <v>79706.721946157</v>
      </c>
      <c r="F2759">
        <v>27396.3809090223</v>
      </c>
      <c r="G2759">
        <v>22481.66625246</v>
      </c>
      <c r="H2759">
        <v>14735.51589897765</v>
      </c>
      <c r="I2759">
        <v>129584.77</v>
      </c>
      <c r="J2759">
        <v>114849.25</v>
      </c>
      <c r="K2759" s="1"/>
      <c r="L2759" s="1"/>
      <c r="M2759" s="1"/>
      <c r="N2759" s="1"/>
    </row>
    <row r="2760" ht="15.75" customHeight="1">
      <c r="A2760" t="s">
        <v>51</v>
      </c>
      <c r="B2760" t="s">
        <v>30</v>
      </c>
      <c r="C2760" t="s">
        <v>4913</v>
      </c>
      <c r="D2760" t="s">
        <v>2845</v>
      </c>
      <c r="E2760">
        <v>79717.6049160632</v>
      </c>
      <c r="F2760">
        <v>27400.9956273497</v>
      </c>
      <c r="G2760">
        <v>22489.3462558895</v>
      </c>
      <c r="H2760">
        <v>16783.0611892286</v>
      </c>
      <c r="I2760">
        <v>129607.95</v>
      </c>
      <c r="J2760">
        <v>112824.89</v>
      </c>
      <c r="K2760" s="1"/>
      <c r="L2760" s="1"/>
      <c r="M2760" s="1"/>
      <c r="N2760" s="1"/>
    </row>
    <row r="2761" ht="15.75" customHeight="1">
      <c r="A2761" t="s">
        <v>51</v>
      </c>
      <c r="B2761" t="s">
        <v>18</v>
      </c>
      <c r="C2761" t="s">
        <v>4909</v>
      </c>
      <c r="D2761" t="s">
        <v>2846</v>
      </c>
      <c r="E2761">
        <v>79728.4878859694</v>
      </c>
      <c r="F2761">
        <v>27405.6103456771</v>
      </c>
      <c r="G2761">
        <v>22497.026259319</v>
      </c>
      <c r="H2761">
        <v>16786.4587399159</v>
      </c>
      <c r="I2761">
        <v>129631.12</v>
      </c>
      <c r="J2761">
        <v>112844.66</v>
      </c>
      <c r="K2761" s="1"/>
      <c r="L2761" s="1"/>
      <c r="M2761" s="1"/>
      <c r="N2761" s="1"/>
    </row>
    <row r="2762" ht="15.75" customHeight="1">
      <c r="A2762" t="s">
        <v>36</v>
      </c>
      <c r="B2762" t="s">
        <v>30</v>
      </c>
      <c r="C2762" t="s">
        <v>4908</v>
      </c>
      <c r="D2762" t="s">
        <v>2847</v>
      </c>
      <c r="E2762">
        <v>79739.3708558756</v>
      </c>
      <c r="F2762">
        <v>27410.2250640045</v>
      </c>
      <c r="G2762">
        <v>22504.7062627485</v>
      </c>
      <c r="H2762">
        <v>16789.8562906032</v>
      </c>
      <c r="I2762">
        <v>129654.3</v>
      </c>
      <c r="J2762">
        <v>112864.44</v>
      </c>
      <c r="K2762" s="1"/>
      <c r="L2762" s="1"/>
      <c r="M2762" s="1"/>
      <c r="N2762" s="1"/>
    </row>
    <row r="2763" ht="15.75" customHeight="1">
      <c r="A2763" t="s">
        <v>36</v>
      </c>
      <c r="B2763" t="s">
        <v>18</v>
      </c>
      <c r="C2763" t="s">
        <v>4917</v>
      </c>
      <c r="D2763" t="s">
        <v>2848</v>
      </c>
      <c r="E2763">
        <v>79750.2538257818</v>
      </c>
      <c r="F2763">
        <v>27414.839782332</v>
      </c>
      <c r="G2763">
        <v>22512.386266178</v>
      </c>
      <c r="H2763">
        <v>16793.2538412905</v>
      </c>
      <c r="I2763">
        <v>129677.48</v>
      </c>
      <c r="J2763">
        <v>112884.23</v>
      </c>
      <c r="K2763" s="1"/>
      <c r="L2763" s="1"/>
      <c r="M2763" s="1"/>
      <c r="N2763" s="1"/>
    </row>
    <row r="2764" ht="15.75" customHeight="1">
      <c r="A2764" t="s">
        <v>53</v>
      </c>
      <c r="B2764" t="s">
        <v>14</v>
      </c>
      <c r="C2764" t="s">
        <v>4912</v>
      </c>
      <c r="D2764" t="s">
        <v>2849</v>
      </c>
      <c r="E2764">
        <v>79761.136795688</v>
      </c>
      <c r="F2764">
        <v>27419.4545006594</v>
      </c>
      <c r="G2764">
        <v>22520.0662696075</v>
      </c>
      <c r="H2764">
        <v>16796.6513919778</v>
      </c>
      <c r="I2764">
        <v>129700.66</v>
      </c>
      <c r="J2764">
        <v>112904.01</v>
      </c>
      <c r="K2764" s="1"/>
      <c r="L2764" s="1"/>
      <c r="M2764" s="1"/>
      <c r="N2764" s="1"/>
    </row>
    <row r="2765" ht="15.75" customHeight="1">
      <c r="A2765" t="s">
        <v>36</v>
      </c>
      <c r="B2765" t="s">
        <v>26</v>
      </c>
      <c r="C2765" t="s">
        <v>4910</v>
      </c>
      <c r="D2765" t="s">
        <v>2850</v>
      </c>
      <c r="E2765">
        <v>79772.0197655942</v>
      </c>
      <c r="F2765">
        <v>27424.0692189868</v>
      </c>
      <c r="G2765">
        <v>22527.746273037</v>
      </c>
      <c r="H2765">
        <v>16800.0489426651</v>
      </c>
      <c r="I2765">
        <v>129723.84</v>
      </c>
      <c r="J2765">
        <v>112923.79</v>
      </c>
      <c r="K2765" s="1"/>
      <c r="L2765" s="1"/>
      <c r="M2765" s="1"/>
      <c r="N2765" s="1"/>
    </row>
    <row r="2766" ht="15.75" customHeight="1">
      <c r="A2766" t="s">
        <v>29</v>
      </c>
      <c r="B2766" t="s">
        <v>54</v>
      </c>
      <c r="C2766" t="s">
        <v>4910</v>
      </c>
      <c r="D2766" t="s">
        <v>2851</v>
      </c>
      <c r="E2766">
        <v>72210.86634532797</v>
      </c>
      <c r="F2766">
        <v>27428.6839373142</v>
      </c>
      <c r="G2766">
        <v>22535.4262764665</v>
      </c>
      <c r="H2766">
        <v>16803.4464933524</v>
      </c>
      <c r="I2766">
        <v>122174.98</v>
      </c>
      <c r="J2766">
        <v>105371.53</v>
      </c>
      <c r="K2766" s="1"/>
      <c r="L2766" s="1"/>
      <c r="M2766" s="1"/>
      <c r="N2766" s="1"/>
    </row>
    <row r="2767" ht="15.75" customHeight="1">
      <c r="A2767" t="s">
        <v>53</v>
      </c>
      <c r="B2767" t="s">
        <v>26</v>
      </c>
      <c r="C2767" t="s">
        <v>4905</v>
      </c>
      <c r="D2767" t="s">
        <v>2852</v>
      </c>
      <c r="E2767">
        <v>79804.6686753128</v>
      </c>
      <c r="F2767">
        <v>27437.9133739691</v>
      </c>
      <c r="G2767">
        <v>22550.7862833255</v>
      </c>
      <c r="H2767">
        <v>16810.2415947269</v>
      </c>
      <c r="I2767">
        <v>129793.37</v>
      </c>
      <c r="J2767">
        <v>112983.13</v>
      </c>
      <c r="K2767" s="1"/>
      <c r="L2767" s="1"/>
      <c r="M2767" s="1"/>
      <c r="N2767" s="1"/>
    </row>
    <row r="2768" ht="15.75" customHeight="1">
      <c r="A2768" t="s">
        <v>17</v>
      </c>
      <c r="B2768" t="s">
        <v>30</v>
      </c>
      <c r="C2768" t="s">
        <v>4912</v>
      </c>
      <c r="D2768" t="s">
        <v>2853</v>
      </c>
      <c r="E2768">
        <v>79815.551645219</v>
      </c>
      <c r="F2768">
        <v>27442.5280922965</v>
      </c>
      <c r="G2768">
        <v>22558.466286755</v>
      </c>
      <c r="H2768">
        <v>16813.6391454142</v>
      </c>
      <c r="I2768">
        <v>129816.55</v>
      </c>
      <c r="J2768">
        <v>113002.91</v>
      </c>
      <c r="K2768" s="1"/>
      <c r="L2768" s="1"/>
      <c r="M2768" s="1"/>
      <c r="N2768" s="1"/>
    </row>
    <row r="2769" ht="15.75" customHeight="1">
      <c r="A2769" t="s">
        <v>51</v>
      </c>
      <c r="B2769" t="s">
        <v>30</v>
      </c>
      <c r="C2769" t="s">
        <v>4914</v>
      </c>
      <c r="D2769" t="s">
        <v>2854</v>
      </c>
      <c r="E2769">
        <v>79826.4346151251</v>
      </c>
      <c r="F2769">
        <v>27447.1428106239</v>
      </c>
      <c r="G2769">
        <v>22566.1462901845</v>
      </c>
      <c r="H2769">
        <v>16817.0366961015</v>
      </c>
      <c r="I2769">
        <v>129839.72</v>
      </c>
      <c r="J2769">
        <v>113022.68</v>
      </c>
      <c r="K2769" s="1"/>
      <c r="L2769" s="1"/>
      <c r="M2769" s="1"/>
      <c r="N2769" s="1"/>
    </row>
    <row r="2770" ht="15.75" customHeight="1">
      <c r="A2770" t="s">
        <v>13</v>
      </c>
      <c r="B2770" t="s">
        <v>30</v>
      </c>
      <c r="C2770" t="s">
        <v>4914</v>
      </c>
      <c r="D2770" t="s">
        <v>2855</v>
      </c>
      <c r="E2770">
        <v>79837.3175850313</v>
      </c>
      <c r="F2770">
        <v>27451.7575289513</v>
      </c>
      <c r="G2770">
        <v>22573.826293614</v>
      </c>
      <c r="H2770">
        <v>16820.4342467888</v>
      </c>
      <c r="I2770">
        <v>129862.9</v>
      </c>
      <c r="J2770">
        <v>113042.47</v>
      </c>
      <c r="K2770" s="1"/>
      <c r="L2770" s="1"/>
      <c r="M2770" s="1"/>
      <c r="N2770" s="1"/>
    </row>
    <row r="2771" ht="15.75" customHeight="1">
      <c r="A2771" t="s">
        <v>25</v>
      </c>
      <c r="B2771" t="s">
        <v>54</v>
      </c>
      <c r="C2771" t="s">
        <v>4911</v>
      </c>
      <c r="D2771" t="s">
        <v>2856</v>
      </c>
      <c r="E2771">
        <v>79848.2005549375</v>
      </c>
      <c r="F2771">
        <v>27456.3722472788</v>
      </c>
      <c r="G2771">
        <v>22581.5062970435</v>
      </c>
      <c r="H2771">
        <v>16823.8317974761</v>
      </c>
      <c r="I2771">
        <v>129886.08</v>
      </c>
      <c r="J2771">
        <v>113062.25</v>
      </c>
      <c r="K2771" s="1"/>
      <c r="L2771" s="1"/>
      <c r="M2771" s="1"/>
      <c r="N2771" s="1"/>
    </row>
    <row r="2772" ht="15.75" customHeight="1">
      <c r="A2772" t="s">
        <v>51</v>
      </c>
      <c r="B2772" t="s">
        <v>14</v>
      </c>
      <c r="C2772" t="s">
        <v>4910</v>
      </c>
      <c r="D2772" t="s">
        <v>2857</v>
      </c>
      <c r="E2772">
        <v>79859.0835248437</v>
      </c>
      <c r="F2772">
        <v>27460.9869656062</v>
      </c>
      <c r="G2772">
        <v>22589.186300473</v>
      </c>
      <c r="H2772">
        <v>16827.2293481634</v>
      </c>
      <c r="I2772">
        <v>129909.26</v>
      </c>
      <c r="J2772">
        <v>113082.03</v>
      </c>
      <c r="K2772" s="1"/>
      <c r="L2772" s="1"/>
      <c r="M2772" s="1"/>
      <c r="N2772" s="1"/>
    </row>
    <row r="2773" ht="15.75" customHeight="1">
      <c r="A2773" t="s">
        <v>36</v>
      </c>
      <c r="B2773" t="s">
        <v>37</v>
      </c>
      <c r="C2773" t="s">
        <v>4914</v>
      </c>
      <c r="D2773" t="s">
        <v>2858</v>
      </c>
      <c r="E2773">
        <v>79869.9664947499</v>
      </c>
      <c r="F2773">
        <v>27465.6016839336</v>
      </c>
      <c r="G2773">
        <v>22596.8663039025</v>
      </c>
      <c r="H2773">
        <v>16830.6268988507</v>
      </c>
      <c r="I2773">
        <v>129932.43</v>
      </c>
      <c r="J2773">
        <v>113101.8</v>
      </c>
      <c r="K2773" s="1"/>
      <c r="L2773" s="1"/>
      <c r="M2773" s="1"/>
      <c r="N2773" s="1"/>
    </row>
    <row r="2774" ht="15.75" customHeight="1">
      <c r="A2774" t="s">
        <v>17</v>
      </c>
      <c r="B2774" t="s">
        <v>37</v>
      </c>
      <c r="C2774" t="s">
        <v>4912</v>
      </c>
      <c r="D2774" t="s">
        <v>2859</v>
      </c>
      <c r="E2774">
        <v>79880.8494646561</v>
      </c>
      <c r="F2774">
        <v>27470.216402261</v>
      </c>
      <c r="G2774">
        <v>22604.546307332</v>
      </c>
      <c r="H2774">
        <v>16834.024449538</v>
      </c>
      <c r="I2774">
        <v>129955.61</v>
      </c>
      <c r="J2774">
        <v>113121.59</v>
      </c>
      <c r="K2774" s="1"/>
      <c r="L2774" s="1"/>
      <c r="M2774" s="1"/>
      <c r="N2774" s="1"/>
    </row>
    <row r="2775" ht="15.75" customHeight="1">
      <c r="A2775" t="s">
        <v>51</v>
      </c>
      <c r="B2775" t="s">
        <v>26</v>
      </c>
      <c r="C2775" t="s">
        <v>4908</v>
      </c>
      <c r="D2775" t="s">
        <v>2860</v>
      </c>
      <c r="E2775">
        <v>79891.7324345623</v>
      </c>
      <c r="F2775">
        <v>27474.8311205884</v>
      </c>
      <c r="G2775">
        <v>22612.2263107615</v>
      </c>
      <c r="H2775">
        <v>16837.4220002252</v>
      </c>
      <c r="I2775">
        <v>129978.79</v>
      </c>
      <c r="J2775">
        <v>113141.37</v>
      </c>
      <c r="K2775" s="1"/>
      <c r="L2775" s="1"/>
      <c r="M2775" s="1"/>
      <c r="N2775" s="1"/>
    </row>
    <row r="2776" ht="15.75" customHeight="1">
      <c r="A2776" t="s">
        <v>53</v>
      </c>
      <c r="B2776" t="s">
        <v>54</v>
      </c>
      <c r="C2776" t="s">
        <v>4907</v>
      </c>
      <c r="D2776" t="s">
        <v>2861</v>
      </c>
      <c r="E2776">
        <v>79902.6154044685</v>
      </c>
      <c r="F2776">
        <v>27479.4458389159</v>
      </c>
      <c r="G2776">
        <v>22619.906314191</v>
      </c>
      <c r="H2776">
        <v>16840.8195509125</v>
      </c>
      <c r="I2776">
        <v>130001.97</v>
      </c>
      <c r="J2776">
        <v>113161.15</v>
      </c>
      <c r="K2776" s="1"/>
      <c r="L2776" s="1"/>
      <c r="M2776" s="1"/>
      <c r="N2776" s="1"/>
    </row>
    <row r="2777" ht="15.75" customHeight="1">
      <c r="A2777" t="s">
        <v>53</v>
      </c>
      <c r="B2777" t="s">
        <v>26</v>
      </c>
      <c r="C2777" t="s">
        <v>4909</v>
      </c>
      <c r="D2777" t="s">
        <v>2862</v>
      </c>
      <c r="E2777">
        <v>79913.4983743747</v>
      </c>
      <c r="F2777">
        <v>27484.0605572433</v>
      </c>
      <c r="G2777">
        <v>22627.5863176205</v>
      </c>
      <c r="H2777">
        <v>16844.2171015998</v>
      </c>
      <c r="I2777">
        <v>130025.15</v>
      </c>
      <c r="J2777">
        <v>113180.93</v>
      </c>
      <c r="K2777" s="1"/>
      <c r="L2777" s="1"/>
      <c r="M2777" s="1"/>
      <c r="N2777" s="1"/>
    </row>
    <row r="2778" ht="15.75" customHeight="1">
      <c r="A2778" t="s">
        <v>36</v>
      </c>
      <c r="B2778" t="s">
        <v>33</v>
      </c>
      <c r="C2778" t="s">
        <v>4912</v>
      </c>
      <c r="D2778" t="s">
        <v>2863</v>
      </c>
      <c r="E2778">
        <v>79924.3813442809</v>
      </c>
      <c r="F2778">
        <v>27488.6752755707</v>
      </c>
      <c r="G2778">
        <v>22635.26632105</v>
      </c>
      <c r="H2778">
        <v>16847.6146522871</v>
      </c>
      <c r="I2778">
        <v>130048.32</v>
      </c>
      <c r="J2778">
        <v>113200.71</v>
      </c>
      <c r="K2778" s="1"/>
      <c r="L2778" s="1"/>
      <c r="M2778" s="1"/>
      <c r="N2778" s="1"/>
    </row>
    <row r="2779" ht="15.75" customHeight="1">
      <c r="A2779" t="s">
        <v>36</v>
      </c>
      <c r="B2779" t="s">
        <v>30</v>
      </c>
      <c r="C2779" t="s">
        <v>4908</v>
      </c>
      <c r="D2779" t="s">
        <v>2864</v>
      </c>
      <c r="E2779">
        <v>79935.2643141871</v>
      </c>
      <c r="F2779">
        <v>27493.2899938981</v>
      </c>
      <c r="G2779">
        <v>22642.9463244795</v>
      </c>
      <c r="H2779">
        <v>16851.0122029744</v>
      </c>
      <c r="I2779">
        <v>130071.5</v>
      </c>
      <c r="J2779">
        <v>113220.49</v>
      </c>
      <c r="K2779" s="1"/>
      <c r="L2779" s="1"/>
      <c r="M2779" s="1"/>
      <c r="N2779" s="1"/>
    </row>
    <row r="2780" ht="15.75" customHeight="1">
      <c r="A2780" t="s">
        <v>25</v>
      </c>
      <c r="B2780" t="s">
        <v>54</v>
      </c>
      <c r="C2780" t="s">
        <v>4916</v>
      </c>
      <c r="D2780" t="s">
        <v>2865</v>
      </c>
      <c r="E2780">
        <v>79946.1472840933</v>
      </c>
      <c r="F2780">
        <v>27497.9047122256</v>
      </c>
      <c r="G2780">
        <v>22650.626327909</v>
      </c>
      <c r="H2780">
        <v>16854.4097536617</v>
      </c>
      <c r="I2780">
        <v>130094.68</v>
      </c>
      <c r="J2780">
        <v>113240.27</v>
      </c>
      <c r="K2780" s="1"/>
      <c r="L2780" s="1"/>
      <c r="M2780" s="1"/>
      <c r="N2780" s="1"/>
    </row>
    <row r="2781" ht="15.75" customHeight="1">
      <c r="A2781" t="s">
        <v>25</v>
      </c>
      <c r="B2781" t="s">
        <v>14</v>
      </c>
      <c r="C2781" t="s">
        <v>4910</v>
      </c>
      <c r="D2781" t="s">
        <v>2866</v>
      </c>
      <c r="E2781">
        <v>71780.1808858172</v>
      </c>
      <c r="F2781">
        <v>27502.519430553</v>
      </c>
      <c r="G2781">
        <v>22658.3063313385</v>
      </c>
      <c r="H2781">
        <v>16857.807304349</v>
      </c>
      <c r="I2781">
        <v>121941.01</v>
      </c>
      <c r="J2781">
        <v>105083.2</v>
      </c>
      <c r="K2781" s="1"/>
      <c r="L2781" s="1"/>
      <c r="M2781" s="1"/>
      <c r="N2781" s="1"/>
    </row>
    <row r="2782" ht="15.75" customHeight="1">
      <c r="A2782" t="s">
        <v>25</v>
      </c>
      <c r="B2782" t="s">
        <v>18</v>
      </c>
      <c r="C2782" t="s">
        <v>4913</v>
      </c>
      <c r="D2782" t="s">
        <v>2867</v>
      </c>
      <c r="E2782">
        <v>79967.9132239057</v>
      </c>
      <c r="F2782">
        <v>27507.1341488804</v>
      </c>
      <c r="G2782">
        <v>22665.986334768</v>
      </c>
      <c r="H2782">
        <v>16861.2048550362</v>
      </c>
      <c r="I2782">
        <v>130141.03</v>
      </c>
      <c r="J2782">
        <v>113279.83</v>
      </c>
      <c r="K2782" s="1"/>
      <c r="L2782" s="1"/>
      <c r="M2782" s="1"/>
      <c r="N2782" s="1"/>
    </row>
    <row r="2783" ht="15.75" customHeight="1">
      <c r="A2783" t="s">
        <v>53</v>
      </c>
      <c r="B2783" t="s">
        <v>54</v>
      </c>
      <c r="C2783" t="s">
        <v>4908</v>
      </c>
      <c r="D2783" t="s">
        <v>2868</v>
      </c>
      <c r="E2783">
        <v>79978.7961938119</v>
      </c>
      <c r="F2783">
        <v>27511.7488672078</v>
      </c>
      <c r="G2783">
        <v>22673.6663381974</v>
      </c>
      <c r="H2783">
        <v>16864.6024057235</v>
      </c>
      <c r="I2783">
        <v>130164.21</v>
      </c>
      <c r="J2783">
        <v>113299.61</v>
      </c>
      <c r="K2783" s="1"/>
      <c r="L2783" s="1"/>
      <c r="M2783" s="1"/>
      <c r="N2783" s="1"/>
    </row>
    <row r="2784" ht="15.75" customHeight="1">
      <c r="A2784" t="s">
        <v>25</v>
      </c>
      <c r="B2784" t="s">
        <v>30</v>
      </c>
      <c r="C2784" t="s">
        <v>4913</v>
      </c>
      <c r="D2784" t="s">
        <v>2869</v>
      </c>
      <c r="E2784">
        <v>79989.679163718</v>
      </c>
      <c r="F2784">
        <v>27516.3635855352</v>
      </c>
      <c r="G2784">
        <v>22681.3463416269</v>
      </c>
      <c r="H2784">
        <v>16867.9999564108</v>
      </c>
      <c r="I2784">
        <v>130187.39</v>
      </c>
      <c r="J2784">
        <v>113319.39</v>
      </c>
      <c r="K2784" s="1"/>
      <c r="L2784" s="1"/>
      <c r="M2784" s="1"/>
      <c r="N2784" s="1"/>
    </row>
    <row r="2785" ht="15.75" customHeight="1">
      <c r="A2785" t="s">
        <v>17</v>
      </c>
      <c r="B2785" t="s">
        <v>26</v>
      </c>
      <c r="C2785" t="s">
        <v>4914</v>
      </c>
      <c r="D2785" t="s">
        <v>2870</v>
      </c>
      <c r="E2785">
        <v>80000.5621336242</v>
      </c>
      <c r="F2785">
        <v>27520.9783038627</v>
      </c>
      <c r="G2785">
        <v>22689.0263450564</v>
      </c>
      <c r="H2785">
        <v>16871.3975070981</v>
      </c>
      <c r="I2785">
        <v>130210.57</v>
      </c>
      <c r="J2785">
        <v>113339.17</v>
      </c>
      <c r="K2785" s="1"/>
      <c r="L2785" s="1"/>
      <c r="M2785" s="1"/>
      <c r="N2785" s="1"/>
    </row>
    <row r="2786" ht="15.75" customHeight="1">
      <c r="A2786" t="s">
        <v>51</v>
      </c>
      <c r="B2786" t="s">
        <v>30</v>
      </c>
      <c r="C2786" t="s">
        <v>4905</v>
      </c>
      <c r="D2786" t="s">
        <v>2871</v>
      </c>
      <c r="E2786">
        <v>80011.4451035304</v>
      </c>
      <c r="F2786">
        <v>27525.5930221901</v>
      </c>
      <c r="G2786">
        <v>22696.7063484859</v>
      </c>
      <c r="H2786">
        <v>16874.7950577854</v>
      </c>
      <c r="I2786">
        <v>130233.74</v>
      </c>
      <c r="J2786">
        <v>113358.94</v>
      </c>
      <c r="K2786" s="1"/>
      <c r="L2786" s="1"/>
      <c r="M2786" s="1"/>
      <c r="N2786" s="1"/>
    </row>
    <row r="2787" ht="15.75" customHeight="1">
      <c r="A2787" t="s">
        <v>36</v>
      </c>
      <c r="B2787" t="s">
        <v>37</v>
      </c>
      <c r="C2787" t="s">
        <v>4912</v>
      </c>
      <c r="D2787" t="s">
        <v>2872</v>
      </c>
      <c r="E2787">
        <v>80022.3280734366</v>
      </c>
      <c r="F2787">
        <v>27530.2077405175</v>
      </c>
      <c r="G2787">
        <v>22704.3863519154</v>
      </c>
      <c r="H2787">
        <v>16878.1926084727</v>
      </c>
      <c r="I2787">
        <v>130256.92</v>
      </c>
      <c r="J2787">
        <v>113378.73</v>
      </c>
      <c r="K2787" s="1"/>
      <c r="L2787" s="1"/>
      <c r="M2787" s="1"/>
      <c r="N2787" s="1"/>
    </row>
    <row r="2788" ht="15.75" customHeight="1">
      <c r="A2788" t="s">
        <v>17</v>
      </c>
      <c r="B2788" t="s">
        <v>26</v>
      </c>
      <c r="C2788" t="s">
        <v>4914</v>
      </c>
      <c r="D2788" t="s">
        <v>2873</v>
      </c>
      <c r="E2788">
        <v>80033.2110433428</v>
      </c>
      <c r="F2788">
        <v>27534.8224588449</v>
      </c>
      <c r="G2788">
        <v>22712.0663553449</v>
      </c>
      <c r="H2788">
        <v>16881.59015916</v>
      </c>
      <c r="I2788">
        <v>130280.1</v>
      </c>
      <c r="J2788">
        <v>113398.51</v>
      </c>
      <c r="K2788" s="1"/>
      <c r="L2788" s="1"/>
      <c r="M2788" s="1"/>
      <c r="N2788" s="1"/>
    </row>
    <row r="2789" ht="15.75" customHeight="1">
      <c r="A2789" t="s">
        <v>29</v>
      </c>
      <c r="B2789" t="s">
        <v>30</v>
      </c>
      <c r="C2789" t="s">
        <v>4913</v>
      </c>
      <c r="D2789" t="s">
        <v>2874</v>
      </c>
      <c r="E2789">
        <v>80044.094013249</v>
      </c>
      <c r="F2789">
        <v>27539.4371771723</v>
      </c>
      <c r="G2789">
        <v>22719.7463587744</v>
      </c>
      <c r="H2789">
        <v>16884.9877098473</v>
      </c>
      <c r="I2789">
        <v>130303.28</v>
      </c>
      <c r="J2789">
        <v>113418.29</v>
      </c>
      <c r="K2789" s="1"/>
      <c r="L2789" s="1"/>
      <c r="M2789" s="1"/>
      <c r="N2789" s="1"/>
    </row>
    <row r="2790" ht="15.75" customHeight="1">
      <c r="A2790" t="s">
        <v>53</v>
      </c>
      <c r="B2790" t="s">
        <v>18</v>
      </c>
      <c r="C2790" t="s">
        <v>4910</v>
      </c>
      <c r="D2790" t="s">
        <v>2875</v>
      </c>
      <c r="E2790">
        <v>80054.9769831552</v>
      </c>
      <c r="F2790">
        <v>27544.0518954998</v>
      </c>
      <c r="G2790">
        <v>22727.4263622039</v>
      </c>
      <c r="H2790">
        <v>16888.3852605345</v>
      </c>
      <c r="I2790">
        <v>130326.46</v>
      </c>
      <c r="J2790">
        <v>113438.07</v>
      </c>
      <c r="K2790" s="1"/>
      <c r="L2790" s="1"/>
      <c r="M2790" s="1"/>
      <c r="N2790" s="1"/>
    </row>
    <row r="2791" ht="15.75" customHeight="1">
      <c r="A2791" t="s">
        <v>13</v>
      </c>
      <c r="B2791" t="s">
        <v>37</v>
      </c>
      <c r="C2791" t="s">
        <v>4912</v>
      </c>
      <c r="D2791" t="s">
        <v>2876</v>
      </c>
      <c r="E2791">
        <v>80065.8599530614</v>
      </c>
      <c r="F2791">
        <v>27548.6666138272</v>
      </c>
      <c r="G2791">
        <v>22735.1063656334</v>
      </c>
      <c r="H2791">
        <v>16891.7828112218</v>
      </c>
      <c r="I2791">
        <v>130349.63</v>
      </c>
      <c r="J2791">
        <v>113457.85</v>
      </c>
      <c r="K2791" s="1"/>
      <c r="L2791" s="1"/>
      <c r="M2791" s="1"/>
      <c r="N2791" s="1"/>
    </row>
    <row r="2792" ht="15.75" customHeight="1">
      <c r="A2792" t="s">
        <v>51</v>
      </c>
      <c r="B2792" t="s">
        <v>26</v>
      </c>
      <c r="C2792" t="s">
        <v>4914</v>
      </c>
      <c r="D2792" t="s">
        <v>2877</v>
      </c>
      <c r="E2792">
        <v>80076.7429229676</v>
      </c>
      <c r="F2792">
        <v>27553.2813321546</v>
      </c>
      <c r="G2792">
        <v>22742.7863690629</v>
      </c>
      <c r="H2792">
        <v>16895.1803619091</v>
      </c>
      <c r="I2792">
        <v>130372.81</v>
      </c>
      <c r="J2792">
        <v>113477.63</v>
      </c>
      <c r="K2792" s="1"/>
      <c r="L2792" s="1"/>
      <c r="M2792" s="1"/>
      <c r="N2792" s="1"/>
    </row>
    <row r="2793" ht="15.75" customHeight="1">
      <c r="A2793" t="s">
        <v>29</v>
      </c>
      <c r="B2793" t="s">
        <v>33</v>
      </c>
      <c r="C2793" t="s">
        <v>4913</v>
      </c>
      <c r="D2793" t="s">
        <v>2878</v>
      </c>
      <c r="E2793">
        <v>80087.6258928738</v>
      </c>
      <c r="F2793">
        <v>27557.896050482</v>
      </c>
      <c r="G2793">
        <v>22750.4663724924</v>
      </c>
      <c r="H2793">
        <v>16898.5779125964</v>
      </c>
      <c r="I2793">
        <v>130395.99</v>
      </c>
      <c r="J2793">
        <v>113497.41</v>
      </c>
      <c r="K2793" s="1"/>
      <c r="L2793" s="1"/>
      <c r="M2793" s="1"/>
      <c r="N2793" s="1"/>
    </row>
    <row r="2794" ht="15.75" customHeight="1">
      <c r="A2794" t="s">
        <v>13</v>
      </c>
      <c r="B2794" t="s">
        <v>26</v>
      </c>
      <c r="C2794" t="s">
        <v>4910</v>
      </c>
      <c r="D2794" t="s">
        <v>2879</v>
      </c>
      <c r="E2794">
        <v>80098.50886278</v>
      </c>
      <c r="F2794">
        <v>27562.5107688095</v>
      </c>
      <c r="G2794">
        <v>22758.1463759219</v>
      </c>
      <c r="H2794">
        <v>16901.9754632837</v>
      </c>
      <c r="I2794">
        <v>130419.17</v>
      </c>
      <c r="J2794">
        <v>113517.19</v>
      </c>
      <c r="K2794" s="1"/>
      <c r="L2794" s="1"/>
      <c r="M2794" s="1"/>
      <c r="N2794" s="1"/>
    </row>
    <row r="2795" ht="15.75" customHeight="1">
      <c r="A2795" t="s">
        <v>17</v>
      </c>
      <c r="B2795" t="s">
        <v>14</v>
      </c>
      <c r="C2795" t="s">
        <v>4917</v>
      </c>
      <c r="D2795" t="s">
        <v>2880</v>
      </c>
      <c r="E2795">
        <v>80109.3918326862</v>
      </c>
      <c r="F2795">
        <v>27567.1254871369</v>
      </c>
      <c r="G2795">
        <v>22765.8263793514</v>
      </c>
      <c r="H2795">
        <v>16905.373013971</v>
      </c>
      <c r="I2795">
        <v>130442.34</v>
      </c>
      <c r="J2795">
        <v>113536.97</v>
      </c>
      <c r="K2795" s="1"/>
      <c r="L2795" s="1"/>
      <c r="M2795" s="1"/>
      <c r="N2795" s="1"/>
    </row>
    <row r="2796" ht="15.75" customHeight="1">
      <c r="A2796" t="s">
        <v>17</v>
      </c>
      <c r="B2796" t="s">
        <v>26</v>
      </c>
      <c r="C2796" t="s">
        <v>4909</v>
      </c>
      <c r="D2796" t="s">
        <v>2881</v>
      </c>
      <c r="E2796">
        <v>80131.1577724986</v>
      </c>
      <c r="F2796">
        <v>27576.3549237917</v>
      </c>
      <c r="G2796">
        <v>22781.1863862104</v>
      </c>
      <c r="H2796">
        <v>16912.1681153456</v>
      </c>
      <c r="I2796">
        <v>130488.7</v>
      </c>
      <c r="J2796">
        <v>113576.53</v>
      </c>
      <c r="K2796" s="1"/>
      <c r="L2796" s="1"/>
      <c r="M2796" s="1"/>
      <c r="N2796" s="1"/>
    </row>
    <row r="2797" ht="15.75" customHeight="1">
      <c r="A2797" t="s">
        <v>51</v>
      </c>
      <c r="B2797" t="s">
        <v>14</v>
      </c>
      <c r="C2797" t="s">
        <v>4905</v>
      </c>
      <c r="D2797" t="s">
        <v>2882</v>
      </c>
      <c r="E2797">
        <v>80142.0407424048</v>
      </c>
      <c r="F2797">
        <v>27580.9696421192</v>
      </c>
      <c r="G2797">
        <v>22788.8663896399</v>
      </c>
      <c r="H2797">
        <v>16915.5656660328</v>
      </c>
      <c r="I2797">
        <v>130511.88</v>
      </c>
      <c r="J2797">
        <v>113596.31</v>
      </c>
      <c r="K2797" s="1"/>
      <c r="L2797" s="1"/>
      <c r="M2797" s="1"/>
      <c r="N2797" s="1"/>
    </row>
    <row r="2798" ht="15.75" customHeight="1">
      <c r="A2798" t="s">
        <v>36</v>
      </c>
      <c r="B2798" t="s">
        <v>54</v>
      </c>
      <c r="C2798" t="s">
        <v>4914</v>
      </c>
      <c r="D2798" t="s">
        <v>2883</v>
      </c>
      <c r="E2798">
        <v>80152.9237123109</v>
      </c>
      <c r="F2798">
        <v>27585.5843604466</v>
      </c>
      <c r="G2798">
        <v>22796.5463930694</v>
      </c>
      <c r="H2798">
        <v>16918.9632167201</v>
      </c>
      <c r="I2798">
        <v>130535.05</v>
      </c>
      <c r="J2798">
        <v>113616.09</v>
      </c>
      <c r="K2798" s="1"/>
      <c r="L2798" s="1"/>
      <c r="M2798" s="1"/>
      <c r="N2798" s="1"/>
    </row>
    <row r="2799" ht="15.75" customHeight="1">
      <c r="A2799" t="s">
        <v>51</v>
      </c>
      <c r="B2799" t="s">
        <v>26</v>
      </c>
      <c r="C2799" t="s">
        <v>4912</v>
      </c>
      <c r="D2799" t="s">
        <v>2884</v>
      </c>
      <c r="E2799">
        <v>80163.8066822171</v>
      </c>
      <c r="F2799">
        <v>27590.199078774</v>
      </c>
      <c r="G2799">
        <v>22804.2263964989</v>
      </c>
      <c r="H2799">
        <v>16922.3607674074</v>
      </c>
      <c r="I2799">
        <v>130558.23</v>
      </c>
      <c r="J2799">
        <v>113635.87</v>
      </c>
      <c r="K2799" s="1"/>
      <c r="L2799" s="1"/>
      <c r="M2799" s="1"/>
      <c r="N2799" s="1"/>
    </row>
    <row r="2800" ht="15.75" customHeight="1">
      <c r="A2800" t="s">
        <v>29</v>
      </c>
      <c r="B2800" t="s">
        <v>18</v>
      </c>
      <c r="C2800" t="s">
        <v>4911</v>
      </c>
      <c r="D2800" t="s">
        <v>2885</v>
      </c>
      <c r="E2800">
        <v>80174.6896521233</v>
      </c>
      <c r="F2800">
        <v>27594.8137971014</v>
      </c>
      <c r="G2800">
        <v>22811.9063999284</v>
      </c>
      <c r="H2800">
        <v>16925.7583180947</v>
      </c>
      <c r="I2800">
        <v>130581.41</v>
      </c>
      <c r="J2800">
        <v>113655.65</v>
      </c>
      <c r="K2800" s="1"/>
      <c r="L2800" s="1"/>
      <c r="M2800" s="1"/>
      <c r="N2800" s="1"/>
    </row>
    <row r="2801" ht="15.75" customHeight="1">
      <c r="A2801" t="s">
        <v>17</v>
      </c>
      <c r="B2801" t="s">
        <v>37</v>
      </c>
      <c r="C2801" t="s">
        <v>4917</v>
      </c>
      <c r="D2801" t="s">
        <v>2886</v>
      </c>
      <c r="E2801">
        <v>80185.5726220295</v>
      </c>
      <c r="F2801">
        <v>27599.4285154288</v>
      </c>
      <c r="G2801">
        <v>22819.5864033579</v>
      </c>
      <c r="H2801">
        <v>16929.155868782</v>
      </c>
      <c r="I2801">
        <v>130604.59</v>
      </c>
      <c r="J2801">
        <v>113675.43</v>
      </c>
      <c r="K2801" s="1"/>
      <c r="L2801" s="1"/>
      <c r="M2801" s="1"/>
      <c r="N2801" s="1"/>
    </row>
    <row r="2802" ht="15.75" customHeight="1">
      <c r="A2802" t="s">
        <v>29</v>
      </c>
      <c r="B2802" t="s">
        <v>18</v>
      </c>
      <c r="C2802" t="s">
        <v>4913</v>
      </c>
      <c r="D2802" t="s">
        <v>2887</v>
      </c>
      <c r="E2802">
        <v>80196.4555919357</v>
      </c>
      <c r="F2802">
        <v>27604.0432337563</v>
      </c>
      <c r="G2802">
        <v>22827.2664067874</v>
      </c>
      <c r="H2802">
        <v>16932.5534194693</v>
      </c>
      <c r="I2802">
        <v>130627.77</v>
      </c>
      <c r="J2802">
        <v>113695.22</v>
      </c>
      <c r="K2802" s="1"/>
      <c r="L2802" s="1"/>
      <c r="M2802" s="1"/>
      <c r="N2802" s="1"/>
    </row>
    <row r="2803" ht="15.75" customHeight="1">
      <c r="A2803" t="s">
        <v>13</v>
      </c>
      <c r="B2803" t="s">
        <v>18</v>
      </c>
      <c r="C2803" t="s">
        <v>4911</v>
      </c>
      <c r="D2803" t="s">
        <v>2888</v>
      </c>
      <c r="E2803">
        <v>80207.3385618419</v>
      </c>
      <c r="F2803">
        <v>27608.6579520837</v>
      </c>
      <c r="G2803">
        <v>22834.9464102169</v>
      </c>
      <c r="H2803">
        <v>16935.9509701565</v>
      </c>
      <c r="I2803">
        <v>130650.94</v>
      </c>
      <c r="J2803">
        <v>113714.99</v>
      </c>
      <c r="K2803" s="1"/>
      <c r="L2803" s="1"/>
      <c r="M2803" s="1"/>
      <c r="N2803" s="1"/>
    </row>
    <row r="2804" ht="15.75" customHeight="1">
      <c r="A2804" t="s">
        <v>51</v>
      </c>
      <c r="B2804" t="s">
        <v>14</v>
      </c>
      <c r="C2804" t="s">
        <v>4912</v>
      </c>
      <c r="D2804" t="s">
        <v>2889</v>
      </c>
      <c r="E2804">
        <v>80218.2215317481</v>
      </c>
      <c r="F2804">
        <v>27613.2726704111</v>
      </c>
      <c r="G2804">
        <v>22842.6264136464</v>
      </c>
      <c r="H2804">
        <v>16939.3485208438</v>
      </c>
      <c r="I2804">
        <v>130674.12</v>
      </c>
      <c r="J2804">
        <v>113734.77</v>
      </c>
      <c r="K2804" s="1"/>
      <c r="L2804" s="1"/>
      <c r="M2804" s="1"/>
      <c r="N2804" s="1"/>
    </row>
    <row r="2805" ht="15.75" customHeight="1">
      <c r="A2805" t="s">
        <v>53</v>
      </c>
      <c r="B2805" t="s">
        <v>33</v>
      </c>
      <c r="C2805" t="s">
        <v>4916</v>
      </c>
      <c r="D2805" t="s">
        <v>2890</v>
      </c>
      <c r="E2805">
        <v>80229.1045016543</v>
      </c>
      <c r="F2805">
        <v>27617.8873887385</v>
      </c>
      <c r="G2805">
        <v>22850.3064170759</v>
      </c>
      <c r="H2805">
        <v>16942.7460715311</v>
      </c>
      <c r="I2805">
        <v>130697.3</v>
      </c>
      <c r="J2805">
        <v>113754.55</v>
      </c>
      <c r="K2805" s="1"/>
      <c r="L2805" s="1"/>
      <c r="M2805" s="1"/>
      <c r="N2805" s="1"/>
    </row>
    <row r="2806" ht="15.75" customHeight="1">
      <c r="A2806" t="s">
        <v>25</v>
      </c>
      <c r="B2806" t="s">
        <v>54</v>
      </c>
      <c r="C2806" t="s">
        <v>4917</v>
      </c>
      <c r="D2806" t="s">
        <v>2891</v>
      </c>
      <c r="E2806">
        <v>80239.9874715605</v>
      </c>
      <c r="F2806">
        <v>27622.5021070659</v>
      </c>
      <c r="G2806">
        <v>22857.9864205054</v>
      </c>
      <c r="H2806">
        <v>16946.1436222184</v>
      </c>
      <c r="I2806">
        <v>130720.48</v>
      </c>
      <c r="J2806">
        <v>113774.34</v>
      </c>
      <c r="K2806" s="1"/>
      <c r="L2806" s="1"/>
      <c r="M2806" s="1"/>
      <c r="N2806" s="1"/>
    </row>
    <row r="2807" ht="15.75" customHeight="1">
      <c r="A2807" t="s">
        <v>25</v>
      </c>
      <c r="B2807" t="s">
        <v>14</v>
      </c>
      <c r="C2807" t="s">
        <v>4910</v>
      </c>
      <c r="D2807" t="s">
        <v>2892</v>
      </c>
      <c r="E2807">
        <v>80250.8704414667</v>
      </c>
      <c r="F2807">
        <v>27627.1168253934</v>
      </c>
      <c r="G2807">
        <v>22865.6664239349</v>
      </c>
      <c r="H2807">
        <v>16949.5411729057</v>
      </c>
      <c r="I2807">
        <v>130743.65</v>
      </c>
      <c r="J2807">
        <v>113794.11</v>
      </c>
      <c r="K2807" s="1"/>
      <c r="L2807" s="1"/>
      <c r="M2807" s="1"/>
      <c r="N2807" s="1"/>
    </row>
    <row r="2808" ht="15.75" customHeight="1">
      <c r="A2808" t="s">
        <v>53</v>
      </c>
      <c r="B2808" t="s">
        <v>37</v>
      </c>
      <c r="C2808" t="s">
        <v>4913</v>
      </c>
      <c r="D2808" t="s">
        <v>2893</v>
      </c>
      <c r="E2808">
        <v>80261.7534113729</v>
      </c>
      <c r="F2808">
        <v>27631.7315437208</v>
      </c>
      <c r="G2808">
        <v>22873.3464273644</v>
      </c>
      <c r="H2808">
        <v>16952.938723593</v>
      </c>
      <c r="I2808">
        <v>130766.83</v>
      </c>
      <c r="J2808">
        <v>113813.89</v>
      </c>
      <c r="K2808" s="1"/>
      <c r="L2808" s="1"/>
      <c r="M2808" s="1"/>
      <c r="N2808" s="1"/>
    </row>
    <row r="2809" ht="15.75" customHeight="1">
      <c r="A2809" t="s">
        <v>29</v>
      </c>
      <c r="B2809" t="s">
        <v>54</v>
      </c>
      <c r="C2809" t="s">
        <v>4907</v>
      </c>
      <c r="D2809" t="s">
        <v>2894</v>
      </c>
      <c r="E2809">
        <v>80272.6363812791</v>
      </c>
      <c r="F2809">
        <v>27636.3462620482</v>
      </c>
      <c r="G2809">
        <v>22881.0264307939</v>
      </c>
      <c r="H2809">
        <v>16956.3362742803</v>
      </c>
      <c r="I2809">
        <v>130790.01</v>
      </c>
      <c r="J2809">
        <v>113833.67</v>
      </c>
      <c r="K2809" s="1"/>
      <c r="L2809" s="1"/>
      <c r="M2809" s="1"/>
      <c r="N2809" s="1"/>
    </row>
    <row r="2810" ht="15.75" customHeight="1">
      <c r="A2810" t="s">
        <v>13</v>
      </c>
      <c r="B2810" t="s">
        <v>54</v>
      </c>
      <c r="C2810" t="s">
        <v>4912</v>
      </c>
      <c r="D2810" t="s">
        <v>2895</v>
      </c>
      <c r="E2810">
        <v>80283.5193511853</v>
      </c>
      <c r="F2810">
        <v>27640.9609803756</v>
      </c>
      <c r="G2810">
        <v>22888.7064342234</v>
      </c>
      <c r="H2810">
        <v>16959.7338249676</v>
      </c>
      <c r="I2810">
        <v>130813.19</v>
      </c>
      <c r="J2810">
        <v>113853.46</v>
      </c>
      <c r="K2810" s="1"/>
      <c r="L2810" s="1"/>
      <c r="M2810" s="1"/>
      <c r="N2810" s="1"/>
    </row>
    <row r="2811" ht="15.75" customHeight="1">
      <c r="A2811" t="s">
        <v>17</v>
      </c>
      <c r="B2811" t="s">
        <v>54</v>
      </c>
      <c r="C2811" t="s">
        <v>4909</v>
      </c>
      <c r="D2811" t="s">
        <v>2896</v>
      </c>
      <c r="E2811">
        <v>80294.4023210915</v>
      </c>
      <c r="F2811">
        <v>27645.5756987031</v>
      </c>
      <c r="G2811">
        <v>22896.3864376529</v>
      </c>
      <c r="H2811">
        <v>16963.1313756548</v>
      </c>
      <c r="I2811">
        <v>130836.36</v>
      </c>
      <c r="J2811">
        <v>113873.23</v>
      </c>
      <c r="K2811" s="1"/>
      <c r="L2811" s="1"/>
      <c r="M2811" s="1"/>
      <c r="N2811" s="1"/>
    </row>
    <row r="2812" ht="15.75" customHeight="1">
      <c r="A2812" t="s">
        <v>29</v>
      </c>
      <c r="B2812" t="s">
        <v>33</v>
      </c>
      <c r="C2812" t="s">
        <v>4907</v>
      </c>
      <c r="D2812" t="s">
        <v>2897</v>
      </c>
      <c r="E2812">
        <v>80305.2852909977</v>
      </c>
      <c r="F2812">
        <v>27650.1904170305</v>
      </c>
      <c r="G2812">
        <v>22904.0664410824</v>
      </c>
      <c r="H2812">
        <v>16966.5289263421</v>
      </c>
      <c r="I2812">
        <v>130859.54</v>
      </c>
      <c r="J2812">
        <v>113893.01</v>
      </c>
      <c r="K2812" s="1"/>
      <c r="L2812" s="1"/>
      <c r="M2812" s="1"/>
      <c r="N2812" s="1"/>
    </row>
    <row r="2813" ht="15.75" customHeight="1">
      <c r="A2813" t="s">
        <v>53</v>
      </c>
      <c r="B2813" t="s">
        <v>33</v>
      </c>
      <c r="C2813" t="s">
        <v>4913</v>
      </c>
      <c r="D2813" t="s">
        <v>2898</v>
      </c>
      <c r="E2813">
        <v>80316.1682609038</v>
      </c>
      <c r="F2813">
        <v>27654.8051353579</v>
      </c>
      <c r="G2813">
        <v>22911.7464445119</v>
      </c>
      <c r="H2813">
        <v>16969.9264770294</v>
      </c>
      <c r="I2813">
        <v>130882.72</v>
      </c>
      <c r="J2813">
        <v>113912.79</v>
      </c>
      <c r="K2813" s="1"/>
      <c r="L2813" s="1"/>
      <c r="M2813" s="1"/>
      <c r="N2813" s="1"/>
    </row>
    <row r="2814" ht="15.75" customHeight="1">
      <c r="A2814" t="s">
        <v>17</v>
      </c>
      <c r="B2814" t="s">
        <v>37</v>
      </c>
      <c r="C2814" t="s">
        <v>4911</v>
      </c>
      <c r="D2814" t="s">
        <v>2899</v>
      </c>
      <c r="E2814">
        <v>80327.05123081</v>
      </c>
      <c r="F2814">
        <v>27659.4198536853</v>
      </c>
      <c r="G2814">
        <v>22919.4264479414</v>
      </c>
      <c r="H2814">
        <v>16973.3240277167</v>
      </c>
      <c r="I2814">
        <v>130905.9</v>
      </c>
      <c r="J2814">
        <v>113932.58</v>
      </c>
      <c r="K2814" s="1"/>
      <c r="L2814" s="1"/>
      <c r="M2814" s="1"/>
      <c r="N2814" s="1"/>
    </row>
    <row r="2815" ht="15.75" customHeight="1">
      <c r="A2815" t="s">
        <v>25</v>
      </c>
      <c r="B2815" t="s">
        <v>30</v>
      </c>
      <c r="C2815" t="s">
        <v>4911</v>
      </c>
      <c r="D2815" t="s">
        <v>2900</v>
      </c>
      <c r="E2815">
        <v>80337.9342007162</v>
      </c>
      <c r="F2815">
        <v>27664.0345720127</v>
      </c>
      <c r="G2815">
        <v>22927.1064513709</v>
      </c>
      <c r="H2815">
        <v>16976.721578404</v>
      </c>
      <c r="I2815">
        <v>130929.08</v>
      </c>
      <c r="J2815">
        <v>113952.36</v>
      </c>
      <c r="K2815" s="1"/>
      <c r="L2815" s="1"/>
      <c r="M2815" s="1"/>
      <c r="N2815" s="1"/>
    </row>
    <row r="2816" ht="15.75" customHeight="1">
      <c r="A2816" t="s">
        <v>36</v>
      </c>
      <c r="B2816" t="s">
        <v>30</v>
      </c>
      <c r="C2816" t="s">
        <v>4917</v>
      </c>
      <c r="D2816" t="s">
        <v>2901</v>
      </c>
      <c r="E2816">
        <v>80348.8171706224</v>
      </c>
      <c r="F2816">
        <v>27668.6492903402</v>
      </c>
      <c r="G2816">
        <v>22934.7864548004</v>
      </c>
      <c r="H2816">
        <v>16980.1191290913</v>
      </c>
      <c r="I2816">
        <v>130952.25</v>
      </c>
      <c r="J2816">
        <v>113972.13</v>
      </c>
      <c r="K2816" s="1"/>
      <c r="L2816" s="1"/>
      <c r="M2816" s="1"/>
      <c r="N2816" s="1"/>
    </row>
    <row r="2817" ht="15.75" customHeight="1">
      <c r="A2817" t="s">
        <v>29</v>
      </c>
      <c r="B2817" t="s">
        <v>26</v>
      </c>
      <c r="C2817" t="s">
        <v>4908</v>
      </c>
      <c r="D2817" t="s">
        <v>2902</v>
      </c>
      <c r="E2817">
        <v>80359.7001405286</v>
      </c>
      <c r="F2817">
        <v>27673.2640086676</v>
      </c>
      <c r="G2817">
        <v>22942.4664582299</v>
      </c>
      <c r="H2817">
        <v>16983.5166797786</v>
      </c>
      <c r="I2817">
        <v>130975.43</v>
      </c>
      <c r="J2817">
        <v>113991.91</v>
      </c>
      <c r="K2817" s="1"/>
      <c r="L2817" s="1"/>
      <c r="M2817" s="1"/>
      <c r="N2817" s="1"/>
    </row>
    <row r="2818" ht="15.75" customHeight="1">
      <c r="A2818" t="s">
        <v>53</v>
      </c>
      <c r="B2818" t="s">
        <v>14</v>
      </c>
      <c r="C2818" t="s">
        <v>4916</v>
      </c>
      <c r="D2818" t="s">
        <v>2903</v>
      </c>
      <c r="E2818">
        <v>80370.5831104348</v>
      </c>
      <c r="F2818">
        <v>27677.878726995</v>
      </c>
      <c r="G2818">
        <v>22950.1464616593</v>
      </c>
      <c r="H2818">
        <v>16986.9142304659</v>
      </c>
      <c r="I2818">
        <v>130998.61</v>
      </c>
      <c r="J2818">
        <v>114011.7</v>
      </c>
      <c r="K2818" s="1"/>
      <c r="L2818" s="1"/>
      <c r="M2818" s="1"/>
      <c r="N2818" s="1"/>
    </row>
    <row r="2819" ht="15.75" customHeight="1">
      <c r="A2819" t="s">
        <v>13</v>
      </c>
      <c r="B2819" t="s">
        <v>26</v>
      </c>
      <c r="C2819" t="s">
        <v>4907</v>
      </c>
      <c r="D2819" t="s">
        <v>2904</v>
      </c>
      <c r="E2819">
        <v>80381.466080341</v>
      </c>
      <c r="F2819">
        <v>27682.4934453224</v>
      </c>
      <c r="G2819">
        <v>22957.8264650888</v>
      </c>
      <c r="H2819">
        <v>16990.3117811531</v>
      </c>
      <c r="I2819">
        <v>131021.79</v>
      </c>
      <c r="J2819">
        <v>114031.48</v>
      </c>
      <c r="K2819" s="1"/>
      <c r="L2819" s="1"/>
      <c r="M2819" s="1"/>
      <c r="N2819" s="1"/>
    </row>
    <row r="2820" ht="15.75" customHeight="1">
      <c r="A2820" t="s">
        <v>17</v>
      </c>
      <c r="B2820" t="s">
        <v>33</v>
      </c>
      <c r="C2820" t="s">
        <v>4915</v>
      </c>
      <c r="D2820" t="s">
        <v>2905</v>
      </c>
      <c r="E2820">
        <v>80392.3490502472</v>
      </c>
      <c r="F2820">
        <v>27687.1081636499</v>
      </c>
      <c r="G2820">
        <v>22965.5064685183</v>
      </c>
      <c r="H2820">
        <v>16993.7093318404</v>
      </c>
      <c r="I2820">
        <v>131044.96</v>
      </c>
      <c r="J2820">
        <v>114051.25</v>
      </c>
      <c r="K2820" s="1"/>
      <c r="L2820" s="1"/>
      <c r="M2820" s="1"/>
      <c r="N2820" s="1"/>
    </row>
    <row r="2821" ht="15.75" customHeight="1">
      <c r="A2821" t="s">
        <v>17</v>
      </c>
      <c r="B2821" t="s">
        <v>30</v>
      </c>
      <c r="C2821" t="s">
        <v>4905</v>
      </c>
      <c r="D2821" t="s">
        <v>2906</v>
      </c>
      <c r="E2821">
        <v>80403.2320201534</v>
      </c>
      <c r="F2821">
        <v>27691.7228819773</v>
      </c>
      <c r="G2821">
        <v>22973.1864719478</v>
      </c>
      <c r="H2821">
        <v>16997.1068825277</v>
      </c>
      <c r="I2821">
        <v>131068.14</v>
      </c>
      <c r="J2821">
        <v>114071.03</v>
      </c>
      <c r="K2821" s="1"/>
      <c r="L2821" s="1"/>
      <c r="M2821" s="1"/>
      <c r="N2821" s="1"/>
    </row>
    <row r="2822" ht="15.75" customHeight="1">
      <c r="A2822" t="s">
        <v>13</v>
      </c>
      <c r="B2822" t="s">
        <v>37</v>
      </c>
      <c r="C2822" t="s">
        <v>4907</v>
      </c>
      <c r="D2822" t="s">
        <v>2907</v>
      </c>
      <c r="E2822">
        <v>80414.1149900596</v>
      </c>
      <c r="F2822">
        <v>27696.3376003047</v>
      </c>
      <c r="G2822">
        <v>22980.8664753773</v>
      </c>
      <c r="H2822">
        <v>17000.504433215</v>
      </c>
      <c r="I2822">
        <v>131091.32</v>
      </c>
      <c r="J2822">
        <v>114090.82</v>
      </c>
      <c r="K2822" s="1"/>
      <c r="L2822" s="1"/>
      <c r="M2822" s="1"/>
      <c r="N2822" s="1"/>
    </row>
    <row r="2823" ht="15.75" customHeight="1">
      <c r="A2823" t="s">
        <v>53</v>
      </c>
      <c r="B2823" t="s">
        <v>14</v>
      </c>
      <c r="C2823" t="s">
        <v>4916</v>
      </c>
      <c r="D2823" t="s">
        <v>2908</v>
      </c>
      <c r="E2823">
        <v>80424.9979599658</v>
      </c>
      <c r="F2823">
        <v>27700.9523186321</v>
      </c>
      <c r="G2823">
        <v>22988.5464788068</v>
      </c>
      <c r="H2823">
        <v>17003.9019839023</v>
      </c>
      <c r="I2823">
        <v>131114.5</v>
      </c>
      <c r="J2823">
        <v>114110.6</v>
      </c>
      <c r="K2823" s="1"/>
      <c r="L2823" s="1"/>
      <c r="M2823" s="1"/>
      <c r="N2823" s="1"/>
    </row>
    <row r="2824" ht="15.75" customHeight="1">
      <c r="A2824" t="s">
        <v>25</v>
      </c>
      <c r="B2824" t="s">
        <v>30</v>
      </c>
      <c r="C2824" t="s">
        <v>4916</v>
      </c>
      <c r="D2824" t="s">
        <v>2909</v>
      </c>
      <c r="E2824">
        <v>80435.880929872</v>
      </c>
      <c r="F2824">
        <v>27705.5670369595</v>
      </c>
      <c r="G2824">
        <v>22996.2264822363</v>
      </c>
      <c r="H2824">
        <v>17007.2995345896</v>
      </c>
      <c r="I2824">
        <v>131137.67</v>
      </c>
      <c r="J2824">
        <v>114130.37</v>
      </c>
      <c r="K2824" s="1"/>
      <c r="L2824" s="1"/>
      <c r="M2824" s="1"/>
      <c r="N2824" s="1"/>
    </row>
    <row r="2825" ht="15.75" customHeight="1">
      <c r="A2825" t="s">
        <v>29</v>
      </c>
      <c r="B2825" t="s">
        <v>37</v>
      </c>
      <c r="C2825" t="s">
        <v>4917</v>
      </c>
      <c r="D2825" t="s">
        <v>2910</v>
      </c>
      <c r="E2825">
        <v>80446.7638997782</v>
      </c>
      <c r="F2825">
        <v>27710.181755287</v>
      </c>
      <c r="G2825">
        <v>23003.9064856658</v>
      </c>
      <c r="H2825">
        <v>17010.6970852769</v>
      </c>
      <c r="I2825">
        <v>131160.85</v>
      </c>
      <c r="J2825">
        <v>114150.15</v>
      </c>
      <c r="K2825" s="1"/>
      <c r="L2825" s="1"/>
      <c r="M2825" s="1"/>
      <c r="N2825" s="1"/>
    </row>
    <row r="2826" ht="15.75" customHeight="1">
      <c r="A2826" t="s">
        <v>13</v>
      </c>
      <c r="B2826" t="s">
        <v>30</v>
      </c>
      <c r="C2826" t="s">
        <v>4907</v>
      </c>
      <c r="D2826" t="s">
        <v>2911</v>
      </c>
      <c r="E2826">
        <v>80457.6468696844</v>
      </c>
      <c r="F2826">
        <v>27714.7964736144</v>
      </c>
      <c r="G2826">
        <v>23011.5864890953</v>
      </c>
      <c r="H2826">
        <v>17014.0946359641</v>
      </c>
      <c r="I2826">
        <v>131184.03</v>
      </c>
      <c r="J2826">
        <v>114169.94</v>
      </c>
      <c r="K2826" s="1"/>
      <c r="L2826" s="1"/>
      <c r="M2826" s="1"/>
      <c r="N2826" s="1"/>
    </row>
    <row r="2827" ht="15.75" customHeight="1">
      <c r="A2827" t="s">
        <v>51</v>
      </c>
      <c r="B2827" t="s">
        <v>26</v>
      </c>
      <c r="C2827" t="s">
        <v>4907</v>
      </c>
      <c r="D2827" t="s">
        <v>2912</v>
      </c>
      <c r="E2827">
        <v>80468.5298395906</v>
      </c>
      <c r="F2827">
        <v>27719.4111919418</v>
      </c>
      <c r="G2827">
        <v>23019.2664925248</v>
      </c>
      <c r="H2827">
        <v>17017.4921866514</v>
      </c>
      <c r="I2827">
        <v>131207.21</v>
      </c>
      <c r="J2827">
        <v>114189.72</v>
      </c>
      <c r="K2827" s="1"/>
      <c r="L2827" s="1"/>
      <c r="M2827" s="1"/>
      <c r="N2827" s="1"/>
    </row>
    <row r="2828" ht="15.75" customHeight="1">
      <c r="A2828" t="s">
        <v>13</v>
      </c>
      <c r="B2828" t="s">
        <v>30</v>
      </c>
      <c r="C2828" t="s">
        <v>4912</v>
      </c>
      <c r="D2828" t="s">
        <v>2913</v>
      </c>
      <c r="E2828">
        <v>80479.4128094967</v>
      </c>
      <c r="F2828">
        <v>27724.0259102692</v>
      </c>
      <c r="G2828">
        <v>23026.9464959543</v>
      </c>
      <c r="H2828">
        <v>17020.8897373387</v>
      </c>
      <c r="I2828">
        <v>131230.39</v>
      </c>
      <c r="J2828">
        <v>114209.5</v>
      </c>
      <c r="K2828" s="1"/>
      <c r="L2828" s="1"/>
      <c r="M2828" s="1"/>
      <c r="N2828" s="1"/>
    </row>
    <row r="2829" ht="15.75" customHeight="1">
      <c r="A2829" t="s">
        <v>51</v>
      </c>
      <c r="B2829" t="s">
        <v>26</v>
      </c>
      <c r="C2829" t="s">
        <v>4916</v>
      </c>
      <c r="D2829" t="s">
        <v>2914</v>
      </c>
      <c r="E2829">
        <v>80490.2957794029</v>
      </c>
      <c r="F2829">
        <v>27728.6406285967</v>
      </c>
      <c r="G2829">
        <v>23034.6264993838</v>
      </c>
      <c r="H2829">
        <v>17024.287288026</v>
      </c>
      <c r="I2829">
        <v>131253.56</v>
      </c>
      <c r="J2829">
        <v>114229.27</v>
      </c>
      <c r="K2829" s="1"/>
      <c r="L2829" s="1"/>
      <c r="M2829" s="1"/>
      <c r="N2829" s="1"/>
    </row>
    <row r="2830" ht="15.75" customHeight="1">
      <c r="A2830" t="s">
        <v>53</v>
      </c>
      <c r="B2830" t="s">
        <v>26</v>
      </c>
      <c r="C2830" t="s">
        <v>4915</v>
      </c>
      <c r="D2830" t="s">
        <v>2915</v>
      </c>
      <c r="E2830">
        <v>80501.1787493091</v>
      </c>
      <c r="F2830">
        <v>27733.2553469241</v>
      </c>
      <c r="G2830">
        <v>23042.3065028133</v>
      </c>
      <c r="H2830">
        <v>17027.6848387133</v>
      </c>
      <c r="I2830">
        <v>131276.74</v>
      </c>
      <c r="J2830">
        <v>114249.06</v>
      </c>
      <c r="K2830" s="1"/>
      <c r="L2830" s="1"/>
      <c r="M2830" s="1"/>
      <c r="N2830" s="1"/>
    </row>
    <row r="2831" ht="15.75" customHeight="1">
      <c r="A2831" t="s">
        <v>51</v>
      </c>
      <c r="B2831" t="s">
        <v>37</v>
      </c>
      <c r="C2831" t="s">
        <v>4910</v>
      </c>
      <c r="D2831" t="s">
        <v>2916</v>
      </c>
      <c r="E2831">
        <v>80512.0617192153</v>
      </c>
      <c r="F2831">
        <v>27737.8700652515</v>
      </c>
      <c r="G2831">
        <v>23049.9865062428</v>
      </c>
      <c r="H2831">
        <v>17031.0823894006</v>
      </c>
      <c r="I2831">
        <v>131299.92</v>
      </c>
      <c r="J2831">
        <v>114268.84</v>
      </c>
      <c r="K2831" s="1"/>
      <c r="L2831" s="1"/>
      <c r="M2831" s="1"/>
      <c r="N2831" s="1"/>
    </row>
    <row r="2832" ht="15.75" customHeight="1">
      <c r="A2832" t="s">
        <v>29</v>
      </c>
      <c r="B2832" t="s">
        <v>37</v>
      </c>
      <c r="C2832" t="s">
        <v>4916</v>
      </c>
      <c r="D2832" t="s">
        <v>2917</v>
      </c>
      <c r="E2832">
        <v>80522.9446891215</v>
      </c>
      <c r="F2832">
        <v>27742.4847835789</v>
      </c>
      <c r="G2832">
        <v>23057.6665096723</v>
      </c>
      <c r="H2832">
        <v>17034.4799400879</v>
      </c>
      <c r="I2832">
        <v>131323.1</v>
      </c>
      <c r="J2832">
        <v>114288.62</v>
      </c>
      <c r="K2832" s="1"/>
      <c r="L2832" s="1"/>
      <c r="M2832" s="1"/>
      <c r="N2832" s="1"/>
    </row>
    <row r="2833" ht="15.75" customHeight="1">
      <c r="A2833" t="s">
        <v>17</v>
      </c>
      <c r="B2833" t="s">
        <v>33</v>
      </c>
      <c r="C2833" t="s">
        <v>4914</v>
      </c>
      <c r="D2833" t="s">
        <v>2918</v>
      </c>
      <c r="E2833">
        <v>80533.8276590277</v>
      </c>
      <c r="F2833">
        <v>27747.0995019063</v>
      </c>
      <c r="G2833">
        <v>23065.3465131018</v>
      </c>
      <c r="H2833">
        <v>17037.8774907752</v>
      </c>
      <c r="I2833">
        <v>131346.27</v>
      </c>
      <c r="J2833">
        <v>114308.39</v>
      </c>
      <c r="K2833" s="1"/>
      <c r="L2833" s="1"/>
      <c r="M2833" s="1"/>
      <c r="N2833" s="1"/>
    </row>
    <row r="2834" ht="15.75" customHeight="1">
      <c r="A2834" t="s">
        <v>29</v>
      </c>
      <c r="B2834" t="s">
        <v>33</v>
      </c>
      <c r="C2834" t="s">
        <v>4908</v>
      </c>
      <c r="D2834" t="s">
        <v>2919</v>
      </c>
      <c r="E2834">
        <v>80544.7106289339</v>
      </c>
      <c r="F2834">
        <v>27751.7142202338</v>
      </c>
      <c r="G2834">
        <v>23073.0265165313</v>
      </c>
      <c r="H2834">
        <v>17041.2750414624</v>
      </c>
      <c r="I2834">
        <v>131369.45</v>
      </c>
      <c r="J2834">
        <v>114328.17</v>
      </c>
      <c r="K2834" s="1"/>
      <c r="L2834" s="1"/>
      <c r="M2834" s="1"/>
      <c r="N2834" s="1"/>
    </row>
    <row r="2835" ht="15.75" customHeight="1">
      <c r="A2835" t="s">
        <v>25</v>
      </c>
      <c r="B2835" t="s">
        <v>54</v>
      </c>
      <c r="C2835" t="s">
        <v>4917</v>
      </c>
      <c r="D2835" t="s">
        <v>2920</v>
      </c>
      <c r="E2835">
        <v>80555.5935988401</v>
      </c>
      <c r="F2835">
        <v>27756.3289385612</v>
      </c>
      <c r="G2835">
        <v>23080.7065199608</v>
      </c>
      <c r="H2835">
        <v>17044.6725921497</v>
      </c>
      <c r="I2835">
        <v>131392.63</v>
      </c>
      <c r="J2835">
        <v>114347.96</v>
      </c>
      <c r="K2835" s="1"/>
      <c r="L2835" s="1"/>
      <c r="M2835" s="1"/>
      <c r="N2835" s="1"/>
    </row>
    <row r="2836" ht="15.75" customHeight="1">
      <c r="A2836" t="s">
        <v>25</v>
      </c>
      <c r="B2836" t="s">
        <v>37</v>
      </c>
      <c r="C2836" t="s">
        <v>4917</v>
      </c>
      <c r="D2836" t="s">
        <v>2921</v>
      </c>
      <c r="E2836">
        <v>80566.4765687463</v>
      </c>
      <c r="F2836">
        <v>27760.9436568886</v>
      </c>
      <c r="G2836">
        <v>23088.3865233903</v>
      </c>
      <c r="H2836">
        <v>17048.070142837</v>
      </c>
      <c r="I2836">
        <v>131415.81</v>
      </c>
      <c r="J2836">
        <v>114367.74</v>
      </c>
      <c r="K2836" s="1"/>
      <c r="L2836" s="1"/>
      <c r="M2836" s="1"/>
      <c r="N2836" s="1"/>
    </row>
    <row r="2837" ht="15.75" customHeight="1">
      <c r="A2837" t="s">
        <v>51</v>
      </c>
      <c r="B2837" t="s">
        <v>33</v>
      </c>
      <c r="C2837" t="s">
        <v>4908</v>
      </c>
      <c r="D2837" t="s">
        <v>2922</v>
      </c>
      <c r="E2837">
        <v>80577.3595386525</v>
      </c>
      <c r="F2837">
        <v>27765.558375216</v>
      </c>
      <c r="G2837">
        <v>23096.0665268198</v>
      </c>
      <c r="H2837">
        <v>17051.4676935243</v>
      </c>
      <c r="I2837">
        <v>131438.98</v>
      </c>
      <c r="J2837">
        <v>114387.51</v>
      </c>
      <c r="K2837" s="1"/>
      <c r="L2837" s="1"/>
      <c r="M2837" s="1"/>
      <c r="N2837" s="1"/>
    </row>
    <row r="2838" ht="15.75" customHeight="1">
      <c r="A2838" t="s">
        <v>25</v>
      </c>
      <c r="B2838" t="s">
        <v>37</v>
      </c>
      <c r="C2838" t="s">
        <v>4910</v>
      </c>
      <c r="D2838" t="s">
        <v>2923</v>
      </c>
      <c r="E2838">
        <v>80588.2425085587</v>
      </c>
      <c r="F2838">
        <v>27770.1730935435</v>
      </c>
      <c r="G2838">
        <v>23103.7465302493</v>
      </c>
      <c r="H2838">
        <v>17054.8652442116</v>
      </c>
      <c r="I2838">
        <v>131462.16</v>
      </c>
      <c r="J2838">
        <v>114407.29</v>
      </c>
      <c r="K2838" s="1"/>
      <c r="L2838" s="1"/>
      <c r="M2838" s="1"/>
      <c r="N2838" s="1"/>
    </row>
    <row r="2839" ht="15.75" customHeight="1">
      <c r="A2839" t="s">
        <v>36</v>
      </c>
      <c r="B2839" t="s">
        <v>26</v>
      </c>
      <c r="C2839" t="s">
        <v>4905</v>
      </c>
      <c r="D2839" t="s">
        <v>2924</v>
      </c>
      <c r="E2839">
        <v>80599.1254784649</v>
      </c>
      <c r="F2839">
        <v>27774.7878118709</v>
      </c>
      <c r="G2839">
        <v>23111.4265336788</v>
      </c>
      <c r="H2839">
        <v>17058.2627948989</v>
      </c>
      <c r="I2839">
        <v>131485.34</v>
      </c>
      <c r="J2839">
        <v>114427.08</v>
      </c>
      <c r="K2839" s="1"/>
      <c r="L2839" s="1"/>
      <c r="M2839" s="1"/>
      <c r="N2839" s="1"/>
    </row>
    <row r="2840" ht="15.75" customHeight="1">
      <c r="A2840" t="s">
        <v>36</v>
      </c>
      <c r="B2840" t="s">
        <v>14</v>
      </c>
      <c r="C2840" t="s">
        <v>4911</v>
      </c>
      <c r="D2840" t="s">
        <v>2925</v>
      </c>
      <c r="E2840">
        <v>80610.0084483711</v>
      </c>
      <c r="F2840">
        <v>27779.4025301983</v>
      </c>
      <c r="G2840">
        <v>23119.1065371083</v>
      </c>
      <c r="H2840">
        <v>17061.6603455862</v>
      </c>
      <c r="I2840">
        <v>131508.52</v>
      </c>
      <c r="J2840">
        <v>114446.86</v>
      </c>
      <c r="K2840" s="1"/>
      <c r="L2840" s="1"/>
      <c r="M2840" s="1"/>
      <c r="N2840" s="1"/>
    </row>
    <row r="2841" ht="15.75" customHeight="1">
      <c r="A2841" t="s">
        <v>17</v>
      </c>
      <c r="B2841" t="s">
        <v>18</v>
      </c>
      <c r="C2841" t="s">
        <v>4917</v>
      </c>
      <c r="D2841" t="s">
        <v>2926</v>
      </c>
      <c r="E2841">
        <v>80620.8914182773</v>
      </c>
      <c r="F2841">
        <v>27784.0172485257</v>
      </c>
      <c r="G2841">
        <v>23126.7865405378</v>
      </c>
      <c r="H2841">
        <v>17065.0578962735</v>
      </c>
      <c r="I2841">
        <v>131531.7</v>
      </c>
      <c r="J2841">
        <v>114466.64</v>
      </c>
      <c r="K2841" s="1"/>
      <c r="L2841" s="1"/>
      <c r="M2841" s="1"/>
      <c r="N2841" s="1"/>
    </row>
    <row r="2842" ht="15.75" customHeight="1">
      <c r="A2842" t="s">
        <v>29</v>
      </c>
      <c r="B2842" t="s">
        <v>26</v>
      </c>
      <c r="C2842" t="s">
        <v>4913</v>
      </c>
      <c r="D2842" t="s">
        <v>2927</v>
      </c>
      <c r="E2842">
        <v>80631.7743881835</v>
      </c>
      <c r="F2842">
        <v>27788.6319668531</v>
      </c>
      <c r="G2842">
        <v>23134.4665439673</v>
      </c>
      <c r="H2842">
        <v>17068.4554469607</v>
      </c>
      <c r="I2842">
        <v>131554.87</v>
      </c>
      <c r="J2842">
        <v>114486.41</v>
      </c>
      <c r="K2842" s="1"/>
      <c r="L2842" s="1"/>
      <c r="M2842" s="1"/>
      <c r="N2842" s="1"/>
    </row>
    <row r="2843" ht="15.75" customHeight="1">
      <c r="A2843" t="s">
        <v>13</v>
      </c>
      <c r="B2843" t="s">
        <v>30</v>
      </c>
      <c r="C2843" t="s">
        <v>4909</v>
      </c>
      <c r="D2843" t="s">
        <v>2928</v>
      </c>
      <c r="E2843">
        <v>80642.6573580896</v>
      </c>
      <c r="F2843">
        <v>27793.2466851806</v>
      </c>
      <c r="G2843">
        <v>23142.1465473968</v>
      </c>
      <c r="H2843">
        <v>17071.852997648</v>
      </c>
      <c r="I2843">
        <v>131578.05</v>
      </c>
      <c r="J2843">
        <v>114506.2</v>
      </c>
      <c r="K2843" s="1"/>
      <c r="L2843" s="1"/>
      <c r="M2843" s="1"/>
      <c r="N2843" s="1"/>
    </row>
    <row r="2844" ht="15.75" customHeight="1">
      <c r="A2844" t="s">
        <v>51</v>
      </c>
      <c r="B2844" t="s">
        <v>18</v>
      </c>
      <c r="C2844" t="s">
        <v>4911</v>
      </c>
      <c r="D2844" t="s">
        <v>2929</v>
      </c>
      <c r="E2844">
        <v>80653.5403279958</v>
      </c>
      <c r="F2844">
        <v>27797.861403508</v>
      </c>
      <c r="G2844">
        <v>23149.8265508263</v>
      </c>
      <c r="H2844">
        <v>17075.2505483353</v>
      </c>
      <c r="I2844">
        <v>131601.23</v>
      </c>
      <c r="J2844">
        <v>114525.98</v>
      </c>
      <c r="K2844" s="1"/>
      <c r="L2844" s="1"/>
      <c r="M2844" s="1"/>
      <c r="N2844" s="1"/>
    </row>
    <row r="2845" ht="15.75" customHeight="1">
      <c r="A2845" t="s">
        <v>13</v>
      </c>
      <c r="B2845" t="s">
        <v>14</v>
      </c>
      <c r="C2845" t="s">
        <v>4908</v>
      </c>
      <c r="D2845" t="s">
        <v>2930</v>
      </c>
      <c r="E2845">
        <v>80664.423297902</v>
      </c>
      <c r="F2845">
        <v>27802.4761218354</v>
      </c>
      <c r="G2845">
        <v>23157.5065542558</v>
      </c>
      <c r="H2845">
        <v>17078.6480990226</v>
      </c>
      <c r="I2845">
        <v>131624.41</v>
      </c>
      <c r="J2845">
        <v>114545.76</v>
      </c>
      <c r="K2845" s="1"/>
      <c r="L2845" s="1"/>
      <c r="M2845" s="1"/>
      <c r="N2845" s="1"/>
    </row>
    <row r="2846" ht="15.75" customHeight="1">
      <c r="A2846" t="s">
        <v>51</v>
      </c>
      <c r="B2846" t="s">
        <v>26</v>
      </c>
      <c r="C2846" t="s">
        <v>4917</v>
      </c>
      <c r="D2846" t="s">
        <v>2931</v>
      </c>
      <c r="E2846">
        <v>80675.3062678082</v>
      </c>
      <c r="F2846">
        <v>27807.0908401628</v>
      </c>
      <c r="G2846">
        <v>23165.1865576853</v>
      </c>
      <c r="H2846">
        <v>17082.0456497099</v>
      </c>
      <c r="I2846">
        <v>131647.58</v>
      </c>
      <c r="J2846">
        <v>114565.53</v>
      </c>
      <c r="K2846" s="1"/>
      <c r="L2846" s="1"/>
      <c r="M2846" s="1"/>
      <c r="N2846" s="1"/>
    </row>
    <row r="2847" ht="15.75" customHeight="1">
      <c r="A2847" t="s">
        <v>36</v>
      </c>
      <c r="B2847" t="s">
        <v>54</v>
      </c>
      <c r="C2847" t="s">
        <v>4912</v>
      </c>
      <c r="D2847" t="s">
        <v>2932</v>
      </c>
      <c r="E2847">
        <v>80686.1892377144</v>
      </c>
      <c r="F2847">
        <v>27811.7055584903</v>
      </c>
      <c r="G2847">
        <v>23172.8665611148</v>
      </c>
      <c r="H2847">
        <v>17085.4432003972</v>
      </c>
      <c r="I2847">
        <v>131670.76</v>
      </c>
      <c r="J2847">
        <v>114585.32</v>
      </c>
      <c r="K2847" s="1"/>
      <c r="L2847" s="1"/>
      <c r="M2847" s="1"/>
      <c r="N2847" s="1"/>
    </row>
    <row r="2848" ht="15.75" customHeight="1">
      <c r="A2848" t="s">
        <v>36</v>
      </c>
      <c r="B2848" t="s">
        <v>30</v>
      </c>
      <c r="C2848" t="s">
        <v>4907</v>
      </c>
      <c r="D2848" t="s">
        <v>2933</v>
      </c>
      <c r="E2848">
        <v>80697.0722076206</v>
      </c>
      <c r="F2848">
        <v>27816.3202768177</v>
      </c>
      <c r="G2848">
        <v>23180.5465645443</v>
      </c>
      <c r="H2848">
        <v>17088.8407510845</v>
      </c>
      <c r="I2848">
        <v>131693.94</v>
      </c>
      <c r="J2848">
        <v>114605.1</v>
      </c>
      <c r="K2848" s="1"/>
      <c r="L2848" s="1"/>
      <c r="M2848" s="1"/>
      <c r="N2848" s="1"/>
    </row>
    <row r="2849" ht="15.75" customHeight="1">
      <c r="A2849" t="s">
        <v>29</v>
      </c>
      <c r="B2849" t="s">
        <v>33</v>
      </c>
      <c r="C2849" t="s">
        <v>4913</v>
      </c>
      <c r="D2849" t="s">
        <v>2934</v>
      </c>
      <c r="E2849">
        <v>80707.9551775268</v>
      </c>
      <c r="F2849">
        <v>27820.9349951451</v>
      </c>
      <c r="G2849">
        <v>23188.2265679738</v>
      </c>
      <c r="H2849">
        <v>17092.2383017717</v>
      </c>
      <c r="I2849">
        <v>131717.12</v>
      </c>
      <c r="J2849">
        <v>114624.88</v>
      </c>
      <c r="K2849" s="1"/>
      <c r="L2849" s="1"/>
      <c r="M2849" s="1"/>
      <c r="N2849" s="1"/>
    </row>
    <row r="2850" ht="15.75" customHeight="1">
      <c r="A2850" t="s">
        <v>13</v>
      </c>
      <c r="B2850" t="s">
        <v>54</v>
      </c>
      <c r="C2850" t="s">
        <v>4908</v>
      </c>
      <c r="D2850" t="s">
        <v>2935</v>
      </c>
      <c r="E2850">
        <v>80729.7211173392</v>
      </c>
      <c r="F2850">
        <v>27830.1644317999</v>
      </c>
      <c r="G2850">
        <v>23203.5865748328</v>
      </c>
      <c r="H2850">
        <v>17099.0334031463</v>
      </c>
      <c r="I2850">
        <v>131763.47</v>
      </c>
      <c r="J2850">
        <v>114664.44</v>
      </c>
      <c r="K2850" s="1"/>
      <c r="L2850" s="1"/>
      <c r="M2850" s="1"/>
      <c r="N2850" s="1"/>
    </row>
    <row r="2851" ht="15.75" customHeight="1">
      <c r="A2851" t="s">
        <v>25</v>
      </c>
      <c r="B2851" t="s">
        <v>18</v>
      </c>
      <c r="C2851" t="s">
        <v>4917</v>
      </c>
      <c r="D2851" t="s">
        <v>2936</v>
      </c>
      <c r="E2851">
        <v>80740.6040872454</v>
      </c>
      <c r="F2851">
        <v>27834.7791501274</v>
      </c>
      <c r="G2851">
        <v>23211.2665782623</v>
      </c>
      <c r="H2851">
        <v>17102.4309538336</v>
      </c>
      <c r="I2851">
        <v>131786.65</v>
      </c>
      <c r="J2851">
        <v>114684.22</v>
      </c>
      <c r="K2851" s="1"/>
      <c r="L2851" s="1"/>
      <c r="M2851" s="1"/>
      <c r="N2851" s="1"/>
    </row>
    <row r="2852" ht="15.75" customHeight="1">
      <c r="A2852" t="s">
        <v>25</v>
      </c>
      <c r="B2852" t="s">
        <v>14</v>
      </c>
      <c r="C2852" t="s">
        <v>4909</v>
      </c>
      <c r="D2852" t="s">
        <v>2937</v>
      </c>
      <c r="E2852">
        <v>80751.4870571516</v>
      </c>
      <c r="F2852">
        <v>27839.3938684548</v>
      </c>
      <c r="G2852">
        <v>23218.9465816918</v>
      </c>
      <c r="H2852">
        <v>17105.8285045209</v>
      </c>
      <c r="I2852">
        <v>131809.83</v>
      </c>
      <c r="J2852">
        <v>114704.0</v>
      </c>
      <c r="K2852" s="1"/>
      <c r="L2852" s="1"/>
      <c r="M2852" s="1"/>
      <c r="N2852" s="1"/>
    </row>
    <row r="2853" ht="15.75" customHeight="1">
      <c r="A2853" t="s">
        <v>51</v>
      </c>
      <c r="B2853" t="s">
        <v>14</v>
      </c>
      <c r="C2853" t="s">
        <v>4912</v>
      </c>
      <c r="D2853" t="s">
        <v>2938</v>
      </c>
      <c r="E2853">
        <v>80762.3700270578</v>
      </c>
      <c r="F2853">
        <v>27844.0085867822</v>
      </c>
      <c r="G2853">
        <v>23226.6265851212</v>
      </c>
      <c r="H2853">
        <v>17109.2260552082</v>
      </c>
      <c r="I2853">
        <v>131833.01</v>
      </c>
      <c r="J2853">
        <v>114723.78</v>
      </c>
      <c r="K2853" s="1"/>
      <c r="L2853" s="1"/>
      <c r="M2853" s="1"/>
      <c r="N2853" s="1"/>
    </row>
    <row r="2854" ht="15.75" customHeight="1">
      <c r="A2854" t="s">
        <v>17</v>
      </c>
      <c r="B2854" t="s">
        <v>37</v>
      </c>
      <c r="C2854" t="s">
        <v>4913</v>
      </c>
      <c r="D2854" t="s">
        <v>2939</v>
      </c>
      <c r="E2854">
        <v>80773.252996964</v>
      </c>
      <c r="F2854">
        <v>27848.6233051096</v>
      </c>
      <c r="G2854">
        <v>23234.3065885507</v>
      </c>
      <c r="H2854">
        <v>17112.6236058955</v>
      </c>
      <c r="I2854">
        <v>131856.18</v>
      </c>
      <c r="J2854">
        <v>114743.56</v>
      </c>
      <c r="K2854" s="1"/>
      <c r="L2854" s="1"/>
      <c r="M2854" s="1"/>
      <c r="N2854" s="1"/>
    </row>
    <row r="2855" ht="15.75" customHeight="1">
      <c r="A2855" t="s">
        <v>51</v>
      </c>
      <c r="B2855" t="s">
        <v>14</v>
      </c>
      <c r="C2855" t="s">
        <v>4911</v>
      </c>
      <c r="D2855" t="s">
        <v>2940</v>
      </c>
      <c r="E2855">
        <v>80784.1359668702</v>
      </c>
      <c r="F2855">
        <v>27853.2380234371</v>
      </c>
      <c r="G2855">
        <v>23241.9865919802</v>
      </c>
      <c r="H2855">
        <v>17116.0211565828</v>
      </c>
      <c r="I2855">
        <v>131879.36</v>
      </c>
      <c r="J2855">
        <v>114763.34</v>
      </c>
      <c r="K2855" s="1"/>
      <c r="L2855" s="1"/>
      <c r="M2855" s="1"/>
      <c r="N2855" s="1"/>
    </row>
    <row r="2856" ht="15.75" customHeight="1">
      <c r="A2856" t="s">
        <v>17</v>
      </c>
      <c r="B2856" t="s">
        <v>33</v>
      </c>
      <c r="C2856" t="s">
        <v>4911</v>
      </c>
      <c r="D2856" t="s">
        <v>2941</v>
      </c>
      <c r="E2856">
        <v>80795.0189367764</v>
      </c>
      <c r="F2856">
        <v>27857.8527417645</v>
      </c>
      <c r="G2856">
        <v>23249.6665954097</v>
      </c>
      <c r="H2856">
        <v>17119.41870727</v>
      </c>
      <c r="I2856">
        <v>131902.54</v>
      </c>
      <c r="J2856">
        <v>114783.12</v>
      </c>
      <c r="K2856" s="1"/>
      <c r="L2856" s="1"/>
      <c r="M2856" s="1"/>
      <c r="N2856" s="1"/>
    </row>
    <row r="2857" ht="15.75" customHeight="1">
      <c r="A2857" t="s">
        <v>25</v>
      </c>
      <c r="B2857" t="s">
        <v>18</v>
      </c>
      <c r="C2857" t="s">
        <v>4913</v>
      </c>
      <c r="D2857" t="s">
        <v>2942</v>
      </c>
      <c r="E2857">
        <v>80805.9019066825</v>
      </c>
      <c r="F2857">
        <v>27862.4674600919</v>
      </c>
      <c r="G2857">
        <v>23257.3465988392</v>
      </c>
      <c r="H2857">
        <v>17122.8162579573</v>
      </c>
      <c r="I2857">
        <v>131925.72</v>
      </c>
      <c r="J2857">
        <v>114802.9</v>
      </c>
      <c r="K2857" s="1"/>
      <c r="L2857" s="1"/>
      <c r="M2857" s="1"/>
      <c r="N2857" s="1"/>
    </row>
    <row r="2858" ht="15.75" customHeight="1">
      <c r="A2858" t="s">
        <v>29</v>
      </c>
      <c r="B2858" t="s">
        <v>54</v>
      </c>
      <c r="C2858" t="s">
        <v>4908</v>
      </c>
      <c r="D2858" t="s">
        <v>2943</v>
      </c>
      <c r="E2858">
        <v>80816.7848765887</v>
      </c>
      <c r="F2858">
        <v>27867.0821784193</v>
      </c>
      <c r="G2858">
        <v>23265.0266022687</v>
      </c>
      <c r="H2858">
        <v>17126.2138086446</v>
      </c>
      <c r="I2858">
        <v>131948.89</v>
      </c>
      <c r="J2858">
        <v>114822.68</v>
      </c>
      <c r="K2858" s="1"/>
      <c r="L2858" s="1"/>
      <c r="M2858" s="1"/>
      <c r="N2858" s="1"/>
    </row>
    <row r="2859" ht="15.75" customHeight="1">
      <c r="A2859" t="s">
        <v>17</v>
      </c>
      <c r="B2859" t="s">
        <v>18</v>
      </c>
      <c r="C2859" t="s">
        <v>4907</v>
      </c>
      <c r="D2859" t="s">
        <v>2944</v>
      </c>
      <c r="E2859">
        <v>80827.6678464949</v>
      </c>
      <c r="F2859">
        <v>27871.6968967467</v>
      </c>
      <c r="G2859">
        <v>23272.7066056982</v>
      </c>
      <c r="H2859">
        <v>17129.6113593319</v>
      </c>
      <c r="I2859">
        <v>131972.07</v>
      </c>
      <c r="J2859">
        <v>114842.46</v>
      </c>
      <c r="K2859" s="1"/>
      <c r="L2859" s="1"/>
      <c r="M2859" s="1"/>
      <c r="N2859" s="1"/>
    </row>
    <row r="2860" ht="15.75" customHeight="1">
      <c r="A2860" t="s">
        <v>53</v>
      </c>
      <c r="B2860" t="s">
        <v>30</v>
      </c>
      <c r="C2860" t="s">
        <v>4912</v>
      </c>
      <c r="D2860" t="s">
        <v>2946</v>
      </c>
      <c r="E2860">
        <v>80838.5508164011</v>
      </c>
      <c r="F2860">
        <v>27876.3116150742</v>
      </c>
      <c r="G2860">
        <v>23280.3866091277</v>
      </c>
      <c r="H2860">
        <v>17133.0089100192</v>
      </c>
      <c r="I2860">
        <v>131995.25</v>
      </c>
      <c r="J2860">
        <v>114862.24</v>
      </c>
      <c r="K2860" s="1"/>
      <c r="L2860" s="1"/>
      <c r="M2860" s="1"/>
      <c r="N2860" s="1"/>
    </row>
    <row r="2861" ht="15.75" customHeight="1">
      <c r="A2861" t="s">
        <v>13</v>
      </c>
      <c r="B2861" t="s">
        <v>37</v>
      </c>
      <c r="C2861" t="s">
        <v>4916</v>
      </c>
      <c r="D2861" t="s">
        <v>2947</v>
      </c>
      <c r="E2861">
        <v>80849.4337863073</v>
      </c>
      <c r="F2861">
        <v>27880.9263334016</v>
      </c>
      <c r="G2861">
        <v>23288.0666125572</v>
      </c>
      <c r="H2861">
        <v>17136.4064607065</v>
      </c>
      <c r="I2861">
        <v>132018.43</v>
      </c>
      <c r="J2861">
        <v>114882.02</v>
      </c>
      <c r="K2861" s="1"/>
      <c r="L2861" s="1"/>
      <c r="M2861" s="1"/>
      <c r="N2861" s="1"/>
    </row>
    <row r="2862" ht="15.75" customHeight="1">
      <c r="A2862" t="s">
        <v>36</v>
      </c>
      <c r="B2862" t="s">
        <v>30</v>
      </c>
      <c r="C2862" t="s">
        <v>4914</v>
      </c>
      <c r="D2862" t="s">
        <v>2948</v>
      </c>
      <c r="E2862">
        <v>80860.3167562135</v>
      </c>
      <c r="F2862">
        <v>27885.541051729</v>
      </c>
      <c r="G2862">
        <v>23295.7466159867</v>
      </c>
      <c r="H2862">
        <v>17139.8040113938</v>
      </c>
      <c r="I2862">
        <v>132041.6</v>
      </c>
      <c r="J2862">
        <v>114901.8</v>
      </c>
      <c r="K2862" s="1"/>
      <c r="L2862" s="1"/>
      <c r="M2862" s="1"/>
      <c r="N2862" s="1"/>
    </row>
    <row r="2863" ht="15.75" customHeight="1">
      <c r="A2863" t="s">
        <v>53</v>
      </c>
      <c r="B2863" t="s">
        <v>33</v>
      </c>
      <c r="C2863" t="s">
        <v>4909</v>
      </c>
      <c r="D2863" t="s">
        <v>2949</v>
      </c>
      <c r="E2863">
        <v>80871.1997261197</v>
      </c>
      <c r="F2863">
        <v>27890.1557700564</v>
      </c>
      <c r="G2863">
        <v>23303.4266194162</v>
      </c>
      <c r="H2863">
        <v>17143.2015620811</v>
      </c>
      <c r="I2863">
        <v>132064.78</v>
      </c>
      <c r="J2863">
        <v>114921.58</v>
      </c>
      <c r="K2863" s="1"/>
      <c r="L2863" s="1"/>
      <c r="M2863" s="1"/>
      <c r="N2863" s="1"/>
    </row>
    <row r="2864" ht="15.75" customHeight="1">
      <c r="A2864" t="s">
        <v>51</v>
      </c>
      <c r="B2864" t="s">
        <v>14</v>
      </c>
      <c r="C2864" t="s">
        <v>4905</v>
      </c>
      <c r="D2864" t="s">
        <v>2950</v>
      </c>
      <c r="E2864">
        <v>80882.0826960259</v>
      </c>
      <c r="F2864">
        <v>27894.7704883839</v>
      </c>
      <c r="G2864">
        <v>23311.1066228457</v>
      </c>
      <c r="H2864">
        <v>17146.5991127683</v>
      </c>
      <c r="I2864">
        <v>132087.96</v>
      </c>
      <c r="J2864">
        <v>114941.36</v>
      </c>
      <c r="K2864" s="1"/>
      <c r="L2864" s="1"/>
      <c r="M2864" s="1"/>
      <c r="N2864" s="1"/>
    </row>
    <row r="2865" ht="15.75" customHeight="1">
      <c r="A2865" t="s">
        <v>36</v>
      </c>
      <c r="B2865" t="s">
        <v>54</v>
      </c>
      <c r="C2865" t="s">
        <v>4913</v>
      </c>
      <c r="D2865" t="s">
        <v>2951</v>
      </c>
      <c r="E2865">
        <v>80892.9656659321</v>
      </c>
      <c r="F2865">
        <v>27899.3852067113</v>
      </c>
      <c r="G2865">
        <v>23318.7866262752</v>
      </c>
      <c r="H2865">
        <v>17149.9966634556</v>
      </c>
      <c r="I2865">
        <v>132111.14</v>
      </c>
      <c r="J2865">
        <v>114961.14</v>
      </c>
      <c r="K2865" s="1"/>
      <c r="L2865" s="1"/>
      <c r="M2865" s="1"/>
      <c r="N2865" s="1"/>
    </row>
    <row r="2866" ht="15.75" customHeight="1">
      <c r="A2866" t="s">
        <v>51</v>
      </c>
      <c r="B2866" t="s">
        <v>33</v>
      </c>
      <c r="C2866" t="s">
        <v>4912</v>
      </c>
      <c r="D2866" t="s">
        <v>2952</v>
      </c>
      <c r="E2866">
        <v>80903.8486358383</v>
      </c>
      <c r="F2866">
        <v>27903.9999250387</v>
      </c>
      <c r="G2866">
        <v>23326.4666297047</v>
      </c>
      <c r="H2866">
        <v>17153.3942141429</v>
      </c>
      <c r="I2866">
        <v>132134.32</v>
      </c>
      <c r="J2866">
        <v>114980.93</v>
      </c>
      <c r="K2866" s="1"/>
      <c r="L2866" s="1"/>
      <c r="M2866" s="1"/>
      <c r="N2866" s="1"/>
    </row>
    <row r="2867" ht="15.75" customHeight="1">
      <c r="A2867" t="s">
        <v>17</v>
      </c>
      <c r="B2867" t="s">
        <v>33</v>
      </c>
      <c r="C2867" t="s">
        <v>4905</v>
      </c>
      <c r="D2867" t="s">
        <v>2953</v>
      </c>
      <c r="E2867">
        <v>80914.7316057445</v>
      </c>
      <c r="F2867">
        <v>27908.6146433661</v>
      </c>
      <c r="G2867">
        <v>23334.1466331342</v>
      </c>
      <c r="H2867">
        <v>17156.7917648302</v>
      </c>
      <c r="I2867">
        <v>132157.49</v>
      </c>
      <c r="J2867">
        <v>115000.7</v>
      </c>
      <c r="K2867" s="1"/>
      <c r="L2867" s="1"/>
      <c r="M2867" s="1"/>
      <c r="N2867" s="1"/>
    </row>
    <row r="2868" ht="15.75" customHeight="1">
      <c r="A2868" t="s">
        <v>29</v>
      </c>
      <c r="B2868" t="s">
        <v>54</v>
      </c>
      <c r="C2868" t="s">
        <v>4914</v>
      </c>
      <c r="D2868" t="s">
        <v>2954</v>
      </c>
      <c r="E2868">
        <v>80925.6145756507</v>
      </c>
      <c r="F2868">
        <v>27913.2293616935</v>
      </c>
      <c r="G2868">
        <v>23341.8266365637</v>
      </c>
      <c r="H2868">
        <v>17160.1893155175</v>
      </c>
      <c r="I2868">
        <v>132180.67</v>
      </c>
      <c r="J2868">
        <v>115020.48</v>
      </c>
      <c r="K2868" s="1"/>
      <c r="L2868" s="1"/>
      <c r="M2868" s="1"/>
      <c r="N2868" s="1"/>
    </row>
    <row r="2869" ht="15.75" customHeight="1">
      <c r="A2869" t="s">
        <v>25</v>
      </c>
      <c r="B2869" t="s">
        <v>54</v>
      </c>
      <c r="C2869" t="s">
        <v>4916</v>
      </c>
      <c r="D2869" t="s">
        <v>2955</v>
      </c>
      <c r="E2869">
        <v>80936.4975455569</v>
      </c>
      <c r="F2869">
        <v>27917.844080021</v>
      </c>
      <c r="G2869">
        <v>23349.5066399932</v>
      </c>
      <c r="H2869">
        <v>17163.5868662048</v>
      </c>
      <c r="I2869">
        <v>132203.85</v>
      </c>
      <c r="J2869">
        <v>115040.26</v>
      </c>
      <c r="K2869" s="1"/>
      <c r="L2869" s="1"/>
      <c r="M2869" s="1"/>
      <c r="N2869" s="1"/>
    </row>
    <row r="2870" ht="15.75" customHeight="1">
      <c r="A2870" t="s">
        <v>29</v>
      </c>
      <c r="B2870" t="s">
        <v>54</v>
      </c>
      <c r="C2870" t="s">
        <v>4908</v>
      </c>
      <c r="D2870" t="s">
        <v>2956</v>
      </c>
      <c r="E2870">
        <v>80947.3805154631</v>
      </c>
      <c r="F2870">
        <v>27922.4587983484</v>
      </c>
      <c r="G2870">
        <v>23357.1866434227</v>
      </c>
      <c r="H2870">
        <v>17166.9844168921</v>
      </c>
      <c r="I2870">
        <v>132227.03</v>
      </c>
      <c r="J2870">
        <v>115060.05</v>
      </c>
      <c r="K2870" s="1"/>
      <c r="L2870" s="1"/>
      <c r="M2870" s="1"/>
      <c r="N2870" s="1"/>
    </row>
    <row r="2871" ht="15.75" customHeight="1">
      <c r="A2871" t="s">
        <v>53</v>
      </c>
      <c r="B2871" t="s">
        <v>14</v>
      </c>
      <c r="C2871" t="s">
        <v>4912</v>
      </c>
      <c r="D2871" t="s">
        <v>2957</v>
      </c>
      <c r="E2871">
        <v>80958.2634853693</v>
      </c>
      <c r="F2871">
        <v>27927.0735166758</v>
      </c>
      <c r="G2871">
        <v>23364.8666468522</v>
      </c>
      <c r="H2871">
        <v>17170.3819675793</v>
      </c>
      <c r="I2871">
        <v>132250.2</v>
      </c>
      <c r="J2871">
        <v>115079.82</v>
      </c>
      <c r="K2871" s="1"/>
      <c r="L2871" s="1"/>
      <c r="M2871" s="1"/>
      <c r="N2871" s="1"/>
    </row>
    <row r="2872" ht="15.75" customHeight="1">
      <c r="A2872" t="s">
        <v>51</v>
      </c>
      <c r="B2872" t="s">
        <v>33</v>
      </c>
      <c r="C2872" t="s">
        <v>4909</v>
      </c>
      <c r="D2872" t="s">
        <v>2958</v>
      </c>
      <c r="E2872">
        <v>80969.1464552754</v>
      </c>
      <c r="F2872">
        <v>27931.6882350032</v>
      </c>
      <c r="G2872">
        <v>23372.5466502817</v>
      </c>
      <c r="H2872">
        <v>17173.7795182666</v>
      </c>
      <c r="I2872">
        <v>132273.38</v>
      </c>
      <c r="J2872">
        <v>115099.6</v>
      </c>
      <c r="K2872" s="1"/>
      <c r="L2872" s="1"/>
      <c r="M2872" s="1"/>
      <c r="N2872" s="1"/>
    </row>
    <row r="2873" ht="15.75" customHeight="1">
      <c r="A2873" t="s">
        <v>17</v>
      </c>
      <c r="B2873" t="s">
        <v>14</v>
      </c>
      <c r="C2873" t="s">
        <v>4911</v>
      </c>
      <c r="D2873" t="s">
        <v>2959</v>
      </c>
      <c r="E2873">
        <v>80990.9123950878</v>
      </c>
      <c r="F2873">
        <v>27940.9176716581</v>
      </c>
      <c r="G2873">
        <v>23387.9066571407</v>
      </c>
      <c r="H2873">
        <v>17180.5746196412</v>
      </c>
      <c r="I2873">
        <v>132319.74</v>
      </c>
      <c r="J2873">
        <v>115139.17</v>
      </c>
      <c r="K2873" s="1"/>
      <c r="L2873" s="1"/>
      <c r="M2873" s="1"/>
      <c r="N2873" s="1"/>
    </row>
    <row r="2874" ht="15.75" customHeight="1">
      <c r="A2874" t="s">
        <v>25</v>
      </c>
      <c r="B2874" t="s">
        <v>18</v>
      </c>
      <c r="C2874" t="s">
        <v>4911</v>
      </c>
      <c r="D2874" t="s">
        <v>2960</v>
      </c>
      <c r="E2874">
        <v>81001.795364994</v>
      </c>
      <c r="F2874">
        <v>27945.5323899855</v>
      </c>
      <c r="G2874">
        <v>23395.5866605702</v>
      </c>
      <c r="H2874">
        <v>17183.9721703285</v>
      </c>
      <c r="I2874">
        <v>132342.91</v>
      </c>
      <c r="J2874">
        <v>115158.94</v>
      </c>
      <c r="K2874" s="1"/>
      <c r="L2874" s="1"/>
      <c r="M2874" s="1"/>
      <c r="N2874" s="1"/>
    </row>
    <row r="2875" ht="15.75" customHeight="1">
      <c r="A2875" t="s">
        <v>36</v>
      </c>
      <c r="B2875" t="s">
        <v>30</v>
      </c>
      <c r="C2875" t="s">
        <v>4908</v>
      </c>
      <c r="D2875" t="s">
        <v>2961</v>
      </c>
      <c r="E2875">
        <v>81012.6783349002</v>
      </c>
      <c r="F2875">
        <v>27950.1471083129</v>
      </c>
      <c r="G2875">
        <v>23403.2666639997</v>
      </c>
      <c r="H2875">
        <v>17187.3697210158</v>
      </c>
      <c r="I2875">
        <v>132366.09</v>
      </c>
      <c r="J2875">
        <v>115178.72</v>
      </c>
      <c r="K2875" s="1"/>
      <c r="L2875" s="1"/>
      <c r="M2875" s="1"/>
      <c r="N2875" s="1"/>
    </row>
    <row r="2876" ht="15.75" customHeight="1">
      <c r="A2876" t="s">
        <v>13</v>
      </c>
      <c r="B2876" t="s">
        <v>14</v>
      </c>
      <c r="C2876" t="s">
        <v>4910</v>
      </c>
      <c r="D2876" t="s">
        <v>2962</v>
      </c>
      <c r="E2876">
        <v>81023.5613048064</v>
      </c>
      <c r="F2876">
        <v>27954.7618266403</v>
      </c>
      <c r="G2876">
        <v>23410.9466674292</v>
      </c>
      <c r="H2876">
        <v>17190.7672717031</v>
      </c>
      <c r="I2876">
        <v>132389.27</v>
      </c>
      <c r="J2876">
        <v>115198.5</v>
      </c>
      <c r="K2876" s="1"/>
      <c r="L2876" s="1"/>
      <c r="M2876" s="1"/>
      <c r="N2876" s="1"/>
    </row>
    <row r="2877" ht="15.75" customHeight="1">
      <c r="A2877" t="s">
        <v>13</v>
      </c>
      <c r="B2877" t="s">
        <v>54</v>
      </c>
      <c r="C2877" t="s">
        <v>4913</v>
      </c>
      <c r="D2877" t="s">
        <v>2963</v>
      </c>
      <c r="E2877">
        <v>81034.4442747126</v>
      </c>
      <c r="F2877">
        <v>27959.3765449678</v>
      </c>
      <c r="G2877">
        <v>23418.6266708587</v>
      </c>
      <c r="H2877">
        <v>17194.1648223904</v>
      </c>
      <c r="I2877">
        <v>132412.45</v>
      </c>
      <c r="J2877">
        <v>115218.29</v>
      </c>
      <c r="K2877" s="1"/>
      <c r="L2877" s="1"/>
      <c r="M2877" s="1"/>
      <c r="N2877" s="1"/>
    </row>
    <row r="2878" ht="15.75" customHeight="1">
      <c r="A2878" t="s">
        <v>13</v>
      </c>
      <c r="B2878" t="s">
        <v>54</v>
      </c>
      <c r="C2878" t="s">
        <v>4916</v>
      </c>
      <c r="D2878" t="s">
        <v>2964</v>
      </c>
      <c r="E2878">
        <v>81045.3272446188</v>
      </c>
      <c r="F2878">
        <v>27963.9912632952</v>
      </c>
      <c r="G2878">
        <v>23426.3066742882</v>
      </c>
      <c r="H2878">
        <v>17197.5623730776</v>
      </c>
      <c r="I2878">
        <v>132435.63</v>
      </c>
      <c r="J2878">
        <v>115238.07</v>
      </c>
      <c r="K2878" s="1"/>
      <c r="L2878" s="1"/>
      <c r="M2878" s="1"/>
      <c r="N2878" s="1"/>
    </row>
    <row r="2879" ht="15.75" customHeight="1">
      <c r="A2879" t="s">
        <v>51</v>
      </c>
      <c r="B2879" t="s">
        <v>33</v>
      </c>
      <c r="C2879" t="s">
        <v>4905</v>
      </c>
      <c r="D2879" t="s">
        <v>2965</v>
      </c>
      <c r="E2879">
        <v>81056.210214525</v>
      </c>
      <c r="F2879">
        <v>27968.6059816226</v>
      </c>
      <c r="G2879">
        <v>23433.9866777177</v>
      </c>
      <c r="H2879">
        <v>17200.9599237649</v>
      </c>
      <c r="I2879">
        <v>132458.8</v>
      </c>
      <c r="J2879">
        <v>115257.84</v>
      </c>
      <c r="K2879" s="1"/>
      <c r="L2879" s="1"/>
      <c r="M2879" s="1"/>
      <c r="N2879" s="1"/>
    </row>
    <row r="2880" ht="15.75" customHeight="1">
      <c r="A2880" t="s">
        <v>25</v>
      </c>
      <c r="B2880" t="s">
        <v>18</v>
      </c>
      <c r="C2880" t="s">
        <v>4909</v>
      </c>
      <c r="D2880" t="s">
        <v>2966</v>
      </c>
      <c r="E2880">
        <v>81067.0931844312</v>
      </c>
      <c r="F2880">
        <v>27973.22069995</v>
      </c>
      <c r="G2880">
        <v>23441.6666811472</v>
      </c>
      <c r="H2880">
        <v>17204.3574744522</v>
      </c>
      <c r="I2880">
        <v>132481.98</v>
      </c>
      <c r="J2880">
        <v>115277.62</v>
      </c>
      <c r="K2880" s="1"/>
      <c r="L2880" s="1"/>
      <c r="M2880" s="1"/>
      <c r="N2880" s="1"/>
    </row>
    <row r="2881" ht="15.75" customHeight="1">
      <c r="A2881" t="s">
        <v>51</v>
      </c>
      <c r="B2881" t="s">
        <v>54</v>
      </c>
      <c r="C2881" t="s">
        <v>4907</v>
      </c>
      <c r="D2881" t="s">
        <v>2967</v>
      </c>
      <c r="E2881">
        <v>81077.9761543374</v>
      </c>
      <c r="F2881">
        <v>27977.8354182774</v>
      </c>
      <c r="G2881">
        <v>23449.3466845767</v>
      </c>
      <c r="H2881">
        <v>17207.7550251395</v>
      </c>
      <c r="I2881">
        <v>132505.16</v>
      </c>
      <c r="J2881">
        <v>115297.4</v>
      </c>
      <c r="K2881" s="1"/>
      <c r="L2881" s="1"/>
      <c r="M2881" s="1"/>
      <c r="N2881" s="1"/>
    </row>
    <row r="2882" ht="15.75" customHeight="1">
      <c r="A2882" t="s">
        <v>17</v>
      </c>
      <c r="B2882" t="s">
        <v>14</v>
      </c>
      <c r="C2882" t="s">
        <v>4909</v>
      </c>
      <c r="D2882" t="s">
        <v>2968</v>
      </c>
      <c r="E2882">
        <v>81088.8591242436</v>
      </c>
      <c r="F2882">
        <v>27982.4501366049</v>
      </c>
      <c r="G2882">
        <v>23457.0266880062</v>
      </c>
      <c r="H2882">
        <v>17211.1525758268</v>
      </c>
      <c r="I2882">
        <v>132528.34</v>
      </c>
      <c r="J2882">
        <v>115317.19</v>
      </c>
      <c r="K2882" s="1"/>
      <c r="L2882" s="1"/>
      <c r="M2882" s="1"/>
      <c r="N2882" s="1"/>
    </row>
    <row r="2883" ht="15.75" customHeight="1">
      <c r="A2883" t="s">
        <v>25</v>
      </c>
      <c r="B2883" t="s">
        <v>54</v>
      </c>
      <c r="C2883" t="s">
        <v>4911</v>
      </c>
      <c r="D2883" t="s">
        <v>2969</v>
      </c>
      <c r="E2883">
        <v>81099.7420941498</v>
      </c>
      <c r="F2883">
        <v>27987.0648549323</v>
      </c>
      <c r="G2883">
        <v>23464.7066914357</v>
      </c>
      <c r="H2883">
        <v>17214.5501265141</v>
      </c>
      <c r="I2883">
        <v>132551.51</v>
      </c>
      <c r="J2883">
        <v>115336.96</v>
      </c>
      <c r="K2883" s="1"/>
      <c r="L2883" s="1"/>
      <c r="M2883" s="1"/>
      <c r="N2883" s="1"/>
    </row>
    <row r="2884" ht="15.75" customHeight="1">
      <c r="A2884" t="s">
        <v>29</v>
      </c>
      <c r="B2884" t="s">
        <v>37</v>
      </c>
      <c r="C2884" t="s">
        <v>4914</v>
      </c>
      <c r="D2884" t="s">
        <v>2970</v>
      </c>
      <c r="E2884">
        <v>81110.625064056</v>
      </c>
      <c r="F2884">
        <v>27991.6795732597</v>
      </c>
      <c r="G2884">
        <v>23472.3866948652</v>
      </c>
      <c r="H2884">
        <v>17217.9476772014</v>
      </c>
      <c r="I2884">
        <v>132574.69</v>
      </c>
      <c r="J2884">
        <v>115356.74</v>
      </c>
      <c r="K2884" s="1"/>
      <c r="L2884" s="1"/>
      <c r="M2884" s="1"/>
      <c r="N2884" s="1"/>
    </row>
    <row r="2885" ht="15.75" customHeight="1">
      <c r="A2885" t="s">
        <v>13</v>
      </c>
      <c r="B2885" t="s">
        <v>18</v>
      </c>
      <c r="C2885" t="s">
        <v>4914</v>
      </c>
      <c r="D2885" t="s">
        <v>2971</v>
      </c>
      <c r="E2885">
        <v>81121.5080339622</v>
      </c>
      <c r="F2885">
        <v>27996.2942915871</v>
      </c>
      <c r="G2885">
        <v>23480.0666982947</v>
      </c>
      <c r="H2885">
        <v>17221.3452278887</v>
      </c>
      <c r="I2885">
        <v>132597.87</v>
      </c>
      <c r="J2885">
        <v>115376.52</v>
      </c>
      <c r="K2885" s="1"/>
      <c r="L2885" s="1"/>
      <c r="M2885" s="1"/>
      <c r="N2885" s="1"/>
    </row>
    <row r="2886" ht="15.75" customHeight="1">
      <c r="A2886" t="s">
        <v>36</v>
      </c>
      <c r="B2886" t="s">
        <v>26</v>
      </c>
      <c r="C2886" t="s">
        <v>4909</v>
      </c>
      <c r="D2886" t="s">
        <v>2972</v>
      </c>
      <c r="E2886">
        <v>81132.3910038683</v>
      </c>
      <c r="F2886">
        <v>28000.9090099146</v>
      </c>
      <c r="G2886">
        <v>23487.7467017242</v>
      </c>
      <c r="H2886">
        <v>17224.7427785759</v>
      </c>
      <c r="I2886">
        <v>132621.05</v>
      </c>
      <c r="J2886">
        <v>115396.31</v>
      </c>
      <c r="K2886" s="1"/>
      <c r="L2886" s="1"/>
      <c r="M2886" s="1"/>
      <c r="N2886" s="1"/>
    </row>
    <row r="2887" ht="15.75" customHeight="1">
      <c r="A2887" t="s">
        <v>25</v>
      </c>
      <c r="B2887" t="s">
        <v>14</v>
      </c>
      <c r="C2887" t="s">
        <v>4915</v>
      </c>
      <c r="D2887" t="s">
        <v>2973</v>
      </c>
      <c r="E2887">
        <v>81143.2739737745</v>
      </c>
      <c r="F2887">
        <v>28005.523728242</v>
      </c>
      <c r="G2887">
        <v>23495.4267051537</v>
      </c>
      <c r="H2887">
        <v>17228.1403292632</v>
      </c>
      <c r="I2887">
        <v>132644.22</v>
      </c>
      <c r="J2887">
        <v>115416.08</v>
      </c>
      <c r="K2887" s="1"/>
      <c r="L2887" s="1"/>
      <c r="M2887" s="1"/>
      <c r="N2887" s="1"/>
    </row>
    <row r="2888" ht="15.75" customHeight="1">
      <c r="A2888" t="s">
        <v>36</v>
      </c>
      <c r="B2888" t="s">
        <v>26</v>
      </c>
      <c r="C2888" t="s">
        <v>4907</v>
      </c>
      <c r="D2888" t="s">
        <v>2974</v>
      </c>
      <c r="E2888">
        <v>81154.1569436807</v>
      </c>
      <c r="F2888">
        <v>28010.1384465694</v>
      </c>
      <c r="G2888">
        <v>23503.1067085831</v>
      </c>
      <c r="H2888">
        <v>17231.5378799505</v>
      </c>
      <c r="I2888">
        <v>132667.4</v>
      </c>
      <c r="J2888">
        <v>115435.86</v>
      </c>
      <c r="K2888" s="1"/>
      <c r="L2888" s="1"/>
      <c r="M2888" s="1"/>
      <c r="N2888" s="1"/>
    </row>
    <row r="2889" ht="15.75" customHeight="1">
      <c r="A2889" t="s">
        <v>17</v>
      </c>
      <c r="B2889" t="s">
        <v>18</v>
      </c>
      <c r="C2889" t="s">
        <v>4909</v>
      </c>
      <c r="D2889" t="s">
        <v>2975</v>
      </c>
      <c r="E2889">
        <v>81165.0399135869</v>
      </c>
      <c r="F2889">
        <v>28014.7531648968</v>
      </c>
      <c r="G2889">
        <v>23510.7867120126</v>
      </c>
      <c r="H2889">
        <v>17234.9354306378</v>
      </c>
      <c r="I2889">
        <v>132690.58</v>
      </c>
      <c r="J2889">
        <v>115455.64</v>
      </c>
      <c r="K2889" s="1"/>
      <c r="L2889" s="1"/>
      <c r="M2889" s="1"/>
      <c r="N2889" s="1"/>
    </row>
    <row r="2890" ht="15.75" customHeight="1">
      <c r="A2890" t="s">
        <v>17</v>
      </c>
      <c r="B2890" t="s">
        <v>33</v>
      </c>
      <c r="C2890" t="s">
        <v>4905</v>
      </c>
      <c r="D2890" t="s">
        <v>2976</v>
      </c>
      <c r="E2890">
        <v>81175.9228834931</v>
      </c>
      <c r="F2890">
        <v>28019.3678832242</v>
      </c>
      <c r="G2890">
        <v>23518.4667154421</v>
      </c>
      <c r="H2890">
        <v>17238.3329813251</v>
      </c>
      <c r="I2890">
        <v>132713.76</v>
      </c>
      <c r="J2890">
        <v>115475.43</v>
      </c>
      <c r="K2890" s="1"/>
      <c r="L2890" s="1"/>
      <c r="M2890" s="1"/>
      <c r="N2890" s="1"/>
    </row>
    <row r="2891" ht="15.75" customHeight="1">
      <c r="A2891" t="s">
        <v>36</v>
      </c>
      <c r="B2891" t="s">
        <v>18</v>
      </c>
      <c r="C2891" t="s">
        <v>4913</v>
      </c>
      <c r="D2891" t="s">
        <v>2977</v>
      </c>
      <c r="E2891">
        <v>81186.8058533993</v>
      </c>
      <c r="F2891">
        <v>28023.9826015517</v>
      </c>
      <c r="G2891">
        <v>23526.1467188716</v>
      </c>
      <c r="H2891">
        <v>17241.7305320124</v>
      </c>
      <c r="I2891">
        <v>132736.94</v>
      </c>
      <c r="J2891">
        <v>115495.21</v>
      </c>
      <c r="K2891" s="1"/>
      <c r="L2891" s="1"/>
      <c r="M2891" s="1"/>
      <c r="N2891" s="1"/>
    </row>
    <row r="2892" ht="15.75" customHeight="1">
      <c r="A2892" t="s">
        <v>53</v>
      </c>
      <c r="B2892" t="s">
        <v>18</v>
      </c>
      <c r="C2892" t="s">
        <v>4909</v>
      </c>
      <c r="D2892" t="s">
        <v>2978</v>
      </c>
      <c r="E2892">
        <v>81208.5717932117</v>
      </c>
      <c r="F2892">
        <v>28033.2120382065</v>
      </c>
      <c r="G2892">
        <v>23541.5067257306</v>
      </c>
      <c r="H2892">
        <v>17248.5256333869</v>
      </c>
      <c r="I2892">
        <v>132783.29</v>
      </c>
      <c r="J2892">
        <v>115534.76</v>
      </c>
      <c r="K2892" s="1"/>
      <c r="L2892" s="1"/>
      <c r="M2892" s="1"/>
      <c r="N2892" s="1"/>
    </row>
    <row r="2893" ht="15.75" customHeight="1">
      <c r="A2893" t="s">
        <v>53</v>
      </c>
      <c r="B2893" t="s">
        <v>26</v>
      </c>
      <c r="C2893" t="s">
        <v>4909</v>
      </c>
      <c r="D2893" t="s">
        <v>2979</v>
      </c>
      <c r="E2893">
        <v>81219.4547631179</v>
      </c>
      <c r="F2893">
        <v>28037.8267565339</v>
      </c>
      <c r="G2893">
        <v>23549.1867291601</v>
      </c>
      <c r="H2893">
        <v>17251.9231840742</v>
      </c>
      <c r="I2893">
        <v>132806.47</v>
      </c>
      <c r="J2893">
        <v>115554.55</v>
      </c>
      <c r="K2893" s="1"/>
      <c r="L2893" s="1"/>
      <c r="M2893" s="1"/>
      <c r="N2893" s="1"/>
    </row>
    <row r="2894" ht="15.75" customHeight="1">
      <c r="A2894" t="s">
        <v>17</v>
      </c>
      <c r="B2894" t="s">
        <v>18</v>
      </c>
      <c r="C2894" t="s">
        <v>4909</v>
      </c>
      <c r="D2894" t="s">
        <v>2980</v>
      </c>
      <c r="E2894">
        <v>81230.3377330241</v>
      </c>
      <c r="F2894">
        <v>28042.4414748614</v>
      </c>
      <c r="G2894">
        <v>23556.8667325896</v>
      </c>
      <c r="H2894">
        <v>17255.3207347615</v>
      </c>
      <c r="I2894">
        <v>132829.65</v>
      </c>
      <c r="J2894">
        <v>115574.33</v>
      </c>
      <c r="K2894" s="1"/>
      <c r="L2894" s="1"/>
      <c r="M2894" s="1"/>
      <c r="N2894" s="1"/>
    </row>
    <row r="2895" ht="15.75" customHeight="1">
      <c r="A2895" t="s">
        <v>17</v>
      </c>
      <c r="B2895" t="s">
        <v>37</v>
      </c>
      <c r="C2895" t="s">
        <v>4911</v>
      </c>
      <c r="D2895" t="s">
        <v>2981</v>
      </c>
      <c r="E2895">
        <v>81241.2207029303</v>
      </c>
      <c r="F2895">
        <v>28047.0561931888</v>
      </c>
      <c r="G2895">
        <v>23564.5467360191</v>
      </c>
      <c r="H2895">
        <v>17258.7182854488</v>
      </c>
      <c r="I2895">
        <v>132852.82</v>
      </c>
      <c r="J2895">
        <v>115594.1</v>
      </c>
      <c r="K2895" s="1"/>
      <c r="L2895" s="1"/>
      <c r="M2895" s="1"/>
      <c r="N2895" s="1"/>
    </row>
    <row r="2896" ht="15.75" customHeight="1">
      <c r="A2896" t="s">
        <v>29</v>
      </c>
      <c r="B2896" t="s">
        <v>14</v>
      </c>
      <c r="C2896" t="s">
        <v>4910</v>
      </c>
      <c r="D2896" t="s">
        <v>2982</v>
      </c>
      <c r="E2896">
        <v>81252.1036728365</v>
      </c>
      <c r="F2896">
        <v>28051.6709115162</v>
      </c>
      <c r="G2896">
        <v>23572.2267394486</v>
      </c>
      <c r="H2896">
        <v>17262.1158361361</v>
      </c>
      <c r="I2896">
        <v>132876.0</v>
      </c>
      <c r="J2896">
        <v>115613.88</v>
      </c>
      <c r="K2896" s="1"/>
      <c r="L2896" s="1"/>
      <c r="M2896" s="1"/>
      <c r="N2896" s="1"/>
    </row>
    <row r="2897" ht="15.75" customHeight="1">
      <c r="A2897" t="s">
        <v>13</v>
      </c>
      <c r="B2897" t="s">
        <v>54</v>
      </c>
      <c r="C2897" t="s">
        <v>4917</v>
      </c>
      <c r="D2897" t="s">
        <v>2983</v>
      </c>
      <c r="E2897">
        <v>81262.9866427427</v>
      </c>
      <c r="F2897">
        <v>28056.2856298436</v>
      </c>
      <c r="G2897">
        <v>23579.9067428781</v>
      </c>
      <c r="H2897">
        <v>17265.5133868234</v>
      </c>
      <c r="I2897">
        <v>132899.18</v>
      </c>
      <c r="J2897">
        <v>115633.67</v>
      </c>
      <c r="K2897" s="1"/>
      <c r="L2897" s="1"/>
      <c r="M2897" s="1"/>
      <c r="N2897" s="1"/>
    </row>
    <row r="2898" ht="15.75" customHeight="1">
      <c r="A2898" t="s">
        <v>36</v>
      </c>
      <c r="B2898" t="s">
        <v>33</v>
      </c>
      <c r="C2898" t="s">
        <v>4915</v>
      </c>
      <c r="D2898" t="s">
        <v>2984</v>
      </c>
      <c r="E2898">
        <v>81273.8696126489</v>
      </c>
      <c r="F2898">
        <v>28060.900348171</v>
      </c>
      <c r="G2898">
        <v>23587.5867463076</v>
      </c>
      <c r="H2898">
        <v>17268.9109375107</v>
      </c>
      <c r="I2898">
        <v>132922.36</v>
      </c>
      <c r="J2898">
        <v>115653.45</v>
      </c>
      <c r="K2898" s="1"/>
      <c r="L2898" s="1"/>
      <c r="M2898" s="1"/>
      <c r="N2898" s="1"/>
    </row>
    <row r="2899" ht="15.75" customHeight="1">
      <c r="A2899" t="s">
        <v>53</v>
      </c>
      <c r="B2899" t="s">
        <v>37</v>
      </c>
      <c r="C2899" t="s">
        <v>4917</v>
      </c>
      <c r="D2899" t="s">
        <v>2985</v>
      </c>
      <c r="E2899">
        <v>81284.7525825551</v>
      </c>
      <c r="F2899">
        <v>28065.5150664985</v>
      </c>
      <c r="G2899">
        <v>23595.2667497371</v>
      </c>
      <c r="H2899">
        <v>17272.308488198</v>
      </c>
      <c r="I2899">
        <v>132945.53</v>
      </c>
      <c r="J2899">
        <v>115673.22</v>
      </c>
      <c r="K2899" s="1"/>
      <c r="L2899" s="1"/>
      <c r="M2899" s="1"/>
      <c r="N2899" s="1"/>
    </row>
    <row r="2900" ht="15.75" customHeight="1">
      <c r="A2900" t="s">
        <v>29</v>
      </c>
      <c r="B2900" t="s">
        <v>26</v>
      </c>
      <c r="C2900" t="s">
        <v>4913</v>
      </c>
      <c r="D2900" t="s">
        <v>2986</v>
      </c>
      <c r="E2900">
        <v>81295.6355524613</v>
      </c>
      <c r="F2900">
        <v>28070.1297848259</v>
      </c>
      <c r="G2900">
        <v>23602.9467531666</v>
      </c>
      <c r="H2900">
        <v>17275.7060388852</v>
      </c>
      <c r="I2900">
        <v>132968.71</v>
      </c>
      <c r="J2900">
        <v>115693.0</v>
      </c>
      <c r="K2900" s="1"/>
      <c r="L2900" s="1"/>
      <c r="M2900" s="1"/>
      <c r="N2900" s="1"/>
    </row>
    <row r="2901" ht="15.75" customHeight="1">
      <c r="A2901" t="s">
        <v>17</v>
      </c>
      <c r="B2901" t="s">
        <v>26</v>
      </c>
      <c r="C2901" t="s">
        <v>4916</v>
      </c>
      <c r="D2901" t="s">
        <v>2987</v>
      </c>
      <c r="E2901">
        <v>81306.5185223674</v>
      </c>
      <c r="F2901">
        <v>28074.7445031533</v>
      </c>
      <c r="G2901">
        <v>23610.6267565961</v>
      </c>
      <c r="H2901">
        <v>17279.1035895725</v>
      </c>
      <c r="I2901">
        <v>132991.89</v>
      </c>
      <c r="J2901">
        <v>115712.79</v>
      </c>
      <c r="K2901" s="1"/>
      <c r="L2901" s="1"/>
      <c r="M2901" s="1"/>
      <c r="N2901" s="1"/>
    </row>
    <row r="2902" ht="15.75" customHeight="1">
      <c r="A2902" t="s">
        <v>25</v>
      </c>
      <c r="B2902" t="s">
        <v>54</v>
      </c>
      <c r="C2902" t="s">
        <v>4911</v>
      </c>
      <c r="D2902" t="s">
        <v>2988</v>
      </c>
      <c r="E2902">
        <v>81317.4014922736</v>
      </c>
      <c r="F2902">
        <v>28079.3592214807</v>
      </c>
      <c r="G2902">
        <v>23618.3067600256</v>
      </c>
      <c r="H2902">
        <v>17282.5011402598</v>
      </c>
      <c r="I2902">
        <v>133015.07</v>
      </c>
      <c r="J2902">
        <v>115732.57</v>
      </c>
      <c r="K2902" s="1"/>
      <c r="L2902" s="1"/>
      <c r="M2902" s="1"/>
      <c r="N2902" s="1"/>
    </row>
    <row r="2903" ht="15.75" customHeight="1">
      <c r="A2903" t="s">
        <v>25</v>
      </c>
      <c r="B2903" t="s">
        <v>30</v>
      </c>
      <c r="C2903" t="s">
        <v>4917</v>
      </c>
      <c r="D2903" t="s">
        <v>2989</v>
      </c>
      <c r="E2903">
        <v>81328.2844621798</v>
      </c>
      <c r="F2903">
        <v>28083.9739398082</v>
      </c>
      <c r="G2903">
        <v>23625.9867634551</v>
      </c>
      <c r="H2903">
        <v>17285.8986909471</v>
      </c>
      <c r="I2903">
        <v>133038.25</v>
      </c>
      <c r="J2903">
        <v>115752.35</v>
      </c>
      <c r="K2903" s="1"/>
      <c r="L2903" s="1"/>
      <c r="M2903" s="1"/>
      <c r="N2903" s="1"/>
    </row>
    <row r="2904" ht="15.75" customHeight="1">
      <c r="A2904" t="s">
        <v>13</v>
      </c>
      <c r="B2904" t="s">
        <v>26</v>
      </c>
      <c r="C2904" t="s">
        <v>4910</v>
      </c>
      <c r="D2904" t="s">
        <v>2990</v>
      </c>
      <c r="E2904">
        <v>81339.167432086</v>
      </c>
      <c r="F2904">
        <v>28088.5886581356</v>
      </c>
      <c r="G2904">
        <v>23633.6667668846</v>
      </c>
      <c r="H2904">
        <v>17289.2962416344</v>
      </c>
      <c r="I2904">
        <v>133061.42</v>
      </c>
      <c r="J2904">
        <v>115772.12</v>
      </c>
      <c r="K2904" s="1"/>
      <c r="L2904" s="1"/>
      <c r="M2904" s="1"/>
      <c r="N2904" s="1"/>
    </row>
    <row r="2905" ht="15.75" customHeight="1">
      <c r="A2905" t="s">
        <v>51</v>
      </c>
      <c r="B2905" t="s">
        <v>37</v>
      </c>
      <c r="C2905" t="s">
        <v>4913</v>
      </c>
      <c r="D2905" t="s">
        <v>2991</v>
      </c>
      <c r="E2905">
        <v>81350.0504019922</v>
      </c>
      <c r="F2905">
        <v>28093.203376463</v>
      </c>
      <c r="G2905">
        <v>23641.3467703141</v>
      </c>
      <c r="H2905">
        <v>17292.6937923217</v>
      </c>
      <c r="I2905">
        <v>133084.6</v>
      </c>
      <c r="J2905">
        <v>115791.91</v>
      </c>
      <c r="K2905" s="1"/>
      <c r="L2905" s="1"/>
      <c r="M2905" s="1"/>
      <c r="N2905" s="1"/>
    </row>
    <row r="2906" ht="15.75" customHeight="1">
      <c r="A2906" t="s">
        <v>36</v>
      </c>
      <c r="B2906" t="s">
        <v>33</v>
      </c>
      <c r="C2906" t="s">
        <v>4907</v>
      </c>
      <c r="D2906" t="s">
        <v>2992</v>
      </c>
      <c r="E2906">
        <v>81360.9333718984</v>
      </c>
      <c r="F2906">
        <v>28097.8180947904</v>
      </c>
      <c r="G2906">
        <v>23649.0267737436</v>
      </c>
      <c r="H2906">
        <v>17296.091343009</v>
      </c>
      <c r="I2906">
        <v>133107.78</v>
      </c>
      <c r="J2906">
        <v>115811.69</v>
      </c>
      <c r="K2906" s="1"/>
      <c r="L2906" s="1"/>
      <c r="M2906" s="1"/>
      <c r="N2906" s="1"/>
    </row>
    <row r="2907" ht="15.75" customHeight="1">
      <c r="A2907" t="s">
        <v>29</v>
      </c>
      <c r="B2907" t="s">
        <v>33</v>
      </c>
      <c r="C2907" t="s">
        <v>4913</v>
      </c>
      <c r="D2907" t="s">
        <v>2993</v>
      </c>
      <c r="E2907">
        <v>81371.8163418046</v>
      </c>
      <c r="F2907">
        <v>28102.4328131178</v>
      </c>
      <c r="G2907">
        <v>23656.7067771731</v>
      </c>
      <c r="H2907">
        <v>17299.4888936963</v>
      </c>
      <c r="I2907">
        <v>133130.96</v>
      </c>
      <c r="J2907">
        <v>115831.47</v>
      </c>
      <c r="K2907" s="1"/>
      <c r="L2907" s="1"/>
      <c r="M2907" s="1"/>
      <c r="N2907" s="1"/>
    </row>
    <row r="2908" ht="15.75" customHeight="1">
      <c r="A2908" t="s">
        <v>53</v>
      </c>
      <c r="B2908" t="s">
        <v>14</v>
      </c>
      <c r="C2908" t="s">
        <v>4909</v>
      </c>
      <c r="D2908" t="s">
        <v>2994</v>
      </c>
      <c r="E2908">
        <v>81382.6993117108</v>
      </c>
      <c r="F2908">
        <v>28107.0475314453</v>
      </c>
      <c r="G2908">
        <v>23664.3867806026</v>
      </c>
      <c r="H2908">
        <v>17302.8864443835</v>
      </c>
      <c r="I2908">
        <v>133154.13</v>
      </c>
      <c r="J2908">
        <v>115851.24</v>
      </c>
      <c r="K2908" s="1"/>
      <c r="L2908" s="1"/>
      <c r="M2908" s="1"/>
      <c r="N2908" s="1"/>
    </row>
    <row r="2909" ht="15.75" customHeight="1">
      <c r="A2909" t="s">
        <v>25</v>
      </c>
      <c r="B2909" t="s">
        <v>37</v>
      </c>
      <c r="C2909" t="s">
        <v>4912</v>
      </c>
      <c r="D2909" t="s">
        <v>2995</v>
      </c>
      <c r="E2909">
        <v>81393.582281617</v>
      </c>
      <c r="F2909">
        <v>28111.6622497727</v>
      </c>
      <c r="G2909">
        <v>23672.0667840321</v>
      </c>
      <c r="H2909">
        <v>17306.2839950708</v>
      </c>
      <c r="I2909">
        <v>133177.31</v>
      </c>
      <c r="J2909">
        <v>115871.03</v>
      </c>
      <c r="K2909" s="1"/>
      <c r="L2909" s="1"/>
      <c r="M2909" s="1"/>
      <c r="N2909" s="1"/>
    </row>
    <row r="2910" ht="15.75" customHeight="1">
      <c r="A2910" t="s">
        <v>51</v>
      </c>
      <c r="B2910" t="s">
        <v>26</v>
      </c>
      <c r="C2910" t="s">
        <v>4907</v>
      </c>
      <c r="D2910" t="s">
        <v>2996</v>
      </c>
      <c r="E2910">
        <v>81404.4652515232</v>
      </c>
      <c r="F2910">
        <v>28116.2769681001</v>
      </c>
      <c r="G2910">
        <v>23679.7467874616</v>
      </c>
      <c r="H2910">
        <v>17309.6815457581</v>
      </c>
      <c r="I2910">
        <v>133200.49</v>
      </c>
      <c r="J2910">
        <v>115890.81</v>
      </c>
      <c r="K2910" s="1"/>
      <c r="L2910" s="1"/>
      <c r="M2910" s="1"/>
      <c r="N2910" s="1"/>
    </row>
    <row r="2911" ht="15.75" customHeight="1">
      <c r="A2911" t="s">
        <v>17</v>
      </c>
      <c r="B2911" t="s">
        <v>26</v>
      </c>
      <c r="C2911" t="s">
        <v>4913</v>
      </c>
      <c r="D2911" t="s">
        <v>2997</v>
      </c>
      <c r="E2911">
        <v>81415.3482214294</v>
      </c>
      <c r="F2911">
        <v>28120.8916864275</v>
      </c>
      <c r="G2911">
        <v>23687.4267908911</v>
      </c>
      <c r="H2911">
        <v>17313.0790964454</v>
      </c>
      <c r="I2911">
        <v>133223.67</v>
      </c>
      <c r="J2911">
        <v>115910.59</v>
      </c>
      <c r="K2911" s="1"/>
      <c r="L2911" s="1"/>
      <c r="M2911" s="1"/>
      <c r="N2911" s="1"/>
    </row>
    <row r="2912" ht="15.75" customHeight="1">
      <c r="A2912" t="s">
        <v>36</v>
      </c>
      <c r="B2912" t="s">
        <v>18</v>
      </c>
      <c r="C2912" t="s">
        <v>4905</v>
      </c>
      <c r="D2912" t="s">
        <v>2998</v>
      </c>
      <c r="E2912">
        <v>81426.2311913356</v>
      </c>
      <c r="F2912">
        <v>28125.506404755</v>
      </c>
      <c r="G2912">
        <v>23695.1067943206</v>
      </c>
      <c r="H2912">
        <v>17316.4766471327</v>
      </c>
      <c r="I2912">
        <v>133246.84</v>
      </c>
      <c r="J2912">
        <v>115930.36</v>
      </c>
      <c r="K2912" s="1"/>
      <c r="L2912" s="1"/>
      <c r="M2912" s="1"/>
      <c r="N2912" s="1"/>
    </row>
    <row r="2913" ht="15.75" customHeight="1">
      <c r="A2913" t="s">
        <v>51</v>
      </c>
      <c r="B2913" t="s">
        <v>14</v>
      </c>
      <c r="C2913" t="s">
        <v>4910</v>
      </c>
      <c r="D2913" t="s">
        <v>2999</v>
      </c>
      <c r="E2913">
        <v>81437.1141612418</v>
      </c>
      <c r="F2913">
        <v>28130.1211230824</v>
      </c>
      <c r="G2913">
        <v>23702.7867977501</v>
      </c>
      <c r="H2913">
        <v>17319.87419782</v>
      </c>
      <c r="I2913">
        <v>133270.02</v>
      </c>
      <c r="J2913">
        <v>115950.15</v>
      </c>
      <c r="K2913" s="1"/>
      <c r="L2913" s="1"/>
      <c r="M2913" s="1"/>
      <c r="N2913" s="1"/>
    </row>
    <row r="2914" ht="15.75" customHeight="1">
      <c r="A2914" t="s">
        <v>17</v>
      </c>
      <c r="B2914" t="s">
        <v>37</v>
      </c>
      <c r="C2914" t="s">
        <v>4908</v>
      </c>
      <c r="D2914" t="s">
        <v>3000</v>
      </c>
      <c r="E2914">
        <v>81447.997131148</v>
      </c>
      <c r="F2914">
        <v>28134.7358414098</v>
      </c>
      <c r="G2914">
        <v>23710.4668011796</v>
      </c>
      <c r="H2914">
        <v>17323.2717485073</v>
      </c>
      <c r="I2914">
        <v>133293.2</v>
      </c>
      <c r="J2914">
        <v>115969.93</v>
      </c>
      <c r="K2914" s="1"/>
      <c r="L2914" s="1"/>
      <c r="M2914" s="1"/>
      <c r="N2914" s="1"/>
    </row>
    <row r="2915" ht="15.75" customHeight="1">
      <c r="A2915" t="s">
        <v>36</v>
      </c>
      <c r="B2915" t="s">
        <v>26</v>
      </c>
      <c r="C2915" t="s">
        <v>4910</v>
      </c>
      <c r="D2915" t="s">
        <v>3001</v>
      </c>
      <c r="E2915">
        <v>81458.8801010542</v>
      </c>
      <c r="F2915">
        <v>28139.3505597372</v>
      </c>
      <c r="G2915">
        <v>23718.1468046091</v>
      </c>
      <c r="H2915">
        <v>17326.6692991945</v>
      </c>
      <c r="I2915">
        <v>133316.38</v>
      </c>
      <c r="J2915">
        <v>115989.71</v>
      </c>
      <c r="K2915" s="1"/>
      <c r="L2915" s="1"/>
      <c r="M2915" s="1"/>
      <c r="N2915" s="1"/>
    </row>
    <row r="2916" ht="15.75" customHeight="1">
      <c r="A2916" t="s">
        <v>29</v>
      </c>
      <c r="B2916" t="s">
        <v>54</v>
      </c>
      <c r="C2916" t="s">
        <v>4913</v>
      </c>
      <c r="D2916" t="s">
        <v>3002</v>
      </c>
      <c r="E2916">
        <v>81469.7630709603</v>
      </c>
      <c r="F2916">
        <v>28143.9652780646</v>
      </c>
      <c r="G2916">
        <v>23725.8268080386</v>
      </c>
      <c r="H2916">
        <v>17330.0668498818</v>
      </c>
      <c r="I2916">
        <v>133339.56</v>
      </c>
      <c r="J2916">
        <v>116009.49</v>
      </c>
      <c r="K2916" s="1"/>
      <c r="L2916" s="1"/>
      <c r="M2916" s="1"/>
      <c r="N2916" s="1"/>
    </row>
    <row r="2917" ht="15.75" customHeight="1">
      <c r="A2917" t="s">
        <v>51</v>
      </c>
      <c r="B2917" t="s">
        <v>37</v>
      </c>
      <c r="C2917" t="s">
        <v>4915</v>
      </c>
      <c r="D2917" t="s">
        <v>3003</v>
      </c>
      <c r="E2917">
        <v>81480.6460408665</v>
      </c>
      <c r="F2917">
        <v>28148.5799963921</v>
      </c>
      <c r="G2917">
        <v>23733.5068114681</v>
      </c>
      <c r="H2917">
        <v>17333.4644005691</v>
      </c>
      <c r="I2917">
        <v>133362.73</v>
      </c>
      <c r="J2917">
        <v>116029.27</v>
      </c>
      <c r="K2917" s="1"/>
      <c r="L2917" s="1"/>
      <c r="M2917" s="1"/>
      <c r="N2917" s="1"/>
    </row>
    <row r="2918" ht="15.75" customHeight="1">
      <c r="A2918" t="s">
        <v>13</v>
      </c>
      <c r="B2918" t="s">
        <v>26</v>
      </c>
      <c r="C2918" t="s">
        <v>4915</v>
      </c>
      <c r="D2918" t="s">
        <v>3004</v>
      </c>
      <c r="E2918">
        <v>81491.5290107727</v>
      </c>
      <c r="F2918">
        <v>28153.1947147195</v>
      </c>
      <c r="G2918">
        <v>23741.1868148976</v>
      </c>
      <c r="H2918">
        <v>17336.8619512564</v>
      </c>
      <c r="I2918">
        <v>133385.91</v>
      </c>
      <c r="J2918">
        <v>116049.05</v>
      </c>
      <c r="K2918" s="1"/>
      <c r="L2918" s="1"/>
      <c r="M2918" s="1"/>
      <c r="N2918" s="1"/>
    </row>
    <row r="2919" ht="15.75" customHeight="1">
      <c r="A2919" t="s">
        <v>13</v>
      </c>
      <c r="B2919" t="s">
        <v>30</v>
      </c>
      <c r="C2919" t="s">
        <v>4907</v>
      </c>
      <c r="D2919" t="s">
        <v>3005</v>
      </c>
      <c r="E2919">
        <v>81502.4119806789</v>
      </c>
      <c r="F2919">
        <v>28157.8094330469</v>
      </c>
      <c r="G2919">
        <v>23748.8668183271</v>
      </c>
      <c r="H2919">
        <v>17340.2595019437</v>
      </c>
      <c r="I2919">
        <v>133409.09</v>
      </c>
      <c r="J2919">
        <v>116068.83</v>
      </c>
      <c r="K2919" s="1"/>
      <c r="L2919" s="1"/>
      <c r="M2919" s="1"/>
      <c r="N2919" s="1"/>
    </row>
    <row r="2920" ht="15.75" customHeight="1">
      <c r="A2920" t="s">
        <v>25</v>
      </c>
      <c r="B2920" t="s">
        <v>33</v>
      </c>
      <c r="C2920" t="s">
        <v>4910</v>
      </c>
      <c r="D2920" t="s">
        <v>3006</v>
      </c>
      <c r="E2920">
        <v>81513.2949505851</v>
      </c>
      <c r="F2920">
        <v>28162.4241513743</v>
      </c>
      <c r="G2920">
        <v>23756.5468217566</v>
      </c>
      <c r="H2920">
        <v>17343.657052631</v>
      </c>
      <c r="I2920">
        <v>133432.27</v>
      </c>
      <c r="J2920">
        <v>116088.61</v>
      </c>
      <c r="K2920" s="1"/>
      <c r="L2920" s="1"/>
      <c r="M2920" s="1"/>
      <c r="N2920" s="1"/>
    </row>
    <row r="2921" ht="15.75" customHeight="1">
      <c r="A2921" t="s">
        <v>51</v>
      </c>
      <c r="B2921" t="s">
        <v>18</v>
      </c>
      <c r="C2921" t="s">
        <v>4914</v>
      </c>
      <c r="D2921" t="s">
        <v>3007</v>
      </c>
      <c r="E2921">
        <v>81535.0608903975</v>
      </c>
      <c r="F2921">
        <v>28171.6535880292</v>
      </c>
      <c r="G2921">
        <v>23771.9068286156</v>
      </c>
      <c r="H2921">
        <v>17350.4521540056</v>
      </c>
      <c r="I2921">
        <v>133478.62</v>
      </c>
      <c r="J2921">
        <v>116128.17</v>
      </c>
      <c r="K2921" s="1"/>
      <c r="L2921" s="1"/>
      <c r="M2921" s="1"/>
      <c r="N2921" s="1"/>
    </row>
    <row r="2922" ht="15.75" customHeight="1">
      <c r="A2922" t="s">
        <v>29</v>
      </c>
      <c r="B2922" t="s">
        <v>26</v>
      </c>
      <c r="C2922" t="s">
        <v>4905</v>
      </c>
      <c r="D2922" t="s">
        <v>3008</v>
      </c>
      <c r="E2922">
        <v>81545.9438603037</v>
      </c>
      <c r="F2922">
        <v>28176.2683063566</v>
      </c>
      <c r="G2922">
        <v>23779.5868320451</v>
      </c>
      <c r="H2922">
        <v>17353.8497046928</v>
      </c>
      <c r="I2922">
        <v>133501.8</v>
      </c>
      <c r="J2922">
        <v>116147.95</v>
      </c>
      <c r="K2922" s="1"/>
      <c r="L2922" s="1"/>
      <c r="M2922" s="1"/>
      <c r="N2922" s="1"/>
    </row>
    <row r="2923" ht="15.75" customHeight="1">
      <c r="A2923" t="s">
        <v>17</v>
      </c>
      <c r="B2923" t="s">
        <v>18</v>
      </c>
      <c r="C2923" t="s">
        <v>4916</v>
      </c>
      <c r="D2923" t="s">
        <v>3009</v>
      </c>
      <c r="E2923">
        <v>81556.8268302099</v>
      </c>
      <c r="F2923">
        <v>28180.883024684</v>
      </c>
      <c r="G2923">
        <v>23787.2668354746</v>
      </c>
      <c r="H2923">
        <v>17357.2472553801</v>
      </c>
      <c r="I2923">
        <v>133524.98</v>
      </c>
      <c r="J2923">
        <v>116167.73</v>
      </c>
      <c r="K2923" s="1"/>
      <c r="L2923" s="1"/>
      <c r="M2923" s="1"/>
      <c r="N2923" s="1"/>
    </row>
    <row r="2924" ht="15.75" customHeight="1">
      <c r="A2924" t="s">
        <v>53</v>
      </c>
      <c r="B2924" t="s">
        <v>14</v>
      </c>
      <c r="C2924" t="s">
        <v>4910</v>
      </c>
      <c r="D2924" t="s">
        <v>3010</v>
      </c>
      <c r="E2924">
        <v>81567.7098001161</v>
      </c>
      <c r="F2924">
        <v>28185.4977430114</v>
      </c>
      <c r="G2924">
        <v>23794.946838904</v>
      </c>
      <c r="H2924">
        <v>17360.6448060674</v>
      </c>
      <c r="I2924">
        <v>133548.15</v>
      </c>
      <c r="J2924">
        <v>116187.51</v>
      </c>
      <c r="K2924" s="1"/>
      <c r="L2924" s="1"/>
      <c r="M2924" s="1"/>
      <c r="N2924" s="1"/>
    </row>
    <row r="2925" ht="15.75" customHeight="1">
      <c r="A2925" t="s">
        <v>25</v>
      </c>
      <c r="B2925" t="s">
        <v>33</v>
      </c>
      <c r="C2925" t="s">
        <v>4917</v>
      </c>
      <c r="D2925" t="s">
        <v>3011</v>
      </c>
      <c r="E2925">
        <v>81578.5927700223</v>
      </c>
      <c r="F2925">
        <v>28190.1124613389</v>
      </c>
      <c r="G2925">
        <v>23802.6268423335</v>
      </c>
      <c r="H2925">
        <v>17364.0423567547</v>
      </c>
      <c r="I2925">
        <v>133571.33</v>
      </c>
      <c r="J2925">
        <v>116207.29</v>
      </c>
      <c r="K2925" s="1"/>
      <c r="L2925" s="1"/>
      <c r="M2925" s="1"/>
      <c r="N2925" s="1"/>
    </row>
    <row r="2926" ht="15.75" customHeight="1">
      <c r="A2926" t="s">
        <v>25</v>
      </c>
      <c r="B2926" t="s">
        <v>30</v>
      </c>
      <c r="C2926" t="s">
        <v>4907</v>
      </c>
      <c r="D2926" t="s">
        <v>3012</v>
      </c>
      <c r="E2926">
        <v>81589.4757399285</v>
      </c>
      <c r="F2926">
        <v>28194.7271796663</v>
      </c>
      <c r="G2926">
        <v>23810.306845763</v>
      </c>
      <c r="H2926">
        <v>17367.439907442</v>
      </c>
      <c r="I2926">
        <v>133594.51</v>
      </c>
      <c r="J2926">
        <v>116227.07</v>
      </c>
      <c r="K2926" s="1"/>
      <c r="L2926" s="1"/>
      <c r="M2926" s="1"/>
      <c r="N2926" s="1"/>
    </row>
    <row r="2927" ht="15.75" customHeight="1">
      <c r="A2927" t="s">
        <v>13</v>
      </c>
      <c r="B2927" t="s">
        <v>54</v>
      </c>
      <c r="C2927" t="s">
        <v>4905</v>
      </c>
      <c r="D2927" t="s">
        <v>3013</v>
      </c>
      <c r="E2927">
        <v>81600.3587098347</v>
      </c>
      <c r="F2927">
        <v>28199.3418979937</v>
      </c>
      <c r="G2927">
        <v>23817.9868491925</v>
      </c>
      <c r="H2927">
        <v>17370.8374581293</v>
      </c>
      <c r="I2927">
        <v>133617.69</v>
      </c>
      <c r="J2927">
        <v>116246.85</v>
      </c>
      <c r="K2927" s="1"/>
      <c r="L2927" s="1"/>
      <c r="M2927" s="1"/>
      <c r="N2927" s="1"/>
    </row>
    <row r="2928" ht="15.75" customHeight="1">
      <c r="A2928" t="s">
        <v>17</v>
      </c>
      <c r="B2928" t="s">
        <v>54</v>
      </c>
      <c r="C2928" t="s">
        <v>4910</v>
      </c>
      <c r="D2928" t="s">
        <v>3014</v>
      </c>
      <c r="E2928">
        <v>81611.2416797409</v>
      </c>
      <c r="F2928">
        <v>28203.9566163211</v>
      </c>
      <c r="G2928">
        <v>23825.666852622</v>
      </c>
      <c r="H2928">
        <v>17374.2350088166</v>
      </c>
      <c r="I2928">
        <v>133640.87</v>
      </c>
      <c r="J2928">
        <v>116266.63</v>
      </c>
      <c r="K2928" s="1"/>
      <c r="L2928" s="1"/>
      <c r="M2928" s="1"/>
      <c r="N2928" s="1"/>
    </row>
    <row r="2929" ht="15.75" customHeight="1">
      <c r="A2929" t="s">
        <v>51</v>
      </c>
      <c r="B2929" t="s">
        <v>33</v>
      </c>
      <c r="C2929" t="s">
        <v>4916</v>
      </c>
      <c r="D2929" t="s">
        <v>3015</v>
      </c>
      <c r="E2929">
        <v>81622.1246496471</v>
      </c>
      <c r="F2929">
        <v>28208.5713346486</v>
      </c>
      <c r="G2929">
        <v>23833.3468560515</v>
      </c>
      <c r="H2929">
        <v>17377.6325595039</v>
      </c>
      <c r="I2929">
        <v>133664.04</v>
      </c>
      <c r="J2929">
        <v>116286.41</v>
      </c>
      <c r="K2929" s="1"/>
      <c r="L2929" s="1"/>
      <c r="M2929" s="1"/>
      <c r="N2929" s="1"/>
    </row>
    <row r="2930" ht="15.75" customHeight="1">
      <c r="A2930" t="s">
        <v>13</v>
      </c>
      <c r="B2930" t="s">
        <v>14</v>
      </c>
      <c r="C2930" t="s">
        <v>4912</v>
      </c>
      <c r="D2930" t="s">
        <v>3016</v>
      </c>
      <c r="E2930">
        <v>81633.0076195532</v>
      </c>
      <c r="F2930">
        <v>28213.186052976</v>
      </c>
      <c r="G2930">
        <v>23841.026859481</v>
      </c>
      <c r="H2930">
        <v>17381.0301101911</v>
      </c>
      <c r="I2930">
        <v>133687.22</v>
      </c>
      <c r="J2930">
        <v>116306.19</v>
      </c>
      <c r="K2930" s="1"/>
      <c r="L2930" s="1"/>
      <c r="M2930" s="1"/>
      <c r="N2930" s="1"/>
    </row>
    <row r="2931" ht="15.75" customHeight="1">
      <c r="A2931" t="s">
        <v>51</v>
      </c>
      <c r="B2931" t="s">
        <v>26</v>
      </c>
      <c r="C2931" t="s">
        <v>4914</v>
      </c>
      <c r="D2931" t="s">
        <v>3017</v>
      </c>
      <c r="E2931">
        <v>81643.8905894594</v>
      </c>
      <c r="F2931">
        <v>28217.8007713034</v>
      </c>
      <c r="G2931">
        <v>23848.7068629105</v>
      </c>
      <c r="H2931">
        <v>17384.4276608784</v>
      </c>
      <c r="I2931">
        <v>133710.4</v>
      </c>
      <c r="J2931">
        <v>116325.97</v>
      </c>
      <c r="K2931" s="1"/>
      <c r="L2931" s="1"/>
      <c r="M2931" s="1"/>
      <c r="N2931" s="1"/>
    </row>
    <row r="2932" ht="15.75" customHeight="1">
      <c r="A2932" t="s">
        <v>53</v>
      </c>
      <c r="B2932" t="s">
        <v>37</v>
      </c>
      <c r="C2932" t="s">
        <v>4915</v>
      </c>
      <c r="D2932" t="s">
        <v>3018</v>
      </c>
      <c r="E2932">
        <v>81665.6565292718</v>
      </c>
      <c r="F2932">
        <v>28227.0302079582</v>
      </c>
      <c r="G2932">
        <v>23864.0668697695</v>
      </c>
      <c r="H2932">
        <v>17391.222762253</v>
      </c>
      <c r="I2932">
        <v>133756.75</v>
      </c>
      <c r="J2932">
        <v>116365.53</v>
      </c>
      <c r="K2932" s="1"/>
      <c r="L2932" s="1"/>
      <c r="M2932" s="1"/>
      <c r="N2932" s="1"/>
    </row>
    <row r="2933" ht="15.75" customHeight="1">
      <c r="A2933" t="s">
        <v>17</v>
      </c>
      <c r="B2933" t="s">
        <v>18</v>
      </c>
      <c r="C2933" t="s">
        <v>4916</v>
      </c>
      <c r="D2933" t="s">
        <v>3019</v>
      </c>
      <c r="E2933">
        <v>81676.539499178</v>
      </c>
      <c r="F2933">
        <v>28231.6449262857</v>
      </c>
      <c r="G2933">
        <v>23871.746873199</v>
      </c>
      <c r="H2933">
        <v>17394.6203129403</v>
      </c>
      <c r="I2933">
        <v>133779.93</v>
      </c>
      <c r="J2933">
        <v>116385.31</v>
      </c>
      <c r="K2933" s="1"/>
      <c r="L2933" s="1"/>
      <c r="M2933" s="1"/>
      <c r="N2933" s="1"/>
    </row>
    <row r="2934" ht="15.75" customHeight="1">
      <c r="A2934" t="s">
        <v>13</v>
      </c>
      <c r="B2934" t="s">
        <v>54</v>
      </c>
      <c r="C2934" t="s">
        <v>4914</v>
      </c>
      <c r="D2934" t="s">
        <v>3020</v>
      </c>
      <c r="E2934">
        <v>81687.4224690842</v>
      </c>
      <c r="F2934">
        <v>28236.2596446131</v>
      </c>
      <c r="G2934">
        <v>23879.4268766285</v>
      </c>
      <c r="H2934">
        <v>17398.0178636276</v>
      </c>
      <c r="I2934">
        <v>133803.11</v>
      </c>
      <c r="J2934">
        <v>116405.09</v>
      </c>
      <c r="K2934" s="1"/>
      <c r="L2934" s="1"/>
      <c r="M2934" s="1"/>
      <c r="N2934" s="1"/>
    </row>
    <row r="2935" ht="15.75" customHeight="1">
      <c r="A2935" t="s">
        <v>25</v>
      </c>
      <c r="B2935" t="s">
        <v>33</v>
      </c>
      <c r="C2935" t="s">
        <v>4916</v>
      </c>
      <c r="D2935" t="s">
        <v>3021</v>
      </c>
      <c r="E2935">
        <v>81698.3054389904</v>
      </c>
      <c r="F2935">
        <v>28240.8743629405</v>
      </c>
      <c r="G2935">
        <v>23887.106880058</v>
      </c>
      <c r="H2935">
        <v>17401.4154143149</v>
      </c>
      <c r="I2935">
        <v>133826.29</v>
      </c>
      <c r="J2935">
        <v>116424.87</v>
      </c>
      <c r="K2935" s="1"/>
      <c r="L2935" s="1"/>
      <c r="M2935" s="1"/>
      <c r="N2935" s="1"/>
    </row>
    <row r="2936" ht="15.75" customHeight="1">
      <c r="A2936" t="s">
        <v>36</v>
      </c>
      <c r="B2936" t="s">
        <v>33</v>
      </c>
      <c r="C2936" t="s">
        <v>4917</v>
      </c>
      <c r="D2936" t="s">
        <v>3022</v>
      </c>
      <c r="E2936">
        <v>81709.1884088966</v>
      </c>
      <c r="F2936">
        <v>28245.4890812679</v>
      </c>
      <c r="G2936">
        <v>23894.7868834875</v>
      </c>
      <c r="H2936">
        <v>17404.8129650021</v>
      </c>
      <c r="I2936">
        <v>133849.46</v>
      </c>
      <c r="J2936">
        <v>116444.65</v>
      </c>
      <c r="K2936" s="1"/>
      <c r="L2936" s="1"/>
      <c r="M2936" s="1"/>
      <c r="N2936" s="1"/>
    </row>
    <row r="2937" ht="15.75" customHeight="1">
      <c r="A2937" t="s">
        <v>29</v>
      </c>
      <c r="B2937" t="s">
        <v>33</v>
      </c>
      <c r="C2937" t="s">
        <v>4915</v>
      </c>
      <c r="D2937" t="s">
        <v>3023</v>
      </c>
      <c r="E2937">
        <v>81720.0713788028</v>
      </c>
      <c r="F2937">
        <v>28250.1037995954</v>
      </c>
      <c r="G2937">
        <v>23902.466886917</v>
      </c>
      <c r="H2937">
        <v>17408.2105156894</v>
      </c>
      <c r="I2937">
        <v>133872.64</v>
      </c>
      <c r="J2937">
        <v>116464.43</v>
      </c>
      <c r="K2937" s="1"/>
      <c r="L2937" s="1"/>
      <c r="M2937" s="1"/>
      <c r="N2937" s="1"/>
    </row>
    <row r="2938" ht="15.75" customHeight="1">
      <c r="A2938" t="s">
        <v>13</v>
      </c>
      <c r="B2938" t="s">
        <v>18</v>
      </c>
      <c r="C2938" t="s">
        <v>4910</v>
      </c>
      <c r="D2938" t="s">
        <v>3024</v>
      </c>
      <c r="E2938">
        <v>81730.954348709</v>
      </c>
      <c r="F2938">
        <v>28254.7185179228</v>
      </c>
      <c r="G2938">
        <v>23910.1468903465</v>
      </c>
      <c r="H2938">
        <v>17411.6080663767</v>
      </c>
      <c r="I2938">
        <v>133895.82</v>
      </c>
      <c r="J2938">
        <v>116484.21</v>
      </c>
      <c r="K2938" s="1"/>
      <c r="L2938" s="1"/>
      <c r="M2938" s="1"/>
      <c r="N2938" s="1"/>
    </row>
    <row r="2939" ht="15.75" customHeight="1">
      <c r="A2939" t="s">
        <v>53</v>
      </c>
      <c r="B2939" t="s">
        <v>30</v>
      </c>
      <c r="C2939" t="s">
        <v>4911</v>
      </c>
      <c r="D2939" t="s">
        <v>3025</v>
      </c>
      <c r="E2939">
        <v>81741.8373186152</v>
      </c>
      <c r="F2939">
        <v>28259.3332362502</v>
      </c>
      <c r="G2939">
        <v>23917.826893776</v>
      </c>
      <c r="H2939">
        <v>17415.005617064</v>
      </c>
      <c r="I2939">
        <v>133919.0</v>
      </c>
      <c r="J2939">
        <v>116503.99</v>
      </c>
      <c r="K2939" s="1"/>
      <c r="L2939" s="1"/>
      <c r="M2939" s="1"/>
      <c r="N2939" s="1"/>
    </row>
    <row r="2940" ht="15.75" customHeight="1">
      <c r="A2940" t="s">
        <v>29</v>
      </c>
      <c r="B2940" t="s">
        <v>33</v>
      </c>
      <c r="C2940" t="s">
        <v>4910</v>
      </c>
      <c r="D2940" t="s">
        <v>3026</v>
      </c>
      <c r="E2940">
        <v>81752.7202885214</v>
      </c>
      <c r="F2940">
        <v>28263.9479545776</v>
      </c>
      <c r="G2940">
        <v>23925.5068972055</v>
      </c>
      <c r="H2940">
        <v>17418.4031677513</v>
      </c>
      <c r="I2940">
        <v>133942.18</v>
      </c>
      <c r="J2940">
        <v>116523.78</v>
      </c>
      <c r="K2940" s="1"/>
      <c r="L2940" s="1"/>
      <c r="M2940" s="1"/>
      <c r="N2940" s="1"/>
    </row>
    <row r="2941" ht="15.75" customHeight="1">
      <c r="A2941" t="s">
        <v>13</v>
      </c>
      <c r="B2941" t="s">
        <v>37</v>
      </c>
      <c r="C2941" t="s">
        <v>4916</v>
      </c>
      <c r="D2941" t="s">
        <v>3027</v>
      </c>
      <c r="E2941">
        <v>81774.4862283338</v>
      </c>
      <c r="F2941">
        <v>28273.1773912325</v>
      </c>
      <c r="G2941">
        <v>23940.8669040645</v>
      </c>
      <c r="H2941">
        <v>17425.1982691259</v>
      </c>
      <c r="I2941">
        <v>133988.53</v>
      </c>
      <c r="J2941">
        <v>116563.33</v>
      </c>
      <c r="K2941" s="1"/>
      <c r="L2941" s="1"/>
      <c r="M2941" s="1"/>
      <c r="N2941" s="1"/>
    </row>
    <row r="2942" ht="15.75" customHeight="1">
      <c r="A2942" t="s">
        <v>36</v>
      </c>
      <c r="B2942" t="s">
        <v>26</v>
      </c>
      <c r="C2942" t="s">
        <v>4913</v>
      </c>
      <c r="D2942" t="s">
        <v>3028</v>
      </c>
      <c r="E2942">
        <v>81785.36919824</v>
      </c>
      <c r="F2942">
        <v>28277.7921095599</v>
      </c>
      <c r="G2942">
        <v>23948.546907494</v>
      </c>
      <c r="H2942">
        <v>17428.5958198132</v>
      </c>
      <c r="I2942">
        <v>134011.71</v>
      </c>
      <c r="J2942">
        <v>116583.11</v>
      </c>
      <c r="K2942" s="1"/>
      <c r="L2942" s="1"/>
      <c r="M2942" s="1"/>
      <c r="N2942" s="1"/>
    </row>
    <row r="2943" ht="15.75" customHeight="1">
      <c r="A2943" t="s">
        <v>25</v>
      </c>
      <c r="B2943" t="s">
        <v>54</v>
      </c>
      <c r="C2943" t="s">
        <v>4908</v>
      </c>
      <c r="D2943" t="s">
        <v>3029</v>
      </c>
      <c r="E2943">
        <v>81796.2521681461</v>
      </c>
      <c r="F2943">
        <v>28282.4068278873</v>
      </c>
      <c r="G2943">
        <v>23956.2269109235</v>
      </c>
      <c r="H2943">
        <v>17431.9933705004</v>
      </c>
      <c r="I2943">
        <v>134034.89</v>
      </c>
      <c r="J2943">
        <v>116602.9</v>
      </c>
      <c r="K2943" s="1"/>
      <c r="L2943" s="1"/>
      <c r="M2943" s="1"/>
      <c r="N2943" s="1"/>
    </row>
    <row r="2944" ht="15.75" customHeight="1">
      <c r="A2944" t="s">
        <v>17</v>
      </c>
      <c r="B2944" t="s">
        <v>37</v>
      </c>
      <c r="C2944" t="s">
        <v>4911</v>
      </c>
      <c r="D2944" t="s">
        <v>3030</v>
      </c>
      <c r="E2944">
        <v>81807.1351380523</v>
      </c>
      <c r="F2944">
        <v>28287.0215462147</v>
      </c>
      <c r="G2944">
        <v>23963.906914353</v>
      </c>
      <c r="H2944">
        <v>17435.3909211877</v>
      </c>
      <c r="I2944">
        <v>134058.06</v>
      </c>
      <c r="J2944">
        <v>116622.67</v>
      </c>
      <c r="K2944" s="1"/>
      <c r="L2944" s="1"/>
      <c r="M2944" s="1"/>
      <c r="N2944" s="1"/>
    </row>
    <row r="2945" ht="15.75" customHeight="1">
      <c r="A2945" t="s">
        <v>53</v>
      </c>
      <c r="B2945" t="s">
        <v>18</v>
      </c>
      <c r="C2945" t="s">
        <v>4917</v>
      </c>
      <c r="D2945" t="s">
        <v>3031</v>
      </c>
      <c r="E2945">
        <v>81818.0181079585</v>
      </c>
      <c r="F2945">
        <v>28291.6362645422</v>
      </c>
      <c r="G2945">
        <v>23971.5869177825</v>
      </c>
      <c r="H2945">
        <v>17438.788471875</v>
      </c>
      <c r="I2945">
        <v>134081.24</v>
      </c>
      <c r="J2945">
        <v>116642.45</v>
      </c>
      <c r="K2945" s="1"/>
      <c r="L2945" s="1"/>
      <c r="M2945" s="1"/>
      <c r="N2945" s="1"/>
    </row>
    <row r="2946" ht="15.75" customHeight="1">
      <c r="A2946" t="s">
        <v>29</v>
      </c>
      <c r="B2946" t="s">
        <v>54</v>
      </c>
      <c r="C2946" t="s">
        <v>4911</v>
      </c>
      <c r="D2946" t="s">
        <v>3032</v>
      </c>
      <c r="E2946">
        <v>81828.9010778647</v>
      </c>
      <c r="F2946">
        <v>28296.2509828696</v>
      </c>
      <c r="G2946">
        <v>23979.266921212</v>
      </c>
      <c r="H2946">
        <v>17442.1860225623</v>
      </c>
      <c r="I2946">
        <v>134104.42</v>
      </c>
      <c r="J2946">
        <v>116662.23</v>
      </c>
      <c r="K2946" s="1"/>
      <c r="L2946" s="1"/>
      <c r="M2946" s="1"/>
      <c r="N2946" s="1"/>
    </row>
    <row r="2947" ht="15.75" customHeight="1">
      <c r="A2947" t="s">
        <v>29</v>
      </c>
      <c r="B2947" t="s">
        <v>30</v>
      </c>
      <c r="C2947" t="s">
        <v>4911</v>
      </c>
      <c r="D2947" t="s">
        <v>3033</v>
      </c>
      <c r="E2947">
        <v>81839.7840477709</v>
      </c>
      <c r="F2947">
        <v>28300.865701197</v>
      </c>
      <c r="G2947">
        <v>23986.9469246415</v>
      </c>
      <c r="H2947">
        <v>17445.5835732496</v>
      </c>
      <c r="I2947">
        <v>134127.6</v>
      </c>
      <c r="J2947">
        <v>116682.02</v>
      </c>
      <c r="K2947" s="1"/>
      <c r="L2947" s="1"/>
      <c r="M2947" s="1"/>
      <c r="N2947" s="1"/>
    </row>
    <row r="2948" ht="15.75" customHeight="1">
      <c r="A2948" t="s">
        <v>51</v>
      </c>
      <c r="B2948" t="s">
        <v>18</v>
      </c>
      <c r="C2948" t="s">
        <v>4913</v>
      </c>
      <c r="D2948" t="s">
        <v>3034</v>
      </c>
      <c r="E2948">
        <v>81850.6670176771</v>
      </c>
      <c r="F2948">
        <v>28305.4804195244</v>
      </c>
      <c r="G2948">
        <v>23994.626928071</v>
      </c>
      <c r="H2948">
        <v>17448.9811239369</v>
      </c>
      <c r="I2948">
        <v>134150.77</v>
      </c>
      <c r="J2948">
        <v>116701.79</v>
      </c>
      <c r="K2948" s="1"/>
      <c r="L2948" s="1"/>
      <c r="M2948" s="1"/>
      <c r="N2948" s="1"/>
    </row>
    <row r="2949" ht="15.75" customHeight="1">
      <c r="A2949" t="s">
        <v>53</v>
      </c>
      <c r="B2949" t="s">
        <v>33</v>
      </c>
      <c r="C2949" t="s">
        <v>4912</v>
      </c>
      <c r="D2949" t="s">
        <v>3035</v>
      </c>
      <c r="E2949">
        <v>81861.5499875833</v>
      </c>
      <c r="F2949">
        <v>28310.0951378518</v>
      </c>
      <c r="G2949">
        <v>24002.3069315005</v>
      </c>
      <c r="H2949">
        <v>17452.3786746242</v>
      </c>
      <c r="I2949">
        <v>134173.95</v>
      </c>
      <c r="J2949">
        <v>116721.57</v>
      </c>
      <c r="K2949" s="1"/>
      <c r="L2949" s="1"/>
      <c r="M2949" s="1"/>
      <c r="N2949" s="1"/>
    </row>
    <row r="2950" ht="15.75" customHeight="1">
      <c r="A2950" t="s">
        <v>53</v>
      </c>
      <c r="B2950" t="s">
        <v>14</v>
      </c>
      <c r="C2950" t="s">
        <v>4907</v>
      </c>
      <c r="D2950" t="s">
        <v>3036</v>
      </c>
      <c r="E2950">
        <v>81872.4329574895</v>
      </c>
      <c r="F2950">
        <v>28314.7098561793</v>
      </c>
      <c r="G2950">
        <v>24009.98693493</v>
      </c>
      <c r="H2950">
        <v>17455.7762253115</v>
      </c>
      <c r="I2950">
        <v>134197.13</v>
      </c>
      <c r="J2950">
        <v>116741.35</v>
      </c>
      <c r="K2950" s="1"/>
      <c r="L2950" s="1"/>
      <c r="M2950" s="1"/>
      <c r="N2950" s="1"/>
    </row>
    <row r="2951" ht="15.75" customHeight="1">
      <c r="A2951" t="s">
        <v>17</v>
      </c>
      <c r="B2951" t="s">
        <v>26</v>
      </c>
      <c r="C2951" t="s">
        <v>4913</v>
      </c>
      <c r="D2951" t="s">
        <v>3037</v>
      </c>
      <c r="E2951">
        <v>81883.3159273957</v>
      </c>
      <c r="F2951">
        <v>28319.3245745067</v>
      </c>
      <c r="G2951">
        <v>24017.6669383595</v>
      </c>
      <c r="H2951">
        <v>17459.1737759987</v>
      </c>
      <c r="I2951">
        <v>134220.31</v>
      </c>
      <c r="J2951">
        <v>116761.14</v>
      </c>
      <c r="K2951" s="1"/>
      <c r="L2951" s="1"/>
      <c r="M2951" s="1"/>
      <c r="N2951" s="1"/>
    </row>
    <row r="2952" ht="15.75" customHeight="1">
      <c r="A2952" t="s">
        <v>25</v>
      </c>
      <c r="B2952" t="s">
        <v>14</v>
      </c>
      <c r="C2952" t="s">
        <v>4910</v>
      </c>
      <c r="D2952" t="s">
        <v>3038</v>
      </c>
      <c r="E2952">
        <v>81894.1988973019</v>
      </c>
      <c r="F2952">
        <v>28323.9392928341</v>
      </c>
      <c r="G2952">
        <v>24025.346941789</v>
      </c>
      <c r="H2952">
        <v>17462.571326686</v>
      </c>
      <c r="I2952">
        <v>134243.49</v>
      </c>
      <c r="J2952">
        <v>116780.92</v>
      </c>
      <c r="K2952" s="1"/>
      <c r="L2952" s="1"/>
      <c r="M2952" s="1"/>
      <c r="N2952" s="1"/>
    </row>
    <row r="2953" ht="15.75" customHeight="1">
      <c r="A2953" t="s">
        <v>51</v>
      </c>
      <c r="B2953" t="s">
        <v>33</v>
      </c>
      <c r="C2953" t="s">
        <v>4917</v>
      </c>
      <c r="D2953" t="s">
        <v>3039</v>
      </c>
      <c r="E2953">
        <v>81905.0818672081</v>
      </c>
      <c r="F2953">
        <v>28328.5540111615</v>
      </c>
      <c r="G2953">
        <v>24033.0269452185</v>
      </c>
      <c r="H2953">
        <v>17465.9688773733</v>
      </c>
      <c r="I2953">
        <v>134266.66</v>
      </c>
      <c r="J2953">
        <v>116800.69</v>
      </c>
      <c r="K2953" s="1"/>
      <c r="L2953" s="1"/>
      <c r="M2953" s="1"/>
      <c r="N2953" s="1"/>
    </row>
    <row r="2954" ht="15.75" customHeight="1">
      <c r="A2954" t="s">
        <v>36</v>
      </c>
      <c r="B2954" t="s">
        <v>37</v>
      </c>
      <c r="C2954" t="s">
        <v>4908</v>
      </c>
      <c r="D2954" t="s">
        <v>3040</v>
      </c>
      <c r="E2954">
        <v>81926.8478070205</v>
      </c>
      <c r="F2954">
        <v>28337.7834478164</v>
      </c>
      <c r="G2954">
        <v>24048.3869520775</v>
      </c>
      <c r="H2954">
        <v>17472.7639787479</v>
      </c>
      <c r="I2954">
        <v>134313.02</v>
      </c>
      <c r="J2954">
        <v>116840.26</v>
      </c>
      <c r="K2954" s="1"/>
      <c r="L2954" s="1"/>
      <c r="M2954" s="1"/>
      <c r="N2954" s="1"/>
    </row>
    <row r="2955" ht="15.75" customHeight="1">
      <c r="A2955" t="s">
        <v>51</v>
      </c>
      <c r="B2955" t="s">
        <v>30</v>
      </c>
      <c r="C2955" t="s">
        <v>4917</v>
      </c>
      <c r="D2955" t="s">
        <v>3041</v>
      </c>
      <c r="E2955">
        <v>81937.7307769267</v>
      </c>
      <c r="F2955">
        <v>28342.3981661438</v>
      </c>
      <c r="G2955">
        <v>24056.066955507</v>
      </c>
      <c r="H2955">
        <v>17476.1615294352</v>
      </c>
      <c r="I2955">
        <v>134336.2</v>
      </c>
      <c r="J2955">
        <v>116860.04</v>
      </c>
      <c r="K2955" s="1"/>
      <c r="L2955" s="1"/>
      <c r="M2955" s="1"/>
      <c r="N2955" s="1"/>
    </row>
    <row r="2956" ht="15.75" customHeight="1">
      <c r="A2956" t="s">
        <v>25</v>
      </c>
      <c r="B2956" t="s">
        <v>26</v>
      </c>
      <c r="C2956" t="s">
        <v>4916</v>
      </c>
      <c r="D2956" t="s">
        <v>3042</v>
      </c>
      <c r="E2956">
        <v>81948.6137468329</v>
      </c>
      <c r="F2956">
        <v>28347.0128844712</v>
      </c>
      <c r="G2956">
        <v>24063.7469589365</v>
      </c>
      <c r="H2956">
        <v>17479.5590801225</v>
      </c>
      <c r="I2956">
        <v>134359.37</v>
      </c>
      <c r="J2956">
        <v>116879.81</v>
      </c>
      <c r="K2956" s="1"/>
      <c r="L2956" s="1"/>
      <c r="M2956" s="1"/>
      <c r="N2956" s="1"/>
    </row>
    <row r="2957" ht="15.75" customHeight="1">
      <c r="A2957" t="s">
        <v>25</v>
      </c>
      <c r="B2957" t="s">
        <v>18</v>
      </c>
      <c r="C2957" t="s">
        <v>4910</v>
      </c>
      <c r="D2957" t="s">
        <v>3043</v>
      </c>
      <c r="E2957">
        <v>81970.3796866452</v>
      </c>
      <c r="F2957">
        <v>28356.2423211261</v>
      </c>
      <c r="G2957">
        <v>24079.1069657954</v>
      </c>
      <c r="H2957">
        <v>17486.354181497</v>
      </c>
      <c r="I2957">
        <v>134405.73</v>
      </c>
      <c r="J2957">
        <v>116919.38</v>
      </c>
      <c r="K2957" s="1"/>
      <c r="L2957" s="1"/>
      <c r="M2957" s="1"/>
      <c r="N2957" s="1"/>
    </row>
    <row r="2958" ht="15.75" customHeight="1">
      <c r="A2958" t="s">
        <v>17</v>
      </c>
      <c r="B2958" t="s">
        <v>14</v>
      </c>
      <c r="C2958" t="s">
        <v>4910</v>
      </c>
      <c r="D2958" t="s">
        <v>3044</v>
      </c>
      <c r="E2958">
        <v>81981.2626565514</v>
      </c>
      <c r="F2958">
        <v>28360.8570394535</v>
      </c>
      <c r="G2958">
        <v>24086.7869692249</v>
      </c>
      <c r="H2958">
        <v>17489.7517321843</v>
      </c>
      <c r="I2958">
        <v>134428.91</v>
      </c>
      <c r="J2958">
        <v>116939.16</v>
      </c>
      <c r="K2958" s="1"/>
      <c r="L2958" s="1"/>
      <c r="M2958" s="1"/>
      <c r="N2958" s="1"/>
    </row>
    <row r="2959" ht="15.75" customHeight="1">
      <c r="A2959" t="s">
        <v>17</v>
      </c>
      <c r="B2959" t="s">
        <v>30</v>
      </c>
      <c r="C2959" t="s">
        <v>4905</v>
      </c>
      <c r="D2959" t="s">
        <v>3045</v>
      </c>
      <c r="E2959">
        <v>81992.1456264576</v>
      </c>
      <c r="F2959">
        <v>28365.4717577809</v>
      </c>
      <c r="G2959">
        <v>24094.4669726544</v>
      </c>
      <c r="H2959">
        <v>17493.1492828716</v>
      </c>
      <c r="I2959">
        <v>134452.08</v>
      </c>
      <c r="J2959">
        <v>116958.93</v>
      </c>
      <c r="K2959" s="1"/>
      <c r="L2959" s="1"/>
      <c r="M2959" s="1"/>
      <c r="N2959" s="1"/>
    </row>
    <row r="2960" ht="15.75" customHeight="1">
      <c r="A2960" t="s">
        <v>36</v>
      </c>
      <c r="B2960" t="s">
        <v>30</v>
      </c>
      <c r="C2960" t="s">
        <v>4909</v>
      </c>
      <c r="D2960" t="s">
        <v>3046</v>
      </c>
      <c r="E2960">
        <v>82003.0285963638</v>
      </c>
      <c r="F2960">
        <v>28370.0864761083</v>
      </c>
      <c r="G2960">
        <v>24102.1469760839</v>
      </c>
      <c r="H2960">
        <v>17496.5468335589</v>
      </c>
      <c r="I2960">
        <v>134475.26</v>
      </c>
      <c r="J2960">
        <v>116978.71</v>
      </c>
      <c r="K2960" s="1"/>
      <c r="L2960" s="1"/>
      <c r="M2960" s="1"/>
      <c r="N2960" s="1"/>
    </row>
    <row r="2961" ht="15.75" customHeight="1">
      <c r="A2961" t="s">
        <v>36</v>
      </c>
      <c r="B2961" t="s">
        <v>37</v>
      </c>
      <c r="C2961" t="s">
        <v>4910</v>
      </c>
      <c r="D2961" t="s">
        <v>3047</v>
      </c>
      <c r="E2961">
        <v>82013.91156627</v>
      </c>
      <c r="F2961">
        <v>28374.7011944357</v>
      </c>
      <c r="G2961">
        <v>24109.8269795134</v>
      </c>
      <c r="H2961">
        <v>17499.9443842462</v>
      </c>
      <c r="I2961">
        <v>134498.44</v>
      </c>
      <c r="J2961">
        <v>116998.5</v>
      </c>
      <c r="K2961" s="1"/>
      <c r="L2961" s="1"/>
      <c r="M2961" s="1"/>
      <c r="N2961" s="1"/>
    </row>
    <row r="2962" ht="15.75" customHeight="1">
      <c r="A2962" t="s">
        <v>51</v>
      </c>
      <c r="B2962" t="s">
        <v>18</v>
      </c>
      <c r="C2962" t="s">
        <v>4911</v>
      </c>
      <c r="D2962" t="s">
        <v>3048</v>
      </c>
      <c r="E2962">
        <v>82024.7945361762</v>
      </c>
      <c r="F2962">
        <v>28379.3159127632</v>
      </c>
      <c r="G2962">
        <v>24117.5069829429</v>
      </c>
      <c r="H2962">
        <v>17503.3419349335</v>
      </c>
      <c r="I2962">
        <v>134521.62</v>
      </c>
      <c r="J2962">
        <v>117018.28</v>
      </c>
      <c r="K2962" s="1"/>
      <c r="L2962" s="1"/>
      <c r="M2962" s="1"/>
      <c r="N2962" s="1"/>
    </row>
    <row r="2963" ht="15.75" customHeight="1">
      <c r="A2963" t="s">
        <v>29</v>
      </c>
      <c r="B2963" t="s">
        <v>33</v>
      </c>
      <c r="C2963" t="s">
        <v>4912</v>
      </c>
      <c r="D2963" t="s">
        <v>3049</v>
      </c>
      <c r="E2963">
        <v>82035.6775060824</v>
      </c>
      <c r="F2963">
        <v>28383.9306310906</v>
      </c>
      <c r="G2963">
        <v>24125.1869863724</v>
      </c>
      <c r="H2963">
        <v>17506.7394856208</v>
      </c>
      <c r="I2963">
        <v>134544.8</v>
      </c>
      <c r="J2963">
        <v>117038.06</v>
      </c>
      <c r="K2963" s="1"/>
      <c r="L2963" s="1"/>
      <c r="M2963" s="1"/>
      <c r="N2963" s="1"/>
    </row>
    <row r="2964" ht="15.75" customHeight="1">
      <c r="A2964" t="s">
        <v>25</v>
      </c>
      <c r="B2964" t="s">
        <v>18</v>
      </c>
      <c r="C2964" t="s">
        <v>4916</v>
      </c>
      <c r="D2964" t="s">
        <v>3050</v>
      </c>
      <c r="E2964">
        <v>82046.5604759886</v>
      </c>
      <c r="F2964">
        <v>28388.545349418</v>
      </c>
      <c r="G2964">
        <v>24132.8669898019</v>
      </c>
      <c r="H2964">
        <v>17510.137036308</v>
      </c>
      <c r="I2964">
        <v>134567.97</v>
      </c>
      <c r="J2964">
        <v>117057.83</v>
      </c>
      <c r="K2964" s="1"/>
      <c r="L2964" s="1"/>
      <c r="M2964" s="1"/>
      <c r="N2964" s="1"/>
    </row>
    <row r="2965" ht="15.75" customHeight="1">
      <c r="A2965" t="s">
        <v>17</v>
      </c>
      <c r="B2965" t="s">
        <v>30</v>
      </c>
      <c r="C2965" t="s">
        <v>4905</v>
      </c>
      <c r="D2965" t="s">
        <v>3051</v>
      </c>
      <c r="E2965">
        <v>82057.4434458948</v>
      </c>
      <c r="F2965">
        <v>28393.1600677454</v>
      </c>
      <c r="G2965">
        <v>24140.5469932314</v>
      </c>
      <c r="H2965">
        <v>17513.5345869953</v>
      </c>
      <c r="I2965">
        <v>134591.15</v>
      </c>
      <c r="J2965">
        <v>117077.62</v>
      </c>
      <c r="K2965" s="1"/>
      <c r="L2965" s="1"/>
      <c r="M2965" s="1"/>
      <c r="N2965" s="1"/>
    </row>
    <row r="2966" ht="15.75" customHeight="1">
      <c r="A2966" t="s">
        <v>51</v>
      </c>
      <c r="B2966" t="s">
        <v>30</v>
      </c>
      <c r="C2966" t="s">
        <v>4910</v>
      </c>
      <c r="D2966" t="s">
        <v>3052</v>
      </c>
      <c r="E2966">
        <v>82068.326415801</v>
      </c>
      <c r="F2966">
        <v>28397.7747860729</v>
      </c>
      <c r="G2966">
        <v>24148.2269966609</v>
      </c>
      <c r="H2966">
        <v>17516.9321376826</v>
      </c>
      <c r="I2966">
        <v>134614.33</v>
      </c>
      <c r="J2966">
        <v>117097.4</v>
      </c>
      <c r="K2966" s="1"/>
      <c r="L2966" s="1"/>
      <c r="M2966" s="1"/>
      <c r="N2966" s="1"/>
    </row>
    <row r="2967" ht="15.75" customHeight="1">
      <c r="A2967" t="s">
        <v>13</v>
      </c>
      <c r="B2967" t="s">
        <v>33</v>
      </c>
      <c r="C2967" t="s">
        <v>4910</v>
      </c>
      <c r="D2967" t="s">
        <v>3053</v>
      </c>
      <c r="E2967">
        <v>71656.69906138915</v>
      </c>
      <c r="F2967">
        <v>28402.3895044003</v>
      </c>
      <c r="G2967">
        <v>24155.9070000904</v>
      </c>
      <c r="H2967">
        <v>17520.3296883699</v>
      </c>
      <c r="I2967">
        <v>124215.0</v>
      </c>
      <c r="J2967">
        <v>106694.67</v>
      </c>
      <c r="K2967" s="1"/>
      <c r="L2967" s="1"/>
      <c r="M2967" s="1"/>
      <c r="N2967" s="1"/>
    </row>
    <row r="2968" ht="15.75" customHeight="1">
      <c r="A2968" t="s">
        <v>13</v>
      </c>
      <c r="B2968" t="s">
        <v>14</v>
      </c>
      <c r="C2968" t="s">
        <v>4907</v>
      </c>
      <c r="D2968" t="s">
        <v>3054</v>
      </c>
      <c r="E2968">
        <v>82090.0923556134</v>
      </c>
      <c r="F2968">
        <v>28407.0042227277</v>
      </c>
      <c r="G2968">
        <v>24163.5870035199</v>
      </c>
      <c r="H2968">
        <v>17523.7272390572</v>
      </c>
      <c r="I2968">
        <v>134660.68</v>
      </c>
      <c r="J2968">
        <v>117136.95</v>
      </c>
      <c r="K2968" s="1"/>
      <c r="L2968" s="1"/>
      <c r="M2968" s="1"/>
      <c r="N2968" s="1"/>
    </row>
    <row r="2969" ht="15.75" customHeight="1">
      <c r="A2969" t="s">
        <v>29</v>
      </c>
      <c r="B2969" t="s">
        <v>14</v>
      </c>
      <c r="C2969" t="s">
        <v>4914</v>
      </c>
      <c r="D2969" t="s">
        <v>3055</v>
      </c>
      <c r="E2969">
        <v>82100.9753255196</v>
      </c>
      <c r="F2969">
        <v>28411.6189410551</v>
      </c>
      <c r="G2969">
        <v>24171.2670069494</v>
      </c>
      <c r="H2969">
        <v>17527.1247897445</v>
      </c>
      <c r="I2969">
        <v>134683.86</v>
      </c>
      <c r="J2969">
        <v>117156.74</v>
      </c>
      <c r="K2969" s="1"/>
      <c r="L2969" s="1"/>
      <c r="M2969" s="1"/>
      <c r="N2969" s="1"/>
    </row>
    <row r="2970" ht="15.75" customHeight="1">
      <c r="A2970" t="s">
        <v>29</v>
      </c>
      <c r="B2970" t="s">
        <v>26</v>
      </c>
      <c r="C2970" t="s">
        <v>4911</v>
      </c>
      <c r="D2970" t="s">
        <v>3056</v>
      </c>
      <c r="E2970">
        <v>82111.8582954258</v>
      </c>
      <c r="F2970">
        <v>28416.2336593825</v>
      </c>
      <c r="G2970">
        <v>24178.9470103789</v>
      </c>
      <c r="H2970">
        <v>17530.5223404318</v>
      </c>
      <c r="I2970">
        <v>134707.04</v>
      </c>
      <c r="J2970">
        <v>117176.52</v>
      </c>
      <c r="K2970" s="1"/>
      <c r="L2970" s="1"/>
      <c r="M2970" s="1"/>
      <c r="N2970" s="1"/>
    </row>
    <row r="2971" ht="15.75" customHeight="1">
      <c r="A2971" t="s">
        <v>53</v>
      </c>
      <c r="B2971" t="s">
        <v>18</v>
      </c>
      <c r="C2971" t="s">
        <v>4909</v>
      </c>
      <c r="D2971" t="s">
        <v>3058</v>
      </c>
      <c r="E2971">
        <v>82133.6242352381</v>
      </c>
      <c r="F2971">
        <v>28425.4630960374</v>
      </c>
      <c r="G2971">
        <v>24194.3070172379</v>
      </c>
      <c r="H2971">
        <v>17537.3174418063</v>
      </c>
      <c r="I2971">
        <v>134753.39</v>
      </c>
      <c r="J2971">
        <v>117216.07</v>
      </c>
      <c r="K2971" s="1"/>
      <c r="L2971" s="1"/>
      <c r="M2971" s="1"/>
      <c r="N2971" s="1"/>
    </row>
    <row r="2972" ht="15.75" customHeight="1">
      <c r="A2972" t="s">
        <v>17</v>
      </c>
      <c r="B2972" t="s">
        <v>14</v>
      </c>
      <c r="C2972" t="s">
        <v>4909</v>
      </c>
      <c r="D2972" t="s">
        <v>3059</v>
      </c>
      <c r="E2972">
        <v>82144.5072051443</v>
      </c>
      <c r="F2972">
        <v>28430.0778143648</v>
      </c>
      <c r="G2972">
        <v>24201.9870206674</v>
      </c>
      <c r="H2972">
        <v>17540.7149924936</v>
      </c>
      <c r="I2972">
        <v>134776.57</v>
      </c>
      <c r="J2972">
        <v>117235.86</v>
      </c>
      <c r="K2972" s="1"/>
      <c r="L2972" s="1"/>
      <c r="M2972" s="1"/>
      <c r="N2972" s="1"/>
    </row>
    <row r="2973" ht="15.75" customHeight="1">
      <c r="A2973" t="s">
        <v>25</v>
      </c>
      <c r="B2973" t="s">
        <v>54</v>
      </c>
      <c r="C2973" t="s">
        <v>4916</v>
      </c>
      <c r="D2973" t="s">
        <v>3060</v>
      </c>
      <c r="E2973">
        <v>82155.3901750505</v>
      </c>
      <c r="F2973">
        <v>28434.6925326922</v>
      </c>
      <c r="G2973">
        <v>24209.6670240969</v>
      </c>
      <c r="H2973">
        <v>17544.1125431809</v>
      </c>
      <c r="I2973">
        <v>134799.75</v>
      </c>
      <c r="J2973">
        <v>117255.64</v>
      </c>
      <c r="K2973" s="1"/>
      <c r="L2973" s="1"/>
      <c r="M2973" s="1"/>
      <c r="N2973" s="1"/>
    </row>
    <row r="2974" ht="15.75" customHeight="1">
      <c r="A2974" t="s">
        <v>51</v>
      </c>
      <c r="B2974" t="s">
        <v>30</v>
      </c>
      <c r="C2974" t="s">
        <v>4905</v>
      </c>
      <c r="D2974" t="s">
        <v>3061</v>
      </c>
      <c r="E2974">
        <v>82166.2731449567</v>
      </c>
      <c r="F2974">
        <v>28439.3072510197</v>
      </c>
      <c r="G2974">
        <v>24217.3470275264</v>
      </c>
      <c r="H2974">
        <v>17547.5100938682</v>
      </c>
      <c r="I2974">
        <v>134822.93</v>
      </c>
      <c r="J2974">
        <v>117275.42</v>
      </c>
      <c r="K2974" s="1"/>
      <c r="L2974" s="1"/>
      <c r="M2974" s="1"/>
      <c r="N2974" s="1"/>
    </row>
    <row r="2975" ht="15.75" customHeight="1">
      <c r="A2975" t="s">
        <v>36</v>
      </c>
      <c r="B2975" t="s">
        <v>37</v>
      </c>
      <c r="C2975" t="s">
        <v>4907</v>
      </c>
      <c r="D2975" t="s">
        <v>3062</v>
      </c>
      <c r="E2975">
        <v>82177.1561148629</v>
      </c>
      <c r="F2975">
        <v>28443.9219693471</v>
      </c>
      <c r="G2975">
        <v>24225.0270309559</v>
      </c>
      <c r="H2975">
        <v>17550.9076445555</v>
      </c>
      <c r="I2975">
        <v>134846.11</v>
      </c>
      <c r="J2975">
        <v>117295.2</v>
      </c>
      <c r="K2975" s="1"/>
      <c r="L2975" s="1"/>
      <c r="M2975" s="1"/>
      <c r="N2975" s="1"/>
    </row>
    <row r="2976" ht="15.75" customHeight="1">
      <c r="A2976" t="s">
        <v>36</v>
      </c>
      <c r="B2976" t="s">
        <v>54</v>
      </c>
      <c r="C2976" t="s">
        <v>4915</v>
      </c>
      <c r="D2976" t="s">
        <v>3063</v>
      </c>
      <c r="E2976">
        <v>82188.0390847691</v>
      </c>
      <c r="F2976">
        <v>28448.5366876745</v>
      </c>
      <c r="G2976">
        <v>24232.7070343854</v>
      </c>
      <c r="H2976">
        <v>17554.3051952428</v>
      </c>
      <c r="I2976">
        <v>134869.28</v>
      </c>
      <c r="J2976">
        <v>117314.97</v>
      </c>
      <c r="K2976" s="1"/>
      <c r="L2976" s="1"/>
      <c r="M2976" s="1"/>
      <c r="N2976" s="1"/>
    </row>
    <row r="2977" ht="15.75" customHeight="1">
      <c r="A2977" t="s">
        <v>51</v>
      </c>
      <c r="B2977" t="s">
        <v>18</v>
      </c>
      <c r="C2977" t="s">
        <v>4917</v>
      </c>
      <c r="D2977" t="s">
        <v>3064</v>
      </c>
      <c r="E2977">
        <v>82198.9220546753</v>
      </c>
      <c r="F2977">
        <v>28453.1514060019</v>
      </c>
      <c r="G2977">
        <v>24240.3870378149</v>
      </c>
      <c r="H2977">
        <v>17557.7027459301</v>
      </c>
      <c r="I2977">
        <v>134892.46</v>
      </c>
      <c r="J2977">
        <v>117334.76</v>
      </c>
      <c r="K2977" s="1"/>
      <c r="L2977" s="1"/>
      <c r="M2977" s="1"/>
      <c r="N2977" s="1"/>
    </row>
    <row r="2978" ht="15.75" customHeight="1">
      <c r="A2978" t="s">
        <v>17</v>
      </c>
      <c r="B2978" t="s">
        <v>54</v>
      </c>
      <c r="C2978" t="s">
        <v>4913</v>
      </c>
      <c r="D2978" t="s">
        <v>3065</v>
      </c>
      <c r="E2978">
        <v>82209.8050245815</v>
      </c>
      <c r="F2978">
        <v>28457.7661243293</v>
      </c>
      <c r="G2978">
        <v>24248.0670412444</v>
      </c>
      <c r="H2978">
        <v>17561.1002966173</v>
      </c>
      <c r="I2978">
        <v>134915.64</v>
      </c>
      <c r="J2978">
        <v>117354.54</v>
      </c>
      <c r="K2978" s="1"/>
      <c r="L2978" s="1"/>
      <c r="M2978" s="1"/>
      <c r="N2978" s="1"/>
    </row>
    <row r="2979" ht="15.75" customHeight="1">
      <c r="A2979" t="s">
        <v>25</v>
      </c>
      <c r="B2979" t="s">
        <v>18</v>
      </c>
      <c r="C2979" t="s">
        <v>4913</v>
      </c>
      <c r="D2979" t="s">
        <v>3066</v>
      </c>
      <c r="E2979">
        <v>82220.6879944877</v>
      </c>
      <c r="F2979">
        <v>28462.3808426568</v>
      </c>
      <c r="G2979">
        <v>24255.7470446739</v>
      </c>
      <c r="H2979">
        <v>17564.4978473046</v>
      </c>
      <c r="I2979">
        <v>134938.82</v>
      </c>
      <c r="J2979">
        <v>117374.32</v>
      </c>
      <c r="K2979" s="1"/>
      <c r="L2979" s="1"/>
      <c r="M2979" s="1"/>
      <c r="N2979" s="1"/>
    </row>
    <row r="2980" ht="15.75" customHeight="1">
      <c r="A2980" t="s">
        <v>13</v>
      </c>
      <c r="B2980" t="s">
        <v>37</v>
      </c>
      <c r="C2980" t="s">
        <v>4911</v>
      </c>
      <c r="D2980" t="s">
        <v>3067</v>
      </c>
      <c r="E2980">
        <v>82242.4539343001</v>
      </c>
      <c r="F2980">
        <v>28471.6102793116</v>
      </c>
      <c r="G2980">
        <v>24271.1070515329</v>
      </c>
      <c r="H2980">
        <v>17571.2929486792</v>
      </c>
      <c r="I2980">
        <v>134985.17</v>
      </c>
      <c r="J2980">
        <v>117413.88</v>
      </c>
      <c r="K2980" s="1"/>
      <c r="L2980" s="1"/>
      <c r="M2980" s="1"/>
      <c r="N2980" s="1"/>
    </row>
    <row r="2981" ht="15.75" customHeight="1">
      <c r="A2981" t="s">
        <v>51</v>
      </c>
      <c r="B2981" t="s">
        <v>30</v>
      </c>
      <c r="C2981" t="s">
        <v>4907</v>
      </c>
      <c r="D2981" t="s">
        <v>3068</v>
      </c>
      <c r="E2981">
        <v>82253.3369042063</v>
      </c>
      <c r="F2981">
        <v>28476.224997639</v>
      </c>
      <c r="G2981">
        <v>24278.7870549624</v>
      </c>
      <c r="H2981">
        <v>17574.6904993665</v>
      </c>
      <c r="I2981">
        <v>135008.35</v>
      </c>
      <c r="J2981">
        <v>117433.66</v>
      </c>
      <c r="K2981" s="1"/>
      <c r="L2981" s="1"/>
      <c r="M2981" s="1"/>
      <c r="N2981" s="1"/>
    </row>
    <row r="2982" ht="15.75" customHeight="1">
      <c r="A2982" t="s">
        <v>13</v>
      </c>
      <c r="B2982" t="s">
        <v>30</v>
      </c>
      <c r="C2982" t="s">
        <v>4909</v>
      </c>
      <c r="D2982" t="s">
        <v>3069</v>
      </c>
      <c r="E2982">
        <v>82264.2198741125</v>
      </c>
      <c r="F2982">
        <v>28480.8397159665</v>
      </c>
      <c r="G2982">
        <v>24286.4670583919</v>
      </c>
      <c r="H2982">
        <v>17578.0880500538</v>
      </c>
      <c r="I2982">
        <v>135031.53</v>
      </c>
      <c r="J2982">
        <v>117453.44</v>
      </c>
      <c r="K2982" s="1"/>
      <c r="L2982" s="1"/>
      <c r="M2982" s="1"/>
      <c r="N2982" s="1"/>
    </row>
    <row r="2983" ht="15.75" customHeight="1">
      <c r="A2983" t="s">
        <v>17</v>
      </c>
      <c r="B2983" t="s">
        <v>18</v>
      </c>
      <c r="C2983" t="s">
        <v>4914</v>
      </c>
      <c r="D2983" t="s">
        <v>3070</v>
      </c>
      <c r="E2983">
        <v>82275.1028440187</v>
      </c>
      <c r="F2983">
        <v>28485.4544342939</v>
      </c>
      <c r="G2983">
        <v>24294.1470618214</v>
      </c>
      <c r="H2983">
        <v>17581.4856007411</v>
      </c>
      <c r="I2983">
        <v>135054.7</v>
      </c>
      <c r="J2983">
        <v>117473.21</v>
      </c>
      <c r="K2983" s="1"/>
      <c r="L2983" s="1"/>
      <c r="M2983" s="1"/>
      <c r="N2983" s="1"/>
    </row>
    <row r="2984" ht="15.75" customHeight="1">
      <c r="A2984" t="s">
        <v>53</v>
      </c>
      <c r="B2984" t="s">
        <v>30</v>
      </c>
      <c r="C2984" t="s">
        <v>4913</v>
      </c>
      <c r="D2984" t="s">
        <v>3071</v>
      </c>
      <c r="E2984">
        <v>82285.9858139248</v>
      </c>
      <c r="F2984">
        <v>28490.0691526213</v>
      </c>
      <c r="G2984">
        <v>24301.8270652509</v>
      </c>
      <c r="H2984">
        <v>17584.8831514284</v>
      </c>
      <c r="I2984">
        <v>135077.88</v>
      </c>
      <c r="J2984">
        <v>117493.0</v>
      </c>
      <c r="K2984" s="1"/>
      <c r="L2984" s="1"/>
      <c r="M2984" s="1"/>
      <c r="N2984" s="1"/>
    </row>
    <row r="2985" ht="15.75" customHeight="1">
      <c r="A2985" t="s">
        <v>36</v>
      </c>
      <c r="B2985" t="s">
        <v>26</v>
      </c>
      <c r="C2985" t="s">
        <v>4916</v>
      </c>
      <c r="D2985" t="s">
        <v>3072</v>
      </c>
      <c r="E2985">
        <v>82296.868783831</v>
      </c>
      <c r="F2985">
        <v>28494.6838709487</v>
      </c>
      <c r="G2985">
        <v>24309.5070686804</v>
      </c>
      <c r="H2985">
        <v>17588.2807021156</v>
      </c>
      <c r="I2985">
        <v>135101.06</v>
      </c>
      <c r="J2985">
        <v>117512.78</v>
      </c>
      <c r="K2985" s="1"/>
      <c r="L2985" s="1"/>
      <c r="M2985" s="1"/>
      <c r="N2985" s="1"/>
    </row>
    <row r="2986" ht="15.75" customHeight="1">
      <c r="A2986" t="s">
        <v>29</v>
      </c>
      <c r="B2986" t="s">
        <v>14</v>
      </c>
      <c r="C2986" t="s">
        <v>4917</v>
      </c>
      <c r="D2986" t="s">
        <v>3073</v>
      </c>
      <c r="E2986">
        <v>82307.7517537372</v>
      </c>
      <c r="F2986">
        <v>28499.2985892761</v>
      </c>
      <c r="G2986">
        <v>24317.1870721099</v>
      </c>
      <c r="H2986">
        <v>17591.6782528029</v>
      </c>
      <c r="I2986">
        <v>135124.24</v>
      </c>
      <c r="J2986">
        <v>117532.56</v>
      </c>
      <c r="K2986" s="1"/>
      <c r="L2986" s="1"/>
      <c r="M2986" s="1"/>
      <c r="N2986" s="1"/>
    </row>
    <row r="2987" ht="15.75" customHeight="1">
      <c r="A2987" t="s">
        <v>36</v>
      </c>
      <c r="B2987" t="s">
        <v>37</v>
      </c>
      <c r="C2987" t="s">
        <v>4914</v>
      </c>
      <c r="D2987" t="s">
        <v>3074</v>
      </c>
      <c r="E2987">
        <v>82318.6347236434</v>
      </c>
      <c r="F2987">
        <v>28503.9133076036</v>
      </c>
      <c r="G2987">
        <v>24324.8670755394</v>
      </c>
      <c r="H2987">
        <v>17595.0758034902</v>
      </c>
      <c r="I2987">
        <v>135147.42</v>
      </c>
      <c r="J2987">
        <v>117552.34</v>
      </c>
      <c r="K2987" s="1"/>
      <c r="L2987" s="1"/>
      <c r="M2987" s="1"/>
      <c r="N2987" s="1"/>
    </row>
    <row r="2988" ht="15.75" customHeight="1">
      <c r="A2988" t="s">
        <v>53</v>
      </c>
      <c r="B2988" t="s">
        <v>54</v>
      </c>
      <c r="C2988" t="s">
        <v>4912</v>
      </c>
      <c r="D2988" t="s">
        <v>3075</v>
      </c>
      <c r="E2988">
        <v>82329.5176935496</v>
      </c>
      <c r="F2988">
        <v>28508.528025931</v>
      </c>
      <c r="G2988">
        <v>24332.5470789689</v>
      </c>
      <c r="H2988">
        <v>17598.4733541775</v>
      </c>
      <c r="I2988">
        <v>135170.59</v>
      </c>
      <c r="J2988">
        <v>117572.12</v>
      </c>
      <c r="K2988" s="1"/>
      <c r="L2988" s="1"/>
      <c r="M2988" s="1"/>
      <c r="N2988" s="1"/>
    </row>
    <row r="2989" ht="15.75" customHeight="1">
      <c r="A2989" t="s">
        <v>36</v>
      </c>
      <c r="B2989" t="s">
        <v>30</v>
      </c>
      <c r="C2989" t="s">
        <v>4912</v>
      </c>
      <c r="D2989" t="s">
        <v>3076</v>
      </c>
      <c r="E2989">
        <v>82340.4006634558</v>
      </c>
      <c r="F2989">
        <v>28513.1427442584</v>
      </c>
      <c r="G2989">
        <v>24340.2270823984</v>
      </c>
      <c r="H2989">
        <v>17601.8709048648</v>
      </c>
      <c r="I2989">
        <v>135193.77</v>
      </c>
      <c r="J2989">
        <v>117591.9</v>
      </c>
      <c r="K2989" s="1"/>
      <c r="L2989" s="1"/>
      <c r="M2989" s="1"/>
      <c r="N2989" s="1"/>
    </row>
    <row r="2990" ht="15.75" customHeight="1">
      <c r="A2990" t="s">
        <v>29</v>
      </c>
      <c r="B2990" t="s">
        <v>54</v>
      </c>
      <c r="C2990" t="s">
        <v>4912</v>
      </c>
      <c r="D2990" t="s">
        <v>3077</v>
      </c>
      <c r="E2990">
        <v>82351.283633362</v>
      </c>
      <c r="F2990">
        <v>28517.7574625858</v>
      </c>
      <c r="G2990">
        <v>24347.9070858279</v>
      </c>
      <c r="H2990">
        <v>17605.2684555521</v>
      </c>
      <c r="I2990">
        <v>135216.95</v>
      </c>
      <c r="J2990">
        <v>117611.68</v>
      </c>
      <c r="K2990" s="1"/>
      <c r="L2990" s="1"/>
      <c r="M2990" s="1"/>
      <c r="N2990" s="1"/>
    </row>
    <row r="2991" ht="15.75" customHeight="1">
      <c r="A2991" t="s">
        <v>13</v>
      </c>
      <c r="B2991" t="s">
        <v>14</v>
      </c>
      <c r="C2991" t="s">
        <v>4905</v>
      </c>
      <c r="D2991" t="s">
        <v>3078</v>
      </c>
      <c r="E2991">
        <v>82362.1666032682</v>
      </c>
      <c r="F2991">
        <v>28522.3721809133</v>
      </c>
      <c r="G2991">
        <v>24355.5870892573</v>
      </c>
      <c r="H2991">
        <v>17608.6660062394</v>
      </c>
      <c r="I2991">
        <v>135240.13</v>
      </c>
      <c r="J2991">
        <v>117631.46</v>
      </c>
      <c r="K2991" s="1"/>
      <c r="L2991" s="1"/>
      <c r="M2991" s="1"/>
      <c r="N2991" s="1"/>
    </row>
    <row r="2992" ht="15.75" customHeight="1">
      <c r="A2992" t="s">
        <v>29</v>
      </c>
      <c r="B2992" t="s">
        <v>26</v>
      </c>
      <c r="C2992" t="s">
        <v>4909</v>
      </c>
      <c r="D2992" t="s">
        <v>3079</v>
      </c>
      <c r="E2992">
        <v>82373.0495731744</v>
      </c>
      <c r="F2992">
        <v>28526.9868992407</v>
      </c>
      <c r="G2992">
        <v>24363.2670926868</v>
      </c>
      <c r="H2992">
        <v>17612.0635569267</v>
      </c>
      <c r="I2992">
        <v>135263.3</v>
      </c>
      <c r="J2992">
        <v>117651.24</v>
      </c>
      <c r="K2992" s="1"/>
      <c r="L2992" s="1"/>
      <c r="M2992" s="1"/>
      <c r="N2992" s="1"/>
    </row>
    <row r="2993" ht="15.75" customHeight="1">
      <c r="A2993" t="s">
        <v>13</v>
      </c>
      <c r="B2993" t="s">
        <v>37</v>
      </c>
      <c r="C2993" t="s">
        <v>4912</v>
      </c>
      <c r="D2993" t="s">
        <v>3080</v>
      </c>
      <c r="E2993">
        <v>82383.9325430806</v>
      </c>
      <c r="F2993">
        <v>28531.6016175681</v>
      </c>
      <c r="G2993">
        <v>24370.9470961163</v>
      </c>
      <c r="H2993">
        <v>17615.4611076139</v>
      </c>
      <c r="I2993">
        <v>135286.48</v>
      </c>
      <c r="J2993">
        <v>117671.02</v>
      </c>
      <c r="K2993" s="1"/>
      <c r="L2993" s="1"/>
      <c r="M2993" s="1"/>
      <c r="N2993" s="1"/>
    </row>
    <row r="2994" ht="15.75" customHeight="1">
      <c r="A2994" t="s">
        <v>13</v>
      </c>
      <c r="B2994" t="s">
        <v>33</v>
      </c>
      <c r="C2994" t="s">
        <v>4916</v>
      </c>
      <c r="D2994" t="s">
        <v>3081</v>
      </c>
      <c r="E2994">
        <v>82394.8155129868</v>
      </c>
      <c r="F2994">
        <v>28536.2163358955</v>
      </c>
      <c r="G2994">
        <v>24378.6270995458</v>
      </c>
      <c r="H2994">
        <v>17618.8586583012</v>
      </c>
      <c r="I2994">
        <v>135309.66</v>
      </c>
      <c r="J2994">
        <v>117690.8</v>
      </c>
      <c r="K2994" s="1"/>
      <c r="L2994" s="1"/>
      <c r="M2994" s="1"/>
      <c r="N2994" s="1"/>
    </row>
    <row r="2995" ht="15.75" customHeight="1">
      <c r="A2995" t="s">
        <v>25</v>
      </c>
      <c r="B2995" t="s">
        <v>54</v>
      </c>
      <c r="C2995" t="s">
        <v>4915</v>
      </c>
      <c r="D2995" t="s">
        <v>3082</v>
      </c>
      <c r="E2995">
        <v>82405.698482893</v>
      </c>
      <c r="F2995">
        <v>28540.8310542229</v>
      </c>
      <c r="G2995">
        <v>24386.3071029753</v>
      </c>
      <c r="H2995">
        <v>17622.2562089885</v>
      </c>
      <c r="I2995">
        <v>135332.84</v>
      </c>
      <c r="J2995">
        <v>117710.58</v>
      </c>
      <c r="K2995" s="1"/>
      <c r="L2995" s="1"/>
      <c r="M2995" s="1"/>
      <c r="N2995" s="1"/>
    </row>
    <row r="2996" ht="15.75" customHeight="1">
      <c r="A2996" t="s">
        <v>17</v>
      </c>
      <c r="B2996" t="s">
        <v>14</v>
      </c>
      <c r="C2996" t="s">
        <v>4913</v>
      </c>
      <c r="D2996" t="s">
        <v>3083</v>
      </c>
      <c r="E2996">
        <v>82416.5814527992</v>
      </c>
      <c r="F2996">
        <v>28545.4457725504</v>
      </c>
      <c r="G2996">
        <v>24393.9871064048</v>
      </c>
      <c r="H2996">
        <v>17625.6537596758</v>
      </c>
      <c r="I2996">
        <v>135356.01</v>
      </c>
      <c r="J2996">
        <v>117730.36</v>
      </c>
      <c r="K2996" s="1"/>
      <c r="L2996" s="1"/>
      <c r="M2996" s="1"/>
      <c r="N2996" s="1"/>
    </row>
    <row r="2997" ht="15.75" customHeight="1">
      <c r="A2997" t="s">
        <v>17</v>
      </c>
      <c r="B2997" t="s">
        <v>33</v>
      </c>
      <c r="C2997" t="s">
        <v>4911</v>
      </c>
      <c r="D2997" t="s">
        <v>3084</v>
      </c>
      <c r="E2997">
        <v>82427.4644227054</v>
      </c>
      <c r="F2997">
        <v>28550.0604908778</v>
      </c>
      <c r="G2997">
        <v>24401.6671098343</v>
      </c>
      <c r="H2997">
        <v>17629.0513103631</v>
      </c>
      <c r="I2997">
        <v>135379.19</v>
      </c>
      <c r="J2997">
        <v>117750.14</v>
      </c>
      <c r="K2997" s="1"/>
      <c r="L2997" s="1"/>
      <c r="M2997" s="1"/>
      <c r="N2997" s="1"/>
    </row>
    <row r="2998" ht="15.75" customHeight="1">
      <c r="A2998" t="s">
        <v>36</v>
      </c>
      <c r="B2998" t="s">
        <v>37</v>
      </c>
      <c r="C2998" t="s">
        <v>4917</v>
      </c>
      <c r="D2998" t="s">
        <v>3085</v>
      </c>
      <c r="E2998">
        <v>82438.3473926116</v>
      </c>
      <c r="F2998">
        <v>28554.6752092052</v>
      </c>
      <c r="G2998">
        <v>24409.3471132638</v>
      </c>
      <c r="H2998">
        <v>17632.4488610504</v>
      </c>
      <c r="I2998">
        <v>135402.37</v>
      </c>
      <c r="J2998">
        <v>117769.92</v>
      </c>
      <c r="K2998" s="1"/>
      <c r="L2998" s="1"/>
      <c r="M2998" s="1"/>
      <c r="N2998" s="1"/>
    </row>
    <row r="2999" ht="15.75" customHeight="1">
      <c r="A2999" t="s">
        <v>25</v>
      </c>
      <c r="B2999" t="s">
        <v>18</v>
      </c>
      <c r="C2999" t="s">
        <v>4916</v>
      </c>
      <c r="D2999" t="s">
        <v>3086</v>
      </c>
      <c r="E2999">
        <v>82449.2303625177</v>
      </c>
      <c r="F2999">
        <v>28559.2899275326</v>
      </c>
      <c r="G2999">
        <v>24417.0271166933</v>
      </c>
      <c r="H2999">
        <v>17635.8464117377</v>
      </c>
      <c r="I2999">
        <v>135425.55</v>
      </c>
      <c r="J2999">
        <v>117789.7</v>
      </c>
      <c r="K2999" s="1"/>
      <c r="L2999" s="1"/>
      <c r="M2999" s="1"/>
      <c r="N2999" s="1"/>
    </row>
    <row r="3000" ht="15.75" customHeight="1">
      <c r="A3000" t="s">
        <v>13</v>
      </c>
      <c r="B3000" t="s">
        <v>30</v>
      </c>
      <c r="C3000" t="s">
        <v>4910</v>
      </c>
      <c r="D3000" t="s">
        <v>3087</v>
      </c>
      <c r="E3000">
        <v>82460.1133324239</v>
      </c>
      <c r="F3000">
        <v>28563.9046458601</v>
      </c>
      <c r="G3000">
        <v>24424.7071201228</v>
      </c>
      <c r="H3000">
        <v>17639.2439624249</v>
      </c>
      <c r="I3000">
        <v>135448.73</v>
      </c>
      <c r="J3000">
        <v>117809.49</v>
      </c>
      <c r="K3000" s="1"/>
      <c r="L3000" s="1"/>
      <c r="M3000" s="1"/>
      <c r="N3000" s="1"/>
    </row>
    <row r="3001" ht="15.75" customHeight="1">
      <c r="A3001" t="s">
        <v>53</v>
      </c>
      <c r="B3001" t="s">
        <v>33</v>
      </c>
      <c r="C3001" t="s">
        <v>4905</v>
      </c>
      <c r="D3001" t="s">
        <v>3088</v>
      </c>
      <c r="E3001">
        <v>82470.9963023301</v>
      </c>
      <c r="F3001">
        <v>28568.5193641875</v>
      </c>
      <c r="G3001">
        <v>24432.3871235523</v>
      </c>
      <c r="H3001">
        <v>17642.6415131122</v>
      </c>
      <c r="I3001">
        <v>135471.9</v>
      </c>
      <c r="J3001">
        <v>117829.26</v>
      </c>
      <c r="K3001" s="1"/>
      <c r="L3001" s="1"/>
      <c r="M3001" s="1"/>
      <c r="N3001" s="1"/>
    </row>
    <row r="3002" ht="15.75" customHeight="1">
      <c r="A3002" t="s">
        <v>13</v>
      </c>
      <c r="B3002" t="s">
        <v>37</v>
      </c>
      <c r="C3002" t="s">
        <v>4905</v>
      </c>
      <c r="D3002" t="s">
        <v>3089</v>
      </c>
      <c r="E3002">
        <v>82481.8792722363</v>
      </c>
      <c r="F3002">
        <v>28573.1340825149</v>
      </c>
      <c r="G3002">
        <v>24440.0671269818</v>
      </c>
      <c r="H3002">
        <v>17646.0390637995</v>
      </c>
      <c r="I3002">
        <v>135495.08</v>
      </c>
      <c r="J3002">
        <v>117849.04</v>
      </c>
      <c r="K3002" s="1"/>
      <c r="L3002" s="1"/>
      <c r="M3002" s="1"/>
      <c r="N3002" s="1"/>
    </row>
    <row r="3003" ht="15.75" customHeight="1">
      <c r="A3003" t="s">
        <v>36</v>
      </c>
      <c r="B3003" t="s">
        <v>33</v>
      </c>
      <c r="C3003" t="s">
        <v>4917</v>
      </c>
      <c r="D3003" t="s">
        <v>3090</v>
      </c>
      <c r="E3003">
        <v>82492.7622421425</v>
      </c>
      <c r="F3003">
        <v>28577.7488008423</v>
      </c>
      <c r="G3003">
        <v>24447.7471304113</v>
      </c>
      <c r="H3003">
        <v>17649.4366144868</v>
      </c>
      <c r="I3003">
        <v>135518.26</v>
      </c>
      <c r="J3003">
        <v>117868.82</v>
      </c>
      <c r="K3003" s="1"/>
      <c r="L3003" s="1"/>
      <c r="M3003" s="1"/>
      <c r="N3003" s="1"/>
    </row>
    <row r="3004" ht="15.75" customHeight="1">
      <c r="A3004" t="s">
        <v>53</v>
      </c>
      <c r="B3004" t="s">
        <v>14</v>
      </c>
      <c r="C3004" t="s">
        <v>4911</v>
      </c>
      <c r="D3004" t="s">
        <v>3091</v>
      </c>
      <c r="E3004">
        <v>82503.6452120487</v>
      </c>
      <c r="F3004">
        <v>28582.3635191697</v>
      </c>
      <c r="G3004">
        <v>24455.4271338408</v>
      </c>
      <c r="H3004">
        <v>17652.8341651741</v>
      </c>
      <c r="I3004">
        <v>135541.44</v>
      </c>
      <c r="J3004">
        <v>117888.61</v>
      </c>
      <c r="K3004" s="1"/>
      <c r="L3004" s="1"/>
      <c r="M3004" s="1"/>
      <c r="N3004" s="1"/>
    </row>
    <row r="3005" ht="15.75" customHeight="1">
      <c r="A3005" t="s">
        <v>53</v>
      </c>
      <c r="B3005" t="s">
        <v>37</v>
      </c>
      <c r="C3005" t="s">
        <v>4912</v>
      </c>
      <c r="D3005" t="s">
        <v>3092</v>
      </c>
      <c r="E3005">
        <v>82514.5281819549</v>
      </c>
      <c r="F3005">
        <v>28586.9782374972</v>
      </c>
      <c r="G3005">
        <v>24463.1071372703</v>
      </c>
      <c r="H3005">
        <v>17656.2317158614</v>
      </c>
      <c r="I3005">
        <v>135564.61</v>
      </c>
      <c r="J3005">
        <v>117908.38</v>
      </c>
      <c r="K3005" s="1"/>
      <c r="L3005" s="1"/>
      <c r="M3005" s="1"/>
      <c r="N3005" s="1"/>
    </row>
    <row r="3006" ht="15.75" customHeight="1">
      <c r="A3006" t="s">
        <v>29</v>
      </c>
      <c r="B3006" t="s">
        <v>37</v>
      </c>
      <c r="C3006" t="s">
        <v>4917</v>
      </c>
      <c r="D3006" t="s">
        <v>3093</v>
      </c>
      <c r="E3006">
        <v>82525.4111518611</v>
      </c>
      <c r="F3006">
        <v>28591.5929558246</v>
      </c>
      <c r="G3006">
        <v>24470.7871406998</v>
      </c>
      <c r="H3006">
        <v>17659.6292665487</v>
      </c>
      <c r="I3006">
        <v>135587.79</v>
      </c>
      <c r="J3006">
        <v>117928.16</v>
      </c>
      <c r="K3006" s="1"/>
      <c r="L3006" s="1"/>
      <c r="M3006" s="1"/>
      <c r="N3006" s="1"/>
    </row>
    <row r="3007" ht="15.75" customHeight="1">
      <c r="A3007" t="s">
        <v>53</v>
      </c>
      <c r="B3007" t="s">
        <v>18</v>
      </c>
      <c r="C3007" t="s">
        <v>4907</v>
      </c>
      <c r="D3007" t="s">
        <v>3094</v>
      </c>
      <c r="E3007">
        <v>82536.2941217673</v>
      </c>
      <c r="F3007">
        <v>28596.207674152</v>
      </c>
      <c r="G3007">
        <v>24478.4671441293</v>
      </c>
      <c r="H3007">
        <v>17663.026817236</v>
      </c>
      <c r="I3007">
        <v>135610.97</v>
      </c>
      <c r="J3007">
        <v>117947.94</v>
      </c>
      <c r="K3007" s="1"/>
      <c r="L3007" s="1"/>
      <c r="M3007" s="1"/>
      <c r="N3007" s="1"/>
    </row>
    <row r="3008" ht="15.75" customHeight="1">
      <c r="A3008" t="s">
        <v>53</v>
      </c>
      <c r="B3008" t="s">
        <v>30</v>
      </c>
      <c r="C3008" t="s">
        <v>4908</v>
      </c>
      <c r="D3008" t="s">
        <v>3095</v>
      </c>
      <c r="E3008">
        <v>82547.1770916735</v>
      </c>
      <c r="F3008">
        <v>28600.8223924794</v>
      </c>
      <c r="G3008">
        <v>24486.1471475588</v>
      </c>
      <c r="H3008">
        <v>17666.4243679232</v>
      </c>
      <c r="I3008">
        <v>135634.15</v>
      </c>
      <c r="J3008">
        <v>117967.73</v>
      </c>
      <c r="K3008" s="1"/>
      <c r="L3008" s="1"/>
      <c r="M3008" s="1"/>
      <c r="N3008" s="1"/>
    </row>
    <row r="3009" ht="15.75" customHeight="1">
      <c r="A3009" t="s">
        <v>13</v>
      </c>
      <c r="B3009" t="s">
        <v>37</v>
      </c>
      <c r="C3009" t="s">
        <v>4911</v>
      </c>
      <c r="D3009" t="s">
        <v>3096</v>
      </c>
      <c r="E3009">
        <v>82558.0600615797</v>
      </c>
      <c r="F3009">
        <v>28605.4371108069</v>
      </c>
      <c r="G3009">
        <v>24493.8271509883</v>
      </c>
      <c r="H3009">
        <v>17669.8219186105</v>
      </c>
      <c r="I3009">
        <v>135657.32</v>
      </c>
      <c r="J3009">
        <v>117987.5</v>
      </c>
      <c r="K3009" s="1"/>
      <c r="L3009" s="1"/>
      <c r="M3009" s="1"/>
      <c r="N3009" s="1"/>
    </row>
    <row r="3010" ht="15.75" customHeight="1">
      <c r="A3010" t="s">
        <v>53</v>
      </c>
      <c r="B3010" t="s">
        <v>14</v>
      </c>
      <c r="C3010" t="s">
        <v>4907</v>
      </c>
      <c r="D3010" t="s">
        <v>3097</v>
      </c>
      <c r="E3010">
        <v>82568.9430314859</v>
      </c>
      <c r="F3010">
        <v>28610.0518291343</v>
      </c>
      <c r="G3010">
        <v>24501.5071544178</v>
      </c>
      <c r="H3010">
        <v>17673.2194692978</v>
      </c>
      <c r="I3010">
        <v>135680.5</v>
      </c>
      <c r="J3010">
        <v>118007.28</v>
      </c>
      <c r="K3010" s="1"/>
      <c r="L3010" s="1"/>
      <c r="M3010" s="1"/>
      <c r="N3010" s="1"/>
    </row>
    <row r="3011" ht="15.75" customHeight="1">
      <c r="A3011" t="s">
        <v>29</v>
      </c>
      <c r="B3011" t="s">
        <v>37</v>
      </c>
      <c r="C3011" t="s">
        <v>4915</v>
      </c>
      <c r="D3011" t="s">
        <v>3098</v>
      </c>
      <c r="E3011">
        <v>82579.8260013921</v>
      </c>
      <c r="F3011">
        <v>28614.6665474617</v>
      </c>
      <c r="G3011">
        <v>24509.1871578473</v>
      </c>
      <c r="H3011">
        <v>17676.6170199851</v>
      </c>
      <c r="I3011">
        <v>135703.68</v>
      </c>
      <c r="J3011">
        <v>118027.06</v>
      </c>
      <c r="K3011" s="1"/>
      <c r="L3011" s="1"/>
      <c r="M3011" s="1"/>
      <c r="N3011" s="1"/>
    </row>
    <row r="3012" ht="15.75" customHeight="1">
      <c r="A3012" t="s">
        <v>25</v>
      </c>
      <c r="B3012" t="s">
        <v>37</v>
      </c>
      <c r="C3012" t="s">
        <v>4905</v>
      </c>
      <c r="D3012" t="s">
        <v>3099</v>
      </c>
      <c r="E3012">
        <v>82590.7089712983</v>
      </c>
      <c r="F3012">
        <v>28619.2812657891</v>
      </c>
      <c r="G3012">
        <v>24516.8671612768</v>
      </c>
      <c r="H3012">
        <v>17680.0145706724</v>
      </c>
      <c r="I3012">
        <v>135726.86</v>
      </c>
      <c r="J3012">
        <v>118046.85</v>
      </c>
      <c r="K3012" s="1"/>
      <c r="L3012" s="1"/>
      <c r="M3012" s="1"/>
      <c r="N3012" s="1"/>
    </row>
    <row r="3013" ht="15.75" customHeight="1">
      <c r="A3013" t="s">
        <v>29</v>
      </c>
      <c r="B3013" t="s">
        <v>54</v>
      </c>
      <c r="C3013" t="s">
        <v>4917</v>
      </c>
      <c r="D3013" t="s">
        <v>3100</v>
      </c>
      <c r="E3013">
        <v>82601.5919412045</v>
      </c>
      <c r="F3013">
        <v>28623.8959841165</v>
      </c>
      <c r="G3013">
        <v>24524.5471647063</v>
      </c>
      <c r="H3013">
        <v>17683.4121213597</v>
      </c>
      <c r="I3013">
        <v>135750.04</v>
      </c>
      <c r="J3013">
        <v>118066.63</v>
      </c>
      <c r="K3013" s="1"/>
      <c r="L3013" s="1"/>
      <c r="M3013" s="1"/>
      <c r="N3013" s="1"/>
    </row>
    <row r="3014" ht="15.75" customHeight="1">
      <c r="A3014" t="s">
        <v>25</v>
      </c>
      <c r="B3014" t="s">
        <v>30</v>
      </c>
      <c r="C3014" t="s">
        <v>4914</v>
      </c>
      <c r="D3014" t="s">
        <v>3101</v>
      </c>
      <c r="E3014">
        <v>82612.4749111107</v>
      </c>
      <c r="F3014">
        <v>28628.510702444</v>
      </c>
      <c r="G3014">
        <v>24532.2271681358</v>
      </c>
      <c r="H3014">
        <v>17686.809672047</v>
      </c>
      <c r="I3014">
        <v>135773.21</v>
      </c>
      <c r="J3014">
        <v>118086.4</v>
      </c>
      <c r="K3014" s="1"/>
      <c r="L3014" s="1"/>
      <c r="M3014" s="1"/>
      <c r="N3014" s="1"/>
    </row>
    <row r="3015" ht="15.75" customHeight="1">
      <c r="A3015" t="s">
        <v>29</v>
      </c>
      <c r="B3015" t="s">
        <v>14</v>
      </c>
      <c r="C3015" t="s">
        <v>4916</v>
      </c>
      <c r="D3015" t="s">
        <v>3102</v>
      </c>
      <c r="E3015">
        <v>82623.3578810168</v>
      </c>
      <c r="F3015">
        <v>28633.1254207714</v>
      </c>
      <c r="G3015">
        <v>24539.9071715653</v>
      </c>
      <c r="H3015">
        <v>17690.2072227343</v>
      </c>
      <c r="I3015">
        <v>135796.39</v>
      </c>
      <c r="J3015">
        <v>118106.18</v>
      </c>
      <c r="K3015" s="1"/>
      <c r="L3015" s="1"/>
      <c r="M3015" s="1"/>
      <c r="N3015" s="1"/>
    </row>
    <row r="3016" ht="15.75" customHeight="1">
      <c r="A3016" t="s">
        <v>29</v>
      </c>
      <c r="B3016" t="s">
        <v>54</v>
      </c>
      <c r="C3016" t="s">
        <v>4910</v>
      </c>
      <c r="D3016" t="s">
        <v>3103</v>
      </c>
      <c r="E3016">
        <v>82634.240850923</v>
      </c>
      <c r="F3016">
        <v>28637.7401390988</v>
      </c>
      <c r="G3016">
        <v>24547.5871749948</v>
      </c>
      <c r="H3016">
        <v>17693.6047734215</v>
      </c>
      <c r="I3016">
        <v>135819.57</v>
      </c>
      <c r="J3016">
        <v>118125.97</v>
      </c>
      <c r="K3016" s="1"/>
      <c r="L3016" s="1"/>
      <c r="M3016" s="1"/>
      <c r="N3016" s="1"/>
    </row>
    <row r="3017" ht="15.75" customHeight="1">
      <c r="A3017" t="s">
        <v>25</v>
      </c>
      <c r="B3017" t="s">
        <v>33</v>
      </c>
      <c r="C3017" t="s">
        <v>4905</v>
      </c>
      <c r="D3017" t="s">
        <v>3104</v>
      </c>
      <c r="E3017">
        <v>82645.1238208292</v>
      </c>
      <c r="F3017">
        <v>28642.3548574262</v>
      </c>
      <c r="G3017">
        <v>24555.2671784243</v>
      </c>
      <c r="H3017">
        <v>17697.0023241088</v>
      </c>
      <c r="I3017">
        <v>135842.75</v>
      </c>
      <c r="J3017">
        <v>118145.75</v>
      </c>
      <c r="K3017" s="1"/>
      <c r="L3017" s="1"/>
      <c r="M3017" s="1"/>
      <c r="N3017" s="1"/>
    </row>
    <row r="3018" ht="15.75" customHeight="1">
      <c r="A3018" t="s">
        <v>53</v>
      </c>
      <c r="B3018" t="s">
        <v>26</v>
      </c>
      <c r="C3018" t="s">
        <v>4911</v>
      </c>
      <c r="D3018" t="s">
        <v>3105</v>
      </c>
      <c r="E3018">
        <v>82656.0067907354</v>
      </c>
      <c r="F3018">
        <v>28646.9695757537</v>
      </c>
      <c r="G3018">
        <v>24562.9471818538</v>
      </c>
      <c r="H3018">
        <v>17700.3998747961</v>
      </c>
      <c r="I3018">
        <v>135865.92</v>
      </c>
      <c r="J3018">
        <v>118165.52</v>
      </c>
      <c r="K3018" s="1"/>
      <c r="L3018" s="1"/>
      <c r="M3018" s="1"/>
      <c r="N3018" s="1"/>
    </row>
    <row r="3019" ht="15.75" customHeight="1">
      <c r="A3019" t="s">
        <v>36</v>
      </c>
      <c r="B3019" t="s">
        <v>30</v>
      </c>
      <c r="C3019" t="s">
        <v>4911</v>
      </c>
      <c r="D3019" t="s">
        <v>3106</v>
      </c>
      <c r="E3019">
        <v>82666.8897606416</v>
      </c>
      <c r="F3019">
        <v>28651.5842940811</v>
      </c>
      <c r="G3019">
        <v>24570.6271852833</v>
      </c>
      <c r="H3019">
        <v>17703.7974254834</v>
      </c>
      <c r="I3019">
        <v>135889.1</v>
      </c>
      <c r="J3019">
        <v>118185.3</v>
      </c>
      <c r="K3019" s="1"/>
      <c r="L3019" s="1"/>
      <c r="M3019" s="1"/>
      <c r="N3019" s="1"/>
    </row>
    <row r="3020" ht="15.75" customHeight="1">
      <c r="A3020" t="s">
        <v>53</v>
      </c>
      <c r="B3020" t="s">
        <v>33</v>
      </c>
      <c r="C3020" t="s">
        <v>4917</v>
      </c>
      <c r="D3020" t="s">
        <v>3107</v>
      </c>
      <c r="E3020">
        <v>82677.7727305478</v>
      </c>
      <c r="F3020">
        <v>28656.1990124085</v>
      </c>
      <c r="G3020">
        <v>24578.3071887128</v>
      </c>
      <c r="H3020">
        <v>17707.1949761707</v>
      </c>
      <c r="I3020">
        <v>135912.28</v>
      </c>
      <c r="J3020">
        <v>118205.09</v>
      </c>
      <c r="K3020" s="1"/>
      <c r="L3020" s="1"/>
      <c r="M3020" s="1"/>
      <c r="N3020" s="1"/>
    </row>
    <row r="3021" ht="15.75" customHeight="1">
      <c r="A3021" t="s">
        <v>51</v>
      </c>
      <c r="B3021" t="s">
        <v>26</v>
      </c>
      <c r="C3021" t="s">
        <v>4912</v>
      </c>
      <c r="D3021" t="s">
        <v>3108</v>
      </c>
      <c r="E3021">
        <v>82688.655700454</v>
      </c>
      <c r="F3021">
        <v>28660.8137307359</v>
      </c>
      <c r="G3021">
        <v>24585.9871921423</v>
      </c>
      <c r="H3021">
        <v>17710.592526858</v>
      </c>
      <c r="I3021">
        <v>135935.46</v>
      </c>
      <c r="J3021">
        <v>118224.87</v>
      </c>
      <c r="K3021" s="1"/>
      <c r="L3021" s="1"/>
      <c r="M3021" s="1"/>
      <c r="N3021" s="1"/>
    </row>
    <row r="3022" ht="15.75" customHeight="1">
      <c r="A3022" t="s">
        <v>17</v>
      </c>
      <c r="B3022" t="s">
        <v>14</v>
      </c>
      <c r="C3022" t="s">
        <v>4915</v>
      </c>
      <c r="D3022" t="s">
        <v>3109</v>
      </c>
      <c r="E3022">
        <v>82699.5386703602</v>
      </c>
      <c r="F3022">
        <v>28665.4284490633</v>
      </c>
      <c r="G3022">
        <v>24593.6671955718</v>
      </c>
      <c r="H3022">
        <v>17713.9900775453</v>
      </c>
      <c r="I3022">
        <v>135958.63</v>
      </c>
      <c r="J3022">
        <v>118244.64</v>
      </c>
      <c r="K3022" s="1"/>
      <c r="L3022" s="1"/>
      <c r="M3022" s="1"/>
      <c r="N3022" s="1"/>
    </row>
    <row r="3023" ht="15.75" customHeight="1">
      <c r="A3023" t="s">
        <v>53</v>
      </c>
      <c r="B3023" t="s">
        <v>54</v>
      </c>
      <c r="C3023" t="s">
        <v>4909</v>
      </c>
      <c r="D3023" t="s">
        <v>3110</v>
      </c>
      <c r="E3023">
        <v>82710.4216402664</v>
      </c>
      <c r="F3023">
        <v>28670.0431673908</v>
      </c>
      <c r="G3023">
        <v>24601.3471990013</v>
      </c>
      <c r="H3023">
        <v>17717.3876282325</v>
      </c>
      <c r="I3023">
        <v>135981.81</v>
      </c>
      <c r="J3023">
        <v>118264.42</v>
      </c>
      <c r="K3023" s="1"/>
      <c r="L3023" s="1"/>
      <c r="M3023" s="1"/>
      <c r="N3023" s="1"/>
    </row>
    <row r="3024" ht="15.75" customHeight="1">
      <c r="A3024" t="s">
        <v>17</v>
      </c>
      <c r="B3024" t="s">
        <v>26</v>
      </c>
      <c r="C3024" t="s">
        <v>4910</v>
      </c>
      <c r="D3024" t="s">
        <v>3111</v>
      </c>
      <c r="E3024">
        <v>82721.3046101726</v>
      </c>
      <c r="F3024">
        <v>28674.6578857182</v>
      </c>
      <c r="G3024">
        <v>24609.0272024308</v>
      </c>
      <c r="H3024">
        <v>17720.7851789198</v>
      </c>
      <c r="I3024">
        <v>136004.99</v>
      </c>
      <c r="J3024">
        <v>118284.2</v>
      </c>
      <c r="K3024" s="1"/>
      <c r="L3024" s="1"/>
      <c r="M3024" s="1"/>
      <c r="N3024" s="1"/>
    </row>
    <row r="3025" ht="15.75" customHeight="1">
      <c r="A3025" t="s">
        <v>17</v>
      </c>
      <c r="B3025" t="s">
        <v>33</v>
      </c>
      <c r="C3025" t="s">
        <v>4917</v>
      </c>
      <c r="D3025" t="s">
        <v>3112</v>
      </c>
      <c r="E3025">
        <v>82732.1875800788</v>
      </c>
      <c r="F3025">
        <v>28679.2726040456</v>
      </c>
      <c r="G3025">
        <v>24616.7072058603</v>
      </c>
      <c r="H3025">
        <v>17724.1827296071</v>
      </c>
      <c r="I3025">
        <v>136028.17</v>
      </c>
      <c r="J3025">
        <v>118303.99</v>
      </c>
      <c r="K3025" s="1"/>
      <c r="L3025" s="1"/>
      <c r="M3025" s="1"/>
      <c r="N3025" s="1"/>
    </row>
    <row r="3026" ht="15.75" customHeight="1">
      <c r="A3026" t="s">
        <v>29</v>
      </c>
      <c r="B3026" t="s">
        <v>54</v>
      </c>
      <c r="C3026" t="s">
        <v>4916</v>
      </c>
      <c r="D3026" t="s">
        <v>3113</v>
      </c>
      <c r="E3026">
        <v>82743.070549985</v>
      </c>
      <c r="F3026">
        <v>28683.887322373</v>
      </c>
      <c r="G3026">
        <v>24624.3872092898</v>
      </c>
      <c r="H3026">
        <v>17727.5802802944</v>
      </c>
      <c r="I3026">
        <v>136051.35</v>
      </c>
      <c r="J3026">
        <v>118323.77</v>
      </c>
      <c r="K3026" s="1"/>
      <c r="L3026" s="1"/>
      <c r="M3026" s="1"/>
      <c r="N3026" s="1"/>
    </row>
    <row r="3027" ht="15.75" customHeight="1">
      <c r="A3027" t="s">
        <v>51</v>
      </c>
      <c r="B3027" t="s">
        <v>37</v>
      </c>
      <c r="C3027" t="s">
        <v>4909</v>
      </c>
      <c r="D3027" t="s">
        <v>3114</v>
      </c>
      <c r="E3027">
        <v>82753.9535198912</v>
      </c>
      <c r="F3027">
        <v>28688.5020407005</v>
      </c>
      <c r="G3027">
        <v>24632.0672127192</v>
      </c>
      <c r="H3027">
        <v>17730.9778309817</v>
      </c>
      <c r="I3027">
        <v>136074.52</v>
      </c>
      <c r="J3027">
        <v>118343.54</v>
      </c>
      <c r="K3027" s="1"/>
      <c r="L3027" s="1"/>
      <c r="M3027" s="1"/>
      <c r="N3027" s="1"/>
    </row>
    <row r="3028" ht="15.75" customHeight="1">
      <c r="A3028" t="s">
        <v>53</v>
      </c>
      <c r="B3028" t="s">
        <v>37</v>
      </c>
      <c r="C3028" t="s">
        <v>4917</v>
      </c>
      <c r="D3028" t="s">
        <v>3115</v>
      </c>
      <c r="E3028">
        <v>82775.7194597036</v>
      </c>
      <c r="F3028">
        <v>28697.7314773553</v>
      </c>
      <c r="G3028">
        <v>24647.4272195782</v>
      </c>
      <c r="H3028">
        <v>17737.7729323563</v>
      </c>
      <c r="I3028">
        <v>136120.88</v>
      </c>
      <c r="J3028">
        <v>118383.11</v>
      </c>
      <c r="K3028" s="1"/>
      <c r="L3028" s="1"/>
      <c r="M3028" s="1"/>
      <c r="N3028" s="1"/>
    </row>
    <row r="3029" ht="15.75" customHeight="1">
      <c r="A3029" t="s">
        <v>36</v>
      </c>
      <c r="B3029" t="s">
        <v>26</v>
      </c>
      <c r="C3029" t="s">
        <v>4915</v>
      </c>
      <c r="D3029" t="s">
        <v>3116</v>
      </c>
      <c r="E3029">
        <v>82786.6024296097</v>
      </c>
      <c r="F3029">
        <v>28702.3461956827</v>
      </c>
      <c r="G3029">
        <v>24655.1072230077</v>
      </c>
      <c r="H3029">
        <v>17741.1704830436</v>
      </c>
      <c r="I3029">
        <v>136144.06</v>
      </c>
      <c r="J3029">
        <v>118402.89</v>
      </c>
      <c r="K3029" s="1"/>
      <c r="L3029" s="1"/>
      <c r="M3029" s="1"/>
      <c r="N3029" s="1"/>
    </row>
    <row r="3030" ht="15.75" customHeight="1">
      <c r="A3030" t="s">
        <v>53</v>
      </c>
      <c r="B3030" t="s">
        <v>26</v>
      </c>
      <c r="C3030" t="s">
        <v>4908</v>
      </c>
      <c r="D3030" t="s">
        <v>3117</v>
      </c>
      <c r="E3030">
        <v>82797.4853995159</v>
      </c>
      <c r="F3030">
        <v>28706.9609140101</v>
      </c>
      <c r="G3030">
        <v>24662.7872264372</v>
      </c>
      <c r="H3030">
        <v>17744.5680337308</v>
      </c>
      <c r="I3030">
        <v>136167.23</v>
      </c>
      <c r="J3030">
        <v>118422.66</v>
      </c>
      <c r="K3030" s="1"/>
      <c r="L3030" s="1"/>
      <c r="M3030" s="1"/>
      <c r="N3030" s="1"/>
    </row>
    <row r="3031" ht="15.75" customHeight="1">
      <c r="A3031" t="s">
        <v>51</v>
      </c>
      <c r="B3031" t="s">
        <v>30</v>
      </c>
      <c r="C3031" t="s">
        <v>4905</v>
      </c>
      <c r="D3031" t="s">
        <v>3118</v>
      </c>
      <c r="E3031">
        <v>82808.3683694221</v>
      </c>
      <c r="F3031">
        <v>28711.5756323376</v>
      </c>
      <c r="G3031">
        <v>24670.4672298667</v>
      </c>
      <c r="H3031">
        <v>17747.9655844181</v>
      </c>
      <c r="I3031">
        <v>136190.41</v>
      </c>
      <c r="J3031">
        <v>118442.44</v>
      </c>
      <c r="K3031" s="1"/>
      <c r="L3031" s="1"/>
      <c r="M3031" s="1"/>
      <c r="N3031" s="1"/>
    </row>
    <row r="3032" ht="15.75" customHeight="1">
      <c r="A3032" t="s">
        <v>53</v>
      </c>
      <c r="B3032" t="s">
        <v>26</v>
      </c>
      <c r="C3032" t="s">
        <v>4917</v>
      </c>
      <c r="D3032" t="s">
        <v>3119</v>
      </c>
      <c r="E3032">
        <v>82819.2513393283</v>
      </c>
      <c r="F3032">
        <v>28716.190350665</v>
      </c>
      <c r="G3032">
        <v>24678.1472332962</v>
      </c>
      <c r="H3032">
        <v>17751.3631351054</v>
      </c>
      <c r="I3032">
        <v>136213.59</v>
      </c>
      <c r="J3032">
        <v>118462.23</v>
      </c>
      <c r="K3032" s="1"/>
      <c r="L3032" s="1"/>
      <c r="M3032" s="1"/>
      <c r="N3032" s="1"/>
    </row>
    <row r="3033" ht="15.75" customHeight="1">
      <c r="A3033" t="s">
        <v>25</v>
      </c>
      <c r="B3033" t="s">
        <v>37</v>
      </c>
      <c r="C3033" t="s">
        <v>4907</v>
      </c>
      <c r="D3033" t="s">
        <v>3120</v>
      </c>
      <c r="E3033">
        <v>82830.1343092345</v>
      </c>
      <c r="F3033">
        <v>28720.8050689924</v>
      </c>
      <c r="G3033">
        <v>24685.8272367257</v>
      </c>
      <c r="H3033">
        <v>17754.7606857927</v>
      </c>
      <c r="I3033">
        <v>136236.77</v>
      </c>
      <c r="J3033">
        <v>118482.01</v>
      </c>
      <c r="K3033" s="1"/>
      <c r="L3033" s="1"/>
      <c r="M3033" s="1"/>
      <c r="N3033" s="1"/>
    </row>
    <row r="3034" ht="15.75" customHeight="1">
      <c r="A3034" t="s">
        <v>13</v>
      </c>
      <c r="B3034" t="s">
        <v>37</v>
      </c>
      <c r="C3034" t="s">
        <v>4910</v>
      </c>
      <c r="D3034" t="s">
        <v>3121</v>
      </c>
      <c r="E3034">
        <v>82841.0172791407</v>
      </c>
      <c r="F3034">
        <v>28725.4197873198</v>
      </c>
      <c r="G3034">
        <v>24693.5072401552</v>
      </c>
      <c r="H3034">
        <v>17758.15823648</v>
      </c>
      <c r="I3034">
        <v>136259.94</v>
      </c>
      <c r="J3034">
        <v>118501.78</v>
      </c>
      <c r="K3034" s="1"/>
      <c r="L3034" s="1"/>
      <c r="M3034" s="1"/>
      <c r="N3034" s="1"/>
    </row>
    <row r="3035" ht="15.75" customHeight="1">
      <c r="A3035" t="s">
        <v>51</v>
      </c>
      <c r="B3035" t="s">
        <v>30</v>
      </c>
      <c r="C3035" t="s">
        <v>4913</v>
      </c>
      <c r="D3035" t="s">
        <v>3122</v>
      </c>
      <c r="E3035">
        <v>82851.9002490469</v>
      </c>
      <c r="F3035">
        <v>28730.0345056473</v>
      </c>
      <c r="G3035">
        <v>24701.1872435847</v>
      </c>
      <c r="H3035">
        <v>17761.5557871673</v>
      </c>
      <c r="I3035">
        <v>136283.12</v>
      </c>
      <c r="J3035">
        <v>118521.56</v>
      </c>
      <c r="K3035" s="1"/>
      <c r="L3035" s="1"/>
      <c r="M3035" s="1"/>
      <c r="N3035" s="1"/>
    </row>
    <row r="3036" ht="15.75" customHeight="1">
      <c r="A3036" t="s">
        <v>51</v>
      </c>
      <c r="B3036" t="s">
        <v>30</v>
      </c>
      <c r="C3036" t="s">
        <v>4905</v>
      </c>
      <c r="D3036" t="s">
        <v>3123</v>
      </c>
      <c r="E3036">
        <v>82862.7832189531</v>
      </c>
      <c r="F3036">
        <v>28734.6492239747</v>
      </c>
      <c r="G3036">
        <v>24708.8672470142</v>
      </c>
      <c r="H3036">
        <v>17764.9533378546</v>
      </c>
      <c r="I3036">
        <v>136306.3</v>
      </c>
      <c r="J3036">
        <v>118541.35</v>
      </c>
      <c r="K3036" s="1"/>
      <c r="L3036" s="1"/>
      <c r="M3036" s="1"/>
      <c r="N3036" s="1"/>
    </row>
    <row r="3037" ht="15.75" customHeight="1">
      <c r="A3037" t="s">
        <v>36</v>
      </c>
      <c r="B3037" t="s">
        <v>30</v>
      </c>
      <c r="C3037" t="s">
        <v>4909</v>
      </c>
      <c r="D3037" t="s">
        <v>3124</v>
      </c>
      <c r="E3037">
        <v>82873.6661888593</v>
      </c>
      <c r="F3037">
        <v>28739.2639423021</v>
      </c>
      <c r="G3037">
        <v>24716.5472504437</v>
      </c>
      <c r="H3037">
        <v>17768.3508885419</v>
      </c>
      <c r="I3037">
        <v>136329.48</v>
      </c>
      <c r="J3037">
        <v>118561.13</v>
      </c>
      <c r="K3037" s="1"/>
      <c r="L3037" s="1"/>
      <c r="M3037" s="1"/>
      <c r="N3037" s="1"/>
    </row>
    <row r="3038" ht="15.75" customHeight="1">
      <c r="A3038" t="s">
        <v>13</v>
      </c>
      <c r="B3038" t="s">
        <v>37</v>
      </c>
      <c r="C3038" t="s">
        <v>4914</v>
      </c>
      <c r="D3038" t="s">
        <v>3125</v>
      </c>
      <c r="E3038">
        <v>82884.5491587655</v>
      </c>
      <c r="F3038">
        <v>28743.8786606295</v>
      </c>
      <c r="G3038">
        <v>24724.2272538732</v>
      </c>
      <c r="H3038">
        <v>17771.7484392291</v>
      </c>
      <c r="I3038">
        <v>136352.66</v>
      </c>
      <c r="J3038">
        <v>118580.91</v>
      </c>
      <c r="K3038" s="1"/>
      <c r="L3038" s="1"/>
      <c r="M3038" s="1"/>
      <c r="N3038" s="1"/>
    </row>
    <row r="3039" ht="15.75" customHeight="1">
      <c r="A3039" t="s">
        <v>53</v>
      </c>
      <c r="B3039" t="s">
        <v>14</v>
      </c>
      <c r="C3039" t="s">
        <v>4908</v>
      </c>
      <c r="D3039" t="s">
        <v>3126</v>
      </c>
      <c r="E3039">
        <v>82895.4321286717</v>
      </c>
      <c r="F3039">
        <v>28748.4933789569</v>
      </c>
      <c r="G3039">
        <v>24731.9072573027</v>
      </c>
      <c r="H3039">
        <v>17775.1459899164</v>
      </c>
      <c r="I3039">
        <v>136375.83</v>
      </c>
      <c r="J3039">
        <v>118600.68</v>
      </c>
      <c r="K3039" s="1"/>
      <c r="L3039" s="1"/>
      <c r="M3039" s="1"/>
      <c r="N3039" s="1"/>
    </row>
    <row r="3040" ht="15.75" customHeight="1">
      <c r="A3040" t="s">
        <v>29</v>
      </c>
      <c r="B3040" t="s">
        <v>54</v>
      </c>
      <c r="C3040" t="s">
        <v>4917</v>
      </c>
      <c r="D3040" t="s">
        <v>3127</v>
      </c>
      <c r="E3040">
        <v>82906.3150985779</v>
      </c>
      <c r="F3040">
        <v>28753.1080972844</v>
      </c>
      <c r="G3040">
        <v>24739.5872607322</v>
      </c>
      <c r="H3040">
        <v>17778.5435406037</v>
      </c>
      <c r="I3040">
        <v>136399.01</v>
      </c>
      <c r="J3040">
        <v>118620.47</v>
      </c>
      <c r="K3040" s="1"/>
      <c r="L3040" s="1"/>
      <c r="M3040" s="1"/>
      <c r="N3040" s="1"/>
    </row>
    <row r="3041" ht="15.75" customHeight="1">
      <c r="A3041" t="s">
        <v>36</v>
      </c>
      <c r="B3041" t="s">
        <v>54</v>
      </c>
      <c r="C3041" t="s">
        <v>4905</v>
      </c>
      <c r="D3041" t="s">
        <v>3128</v>
      </c>
      <c r="E3041">
        <v>82917.1980684841</v>
      </c>
      <c r="F3041">
        <v>28757.7228156118</v>
      </c>
      <c r="G3041">
        <v>24747.2672641617</v>
      </c>
      <c r="H3041">
        <v>17781.941091291</v>
      </c>
      <c r="I3041">
        <v>136422.19</v>
      </c>
      <c r="J3041">
        <v>118640.25</v>
      </c>
      <c r="K3041" s="1"/>
      <c r="L3041" s="1"/>
      <c r="M3041" s="1"/>
      <c r="N3041" s="1"/>
    </row>
    <row r="3042" ht="15.75" customHeight="1">
      <c r="A3042" t="s">
        <v>51</v>
      </c>
      <c r="B3042" t="s">
        <v>37</v>
      </c>
      <c r="C3042" t="s">
        <v>4911</v>
      </c>
      <c r="D3042" t="s">
        <v>3129</v>
      </c>
      <c r="E3042">
        <v>82928.0810383903</v>
      </c>
      <c r="F3042">
        <v>28762.3375339392</v>
      </c>
      <c r="G3042">
        <v>24754.9472675912</v>
      </c>
      <c r="H3042">
        <v>17785.3386419783</v>
      </c>
      <c r="I3042">
        <v>136445.37</v>
      </c>
      <c r="J3042">
        <v>118660.03</v>
      </c>
      <c r="K3042" s="1"/>
      <c r="L3042" s="1"/>
      <c r="M3042" s="1"/>
      <c r="N3042" s="1"/>
    </row>
    <row r="3043" ht="15.75" customHeight="1">
      <c r="A3043" t="s">
        <v>51</v>
      </c>
      <c r="B3043" t="s">
        <v>26</v>
      </c>
      <c r="C3043" t="s">
        <v>4907</v>
      </c>
      <c r="D3043" t="s">
        <v>3130</v>
      </c>
      <c r="E3043">
        <v>82938.9640082964</v>
      </c>
      <c r="F3043">
        <v>28766.9522522666</v>
      </c>
      <c r="G3043">
        <v>24762.6272710207</v>
      </c>
      <c r="H3043">
        <v>17788.7361926656</v>
      </c>
      <c r="I3043">
        <v>136468.54</v>
      </c>
      <c r="J3043">
        <v>118679.8</v>
      </c>
      <c r="K3043" s="1"/>
      <c r="L3043" s="1"/>
      <c r="M3043" s="1"/>
      <c r="N3043" s="1"/>
    </row>
    <row r="3044" ht="15.75" customHeight="1">
      <c r="A3044" t="s">
        <v>13</v>
      </c>
      <c r="B3044" t="s">
        <v>33</v>
      </c>
      <c r="C3044" t="s">
        <v>4913</v>
      </c>
      <c r="D3044" t="s">
        <v>3131</v>
      </c>
      <c r="E3044">
        <v>82949.8469782026</v>
      </c>
      <c r="F3044">
        <v>28771.566970594</v>
      </c>
      <c r="G3044">
        <v>24770.3072744502</v>
      </c>
      <c r="H3044">
        <v>17792.1337433529</v>
      </c>
      <c r="I3044">
        <v>136491.72</v>
      </c>
      <c r="J3044">
        <v>118699.59</v>
      </c>
      <c r="K3044" s="1"/>
      <c r="L3044" s="1"/>
      <c r="M3044" s="1"/>
      <c r="N3044" s="1"/>
    </row>
    <row r="3045" ht="15.75" customHeight="1">
      <c r="A3045" t="s">
        <v>17</v>
      </c>
      <c r="B3045" t="s">
        <v>14</v>
      </c>
      <c r="C3045" t="s">
        <v>4910</v>
      </c>
      <c r="D3045" t="s">
        <v>3132</v>
      </c>
      <c r="E3045">
        <v>82960.7299481088</v>
      </c>
      <c r="F3045">
        <v>28776.1816889215</v>
      </c>
      <c r="G3045">
        <v>24777.9872778797</v>
      </c>
      <c r="H3045">
        <v>17795.5312940401</v>
      </c>
      <c r="I3045">
        <v>136514.9</v>
      </c>
      <c r="J3045">
        <v>118719.37</v>
      </c>
      <c r="K3045" s="1"/>
      <c r="L3045" s="1"/>
      <c r="M3045" s="1"/>
      <c r="N3045" s="1"/>
    </row>
    <row r="3046" ht="15.75" customHeight="1">
      <c r="A3046" t="s">
        <v>29</v>
      </c>
      <c r="B3046" t="s">
        <v>33</v>
      </c>
      <c r="C3046" t="s">
        <v>4915</v>
      </c>
      <c r="D3046" t="s">
        <v>3133</v>
      </c>
      <c r="E3046">
        <v>82971.612918015</v>
      </c>
      <c r="F3046">
        <v>28780.7964072489</v>
      </c>
      <c r="G3046">
        <v>24785.6672813092</v>
      </c>
      <c r="H3046">
        <v>17798.9288447274</v>
      </c>
      <c r="I3046">
        <v>136538.08</v>
      </c>
      <c r="J3046">
        <v>118739.15</v>
      </c>
      <c r="K3046" s="1"/>
      <c r="L3046" s="1"/>
      <c r="M3046" s="1"/>
      <c r="N3046" s="1"/>
    </row>
    <row r="3047" ht="15.75" customHeight="1">
      <c r="A3047" t="s">
        <v>13</v>
      </c>
      <c r="B3047" t="s">
        <v>54</v>
      </c>
      <c r="C3047" t="s">
        <v>4909</v>
      </c>
      <c r="D3047" t="s">
        <v>3134</v>
      </c>
      <c r="E3047">
        <v>82982.4958879212</v>
      </c>
      <c r="F3047">
        <v>28785.4111255763</v>
      </c>
      <c r="G3047">
        <v>24793.3472847387</v>
      </c>
      <c r="H3047">
        <v>17802.3263954147</v>
      </c>
      <c r="I3047">
        <v>136561.25</v>
      </c>
      <c r="J3047">
        <v>118758.92</v>
      </c>
      <c r="K3047" s="1"/>
      <c r="L3047" s="1"/>
      <c r="M3047" s="1"/>
      <c r="N3047" s="1"/>
    </row>
    <row r="3048" ht="15.75" customHeight="1">
      <c r="A3048" t="s">
        <v>51</v>
      </c>
      <c r="B3048" t="s">
        <v>37</v>
      </c>
      <c r="C3048" t="s">
        <v>4917</v>
      </c>
      <c r="D3048" t="s">
        <v>3135</v>
      </c>
      <c r="E3048">
        <v>82993.3788578274</v>
      </c>
      <c r="F3048">
        <v>28790.0258439037</v>
      </c>
      <c r="G3048">
        <v>24801.0272881682</v>
      </c>
      <c r="H3048">
        <v>17805.723946102</v>
      </c>
      <c r="I3048">
        <v>136584.43</v>
      </c>
      <c r="J3048">
        <v>118778.71</v>
      </c>
      <c r="K3048" s="1"/>
      <c r="L3048" s="1"/>
      <c r="M3048" s="1"/>
      <c r="N3048" s="1"/>
    </row>
    <row r="3049" ht="15.75" customHeight="1">
      <c r="A3049" t="s">
        <v>36</v>
      </c>
      <c r="B3049" t="s">
        <v>37</v>
      </c>
      <c r="C3049" t="s">
        <v>4912</v>
      </c>
      <c r="D3049" t="s">
        <v>3136</v>
      </c>
      <c r="E3049">
        <v>83004.2618277336</v>
      </c>
      <c r="F3049">
        <v>28794.6405622312</v>
      </c>
      <c r="G3049">
        <v>24808.7072915977</v>
      </c>
      <c r="H3049">
        <v>17809.1214967893</v>
      </c>
      <c r="I3049">
        <v>136607.61</v>
      </c>
      <c r="J3049">
        <v>118798.49</v>
      </c>
      <c r="K3049" s="1"/>
      <c r="L3049" s="1"/>
      <c r="M3049" s="1"/>
      <c r="N3049" s="1"/>
    </row>
    <row r="3050" ht="15.75" customHeight="1">
      <c r="A3050" t="s">
        <v>51</v>
      </c>
      <c r="B3050" t="s">
        <v>26</v>
      </c>
      <c r="C3050" t="s">
        <v>4911</v>
      </c>
      <c r="D3050" t="s">
        <v>3137</v>
      </c>
      <c r="E3050">
        <v>83015.1447976398</v>
      </c>
      <c r="F3050">
        <v>28799.2552805586</v>
      </c>
      <c r="G3050">
        <v>24816.3872950272</v>
      </c>
      <c r="H3050">
        <v>17812.5190474766</v>
      </c>
      <c r="I3050">
        <v>136630.79</v>
      </c>
      <c r="J3050">
        <v>118818.27</v>
      </c>
      <c r="K3050" s="1"/>
      <c r="L3050" s="1"/>
      <c r="M3050" s="1"/>
      <c r="N3050" s="1"/>
    </row>
    <row r="3051" ht="15.75" customHeight="1">
      <c r="A3051" t="s">
        <v>13</v>
      </c>
      <c r="B3051" t="s">
        <v>18</v>
      </c>
      <c r="C3051" t="s">
        <v>4907</v>
      </c>
      <c r="D3051" t="s">
        <v>3138</v>
      </c>
      <c r="E3051">
        <v>83026.027767546</v>
      </c>
      <c r="F3051">
        <v>28803.869998886</v>
      </c>
      <c r="G3051">
        <v>24824.0672984567</v>
      </c>
      <c r="H3051">
        <v>17815.9165981639</v>
      </c>
      <c r="I3051">
        <v>136653.97</v>
      </c>
      <c r="J3051">
        <v>118838.05</v>
      </c>
      <c r="K3051" s="1"/>
      <c r="L3051" s="1"/>
      <c r="M3051" s="1"/>
      <c r="N3051" s="1"/>
    </row>
    <row r="3052" ht="15.75" customHeight="1">
      <c r="A3052" t="s">
        <v>36</v>
      </c>
      <c r="B3052" t="s">
        <v>18</v>
      </c>
      <c r="C3052" t="s">
        <v>4910</v>
      </c>
      <c r="D3052" t="s">
        <v>3139</v>
      </c>
      <c r="E3052">
        <v>83036.9107374522</v>
      </c>
      <c r="F3052">
        <v>28808.4847172134</v>
      </c>
      <c r="G3052">
        <v>24831.7473018862</v>
      </c>
      <c r="H3052">
        <v>17819.3141488512</v>
      </c>
      <c r="I3052">
        <v>136677.14</v>
      </c>
      <c r="J3052">
        <v>118857.83</v>
      </c>
      <c r="K3052" s="1"/>
      <c r="L3052" s="1"/>
      <c r="M3052" s="1"/>
      <c r="N3052" s="1"/>
    </row>
    <row r="3053" ht="15.75" customHeight="1">
      <c r="A3053" t="s">
        <v>53</v>
      </c>
      <c r="B3053" t="s">
        <v>37</v>
      </c>
      <c r="C3053" t="s">
        <v>4914</v>
      </c>
      <c r="D3053" t="s">
        <v>3140</v>
      </c>
      <c r="E3053">
        <v>83047.7937073584</v>
      </c>
      <c r="F3053">
        <v>28813.0994355408</v>
      </c>
      <c r="G3053">
        <v>24839.4273053157</v>
      </c>
      <c r="H3053">
        <v>17822.7116995384</v>
      </c>
      <c r="I3053">
        <v>136700.32</v>
      </c>
      <c r="J3053">
        <v>118877.61</v>
      </c>
      <c r="K3053" s="1"/>
      <c r="L3053" s="1"/>
      <c r="M3053" s="1"/>
      <c r="N3053" s="1"/>
    </row>
    <row r="3054" ht="15.75" customHeight="1">
      <c r="A3054" t="s">
        <v>29</v>
      </c>
      <c r="B3054" t="s">
        <v>33</v>
      </c>
      <c r="C3054" t="s">
        <v>4917</v>
      </c>
      <c r="D3054" t="s">
        <v>3141</v>
      </c>
      <c r="E3054">
        <v>83058.6766772646</v>
      </c>
      <c r="F3054">
        <v>28817.7141538683</v>
      </c>
      <c r="G3054">
        <v>24847.1073087452</v>
      </c>
      <c r="H3054">
        <v>17826.1092502257</v>
      </c>
      <c r="I3054">
        <v>136723.5</v>
      </c>
      <c r="J3054">
        <v>118897.39</v>
      </c>
      <c r="K3054" s="1"/>
      <c r="L3054" s="1"/>
      <c r="M3054" s="1"/>
      <c r="N3054" s="1"/>
    </row>
    <row r="3055" ht="15.75" customHeight="1">
      <c r="A3055" t="s">
        <v>25</v>
      </c>
      <c r="B3055" t="s">
        <v>14</v>
      </c>
      <c r="C3055" t="s">
        <v>4915</v>
      </c>
      <c r="D3055" t="s">
        <v>3142</v>
      </c>
      <c r="E3055">
        <v>83069.5596471708</v>
      </c>
      <c r="F3055">
        <v>28822.3288721957</v>
      </c>
      <c r="G3055">
        <v>24854.7873121747</v>
      </c>
      <c r="H3055">
        <v>17829.506800913</v>
      </c>
      <c r="I3055">
        <v>136746.68</v>
      </c>
      <c r="J3055">
        <v>118917.17</v>
      </c>
      <c r="K3055" s="1"/>
      <c r="L3055" s="1"/>
      <c r="M3055" s="1"/>
      <c r="N3055" s="1"/>
    </row>
    <row r="3056" ht="15.75" customHeight="1">
      <c r="A3056" t="s">
        <v>36</v>
      </c>
      <c r="B3056" t="s">
        <v>33</v>
      </c>
      <c r="C3056" t="s">
        <v>4907</v>
      </c>
      <c r="D3056" t="s">
        <v>3143</v>
      </c>
      <c r="E3056">
        <v>83080.442617077</v>
      </c>
      <c r="F3056">
        <v>28826.9435905231</v>
      </c>
      <c r="G3056">
        <v>24862.4673156042</v>
      </c>
      <c r="H3056">
        <v>17832.9043516003</v>
      </c>
      <c r="I3056">
        <v>136769.85</v>
      </c>
      <c r="J3056">
        <v>118936.95</v>
      </c>
      <c r="K3056" s="1"/>
      <c r="L3056" s="1"/>
      <c r="M3056" s="1"/>
      <c r="N3056" s="1"/>
    </row>
    <row r="3057" ht="15.75" customHeight="1">
      <c r="A3057" t="s">
        <v>53</v>
      </c>
      <c r="B3057" t="s">
        <v>33</v>
      </c>
      <c r="C3057" t="s">
        <v>4916</v>
      </c>
      <c r="D3057" t="s">
        <v>3144</v>
      </c>
      <c r="E3057">
        <v>83091.3255869832</v>
      </c>
      <c r="F3057">
        <v>28831.5583088505</v>
      </c>
      <c r="G3057">
        <v>24870.1473190337</v>
      </c>
      <c r="H3057">
        <v>17836.3019022876</v>
      </c>
      <c r="I3057">
        <v>136793.03</v>
      </c>
      <c r="J3057">
        <v>118956.73</v>
      </c>
      <c r="K3057" s="1"/>
      <c r="L3057" s="1"/>
      <c r="M3057" s="1"/>
      <c r="N3057" s="1"/>
    </row>
    <row r="3058" ht="15.75" customHeight="1">
      <c r="A3058" t="s">
        <v>51</v>
      </c>
      <c r="B3058" t="s">
        <v>54</v>
      </c>
      <c r="C3058" t="s">
        <v>4914</v>
      </c>
      <c r="D3058" t="s">
        <v>3145</v>
      </c>
      <c r="E3058">
        <v>83102.2085568894</v>
      </c>
      <c r="F3058">
        <v>28836.173027178</v>
      </c>
      <c r="G3058">
        <v>24877.8273224632</v>
      </c>
      <c r="H3058">
        <v>17839.6994529749</v>
      </c>
      <c r="I3058">
        <v>136816.21</v>
      </c>
      <c r="J3058">
        <v>118976.51</v>
      </c>
      <c r="K3058" s="1"/>
      <c r="L3058" s="1"/>
      <c r="M3058" s="1"/>
      <c r="N3058" s="1"/>
    </row>
    <row r="3059" ht="15.75" customHeight="1">
      <c r="A3059" t="s">
        <v>25</v>
      </c>
      <c r="B3059" t="s">
        <v>33</v>
      </c>
      <c r="C3059" t="s">
        <v>4916</v>
      </c>
      <c r="D3059" t="s">
        <v>3146</v>
      </c>
      <c r="E3059">
        <v>83113.0915267955</v>
      </c>
      <c r="F3059">
        <v>28840.7877455054</v>
      </c>
      <c r="G3059">
        <v>24885.5073258927</v>
      </c>
      <c r="H3059">
        <v>17843.0970036622</v>
      </c>
      <c r="I3059">
        <v>136839.39</v>
      </c>
      <c r="J3059">
        <v>118996.29</v>
      </c>
      <c r="K3059" s="1"/>
      <c r="L3059" s="1"/>
      <c r="M3059" s="1"/>
      <c r="N3059" s="1"/>
    </row>
    <row r="3060" ht="15.75" customHeight="1">
      <c r="A3060" t="s">
        <v>51</v>
      </c>
      <c r="B3060" t="s">
        <v>26</v>
      </c>
      <c r="C3060" t="s">
        <v>4913</v>
      </c>
      <c r="D3060" t="s">
        <v>3147</v>
      </c>
      <c r="E3060">
        <v>83123.9744967017</v>
      </c>
      <c r="F3060">
        <v>28845.4024638328</v>
      </c>
      <c r="G3060">
        <v>24893.1873293222</v>
      </c>
      <c r="H3060">
        <v>17846.4945543495</v>
      </c>
      <c r="I3060">
        <v>136862.56</v>
      </c>
      <c r="J3060">
        <v>119016.07</v>
      </c>
      <c r="K3060" s="1"/>
      <c r="L3060" s="1"/>
      <c r="M3060" s="1"/>
      <c r="N3060" s="1"/>
    </row>
    <row r="3061" ht="15.75" customHeight="1">
      <c r="A3061" t="s">
        <v>13</v>
      </c>
      <c r="B3061" t="s">
        <v>33</v>
      </c>
      <c r="C3061" t="s">
        <v>4916</v>
      </c>
      <c r="D3061" t="s">
        <v>3148</v>
      </c>
      <c r="E3061">
        <v>83134.8574666079</v>
      </c>
      <c r="F3061">
        <v>28850.0171821602</v>
      </c>
      <c r="G3061">
        <v>24900.8673327517</v>
      </c>
      <c r="H3061">
        <v>17849.8921050367</v>
      </c>
      <c r="I3061">
        <v>136885.74</v>
      </c>
      <c r="J3061">
        <v>119035.85</v>
      </c>
      <c r="K3061" s="1"/>
      <c r="L3061" s="1"/>
      <c r="M3061" s="1"/>
      <c r="N3061" s="1"/>
    </row>
    <row r="3062" ht="15.75" customHeight="1">
      <c r="A3062" t="s">
        <v>13</v>
      </c>
      <c r="B3062" t="s">
        <v>26</v>
      </c>
      <c r="C3062" t="s">
        <v>4916</v>
      </c>
      <c r="D3062" t="s">
        <v>3149</v>
      </c>
      <c r="E3062">
        <v>83145.7404365141</v>
      </c>
      <c r="F3062">
        <v>28854.6319004876</v>
      </c>
      <c r="G3062">
        <v>24908.5473361811</v>
      </c>
      <c r="H3062">
        <v>17853.289655724</v>
      </c>
      <c r="I3062">
        <v>136908.92</v>
      </c>
      <c r="J3062">
        <v>119055.63</v>
      </c>
      <c r="K3062" s="1"/>
      <c r="L3062" s="1"/>
      <c r="M3062" s="1"/>
      <c r="N3062" s="1"/>
    </row>
    <row r="3063" ht="15.75" customHeight="1">
      <c r="A3063" t="s">
        <v>29</v>
      </c>
      <c r="B3063" t="s">
        <v>54</v>
      </c>
      <c r="C3063" t="s">
        <v>4912</v>
      </c>
      <c r="D3063" t="s">
        <v>3150</v>
      </c>
      <c r="E3063">
        <v>83156.6234064203</v>
      </c>
      <c r="F3063">
        <v>28859.2466188151</v>
      </c>
      <c r="G3063">
        <v>24916.2273396106</v>
      </c>
      <c r="H3063">
        <v>17856.6872064113</v>
      </c>
      <c r="I3063">
        <v>136932.1</v>
      </c>
      <c r="J3063">
        <v>119075.41</v>
      </c>
      <c r="K3063" s="1"/>
      <c r="L3063" s="1"/>
      <c r="M3063" s="1"/>
      <c r="N3063" s="1"/>
    </row>
    <row r="3064" ht="15.75" customHeight="1">
      <c r="A3064" t="s">
        <v>13</v>
      </c>
      <c r="B3064" t="s">
        <v>54</v>
      </c>
      <c r="C3064" t="s">
        <v>4908</v>
      </c>
      <c r="D3064" t="s">
        <v>3151</v>
      </c>
      <c r="E3064">
        <v>83167.5063763265</v>
      </c>
      <c r="F3064">
        <v>28863.8613371425</v>
      </c>
      <c r="G3064">
        <v>24923.9073430401</v>
      </c>
      <c r="H3064">
        <v>14327.38295125808</v>
      </c>
      <c r="I3064">
        <v>136955.28</v>
      </c>
      <c r="J3064">
        <v>122627.9</v>
      </c>
      <c r="K3064" s="1"/>
      <c r="L3064" s="1"/>
      <c r="M3064" s="1"/>
      <c r="N3064" s="1"/>
    </row>
    <row r="3065" ht="15.75" customHeight="1">
      <c r="A3065" t="s">
        <v>53</v>
      </c>
      <c r="B3065" t="s">
        <v>30</v>
      </c>
      <c r="C3065" t="s">
        <v>4914</v>
      </c>
      <c r="D3065" t="s">
        <v>3152</v>
      </c>
      <c r="E3065">
        <v>83178.3893462327</v>
      </c>
      <c r="F3065">
        <v>28868.4760554699</v>
      </c>
      <c r="G3065">
        <v>24931.5873464696</v>
      </c>
      <c r="H3065">
        <v>17863.4823077859</v>
      </c>
      <c r="I3065">
        <v>136978.45</v>
      </c>
      <c r="J3065">
        <v>119114.97</v>
      </c>
      <c r="K3065" s="1"/>
      <c r="L3065" s="1"/>
      <c r="M3065" s="1"/>
      <c r="N3065" s="1"/>
    </row>
    <row r="3066" ht="15.75" customHeight="1">
      <c r="A3066" t="s">
        <v>17</v>
      </c>
      <c r="B3066" t="s">
        <v>26</v>
      </c>
      <c r="C3066" t="s">
        <v>4915</v>
      </c>
      <c r="D3066" t="s">
        <v>3153</v>
      </c>
      <c r="E3066">
        <v>83189.2723161389</v>
      </c>
      <c r="F3066">
        <v>28873.0907737973</v>
      </c>
      <c r="G3066">
        <v>24939.2673498991</v>
      </c>
      <c r="H3066">
        <v>17866.8798584732</v>
      </c>
      <c r="I3066">
        <v>137001.63</v>
      </c>
      <c r="J3066">
        <v>119134.75</v>
      </c>
      <c r="K3066" s="1"/>
      <c r="L3066" s="1"/>
      <c r="M3066" s="1"/>
      <c r="N3066" s="1"/>
    </row>
    <row r="3067" ht="15.75" customHeight="1">
      <c r="A3067" t="s">
        <v>36</v>
      </c>
      <c r="B3067" t="s">
        <v>26</v>
      </c>
      <c r="C3067" t="s">
        <v>4909</v>
      </c>
      <c r="D3067" t="s">
        <v>3154</v>
      </c>
      <c r="E3067">
        <v>83211.0382559513</v>
      </c>
      <c r="F3067">
        <v>28882.3202104522</v>
      </c>
      <c r="G3067">
        <v>24954.6273567581</v>
      </c>
      <c r="H3067">
        <v>17873.6749598477</v>
      </c>
      <c r="I3067">
        <v>137047.99</v>
      </c>
      <c r="J3067">
        <v>119174.32</v>
      </c>
      <c r="K3067" s="1"/>
      <c r="L3067" s="1"/>
      <c r="M3067" s="1"/>
      <c r="N3067" s="1"/>
    </row>
    <row r="3068" ht="15.75" customHeight="1">
      <c r="A3068" t="s">
        <v>13</v>
      </c>
      <c r="B3068" t="s">
        <v>54</v>
      </c>
      <c r="C3068" t="s">
        <v>4912</v>
      </c>
      <c r="D3068" t="s">
        <v>3155</v>
      </c>
      <c r="E3068">
        <v>83221.9212258575</v>
      </c>
      <c r="F3068">
        <v>28886.9349287796</v>
      </c>
      <c r="G3068">
        <v>24962.3073601876</v>
      </c>
      <c r="H3068">
        <v>17877.072510535</v>
      </c>
      <c r="I3068">
        <v>137071.16</v>
      </c>
      <c r="J3068">
        <v>119194.09</v>
      </c>
      <c r="K3068" s="1"/>
      <c r="L3068" s="1"/>
      <c r="M3068" s="1"/>
      <c r="N3068" s="1"/>
    </row>
    <row r="3069" ht="15.75" customHeight="1">
      <c r="A3069" t="s">
        <v>51</v>
      </c>
      <c r="B3069" t="s">
        <v>30</v>
      </c>
      <c r="C3069" t="s">
        <v>4907</v>
      </c>
      <c r="D3069" t="s">
        <v>3156</v>
      </c>
      <c r="E3069">
        <v>83232.8041957637</v>
      </c>
      <c r="F3069">
        <v>28891.549647107</v>
      </c>
      <c r="G3069">
        <v>24969.9873636171</v>
      </c>
      <c r="H3069">
        <v>17880.4700612223</v>
      </c>
      <c r="I3069">
        <v>137094.34</v>
      </c>
      <c r="J3069">
        <v>119213.87</v>
      </c>
      <c r="K3069" s="1"/>
      <c r="L3069" s="1"/>
      <c r="M3069" s="1"/>
      <c r="N3069" s="1"/>
    </row>
    <row r="3070" ht="15.75" customHeight="1">
      <c r="A3070" t="s">
        <v>53</v>
      </c>
      <c r="B3070" t="s">
        <v>54</v>
      </c>
      <c r="C3070" t="s">
        <v>4910</v>
      </c>
      <c r="D3070" t="s">
        <v>3157</v>
      </c>
      <c r="E3070">
        <v>83243.6871656699</v>
      </c>
      <c r="F3070">
        <v>28896.1643654344</v>
      </c>
      <c r="G3070">
        <v>24977.6673670466</v>
      </c>
      <c r="H3070">
        <v>17883.8676119096</v>
      </c>
      <c r="I3070">
        <v>137117.52</v>
      </c>
      <c r="J3070">
        <v>119233.65</v>
      </c>
      <c r="K3070" s="1"/>
      <c r="L3070" s="1"/>
      <c r="M3070" s="1"/>
      <c r="N3070" s="1"/>
    </row>
    <row r="3071" ht="15.75" customHeight="1">
      <c r="A3071" t="s">
        <v>25</v>
      </c>
      <c r="B3071" t="s">
        <v>30</v>
      </c>
      <c r="C3071" t="s">
        <v>4909</v>
      </c>
      <c r="D3071" t="s">
        <v>3158</v>
      </c>
      <c r="E3071">
        <v>83254.5701355761</v>
      </c>
      <c r="F3071">
        <v>28900.7790837619</v>
      </c>
      <c r="G3071">
        <v>24985.3473704761</v>
      </c>
      <c r="H3071">
        <v>17887.2651625969</v>
      </c>
      <c r="I3071">
        <v>137140.7</v>
      </c>
      <c r="J3071">
        <v>119253.43</v>
      </c>
      <c r="K3071" s="1"/>
      <c r="L3071" s="1"/>
      <c r="M3071" s="1"/>
      <c r="N3071" s="1"/>
    </row>
    <row r="3072" ht="15.75" customHeight="1">
      <c r="A3072" t="s">
        <v>51</v>
      </c>
      <c r="B3072" t="s">
        <v>26</v>
      </c>
      <c r="C3072" t="s">
        <v>4907</v>
      </c>
      <c r="D3072" t="s">
        <v>3159</v>
      </c>
      <c r="E3072">
        <v>83276.3360753884</v>
      </c>
      <c r="F3072">
        <v>28910.0085204167</v>
      </c>
      <c r="G3072">
        <v>25000.7073773351</v>
      </c>
      <c r="H3072">
        <v>17894.0602639715</v>
      </c>
      <c r="I3072">
        <v>137187.05</v>
      </c>
      <c r="J3072">
        <v>119292.99</v>
      </c>
      <c r="K3072" s="1"/>
      <c r="L3072" s="1"/>
      <c r="M3072" s="1"/>
      <c r="N3072" s="1"/>
    </row>
    <row r="3073" ht="15.75" customHeight="1">
      <c r="A3073" t="s">
        <v>13</v>
      </c>
      <c r="B3073" t="s">
        <v>14</v>
      </c>
      <c r="C3073" t="s">
        <v>4915</v>
      </c>
      <c r="D3073" t="s">
        <v>3160</v>
      </c>
      <c r="E3073">
        <v>83287.2190452946</v>
      </c>
      <c r="F3073">
        <v>28914.6232387441</v>
      </c>
      <c r="G3073">
        <v>25008.3873807646</v>
      </c>
      <c r="H3073">
        <v>17897.4578146588</v>
      </c>
      <c r="I3073">
        <v>137210.23</v>
      </c>
      <c r="J3073">
        <v>119312.77</v>
      </c>
      <c r="K3073" s="1"/>
      <c r="L3073" s="1"/>
      <c r="M3073" s="1"/>
      <c r="N3073" s="1"/>
    </row>
    <row r="3074" ht="15.75" customHeight="1">
      <c r="A3074" t="s">
        <v>36</v>
      </c>
      <c r="B3074" t="s">
        <v>18</v>
      </c>
      <c r="C3074" t="s">
        <v>4915</v>
      </c>
      <c r="D3074" t="s">
        <v>3161</v>
      </c>
      <c r="E3074">
        <v>83298.1020152008</v>
      </c>
      <c r="F3074">
        <v>28919.2379570716</v>
      </c>
      <c r="G3074">
        <v>25016.0673841941</v>
      </c>
      <c r="H3074">
        <v>17900.855365346</v>
      </c>
      <c r="I3074">
        <v>137233.41</v>
      </c>
      <c r="J3074">
        <v>119332.55</v>
      </c>
      <c r="K3074" s="1"/>
      <c r="L3074" s="1"/>
      <c r="M3074" s="1"/>
      <c r="N3074" s="1"/>
    </row>
    <row r="3075" ht="15.75" customHeight="1">
      <c r="A3075" t="s">
        <v>51</v>
      </c>
      <c r="B3075" t="s">
        <v>18</v>
      </c>
      <c r="C3075" t="s">
        <v>4905</v>
      </c>
      <c r="D3075" t="s">
        <v>3162</v>
      </c>
      <c r="E3075">
        <v>83308.984985107</v>
      </c>
      <c r="F3075">
        <v>28923.852675399</v>
      </c>
      <c r="G3075">
        <v>25023.7473876236</v>
      </c>
      <c r="H3075">
        <v>17904.2529160333</v>
      </c>
      <c r="I3075">
        <v>137256.59</v>
      </c>
      <c r="J3075">
        <v>119352.34</v>
      </c>
      <c r="K3075" s="1"/>
      <c r="L3075" s="1"/>
      <c r="M3075" s="1"/>
      <c r="N3075" s="1"/>
    </row>
    <row r="3076" ht="15.75" customHeight="1">
      <c r="A3076" t="s">
        <v>17</v>
      </c>
      <c r="B3076" t="s">
        <v>14</v>
      </c>
      <c r="C3076" t="s">
        <v>4914</v>
      </c>
      <c r="D3076" t="s">
        <v>3163</v>
      </c>
      <c r="E3076">
        <v>83319.8679550132</v>
      </c>
      <c r="F3076">
        <v>28928.4673937264</v>
      </c>
      <c r="G3076">
        <v>25031.4273910531</v>
      </c>
      <c r="H3076">
        <v>17907.6504667206</v>
      </c>
      <c r="I3076">
        <v>137279.76</v>
      </c>
      <c r="J3076">
        <v>119372.11</v>
      </c>
      <c r="K3076" s="1"/>
      <c r="L3076" s="1"/>
      <c r="M3076" s="1"/>
      <c r="N3076" s="1"/>
    </row>
    <row r="3077" ht="15.75" customHeight="1">
      <c r="A3077" t="s">
        <v>36</v>
      </c>
      <c r="B3077" t="s">
        <v>14</v>
      </c>
      <c r="C3077" t="s">
        <v>4916</v>
      </c>
      <c r="D3077" t="s">
        <v>3164</v>
      </c>
      <c r="E3077">
        <v>83330.7509249194</v>
      </c>
      <c r="F3077">
        <v>28933.0821120538</v>
      </c>
      <c r="G3077">
        <v>25039.1073944826</v>
      </c>
      <c r="H3077">
        <v>17911.0480174079</v>
      </c>
      <c r="I3077">
        <v>137302.94</v>
      </c>
      <c r="J3077">
        <v>119391.89</v>
      </c>
      <c r="K3077" s="1"/>
      <c r="L3077" s="1"/>
      <c r="M3077" s="1"/>
      <c r="N3077" s="1"/>
    </row>
    <row r="3078" ht="15.75" customHeight="1">
      <c r="A3078" t="s">
        <v>13</v>
      </c>
      <c r="B3078" t="s">
        <v>26</v>
      </c>
      <c r="C3078" t="s">
        <v>4905</v>
      </c>
      <c r="D3078" t="s">
        <v>3165</v>
      </c>
      <c r="E3078">
        <v>83341.6338948256</v>
      </c>
      <c r="F3078">
        <v>28937.6968303812</v>
      </c>
      <c r="G3078">
        <v>25046.7873979121</v>
      </c>
      <c r="H3078">
        <v>17914.4455680952</v>
      </c>
      <c r="I3078">
        <v>137326.12</v>
      </c>
      <c r="J3078">
        <v>119411.67</v>
      </c>
      <c r="K3078" s="1"/>
      <c r="L3078" s="1"/>
      <c r="M3078" s="1"/>
      <c r="N3078" s="1"/>
    </row>
    <row r="3079" ht="15.75" customHeight="1">
      <c r="A3079" t="s">
        <v>25</v>
      </c>
      <c r="B3079" t="s">
        <v>33</v>
      </c>
      <c r="C3079" t="s">
        <v>4913</v>
      </c>
      <c r="D3079" t="s">
        <v>3166</v>
      </c>
      <c r="E3079">
        <v>83352.5168647318</v>
      </c>
      <c r="F3079">
        <v>28942.3115487087</v>
      </c>
      <c r="G3079">
        <v>25054.4674013416</v>
      </c>
      <c r="H3079">
        <v>17917.8431187825</v>
      </c>
      <c r="I3079">
        <v>137349.3</v>
      </c>
      <c r="J3079">
        <v>119431.46</v>
      </c>
      <c r="K3079" s="1"/>
      <c r="L3079" s="1"/>
      <c r="M3079" s="1"/>
      <c r="N3079" s="1"/>
    </row>
    <row r="3080" ht="15.75" customHeight="1">
      <c r="A3080" t="s">
        <v>25</v>
      </c>
      <c r="B3080" t="s">
        <v>14</v>
      </c>
      <c r="C3080" t="s">
        <v>4915</v>
      </c>
      <c r="D3080" t="s">
        <v>3167</v>
      </c>
      <c r="E3080">
        <v>83363.399834638</v>
      </c>
      <c r="F3080">
        <v>28946.9262670361</v>
      </c>
      <c r="G3080">
        <v>25062.1474047711</v>
      </c>
      <c r="H3080">
        <v>17921.2406694698</v>
      </c>
      <c r="I3080">
        <v>137372.47</v>
      </c>
      <c r="J3080">
        <v>119451.23</v>
      </c>
      <c r="K3080" s="1"/>
      <c r="L3080" s="1"/>
      <c r="M3080" s="1"/>
      <c r="N3080" s="1"/>
    </row>
    <row r="3081" ht="15.75" customHeight="1">
      <c r="A3081" t="s">
        <v>36</v>
      </c>
      <c r="B3081" t="s">
        <v>37</v>
      </c>
      <c r="C3081" t="s">
        <v>4909</v>
      </c>
      <c r="D3081" t="s">
        <v>3168</v>
      </c>
      <c r="E3081">
        <v>83385.1657744504</v>
      </c>
      <c r="F3081">
        <v>28956.1557036909</v>
      </c>
      <c r="G3081">
        <v>25077.5074116301</v>
      </c>
      <c r="H3081">
        <v>17928.0357708443</v>
      </c>
      <c r="I3081">
        <v>137418.83</v>
      </c>
      <c r="J3081">
        <v>119490.79</v>
      </c>
      <c r="K3081" s="1"/>
      <c r="L3081" s="1"/>
      <c r="M3081" s="1"/>
      <c r="N3081" s="1"/>
    </row>
    <row r="3082" ht="15.75" customHeight="1">
      <c r="A3082" t="s">
        <v>53</v>
      </c>
      <c r="B3082" t="s">
        <v>30</v>
      </c>
      <c r="C3082" t="s">
        <v>4915</v>
      </c>
      <c r="D3082" t="s">
        <v>3169</v>
      </c>
      <c r="E3082">
        <v>83406.9317142628</v>
      </c>
      <c r="F3082">
        <v>28965.3851403458</v>
      </c>
      <c r="G3082">
        <v>25092.8674184891</v>
      </c>
      <c r="H3082">
        <v>17934.8308722189</v>
      </c>
      <c r="I3082">
        <v>137465.18</v>
      </c>
      <c r="J3082">
        <v>119530.35</v>
      </c>
      <c r="K3082" s="1"/>
      <c r="L3082" s="1"/>
      <c r="M3082" s="1"/>
      <c r="N3082" s="1"/>
    </row>
    <row r="3083" ht="15.75" customHeight="1">
      <c r="A3083" t="s">
        <v>36</v>
      </c>
      <c r="B3083" t="s">
        <v>37</v>
      </c>
      <c r="C3083" t="s">
        <v>4912</v>
      </c>
      <c r="D3083" t="s">
        <v>3170</v>
      </c>
      <c r="E3083">
        <v>83417.814684169</v>
      </c>
      <c r="F3083">
        <v>28969.9998586732</v>
      </c>
      <c r="G3083">
        <v>25100.5474219186</v>
      </c>
      <c r="H3083">
        <v>17938.2284229062</v>
      </c>
      <c r="I3083">
        <v>137488.36</v>
      </c>
      <c r="J3083">
        <v>119550.13</v>
      </c>
      <c r="K3083" s="1"/>
      <c r="L3083" s="1"/>
      <c r="M3083" s="1"/>
      <c r="N3083" s="1"/>
    </row>
    <row r="3084" ht="15.75" customHeight="1">
      <c r="A3084" t="s">
        <v>13</v>
      </c>
      <c r="B3084" t="s">
        <v>33</v>
      </c>
      <c r="C3084" t="s">
        <v>4909</v>
      </c>
      <c r="D3084" t="s">
        <v>3171</v>
      </c>
      <c r="E3084">
        <v>83428.6976540752</v>
      </c>
      <c r="F3084">
        <v>28974.6145770006</v>
      </c>
      <c r="G3084">
        <v>25108.2274253481</v>
      </c>
      <c r="H3084">
        <v>17941.6259735935</v>
      </c>
      <c r="I3084">
        <v>137511.54</v>
      </c>
      <c r="J3084">
        <v>119569.91</v>
      </c>
      <c r="K3084" s="1"/>
      <c r="L3084" s="1"/>
      <c r="M3084" s="1"/>
      <c r="N3084" s="1"/>
    </row>
    <row r="3085" ht="15.75" customHeight="1">
      <c r="A3085" t="s">
        <v>36</v>
      </c>
      <c r="B3085" t="s">
        <v>26</v>
      </c>
      <c r="C3085" t="s">
        <v>4909</v>
      </c>
      <c r="D3085" t="s">
        <v>3172</v>
      </c>
      <c r="E3085">
        <v>83439.5806239813</v>
      </c>
      <c r="F3085">
        <v>28979.229295328</v>
      </c>
      <c r="G3085">
        <v>25115.9074287776</v>
      </c>
      <c r="H3085">
        <v>17945.0235242808</v>
      </c>
      <c r="I3085">
        <v>137534.72</v>
      </c>
      <c r="J3085">
        <v>119589.7</v>
      </c>
      <c r="K3085" s="1"/>
      <c r="L3085" s="1"/>
      <c r="M3085" s="1"/>
      <c r="N3085" s="1"/>
    </row>
    <row r="3086" ht="15.75" customHeight="1">
      <c r="A3086" t="s">
        <v>53</v>
      </c>
      <c r="B3086" t="s">
        <v>18</v>
      </c>
      <c r="C3086" t="s">
        <v>4905</v>
      </c>
      <c r="D3086" t="s">
        <v>3173</v>
      </c>
      <c r="E3086">
        <v>83450.4635938875</v>
      </c>
      <c r="F3086">
        <v>28983.8440136555</v>
      </c>
      <c r="G3086">
        <v>25123.5874322071</v>
      </c>
      <c r="H3086">
        <v>17948.4210749681</v>
      </c>
      <c r="I3086">
        <v>137557.9</v>
      </c>
      <c r="J3086">
        <v>119609.48</v>
      </c>
      <c r="K3086" s="1"/>
      <c r="L3086" s="1"/>
      <c r="M3086" s="1"/>
      <c r="N3086" s="1"/>
    </row>
    <row r="3087" ht="15.75" customHeight="1">
      <c r="A3087" t="s">
        <v>29</v>
      </c>
      <c r="B3087" t="s">
        <v>54</v>
      </c>
      <c r="C3087" t="s">
        <v>4911</v>
      </c>
      <c r="D3087" t="s">
        <v>3174</v>
      </c>
      <c r="E3087">
        <v>83472.2295336999</v>
      </c>
      <c r="F3087">
        <v>28993.0734503103</v>
      </c>
      <c r="G3087">
        <v>25138.9474390661</v>
      </c>
      <c r="H3087">
        <v>17955.2161763426</v>
      </c>
      <c r="I3087">
        <v>137604.25</v>
      </c>
      <c r="J3087">
        <v>119649.03</v>
      </c>
      <c r="K3087" s="1"/>
      <c r="L3087" s="1"/>
      <c r="M3087" s="1"/>
      <c r="N3087" s="1"/>
    </row>
    <row r="3088" ht="15.75" customHeight="1">
      <c r="A3088" t="s">
        <v>13</v>
      </c>
      <c r="B3088" t="s">
        <v>26</v>
      </c>
      <c r="C3088" t="s">
        <v>4916</v>
      </c>
      <c r="D3088" t="s">
        <v>3175</v>
      </c>
      <c r="E3088">
        <v>83483.1125036061</v>
      </c>
      <c r="F3088">
        <v>28997.6881686377</v>
      </c>
      <c r="G3088">
        <v>25146.6274424956</v>
      </c>
      <c r="H3088">
        <v>17958.6137270299</v>
      </c>
      <c r="I3088">
        <v>137627.43</v>
      </c>
      <c r="J3088">
        <v>119668.82</v>
      </c>
      <c r="K3088" s="1"/>
      <c r="L3088" s="1"/>
      <c r="M3088" s="1"/>
      <c r="N3088" s="1"/>
    </row>
    <row r="3089" ht="15.75" customHeight="1">
      <c r="A3089" t="s">
        <v>36</v>
      </c>
      <c r="B3089" t="s">
        <v>33</v>
      </c>
      <c r="C3089" t="s">
        <v>4914</v>
      </c>
      <c r="D3089" t="s">
        <v>3176</v>
      </c>
      <c r="E3089">
        <v>83504.8784434185</v>
      </c>
      <c r="F3089">
        <v>29006.9176052926</v>
      </c>
      <c r="G3089">
        <v>25161.9874493546</v>
      </c>
      <c r="H3089">
        <v>17965.4088284045</v>
      </c>
      <c r="I3089">
        <v>137673.78</v>
      </c>
      <c r="J3089">
        <v>119708.37</v>
      </c>
      <c r="K3089" s="1"/>
      <c r="L3089" s="1"/>
      <c r="M3089" s="1"/>
      <c r="N3089" s="1"/>
    </row>
    <row r="3090" ht="15.75" customHeight="1">
      <c r="A3090" t="s">
        <v>29</v>
      </c>
      <c r="B3090" t="s">
        <v>30</v>
      </c>
      <c r="C3090" t="s">
        <v>4911</v>
      </c>
      <c r="D3090" t="s">
        <v>3177</v>
      </c>
      <c r="E3090">
        <v>83515.7614133247</v>
      </c>
      <c r="F3090">
        <v>29011.53232362</v>
      </c>
      <c r="G3090">
        <v>25169.6674527841</v>
      </c>
      <c r="H3090">
        <v>17968.8063790918</v>
      </c>
      <c r="I3090">
        <v>137696.96</v>
      </c>
      <c r="J3090">
        <v>119728.15</v>
      </c>
      <c r="K3090" s="1"/>
      <c r="L3090" s="1"/>
      <c r="M3090" s="1"/>
      <c r="N3090" s="1"/>
    </row>
    <row r="3091" ht="15.75" customHeight="1">
      <c r="A3091" t="s">
        <v>53</v>
      </c>
      <c r="B3091" t="s">
        <v>37</v>
      </c>
      <c r="C3091" t="s">
        <v>4905</v>
      </c>
      <c r="D3091" t="s">
        <v>3178</v>
      </c>
      <c r="E3091">
        <v>83526.6443832309</v>
      </c>
      <c r="F3091">
        <v>29016.1470419474</v>
      </c>
      <c r="G3091">
        <v>25177.3474562136</v>
      </c>
      <c r="H3091">
        <v>17972.2039297791</v>
      </c>
      <c r="I3091">
        <v>137720.14</v>
      </c>
      <c r="J3091">
        <v>119747.94</v>
      </c>
      <c r="K3091" s="1"/>
      <c r="L3091" s="1"/>
      <c r="M3091" s="1"/>
      <c r="N3091" s="1"/>
    </row>
    <row r="3092" ht="15.75" customHeight="1">
      <c r="A3092" t="s">
        <v>29</v>
      </c>
      <c r="B3092" t="s">
        <v>14</v>
      </c>
      <c r="C3092" t="s">
        <v>4915</v>
      </c>
      <c r="D3092" t="s">
        <v>3179</v>
      </c>
      <c r="E3092">
        <v>83537.5273531371</v>
      </c>
      <c r="F3092">
        <v>29020.7617602748</v>
      </c>
      <c r="G3092">
        <v>25185.0274596431</v>
      </c>
      <c r="H3092">
        <v>17975.6014804664</v>
      </c>
      <c r="I3092">
        <v>137743.32</v>
      </c>
      <c r="J3092">
        <v>119767.72</v>
      </c>
      <c r="K3092" s="1"/>
      <c r="L3092" s="1"/>
      <c r="M3092" s="1"/>
      <c r="N3092" s="1"/>
    </row>
    <row r="3093" ht="15.75" customHeight="1">
      <c r="A3093" t="s">
        <v>25</v>
      </c>
      <c r="B3093" t="s">
        <v>30</v>
      </c>
      <c r="C3093" t="s">
        <v>4917</v>
      </c>
      <c r="D3093" t="s">
        <v>3180</v>
      </c>
      <c r="E3093">
        <v>83548.4103230433</v>
      </c>
      <c r="F3093">
        <v>29025.3764786023</v>
      </c>
      <c r="G3093">
        <v>25192.7074630725</v>
      </c>
      <c r="H3093">
        <v>17978.9990311536</v>
      </c>
      <c r="I3093">
        <v>137766.49</v>
      </c>
      <c r="J3093">
        <v>119787.49</v>
      </c>
      <c r="K3093" s="1"/>
      <c r="L3093" s="1"/>
      <c r="M3093" s="1"/>
      <c r="N3093" s="1"/>
    </row>
    <row r="3094" ht="15.75" customHeight="1">
      <c r="A3094" t="s">
        <v>51</v>
      </c>
      <c r="B3094" t="s">
        <v>26</v>
      </c>
      <c r="C3094" t="s">
        <v>4913</v>
      </c>
      <c r="D3094" t="s">
        <v>3181</v>
      </c>
      <c r="E3094">
        <v>83559.2932929495</v>
      </c>
      <c r="F3094">
        <v>29029.9911969297</v>
      </c>
      <c r="G3094">
        <v>25200.387466502</v>
      </c>
      <c r="H3094">
        <v>17982.3965818409</v>
      </c>
      <c r="I3094">
        <v>137789.67</v>
      </c>
      <c r="J3094">
        <v>119807.27</v>
      </c>
      <c r="K3094" s="1"/>
      <c r="L3094" s="1"/>
      <c r="M3094" s="1"/>
      <c r="N3094" s="1"/>
    </row>
    <row r="3095" ht="15.75" customHeight="1">
      <c r="A3095" t="s">
        <v>17</v>
      </c>
      <c r="B3095" t="s">
        <v>33</v>
      </c>
      <c r="C3095" t="s">
        <v>4916</v>
      </c>
      <c r="D3095" t="s">
        <v>3182</v>
      </c>
      <c r="E3095">
        <v>83581.0592327619</v>
      </c>
      <c r="F3095">
        <v>29039.2206335845</v>
      </c>
      <c r="G3095">
        <v>25215.747473361</v>
      </c>
      <c r="H3095">
        <v>17989.1916832155</v>
      </c>
      <c r="I3095">
        <v>137836.03</v>
      </c>
      <c r="J3095">
        <v>119846.84</v>
      </c>
      <c r="K3095" s="1"/>
      <c r="L3095" s="1"/>
      <c r="M3095" s="1"/>
      <c r="N3095" s="1"/>
    </row>
    <row r="3096" ht="15.75" customHeight="1">
      <c r="A3096" t="s">
        <v>17</v>
      </c>
      <c r="B3096" t="s">
        <v>33</v>
      </c>
      <c r="C3096" t="s">
        <v>4908</v>
      </c>
      <c r="D3096" t="s">
        <v>3183</v>
      </c>
      <c r="E3096">
        <v>83591.942202668</v>
      </c>
      <c r="F3096">
        <v>29043.835351912</v>
      </c>
      <c r="G3096">
        <v>25223.4274767905</v>
      </c>
      <c r="H3096">
        <v>17992.5892339028</v>
      </c>
      <c r="I3096">
        <v>137859.21</v>
      </c>
      <c r="J3096">
        <v>119866.62</v>
      </c>
      <c r="K3096" s="1"/>
      <c r="L3096" s="1"/>
      <c r="M3096" s="1"/>
      <c r="N3096" s="1"/>
    </row>
    <row r="3097" ht="15.75" customHeight="1">
      <c r="A3097" t="s">
        <v>36</v>
      </c>
      <c r="B3097" t="s">
        <v>26</v>
      </c>
      <c r="C3097" t="s">
        <v>4916</v>
      </c>
      <c r="D3097" t="s">
        <v>3184</v>
      </c>
      <c r="E3097">
        <v>83602.8251725742</v>
      </c>
      <c r="F3097">
        <v>29048.4500702394</v>
      </c>
      <c r="G3097">
        <v>25231.10748022</v>
      </c>
      <c r="H3097">
        <v>17995.9867845901</v>
      </c>
      <c r="I3097">
        <v>137882.38</v>
      </c>
      <c r="J3097">
        <v>119886.39</v>
      </c>
      <c r="K3097" s="1"/>
      <c r="L3097" s="1"/>
      <c r="M3097" s="1"/>
      <c r="N3097" s="1"/>
    </row>
    <row r="3098" ht="15.75" customHeight="1">
      <c r="A3098" t="s">
        <v>17</v>
      </c>
      <c r="B3098" t="s">
        <v>30</v>
      </c>
      <c r="C3098" t="s">
        <v>4912</v>
      </c>
      <c r="D3098" t="s">
        <v>3185</v>
      </c>
      <c r="E3098">
        <v>83613.7081424804</v>
      </c>
      <c r="F3098">
        <v>29053.0647885668</v>
      </c>
      <c r="G3098">
        <v>25238.7874836495</v>
      </c>
      <c r="H3098">
        <v>17999.3843352774</v>
      </c>
      <c r="I3098">
        <v>137905.56</v>
      </c>
      <c r="J3098">
        <v>119906.18</v>
      </c>
      <c r="K3098" s="1"/>
      <c r="L3098" s="1"/>
      <c r="M3098" s="1"/>
      <c r="N3098" s="1"/>
    </row>
    <row r="3099" ht="15.75" customHeight="1">
      <c r="A3099" t="s">
        <v>25</v>
      </c>
      <c r="B3099" t="s">
        <v>33</v>
      </c>
      <c r="C3099" t="s">
        <v>4913</v>
      </c>
      <c r="D3099" t="s">
        <v>3186</v>
      </c>
      <c r="E3099">
        <v>83624.5911123866</v>
      </c>
      <c r="F3099">
        <v>29057.6795068942</v>
      </c>
      <c r="G3099">
        <v>25246.467487079</v>
      </c>
      <c r="H3099">
        <v>18002.7818859647</v>
      </c>
      <c r="I3099">
        <v>137928.74</v>
      </c>
      <c r="J3099">
        <v>119925.96</v>
      </c>
      <c r="K3099" s="1"/>
      <c r="L3099" s="1"/>
      <c r="M3099" s="1"/>
      <c r="N3099" s="1"/>
    </row>
    <row r="3100" ht="15.75" customHeight="1">
      <c r="A3100" t="s">
        <v>53</v>
      </c>
      <c r="B3100" t="s">
        <v>30</v>
      </c>
      <c r="C3100" t="s">
        <v>4905</v>
      </c>
      <c r="D3100" t="s">
        <v>3187</v>
      </c>
      <c r="E3100">
        <v>83635.4740822928</v>
      </c>
      <c r="F3100">
        <v>29062.2942252216</v>
      </c>
      <c r="G3100">
        <v>25254.1474905085</v>
      </c>
      <c r="H3100">
        <v>18006.1794366519</v>
      </c>
      <c r="I3100">
        <v>137951.92</v>
      </c>
      <c r="J3100">
        <v>119945.74</v>
      </c>
      <c r="K3100" s="1"/>
      <c r="L3100" s="1"/>
      <c r="M3100" s="1"/>
      <c r="N3100" s="1"/>
    </row>
    <row r="3101" ht="15.75" customHeight="1">
      <c r="A3101" t="s">
        <v>51</v>
      </c>
      <c r="B3101" t="s">
        <v>33</v>
      </c>
      <c r="C3101" t="s">
        <v>4915</v>
      </c>
      <c r="D3101" t="s">
        <v>3188</v>
      </c>
      <c r="E3101">
        <v>83646.357052199</v>
      </c>
      <c r="F3101">
        <v>29066.9089435491</v>
      </c>
      <c r="G3101">
        <v>25261.827493938</v>
      </c>
      <c r="H3101">
        <v>18009.5769873392</v>
      </c>
      <c r="I3101">
        <v>137975.09</v>
      </c>
      <c r="J3101">
        <v>119965.51</v>
      </c>
      <c r="K3101" s="1"/>
      <c r="L3101" s="1"/>
      <c r="M3101" s="1"/>
      <c r="N3101" s="1"/>
    </row>
    <row r="3102" ht="15.75" customHeight="1">
      <c r="A3102" t="s">
        <v>29</v>
      </c>
      <c r="B3102" t="s">
        <v>37</v>
      </c>
      <c r="C3102" t="s">
        <v>4908</v>
      </c>
      <c r="D3102" t="s">
        <v>3189</v>
      </c>
      <c r="E3102">
        <v>83657.2400221052</v>
      </c>
      <c r="F3102">
        <v>29071.5236618765</v>
      </c>
      <c r="G3102">
        <v>25269.5074973675</v>
      </c>
      <c r="H3102">
        <v>18012.9745380265</v>
      </c>
      <c r="I3102">
        <v>137998.27</v>
      </c>
      <c r="J3102">
        <v>119985.3</v>
      </c>
      <c r="K3102" s="1"/>
      <c r="L3102" s="1"/>
      <c r="M3102" s="1"/>
      <c r="N3102" s="1"/>
    </row>
    <row r="3103" ht="15.75" customHeight="1">
      <c r="A3103" t="s">
        <v>13</v>
      </c>
      <c r="B3103" t="s">
        <v>33</v>
      </c>
      <c r="C3103" t="s">
        <v>4909</v>
      </c>
      <c r="D3103" t="s">
        <v>3190</v>
      </c>
      <c r="E3103">
        <v>83668.1229920114</v>
      </c>
      <c r="F3103">
        <v>29076.1383802039</v>
      </c>
      <c r="G3103">
        <v>25277.187500797</v>
      </c>
      <c r="H3103">
        <v>18016.3720887138</v>
      </c>
      <c r="I3103">
        <v>138021.45</v>
      </c>
      <c r="J3103">
        <v>120005.08</v>
      </c>
      <c r="K3103" s="1"/>
      <c r="L3103" s="1"/>
      <c r="M3103" s="1"/>
      <c r="N3103" s="1"/>
    </row>
    <row r="3104" ht="15.75" customHeight="1">
      <c r="A3104" t="s">
        <v>53</v>
      </c>
      <c r="B3104" t="s">
        <v>33</v>
      </c>
      <c r="C3104" t="s">
        <v>4915</v>
      </c>
      <c r="D3104" t="s">
        <v>3191</v>
      </c>
      <c r="E3104">
        <v>83679.0059619176</v>
      </c>
      <c r="F3104">
        <v>29080.7530985313</v>
      </c>
      <c r="G3104">
        <v>25284.8675042265</v>
      </c>
      <c r="H3104">
        <v>18019.7696394011</v>
      </c>
      <c r="I3104">
        <v>138044.63</v>
      </c>
      <c r="J3104">
        <v>120024.86</v>
      </c>
      <c r="K3104" s="1"/>
      <c r="L3104" s="1"/>
      <c r="M3104" s="1"/>
      <c r="N3104" s="1"/>
    </row>
    <row r="3105" ht="15.75" customHeight="1">
      <c r="A3105" t="s">
        <v>36</v>
      </c>
      <c r="B3105" t="s">
        <v>33</v>
      </c>
      <c r="C3105" t="s">
        <v>4913</v>
      </c>
      <c r="D3105" t="s">
        <v>3192</v>
      </c>
      <c r="E3105">
        <v>83689.8889318238</v>
      </c>
      <c r="F3105">
        <v>29085.3678168588</v>
      </c>
      <c r="G3105">
        <v>25292.547507656</v>
      </c>
      <c r="H3105">
        <v>18023.1671900884</v>
      </c>
      <c r="I3105">
        <v>138067.8</v>
      </c>
      <c r="J3105">
        <v>120044.63</v>
      </c>
      <c r="K3105" s="1"/>
      <c r="L3105" s="1"/>
      <c r="M3105" s="1"/>
      <c r="N3105" s="1"/>
    </row>
    <row r="3106" ht="15.75" customHeight="1">
      <c r="A3106" t="s">
        <v>53</v>
      </c>
      <c r="B3106" t="s">
        <v>14</v>
      </c>
      <c r="C3106" t="s">
        <v>4914</v>
      </c>
      <c r="D3106" t="s">
        <v>3193</v>
      </c>
      <c r="E3106">
        <v>83700.77190173</v>
      </c>
      <c r="F3106">
        <v>29089.9825351862</v>
      </c>
      <c r="G3106">
        <v>25300.2275110855</v>
      </c>
      <c r="H3106">
        <v>14765.30618879032</v>
      </c>
      <c r="I3106">
        <v>138090.98</v>
      </c>
      <c r="J3106">
        <v>123325.67</v>
      </c>
      <c r="K3106" s="1"/>
      <c r="L3106" s="1"/>
      <c r="M3106" s="1"/>
      <c r="N3106" s="1"/>
    </row>
    <row r="3107" ht="15.75" customHeight="1">
      <c r="A3107" t="s">
        <v>29</v>
      </c>
      <c r="B3107" t="s">
        <v>18</v>
      </c>
      <c r="C3107" t="s">
        <v>4910</v>
      </c>
      <c r="D3107" t="s">
        <v>3194</v>
      </c>
      <c r="E3107">
        <v>83711.6548716362</v>
      </c>
      <c r="F3107">
        <v>29094.5972535136</v>
      </c>
      <c r="G3107">
        <v>25307.907514515</v>
      </c>
      <c r="H3107">
        <v>18029.9622914629</v>
      </c>
      <c r="I3107">
        <v>138114.16</v>
      </c>
      <c r="J3107">
        <v>120084.2</v>
      </c>
      <c r="K3107" s="1"/>
      <c r="L3107" s="1"/>
      <c r="M3107" s="1"/>
      <c r="N3107" s="1"/>
    </row>
    <row r="3108" ht="15.75" customHeight="1">
      <c r="A3108" t="s">
        <v>53</v>
      </c>
      <c r="B3108" t="s">
        <v>30</v>
      </c>
      <c r="C3108" t="s">
        <v>4908</v>
      </c>
      <c r="D3108" t="s">
        <v>3195</v>
      </c>
      <c r="E3108">
        <v>83722.5378415424</v>
      </c>
      <c r="F3108">
        <v>29099.211971841</v>
      </c>
      <c r="G3108">
        <v>25315.5875179445</v>
      </c>
      <c r="H3108">
        <v>18033.3598421502</v>
      </c>
      <c r="I3108">
        <v>138137.34</v>
      </c>
      <c r="J3108">
        <v>120103.98</v>
      </c>
      <c r="K3108" s="1"/>
      <c r="L3108" s="1"/>
      <c r="M3108" s="1"/>
      <c r="N3108" s="1"/>
    </row>
    <row r="3109" ht="15.75" customHeight="1">
      <c r="A3109" t="s">
        <v>13</v>
      </c>
      <c r="B3109" t="s">
        <v>26</v>
      </c>
      <c r="C3109" t="s">
        <v>4905</v>
      </c>
      <c r="D3109" t="s">
        <v>3196</v>
      </c>
      <c r="E3109">
        <v>83733.4208114486</v>
      </c>
      <c r="F3109">
        <v>29103.8266901684</v>
      </c>
      <c r="G3109">
        <v>25323.267521374</v>
      </c>
      <c r="H3109">
        <v>18036.7573928375</v>
      </c>
      <c r="I3109">
        <v>138160.52</v>
      </c>
      <c r="J3109">
        <v>120123.76</v>
      </c>
      <c r="K3109" s="1"/>
      <c r="L3109" s="1"/>
      <c r="M3109" s="1"/>
      <c r="N3109" s="1"/>
    </row>
    <row r="3110" ht="15.75" customHeight="1">
      <c r="A3110" t="s">
        <v>17</v>
      </c>
      <c r="B3110" t="s">
        <v>26</v>
      </c>
      <c r="C3110" t="s">
        <v>4912</v>
      </c>
      <c r="D3110" t="s">
        <v>3198</v>
      </c>
      <c r="E3110">
        <v>83744.3037813548</v>
      </c>
      <c r="F3110">
        <v>29108.4414084959</v>
      </c>
      <c r="G3110">
        <v>25330.9475248035</v>
      </c>
      <c r="H3110">
        <v>18040.1549435248</v>
      </c>
      <c r="I3110">
        <v>138183.69</v>
      </c>
      <c r="J3110">
        <v>120143.54</v>
      </c>
      <c r="K3110" s="1"/>
      <c r="L3110" s="1"/>
      <c r="M3110" s="1"/>
      <c r="N3110" s="1"/>
    </row>
    <row r="3111" ht="15.75" customHeight="1">
      <c r="A3111" t="s">
        <v>25</v>
      </c>
      <c r="B3111" t="s">
        <v>14</v>
      </c>
      <c r="C3111" t="s">
        <v>4916</v>
      </c>
      <c r="D3111" t="s">
        <v>3199</v>
      </c>
      <c r="E3111">
        <v>83755.186751261</v>
      </c>
      <c r="F3111">
        <v>29113.0561268233</v>
      </c>
      <c r="G3111">
        <v>25338.627528233</v>
      </c>
      <c r="H3111">
        <v>18043.5524942121</v>
      </c>
      <c r="I3111">
        <v>138206.87</v>
      </c>
      <c r="J3111">
        <v>120163.32</v>
      </c>
      <c r="K3111" s="1"/>
      <c r="L3111" s="1"/>
      <c r="M3111" s="1"/>
      <c r="N3111" s="1"/>
    </row>
    <row r="3112" ht="15.75" customHeight="1">
      <c r="A3112" t="s">
        <v>25</v>
      </c>
      <c r="B3112" t="s">
        <v>14</v>
      </c>
      <c r="C3112" t="s">
        <v>4914</v>
      </c>
      <c r="D3112" t="s">
        <v>3200</v>
      </c>
      <c r="E3112">
        <v>83766.0697211671</v>
      </c>
      <c r="F3112">
        <v>29117.6708451507</v>
      </c>
      <c r="G3112">
        <v>25346.3075316625</v>
      </c>
      <c r="H3112">
        <v>18046.9500448994</v>
      </c>
      <c r="I3112">
        <v>138230.05</v>
      </c>
      <c r="J3112">
        <v>120183.1</v>
      </c>
      <c r="K3112" s="1"/>
      <c r="L3112" s="1"/>
      <c r="M3112" s="1"/>
      <c r="N3112" s="1"/>
    </row>
    <row r="3113" ht="15.75" customHeight="1">
      <c r="A3113" t="s">
        <v>17</v>
      </c>
      <c r="B3113" t="s">
        <v>14</v>
      </c>
      <c r="C3113" t="s">
        <v>4908</v>
      </c>
      <c r="D3113" t="s">
        <v>3201</v>
      </c>
      <c r="E3113">
        <v>83776.9526910733</v>
      </c>
      <c r="F3113">
        <v>29122.2855634781</v>
      </c>
      <c r="G3113">
        <v>25353.987535092</v>
      </c>
      <c r="H3113">
        <v>18050.3475955867</v>
      </c>
      <c r="I3113">
        <v>138253.23</v>
      </c>
      <c r="J3113">
        <v>120202.88</v>
      </c>
      <c r="K3113" s="1"/>
      <c r="L3113" s="1"/>
      <c r="M3113" s="1"/>
      <c r="N3113" s="1"/>
    </row>
    <row r="3114" ht="15.75" customHeight="1">
      <c r="A3114" t="s">
        <v>29</v>
      </c>
      <c r="B3114" t="s">
        <v>26</v>
      </c>
      <c r="C3114" t="s">
        <v>4909</v>
      </c>
      <c r="D3114" t="s">
        <v>3202</v>
      </c>
      <c r="E3114">
        <v>83787.8356609795</v>
      </c>
      <c r="F3114">
        <v>29126.9002818056</v>
      </c>
      <c r="G3114">
        <v>25361.6675385215</v>
      </c>
      <c r="H3114">
        <v>18053.745146274</v>
      </c>
      <c r="I3114">
        <v>138276.4</v>
      </c>
      <c r="J3114">
        <v>120222.65</v>
      </c>
      <c r="K3114" s="1"/>
      <c r="L3114" s="1"/>
      <c r="M3114" s="1"/>
      <c r="N3114" s="1"/>
    </row>
    <row r="3115" ht="15.75" customHeight="1">
      <c r="A3115" t="s">
        <v>13</v>
      </c>
      <c r="B3115" t="s">
        <v>18</v>
      </c>
      <c r="C3115" t="s">
        <v>4915</v>
      </c>
      <c r="D3115" t="s">
        <v>3203</v>
      </c>
      <c r="E3115">
        <v>83798.7186308857</v>
      </c>
      <c r="F3115">
        <v>29131.515000133</v>
      </c>
      <c r="G3115">
        <v>25369.347541951</v>
      </c>
      <c r="H3115">
        <v>18057.1426969612</v>
      </c>
      <c r="I3115">
        <v>138299.58</v>
      </c>
      <c r="J3115">
        <v>120242.44</v>
      </c>
      <c r="K3115" s="1"/>
      <c r="L3115" s="1"/>
      <c r="M3115" s="1"/>
      <c r="N3115" s="1"/>
    </row>
    <row r="3116" ht="15.75" customHeight="1">
      <c r="A3116" t="s">
        <v>17</v>
      </c>
      <c r="B3116" t="s">
        <v>18</v>
      </c>
      <c r="C3116" t="s">
        <v>4910</v>
      </c>
      <c r="D3116" t="s">
        <v>3204</v>
      </c>
      <c r="E3116">
        <v>83820.4845706981</v>
      </c>
      <c r="F3116">
        <v>29140.7444367878</v>
      </c>
      <c r="G3116">
        <v>25384.70754881</v>
      </c>
      <c r="H3116">
        <v>18063.9377983358</v>
      </c>
      <c r="I3116">
        <v>138345.94</v>
      </c>
      <c r="J3116">
        <v>120282.0</v>
      </c>
      <c r="K3116" s="1"/>
      <c r="L3116" s="1"/>
      <c r="M3116" s="1"/>
      <c r="N3116" s="1"/>
    </row>
    <row r="3117" ht="15.75" customHeight="1">
      <c r="A3117" t="s">
        <v>17</v>
      </c>
      <c r="B3117" t="s">
        <v>14</v>
      </c>
      <c r="C3117" t="s">
        <v>4913</v>
      </c>
      <c r="D3117" t="s">
        <v>3205</v>
      </c>
      <c r="E3117">
        <v>83831.3675406043</v>
      </c>
      <c r="F3117">
        <v>29145.3591551152</v>
      </c>
      <c r="G3117">
        <v>25392.3875522395</v>
      </c>
      <c r="H3117">
        <v>18067.3353490231</v>
      </c>
      <c r="I3117">
        <v>138369.11</v>
      </c>
      <c r="J3117">
        <v>120301.77</v>
      </c>
      <c r="K3117" s="1"/>
      <c r="L3117" s="1"/>
      <c r="M3117" s="1"/>
      <c r="N3117" s="1"/>
    </row>
    <row r="3118" ht="15.75" customHeight="1">
      <c r="A3118" t="s">
        <v>25</v>
      </c>
      <c r="B3118" t="s">
        <v>33</v>
      </c>
      <c r="C3118" t="s">
        <v>4911</v>
      </c>
      <c r="D3118" t="s">
        <v>3206</v>
      </c>
      <c r="E3118">
        <v>83842.2505105105</v>
      </c>
      <c r="F3118">
        <v>29149.9738734427</v>
      </c>
      <c r="G3118">
        <v>25400.067555669</v>
      </c>
      <c r="H3118">
        <v>18070.7328997104</v>
      </c>
      <c r="I3118">
        <v>138392.29</v>
      </c>
      <c r="J3118">
        <v>120321.56</v>
      </c>
      <c r="K3118" s="1"/>
      <c r="L3118" s="1"/>
      <c r="M3118" s="1"/>
      <c r="N3118" s="1"/>
    </row>
    <row r="3119" ht="15.75" customHeight="1">
      <c r="A3119" t="s">
        <v>36</v>
      </c>
      <c r="B3119" t="s">
        <v>14</v>
      </c>
      <c r="C3119" t="s">
        <v>4907</v>
      </c>
      <c r="D3119" t="s">
        <v>3207</v>
      </c>
      <c r="E3119">
        <v>83853.1334804167</v>
      </c>
      <c r="F3119">
        <v>29154.5885917701</v>
      </c>
      <c r="G3119">
        <v>25407.7475590985</v>
      </c>
      <c r="H3119">
        <v>18074.1304503977</v>
      </c>
      <c r="I3119">
        <v>138415.47</v>
      </c>
      <c r="J3119">
        <v>120341.34</v>
      </c>
      <c r="K3119" s="1"/>
      <c r="L3119" s="1"/>
      <c r="M3119" s="1"/>
      <c r="N3119" s="1"/>
    </row>
    <row r="3120" ht="15.75" customHeight="1">
      <c r="A3120" t="s">
        <v>36</v>
      </c>
      <c r="B3120" t="s">
        <v>14</v>
      </c>
      <c r="C3120" t="s">
        <v>4910</v>
      </c>
      <c r="D3120" t="s">
        <v>3208</v>
      </c>
      <c r="E3120">
        <v>83864.0164503229</v>
      </c>
      <c r="F3120">
        <v>29159.2033100975</v>
      </c>
      <c r="G3120">
        <v>25415.427562528</v>
      </c>
      <c r="H3120">
        <v>18077.528001085</v>
      </c>
      <c r="I3120">
        <v>138438.65</v>
      </c>
      <c r="J3120">
        <v>120361.12</v>
      </c>
      <c r="K3120" s="1"/>
      <c r="L3120" s="1"/>
      <c r="M3120" s="1"/>
      <c r="N3120" s="1"/>
    </row>
    <row r="3121" ht="15.75" customHeight="1">
      <c r="A3121" t="s">
        <v>36</v>
      </c>
      <c r="B3121" t="s">
        <v>26</v>
      </c>
      <c r="C3121" t="s">
        <v>4912</v>
      </c>
      <c r="D3121" t="s">
        <v>3209</v>
      </c>
      <c r="E3121">
        <v>83874.8994202291</v>
      </c>
      <c r="F3121">
        <v>29163.8180284249</v>
      </c>
      <c r="G3121">
        <v>25423.1075659575</v>
      </c>
      <c r="H3121">
        <v>18080.9255517723</v>
      </c>
      <c r="I3121">
        <v>138461.83</v>
      </c>
      <c r="J3121">
        <v>120380.9</v>
      </c>
      <c r="K3121" s="1"/>
      <c r="L3121" s="1"/>
      <c r="M3121" s="1"/>
      <c r="N3121" s="1"/>
    </row>
    <row r="3122" ht="15.75" customHeight="1">
      <c r="A3122" t="s">
        <v>13</v>
      </c>
      <c r="B3122" t="s">
        <v>30</v>
      </c>
      <c r="C3122" t="s">
        <v>4912</v>
      </c>
      <c r="D3122" t="s">
        <v>3210</v>
      </c>
      <c r="E3122">
        <v>83885.7823901353</v>
      </c>
      <c r="F3122">
        <v>29168.4327467523</v>
      </c>
      <c r="G3122">
        <v>25430.787569387</v>
      </c>
      <c r="H3122">
        <v>18084.3231024595</v>
      </c>
      <c r="I3122">
        <v>138485.0</v>
      </c>
      <c r="J3122">
        <v>120400.68</v>
      </c>
      <c r="K3122" s="1"/>
      <c r="L3122" s="1"/>
      <c r="M3122" s="1"/>
      <c r="N3122" s="1"/>
    </row>
    <row r="3123" ht="15.75" customHeight="1">
      <c r="A3123" t="s">
        <v>51</v>
      </c>
      <c r="B3123" t="s">
        <v>54</v>
      </c>
      <c r="C3123" t="s">
        <v>4916</v>
      </c>
      <c r="D3123" t="s">
        <v>3211</v>
      </c>
      <c r="E3123">
        <v>83896.6653600415</v>
      </c>
      <c r="F3123">
        <v>29173.0474650798</v>
      </c>
      <c r="G3123">
        <v>25438.4675728165</v>
      </c>
      <c r="H3123">
        <v>18087.7206531468</v>
      </c>
      <c r="I3123">
        <v>138508.18</v>
      </c>
      <c r="J3123">
        <v>120420.46</v>
      </c>
      <c r="K3123" s="1"/>
      <c r="L3123" s="1"/>
      <c r="M3123" s="1"/>
      <c r="N3123" s="1"/>
    </row>
    <row r="3124" ht="15.75" customHeight="1">
      <c r="A3124" t="s">
        <v>29</v>
      </c>
      <c r="B3124" t="s">
        <v>54</v>
      </c>
      <c r="C3124" t="s">
        <v>4915</v>
      </c>
      <c r="D3124" t="s">
        <v>3212</v>
      </c>
      <c r="E3124">
        <v>83907.5483299477</v>
      </c>
      <c r="F3124">
        <v>29177.6621834072</v>
      </c>
      <c r="G3124">
        <v>25446.147576246</v>
      </c>
      <c r="H3124">
        <v>18091.1182038341</v>
      </c>
      <c r="I3124">
        <v>138531.36</v>
      </c>
      <c r="J3124">
        <v>120440.24</v>
      </c>
      <c r="K3124" s="1"/>
      <c r="L3124" s="1"/>
      <c r="M3124" s="1"/>
      <c r="N3124" s="1"/>
    </row>
    <row r="3125" ht="15.75" customHeight="1">
      <c r="A3125" t="s">
        <v>29</v>
      </c>
      <c r="B3125" t="s">
        <v>14</v>
      </c>
      <c r="C3125" t="s">
        <v>4911</v>
      </c>
      <c r="D3125" t="s">
        <v>3213</v>
      </c>
      <c r="E3125">
        <v>83918.4312998539</v>
      </c>
      <c r="F3125">
        <v>29182.2769017346</v>
      </c>
      <c r="G3125">
        <v>25453.8275796755</v>
      </c>
      <c r="H3125">
        <v>18094.5157545214</v>
      </c>
      <c r="I3125">
        <v>138554.54</v>
      </c>
      <c r="J3125">
        <v>120460.02</v>
      </c>
      <c r="K3125" s="1"/>
      <c r="L3125" s="1"/>
      <c r="M3125" s="1"/>
      <c r="N3125" s="1"/>
    </row>
    <row r="3126" ht="15.75" customHeight="1">
      <c r="A3126" t="s">
        <v>13</v>
      </c>
      <c r="B3126" t="s">
        <v>18</v>
      </c>
      <c r="C3126" t="s">
        <v>4917</v>
      </c>
      <c r="D3126" t="s">
        <v>3214</v>
      </c>
      <c r="E3126">
        <v>83929.3142697601</v>
      </c>
      <c r="F3126">
        <v>29186.891620062</v>
      </c>
      <c r="G3126">
        <v>25461.507583105</v>
      </c>
      <c r="H3126">
        <v>18097.9133052087</v>
      </c>
      <c r="I3126">
        <v>138577.71</v>
      </c>
      <c r="J3126">
        <v>120479.8</v>
      </c>
      <c r="K3126" s="1"/>
      <c r="L3126" s="1"/>
      <c r="M3126" s="1"/>
      <c r="N3126" s="1"/>
    </row>
    <row r="3127" ht="15.75" customHeight="1">
      <c r="A3127" t="s">
        <v>36</v>
      </c>
      <c r="B3127" t="s">
        <v>14</v>
      </c>
      <c r="C3127" t="s">
        <v>4915</v>
      </c>
      <c r="D3127" t="s">
        <v>3215</v>
      </c>
      <c r="E3127">
        <v>83940.1972396662</v>
      </c>
      <c r="F3127">
        <v>29191.5063383895</v>
      </c>
      <c r="G3127">
        <v>25469.1875865345</v>
      </c>
      <c r="H3127">
        <v>18101.310855896</v>
      </c>
      <c r="I3127">
        <v>138600.89</v>
      </c>
      <c r="J3127">
        <v>120499.58</v>
      </c>
      <c r="K3127" s="1"/>
      <c r="L3127" s="1"/>
      <c r="M3127" s="1"/>
      <c r="N3127" s="1"/>
    </row>
    <row r="3128" ht="15.75" customHeight="1">
      <c r="A3128" t="s">
        <v>36</v>
      </c>
      <c r="B3128" t="s">
        <v>37</v>
      </c>
      <c r="C3128" t="s">
        <v>4908</v>
      </c>
      <c r="D3128" t="s">
        <v>3216</v>
      </c>
      <c r="E3128">
        <v>83951.0802095724</v>
      </c>
      <c r="F3128">
        <v>29196.1210567169</v>
      </c>
      <c r="G3128">
        <v>25476.8675899639</v>
      </c>
      <c r="H3128">
        <v>18104.7084065833</v>
      </c>
      <c r="I3128">
        <v>138624.07</v>
      </c>
      <c r="J3128">
        <v>120519.36</v>
      </c>
      <c r="K3128" s="1"/>
      <c r="L3128" s="1"/>
      <c r="M3128" s="1"/>
      <c r="N3128" s="1"/>
    </row>
    <row r="3129" ht="15.75" customHeight="1">
      <c r="A3129" t="s">
        <v>53</v>
      </c>
      <c r="B3129" t="s">
        <v>14</v>
      </c>
      <c r="C3129" t="s">
        <v>4912</v>
      </c>
      <c r="D3129" t="s">
        <v>3217</v>
      </c>
      <c r="E3129">
        <v>83961.9631794786</v>
      </c>
      <c r="F3129">
        <v>29200.7357750443</v>
      </c>
      <c r="G3129">
        <v>25484.5475933934</v>
      </c>
      <c r="H3129">
        <v>18108.1059572705</v>
      </c>
      <c r="I3129">
        <v>138647.25</v>
      </c>
      <c r="J3129">
        <v>120539.14</v>
      </c>
      <c r="K3129" s="1"/>
      <c r="L3129" s="1"/>
      <c r="M3129" s="1"/>
      <c r="N3129" s="1"/>
    </row>
    <row r="3130" ht="15.75" customHeight="1">
      <c r="A3130" t="s">
        <v>25</v>
      </c>
      <c r="B3130" t="s">
        <v>14</v>
      </c>
      <c r="C3130" t="s">
        <v>4912</v>
      </c>
      <c r="D3130" t="s">
        <v>3218</v>
      </c>
      <c r="E3130">
        <v>83972.8461493848</v>
      </c>
      <c r="F3130">
        <v>29205.3504933717</v>
      </c>
      <c r="G3130">
        <v>25492.2275968229</v>
      </c>
      <c r="H3130">
        <v>18111.5035079578</v>
      </c>
      <c r="I3130">
        <v>138670.42</v>
      </c>
      <c r="J3130">
        <v>120558.92</v>
      </c>
      <c r="K3130" s="1"/>
      <c r="L3130" s="1"/>
      <c r="M3130" s="1"/>
      <c r="N3130" s="1"/>
    </row>
    <row r="3131" ht="15.75" customHeight="1">
      <c r="A3131" t="s">
        <v>25</v>
      </c>
      <c r="B3131" t="s">
        <v>37</v>
      </c>
      <c r="C3131" t="s">
        <v>4908</v>
      </c>
      <c r="D3131" t="s">
        <v>3219</v>
      </c>
      <c r="E3131">
        <v>83983.729119291</v>
      </c>
      <c r="F3131">
        <v>29209.9652116991</v>
      </c>
      <c r="G3131">
        <v>25499.9076002524</v>
      </c>
      <c r="H3131">
        <v>18114.9010586451</v>
      </c>
      <c r="I3131">
        <v>138693.6</v>
      </c>
      <c r="J3131">
        <v>120578.7</v>
      </c>
      <c r="K3131" s="1"/>
      <c r="L3131" s="1"/>
      <c r="M3131" s="1"/>
      <c r="N3131" s="1"/>
    </row>
    <row r="3132" ht="15.75" customHeight="1">
      <c r="A3132" t="s">
        <v>29</v>
      </c>
      <c r="B3132" t="s">
        <v>14</v>
      </c>
      <c r="C3132" t="s">
        <v>4910</v>
      </c>
      <c r="D3132" t="s">
        <v>3220</v>
      </c>
      <c r="E3132">
        <v>83994.6120891972</v>
      </c>
      <c r="F3132">
        <v>29214.5799300266</v>
      </c>
      <c r="G3132">
        <v>25507.5876036819</v>
      </c>
      <c r="H3132">
        <v>18118.2986093324</v>
      </c>
      <c r="I3132">
        <v>138716.78</v>
      </c>
      <c r="J3132">
        <v>120598.48</v>
      </c>
      <c r="K3132" s="1"/>
      <c r="L3132" s="1"/>
      <c r="M3132" s="1"/>
      <c r="N3132" s="1"/>
    </row>
    <row r="3133" ht="15.75" customHeight="1">
      <c r="A3133" t="s">
        <v>17</v>
      </c>
      <c r="B3133" t="s">
        <v>18</v>
      </c>
      <c r="C3133" t="s">
        <v>4909</v>
      </c>
      <c r="D3133" t="s">
        <v>3221</v>
      </c>
      <c r="E3133">
        <v>84005.4950591034</v>
      </c>
      <c r="F3133">
        <v>29219.194648354</v>
      </c>
      <c r="G3133">
        <v>25515.2676071114</v>
      </c>
      <c r="H3133">
        <v>18121.6961600197</v>
      </c>
      <c r="I3133">
        <v>138739.96</v>
      </c>
      <c r="J3133">
        <v>120618.26</v>
      </c>
      <c r="K3133" s="1"/>
      <c r="L3133" s="1"/>
      <c r="M3133" s="1"/>
      <c r="N3133" s="1"/>
    </row>
    <row r="3134" ht="15.75" customHeight="1">
      <c r="A3134" t="s">
        <v>53</v>
      </c>
      <c r="B3134" t="s">
        <v>14</v>
      </c>
      <c r="C3134" t="s">
        <v>4911</v>
      </c>
      <c r="D3134" t="s">
        <v>3222</v>
      </c>
      <c r="E3134">
        <v>84016.3780290096</v>
      </c>
      <c r="F3134">
        <v>29223.8093666814</v>
      </c>
      <c r="G3134">
        <v>25522.9476105409</v>
      </c>
      <c r="H3134">
        <v>18125.093710707</v>
      </c>
      <c r="I3134">
        <v>138763.14</v>
      </c>
      <c r="J3134">
        <v>120638.05</v>
      </c>
      <c r="K3134" s="1"/>
      <c r="L3134" s="1"/>
      <c r="M3134" s="1"/>
      <c r="N3134" s="1"/>
    </row>
    <row r="3135" ht="15.75" customHeight="1">
      <c r="A3135" t="s">
        <v>29</v>
      </c>
      <c r="B3135" t="s">
        <v>18</v>
      </c>
      <c r="C3135" t="s">
        <v>4913</v>
      </c>
      <c r="D3135" t="s">
        <v>3223</v>
      </c>
      <c r="E3135">
        <v>84027.2609989158</v>
      </c>
      <c r="F3135">
        <v>29228.4240850088</v>
      </c>
      <c r="G3135">
        <v>25530.6276139704</v>
      </c>
      <c r="H3135">
        <v>18128.4912613943</v>
      </c>
      <c r="I3135">
        <v>138786.31</v>
      </c>
      <c r="J3135">
        <v>120657.82</v>
      </c>
      <c r="K3135" s="1"/>
      <c r="L3135" s="1"/>
      <c r="M3135" s="1"/>
      <c r="N3135" s="1"/>
    </row>
    <row r="3136" ht="15.75" customHeight="1">
      <c r="A3136" t="s">
        <v>29</v>
      </c>
      <c r="B3136" t="s">
        <v>37</v>
      </c>
      <c r="C3136" t="s">
        <v>4917</v>
      </c>
      <c r="D3136" t="s">
        <v>3224</v>
      </c>
      <c r="E3136">
        <v>84070.7928785406</v>
      </c>
      <c r="F3136">
        <v>29246.8829583185</v>
      </c>
      <c r="G3136">
        <v>25561.3476276884</v>
      </c>
      <c r="H3136">
        <v>18142.0814641434</v>
      </c>
      <c r="I3136">
        <v>138879.02</v>
      </c>
      <c r="J3136">
        <v>120736.94</v>
      </c>
      <c r="K3136" s="1"/>
      <c r="L3136" s="1"/>
      <c r="M3136" s="1"/>
      <c r="N3136" s="1"/>
    </row>
    <row r="3137" ht="15.75" customHeight="1">
      <c r="A3137" t="s">
        <v>25</v>
      </c>
      <c r="B3137" t="s">
        <v>18</v>
      </c>
      <c r="C3137" t="s">
        <v>4909</v>
      </c>
      <c r="D3137" t="s">
        <v>3225</v>
      </c>
      <c r="E3137">
        <v>84081.6758484468</v>
      </c>
      <c r="F3137">
        <v>29251.4976766459</v>
      </c>
      <c r="G3137">
        <v>25569.0276311179</v>
      </c>
      <c r="H3137">
        <v>18145.4790148307</v>
      </c>
      <c r="I3137">
        <v>138902.2</v>
      </c>
      <c r="J3137">
        <v>120756.72</v>
      </c>
      <c r="K3137" s="1"/>
      <c r="L3137" s="1"/>
      <c r="M3137" s="1"/>
      <c r="N3137" s="1"/>
    </row>
    <row r="3138" ht="15.75" customHeight="1">
      <c r="A3138" t="s">
        <v>36</v>
      </c>
      <c r="B3138" t="s">
        <v>14</v>
      </c>
      <c r="C3138" t="s">
        <v>4913</v>
      </c>
      <c r="D3138" t="s">
        <v>3226</v>
      </c>
      <c r="E3138">
        <v>84092.5588183529</v>
      </c>
      <c r="F3138">
        <v>29256.1123949734</v>
      </c>
      <c r="G3138">
        <v>25576.7076345474</v>
      </c>
      <c r="H3138">
        <v>18148.876565518</v>
      </c>
      <c r="I3138">
        <v>138925.38</v>
      </c>
      <c r="J3138">
        <v>120776.5</v>
      </c>
      <c r="K3138" s="1"/>
      <c r="L3138" s="1"/>
      <c r="M3138" s="1"/>
      <c r="N3138" s="1"/>
    </row>
    <row r="3139" ht="15.75" customHeight="1">
      <c r="A3139" t="s">
        <v>17</v>
      </c>
      <c r="B3139" t="s">
        <v>33</v>
      </c>
      <c r="C3139" t="s">
        <v>4917</v>
      </c>
      <c r="D3139" t="s">
        <v>3227</v>
      </c>
      <c r="E3139">
        <v>84114.3247581653</v>
      </c>
      <c r="F3139">
        <v>29265.3418316282</v>
      </c>
      <c r="G3139">
        <v>25592.0676414064</v>
      </c>
      <c r="H3139">
        <v>18155.6716668926</v>
      </c>
      <c r="I3139">
        <v>138971.73</v>
      </c>
      <c r="J3139">
        <v>120816.06</v>
      </c>
      <c r="K3139" s="1"/>
      <c r="L3139" s="1"/>
      <c r="M3139" s="1"/>
      <c r="N3139" s="1"/>
    </row>
    <row r="3140" ht="15.75" customHeight="1">
      <c r="A3140" t="s">
        <v>53</v>
      </c>
      <c r="B3140" t="s">
        <v>37</v>
      </c>
      <c r="C3140" t="s">
        <v>4912</v>
      </c>
      <c r="D3140" t="s">
        <v>3228</v>
      </c>
      <c r="E3140">
        <v>84125.2077280715</v>
      </c>
      <c r="F3140">
        <v>29269.9565499556</v>
      </c>
      <c r="G3140">
        <v>25599.7476448359</v>
      </c>
      <c r="H3140">
        <v>18159.0692175799</v>
      </c>
      <c r="I3140">
        <v>138994.91</v>
      </c>
      <c r="J3140">
        <v>120835.84</v>
      </c>
      <c r="K3140" s="1"/>
      <c r="L3140" s="1"/>
      <c r="M3140" s="1"/>
      <c r="N3140" s="1"/>
    </row>
    <row r="3141" ht="15.75" customHeight="1">
      <c r="A3141" t="s">
        <v>13</v>
      </c>
      <c r="B3141" t="s">
        <v>33</v>
      </c>
      <c r="C3141" t="s">
        <v>4910</v>
      </c>
      <c r="D3141" t="s">
        <v>3229</v>
      </c>
      <c r="E3141">
        <v>84136.0906979777</v>
      </c>
      <c r="F3141">
        <v>29274.5712682831</v>
      </c>
      <c r="G3141">
        <v>25607.4276482654</v>
      </c>
      <c r="H3141">
        <v>18162.4667682671</v>
      </c>
      <c r="I3141">
        <v>139018.09</v>
      </c>
      <c r="J3141">
        <v>120855.62</v>
      </c>
      <c r="K3141" s="1"/>
      <c r="L3141" s="1"/>
      <c r="M3141" s="1"/>
      <c r="N3141" s="1"/>
    </row>
    <row r="3142" ht="15.75" customHeight="1">
      <c r="A3142" t="s">
        <v>51</v>
      </c>
      <c r="B3142" t="s">
        <v>26</v>
      </c>
      <c r="C3142" t="s">
        <v>4916</v>
      </c>
      <c r="D3142" t="s">
        <v>3230</v>
      </c>
      <c r="E3142">
        <v>84146.9736678839</v>
      </c>
      <c r="F3142">
        <v>29279.1859866105</v>
      </c>
      <c r="G3142">
        <v>25615.1076516949</v>
      </c>
      <c r="H3142">
        <v>18165.8643189544</v>
      </c>
      <c r="I3142">
        <v>139041.27</v>
      </c>
      <c r="J3142">
        <v>120875.41</v>
      </c>
      <c r="K3142" s="1"/>
      <c r="L3142" s="1"/>
      <c r="M3142" s="1"/>
      <c r="N3142" s="1"/>
    </row>
    <row r="3143" ht="15.75" customHeight="1">
      <c r="A3143" t="s">
        <v>53</v>
      </c>
      <c r="B3143" t="s">
        <v>30</v>
      </c>
      <c r="C3143" t="s">
        <v>4908</v>
      </c>
      <c r="D3143" t="s">
        <v>3231</v>
      </c>
      <c r="E3143">
        <v>84168.7396076963</v>
      </c>
      <c r="F3143">
        <v>29288.4154232653</v>
      </c>
      <c r="G3143">
        <v>25630.4676585539</v>
      </c>
      <c r="H3143">
        <v>18172.659420329</v>
      </c>
      <c r="I3143">
        <v>139087.62</v>
      </c>
      <c r="J3143">
        <v>120914.96</v>
      </c>
      <c r="K3143" s="1"/>
      <c r="L3143" s="1"/>
      <c r="M3143" s="1"/>
      <c r="N3143" s="1"/>
    </row>
    <row r="3144" ht="15.75" customHeight="1">
      <c r="A3144" t="s">
        <v>53</v>
      </c>
      <c r="B3144" t="s">
        <v>33</v>
      </c>
      <c r="C3144" t="s">
        <v>4910</v>
      </c>
      <c r="D3144" t="s">
        <v>3232</v>
      </c>
      <c r="E3144">
        <v>84179.6225776025</v>
      </c>
      <c r="F3144">
        <v>29293.0301415927</v>
      </c>
      <c r="G3144">
        <v>25638.1476619834</v>
      </c>
      <c r="H3144">
        <v>18176.0569710163</v>
      </c>
      <c r="I3144">
        <v>139110.8</v>
      </c>
      <c r="J3144">
        <v>120934.74</v>
      </c>
      <c r="K3144" s="1"/>
      <c r="L3144" s="1"/>
      <c r="M3144" s="1"/>
      <c r="N3144" s="1"/>
    </row>
    <row r="3145" ht="15.75" customHeight="1">
      <c r="A3145" t="s">
        <v>13</v>
      </c>
      <c r="B3145" t="s">
        <v>54</v>
      </c>
      <c r="C3145" t="s">
        <v>4907</v>
      </c>
      <c r="D3145" t="s">
        <v>3233</v>
      </c>
      <c r="E3145">
        <v>84190.5055475087</v>
      </c>
      <c r="F3145">
        <v>29297.6448599202</v>
      </c>
      <c r="G3145">
        <v>25645.8276654129</v>
      </c>
      <c r="H3145">
        <v>18179.4545217036</v>
      </c>
      <c r="I3145">
        <v>139133.98</v>
      </c>
      <c r="J3145">
        <v>120954.53</v>
      </c>
      <c r="K3145" s="1"/>
      <c r="L3145" s="1"/>
      <c r="M3145" s="1"/>
      <c r="N3145" s="1"/>
    </row>
    <row r="3146" ht="15.75" customHeight="1">
      <c r="A3146" t="s">
        <v>25</v>
      </c>
      <c r="B3146" t="s">
        <v>54</v>
      </c>
      <c r="C3146" t="s">
        <v>4914</v>
      </c>
      <c r="D3146" t="s">
        <v>3234</v>
      </c>
      <c r="E3146">
        <v>84201.3885174149</v>
      </c>
      <c r="F3146">
        <v>29302.2595782476</v>
      </c>
      <c r="G3146">
        <v>25653.5076688424</v>
      </c>
      <c r="H3146">
        <v>14634.43925924574</v>
      </c>
      <c r="I3146">
        <v>139157.16</v>
      </c>
      <c r="J3146">
        <v>124522.72</v>
      </c>
      <c r="K3146" s="1"/>
      <c r="L3146" s="1"/>
      <c r="M3146" s="1"/>
      <c r="N3146" s="1"/>
    </row>
    <row r="3147" ht="15.75" customHeight="1">
      <c r="A3147" t="s">
        <v>17</v>
      </c>
      <c r="B3147" t="s">
        <v>26</v>
      </c>
      <c r="C3147" t="s">
        <v>4907</v>
      </c>
      <c r="D3147" t="s">
        <v>3235</v>
      </c>
      <c r="E3147">
        <v>84212.2714873211</v>
      </c>
      <c r="F3147">
        <v>29306.874296575</v>
      </c>
      <c r="G3147">
        <v>25661.1876722719</v>
      </c>
      <c r="H3147">
        <v>18186.2496230781</v>
      </c>
      <c r="I3147">
        <v>139180.33</v>
      </c>
      <c r="J3147">
        <v>120994.08</v>
      </c>
      <c r="K3147" s="1"/>
      <c r="L3147" s="1"/>
      <c r="M3147" s="1"/>
      <c r="N3147" s="1"/>
    </row>
    <row r="3148" ht="15.75" customHeight="1">
      <c r="A3148" t="s">
        <v>36</v>
      </c>
      <c r="B3148" t="s">
        <v>37</v>
      </c>
      <c r="C3148" t="s">
        <v>4908</v>
      </c>
      <c r="D3148" t="s">
        <v>3236</v>
      </c>
      <c r="E3148">
        <v>84223.1544572273</v>
      </c>
      <c r="F3148">
        <v>29311.4890149024</v>
      </c>
      <c r="G3148">
        <v>25668.8676757014</v>
      </c>
      <c r="H3148">
        <v>18189.6471737654</v>
      </c>
      <c r="I3148">
        <v>139203.51</v>
      </c>
      <c r="J3148">
        <v>121013.86</v>
      </c>
      <c r="K3148" s="1"/>
      <c r="L3148" s="1"/>
      <c r="M3148" s="1"/>
      <c r="N3148" s="1"/>
    </row>
    <row r="3149" ht="15.75" customHeight="1">
      <c r="A3149" t="s">
        <v>29</v>
      </c>
      <c r="B3149" t="s">
        <v>14</v>
      </c>
      <c r="C3149" t="s">
        <v>4910</v>
      </c>
      <c r="D3149" t="s">
        <v>3237</v>
      </c>
      <c r="E3149">
        <v>84234.0374271335</v>
      </c>
      <c r="F3149">
        <v>29316.1037332299</v>
      </c>
      <c r="G3149">
        <v>25676.5476791309</v>
      </c>
      <c r="H3149">
        <v>18193.0447244527</v>
      </c>
      <c r="I3149">
        <v>139226.69</v>
      </c>
      <c r="J3149">
        <v>121033.65</v>
      </c>
      <c r="K3149" s="1"/>
      <c r="L3149" s="1"/>
      <c r="M3149" s="1"/>
      <c r="N3149" s="1"/>
    </row>
    <row r="3150" ht="15.75" customHeight="1">
      <c r="A3150" t="s">
        <v>53</v>
      </c>
      <c r="B3150" t="s">
        <v>14</v>
      </c>
      <c r="C3150" t="s">
        <v>4916</v>
      </c>
      <c r="D3150" t="s">
        <v>3238</v>
      </c>
      <c r="E3150">
        <v>84244.9203970397</v>
      </c>
      <c r="F3150">
        <v>29320.7184515573</v>
      </c>
      <c r="G3150">
        <v>25684.2276825604</v>
      </c>
      <c r="H3150">
        <v>18196.44227514</v>
      </c>
      <c r="I3150">
        <v>139249.87</v>
      </c>
      <c r="J3150">
        <v>121053.43</v>
      </c>
      <c r="K3150" s="1"/>
      <c r="L3150" s="1"/>
      <c r="M3150" s="1"/>
      <c r="N3150" s="1"/>
    </row>
    <row r="3151" ht="15.75" customHeight="1">
      <c r="A3151" t="s">
        <v>51</v>
      </c>
      <c r="B3151" t="s">
        <v>33</v>
      </c>
      <c r="C3151" t="s">
        <v>4910</v>
      </c>
      <c r="D3151" t="s">
        <v>3239</v>
      </c>
      <c r="E3151">
        <v>84255.8033669458</v>
      </c>
      <c r="F3151">
        <v>29325.3331698847</v>
      </c>
      <c r="G3151">
        <v>25691.9076859899</v>
      </c>
      <c r="H3151">
        <v>18199.8398258273</v>
      </c>
      <c r="I3151">
        <v>139273.04</v>
      </c>
      <c r="J3151">
        <v>121073.2</v>
      </c>
      <c r="K3151" s="1"/>
      <c r="L3151" s="1"/>
      <c r="M3151" s="1"/>
      <c r="N3151" s="1"/>
    </row>
    <row r="3152" ht="15.75" customHeight="1">
      <c r="A3152" t="s">
        <v>17</v>
      </c>
      <c r="B3152" t="s">
        <v>18</v>
      </c>
      <c r="C3152" t="s">
        <v>4917</v>
      </c>
      <c r="D3152" t="s">
        <v>3240</v>
      </c>
      <c r="E3152">
        <v>84266.686336852</v>
      </c>
      <c r="F3152">
        <v>29329.9478882121</v>
      </c>
      <c r="G3152">
        <v>25699.5876894194</v>
      </c>
      <c r="H3152">
        <v>18203.2373765146</v>
      </c>
      <c r="I3152">
        <v>139296.22</v>
      </c>
      <c r="J3152">
        <v>121092.98</v>
      </c>
      <c r="K3152" s="1"/>
      <c r="L3152" s="1"/>
      <c r="M3152" s="1"/>
      <c r="N3152" s="1"/>
    </row>
    <row r="3153" ht="15.75" customHeight="1">
      <c r="A3153" t="s">
        <v>25</v>
      </c>
      <c r="B3153" t="s">
        <v>26</v>
      </c>
      <c r="C3153" t="s">
        <v>4912</v>
      </c>
      <c r="D3153" t="s">
        <v>3241</v>
      </c>
      <c r="E3153">
        <v>84277.5693067582</v>
      </c>
      <c r="F3153">
        <v>29334.5626065395</v>
      </c>
      <c r="G3153">
        <v>25707.2676928489</v>
      </c>
      <c r="H3153">
        <v>18206.6349272019</v>
      </c>
      <c r="I3153">
        <v>139319.4</v>
      </c>
      <c r="J3153">
        <v>121112.77</v>
      </c>
      <c r="K3153" s="1"/>
      <c r="L3153" s="1"/>
      <c r="M3153" s="1"/>
      <c r="N3153" s="1"/>
    </row>
    <row r="3154" ht="15.75" customHeight="1">
      <c r="A3154" t="s">
        <v>36</v>
      </c>
      <c r="B3154" t="s">
        <v>33</v>
      </c>
      <c r="C3154" t="s">
        <v>4909</v>
      </c>
      <c r="D3154" t="s">
        <v>3242</v>
      </c>
      <c r="E3154">
        <v>84288.4522766644</v>
      </c>
      <c r="F3154">
        <v>29339.177324867</v>
      </c>
      <c r="G3154">
        <v>25714.9476962784</v>
      </c>
      <c r="H3154">
        <v>18210.0324778892</v>
      </c>
      <c r="I3154">
        <v>139342.58</v>
      </c>
      <c r="J3154">
        <v>121132.55</v>
      </c>
      <c r="K3154" s="1"/>
      <c r="L3154" s="1"/>
      <c r="M3154" s="1"/>
      <c r="N3154" s="1"/>
    </row>
    <row r="3155" ht="15.75" customHeight="1">
      <c r="A3155" t="s">
        <v>36</v>
      </c>
      <c r="B3155" t="s">
        <v>14</v>
      </c>
      <c r="C3155" t="s">
        <v>4909</v>
      </c>
      <c r="D3155" t="s">
        <v>3243</v>
      </c>
      <c r="E3155">
        <v>84299.3352465706</v>
      </c>
      <c r="F3155">
        <v>29343.7920431944</v>
      </c>
      <c r="G3155">
        <v>25722.6276997079</v>
      </c>
      <c r="H3155">
        <v>18213.4300285764</v>
      </c>
      <c r="I3155">
        <v>139365.75</v>
      </c>
      <c r="J3155">
        <v>121152.32</v>
      </c>
      <c r="K3155" s="1"/>
      <c r="L3155" s="1"/>
      <c r="M3155" s="1"/>
      <c r="N3155" s="1"/>
    </row>
    <row r="3156" ht="15.75" customHeight="1">
      <c r="A3156" t="s">
        <v>17</v>
      </c>
      <c r="B3156" t="s">
        <v>26</v>
      </c>
      <c r="C3156" t="s">
        <v>4914</v>
      </c>
      <c r="D3156" t="s">
        <v>3244</v>
      </c>
      <c r="E3156">
        <v>84310.2182164768</v>
      </c>
      <c r="F3156">
        <v>29348.4067615218</v>
      </c>
      <c r="G3156">
        <v>25730.3077031374</v>
      </c>
      <c r="H3156">
        <v>18216.8275792637</v>
      </c>
      <c r="I3156">
        <v>139388.93</v>
      </c>
      <c r="J3156">
        <v>121172.1</v>
      </c>
      <c r="K3156" s="1"/>
      <c r="L3156" s="1"/>
      <c r="M3156" s="1"/>
      <c r="N3156" s="1"/>
    </row>
    <row r="3157" ht="15.75" customHeight="1">
      <c r="A3157" t="s">
        <v>29</v>
      </c>
      <c r="B3157" t="s">
        <v>54</v>
      </c>
      <c r="C3157" t="s">
        <v>4911</v>
      </c>
      <c r="D3157" t="s">
        <v>3245</v>
      </c>
      <c r="E3157">
        <v>84321.101186383</v>
      </c>
      <c r="F3157">
        <v>29353.0214798492</v>
      </c>
      <c r="G3157">
        <v>25737.9877065669</v>
      </c>
      <c r="H3157">
        <v>18220.225129951</v>
      </c>
      <c r="I3157">
        <v>139412.11</v>
      </c>
      <c r="J3157">
        <v>121191.88</v>
      </c>
      <c r="K3157" s="1"/>
      <c r="L3157" s="1"/>
      <c r="M3157" s="1"/>
      <c r="N3157" s="1"/>
    </row>
    <row r="3158" ht="15.75" customHeight="1">
      <c r="A3158" t="s">
        <v>51</v>
      </c>
      <c r="B3158" t="s">
        <v>30</v>
      </c>
      <c r="C3158" t="s">
        <v>4908</v>
      </c>
      <c r="D3158" t="s">
        <v>3246</v>
      </c>
      <c r="E3158">
        <v>84331.9841562892</v>
      </c>
      <c r="F3158">
        <v>29357.6361981767</v>
      </c>
      <c r="G3158">
        <v>25745.6677099964</v>
      </c>
      <c r="H3158">
        <v>18223.6226806383</v>
      </c>
      <c r="I3158">
        <v>139435.29</v>
      </c>
      <c r="J3158">
        <v>121211.67</v>
      </c>
      <c r="K3158" s="1"/>
      <c r="L3158" s="1"/>
      <c r="M3158" s="1"/>
      <c r="N3158" s="1"/>
    </row>
    <row r="3159" ht="15.75" customHeight="1">
      <c r="A3159" t="s">
        <v>29</v>
      </c>
      <c r="B3159" t="s">
        <v>54</v>
      </c>
      <c r="C3159" t="s">
        <v>4905</v>
      </c>
      <c r="D3159" t="s">
        <v>3247</v>
      </c>
      <c r="E3159">
        <v>84342.8671261954</v>
      </c>
      <c r="F3159">
        <v>29362.2509165041</v>
      </c>
      <c r="G3159">
        <v>25753.3477134259</v>
      </c>
      <c r="H3159">
        <v>18227.0202313256</v>
      </c>
      <c r="I3159">
        <v>139458.47</v>
      </c>
      <c r="J3159">
        <v>121231.45</v>
      </c>
      <c r="K3159" s="1"/>
      <c r="L3159" s="1"/>
      <c r="M3159" s="1"/>
      <c r="N3159" s="1"/>
    </row>
    <row r="3160" ht="15.75" customHeight="1">
      <c r="A3160" t="s">
        <v>17</v>
      </c>
      <c r="B3160" t="s">
        <v>14</v>
      </c>
      <c r="C3160" t="s">
        <v>4907</v>
      </c>
      <c r="D3160" t="s">
        <v>3248</v>
      </c>
      <c r="E3160">
        <v>84353.7500961016</v>
      </c>
      <c r="F3160">
        <v>29366.8656348315</v>
      </c>
      <c r="G3160">
        <v>25761.0277168553</v>
      </c>
      <c r="H3160">
        <v>18230.4177820129</v>
      </c>
      <c r="I3160">
        <v>139481.64</v>
      </c>
      <c r="J3160">
        <v>121251.22</v>
      </c>
      <c r="K3160" s="1"/>
      <c r="L3160" s="1"/>
      <c r="M3160" s="1"/>
      <c r="N3160" s="1"/>
    </row>
    <row r="3161" ht="15.75" customHeight="1">
      <c r="A3161" t="s">
        <v>25</v>
      </c>
      <c r="B3161" t="s">
        <v>37</v>
      </c>
      <c r="C3161" t="s">
        <v>4908</v>
      </c>
      <c r="D3161" t="s">
        <v>3249</v>
      </c>
      <c r="E3161">
        <v>71780.1808858172</v>
      </c>
      <c r="F3161">
        <v>29371.4803531589</v>
      </c>
      <c r="G3161">
        <v>25768.7077202848</v>
      </c>
      <c r="H3161">
        <v>18233.8153327002</v>
      </c>
      <c r="I3161">
        <v>126920.37</v>
      </c>
      <c r="J3161">
        <v>108686.55</v>
      </c>
      <c r="K3161" s="1"/>
      <c r="L3161" s="1"/>
      <c r="M3161" s="1"/>
      <c r="N3161" s="1"/>
    </row>
    <row r="3162" ht="15.75" customHeight="1">
      <c r="A3162" t="s">
        <v>51</v>
      </c>
      <c r="B3162" t="s">
        <v>14</v>
      </c>
      <c r="C3162" t="s">
        <v>4917</v>
      </c>
      <c r="D3162" t="s">
        <v>3250</v>
      </c>
      <c r="E3162">
        <v>84375.516035914</v>
      </c>
      <c r="F3162">
        <v>29376.0950714863</v>
      </c>
      <c r="G3162">
        <v>25776.3877237143</v>
      </c>
      <c r="H3162">
        <v>18237.2128833875</v>
      </c>
      <c r="I3162">
        <v>139528.0</v>
      </c>
      <c r="J3162">
        <v>121290.79</v>
      </c>
      <c r="K3162" s="1"/>
      <c r="L3162" s="1"/>
      <c r="M3162" s="1"/>
      <c r="N3162" s="1"/>
    </row>
    <row r="3163" ht="15.75" customHeight="1">
      <c r="A3163" t="s">
        <v>51</v>
      </c>
      <c r="B3163" t="s">
        <v>30</v>
      </c>
      <c r="C3163" t="s">
        <v>4914</v>
      </c>
      <c r="D3163" t="s">
        <v>3251</v>
      </c>
      <c r="E3163">
        <v>84386.3990058202</v>
      </c>
      <c r="F3163">
        <v>29380.7097898138</v>
      </c>
      <c r="G3163">
        <v>25784.0677271438</v>
      </c>
      <c r="H3163">
        <v>18240.6104340747</v>
      </c>
      <c r="I3163">
        <v>139551.18</v>
      </c>
      <c r="J3163">
        <v>121310.57</v>
      </c>
      <c r="K3163" s="1"/>
      <c r="L3163" s="1"/>
      <c r="M3163" s="1"/>
      <c r="N3163" s="1"/>
    </row>
    <row r="3164" ht="15.75" customHeight="1">
      <c r="A3164" t="s">
        <v>36</v>
      </c>
      <c r="B3164" t="s">
        <v>30</v>
      </c>
      <c r="C3164" t="s">
        <v>4908</v>
      </c>
      <c r="D3164" t="s">
        <v>3252</v>
      </c>
      <c r="E3164">
        <v>84397.2819757264</v>
      </c>
      <c r="F3164">
        <v>29385.3245081412</v>
      </c>
      <c r="G3164">
        <v>25791.7477305733</v>
      </c>
      <c r="H3164">
        <v>18244.007984762</v>
      </c>
      <c r="I3164">
        <v>139574.35</v>
      </c>
      <c r="J3164">
        <v>121330.34</v>
      </c>
      <c r="K3164" s="1"/>
      <c r="L3164" s="1"/>
      <c r="M3164" s="1"/>
      <c r="N3164" s="1"/>
    </row>
    <row r="3165" ht="15.75" customHeight="1">
      <c r="A3165" t="s">
        <v>13</v>
      </c>
      <c r="B3165" t="s">
        <v>54</v>
      </c>
      <c r="C3165" t="s">
        <v>4910</v>
      </c>
      <c r="D3165" t="s">
        <v>3253</v>
      </c>
      <c r="E3165">
        <v>84408.1649456326</v>
      </c>
      <c r="F3165">
        <v>29389.9392264686</v>
      </c>
      <c r="G3165">
        <v>25799.4277340028</v>
      </c>
      <c r="H3165">
        <v>18247.4055354493</v>
      </c>
      <c r="I3165">
        <v>139597.53</v>
      </c>
      <c r="J3165">
        <v>121350.12</v>
      </c>
      <c r="K3165" s="1"/>
      <c r="L3165" s="1"/>
      <c r="M3165" s="1"/>
      <c r="N3165" s="1"/>
    </row>
    <row r="3166" ht="15.75" customHeight="1">
      <c r="A3166" t="s">
        <v>13</v>
      </c>
      <c r="B3166" t="s">
        <v>18</v>
      </c>
      <c r="C3166" t="s">
        <v>4916</v>
      </c>
      <c r="D3166" t="s">
        <v>3254</v>
      </c>
      <c r="E3166">
        <v>84419.0479155387</v>
      </c>
      <c r="F3166">
        <v>29394.553944796</v>
      </c>
      <c r="G3166">
        <v>25807.1077374323</v>
      </c>
      <c r="H3166">
        <v>18250.8030861366</v>
      </c>
      <c r="I3166">
        <v>139620.71</v>
      </c>
      <c r="J3166">
        <v>121369.91</v>
      </c>
      <c r="K3166" s="1"/>
      <c r="L3166" s="1"/>
      <c r="M3166" s="1"/>
      <c r="N3166" s="1"/>
    </row>
    <row r="3167" ht="15.75" customHeight="1">
      <c r="A3167" t="s">
        <v>17</v>
      </c>
      <c r="B3167" t="s">
        <v>26</v>
      </c>
      <c r="C3167" t="s">
        <v>4909</v>
      </c>
      <c r="D3167" t="s">
        <v>3255</v>
      </c>
      <c r="E3167">
        <v>84429.9308854449</v>
      </c>
      <c r="F3167">
        <v>29399.1686631235</v>
      </c>
      <c r="G3167">
        <v>25814.7877408618</v>
      </c>
      <c r="H3167">
        <v>18254.2006368239</v>
      </c>
      <c r="I3167">
        <v>139643.89</v>
      </c>
      <c r="J3167">
        <v>121389.69</v>
      </c>
      <c r="K3167" s="1"/>
      <c r="L3167" s="1"/>
      <c r="M3167" s="1"/>
      <c r="N3167" s="1"/>
    </row>
    <row r="3168" ht="15.75" customHeight="1">
      <c r="A3168" t="s">
        <v>53</v>
      </c>
      <c r="B3168" t="s">
        <v>30</v>
      </c>
      <c r="C3168" t="s">
        <v>4917</v>
      </c>
      <c r="D3168" t="s">
        <v>3256</v>
      </c>
      <c r="E3168">
        <v>84440.8138553511</v>
      </c>
      <c r="F3168">
        <v>29403.7833814509</v>
      </c>
      <c r="G3168">
        <v>25822.4677442913</v>
      </c>
      <c r="H3168">
        <v>18257.5981875112</v>
      </c>
      <c r="I3168">
        <v>139667.06</v>
      </c>
      <c r="J3168">
        <v>121409.46</v>
      </c>
      <c r="K3168" s="1"/>
      <c r="L3168" s="1"/>
      <c r="M3168" s="1"/>
      <c r="N3168" s="1"/>
    </row>
    <row r="3169" ht="15.75" customHeight="1">
      <c r="A3169" t="s">
        <v>25</v>
      </c>
      <c r="B3169" t="s">
        <v>26</v>
      </c>
      <c r="C3169" t="s">
        <v>4909</v>
      </c>
      <c r="D3169" t="s">
        <v>3257</v>
      </c>
      <c r="E3169">
        <v>84451.6968252573</v>
      </c>
      <c r="F3169">
        <v>29408.3980997783</v>
      </c>
      <c r="G3169">
        <v>25830.1477477208</v>
      </c>
      <c r="H3169">
        <v>18260.9957381985</v>
      </c>
      <c r="I3169">
        <v>139690.24</v>
      </c>
      <c r="J3169">
        <v>121429.24</v>
      </c>
      <c r="K3169" s="1"/>
      <c r="L3169" s="1"/>
      <c r="M3169" s="1"/>
      <c r="N3169" s="1"/>
    </row>
    <row r="3170" ht="15.75" customHeight="1">
      <c r="A3170" t="s">
        <v>51</v>
      </c>
      <c r="B3170" t="s">
        <v>14</v>
      </c>
      <c r="C3170" t="s">
        <v>4912</v>
      </c>
      <c r="D3170" t="s">
        <v>3258</v>
      </c>
      <c r="E3170">
        <v>84462.5797951635</v>
      </c>
      <c r="F3170">
        <v>29413.0128181057</v>
      </c>
      <c r="G3170">
        <v>25837.8277511503</v>
      </c>
      <c r="H3170">
        <v>18264.3932888857</v>
      </c>
      <c r="I3170">
        <v>139713.42</v>
      </c>
      <c r="J3170">
        <v>121449.03</v>
      </c>
      <c r="K3170" s="1"/>
      <c r="L3170" s="1"/>
      <c r="M3170" s="1"/>
      <c r="N3170" s="1"/>
    </row>
    <row r="3171" ht="15.75" customHeight="1">
      <c r="A3171" t="s">
        <v>17</v>
      </c>
      <c r="B3171" t="s">
        <v>54</v>
      </c>
      <c r="C3171" t="s">
        <v>4905</v>
      </c>
      <c r="D3171" t="s">
        <v>3259</v>
      </c>
      <c r="E3171">
        <v>84473.4627650697</v>
      </c>
      <c r="F3171">
        <v>29417.6275364331</v>
      </c>
      <c r="G3171">
        <v>25845.5077545798</v>
      </c>
      <c r="H3171">
        <v>18267.790839573</v>
      </c>
      <c r="I3171">
        <v>139736.6</v>
      </c>
      <c r="J3171">
        <v>121468.81</v>
      </c>
      <c r="K3171" s="1"/>
      <c r="L3171" s="1"/>
      <c r="M3171" s="1"/>
      <c r="N3171" s="1"/>
    </row>
    <row r="3172" ht="15.75" customHeight="1">
      <c r="A3172" t="s">
        <v>51</v>
      </c>
      <c r="B3172" t="s">
        <v>14</v>
      </c>
      <c r="C3172" t="s">
        <v>4910</v>
      </c>
      <c r="D3172" t="s">
        <v>3260</v>
      </c>
      <c r="E3172">
        <v>84484.3457349759</v>
      </c>
      <c r="F3172">
        <v>29422.2422547606</v>
      </c>
      <c r="G3172">
        <v>25853.1877580093</v>
      </c>
      <c r="H3172">
        <v>18271.1883902603</v>
      </c>
      <c r="I3172">
        <v>139759.78</v>
      </c>
      <c r="J3172">
        <v>121488.59</v>
      </c>
      <c r="K3172" s="1"/>
      <c r="L3172" s="1"/>
      <c r="M3172" s="1"/>
      <c r="N3172" s="1"/>
    </row>
    <row r="3173" ht="15.75" customHeight="1">
      <c r="A3173" t="s">
        <v>25</v>
      </c>
      <c r="B3173" t="s">
        <v>54</v>
      </c>
      <c r="C3173" t="s">
        <v>4912</v>
      </c>
      <c r="D3173" t="s">
        <v>3261</v>
      </c>
      <c r="E3173">
        <v>84495.2287048821</v>
      </c>
      <c r="F3173">
        <v>29426.856973088</v>
      </c>
      <c r="G3173">
        <v>25860.8677614388</v>
      </c>
      <c r="H3173">
        <v>18274.5859409476</v>
      </c>
      <c r="I3173">
        <v>139782.95</v>
      </c>
      <c r="J3173">
        <v>121508.36</v>
      </c>
      <c r="K3173" s="1"/>
      <c r="L3173" s="1"/>
      <c r="M3173" s="1"/>
      <c r="N3173" s="1"/>
    </row>
    <row r="3174" ht="15.75" customHeight="1">
      <c r="A3174" t="s">
        <v>51</v>
      </c>
      <c r="B3174" t="s">
        <v>54</v>
      </c>
      <c r="C3174" t="s">
        <v>4915</v>
      </c>
      <c r="D3174" t="s">
        <v>3262</v>
      </c>
      <c r="E3174">
        <v>84506.1116747883</v>
      </c>
      <c r="F3174">
        <v>29431.4716914154</v>
      </c>
      <c r="G3174">
        <v>25868.5477648683</v>
      </c>
      <c r="H3174">
        <v>18277.9834916349</v>
      </c>
      <c r="I3174">
        <v>139806.13</v>
      </c>
      <c r="J3174">
        <v>121528.15</v>
      </c>
      <c r="K3174" s="1"/>
      <c r="L3174" s="1"/>
      <c r="M3174" s="1"/>
      <c r="N3174" s="1"/>
    </row>
    <row r="3175" ht="15.75" customHeight="1">
      <c r="A3175" t="s">
        <v>53</v>
      </c>
      <c r="B3175" t="s">
        <v>37</v>
      </c>
      <c r="C3175" t="s">
        <v>4915</v>
      </c>
      <c r="D3175" t="s">
        <v>3263</v>
      </c>
      <c r="E3175">
        <v>84516.9946446945</v>
      </c>
      <c r="F3175">
        <v>29436.0864097428</v>
      </c>
      <c r="G3175">
        <v>25876.2277682978</v>
      </c>
      <c r="H3175">
        <v>18281.3810423222</v>
      </c>
      <c r="I3175">
        <v>139829.31</v>
      </c>
      <c r="J3175">
        <v>121547.93</v>
      </c>
      <c r="K3175" s="1"/>
      <c r="L3175" s="1"/>
      <c r="M3175" s="1"/>
      <c r="N3175" s="1"/>
    </row>
    <row r="3176" ht="15.75" customHeight="1">
      <c r="A3176" t="s">
        <v>13</v>
      </c>
      <c r="B3176" t="s">
        <v>26</v>
      </c>
      <c r="C3176" t="s">
        <v>4911</v>
      </c>
      <c r="D3176" t="s">
        <v>3264</v>
      </c>
      <c r="E3176">
        <v>84527.8776146007</v>
      </c>
      <c r="F3176">
        <v>29440.7011280703</v>
      </c>
      <c r="G3176">
        <v>25883.9077717273</v>
      </c>
      <c r="H3176">
        <v>18284.7785930095</v>
      </c>
      <c r="I3176">
        <v>139852.49</v>
      </c>
      <c r="J3176">
        <v>121567.71</v>
      </c>
      <c r="K3176" s="1"/>
      <c r="L3176" s="1"/>
      <c r="M3176" s="1"/>
      <c r="N3176" s="1"/>
    </row>
    <row r="3177" ht="15.75" customHeight="1">
      <c r="A3177" t="s">
        <v>51</v>
      </c>
      <c r="B3177" t="s">
        <v>37</v>
      </c>
      <c r="C3177" t="s">
        <v>4905</v>
      </c>
      <c r="D3177" t="s">
        <v>3265</v>
      </c>
      <c r="E3177">
        <v>84538.7605845069</v>
      </c>
      <c r="F3177">
        <v>29445.3158463977</v>
      </c>
      <c r="G3177">
        <v>25891.5877751568</v>
      </c>
      <c r="H3177">
        <v>18288.1761436968</v>
      </c>
      <c r="I3177">
        <v>139875.66</v>
      </c>
      <c r="J3177">
        <v>121587.48</v>
      </c>
      <c r="K3177" s="1"/>
      <c r="L3177" s="1"/>
      <c r="M3177" s="1"/>
      <c r="N3177" s="1"/>
    </row>
    <row r="3178" ht="15.75" customHeight="1">
      <c r="A3178" t="s">
        <v>29</v>
      </c>
      <c r="B3178" t="s">
        <v>37</v>
      </c>
      <c r="C3178" t="s">
        <v>4917</v>
      </c>
      <c r="D3178" t="s">
        <v>3266</v>
      </c>
      <c r="E3178">
        <v>72210.86634532797</v>
      </c>
      <c r="F3178">
        <v>29449.9305647251</v>
      </c>
      <c r="G3178">
        <v>25899.2677785863</v>
      </c>
      <c r="H3178">
        <v>18291.573694384</v>
      </c>
      <c r="I3178">
        <v>127560.06</v>
      </c>
      <c r="J3178">
        <v>109268.49</v>
      </c>
      <c r="K3178" s="1"/>
      <c r="L3178" s="1"/>
      <c r="M3178" s="1"/>
      <c r="N3178" s="1"/>
    </row>
    <row r="3179" ht="15.75" customHeight="1">
      <c r="A3179" t="s">
        <v>17</v>
      </c>
      <c r="B3179" t="s">
        <v>37</v>
      </c>
      <c r="C3179" t="s">
        <v>4917</v>
      </c>
      <c r="D3179" t="s">
        <v>3267</v>
      </c>
      <c r="E3179">
        <v>84560.5265243193</v>
      </c>
      <c r="F3179">
        <v>29454.5452830525</v>
      </c>
      <c r="G3179">
        <v>25906.9477820158</v>
      </c>
      <c r="H3179">
        <v>18294.9712450713</v>
      </c>
      <c r="I3179">
        <v>139922.02</v>
      </c>
      <c r="J3179">
        <v>121627.05</v>
      </c>
      <c r="K3179" s="1"/>
      <c r="L3179" s="1"/>
      <c r="M3179" s="1"/>
      <c r="N3179" s="1"/>
    </row>
    <row r="3180" ht="15.75" customHeight="1">
      <c r="A3180" t="s">
        <v>17</v>
      </c>
      <c r="B3180" t="s">
        <v>33</v>
      </c>
      <c r="C3180" t="s">
        <v>4911</v>
      </c>
      <c r="D3180" t="s">
        <v>3268</v>
      </c>
      <c r="E3180">
        <v>84571.4094942255</v>
      </c>
      <c r="F3180">
        <v>29459.1600013799</v>
      </c>
      <c r="G3180">
        <v>25914.6277854453</v>
      </c>
      <c r="H3180">
        <v>18298.3687957586</v>
      </c>
      <c r="I3180">
        <v>139945.2</v>
      </c>
      <c r="J3180">
        <v>121646.83</v>
      </c>
      <c r="K3180" s="1"/>
      <c r="L3180" s="1"/>
      <c r="M3180" s="1"/>
      <c r="N3180" s="1"/>
    </row>
    <row r="3181" ht="15.75" customHeight="1">
      <c r="A3181" t="s">
        <v>36</v>
      </c>
      <c r="B3181" t="s">
        <v>14</v>
      </c>
      <c r="C3181" t="s">
        <v>4907</v>
      </c>
      <c r="D3181" t="s">
        <v>3269</v>
      </c>
      <c r="E3181">
        <v>84582.2924641317</v>
      </c>
      <c r="F3181">
        <v>29463.7747197074</v>
      </c>
      <c r="G3181">
        <v>25922.3077888748</v>
      </c>
      <c r="H3181">
        <v>18301.7663464459</v>
      </c>
      <c r="I3181">
        <v>139968.37</v>
      </c>
      <c r="J3181">
        <v>121666.6</v>
      </c>
      <c r="K3181" s="1"/>
      <c r="L3181" s="1"/>
      <c r="M3181" s="1"/>
      <c r="N3181" s="1"/>
    </row>
    <row r="3182" ht="15.75" customHeight="1">
      <c r="A3182" t="s">
        <v>51</v>
      </c>
      <c r="B3182" t="s">
        <v>33</v>
      </c>
      <c r="C3182" t="s">
        <v>4907</v>
      </c>
      <c r="D3182" t="s">
        <v>3270</v>
      </c>
      <c r="E3182">
        <v>84604.058403944</v>
      </c>
      <c r="F3182">
        <v>29473.0041563622</v>
      </c>
      <c r="G3182">
        <v>25937.6677957338</v>
      </c>
      <c r="H3182">
        <v>18308.5614478205</v>
      </c>
      <c r="I3182">
        <v>140014.73</v>
      </c>
      <c r="J3182">
        <v>121706.17</v>
      </c>
      <c r="K3182" s="1"/>
      <c r="L3182" s="1"/>
      <c r="M3182" s="1"/>
      <c r="N3182" s="1"/>
    </row>
    <row r="3183" ht="15.75" customHeight="1">
      <c r="A3183" t="s">
        <v>53</v>
      </c>
      <c r="B3183" t="s">
        <v>26</v>
      </c>
      <c r="C3183" t="s">
        <v>4917</v>
      </c>
      <c r="D3183" t="s">
        <v>3271</v>
      </c>
      <c r="E3183">
        <v>84614.9413738502</v>
      </c>
      <c r="F3183">
        <v>29477.6188746896</v>
      </c>
      <c r="G3183">
        <v>25945.3477991633</v>
      </c>
      <c r="H3183">
        <v>18311.9589985078</v>
      </c>
      <c r="I3183">
        <v>140037.91</v>
      </c>
      <c r="J3183">
        <v>121725.95</v>
      </c>
      <c r="K3183" s="1"/>
      <c r="L3183" s="1"/>
      <c r="M3183" s="1"/>
      <c r="N3183" s="1"/>
    </row>
    <row r="3184" ht="15.75" customHeight="1">
      <c r="A3184" t="s">
        <v>53</v>
      </c>
      <c r="B3184" t="s">
        <v>14</v>
      </c>
      <c r="C3184" t="s">
        <v>4912</v>
      </c>
      <c r="D3184" t="s">
        <v>3272</v>
      </c>
      <c r="E3184">
        <v>84625.8243437564</v>
      </c>
      <c r="F3184">
        <v>29482.2335930171</v>
      </c>
      <c r="G3184">
        <v>25953.0278025928</v>
      </c>
      <c r="H3184">
        <v>18315.3565491951</v>
      </c>
      <c r="I3184">
        <v>140061.09</v>
      </c>
      <c r="J3184">
        <v>121745.73</v>
      </c>
      <c r="K3184" s="1"/>
      <c r="L3184" s="1"/>
      <c r="M3184" s="1"/>
      <c r="N3184" s="1"/>
    </row>
    <row r="3185" ht="15.75" customHeight="1">
      <c r="A3185" t="s">
        <v>51</v>
      </c>
      <c r="B3185" t="s">
        <v>37</v>
      </c>
      <c r="C3185" t="s">
        <v>4905</v>
      </c>
      <c r="D3185" t="s">
        <v>3273</v>
      </c>
      <c r="E3185">
        <v>84636.7073136626</v>
      </c>
      <c r="F3185">
        <v>29486.8483113445</v>
      </c>
      <c r="G3185">
        <v>25960.7078060223</v>
      </c>
      <c r="H3185">
        <v>18318.7540998823</v>
      </c>
      <c r="I3185">
        <v>140084.26</v>
      </c>
      <c r="J3185">
        <v>121765.51</v>
      </c>
      <c r="K3185" s="1"/>
      <c r="L3185" s="1"/>
      <c r="M3185" s="1"/>
      <c r="N3185" s="1"/>
    </row>
    <row r="3186" ht="15.75" customHeight="1">
      <c r="A3186" t="s">
        <v>17</v>
      </c>
      <c r="B3186" t="s">
        <v>18</v>
      </c>
      <c r="C3186" t="s">
        <v>4909</v>
      </c>
      <c r="D3186" t="s">
        <v>3274</v>
      </c>
      <c r="E3186">
        <v>84647.5902835688</v>
      </c>
      <c r="F3186">
        <v>29491.4630296719</v>
      </c>
      <c r="G3186">
        <v>25968.3878094518</v>
      </c>
      <c r="H3186">
        <v>18322.1516505696</v>
      </c>
      <c r="I3186">
        <v>140107.44</v>
      </c>
      <c r="J3186">
        <v>121785.29</v>
      </c>
      <c r="K3186" s="1"/>
      <c r="L3186" s="1"/>
      <c r="M3186" s="1"/>
      <c r="N3186" s="1"/>
    </row>
    <row r="3187" ht="15.75" customHeight="1">
      <c r="A3187" t="s">
        <v>25</v>
      </c>
      <c r="B3187" t="s">
        <v>18</v>
      </c>
      <c r="C3187" t="s">
        <v>4917</v>
      </c>
      <c r="D3187" t="s">
        <v>3275</v>
      </c>
      <c r="E3187">
        <v>84658.473253475</v>
      </c>
      <c r="F3187">
        <v>29496.0777479993</v>
      </c>
      <c r="G3187">
        <v>25976.0678128813</v>
      </c>
      <c r="H3187">
        <v>18325.5492012569</v>
      </c>
      <c r="I3187">
        <v>140130.62</v>
      </c>
      <c r="J3187">
        <v>121805.07</v>
      </c>
      <c r="K3187" s="1"/>
      <c r="L3187" s="1"/>
      <c r="M3187" s="1"/>
      <c r="N3187" s="1"/>
    </row>
    <row r="3188" ht="15.75" customHeight="1">
      <c r="A3188" t="s">
        <v>17</v>
      </c>
      <c r="B3188" t="s">
        <v>33</v>
      </c>
      <c r="C3188" t="s">
        <v>4913</v>
      </c>
      <c r="D3188" t="s">
        <v>3276</v>
      </c>
      <c r="E3188">
        <v>84669.3562233812</v>
      </c>
      <c r="F3188">
        <v>29500.6924663267</v>
      </c>
      <c r="G3188">
        <v>25983.7478163108</v>
      </c>
      <c r="H3188">
        <v>18328.9467519442</v>
      </c>
      <c r="I3188">
        <v>140153.8</v>
      </c>
      <c r="J3188">
        <v>121824.85</v>
      </c>
      <c r="K3188" s="1"/>
      <c r="L3188" s="1"/>
      <c r="M3188" s="1"/>
      <c r="N3188" s="1"/>
    </row>
    <row r="3189" ht="15.75" customHeight="1">
      <c r="A3189" t="s">
        <v>17</v>
      </c>
      <c r="B3189" t="s">
        <v>14</v>
      </c>
      <c r="C3189" t="s">
        <v>4905</v>
      </c>
      <c r="D3189" t="s">
        <v>3277</v>
      </c>
      <c r="E3189">
        <v>84680.2391932874</v>
      </c>
      <c r="F3189">
        <v>29505.3071846542</v>
      </c>
      <c r="G3189">
        <v>25991.4278197403</v>
      </c>
      <c r="H3189">
        <v>18332.3443026315</v>
      </c>
      <c r="I3189">
        <v>140176.97</v>
      </c>
      <c r="J3189">
        <v>121844.63</v>
      </c>
      <c r="K3189" s="1"/>
      <c r="L3189" s="1"/>
      <c r="M3189" s="1"/>
      <c r="N3189" s="1"/>
    </row>
    <row r="3190" ht="15.75" customHeight="1">
      <c r="A3190" t="s">
        <v>51</v>
      </c>
      <c r="B3190" t="s">
        <v>26</v>
      </c>
      <c r="C3190" t="s">
        <v>4913</v>
      </c>
      <c r="D3190" t="s">
        <v>3278</v>
      </c>
      <c r="E3190">
        <v>84691.1221631936</v>
      </c>
      <c r="F3190">
        <v>29509.9219029816</v>
      </c>
      <c r="G3190">
        <v>25999.1078231698</v>
      </c>
      <c r="H3190">
        <v>18335.7418533188</v>
      </c>
      <c r="I3190">
        <v>140200.15</v>
      </c>
      <c r="J3190">
        <v>121864.41</v>
      </c>
      <c r="K3190" s="1"/>
      <c r="L3190" s="1"/>
      <c r="M3190" s="1"/>
      <c r="N3190" s="1"/>
    </row>
    <row r="3191" ht="15.75" customHeight="1">
      <c r="A3191" t="s">
        <v>13</v>
      </c>
      <c r="B3191" t="s">
        <v>33</v>
      </c>
      <c r="C3191" t="s">
        <v>4912</v>
      </c>
      <c r="D3191" t="s">
        <v>3279</v>
      </c>
      <c r="E3191">
        <v>84702.0051330998</v>
      </c>
      <c r="F3191">
        <v>29514.536621309</v>
      </c>
      <c r="G3191">
        <v>26006.7878265993</v>
      </c>
      <c r="H3191">
        <v>18339.1394040061</v>
      </c>
      <c r="I3191">
        <v>140223.33</v>
      </c>
      <c r="J3191">
        <v>121884.19</v>
      </c>
      <c r="K3191" s="1"/>
      <c r="L3191" s="1"/>
      <c r="M3191" s="1"/>
      <c r="N3191" s="1"/>
    </row>
    <row r="3192" ht="15.75" customHeight="1">
      <c r="A3192" t="s">
        <v>13</v>
      </c>
      <c r="B3192" t="s">
        <v>18</v>
      </c>
      <c r="C3192" t="s">
        <v>4917</v>
      </c>
      <c r="D3192" t="s">
        <v>3280</v>
      </c>
      <c r="E3192">
        <v>84712.888103006</v>
      </c>
      <c r="F3192">
        <v>29519.1513396364</v>
      </c>
      <c r="G3192">
        <v>26014.4678300288</v>
      </c>
      <c r="H3192">
        <v>18342.5369546933</v>
      </c>
      <c r="I3192">
        <v>140246.51</v>
      </c>
      <c r="J3192">
        <v>121903.97</v>
      </c>
      <c r="K3192" s="1"/>
      <c r="L3192" s="1"/>
      <c r="M3192" s="1"/>
      <c r="N3192" s="1"/>
    </row>
    <row r="3193" ht="15.75" customHeight="1">
      <c r="A3193" t="s">
        <v>53</v>
      </c>
      <c r="B3193" t="s">
        <v>18</v>
      </c>
      <c r="C3193" t="s">
        <v>4908</v>
      </c>
      <c r="D3193" t="s">
        <v>3281</v>
      </c>
      <c r="E3193">
        <v>84723.7710729122</v>
      </c>
      <c r="F3193">
        <v>29523.7660579639</v>
      </c>
      <c r="G3193">
        <v>26022.1478334583</v>
      </c>
      <c r="H3193">
        <v>18345.9345053806</v>
      </c>
      <c r="I3193">
        <v>140269.68</v>
      </c>
      <c r="J3193">
        <v>121923.75</v>
      </c>
      <c r="K3193" s="1"/>
      <c r="L3193" s="1"/>
      <c r="M3193" s="1"/>
      <c r="N3193" s="1"/>
    </row>
    <row r="3194" ht="15.75" customHeight="1">
      <c r="A3194" t="s">
        <v>29</v>
      </c>
      <c r="B3194" t="s">
        <v>14</v>
      </c>
      <c r="C3194" t="s">
        <v>4914</v>
      </c>
      <c r="D3194" t="s">
        <v>3282</v>
      </c>
      <c r="E3194">
        <v>84734.6540428184</v>
      </c>
      <c r="F3194">
        <v>29528.3807762913</v>
      </c>
      <c r="G3194">
        <v>26029.8278368878</v>
      </c>
      <c r="H3194">
        <v>18349.3320560679</v>
      </c>
      <c r="I3194">
        <v>140292.86</v>
      </c>
      <c r="J3194">
        <v>121943.53</v>
      </c>
      <c r="K3194" s="1"/>
      <c r="L3194" s="1"/>
      <c r="M3194" s="1"/>
      <c r="N3194" s="1"/>
    </row>
    <row r="3195" ht="15.75" customHeight="1">
      <c r="A3195" t="s">
        <v>36</v>
      </c>
      <c r="B3195" t="s">
        <v>18</v>
      </c>
      <c r="C3195" t="s">
        <v>4907</v>
      </c>
      <c r="D3195" t="s">
        <v>3283</v>
      </c>
      <c r="E3195">
        <v>84745.5370127245</v>
      </c>
      <c r="F3195">
        <v>29532.9954946187</v>
      </c>
      <c r="G3195">
        <v>26037.5078403172</v>
      </c>
      <c r="H3195">
        <v>14194.35617001081</v>
      </c>
      <c r="I3195">
        <v>140316.04</v>
      </c>
      <c r="J3195">
        <v>126121.68</v>
      </c>
      <c r="K3195" s="1"/>
      <c r="L3195" s="1"/>
      <c r="M3195" s="1"/>
      <c r="N3195" s="1"/>
    </row>
    <row r="3196" ht="15.75" customHeight="1">
      <c r="A3196" t="s">
        <v>36</v>
      </c>
      <c r="B3196" t="s">
        <v>54</v>
      </c>
      <c r="C3196" t="s">
        <v>4908</v>
      </c>
      <c r="D3196" t="s">
        <v>3284</v>
      </c>
      <c r="E3196">
        <v>84756.4199826307</v>
      </c>
      <c r="F3196">
        <v>29537.6102129461</v>
      </c>
      <c r="G3196">
        <v>26045.1878437467</v>
      </c>
      <c r="H3196">
        <v>18356.1271574425</v>
      </c>
      <c r="I3196">
        <v>140339.22</v>
      </c>
      <c r="J3196">
        <v>121983.09</v>
      </c>
      <c r="K3196" s="1"/>
      <c r="L3196" s="1"/>
      <c r="M3196" s="1"/>
      <c r="N3196" s="1"/>
    </row>
    <row r="3197" ht="15.75" customHeight="1">
      <c r="A3197" t="s">
        <v>36</v>
      </c>
      <c r="B3197" t="s">
        <v>33</v>
      </c>
      <c r="C3197" t="s">
        <v>4910</v>
      </c>
      <c r="D3197" t="s">
        <v>3285</v>
      </c>
      <c r="E3197">
        <v>84767.3029525369</v>
      </c>
      <c r="F3197">
        <v>29542.2249312735</v>
      </c>
      <c r="G3197">
        <v>26052.8678471762</v>
      </c>
      <c r="H3197">
        <v>18359.5247081298</v>
      </c>
      <c r="I3197">
        <v>140362.4</v>
      </c>
      <c r="J3197">
        <v>122002.88</v>
      </c>
      <c r="K3197" s="1"/>
      <c r="L3197" s="1"/>
      <c r="M3197" s="1"/>
      <c r="N3197" s="1"/>
    </row>
    <row r="3198" ht="15.75" customHeight="1">
      <c r="A3198" t="s">
        <v>53</v>
      </c>
      <c r="B3198" t="s">
        <v>54</v>
      </c>
      <c r="C3198" t="s">
        <v>4907</v>
      </c>
      <c r="D3198" t="s">
        <v>3286</v>
      </c>
      <c r="E3198">
        <v>84778.1859224431</v>
      </c>
      <c r="F3198">
        <v>29546.839649601</v>
      </c>
      <c r="G3198">
        <v>26060.5478506057</v>
      </c>
      <c r="H3198">
        <v>18362.9222588171</v>
      </c>
      <c r="I3198">
        <v>140385.57</v>
      </c>
      <c r="J3198">
        <v>122022.65</v>
      </c>
      <c r="K3198" s="1"/>
      <c r="L3198" s="1"/>
      <c r="M3198" s="1"/>
      <c r="N3198" s="1"/>
    </row>
    <row r="3199" ht="15.75" customHeight="1">
      <c r="A3199" t="s">
        <v>51</v>
      </c>
      <c r="B3199" t="s">
        <v>18</v>
      </c>
      <c r="C3199" t="s">
        <v>4908</v>
      </c>
      <c r="D3199" t="s">
        <v>3287</v>
      </c>
      <c r="E3199">
        <v>84789.0688923493</v>
      </c>
      <c r="F3199">
        <v>29551.4543679284</v>
      </c>
      <c r="G3199">
        <v>26068.2278540352</v>
      </c>
      <c r="H3199">
        <v>18366.3198095044</v>
      </c>
      <c r="I3199">
        <v>140408.75</v>
      </c>
      <c r="J3199">
        <v>122042.43</v>
      </c>
      <c r="K3199" s="1"/>
      <c r="L3199" s="1"/>
      <c r="M3199" s="1"/>
      <c r="N3199" s="1"/>
    </row>
    <row r="3200" ht="15.75" customHeight="1">
      <c r="A3200" t="s">
        <v>53</v>
      </c>
      <c r="B3200" t="s">
        <v>14</v>
      </c>
      <c r="C3200" t="s">
        <v>4908</v>
      </c>
      <c r="D3200" t="s">
        <v>3288</v>
      </c>
      <c r="E3200">
        <v>84799.9518622555</v>
      </c>
      <c r="F3200">
        <v>29556.0690862558</v>
      </c>
      <c r="G3200">
        <v>26075.9078574647</v>
      </c>
      <c r="H3200">
        <v>14765.30618879032</v>
      </c>
      <c r="I3200">
        <v>140431.93</v>
      </c>
      <c r="J3200">
        <v>125666.62</v>
      </c>
      <c r="K3200" s="1"/>
      <c r="L3200" s="1"/>
      <c r="M3200" s="1"/>
      <c r="N3200" s="1"/>
    </row>
    <row r="3201" ht="15.75" customHeight="1">
      <c r="A3201" t="s">
        <v>36</v>
      </c>
      <c r="B3201" t="s">
        <v>14</v>
      </c>
      <c r="C3201" t="s">
        <v>4905</v>
      </c>
      <c r="D3201" t="s">
        <v>3289</v>
      </c>
      <c r="E3201">
        <v>84810.8348321617</v>
      </c>
      <c r="F3201">
        <v>29560.6838045832</v>
      </c>
      <c r="G3201">
        <v>26083.5878608942</v>
      </c>
      <c r="H3201">
        <v>18373.1149108789</v>
      </c>
      <c r="I3201">
        <v>140455.11</v>
      </c>
      <c r="J3201">
        <v>122082.0</v>
      </c>
      <c r="K3201" s="1"/>
      <c r="L3201" s="1"/>
      <c r="M3201" s="1"/>
      <c r="N3201" s="1"/>
    </row>
    <row r="3202" ht="15.75" customHeight="1">
      <c r="A3202" t="s">
        <v>13</v>
      </c>
      <c r="B3202" t="s">
        <v>54</v>
      </c>
      <c r="C3202" t="s">
        <v>4912</v>
      </c>
      <c r="D3202" t="s">
        <v>3290</v>
      </c>
      <c r="E3202">
        <v>84832.6007719741</v>
      </c>
      <c r="F3202">
        <v>29569.9132412381</v>
      </c>
      <c r="G3202">
        <v>26098.9478677532</v>
      </c>
      <c r="H3202">
        <v>18379.9100122535</v>
      </c>
      <c r="I3202">
        <v>140501.46</v>
      </c>
      <c r="J3202">
        <v>122121.55</v>
      </c>
      <c r="K3202" s="1"/>
      <c r="L3202" s="1"/>
      <c r="M3202" s="1"/>
      <c r="N3202" s="1"/>
    </row>
    <row r="3203" ht="15.75" customHeight="1">
      <c r="A3203" t="s">
        <v>13</v>
      </c>
      <c r="B3203" t="s">
        <v>18</v>
      </c>
      <c r="C3203" t="s">
        <v>4908</v>
      </c>
      <c r="D3203" t="s">
        <v>3291</v>
      </c>
      <c r="E3203">
        <v>84843.4837418803</v>
      </c>
      <c r="F3203">
        <v>29574.5279595655</v>
      </c>
      <c r="G3203">
        <v>26106.6278711827</v>
      </c>
      <c r="H3203">
        <v>18383.3075629408</v>
      </c>
      <c r="I3203">
        <v>140524.64</v>
      </c>
      <c r="J3203">
        <v>122141.33</v>
      </c>
      <c r="K3203" s="1"/>
      <c r="L3203" s="1"/>
      <c r="M3203" s="1"/>
      <c r="N3203" s="1"/>
    </row>
    <row r="3204" ht="15.75" customHeight="1">
      <c r="A3204" t="s">
        <v>13</v>
      </c>
      <c r="B3204" t="s">
        <v>37</v>
      </c>
      <c r="C3204" t="s">
        <v>4917</v>
      </c>
      <c r="D3204" t="s">
        <v>3292</v>
      </c>
      <c r="E3204">
        <v>84854.3667117865</v>
      </c>
      <c r="F3204">
        <v>29579.1426778929</v>
      </c>
      <c r="G3204">
        <v>26114.3078746122</v>
      </c>
      <c r="H3204">
        <v>18386.7051136281</v>
      </c>
      <c r="I3204">
        <v>140547.82</v>
      </c>
      <c r="J3204">
        <v>122161.11</v>
      </c>
      <c r="K3204" s="1"/>
      <c r="L3204" s="1"/>
      <c r="M3204" s="1"/>
      <c r="N3204" s="1"/>
    </row>
    <row r="3205" ht="15.75" customHeight="1">
      <c r="A3205" t="s">
        <v>29</v>
      </c>
      <c r="B3205" t="s">
        <v>33</v>
      </c>
      <c r="C3205" t="s">
        <v>4911</v>
      </c>
      <c r="D3205" t="s">
        <v>3293</v>
      </c>
      <c r="E3205">
        <v>84865.2496816927</v>
      </c>
      <c r="F3205">
        <v>29583.7573962203</v>
      </c>
      <c r="G3205">
        <v>26121.9878780417</v>
      </c>
      <c r="H3205">
        <v>18390.1026643154</v>
      </c>
      <c r="I3205">
        <v>140570.99</v>
      </c>
      <c r="J3205">
        <v>122180.89</v>
      </c>
      <c r="K3205" s="1"/>
      <c r="L3205" s="1"/>
      <c r="M3205" s="1"/>
      <c r="N3205" s="1"/>
    </row>
    <row r="3206" ht="15.75" customHeight="1">
      <c r="A3206" t="s">
        <v>13</v>
      </c>
      <c r="B3206" t="s">
        <v>30</v>
      </c>
      <c r="C3206" t="s">
        <v>4913</v>
      </c>
      <c r="D3206" t="s">
        <v>3294</v>
      </c>
      <c r="E3206">
        <v>84876.1326515989</v>
      </c>
      <c r="F3206">
        <v>29588.3721145478</v>
      </c>
      <c r="G3206">
        <v>26129.6678814712</v>
      </c>
      <c r="H3206">
        <v>18393.5002150027</v>
      </c>
      <c r="I3206">
        <v>140594.17</v>
      </c>
      <c r="J3206">
        <v>122200.67</v>
      </c>
      <c r="K3206" s="1"/>
      <c r="L3206" s="1"/>
      <c r="M3206" s="1"/>
      <c r="N3206" s="1"/>
    </row>
    <row r="3207" ht="15.75" customHeight="1">
      <c r="A3207" t="s">
        <v>36</v>
      </c>
      <c r="B3207" t="s">
        <v>37</v>
      </c>
      <c r="C3207" t="s">
        <v>4910</v>
      </c>
      <c r="D3207" t="s">
        <v>3295</v>
      </c>
      <c r="E3207">
        <v>84887.0156215051</v>
      </c>
      <c r="F3207">
        <v>29592.9868328752</v>
      </c>
      <c r="G3207">
        <v>26137.3478849007</v>
      </c>
      <c r="H3207">
        <v>18396.8977656899</v>
      </c>
      <c r="I3207">
        <v>140617.35</v>
      </c>
      <c r="J3207">
        <v>122220.45</v>
      </c>
      <c r="K3207" s="1"/>
      <c r="L3207" s="1"/>
      <c r="M3207" s="1"/>
      <c r="N3207" s="1"/>
    </row>
    <row r="3208" ht="15.75" customHeight="1">
      <c r="A3208" t="s">
        <v>29</v>
      </c>
      <c r="B3208" t="s">
        <v>54</v>
      </c>
      <c r="C3208" t="s">
        <v>4905</v>
      </c>
      <c r="D3208" t="s">
        <v>3296</v>
      </c>
      <c r="E3208">
        <v>84897.8985914113</v>
      </c>
      <c r="F3208">
        <v>29597.6015512026</v>
      </c>
      <c r="G3208">
        <v>26145.0278883302</v>
      </c>
      <c r="H3208">
        <v>18400.2953163772</v>
      </c>
      <c r="I3208">
        <v>140640.53</v>
      </c>
      <c r="J3208">
        <v>122240.23</v>
      </c>
      <c r="K3208" s="1"/>
      <c r="L3208" s="1"/>
      <c r="M3208" s="1"/>
      <c r="N3208" s="1"/>
    </row>
    <row r="3209" ht="15.75" customHeight="1">
      <c r="A3209" t="s">
        <v>25</v>
      </c>
      <c r="B3209" t="s">
        <v>18</v>
      </c>
      <c r="C3209" t="s">
        <v>4917</v>
      </c>
      <c r="D3209" t="s">
        <v>3297</v>
      </c>
      <c r="E3209">
        <v>84919.6645312236</v>
      </c>
      <c r="F3209">
        <v>29606.8309878574</v>
      </c>
      <c r="G3209">
        <v>26160.3878951892</v>
      </c>
      <c r="H3209">
        <v>18407.0904177518</v>
      </c>
      <c r="I3209">
        <v>140686.88</v>
      </c>
      <c r="J3209">
        <v>122279.79</v>
      </c>
      <c r="K3209" s="1"/>
      <c r="L3209" s="1"/>
      <c r="M3209" s="1"/>
      <c r="N3209" s="1"/>
    </row>
    <row r="3210" ht="15.75" customHeight="1">
      <c r="A3210" t="s">
        <v>17</v>
      </c>
      <c r="B3210" t="s">
        <v>26</v>
      </c>
      <c r="C3210" t="s">
        <v>4908</v>
      </c>
      <c r="D3210" t="s">
        <v>3298</v>
      </c>
      <c r="E3210">
        <v>84930.5475011298</v>
      </c>
      <c r="F3210">
        <v>29611.4457061849</v>
      </c>
      <c r="G3210">
        <v>26168.0678986187</v>
      </c>
      <c r="H3210">
        <v>18410.4879684391</v>
      </c>
      <c r="I3210">
        <v>140710.06</v>
      </c>
      <c r="J3210">
        <v>122299.57</v>
      </c>
      <c r="K3210" s="1"/>
      <c r="L3210" s="1"/>
      <c r="M3210" s="1"/>
      <c r="N3210" s="1"/>
    </row>
    <row r="3211" ht="15.75" customHeight="1">
      <c r="A3211" t="s">
        <v>51</v>
      </c>
      <c r="B3211" t="s">
        <v>14</v>
      </c>
      <c r="C3211" t="s">
        <v>4909</v>
      </c>
      <c r="D3211" t="s">
        <v>3299</v>
      </c>
      <c r="E3211">
        <v>84941.430471036</v>
      </c>
      <c r="F3211">
        <v>29616.0604245123</v>
      </c>
      <c r="G3211">
        <v>26175.7479020482</v>
      </c>
      <c r="H3211">
        <v>18413.8855191264</v>
      </c>
      <c r="I3211">
        <v>140733.24</v>
      </c>
      <c r="J3211">
        <v>122319.35</v>
      </c>
      <c r="K3211" s="1"/>
      <c r="L3211" s="1"/>
      <c r="M3211" s="1"/>
      <c r="N3211" s="1"/>
    </row>
    <row r="3212" ht="15.75" customHeight="1">
      <c r="A3212" t="s">
        <v>53</v>
      </c>
      <c r="B3212" t="s">
        <v>54</v>
      </c>
      <c r="C3212" t="s">
        <v>4912</v>
      </c>
      <c r="D3212" t="s">
        <v>3300</v>
      </c>
      <c r="E3212">
        <v>84952.3134409422</v>
      </c>
      <c r="F3212">
        <v>29620.6751428397</v>
      </c>
      <c r="G3212">
        <v>26183.4279054777</v>
      </c>
      <c r="H3212">
        <v>18417.2830698137</v>
      </c>
      <c r="I3212">
        <v>140756.42</v>
      </c>
      <c r="J3212">
        <v>122339.14</v>
      </c>
      <c r="K3212" s="1"/>
      <c r="L3212" s="1"/>
      <c r="M3212" s="1"/>
      <c r="N3212" s="1"/>
    </row>
    <row r="3213" ht="15.75" customHeight="1">
      <c r="A3213" t="s">
        <v>17</v>
      </c>
      <c r="B3213" t="s">
        <v>54</v>
      </c>
      <c r="C3213" t="s">
        <v>4916</v>
      </c>
      <c r="D3213" t="s">
        <v>3301</v>
      </c>
      <c r="E3213">
        <v>84963.1964108484</v>
      </c>
      <c r="F3213">
        <v>29625.2898611671</v>
      </c>
      <c r="G3213">
        <v>26191.1079089072</v>
      </c>
      <c r="H3213">
        <v>18420.6806205009</v>
      </c>
      <c r="I3213">
        <v>140779.59</v>
      </c>
      <c r="J3213">
        <v>122358.91</v>
      </c>
      <c r="K3213" s="1"/>
      <c r="L3213" s="1"/>
      <c r="M3213" s="1"/>
      <c r="N3213" s="1"/>
    </row>
    <row r="3214" ht="15.75" customHeight="1">
      <c r="A3214" t="s">
        <v>17</v>
      </c>
      <c r="B3214" t="s">
        <v>54</v>
      </c>
      <c r="C3214" t="s">
        <v>4908</v>
      </c>
      <c r="D3214" t="s">
        <v>3302</v>
      </c>
      <c r="E3214">
        <v>84974.0793807546</v>
      </c>
      <c r="F3214">
        <v>29629.9045794946</v>
      </c>
      <c r="G3214">
        <v>26198.7879123367</v>
      </c>
      <c r="H3214">
        <v>18424.0781711882</v>
      </c>
      <c r="I3214">
        <v>140802.77</v>
      </c>
      <c r="J3214">
        <v>122378.69</v>
      </c>
      <c r="K3214" s="1"/>
      <c r="L3214" s="1"/>
      <c r="M3214" s="1"/>
      <c r="N3214" s="1"/>
    </row>
    <row r="3215" ht="15.75" customHeight="1">
      <c r="A3215" t="s">
        <v>53</v>
      </c>
      <c r="B3215" t="s">
        <v>37</v>
      </c>
      <c r="C3215" t="s">
        <v>4909</v>
      </c>
      <c r="D3215" t="s">
        <v>3303</v>
      </c>
      <c r="E3215">
        <v>84984.9623506608</v>
      </c>
      <c r="F3215">
        <v>29634.519297822</v>
      </c>
      <c r="G3215">
        <v>26206.4679157662</v>
      </c>
      <c r="H3215">
        <v>18427.4757218755</v>
      </c>
      <c r="I3215">
        <v>140825.95</v>
      </c>
      <c r="J3215">
        <v>122398.47</v>
      </c>
      <c r="K3215" s="1"/>
      <c r="L3215" s="1"/>
      <c r="M3215" s="1"/>
      <c r="N3215" s="1"/>
    </row>
    <row r="3216" ht="15.75" customHeight="1">
      <c r="A3216" t="s">
        <v>25</v>
      </c>
      <c r="B3216" t="s">
        <v>37</v>
      </c>
      <c r="C3216" t="s">
        <v>4910</v>
      </c>
      <c r="D3216" t="s">
        <v>3304</v>
      </c>
      <c r="E3216">
        <v>84995.845320567</v>
      </c>
      <c r="F3216">
        <v>29639.1340161494</v>
      </c>
      <c r="G3216">
        <v>26214.1479191957</v>
      </c>
      <c r="H3216">
        <v>18430.8732725628</v>
      </c>
      <c r="I3216">
        <v>140849.13</v>
      </c>
      <c r="J3216">
        <v>122418.26</v>
      </c>
      <c r="K3216" s="1"/>
      <c r="L3216" s="1"/>
      <c r="M3216" s="1"/>
      <c r="N3216" s="1"/>
    </row>
    <row r="3217" ht="15.75" customHeight="1">
      <c r="A3217" t="s">
        <v>51</v>
      </c>
      <c r="B3217" t="s">
        <v>26</v>
      </c>
      <c r="C3217" t="s">
        <v>4907</v>
      </c>
      <c r="D3217" t="s">
        <v>3305</v>
      </c>
      <c r="E3217">
        <v>85006.7282904732</v>
      </c>
      <c r="F3217">
        <v>29643.7487344768</v>
      </c>
      <c r="G3217">
        <v>26221.8279226252</v>
      </c>
      <c r="H3217">
        <v>18434.2708232501</v>
      </c>
      <c r="I3217">
        <v>140872.3</v>
      </c>
      <c r="J3217">
        <v>122438.03</v>
      </c>
      <c r="K3217" s="1"/>
      <c r="L3217" s="1"/>
      <c r="M3217" s="1"/>
      <c r="N3217" s="1"/>
    </row>
    <row r="3218" ht="15.75" customHeight="1">
      <c r="A3218" t="s">
        <v>13</v>
      </c>
      <c r="B3218" t="s">
        <v>30</v>
      </c>
      <c r="C3218" t="s">
        <v>4910</v>
      </c>
      <c r="D3218" t="s">
        <v>3306</v>
      </c>
      <c r="E3218">
        <v>85017.6112603794</v>
      </c>
      <c r="F3218">
        <v>29648.3634528042</v>
      </c>
      <c r="G3218">
        <v>26229.5079260547</v>
      </c>
      <c r="H3218">
        <v>18437.6683739374</v>
      </c>
      <c r="I3218">
        <v>140895.48</v>
      </c>
      <c r="J3218">
        <v>122457.81</v>
      </c>
      <c r="K3218" s="1"/>
      <c r="L3218" s="1"/>
      <c r="M3218" s="1"/>
      <c r="N3218" s="1"/>
    </row>
    <row r="3219" ht="15.75" customHeight="1">
      <c r="A3219" t="s">
        <v>17</v>
      </c>
      <c r="B3219" t="s">
        <v>18</v>
      </c>
      <c r="C3219" t="s">
        <v>4917</v>
      </c>
      <c r="D3219" t="s">
        <v>3307</v>
      </c>
      <c r="E3219">
        <v>85028.4942302856</v>
      </c>
      <c r="F3219">
        <v>29652.9781711317</v>
      </c>
      <c r="G3219">
        <v>26237.1879294842</v>
      </c>
      <c r="H3219">
        <v>18441.0659246247</v>
      </c>
      <c r="I3219">
        <v>140918.66</v>
      </c>
      <c r="J3219">
        <v>122477.59</v>
      </c>
      <c r="K3219" s="1"/>
      <c r="L3219" s="1"/>
      <c r="M3219" s="1"/>
      <c r="N3219" s="1"/>
    </row>
    <row r="3220" ht="15.75" customHeight="1">
      <c r="A3220" t="s">
        <v>29</v>
      </c>
      <c r="B3220" t="s">
        <v>54</v>
      </c>
      <c r="C3220" t="s">
        <v>4911</v>
      </c>
      <c r="D3220" t="s">
        <v>3308</v>
      </c>
      <c r="E3220">
        <v>85039.3772001918</v>
      </c>
      <c r="F3220">
        <v>29657.5928894591</v>
      </c>
      <c r="G3220">
        <v>26244.8679329137</v>
      </c>
      <c r="H3220">
        <v>18444.463475312</v>
      </c>
      <c r="I3220">
        <v>140941.84</v>
      </c>
      <c r="J3220">
        <v>122497.38</v>
      </c>
      <c r="K3220" s="1"/>
      <c r="L3220" s="1"/>
      <c r="M3220" s="1"/>
      <c r="N3220" s="1"/>
    </row>
    <row r="3221" ht="15.75" customHeight="1">
      <c r="A3221" t="s">
        <v>53</v>
      </c>
      <c r="B3221" t="s">
        <v>14</v>
      </c>
      <c r="C3221" t="s">
        <v>4914</v>
      </c>
      <c r="D3221" t="s">
        <v>3309</v>
      </c>
      <c r="E3221">
        <v>85050.260170098</v>
      </c>
      <c r="F3221">
        <v>29662.2076077865</v>
      </c>
      <c r="G3221">
        <v>26252.5479363432</v>
      </c>
      <c r="H3221">
        <v>18447.8610259992</v>
      </c>
      <c r="I3221">
        <v>140965.02</v>
      </c>
      <c r="J3221">
        <v>122517.16</v>
      </c>
      <c r="K3221" s="1"/>
      <c r="L3221" s="1"/>
      <c r="M3221" s="1"/>
      <c r="N3221" s="1"/>
    </row>
    <row r="3222" ht="15.75" customHeight="1">
      <c r="A3222" t="s">
        <v>17</v>
      </c>
      <c r="B3222" t="s">
        <v>14</v>
      </c>
      <c r="C3222" t="s">
        <v>4917</v>
      </c>
      <c r="D3222" t="s">
        <v>3310</v>
      </c>
      <c r="E3222">
        <v>85061.1431400042</v>
      </c>
      <c r="F3222">
        <v>29666.8223261139</v>
      </c>
      <c r="G3222">
        <v>26260.2279397727</v>
      </c>
      <c r="H3222">
        <v>18451.2585766865</v>
      </c>
      <c r="I3222">
        <v>140988.19</v>
      </c>
      <c r="J3222">
        <v>122536.93</v>
      </c>
      <c r="K3222" s="1"/>
      <c r="L3222" s="1"/>
      <c r="M3222" s="1"/>
      <c r="N3222" s="1"/>
    </row>
    <row r="3223" ht="15.75" customHeight="1">
      <c r="A3223" t="s">
        <v>17</v>
      </c>
      <c r="B3223" t="s">
        <v>26</v>
      </c>
      <c r="C3223" t="s">
        <v>4913</v>
      </c>
      <c r="D3223" t="s">
        <v>3311</v>
      </c>
      <c r="E3223">
        <v>85072.0261099104</v>
      </c>
      <c r="F3223">
        <v>29671.4370444414</v>
      </c>
      <c r="G3223">
        <v>26267.9079432022</v>
      </c>
      <c r="H3223">
        <v>14735.51589897765</v>
      </c>
      <c r="I3223">
        <v>141011.37</v>
      </c>
      <c r="J3223">
        <v>126275.85</v>
      </c>
      <c r="K3223" s="1"/>
      <c r="L3223" s="1"/>
      <c r="M3223" s="1"/>
      <c r="N3223" s="1"/>
    </row>
    <row r="3224" ht="15.75" customHeight="1">
      <c r="A3224" t="s">
        <v>13</v>
      </c>
      <c r="B3224" t="s">
        <v>26</v>
      </c>
      <c r="C3224" t="s">
        <v>4914</v>
      </c>
      <c r="D3224" t="s">
        <v>3312</v>
      </c>
      <c r="E3224">
        <v>85082.9090798165</v>
      </c>
      <c r="F3224">
        <v>29676.0517627688</v>
      </c>
      <c r="G3224">
        <v>26275.5879466317</v>
      </c>
      <c r="H3224">
        <v>18458.0536780611</v>
      </c>
      <c r="I3224">
        <v>141034.55</v>
      </c>
      <c r="J3224">
        <v>122576.5</v>
      </c>
      <c r="K3224" s="1"/>
      <c r="L3224" s="1"/>
      <c r="M3224" s="1"/>
      <c r="N3224" s="1"/>
    </row>
    <row r="3225" ht="15.75" customHeight="1">
      <c r="A3225" t="s">
        <v>29</v>
      </c>
      <c r="B3225" t="s">
        <v>26</v>
      </c>
      <c r="C3225" t="s">
        <v>4914</v>
      </c>
      <c r="D3225" t="s">
        <v>3313</v>
      </c>
      <c r="E3225">
        <v>85093.7920497227</v>
      </c>
      <c r="F3225">
        <v>29680.6664810962</v>
      </c>
      <c r="G3225">
        <v>26283.2679500612</v>
      </c>
      <c r="H3225">
        <v>18461.4512287484</v>
      </c>
      <c r="I3225">
        <v>141057.73</v>
      </c>
      <c r="J3225">
        <v>122596.28</v>
      </c>
      <c r="K3225" s="1"/>
      <c r="L3225" s="1"/>
      <c r="M3225" s="1"/>
      <c r="N3225" s="1"/>
    </row>
    <row r="3226" ht="15.75" customHeight="1">
      <c r="A3226" t="s">
        <v>51</v>
      </c>
      <c r="B3226" t="s">
        <v>18</v>
      </c>
      <c r="C3226" t="s">
        <v>4912</v>
      </c>
      <c r="D3226" t="s">
        <v>3314</v>
      </c>
      <c r="E3226">
        <v>85104.6750196289</v>
      </c>
      <c r="F3226">
        <v>29685.2811994236</v>
      </c>
      <c r="G3226">
        <v>26290.9479534907</v>
      </c>
      <c r="H3226">
        <v>18464.8487794357</v>
      </c>
      <c r="I3226">
        <v>141080.9</v>
      </c>
      <c r="J3226">
        <v>122616.05</v>
      </c>
      <c r="K3226" s="1"/>
      <c r="L3226" s="1"/>
      <c r="M3226" s="1"/>
      <c r="N3226" s="1"/>
    </row>
    <row r="3227" ht="15.75" customHeight="1">
      <c r="A3227" t="s">
        <v>25</v>
      </c>
      <c r="B3227" t="s">
        <v>54</v>
      </c>
      <c r="C3227" t="s">
        <v>4912</v>
      </c>
      <c r="D3227" t="s">
        <v>3315</v>
      </c>
      <c r="E3227">
        <v>85115.5579895351</v>
      </c>
      <c r="F3227">
        <v>29689.895917751</v>
      </c>
      <c r="G3227">
        <v>26298.6279569202</v>
      </c>
      <c r="H3227">
        <v>18468.246330123</v>
      </c>
      <c r="I3227">
        <v>141104.08</v>
      </c>
      <c r="J3227">
        <v>122635.83</v>
      </c>
      <c r="K3227" s="1"/>
      <c r="L3227" s="1"/>
      <c r="M3227" s="1"/>
      <c r="N3227" s="1"/>
    </row>
    <row r="3228" ht="15.75" customHeight="1">
      <c r="A3228" t="s">
        <v>53</v>
      </c>
      <c r="B3228" t="s">
        <v>30</v>
      </c>
      <c r="C3228" t="s">
        <v>4907</v>
      </c>
      <c r="D3228" t="s">
        <v>3316</v>
      </c>
      <c r="E3228">
        <v>85126.4409594413</v>
      </c>
      <c r="F3228">
        <v>29694.5106360785</v>
      </c>
      <c r="G3228">
        <v>26306.3079603497</v>
      </c>
      <c r="H3228">
        <v>18471.6438808103</v>
      </c>
      <c r="I3228">
        <v>141127.26</v>
      </c>
      <c r="J3228">
        <v>122655.62</v>
      </c>
      <c r="K3228" s="1"/>
      <c r="L3228" s="1"/>
      <c r="M3228" s="1"/>
      <c r="N3228" s="1"/>
    </row>
    <row r="3229" ht="15.75" customHeight="1">
      <c r="A3229" t="s">
        <v>36</v>
      </c>
      <c r="B3229" t="s">
        <v>54</v>
      </c>
      <c r="C3229" t="s">
        <v>4907</v>
      </c>
      <c r="D3229" t="s">
        <v>3317</v>
      </c>
      <c r="E3229">
        <v>85137.3239293475</v>
      </c>
      <c r="F3229">
        <v>29699.1253544059</v>
      </c>
      <c r="G3229">
        <v>26313.9879637791</v>
      </c>
      <c r="H3229">
        <v>18475.0414314975</v>
      </c>
      <c r="I3229">
        <v>141150.44</v>
      </c>
      <c r="J3229">
        <v>122675.4</v>
      </c>
      <c r="K3229" s="1"/>
      <c r="L3229" s="1"/>
      <c r="M3229" s="1"/>
      <c r="N3229" s="1"/>
    </row>
    <row r="3230" ht="15.75" customHeight="1">
      <c r="A3230" t="s">
        <v>13</v>
      </c>
      <c r="B3230" t="s">
        <v>26</v>
      </c>
      <c r="C3230" t="s">
        <v>4911</v>
      </c>
      <c r="D3230" t="s">
        <v>3318</v>
      </c>
      <c r="E3230">
        <v>85148.2068992537</v>
      </c>
      <c r="F3230">
        <v>29703.7400727333</v>
      </c>
      <c r="G3230">
        <v>26321.6679672086</v>
      </c>
      <c r="H3230">
        <v>18478.4389821848</v>
      </c>
      <c r="I3230">
        <v>141173.61</v>
      </c>
      <c r="J3230">
        <v>122695.17</v>
      </c>
      <c r="K3230" s="1"/>
      <c r="L3230" s="1"/>
      <c r="M3230" s="1"/>
      <c r="N3230" s="1"/>
    </row>
    <row r="3231" ht="15.75" customHeight="1">
      <c r="A3231" t="s">
        <v>13</v>
      </c>
      <c r="B3231" t="s">
        <v>33</v>
      </c>
      <c r="C3231" t="s">
        <v>4917</v>
      </c>
      <c r="D3231" t="s">
        <v>3319</v>
      </c>
      <c r="E3231">
        <v>85159.0898691599</v>
      </c>
      <c r="F3231">
        <v>29708.3547910607</v>
      </c>
      <c r="G3231">
        <v>26329.3479706381</v>
      </c>
      <c r="H3231">
        <v>18481.8365328721</v>
      </c>
      <c r="I3231">
        <v>141196.79</v>
      </c>
      <c r="J3231">
        <v>122714.95</v>
      </c>
      <c r="K3231" s="1"/>
      <c r="L3231" s="1"/>
      <c r="M3231" s="1"/>
      <c r="N3231" s="1"/>
    </row>
    <row r="3232" ht="15.75" customHeight="1">
      <c r="A3232" t="s">
        <v>53</v>
      </c>
      <c r="B3232" t="s">
        <v>26</v>
      </c>
      <c r="C3232" t="s">
        <v>4910</v>
      </c>
      <c r="D3232" t="s">
        <v>3320</v>
      </c>
      <c r="E3232">
        <v>85169.9728390661</v>
      </c>
      <c r="F3232">
        <v>29712.9695093882</v>
      </c>
      <c r="G3232">
        <v>26337.0279740676</v>
      </c>
      <c r="H3232">
        <v>18485.2340835594</v>
      </c>
      <c r="I3232">
        <v>141219.97</v>
      </c>
      <c r="J3232">
        <v>122734.74</v>
      </c>
      <c r="K3232" s="1"/>
      <c r="L3232" s="1"/>
      <c r="M3232" s="1"/>
      <c r="N3232" s="1"/>
    </row>
    <row r="3233" ht="15.75" customHeight="1">
      <c r="A3233" t="s">
        <v>17</v>
      </c>
      <c r="B3233" t="s">
        <v>18</v>
      </c>
      <c r="C3233" t="s">
        <v>4916</v>
      </c>
      <c r="D3233" t="s">
        <v>3321</v>
      </c>
      <c r="E3233">
        <v>85180.8558089723</v>
      </c>
      <c r="F3233">
        <v>29717.5842277156</v>
      </c>
      <c r="G3233">
        <v>26344.7079774971</v>
      </c>
      <c r="H3233">
        <v>18488.6316342467</v>
      </c>
      <c r="I3233">
        <v>141243.15</v>
      </c>
      <c r="J3233">
        <v>122754.52</v>
      </c>
      <c r="K3233" s="1"/>
      <c r="L3233" s="1"/>
      <c r="M3233" s="1"/>
      <c r="N3233" s="1"/>
    </row>
    <row r="3234" ht="15.75" customHeight="1">
      <c r="A3234" t="s">
        <v>13</v>
      </c>
      <c r="B3234" t="s">
        <v>30</v>
      </c>
      <c r="C3234" t="s">
        <v>4910</v>
      </c>
      <c r="D3234" t="s">
        <v>3322</v>
      </c>
      <c r="E3234">
        <v>85191.7387788785</v>
      </c>
      <c r="F3234">
        <v>29722.198946043</v>
      </c>
      <c r="G3234">
        <v>26352.3879809266</v>
      </c>
      <c r="H3234">
        <v>18492.029184934</v>
      </c>
      <c r="I3234">
        <v>141266.33</v>
      </c>
      <c r="J3234">
        <v>122774.3</v>
      </c>
      <c r="K3234" s="1"/>
      <c r="L3234" s="1"/>
      <c r="M3234" s="1"/>
      <c r="N3234" s="1"/>
    </row>
    <row r="3235" ht="15.75" customHeight="1">
      <c r="A3235" t="s">
        <v>53</v>
      </c>
      <c r="B3235" t="s">
        <v>14</v>
      </c>
      <c r="C3235" t="s">
        <v>4909</v>
      </c>
      <c r="D3235" t="s">
        <v>3323</v>
      </c>
      <c r="E3235">
        <v>85202.6217487847</v>
      </c>
      <c r="F3235">
        <v>29726.8136643704</v>
      </c>
      <c r="G3235">
        <v>26360.0679843561</v>
      </c>
      <c r="H3235">
        <v>18495.4267356213</v>
      </c>
      <c r="I3235">
        <v>141289.5</v>
      </c>
      <c r="J3235">
        <v>122794.07</v>
      </c>
      <c r="K3235" s="1"/>
      <c r="L3235" s="1"/>
      <c r="M3235" s="1"/>
      <c r="N3235" s="1"/>
    </row>
    <row r="3236" ht="15.75" customHeight="1">
      <c r="A3236" t="s">
        <v>17</v>
      </c>
      <c r="B3236" t="s">
        <v>37</v>
      </c>
      <c r="C3236" t="s">
        <v>4905</v>
      </c>
      <c r="D3236" t="s">
        <v>3324</v>
      </c>
      <c r="E3236">
        <v>85213.5047186909</v>
      </c>
      <c r="F3236">
        <v>29731.4283826978</v>
      </c>
      <c r="G3236">
        <v>26367.7479877856</v>
      </c>
      <c r="H3236">
        <v>18498.8242863085</v>
      </c>
      <c r="I3236">
        <v>141312.68</v>
      </c>
      <c r="J3236">
        <v>122813.86</v>
      </c>
      <c r="K3236" s="1"/>
      <c r="L3236" s="1"/>
      <c r="M3236" s="1"/>
      <c r="N3236" s="1"/>
    </row>
    <row r="3237" ht="15.75" customHeight="1">
      <c r="A3237" t="s">
        <v>51</v>
      </c>
      <c r="B3237" t="s">
        <v>14</v>
      </c>
      <c r="C3237" t="s">
        <v>4908</v>
      </c>
      <c r="D3237" t="s">
        <v>3325</v>
      </c>
      <c r="E3237">
        <v>85224.3876885971</v>
      </c>
      <c r="F3237">
        <v>29736.0431010253</v>
      </c>
      <c r="G3237">
        <v>26375.4279912151</v>
      </c>
      <c r="H3237">
        <v>18502.2218369958</v>
      </c>
      <c r="I3237">
        <v>141335.86</v>
      </c>
      <c r="J3237">
        <v>122833.64</v>
      </c>
      <c r="K3237" s="1"/>
      <c r="L3237" s="1"/>
      <c r="M3237" s="1"/>
      <c r="N3237" s="1"/>
    </row>
    <row r="3238" ht="15.75" customHeight="1">
      <c r="A3238" t="s">
        <v>13</v>
      </c>
      <c r="B3238" t="s">
        <v>18</v>
      </c>
      <c r="C3238" t="s">
        <v>4905</v>
      </c>
      <c r="D3238" t="s">
        <v>3326</v>
      </c>
      <c r="E3238">
        <v>85235.2706585033</v>
      </c>
      <c r="F3238">
        <v>29740.6578193527</v>
      </c>
      <c r="G3238">
        <v>26383.1079946446</v>
      </c>
      <c r="H3238">
        <v>18505.6193876831</v>
      </c>
      <c r="I3238">
        <v>141359.04</v>
      </c>
      <c r="J3238">
        <v>122853.42</v>
      </c>
      <c r="K3238" s="1"/>
      <c r="L3238" s="1"/>
      <c r="M3238" s="1"/>
      <c r="N3238" s="1"/>
    </row>
    <row r="3239" ht="15.75" customHeight="1">
      <c r="A3239" t="s">
        <v>25</v>
      </c>
      <c r="B3239" t="s">
        <v>18</v>
      </c>
      <c r="C3239" t="s">
        <v>4909</v>
      </c>
      <c r="D3239" t="s">
        <v>3327</v>
      </c>
      <c r="E3239">
        <v>85246.1536284094</v>
      </c>
      <c r="F3239">
        <v>29745.2725376801</v>
      </c>
      <c r="G3239">
        <v>26390.7879980741</v>
      </c>
      <c r="H3239">
        <v>18509.0169383704</v>
      </c>
      <c r="I3239">
        <v>141382.21</v>
      </c>
      <c r="J3239">
        <v>122873.19</v>
      </c>
      <c r="K3239" s="1"/>
      <c r="L3239" s="1"/>
      <c r="M3239" s="1"/>
      <c r="N3239" s="1"/>
    </row>
    <row r="3240" ht="15.75" customHeight="1">
      <c r="A3240" t="s">
        <v>17</v>
      </c>
      <c r="B3240" t="s">
        <v>37</v>
      </c>
      <c r="C3240" t="s">
        <v>4915</v>
      </c>
      <c r="D3240" t="s">
        <v>3328</v>
      </c>
      <c r="E3240">
        <v>85267.9195682218</v>
      </c>
      <c r="F3240">
        <v>29754.501974335</v>
      </c>
      <c r="G3240">
        <v>26406.1480049331</v>
      </c>
      <c r="H3240">
        <v>18515.812039745</v>
      </c>
      <c r="I3240">
        <v>141428.57</v>
      </c>
      <c r="J3240">
        <v>122912.76</v>
      </c>
      <c r="K3240" s="1"/>
      <c r="L3240" s="1"/>
      <c r="M3240" s="1"/>
      <c r="N3240" s="1"/>
    </row>
    <row r="3241" ht="15.75" customHeight="1">
      <c r="A3241" t="s">
        <v>36</v>
      </c>
      <c r="B3241" t="s">
        <v>54</v>
      </c>
      <c r="C3241" t="s">
        <v>4910</v>
      </c>
      <c r="D3241" t="s">
        <v>3329</v>
      </c>
      <c r="E3241">
        <v>70778.92354084158</v>
      </c>
      <c r="F3241">
        <v>29759.1166926624</v>
      </c>
      <c r="G3241">
        <v>26413.8280083626</v>
      </c>
      <c r="H3241">
        <v>18519.2095904323</v>
      </c>
      <c r="I3241">
        <v>126951.87</v>
      </c>
      <c r="J3241">
        <v>108432.66</v>
      </c>
      <c r="K3241" s="1"/>
      <c r="L3241" s="1"/>
      <c r="M3241" s="1"/>
      <c r="N3241" s="1"/>
    </row>
    <row r="3242" ht="15.75" customHeight="1">
      <c r="A3242" t="s">
        <v>51</v>
      </c>
      <c r="B3242" t="s">
        <v>54</v>
      </c>
      <c r="C3242" t="s">
        <v>4907</v>
      </c>
      <c r="D3242" t="s">
        <v>3330</v>
      </c>
      <c r="E3242">
        <v>85289.6855080342</v>
      </c>
      <c r="F3242">
        <v>29763.7314109898</v>
      </c>
      <c r="G3242">
        <v>26421.5080117921</v>
      </c>
      <c r="H3242">
        <v>18522.6071411196</v>
      </c>
      <c r="I3242">
        <v>141474.92</v>
      </c>
      <c r="J3242">
        <v>122952.31</v>
      </c>
      <c r="K3242" s="1"/>
      <c r="L3242" s="1"/>
      <c r="M3242" s="1"/>
      <c r="N3242" s="1"/>
    </row>
    <row r="3243" ht="15.75" customHeight="1">
      <c r="A3243" t="s">
        <v>51</v>
      </c>
      <c r="B3243" t="s">
        <v>37</v>
      </c>
      <c r="C3243" t="s">
        <v>4908</v>
      </c>
      <c r="D3243" t="s">
        <v>3331</v>
      </c>
      <c r="E3243">
        <v>85300.5684779404</v>
      </c>
      <c r="F3243">
        <v>29768.3461293172</v>
      </c>
      <c r="G3243">
        <v>26429.1880152216</v>
      </c>
      <c r="H3243">
        <v>18526.0046918068</v>
      </c>
      <c r="I3243">
        <v>141498.1</v>
      </c>
      <c r="J3243">
        <v>122972.1</v>
      </c>
      <c r="K3243" s="1"/>
      <c r="L3243" s="1"/>
      <c r="M3243" s="1"/>
      <c r="N3243" s="1"/>
    </row>
    <row r="3244" ht="15.75" customHeight="1">
      <c r="A3244" t="s">
        <v>36</v>
      </c>
      <c r="B3244" t="s">
        <v>33</v>
      </c>
      <c r="C3244" t="s">
        <v>4908</v>
      </c>
      <c r="D3244" t="s">
        <v>3332</v>
      </c>
      <c r="E3244">
        <v>85311.4514478466</v>
      </c>
      <c r="F3244">
        <v>29772.9608476446</v>
      </c>
      <c r="G3244">
        <v>26436.8680186511</v>
      </c>
      <c r="H3244">
        <v>18529.4022424941</v>
      </c>
      <c r="I3244">
        <v>141521.28</v>
      </c>
      <c r="J3244">
        <v>122991.88</v>
      </c>
      <c r="K3244" s="1"/>
      <c r="L3244" s="1"/>
      <c r="M3244" s="1"/>
      <c r="N3244" s="1"/>
    </row>
    <row r="3245" ht="15.75" customHeight="1">
      <c r="A3245" t="s">
        <v>13</v>
      </c>
      <c r="B3245" t="s">
        <v>26</v>
      </c>
      <c r="C3245" t="s">
        <v>4908</v>
      </c>
      <c r="D3245" t="s">
        <v>3333</v>
      </c>
      <c r="E3245">
        <v>85322.3344177528</v>
      </c>
      <c r="F3245">
        <v>29777.5755659721</v>
      </c>
      <c r="G3245">
        <v>26444.5480220806</v>
      </c>
      <c r="H3245">
        <v>18532.7997931814</v>
      </c>
      <c r="I3245">
        <v>141544.46</v>
      </c>
      <c r="J3245">
        <v>123011.66</v>
      </c>
      <c r="K3245" s="1"/>
      <c r="L3245" s="1"/>
      <c r="M3245" s="1"/>
      <c r="N3245" s="1"/>
    </row>
    <row r="3246" ht="15.75" customHeight="1">
      <c r="A3246" t="s">
        <v>29</v>
      </c>
      <c r="B3246" t="s">
        <v>26</v>
      </c>
      <c r="C3246" t="s">
        <v>4916</v>
      </c>
      <c r="D3246" t="s">
        <v>3334</v>
      </c>
      <c r="E3246">
        <v>85333.217387659</v>
      </c>
      <c r="F3246">
        <v>29782.1902842995</v>
      </c>
      <c r="G3246">
        <v>26452.2280255101</v>
      </c>
      <c r="H3246">
        <v>18536.1973438687</v>
      </c>
      <c r="I3246">
        <v>141567.64</v>
      </c>
      <c r="J3246">
        <v>123031.44</v>
      </c>
      <c r="K3246" s="1"/>
      <c r="L3246" s="1"/>
      <c r="M3246" s="1"/>
      <c r="N3246" s="1"/>
    </row>
    <row r="3247" ht="15.75" customHeight="1">
      <c r="A3247" t="s">
        <v>17</v>
      </c>
      <c r="B3247" t="s">
        <v>30</v>
      </c>
      <c r="C3247" t="s">
        <v>4914</v>
      </c>
      <c r="D3247" t="s">
        <v>3335</v>
      </c>
      <c r="E3247">
        <v>85354.9833274714</v>
      </c>
      <c r="F3247">
        <v>29791.4197209543</v>
      </c>
      <c r="G3247">
        <v>26467.5880323691</v>
      </c>
      <c r="H3247">
        <v>18542.9924452433</v>
      </c>
      <c r="I3247">
        <v>141613.99</v>
      </c>
      <c r="J3247">
        <v>123071.0</v>
      </c>
      <c r="K3247" s="1"/>
      <c r="L3247" s="1"/>
      <c r="M3247" s="1"/>
      <c r="N3247" s="1"/>
    </row>
    <row r="3248" ht="15.75" customHeight="1">
      <c r="A3248" t="s">
        <v>53</v>
      </c>
      <c r="B3248" t="s">
        <v>54</v>
      </c>
      <c r="C3248" t="s">
        <v>4914</v>
      </c>
      <c r="D3248" t="s">
        <v>3336</v>
      </c>
      <c r="E3248">
        <v>85365.8662973776</v>
      </c>
      <c r="F3248">
        <v>29796.0344392818</v>
      </c>
      <c r="G3248">
        <v>26475.2680357986</v>
      </c>
      <c r="H3248">
        <v>18546.3899959306</v>
      </c>
      <c r="I3248">
        <v>141637.17</v>
      </c>
      <c r="J3248">
        <v>123090.78</v>
      </c>
      <c r="K3248" s="1"/>
      <c r="L3248" s="1"/>
      <c r="M3248" s="1"/>
      <c r="N3248" s="1"/>
    </row>
    <row r="3249" ht="15.75" customHeight="1">
      <c r="A3249" t="s">
        <v>29</v>
      </c>
      <c r="B3249" t="s">
        <v>30</v>
      </c>
      <c r="C3249" t="s">
        <v>4909</v>
      </c>
      <c r="D3249" t="s">
        <v>3337</v>
      </c>
      <c r="E3249">
        <v>85376.7492672838</v>
      </c>
      <c r="F3249">
        <v>29800.6491576092</v>
      </c>
      <c r="G3249">
        <v>26482.9480392281</v>
      </c>
      <c r="H3249">
        <v>18549.7875466179</v>
      </c>
      <c r="I3249">
        <v>141660.35</v>
      </c>
      <c r="J3249">
        <v>123110.56</v>
      </c>
      <c r="K3249" s="1"/>
      <c r="L3249" s="1"/>
      <c r="M3249" s="1"/>
      <c r="N3249" s="1"/>
    </row>
    <row r="3250" ht="15.75" customHeight="1">
      <c r="A3250" t="s">
        <v>29</v>
      </c>
      <c r="B3250" t="s">
        <v>37</v>
      </c>
      <c r="C3250" t="s">
        <v>4915</v>
      </c>
      <c r="D3250" t="s">
        <v>3338</v>
      </c>
      <c r="E3250">
        <v>85387.63223719</v>
      </c>
      <c r="F3250">
        <v>29805.2638759366</v>
      </c>
      <c r="G3250">
        <v>26490.6280426576</v>
      </c>
      <c r="H3250">
        <v>18553.1850973051</v>
      </c>
      <c r="I3250">
        <v>141683.52</v>
      </c>
      <c r="J3250">
        <v>123130.33</v>
      </c>
      <c r="K3250" s="1"/>
      <c r="L3250" s="1"/>
      <c r="M3250" s="1"/>
      <c r="N3250" s="1"/>
    </row>
    <row r="3251" ht="15.75" customHeight="1">
      <c r="A3251" t="s">
        <v>29</v>
      </c>
      <c r="B3251" t="s">
        <v>33</v>
      </c>
      <c r="C3251" t="s">
        <v>4912</v>
      </c>
      <c r="D3251" t="s">
        <v>3339</v>
      </c>
      <c r="E3251">
        <v>85409.3981770023</v>
      </c>
      <c r="F3251">
        <v>29814.4933125914</v>
      </c>
      <c r="G3251">
        <v>26505.9880495166</v>
      </c>
      <c r="H3251">
        <v>18559.9801986797</v>
      </c>
      <c r="I3251">
        <v>141729.88</v>
      </c>
      <c r="J3251">
        <v>123169.9</v>
      </c>
      <c r="K3251" s="1"/>
      <c r="L3251" s="1"/>
      <c r="M3251" s="1"/>
      <c r="N3251" s="1"/>
    </row>
    <row r="3252" ht="15.75" customHeight="1">
      <c r="A3252" t="s">
        <v>17</v>
      </c>
      <c r="B3252" t="s">
        <v>30</v>
      </c>
      <c r="C3252" t="s">
        <v>4917</v>
      </c>
      <c r="D3252" t="s">
        <v>3340</v>
      </c>
      <c r="E3252">
        <v>85420.2811469085</v>
      </c>
      <c r="F3252">
        <v>29819.1080309189</v>
      </c>
      <c r="G3252">
        <v>26513.6680529461</v>
      </c>
      <c r="H3252">
        <v>18563.377749367</v>
      </c>
      <c r="I3252">
        <v>141753.06</v>
      </c>
      <c r="J3252">
        <v>123189.68</v>
      </c>
      <c r="K3252" s="1"/>
      <c r="L3252" s="1"/>
      <c r="M3252" s="1"/>
      <c r="N3252" s="1"/>
    </row>
    <row r="3253" ht="15.75" customHeight="1">
      <c r="A3253" t="s">
        <v>25</v>
      </c>
      <c r="B3253" t="s">
        <v>33</v>
      </c>
      <c r="C3253" t="s">
        <v>4909</v>
      </c>
      <c r="D3253" t="s">
        <v>3341</v>
      </c>
      <c r="E3253">
        <v>85431.1641168147</v>
      </c>
      <c r="F3253">
        <v>29823.7227492463</v>
      </c>
      <c r="G3253">
        <v>26521.3480563756</v>
      </c>
      <c r="H3253">
        <v>18566.7753000543</v>
      </c>
      <c r="I3253">
        <v>141776.23</v>
      </c>
      <c r="J3253">
        <v>123209.45</v>
      </c>
      <c r="K3253" s="1"/>
      <c r="L3253" s="1"/>
      <c r="M3253" s="1"/>
      <c r="N3253" s="1"/>
    </row>
    <row r="3254" ht="15.75" customHeight="1">
      <c r="A3254" t="s">
        <v>51</v>
      </c>
      <c r="B3254" t="s">
        <v>33</v>
      </c>
      <c r="C3254" t="s">
        <v>4914</v>
      </c>
      <c r="D3254" t="s">
        <v>3342</v>
      </c>
      <c r="E3254">
        <v>85452.9300566271</v>
      </c>
      <c r="F3254">
        <v>29832.9521859011</v>
      </c>
      <c r="G3254">
        <v>26536.7080632346</v>
      </c>
      <c r="H3254">
        <v>18573.5704014289</v>
      </c>
      <c r="I3254">
        <v>141822.59</v>
      </c>
      <c r="J3254">
        <v>123249.02</v>
      </c>
      <c r="K3254" s="1"/>
      <c r="L3254" s="1"/>
      <c r="M3254" s="1"/>
      <c r="N3254" s="1"/>
    </row>
    <row r="3255" ht="15.75" customHeight="1">
      <c r="A3255" t="s">
        <v>36</v>
      </c>
      <c r="B3255" t="s">
        <v>26</v>
      </c>
      <c r="C3255" t="s">
        <v>4909</v>
      </c>
      <c r="D3255" t="s">
        <v>3343</v>
      </c>
      <c r="E3255">
        <v>85463.8130265333</v>
      </c>
      <c r="F3255">
        <v>29837.5669042286</v>
      </c>
      <c r="G3255">
        <v>26544.3880666641</v>
      </c>
      <c r="H3255">
        <v>18576.9679521161</v>
      </c>
      <c r="I3255">
        <v>141845.77</v>
      </c>
      <c r="J3255">
        <v>123268.8</v>
      </c>
      <c r="K3255" s="1"/>
      <c r="L3255" s="1"/>
      <c r="M3255" s="1"/>
      <c r="N3255" s="1"/>
    </row>
    <row r="3256" ht="15.75" customHeight="1">
      <c r="A3256" t="s">
        <v>51</v>
      </c>
      <c r="B3256" t="s">
        <v>14</v>
      </c>
      <c r="C3256" t="s">
        <v>4914</v>
      </c>
      <c r="D3256" t="s">
        <v>3344</v>
      </c>
      <c r="E3256">
        <v>85474.6959964395</v>
      </c>
      <c r="F3256">
        <v>29842.181622556</v>
      </c>
      <c r="G3256">
        <v>26552.0680700936</v>
      </c>
      <c r="H3256">
        <v>18580.3655028034</v>
      </c>
      <c r="I3256">
        <v>141868.95</v>
      </c>
      <c r="J3256">
        <v>123288.58</v>
      </c>
      <c r="K3256" s="1"/>
      <c r="L3256" s="1"/>
      <c r="M3256" s="1"/>
      <c r="N3256" s="1"/>
    </row>
    <row r="3257" ht="15.75" customHeight="1">
      <c r="A3257" t="s">
        <v>25</v>
      </c>
      <c r="B3257" t="s">
        <v>54</v>
      </c>
      <c r="C3257" t="s">
        <v>4909</v>
      </c>
      <c r="D3257" t="s">
        <v>3345</v>
      </c>
      <c r="E3257">
        <v>85485.5789663457</v>
      </c>
      <c r="F3257">
        <v>29846.7963408834</v>
      </c>
      <c r="G3257">
        <v>26559.7480735231</v>
      </c>
      <c r="H3257">
        <v>18583.7630534907</v>
      </c>
      <c r="I3257">
        <v>141892.12</v>
      </c>
      <c r="J3257">
        <v>123308.36</v>
      </c>
      <c r="K3257" s="1"/>
      <c r="L3257" s="1"/>
      <c r="M3257" s="1"/>
      <c r="N3257" s="1"/>
    </row>
    <row r="3258" ht="15.75" customHeight="1">
      <c r="A3258" t="s">
        <v>25</v>
      </c>
      <c r="B3258" t="s">
        <v>37</v>
      </c>
      <c r="C3258" t="s">
        <v>4914</v>
      </c>
      <c r="D3258" t="s">
        <v>3346</v>
      </c>
      <c r="E3258">
        <v>85496.4619362519</v>
      </c>
      <c r="F3258">
        <v>29851.4110592108</v>
      </c>
      <c r="G3258">
        <v>26567.4280769526</v>
      </c>
      <c r="H3258">
        <v>18587.160604178</v>
      </c>
      <c r="I3258">
        <v>141915.3</v>
      </c>
      <c r="J3258">
        <v>123328.14</v>
      </c>
      <c r="K3258" s="1"/>
      <c r="L3258" s="1"/>
      <c r="M3258" s="1"/>
      <c r="N3258" s="1"/>
    </row>
    <row r="3259" ht="15.75" customHeight="1">
      <c r="A3259" t="s">
        <v>53</v>
      </c>
      <c r="B3259" t="s">
        <v>54</v>
      </c>
      <c r="C3259" t="s">
        <v>4908</v>
      </c>
      <c r="D3259" t="s">
        <v>3347</v>
      </c>
      <c r="E3259">
        <v>85507.3449061581</v>
      </c>
      <c r="F3259">
        <v>29856.0257775382</v>
      </c>
      <c r="G3259">
        <v>26575.1080803821</v>
      </c>
      <c r="H3259">
        <v>18590.5581548653</v>
      </c>
      <c r="I3259">
        <v>141938.48</v>
      </c>
      <c r="J3259">
        <v>123347.92</v>
      </c>
      <c r="K3259" s="1"/>
      <c r="L3259" s="1"/>
      <c r="M3259" s="1"/>
      <c r="N3259" s="1"/>
    </row>
    <row r="3260" ht="15.75" customHeight="1">
      <c r="A3260" t="s">
        <v>13</v>
      </c>
      <c r="B3260" t="s">
        <v>54</v>
      </c>
      <c r="C3260" t="s">
        <v>4909</v>
      </c>
      <c r="D3260" t="s">
        <v>3348</v>
      </c>
      <c r="E3260">
        <v>85518.2278760643</v>
      </c>
      <c r="F3260">
        <v>29860.6404958657</v>
      </c>
      <c r="G3260">
        <v>26582.7880838116</v>
      </c>
      <c r="H3260">
        <v>18593.9557055526</v>
      </c>
      <c r="I3260">
        <v>141961.66</v>
      </c>
      <c r="J3260">
        <v>123367.7</v>
      </c>
      <c r="K3260" s="1"/>
      <c r="L3260" s="1"/>
      <c r="M3260" s="1"/>
      <c r="N3260" s="1"/>
    </row>
    <row r="3261" ht="15.75" customHeight="1">
      <c r="A3261" t="s">
        <v>13</v>
      </c>
      <c r="B3261" t="s">
        <v>37</v>
      </c>
      <c r="C3261" t="s">
        <v>4915</v>
      </c>
      <c r="D3261" t="s">
        <v>3349</v>
      </c>
      <c r="E3261">
        <v>85529.1108459705</v>
      </c>
      <c r="F3261">
        <v>29865.2552141931</v>
      </c>
      <c r="G3261">
        <v>26590.4680872411</v>
      </c>
      <c r="H3261">
        <v>18597.3532562399</v>
      </c>
      <c r="I3261">
        <v>141984.83</v>
      </c>
      <c r="J3261">
        <v>123387.48</v>
      </c>
      <c r="K3261" s="1"/>
      <c r="L3261" s="1"/>
      <c r="M3261" s="1"/>
      <c r="N3261" s="1"/>
    </row>
    <row r="3262" ht="15.75" customHeight="1">
      <c r="A3262" t="s">
        <v>53</v>
      </c>
      <c r="B3262" t="s">
        <v>30</v>
      </c>
      <c r="C3262" t="s">
        <v>4916</v>
      </c>
      <c r="D3262" t="s">
        <v>3350</v>
      </c>
      <c r="E3262">
        <v>85539.9938158767</v>
      </c>
      <c r="F3262">
        <v>29869.8699325205</v>
      </c>
      <c r="G3262">
        <v>26598.1480906705</v>
      </c>
      <c r="H3262">
        <v>18600.7508069272</v>
      </c>
      <c r="I3262">
        <v>142008.01</v>
      </c>
      <c r="J3262">
        <v>123407.26</v>
      </c>
      <c r="K3262" s="1"/>
      <c r="L3262" s="1"/>
      <c r="M3262" s="1"/>
      <c r="N3262" s="1"/>
    </row>
    <row r="3263" ht="15.75" customHeight="1">
      <c r="A3263" t="s">
        <v>29</v>
      </c>
      <c r="B3263" t="s">
        <v>30</v>
      </c>
      <c r="C3263" t="s">
        <v>4908</v>
      </c>
      <c r="D3263" t="s">
        <v>3351</v>
      </c>
      <c r="E3263">
        <v>85550.8767857829</v>
      </c>
      <c r="F3263">
        <v>29874.4846508479</v>
      </c>
      <c r="G3263">
        <v>26605.8280941</v>
      </c>
      <c r="H3263">
        <v>18604.1483576144</v>
      </c>
      <c r="I3263">
        <v>142031.19</v>
      </c>
      <c r="J3263">
        <v>123427.04</v>
      </c>
      <c r="K3263" s="1"/>
      <c r="L3263" s="1"/>
      <c r="M3263" s="1"/>
      <c r="N3263" s="1"/>
    </row>
    <row r="3264" ht="15.75" customHeight="1">
      <c r="A3264" t="s">
        <v>36</v>
      </c>
      <c r="B3264" t="s">
        <v>30</v>
      </c>
      <c r="C3264" t="s">
        <v>4916</v>
      </c>
      <c r="D3264" t="s">
        <v>3352</v>
      </c>
      <c r="E3264">
        <v>85561.7597556891</v>
      </c>
      <c r="F3264">
        <v>29879.0993691754</v>
      </c>
      <c r="G3264">
        <v>26613.5080975295</v>
      </c>
      <c r="H3264">
        <v>18607.5459083017</v>
      </c>
      <c r="I3264">
        <v>142054.37</v>
      </c>
      <c r="J3264">
        <v>123446.82</v>
      </c>
      <c r="K3264" s="1"/>
      <c r="L3264" s="1"/>
      <c r="M3264" s="1"/>
      <c r="N3264" s="1"/>
    </row>
    <row r="3265" ht="15.75" customHeight="1">
      <c r="A3265" t="s">
        <v>17</v>
      </c>
      <c r="B3265" t="s">
        <v>30</v>
      </c>
      <c r="C3265" t="s">
        <v>4914</v>
      </c>
      <c r="D3265" t="s">
        <v>3353</v>
      </c>
      <c r="E3265">
        <v>85572.6427255952</v>
      </c>
      <c r="F3265">
        <v>29883.7140875028</v>
      </c>
      <c r="G3265">
        <v>26621.188100959</v>
      </c>
      <c r="H3265">
        <v>18610.943458989</v>
      </c>
      <c r="I3265">
        <v>142077.54</v>
      </c>
      <c r="J3265">
        <v>123466.6</v>
      </c>
      <c r="K3265" s="1"/>
      <c r="L3265" s="1"/>
      <c r="M3265" s="1"/>
      <c r="N3265" s="1"/>
    </row>
    <row r="3266" ht="15.75" customHeight="1">
      <c r="A3266" t="s">
        <v>53</v>
      </c>
      <c r="B3266" t="s">
        <v>30</v>
      </c>
      <c r="C3266" t="s">
        <v>4910</v>
      </c>
      <c r="D3266" t="s">
        <v>3354</v>
      </c>
      <c r="E3266">
        <v>85583.5256955014</v>
      </c>
      <c r="F3266">
        <v>29888.3288058302</v>
      </c>
      <c r="G3266">
        <v>26628.8681043885</v>
      </c>
      <c r="H3266">
        <v>18614.3410096763</v>
      </c>
      <c r="I3266">
        <v>142100.72</v>
      </c>
      <c r="J3266">
        <v>123486.38</v>
      </c>
      <c r="K3266" s="1"/>
      <c r="L3266" s="1"/>
      <c r="M3266" s="1"/>
      <c r="N3266" s="1"/>
    </row>
    <row r="3267" ht="15.75" customHeight="1">
      <c r="A3267" t="s">
        <v>51</v>
      </c>
      <c r="B3267" t="s">
        <v>30</v>
      </c>
      <c r="C3267" t="s">
        <v>4916</v>
      </c>
      <c r="D3267" t="s">
        <v>3355</v>
      </c>
      <c r="E3267">
        <v>85594.4086654076</v>
      </c>
      <c r="F3267">
        <v>29892.9435241576</v>
      </c>
      <c r="G3267">
        <v>26636.548107818</v>
      </c>
      <c r="H3267">
        <v>18617.7385603636</v>
      </c>
      <c r="I3267">
        <v>142123.9</v>
      </c>
      <c r="J3267">
        <v>123506.16</v>
      </c>
      <c r="K3267" s="1"/>
      <c r="L3267" s="1"/>
      <c r="M3267" s="1"/>
      <c r="N3267" s="1"/>
    </row>
    <row r="3268" ht="15.75" customHeight="1">
      <c r="A3268" t="s">
        <v>51</v>
      </c>
      <c r="B3268" t="s">
        <v>37</v>
      </c>
      <c r="C3268" t="s">
        <v>4907</v>
      </c>
      <c r="D3268" t="s">
        <v>3356</v>
      </c>
      <c r="E3268">
        <v>85605.2916353138</v>
      </c>
      <c r="F3268">
        <v>29897.558242485</v>
      </c>
      <c r="G3268">
        <v>26644.2281112475</v>
      </c>
      <c r="H3268">
        <v>18621.1361110509</v>
      </c>
      <c r="I3268">
        <v>142147.08</v>
      </c>
      <c r="J3268">
        <v>123525.94</v>
      </c>
      <c r="K3268" s="1"/>
      <c r="L3268" s="1"/>
      <c r="M3268" s="1"/>
      <c r="N3268" s="1"/>
    </row>
    <row r="3269" ht="15.75" customHeight="1">
      <c r="A3269" t="s">
        <v>17</v>
      </c>
      <c r="B3269" t="s">
        <v>54</v>
      </c>
      <c r="C3269" t="s">
        <v>4916</v>
      </c>
      <c r="D3269" t="s">
        <v>3357</v>
      </c>
      <c r="E3269">
        <v>85616.17460522</v>
      </c>
      <c r="F3269">
        <v>29902.1729608125</v>
      </c>
      <c r="G3269">
        <v>26651.908114677</v>
      </c>
      <c r="H3269">
        <v>18624.5336617382</v>
      </c>
      <c r="I3269">
        <v>142170.26</v>
      </c>
      <c r="J3269">
        <v>123545.73</v>
      </c>
      <c r="K3269" s="1"/>
      <c r="L3269" s="1"/>
      <c r="M3269" s="1"/>
      <c r="N3269" s="1"/>
    </row>
    <row r="3270" ht="15.75" customHeight="1">
      <c r="A3270" t="s">
        <v>13</v>
      </c>
      <c r="B3270" t="s">
        <v>14</v>
      </c>
      <c r="C3270" t="s">
        <v>4913</v>
      </c>
      <c r="D3270" t="s">
        <v>3358</v>
      </c>
      <c r="E3270">
        <v>85627.0575751262</v>
      </c>
      <c r="F3270">
        <v>29906.7876791399</v>
      </c>
      <c r="G3270">
        <v>26659.5881181065</v>
      </c>
      <c r="H3270">
        <v>18627.9312124255</v>
      </c>
      <c r="I3270">
        <v>142193.43</v>
      </c>
      <c r="J3270">
        <v>123565.5</v>
      </c>
      <c r="K3270" s="1"/>
      <c r="L3270" s="1"/>
      <c r="M3270" s="1"/>
      <c r="N3270" s="1"/>
    </row>
    <row r="3271" ht="15.75" customHeight="1">
      <c r="A3271" t="s">
        <v>53</v>
      </c>
      <c r="B3271" t="s">
        <v>30</v>
      </c>
      <c r="C3271" t="s">
        <v>4909</v>
      </c>
      <c r="D3271" t="s">
        <v>3359</v>
      </c>
      <c r="E3271">
        <v>85637.9405450324</v>
      </c>
      <c r="F3271">
        <v>29911.4023974673</v>
      </c>
      <c r="G3271">
        <v>26667.268121536</v>
      </c>
      <c r="H3271">
        <v>18631.3287631127</v>
      </c>
      <c r="I3271">
        <v>142216.61</v>
      </c>
      <c r="J3271">
        <v>123585.28</v>
      </c>
      <c r="K3271" s="1"/>
      <c r="L3271" s="1"/>
      <c r="M3271" s="1"/>
      <c r="N3271" s="1"/>
    </row>
    <row r="3272" ht="15.75" customHeight="1">
      <c r="A3272" t="s">
        <v>29</v>
      </c>
      <c r="B3272" t="s">
        <v>18</v>
      </c>
      <c r="C3272" t="s">
        <v>4905</v>
      </c>
      <c r="D3272" t="s">
        <v>3360</v>
      </c>
      <c r="E3272">
        <v>85648.8235149386</v>
      </c>
      <c r="F3272">
        <v>29916.0171157947</v>
      </c>
      <c r="G3272">
        <v>26674.9481249655</v>
      </c>
      <c r="H3272">
        <v>18634.7263138</v>
      </c>
      <c r="I3272">
        <v>142239.79</v>
      </c>
      <c r="J3272">
        <v>123605.06</v>
      </c>
      <c r="K3272" s="1"/>
      <c r="L3272" s="1"/>
      <c r="M3272" s="1"/>
      <c r="N3272" s="1"/>
    </row>
    <row r="3273" ht="15.75" customHeight="1">
      <c r="A3273" t="s">
        <v>36</v>
      </c>
      <c r="B3273" t="s">
        <v>37</v>
      </c>
      <c r="C3273" t="s">
        <v>4914</v>
      </c>
      <c r="D3273" t="s">
        <v>3361</v>
      </c>
      <c r="E3273">
        <v>85659.7064848448</v>
      </c>
      <c r="F3273">
        <v>29920.6318341222</v>
      </c>
      <c r="G3273">
        <v>26682.628128395</v>
      </c>
      <c r="H3273">
        <v>14194.35617001081</v>
      </c>
      <c r="I3273">
        <v>142262.97</v>
      </c>
      <c r="J3273">
        <v>128068.61</v>
      </c>
      <c r="K3273" s="1"/>
      <c r="L3273" s="1"/>
      <c r="M3273" s="1"/>
      <c r="N3273" s="1"/>
    </row>
    <row r="3274" ht="15.75" customHeight="1">
      <c r="A3274" t="s">
        <v>25</v>
      </c>
      <c r="B3274" t="s">
        <v>18</v>
      </c>
      <c r="C3274" t="s">
        <v>4917</v>
      </c>
      <c r="D3274" t="s">
        <v>3362</v>
      </c>
      <c r="E3274">
        <v>85670.589454751</v>
      </c>
      <c r="F3274">
        <v>29925.2465524496</v>
      </c>
      <c r="G3274">
        <v>26690.3081318245</v>
      </c>
      <c r="H3274">
        <v>18641.5214151746</v>
      </c>
      <c r="I3274">
        <v>142286.14</v>
      </c>
      <c r="J3274">
        <v>123644.62</v>
      </c>
      <c r="K3274" s="1"/>
      <c r="L3274" s="1"/>
      <c r="M3274" s="1"/>
      <c r="N3274" s="1"/>
    </row>
    <row r="3275" ht="15.75" customHeight="1">
      <c r="A3275" t="s">
        <v>13</v>
      </c>
      <c r="B3275" t="s">
        <v>33</v>
      </c>
      <c r="C3275" t="s">
        <v>4908</v>
      </c>
      <c r="D3275" t="s">
        <v>3363</v>
      </c>
      <c r="E3275">
        <v>85681.4724246572</v>
      </c>
      <c r="F3275">
        <v>29929.861270777</v>
      </c>
      <c r="G3275">
        <v>26697.988135254</v>
      </c>
      <c r="H3275">
        <v>18644.9189658619</v>
      </c>
      <c r="I3275">
        <v>142309.32</v>
      </c>
      <c r="J3275">
        <v>123664.4</v>
      </c>
      <c r="K3275" s="1"/>
      <c r="L3275" s="1"/>
      <c r="M3275" s="1"/>
      <c r="N3275" s="1"/>
    </row>
    <row r="3276" ht="15.75" customHeight="1">
      <c r="A3276" t="s">
        <v>36</v>
      </c>
      <c r="B3276" t="s">
        <v>33</v>
      </c>
      <c r="C3276" t="s">
        <v>4916</v>
      </c>
      <c r="D3276" t="s">
        <v>3364</v>
      </c>
      <c r="E3276">
        <v>85692.3553945634</v>
      </c>
      <c r="F3276">
        <v>29934.4759891044</v>
      </c>
      <c r="G3276">
        <v>26705.6681386835</v>
      </c>
      <c r="H3276">
        <v>18648.3165165492</v>
      </c>
      <c r="I3276">
        <v>142332.5</v>
      </c>
      <c r="J3276">
        <v>123684.18</v>
      </c>
      <c r="K3276" s="1"/>
      <c r="L3276" s="1"/>
      <c r="M3276" s="1"/>
      <c r="N3276" s="1"/>
    </row>
    <row r="3277" ht="15.75" customHeight="1">
      <c r="A3277" t="s">
        <v>29</v>
      </c>
      <c r="B3277" t="s">
        <v>14</v>
      </c>
      <c r="C3277" t="s">
        <v>4917</v>
      </c>
      <c r="D3277" t="s">
        <v>3365</v>
      </c>
      <c r="E3277">
        <v>85703.2383644696</v>
      </c>
      <c r="F3277">
        <v>29939.0907074318</v>
      </c>
      <c r="G3277">
        <v>26713.348142113</v>
      </c>
      <c r="H3277">
        <v>18651.7140672365</v>
      </c>
      <c r="I3277">
        <v>142355.68</v>
      </c>
      <c r="J3277">
        <v>123703.97</v>
      </c>
      <c r="K3277" s="1"/>
      <c r="L3277" s="1"/>
      <c r="M3277" s="1"/>
      <c r="N3277" s="1"/>
    </row>
    <row r="3278" ht="15.75" customHeight="1">
      <c r="A3278" t="s">
        <v>51</v>
      </c>
      <c r="B3278" t="s">
        <v>37</v>
      </c>
      <c r="C3278" t="s">
        <v>4916</v>
      </c>
      <c r="D3278" t="s">
        <v>3366</v>
      </c>
      <c r="E3278">
        <v>85714.1213343758</v>
      </c>
      <c r="F3278">
        <v>29943.7054257593</v>
      </c>
      <c r="G3278">
        <v>26721.0281455425</v>
      </c>
      <c r="H3278">
        <v>18655.1116179237</v>
      </c>
      <c r="I3278">
        <v>142378.85</v>
      </c>
      <c r="J3278">
        <v>123723.74</v>
      </c>
      <c r="K3278" s="1"/>
      <c r="L3278" s="1"/>
      <c r="M3278" s="1"/>
      <c r="N3278" s="1"/>
    </row>
    <row r="3279" ht="15.75" customHeight="1">
      <c r="A3279" t="s">
        <v>53</v>
      </c>
      <c r="B3279" t="s">
        <v>14</v>
      </c>
      <c r="C3279" t="s">
        <v>4914</v>
      </c>
      <c r="D3279" t="s">
        <v>3367</v>
      </c>
      <c r="E3279">
        <v>85725.004304282</v>
      </c>
      <c r="F3279">
        <v>29948.3201440867</v>
      </c>
      <c r="G3279">
        <v>26728.708148972</v>
      </c>
      <c r="H3279">
        <v>18658.509168611</v>
      </c>
      <c r="I3279">
        <v>142402.03</v>
      </c>
      <c r="J3279">
        <v>123743.52</v>
      </c>
      <c r="K3279" s="1"/>
      <c r="L3279" s="1"/>
      <c r="M3279" s="1"/>
      <c r="N3279" s="1"/>
    </row>
    <row r="3280" ht="15.75" customHeight="1">
      <c r="A3280" t="s">
        <v>29</v>
      </c>
      <c r="B3280" t="s">
        <v>26</v>
      </c>
      <c r="C3280" t="s">
        <v>4907</v>
      </c>
      <c r="D3280" t="s">
        <v>3368</v>
      </c>
      <c r="E3280">
        <v>85735.8872741881</v>
      </c>
      <c r="F3280">
        <v>29952.9348624141</v>
      </c>
      <c r="G3280">
        <v>26736.3881524015</v>
      </c>
      <c r="H3280">
        <v>18661.9067192983</v>
      </c>
      <c r="I3280">
        <v>142425.21</v>
      </c>
      <c r="J3280">
        <v>123763.3</v>
      </c>
      <c r="K3280" s="1"/>
      <c r="L3280" s="1"/>
      <c r="M3280" s="1"/>
      <c r="N3280" s="1"/>
    </row>
    <row r="3281" ht="15.75" customHeight="1">
      <c r="A3281" t="s">
        <v>13</v>
      </c>
      <c r="B3281" t="s">
        <v>18</v>
      </c>
      <c r="C3281" t="s">
        <v>4910</v>
      </c>
      <c r="D3281" t="s">
        <v>3369</v>
      </c>
      <c r="E3281">
        <v>85746.7702440943</v>
      </c>
      <c r="F3281">
        <v>29957.5495807415</v>
      </c>
      <c r="G3281">
        <v>26744.068155831</v>
      </c>
      <c r="H3281">
        <v>18665.3042699856</v>
      </c>
      <c r="I3281">
        <v>142448.39</v>
      </c>
      <c r="J3281">
        <v>123783.09</v>
      </c>
      <c r="K3281" s="1"/>
      <c r="L3281" s="1"/>
      <c r="M3281" s="1"/>
      <c r="N3281" s="1"/>
    </row>
    <row r="3282" ht="15.75" customHeight="1">
      <c r="A3282" t="s">
        <v>51</v>
      </c>
      <c r="B3282" t="s">
        <v>30</v>
      </c>
      <c r="C3282" t="s">
        <v>4913</v>
      </c>
      <c r="D3282" t="s">
        <v>3370</v>
      </c>
      <c r="E3282">
        <v>85757.6532140005</v>
      </c>
      <c r="F3282">
        <v>29962.164299069</v>
      </c>
      <c r="G3282">
        <v>26751.7481592605</v>
      </c>
      <c r="H3282">
        <v>18668.7018206729</v>
      </c>
      <c r="I3282">
        <v>142471.57</v>
      </c>
      <c r="J3282">
        <v>123802.87</v>
      </c>
      <c r="K3282" s="1"/>
      <c r="L3282" s="1"/>
      <c r="M3282" s="1"/>
      <c r="N3282" s="1"/>
    </row>
    <row r="3283" ht="15.75" customHeight="1">
      <c r="A3283" t="s">
        <v>25</v>
      </c>
      <c r="B3283" t="s">
        <v>14</v>
      </c>
      <c r="C3283" t="s">
        <v>4916</v>
      </c>
      <c r="D3283" t="s">
        <v>3371</v>
      </c>
      <c r="E3283">
        <v>85768.5361839067</v>
      </c>
      <c r="F3283">
        <v>29966.7790173964</v>
      </c>
      <c r="G3283">
        <v>26759.42816269</v>
      </c>
      <c r="H3283">
        <v>18672.0993713602</v>
      </c>
      <c r="I3283">
        <v>142494.74</v>
      </c>
      <c r="J3283">
        <v>123822.64</v>
      </c>
      <c r="K3283" s="1"/>
      <c r="L3283" s="1"/>
      <c r="M3283" s="1"/>
      <c r="N3283" s="1"/>
    </row>
    <row r="3284" ht="15.75" customHeight="1">
      <c r="A3284" t="s">
        <v>29</v>
      </c>
      <c r="B3284" t="s">
        <v>54</v>
      </c>
      <c r="C3284" t="s">
        <v>4914</v>
      </c>
      <c r="D3284" t="s">
        <v>3372</v>
      </c>
      <c r="E3284">
        <v>85790.3021237191</v>
      </c>
      <c r="F3284">
        <v>29976.0084540512</v>
      </c>
      <c r="G3284">
        <v>26774.788169549</v>
      </c>
      <c r="H3284">
        <v>18678.8944727348</v>
      </c>
      <c r="I3284">
        <v>142541.1</v>
      </c>
      <c r="J3284">
        <v>123862.21</v>
      </c>
      <c r="K3284" s="1"/>
      <c r="L3284" s="1"/>
      <c r="M3284" s="1"/>
      <c r="N3284" s="1"/>
    </row>
    <row r="3285" ht="15.75" customHeight="1">
      <c r="A3285" t="s">
        <v>51</v>
      </c>
      <c r="B3285" t="s">
        <v>30</v>
      </c>
      <c r="C3285" t="s">
        <v>4917</v>
      </c>
      <c r="D3285" t="s">
        <v>3373</v>
      </c>
      <c r="E3285">
        <v>85801.1850936253</v>
      </c>
      <c r="F3285">
        <v>29980.6231723786</v>
      </c>
      <c r="G3285">
        <v>26782.4681729785</v>
      </c>
      <c r="H3285">
        <v>18682.292023422</v>
      </c>
      <c r="I3285">
        <v>142564.28</v>
      </c>
      <c r="J3285">
        <v>123881.99</v>
      </c>
      <c r="K3285" s="1"/>
      <c r="L3285" s="1"/>
      <c r="M3285" s="1"/>
      <c r="N3285" s="1"/>
    </row>
    <row r="3286" ht="15.75" customHeight="1">
      <c r="A3286" t="s">
        <v>25</v>
      </c>
      <c r="B3286" t="s">
        <v>26</v>
      </c>
      <c r="C3286" t="s">
        <v>4911</v>
      </c>
      <c r="D3286" t="s">
        <v>3374</v>
      </c>
      <c r="E3286">
        <v>85812.0680635315</v>
      </c>
      <c r="F3286">
        <v>29985.2378907061</v>
      </c>
      <c r="G3286">
        <v>26790.148176408</v>
      </c>
      <c r="H3286">
        <v>18685.6895741093</v>
      </c>
      <c r="I3286">
        <v>142587.45</v>
      </c>
      <c r="J3286">
        <v>123901.76</v>
      </c>
      <c r="K3286" s="1"/>
      <c r="L3286" s="1"/>
      <c r="M3286" s="1"/>
      <c r="N3286" s="1"/>
    </row>
    <row r="3287" ht="15.75" customHeight="1">
      <c r="A3287" t="s">
        <v>51</v>
      </c>
      <c r="B3287" t="s">
        <v>37</v>
      </c>
      <c r="C3287" t="s">
        <v>4912</v>
      </c>
      <c r="D3287" t="s">
        <v>3375</v>
      </c>
      <c r="E3287">
        <v>85822.9510334377</v>
      </c>
      <c r="F3287">
        <v>29989.8526090335</v>
      </c>
      <c r="G3287">
        <v>26797.8281798375</v>
      </c>
      <c r="H3287">
        <v>18689.0871247966</v>
      </c>
      <c r="I3287">
        <v>142610.63</v>
      </c>
      <c r="J3287">
        <v>123921.54</v>
      </c>
      <c r="K3287" s="1"/>
      <c r="L3287" s="1"/>
      <c r="M3287" s="1"/>
      <c r="N3287" s="1"/>
    </row>
    <row r="3288" ht="15.75" customHeight="1">
      <c r="A3288" t="s">
        <v>36</v>
      </c>
      <c r="B3288" t="s">
        <v>54</v>
      </c>
      <c r="C3288" t="s">
        <v>4915</v>
      </c>
      <c r="D3288" t="s">
        <v>3376</v>
      </c>
      <c r="E3288">
        <v>85833.8340033439</v>
      </c>
      <c r="F3288">
        <v>29994.4673273609</v>
      </c>
      <c r="G3288">
        <v>26805.508183267</v>
      </c>
      <c r="H3288">
        <v>18692.4846754839</v>
      </c>
      <c r="I3288">
        <v>142633.81</v>
      </c>
      <c r="J3288">
        <v>123941.33</v>
      </c>
      <c r="K3288" s="1"/>
      <c r="L3288" s="1"/>
      <c r="M3288" s="1"/>
      <c r="N3288" s="1"/>
    </row>
    <row r="3289" ht="15.75" customHeight="1">
      <c r="A3289" t="s">
        <v>36</v>
      </c>
      <c r="B3289" t="s">
        <v>26</v>
      </c>
      <c r="C3289" t="s">
        <v>4914</v>
      </c>
      <c r="D3289" t="s">
        <v>3377</v>
      </c>
      <c r="E3289">
        <v>85844.7169732501</v>
      </c>
      <c r="F3289">
        <v>29999.0820456883</v>
      </c>
      <c r="G3289">
        <v>26813.1881866965</v>
      </c>
      <c r="H3289">
        <v>18695.8822261712</v>
      </c>
      <c r="I3289">
        <v>142656.99</v>
      </c>
      <c r="J3289">
        <v>123961.11</v>
      </c>
      <c r="K3289" s="1"/>
      <c r="L3289" s="1"/>
      <c r="M3289" s="1"/>
      <c r="N3289" s="1"/>
    </row>
    <row r="3290" ht="15.75" customHeight="1">
      <c r="A3290" t="s">
        <v>13</v>
      </c>
      <c r="B3290" t="s">
        <v>26</v>
      </c>
      <c r="C3290" t="s">
        <v>4915</v>
      </c>
      <c r="D3290" t="s">
        <v>3378</v>
      </c>
      <c r="E3290">
        <v>85855.5999431563</v>
      </c>
      <c r="F3290">
        <v>30003.6967640157</v>
      </c>
      <c r="G3290">
        <v>26820.868190126</v>
      </c>
      <c r="H3290">
        <v>18699.2797768585</v>
      </c>
      <c r="I3290">
        <v>142680.16</v>
      </c>
      <c r="J3290">
        <v>123980.88</v>
      </c>
      <c r="K3290" s="1"/>
      <c r="L3290" s="1"/>
      <c r="M3290" s="1"/>
      <c r="N3290" s="1"/>
    </row>
    <row r="3291" ht="15.75" customHeight="1">
      <c r="A3291" t="s">
        <v>29</v>
      </c>
      <c r="B3291" t="s">
        <v>18</v>
      </c>
      <c r="C3291" t="s">
        <v>4910</v>
      </c>
      <c r="D3291" t="s">
        <v>3379</v>
      </c>
      <c r="E3291">
        <v>85866.4829130625</v>
      </c>
      <c r="F3291">
        <v>30008.3114823432</v>
      </c>
      <c r="G3291">
        <v>26828.5481935555</v>
      </c>
      <c r="H3291">
        <v>18702.6773275458</v>
      </c>
      <c r="I3291">
        <v>142703.34</v>
      </c>
      <c r="J3291">
        <v>124000.66</v>
      </c>
      <c r="K3291" s="1"/>
      <c r="L3291" s="1"/>
      <c r="M3291" s="1"/>
      <c r="N3291" s="1"/>
    </row>
    <row r="3292" ht="15.75" customHeight="1">
      <c r="A3292" t="s">
        <v>53</v>
      </c>
      <c r="B3292" t="s">
        <v>37</v>
      </c>
      <c r="C3292" t="s">
        <v>4917</v>
      </c>
      <c r="D3292" t="s">
        <v>3380</v>
      </c>
      <c r="E3292">
        <v>85877.3658829687</v>
      </c>
      <c r="F3292">
        <v>30012.9262006706</v>
      </c>
      <c r="G3292">
        <v>26836.228196985</v>
      </c>
      <c r="H3292">
        <v>18706.0748782331</v>
      </c>
      <c r="I3292">
        <v>142726.52</v>
      </c>
      <c r="J3292">
        <v>124020.45</v>
      </c>
      <c r="K3292" s="1"/>
      <c r="L3292" s="1"/>
      <c r="M3292" s="1"/>
      <c r="N3292" s="1"/>
    </row>
    <row r="3293" ht="15.75" customHeight="1">
      <c r="A3293" t="s">
        <v>17</v>
      </c>
      <c r="B3293" t="s">
        <v>37</v>
      </c>
      <c r="C3293" t="s">
        <v>4910</v>
      </c>
      <c r="D3293" t="s">
        <v>3381</v>
      </c>
      <c r="E3293">
        <v>85888.2488528749</v>
      </c>
      <c r="F3293">
        <v>30017.540918998</v>
      </c>
      <c r="G3293">
        <v>26843.9082004145</v>
      </c>
      <c r="H3293">
        <v>18709.4724289203</v>
      </c>
      <c r="I3293">
        <v>142749.7</v>
      </c>
      <c r="J3293">
        <v>124040.23</v>
      </c>
      <c r="K3293" s="1"/>
      <c r="L3293" s="1"/>
      <c r="M3293" s="1"/>
      <c r="N3293" s="1"/>
    </row>
    <row r="3294" ht="15.75" customHeight="1">
      <c r="A3294" t="s">
        <v>29</v>
      </c>
      <c r="B3294" t="s">
        <v>14</v>
      </c>
      <c r="C3294" t="s">
        <v>4910</v>
      </c>
      <c r="D3294" t="s">
        <v>3382</v>
      </c>
      <c r="E3294">
        <v>85899.131822781</v>
      </c>
      <c r="F3294">
        <v>30022.1556373254</v>
      </c>
      <c r="G3294">
        <v>26851.588203844</v>
      </c>
      <c r="H3294">
        <v>18712.8699796076</v>
      </c>
      <c r="I3294">
        <v>142772.88</v>
      </c>
      <c r="J3294">
        <v>124060.01</v>
      </c>
      <c r="K3294" s="1"/>
      <c r="L3294" s="1"/>
      <c r="M3294" s="1"/>
      <c r="N3294" s="1"/>
    </row>
    <row r="3295" ht="15.75" customHeight="1">
      <c r="A3295" t="s">
        <v>51</v>
      </c>
      <c r="B3295" t="s">
        <v>18</v>
      </c>
      <c r="C3295" t="s">
        <v>4915</v>
      </c>
      <c r="D3295" t="s">
        <v>3383</v>
      </c>
      <c r="E3295">
        <v>85910.0147926872</v>
      </c>
      <c r="F3295">
        <v>30026.7703556529</v>
      </c>
      <c r="G3295">
        <v>26859.2682072735</v>
      </c>
      <c r="H3295">
        <v>18716.2675302949</v>
      </c>
      <c r="I3295">
        <v>142796.05</v>
      </c>
      <c r="J3295">
        <v>124079.78</v>
      </c>
      <c r="K3295" s="1"/>
      <c r="L3295" s="1"/>
      <c r="M3295" s="1"/>
      <c r="N3295" s="1"/>
    </row>
    <row r="3296" ht="15.75" customHeight="1">
      <c r="A3296" t="s">
        <v>13</v>
      </c>
      <c r="B3296" t="s">
        <v>33</v>
      </c>
      <c r="C3296" t="s">
        <v>4908</v>
      </c>
      <c r="D3296" t="s">
        <v>3384</v>
      </c>
      <c r="E3296">
        <v>85920.8977625934</v>
      </c>
      <c r="F3296">
        <v>30031.3850739803</v>
      </c>
      <c r="G3296">
        <v>26866.948210703</v>
      </c>
      <c r="H3296">
        <v>18719.6650809822</v>
      </c>
      <c r="I3296">
        <v>142819.23</v>
      </c>
      <c r="J3296">
        <v>124099.56</v>
      </c>
      <c r="K3296" s="1"/>
      <c r="L3296" s="1"/>
      <c r="M3296" s="1"/>
      <c r="N3296" s="1"/>
    </row>
    <row r="3297" ht="15.75" customHeight="1">
      <c r="A3297" t="s">
        <v>13</v>
      </c>
      <c r="B3297" t="s">
        <v>37</v>
      </c>
      <c r="C3297" t="s">
        <v>4912</v>
      </c>
      <c r="D3297" t="s">
        <v>3385</v>
      </c>
      <c r="E3297">
        <v>85931.7807324996</v>
      </c>
      <c r="F3297">
        <v>30035.9997923077</v>
      </c>
      <c r="G3297">
        <v>26874.6282141325</v>
      </c>
      <c r="H3297">
        <v>18723.0626316695</v>
      </c>
      <c r="I3297">
        <v>142842.41</v>
      </c>
      <c r="J3297">
        <v>124119.35</v>
      </c>
      <c r="K3297" s="1"/>
      <c r="L3297" s="1"/>
      <c r="M3297" s="1"/>
      <c r="N3297" s="1"/>
    </row>
    <row r="3298" ht="15.75" customHeight="1">
      <c r="A3298" t="s">
        <v>17</v>
      </c>
      <c r="B3298" t="s">
        <v>14</v>
      </c>
      <c r="C3298" t="s">
        <v>4910</v>
      </c>
      <c r="D3298" t="s">
        <v>3386</v>
      </c>
      <c r="E3298">
        <v>85942.6637024058</v>
      </c>
      <c r="F3298">
        <v>30040.6145106351</v>
      </c>
      <c r="G3298">
        <v>26882.3082175619</v>
      </c>
      <c r="H3298">
        <v>18726.4601823568</v>
      </c>
      <c r="I3298">
        <v>142865.59</v>
      </c>
      <c r="J3298">
        <v>124139.13</v>
      </c>
      <c r="K3298" s="1"/>
      <c r="L3298" s="1"/>
      <c r="M3298" s="1"/>
      <c r="N3298" s="1"/>
    </row>
    <row r="3299" ht="15.75" customHeight="1">
      <c r="A3299" t="s">
        <v>25</v>
      </c>
      <c r="B3299" t="s">
        <v>30</v>
      </c>
      <c r="C3299" t="s">
        <v>4917</v>
      </c>
      <c r="D3299" t="s">
        <v>3387</v>
      </c>
      <c r="E3299">
        <v>85953.546672312</v>
      </c>
      <c r="F3299">
        <v>30045.2292289625</v>
      </c>
      <c r="G3299">
        <v>26889.9882209914</v>
      </c>
      <c r="H3299">
        <v>18729.8577330441</v>
      </c>
      <c r="I3299">
        <v>142888.76</v>
      </c>
      <c r="J3299">
        <v>124158.9</v>
      </c>
      <c r="K3299" s="1"/>
      <c r="L3299" s="1"/>
      <c r="M3299" s="1"/>
      <c r="N3299" s="1"/>
    </row>
    <row r="3300" ht="15.75" customHeight="1">
      <c r="A3300" t="s">
        <v>51</v>
      </c>
      <c r="B3300" t="s">
        <v>33</v>
      </c>
      <c r="C3300" t="s">
        <v>4915</v>
      </c>
      <c r="D3300" t="s">
        <v>3388</v>
      </c>
      <c r="E3300">
        <v>85964.4296422182</v>
      </c>
      <c r="F3300">
        <v>30049.84394729</v>
      </c>
      <c r="G3300">
        <v>26897.6682244209</v>
      </c>
      <c r="H3300">
        <v>18733.2552837314</v>
      </c>
      <c r="I3300">
        <v>142911.94</v>
      </c>
      <c r="J3300">
        <v>124178.68</v>
      </c>
      <c r="K3300" s="1"/>
      <c r="L3300" s="1"/>
      <c r="M3300" s="1"/>
      <c r="N3300" s="1"/>
    </row>
    <row r="3301" ht="15.75" customHeight="1">
      <c r="A3301" t="s">
        <v>51</v>
      </c>
      <c r="B3301" t="s">
        <v>26</v>
      </c>
      <c r="C3301" t="s">
        <v>4915</v>
      </c>
      <c r="D3301" t="s">
        <v>3389</v>
      </c>
      <c r="E3301">
        <v>85975.3126121244</v>
      </c>
      <c r="F3301">
        <v>30054.4586656174</v>
      </c>
      <c r="G3301">
        <v>26905.3482278504</v>
      </c>
      <c r="H3301">
        <v>18736.6528344186</v>
      </c>
      <c r="I3301">
        <v>142935.12</v>
      </c>
      <c r="J3301">
        <v>124198.47</v>
      </c>
      <c r="K3301" s="1"/>
      <c r="L3301" s="1"/>
      <c r="M3301" s="1"/>
      <c r="N3301" s="1"/>
    </row>
    <row r="3302" ht="15.75" customHeight="1">
      <c r="A3302" t="s">
        <v>13</v>
      </c>
      <c r="B3302" t="s">
        <v>18</v>
      </c>
      <c r="C3302" t="s">
        <v>4910</v>
      </c>
      <c r="D3302" t="s">
        <v>3390</v>
      </c>
      <c r="E3302">
        <v>71656.69906138915</v>
      </c>
      <c r="F3302">
        <v>30059.0733839448</v>
      </c>
      <c r="G3302">
        <v>26913.0282312799</v>
      </c>
      <c r="H3302">
        <v>18740.0503851059</v>
      </c>
      <c r="I3302">
        <v>128628.8</v>
      </c>
      <c r="J3302">
        <v>109888.75</v>
      </c>
      <c r="K3302" s="1"/>
      <c r="L3302" s="1"/>
      <c r="M3302" s="1"/>
      <c r="N3302" s="1"/>
    </row>
    <row r="3303" ht="15.75" customHeight="1">
      <c r="A3303" t="s">
        <v>53</v>
      </c>
      <c r="B3303" t="s">
        <v>33</v>
      </c>
      <c r="C3303" t="s">
        <v>4917</v>
      </c>
      <c r="D3303" t="s">
        <v>3391</v>
      </c>
      <c r="E3303">
        <v>85997.0785519368</v>
      </c>
      <c r="F3303">
        <v>30063.6881022722</v>
      </c>
      <c r="G3303">
        <v>26920.7082347094</v>
      </c>
      <c r="H3303">
        <v>18743.4479357932</v>
      </c>
      <c r="I3303">
        <v>142981.47</v>
      </c>
      <c r="J3303">
        <v>124238.02</v>
      </c>
      <c r="K3303" s="1"/>
      <c r="L3303" s="1"/>
      <c r="M3303" s="1"/>
      <c r="N3303" s="1"/>
    </row>
    <row r="3304" ht="15.75" customHeight="1">
      <c r="A3304" t="s">
        <v>13</v>
      </c>
      <c r="B3304" t="s">
        <v>18</v>
      </c>
      <c r="C3304" t="s">
        <v>4914</v>
      </c>
      <c r="D3304" t="s">
        <v>3392</v>
      </c>
      <c r="E3304">
        <v>86007.961521843</v>
      </c>
      <c r="F3304">
        <v>30068.3028205997</v>
      </c>
      <c r="G3304">
        <v>26928.3882381389</v>
      </c>
      <c r="H3304">
        <v>18746.8454864805</v>
      </c>
      <c r="I3304">
        <v>143004.65</v>
      </c>
      <c r="J3304">
        <v>124257.8</v>
      </c>
      <c r="K3304" s="1"/>
      <c r="L3304" s="1"/>
      <c r="M3304" s="1"/>
      <c r="N3304" s="1"/>
    </row>
    <row r="3305" ht="15.75" customHeight="1">
      <c r="A3305" t="s">
        <v>17</v>
      </c>
      <c r="B3305" t="s">
        <v>18</v>
      </c>
      <c r="C3305" t="s">
        <v>4909</v>
      </c>
      <c r="D3305" t="s">
        <v>3393</v>
      </c>
      <c r="E3305">
        <v>86018.8444917492</v>
      </c>
      <c r="F3305">
        <v>30072.9175389271</v>
      </c>
      <c r="G3305">
        <v>26936.0682415684</v>
      </c>
      <c r="H3305">
        <v>18750.2430371678</v>
      </c>
      <c r="I3305">
        <v>143027.83</v>
      </c>
      <c r="J3305">
        <v>124277.59</v>
      </c>
      <c r="K3305" s="1"/>
      <c r="L3305" s="1"/>
      <c r="M3305" s="1"/>
      <c r="N3305" s="1"/>
    </row>
    <row r="3306" ht="15.75" customHeight="1">
      <c r="A3306" t="s">
        <v>53</v>
      </c>
      <c r="B3306" t="s">
        <v>54</v>
      </c>
      <c r="C3306" t="s">
        <v>4911</v>
      </c>
      <c r="D3306" t="s">
        <v>3394</v>
      </c>
      <c r="E3306">
        <v>86029.7274616554</v>
      </c>
      <c r="F3306">
        <v>30077.5322572545</v>
      </c>
      <c r="G3306">
        <v>26943.7482449979</v>
      </c>
      <c r="H3306">
        <v>18753.6405878551</v>
      </c>
      <c r="I3306">
        <v>143051.01</v>
      </c>
      <c r="J3306">
        <v>124297.37</v>
      </c>
      <c r="K3306" s="1"/>
      <c r="L3306" s="1"/>
      <c r="M3306" s="1"/>
      <c r="N3306" s="1"/>
    </row>
    <row r="3307" ht="15.75" customHeight="1">
      <c r="A3307" t="s">
        <v>53</v>
      </c>
      <c r="B3307" t="s">
        <v>33</v>
      </c>
      <c r="C3307" t="s">
        <v>4914</v>
      </c>
      <c r="D3307" t="s">
        <v>3395</v>
      </c>
      <c r="E3307">
        <v>86040.6104315616</v>
      </c>
      <c r="F3307">
        <v>30082.1469755819</v>
      </c>
      <c r="G3307">
        <v>26951.4282484274</v>
      </c>
      <c r="H3307">
        <v>18757.0381385424</v>
      </c>
      <c r="I3307">
        <v>143074.19</v>
      </c>
      <c r="J3307">
        <v>124317.15</v>
      </c>
      <c r="K3307" s="1"/>
      <c r="L3307" s="1"/>
      <c r="M3307" s="1"/>
      <c r="N3307" s="1"/>
    </row>
    <row r="3308" ht="15.75" customHeight="1">
      <c r="A3308" t="s">
        <v>25</v>
      </c>
      <c r="B3308" t="s">
        <v>33</v>
      </c>
      <c r="C3308" t="s">
        <v>4907</v>
      </c>
      <c r="D3308" t="s">
        <v>3396</v>
      </c>
      <c r="E3308">
        <v>86051.4934014678</v>
      </c>
      <c r="F3308">
        <v>30086.7616939093</v>
      </c>
      <c r="G3308">
        <v>26959.1082518569</v>
      </c>
      <c r="H3308">
        <v>18760.4356892296</v>
      </c>
      <c r="I3308">
        <v>143097.36</v>
      </c>
      <c r="J3308">
        <v>124336.92</v>
      </c>
      <c r="K3308" s="1"/>
      <c r="L3308" s="1"/>
      <c r="M3308" s="1"/>
      <c r="N3308" s="1"/>
    </row>
    <row r="3309" ht="15.75" customHeight="1">
      <c r="A3309" t="s">
        <v>17</v>
      </c>
      <c r="B3309" t="s">
        <v>18</v>
      </c>
      <c r="C3309" t="s">
        <v>4912</v>
      </c>
      <c r="D3309" t="s">
        <v>3397</v>
      </c>
      <c r="E3309">
        <v>86062.3763713739</v>
      </c>
      <c r="F3309">
        <v>30091.3764122368</v>
      </c>
      <c r="G3309">
        <v>26966.7882552864</v>
      </c>
      <c r="H3309">
        <v>18763.8332399169</v>
      </c>
      <c r="I3309">
        <v>143120.54</v>
      </c>
      <c r="J3309">
        <v>124356.71</v>
      </c>
      <c r="K3309" s="1"/>
      <c r="L3309" s="1"/>
      <c r="M3309" s="1"/>
      <c r="N3309" s="1"/>
    </row>
    <row r="3310" ht="15.75" customHeight="1">
      <c r="A3310" t="s">
        <v>25</v>
      </c>
      <c r="B3310" t="s">
        <v>26</v>
      </c>
      <c r="C3310" t="s">
        <v>4915</v>
      </c>
      <c r="D3310" t="s">
        <v>3398</v>
      </c>
      <c r="E3310">
        <v>86073.2593412801</v>
      </c>
      <c r="F3310">
        <v>30095.9911305642</v>
      </c>
      <c r="G3310">
        <v>26974.4682587159</v>
      </c>
      <c r="H3310">
        <v>18767.2307906042</v>
      </c>
      <c r="I3310">
        <v>143143.72</v>
      </c>
      <c r="J3310">
        <v>124376.49</v>
      </c>
      <c r="K3310" s="1"/>
      <c r="L3310" s="1"/>
      <c r="M3310" s="1"/>
      <c r="N3310" s="1"/>
    </row>
    <row r="3311" ht="15.75" customHeight="1">
      <c r="A3311" t="s">
        <v>53</v>
      </c>
      <c r="B3311" t="s">
        <v>18</v>
      </c>
      <c r="C3311" t="s">
        <v>4914</v>
      </c>
      <c r="D3311" t="s">
        <v>3399</v>
      </c>
      <c r="E3311">
        <v>86084.1423111863</v>
      </c>
      <c r="F3311">
        <v>30100.6058488916</v>
      </c>
      <c r="G3311">
        <v>26982.1482621454</v>
      </c>
      <c r="H3311">
        <v>18770.6283412915</v>
      </c>
      <c r="I3311">
        <v>143166.9</v>
      </c>
      <c r="J3311">
        <v>124396.27</v>
      </c>
      <c r="K3311" s="1"/>
      <c r="L3311" s="1"/>
      <c r="M3311" s="1"/>
      <c r="N3311" s="1"/>
    </row>
    <row r="3312" ht="15.75" customHeight="1">
      <c r="A3312" t="s">
        <v>36</v>
      </c>
      <c r="B3312" t="s">
        <v>18</v>
      </c>
      <c r="C3312" t="s">
        <v>4914</v>
      </c>
      <c r="D3312" t="s">
        <v>3400</v>
      </c>
      <c r="E3312">
        <v>86095.0252810925</v>
      </c>
      <c r="F3312">
        <v>30105.220567219</v>
      </c>
      <c r="G3312">
        <v>26989.8282655749</v>
      </c>
      <c r="H3312">
        <v>18774.0258919788</v>
      </c>
      <c r="I3312">
        <v>143190.07</v>
      </c>
      <c r="J3312">
        <v>124416.04</v>
      </c>
      <c r="K3312" s="1"/>
      <c r="L3312" s="1"/>
      <c r="M3312" s="1"/>
      <c r="N3312" s="1"/>
    </row>
    <row r="3313" ht="15.75" customHeight="1">
      <c r="A3313" t="s">
        <v>25</v>
      </c>
      <c r="B3313" t="s">
        <v>30</v>
      </c>
      <c r="C3313" t="s">
        <v>4911</v>
      </c>
      <c r="D3313" t="s">
        <v>3401</v>
      </c>
      <c r="E3313">
        <v>86105.9082509987</v>
      </c>
      <c r="F3313">
        <v>30109.8352855465</v>
      </c>
      <c r="G3313">
        <v>26997.5082690044</v>
      </c>
      <c r="H3313">
        <v>18777.4234426661</v>
      </c>
      <c r="I3313">
        <v>143213.25</v>
      </c>
      <c r="J3313">
        <v>124435.83</v>
      </c>
      <c r="K3313" s="1"/>
      <c r="L3313" s="1"/>
      <c r="M3313" s="1"/>
      <c r="N3313" s="1"/>
    </row>
    <row r="3314" ht="15.75" customHeight="1">
      <c r="A3314" t="s">
        <v>13</v>
      </c>
      <c r="B3314" t="s">
        <v>30</v>
      </c>
      <c r="C3314" t="s">
        <v>4911</v>
      </c>
      <c r="D3314" t="s">
        <v>3402</v>
      </c>
      <c r="E3314">
        <v>86116.7912209049</v>
      </c>
      <c r="F3314">
        <v>30114.4500038739</v>
      </c>
      <c r="G3314">
        <v>27005.1882724339</v>
      </c>
      <c r="H3314">
        <v>18780.8209933534</v>
      </c>
      <c r="I3314">
        <v>143236.43</v>
      </c>
      <c r="J3314">
        <v>124455.61</v>
      </c>
      <c r="K3314" s="1"/>
      <c r="L3314" s="1"/>
      <c r="M3314" s="1"/>
      <c r="N3314" s="1"/>
    </row>
    <row r="3315" ht="15.75" customHeight="1">
      <c r="A3315" t="s">
        <v>17</v>
      </c>
      <c r="B3315" t="s">
        <v>26</v>
      </c>
      <c r="C3315" t="s">
        <v>4909</v>
      </c>
      <c r="D3315" t="s">
        <v>3403</v>
      </c>
      <c r="E3315">
        <v>86127.6741908111</v>
      </c>
      <c r="F3315">
        <v>30119.0647222013</v>
      </c>
      <c r="G3315">
        <v>27012.8682758634</v>
      </c>
      <c r="H3315">
        <v>18784.2185440407</v>
      </c>
      <c r="I3315">
        <v>143259.61</v>
      </c>
      <c r="J3315">
        <v>124475.39</v>
      </c>
      <c r="K3315" s="1"/>
      <c r="L3315" s="1"/>
      <c r="M3315" s="1"/>
      <c r="N3315" s="1"/>
    </row>
    <row r="3316" ht="15.75" customHeight="1">
      <c r="A3316" t="s">
        <v>51</v>
      </c>
      <c r="B3316" t="s">
        <v>26</v>
      </c>
      <c r="C3316" t="s">
        <v>4913</v>
      </c>
      <c r="D3316" t="s">
        <v>3404</v>
      </c>
      <c r="E3316">
        <v>86138.5571607173</v>
      </c>
      <c r="F3316">
        <v>30123.6794405287</v>
      </c>
      <c r="G3316">
        <v>27020.5482792929</v>
      </c>
      <c r="H3316">
        <v>18787.6160947279</v>
      </c>
      <c r="I3316">
        <v>143282.78</v>
      </c>
      <c r="J3316">
        <v>124495.16</v>
      </c>
      <c r="K3316" s="1"/>
      <c r="L3316" s="1"/>
      <c r="M3316" s="1"/>
      <c r="N3316" s="1"/>
    </row>
    <row r="3317" ht="15.75" customHeight="1">
      <c r="A3317" t="s">
        <v>53</v>
      </c>
      <c r="B3317" t="s">
        <v>14</v>
      </c>
      <c r="C3317" t="s">
        <v>4910</v>
      </c>
      <c r="D3317" t="s">
        <v>3405</v>
      </c>
      <c r="E3317">
        <v>86160.3231005297</v>
      </c>
      <c r="F3317">
        <v>30132.9088771836</v>
      </c>
      <c r="G3317">
        <v>27035.9082861519</v>
      </c>
      <c r="H3317">
        <v>18794.4111961025</v>
      </c>
      <c r="I3317">
        <v>143329.14</v>
      </c>
      <c r="J3317">
        <v>124534.73</v>
      </c>
      <c r="K3317" s="1"/>
      <c r="L3317" s="1"/>
      <c r="M3317" s="1"/>
      <c r="N3317" s="1"/>
    </row>
    <row r="3318" ht="15.75" customHeight="1">
      <c r="A3318" t="s">
        <v>53</v>
      </c>
      <c r="B3318" t="s">
        <v>18</v>
      </c>
      <c r="C3318" t="s">
        <v>4909</v>
      </c>
      <c r="D3318" t="s">
        <v>3406</v>
      </c>
      <c r="E3318">
        <v>86171.2060704359</v>
      </c>
      <c r="F3318">
        <v>30137.523595511</v>
      </c>
      <c r="G3318">
        <v>27043.5882895814</v>
      </c>
      <c r="H3318">
        <v>18797.8087467898</v>
      </c>
      <c r="I3318">
        <v>143352.32</v>
      </c>
      <c r="J3318">
        <v>124554.51</v>
      </c>
      <c r="K3318" s="1"/>
      <c r="L3318" s="1"/>
      <c r="M3318" s="1"/>
      <c r="N3318" s="1"/>
    </row>
    <row r="3319" ht="15.75" customHeight="1">
      <c r="A3319" t="s">
        <v>36</v>
      </c>
      <c r="B3319" t="s">
        <v>37</v>
      </c>
      <c r="C3319" t="s">
        <v>4912</v>
      </c>
      <c r="D3319" t="s">
        <v>3407</v>
      </c>
      <c r="E3319">
        <v>86192.9720102483</v>
      </c>
      <c r="F3319">
        <v>30146.7530321658</v>
      </c>
      <c r="G3319">
        <v>27058.9482964404</v>
      </c>
      <c r="H3319">
        <v>18804.6038481644</v>
      </c>
      <c r="I3319">
        <v>143398.67</v>
      </c>
      <c r="J3319">
        <v>124594.07</v>
      </c>
      <c r="K3319" s="1"/>
      <c r="L3319" s="1"/>
      <c r="M3319" s="1"/>
      <c r="N3319" s="1"/>
    </row>
    <row r="3320" ht="15.75" customHeight="1">
      <c r="A3320" t="s">
        <v>53</v>
      </c>
      <c r="B3320" t="s">
        <v>18</v>
      </c>
      <c r="C3320" t="s">
        <v>4917</v>
      </c>
      <c r="D3320" t="s">
        <v>3408</v>
      </c>
      <c r="E3320">
        <v>86203.8549801545</v>
      </c>
      <c r="F3320">
        <v>30151.3677504933</v>
      </c>
      <c r="G3320">
        <v>27066.6282998699</v>
      </c>
      <c r="H3320">
        <v>18808.0013988517</v>
      </c>
      <c r="I3320">
        <v>143421.85</v>
      </c>
      <c r="J3320">
        <v>124613.85</v>
      </c>
      <c r="K3320" s="1"/>
      <c r="L3320" s="1"/>
      <c r="M3320" s="1"/>
      <c r="N3320" s="1"/>
    </row>
    <row r="3321" ht="15.75" customHeight="1">
      <c r="A3321" t="s">
        <v>25</v>
      </c>
      <c r="B3321" t="s">
        <v>14</v>
      </c>
      <c r="C3321" t="s">
        <v>4917</v>
      </c>
      <c r="D3321" t="s">
        <v>3409</v>
      </c>
      <c r="E3321">
        <v>86214.7379500607</v>
      </c>
      <c r="F3321">
        <v>30155.9824688207</v>
      </c>
      <c r="G3321">
        <v>27074.3083032994</v>
      </c>
      <c r="H3321">
        <v>18811.398949539</v>
      </c>
      <c r="I3321">
        <v>143445.03</v>
      </c>
      <c r="J3321">
        <v>124633.63</v>
      </c>
      <c r="K3321" s="1"/>
      <c r="L3321" s="1"/>
      <c r="M3321" s="1"/>
      <c r="N3321" s="1"/>
    </row>
    <row r="3322" ht="15.75" customHeight="1">
      <c r="A3322" t="s">
        <v>13</v>
      </c>
      <c r="B3322" t="s">
        <v>18</v>
      </c>
      <c r="C3322" t="s">
        <v>4915</v>
      </c>
      <c r="D3322" t="s">
        <v>3410</v>
      </c>
      <c r="E3322">
        <v>86225.6209199668</v>
      </c>
      <c r="F3322">
        <v>30160.5971871481</v>
      </c>
      <c r="G3322">
        <v>27081.9883067289</v>
      </c>
      <c r="H3322">
        <v>18814.7965002262</v>
      </c>
      <c r="I3322">
        <v>143468.21</v>
      </c>
      <c r="J3322">
        <v>124653.41</v>
      </c>
      <c r="K3322" s="1"/>
      <c r="L3322" s="1"/>
      <c r="M3322" s="1"/>
      <c r="N3322" s="1"/>
    </row>
    <row r="3323" ht="15.75" customHeight="1">
      <c r="A3323" t="s">
        <v>53</v>
      </c>
      <c r="B3323" t="s">
        <v>18</v>
      </c>
      <c r="C3323" t="s">
        <v>4911</v>
      </c>
      <c r="D3323" t="s">
        <v>3411</v>
      </c>
      <c r="E3323">
        <v>86236.503889873</v>
      </c>
      <c r="F3323">
        <v>30165.2119054755</v>
      </c>
      <c r="G3323">
        <v>27089.6683101584</v>
      </c>
      <c r="H3323">
        <v>18818.1940509135</v>
      </c>
      <c r="I3323">
        <v>143491.38</v>
      </c>
      <c r="J3323">
        <v>124673.19</v>
      </c>
      <c r="K3323" s="1"/>
      <c r="L3323" s="1"/>
      <c r="M3323" s="1"/>
      <c r="N3323" s="1"/>
    </row>
    <row r="3324" ht="15.75" customHeight="1">
      <c r="A3324" t="s">
        <v>53</v>
      </c>
      <c r="B3324" t="s">
        <v>54</v>
      </c>
      <c r="C3324" t="s">
        <v>4908</v>
      </c>
      <c r="D3324" t="s">
        <v>3412</v>
      </c>
      <c r="E3324">
        <v>86247.3868597792</v>
      </c>
      <c r="F3324">
        <v>30169.8266238029</v>
      </c>
      <c r="G3324">
        <v>27097.3483135879</v>
      </c>
      <c r="H3324">
        <v>18821.5916016008</v>
      </c>
      <c r="I3324">
        <v>143514.56</v>
      </c>
      <c r="J3324">
        <v>124692.97</v>
      </c>
      <c r="K3324" s="1"/>
      <c r="L3324" s="1"/>
      <c r="M3324" s="1"/>
      <c r="N3324" s="1"/>
    </row>
    <row r="3325" ht="15.75" customHeight="1">
      <c r="A3325" t="s">
        <v>17</v>
      </c>
      <c r="B3325" t="s">
        <v>54</v>
      </c>
      <c r="C3325" t="s">
        <v>4909</v>
      </c>
      <c r="D3325" t="s">
        <v>3413</v>
      </c>
      <c r="E3325">
        <v>86258.2698296854</v>
      </c>
      <c r="F3325">
        <v>30174.4413421304</v>
      </c>
      <c r="G3325">
        <v>27105.0283170174</v>
      </c>
      <c r="H3325">
        <v>18824.9891522881</v>
      </c>
      <c r="I3325">
        <v>143537.74</v>
      </c>
      <c r="J3325">
        <v>124712.75</v>
      </c>
      <c r="K3325" s="1"/>
      <c r="L3325" s="1"/>
      <c r="M3325" s="1"/>
      <c r="N3325" s="1"/>
    </row>
    <row r="3326" ht="15.75" customHeight="1">
      <c r="A3326" t="s">
        <v>13</v>
      </c>
      <c r="B3326" t="s">
        <v>37</v>
      </c>
      <c r="C3326" t="s">
        <v>4908</v>
      </c>
      <c r="D3326" t="s">
        <v>3414</v>
      </c>
      <c r="E3326">
        <v>86269.1527995916</v>
      </c>
      <c r="F3326">
        <v>30179.0560604578</v>
      </c>
      <c r="G3326">
        <v>27112.7083204469</v>
      </c>
      <c r="H3326">
        <v>18828.3867029754</v>
      </c>
      <c r="I3326">
        <v>143560.92</v>
      </c>
      <c r="J3326">
        <v>124732.53</v>
      </c>
      <c r="K3326" s="1"/>
      <c r="L3326" s="1"/>
      <c r="M3326" s="1"/>
      <c r="N3326" s="1"/>
    </row>
    <row r="3327" ht="15.75" customHeight="1">
      <c r="A3327" t="s">
        <v>36</v>
      </c>
      <c r="B3327" t="s">
        <v>14</v>
      </c>
      <c r="C3327" t="s">
        <v>4908</v>
      </c>
      <c r="D3327" t="s">
        <v>3415</v>
      </c>
      <c r="E3327">
        <v>86280.0357694978</v>
      </c>
      <c r="F3327">
        <v>30183.6707787852</v>
      </c>
      <c r="G3327">
        <v>27120.3883238764</v>
      </c>
      <c r="H3327">
        <v>18831.7842536627</v>
      </c>
      <c r="I3327">
        <v>143584.09</v>
      </c>
      <c r="J3327">
        <v>124752.31</v>
      </c>
      <c r="K3327" s="1"/>
      <c r="L3327" s="1"/>
      <c r="M3327" s="1"/>
      <c r="N3327" s="1"/>
    </row>
    <row r="3328" ht="15.75" customHeight="1">
      <c r="A3328" t="s">
        <v>53</v>
      </c>
      <c r="B3328" t="s">
        <v>18</v>
      </c>
      <c r="C3328" t="s">
        <v>4910</v>
      </c>
      <c r="D3328" t="s">
        <v>3416</v>
      </c>
      <c r="E3328">
        <v>86290.918739404</v>
      </c>
      <c r="F3328">
        <v>30188.2854971126</v>
      </c>
      <c r="G3328">
        <v>27128.0683273059</v>
      </c>
      <c r="H3328">
        <v>18835.18180435</v>
      </c>
      <c r="I3328">
        <v>143607.27</v>
      </c>
      <c r="J3328">
        <v>124772.09</v>
      </c>
      <c r="K3328" s="1"/>
      <c r="L3328" s="1"/>
      <c r="M3328" s="1"/>
      <c r="N3328" s="1"/>
    </row>
    <row r="3329" ht="15.75" customHeight="1">
      <c r="A3329" t="s">
        <v>29</v>
      </c>
      <c r="B3329" t="s">
        <v>26</v>
      </c>
      <c r="C3329" t="s">
        <v>4915</v>
      </c>
      <c r="D3329" t="s">
        <v>3417</v>
      </c>
      <c r="E3329">
        <v>86301.8017093102</v>
      </c>
      <c r="F3329">
        <v>30192.9002154401</v>
      </c>
      <c r="G3329">
        <v>27135.7483307354</v>
      </c>
      <c r="H3329">
        <v>18838.5793550372</v>
      </c>
      <c r="I3329">
        <v>143630.45</v>
      </c>
      <c r="J3329">
        <v>124791.87</v>
      </c>
      <c r="K3329" s="1"/>
      <c r="L3329" s="1"/>
      <c r="M3329" s="1"/>
      <c r="N3329" s="1"/>
    </row>
    <row r="3330" ht="15.75" customHeight="1">
      <c r="A3330" t="s">
        <v>13</v>
      </c>
      <c r="B3330" t="s">
        <v>30</v>
      </c>
      <c r="C3330" t="s">
        <v>4910</v>
      </c>
      <c r="D3330" t="s">
        <v>3418</v>
      </c>
      <c r="E3330">
        <v>86312.6846792164</v>
      </c>
      <c r="F3330">
        <v>30197.5149337675</v>
      </c>
      <c r="G3330">
        <v>27143.4283341649</v>
      </c>
      <c r="H3330">
        <v>18841.9769057245</v>
      </c>
      <c r="I3330">
        <v>143653.63</v>
      </c>
      <c r="J3330">
        <v>124811.65</v>
      </c>
      <c r="K3330" s="1"/>
      <c r="L3330" s="1"/>
      <c r="M3330" s="1"/>
      <c r="N3330" s="1"/>
    </row>
    <row r="3331" ht="15.75" customHeight="1">
      <c r="A3331" t="s">
        <v>13</v>
      </c>
      <c r="B3331" t="s">
        <v>33</v>
      </c>
      <c r="C3331" t="s">
        <v>4912</v>
      </c>
      <c r="D3331" t="s">
        <v>3419</v>
      </c>
      <c r="E3331">
        <v>86323.5676491226</v>
      </c>
      <c r="F3331">
        <v>30202.1296520949</v>
      </c>
      <c r="G3331">
        <v>27151.1083375944</v>
      </c>
      <c r="H3331">
        <v>18845.3744564118</v>
      </c>
      <c r="I3331">
        <v>143676.81</v>
      </c>
      <c r="J3331">
        <v>124831.44</v>
      </c>
      <c r="K3331" s="1"/>
      <c r="L3331" s="1"/>
      <c r="M3331" s="1"/>
      <c r="N3331" s="1"/>
    </row>
    <row r="3332" ht="15.75" customHeight="1">
      <c r="A3332" t="s">
        <v>13</v>
      </c>
      <c r="B3332" t="s">
        <v>30</v>
      </c>
      <c r="C3332" t="s">
        <v>4915</v>
      </c>
      <c r="D3332" t="s">
        <v>3420</v>
      </c>
      <c r="E3332">
        <v>86334.4506190288</v>
      </c>
      <c r="F3332">
        <v>30206.7443704223</v>
      </c>
      <c r="G3332">
        <v>27158.7883410239</v>
      </c>
      <c r="H3332">
        <v>18848.7720070991</v>
      </c>
      <c r="I3332">
        <v>143699.98</v>
      </c>
      <c r="J3332">
        <v>124851.21</v>
      </c>
      <c r="K3332" s="1"/>
      <c r="L3332" s="1"/>
      <c r="M3332" s="1"/>
      <c r="N3332" s="1"/>
    </row>
    <row r="3333" ht="15.75" customHeight="1">
      <c r="A3333" t="s">
        <v>13</v>
      </c>
      <c r="B3333" t="s">
        <v>26</v>
      </c>
      <c r="C3333" t="s">
        <v>4914</v>
      </c>
      <c r="D3333" t="s">
        <v>3421</v>
      </c>
      <c r="E3333">
        <v>86345.333588935</v>
      </c>
      <c r="F3333">
        <v>30211.3590887497</v>
      </c>
      <c r="G3333">
        <v>27166.4683444533</v>
      </c>
      <c r="H3333">
        <v>18852.1695577864</v>
      </c>
      <c r="I3333">
        <v>143723.16</v>
      </c>
      <c r="J3333">
        <v>124870.99</v>
      </c>
      <c r="K3333" s="1"/>
      <c r="L3333" s="1"/>
      <c r="M3333" s="1"/>
      <c r="N3333" s="1"/>
    </row>
    <row r="3334" ht="15.75" customHeight="1">
      <c r="A3334" t="s">
        <v>17</v>
      </c>
      <c r="B3334" t="s">
        <v>18</v>
      </c>
      <c r="C3334" t="s">
        <v>4909</v>
      </c>
      <c r="D3334" t="s">
        <v>3422</v>
      </c>
      <c r="E3334">
        <v>86356.2165588412</v>
      </c>
      <c r="F3334">
        <v>30215.9738070772</v>
      </c>
      <c r="G3334">
        <v>27174.1483478828</v>
      </c>
      <c r="H3334">
        <v>18855.5671084737</v>
      </c>
      <c r="I3334">
        <v>143746.34</v>
      </c>
      <c r="J3334">
        <v>124890.77</v>
      </c>
      <c r="K3334" s="1"/>
      <c r="L3334" s="1"/>
      <c r="M3334" s="1"/>
      <c r="N3334" s="1"/>
    </row>
    <row r="3335" ht="15.75" customHeight="1">
      <c r="A3335" t="s">
        <v>25</v>
      </c>
      <c r="B3335" t="s">
        <v>33</v>
      </c>
      <c r="C3335" t="s">
        <v>4907</v>
      </c>
      <c r="D3335" t="s">
        <v>3423</v>
      </c>
      <c r="E3335">
        <v>86367.0995287474</v>
      </c>
      <c r="F3335">
        <v>30220.5885254046</v>
      </c>
      <c r="G3335">
        <v>27181.8283513123</v>
      </c>
      <c r="H3335">
        <v>18858.964659161</v>
      </c>
      <c r="I3335">
        <v>143769.52</v>
      </c>
      <c r="J3335">
        <v>124910.56</v>
      </c>
      <c r="K3335" s="1"/>
      <c r="L3335" s="1"/>
      <c r="M3335" s="1"/>
      <c r="N3335" s="1"/>
    </row>
    <row r="3336" ht="15.75" customHeight="1">
      <c r="A3336" t="s">
        <v>29</v>
      </c>
      <c r="B3336" t="s">
        <v>18</v>
      </c>
      <c r="C3336" t="s">
        <v>4910</v>
      </c>
      <c r="D3336" t="s">
        <v>3425</v>
      </c>
      <c r="E3336">
        <v>86377.9824986536</v>
      </c>
      <c r="F3336">
        <v>30225.203243732</v>
      </c>
      <c r="G3336">
        <v>27189.5083547418</v>
      </c>
      <c r="H3336">
        <v>18862.3622098483</v>
      </c>
      <c r="I3336">
        <v>143792.69</v>
      </c>
      <c r="J3336">
        <v>124930.33</v>
      </c>
      <c r="K3336" s="1"/>
      <c r="L3336" s="1"/>
      <c r="M3336" s="1"/>
      <c r="N3336" s="1"/>
    </row>
    <row r="3337" ht="15.75" customHeight="1">
      <c r="A3337" t="s">
        <v>51</v>
      </c>
      <c r="B3337" t="s">
        <v>14</v>
      </c>
      <c r="C3337" t="s">
        <v>4916</v>
      </c>
      <c r="D3337" t="s">
        <v>3426</v>
      </c>
      <c r="E3337">
        <v>86388.8654685598</v>
      </c>
      <c r="F3337">
        <v>30229.8179620594</v>
      </c>
      <c r="G3337">
        <v>27197.1883581713</v>
      </c>
      <c r="H3337">
        <v>18865.7597605355</v>
      </c>
      <c r="I3337">
        <v>143815.87</v>
      </c>
      <c r="J3337">
        <v>124950.11</v>
      </c>
      <c r="K3337" s="1"/>
      <c r="L3337" s="1"/>
      <c r="M3337" s="1"/>
      <c r="N3337" s="1"/>
    </row>
    <row r="3338" ht="15.75" customHeight="1">
      <c r="A3338" t="s">
        <v>13</v>
      </c>
      <c r="B3338" t="s">
        <v>54</v>
      </c>
      <c r="C3338" t="s">
        <v>4908</v>
      </c>
      <c r="D3338" t="s">
        <v>3427</v>
      </c>
      <c r="E3338">
        <v>86399.7484384659</v>
      </c>
      <c r="F3338">
        <v>30234.4326803869</v>
      </c>
      <c r="G3338">
        <v>27204.8683616008</v>
      </c>
      <c r="H3338">
        <v>18869.1573112228</v>
      </c>
      <c r="I3338">
        <v>143839.05</v>
      </c>
      <c r="J3338">
        <v>124969.89</v>
      </c>
      <c r="K3338" s="1"/>
      <c r="L3338" s="1"/>
      <c r="M3338" s="1"/>
      <c r="N3338" s="1"/>
    </row>
    <row r="3339" ht="15.75" customHeight="1">
      <c r="A3339" t="s">
        <v>51</v>
      </c>
      <c r="B3339" t="s">
        <v>30</v>
      </c>
      <c r="C3339" t="s">
        <v>4916</v>
      </c>
      <c r="D3339" t="s">
        <v>3428</v>
      </c>
      <c r="E3339">
        <v>86410.6314083721</v>
      </c>
      <c r="F3339">
        <v>30239.0473987143</v>
      </c>
      <c r="G3339">
        <v>27212.5483650303</v>
      </c>
      <c r="H3339">
        <v>18872.5548619101</v>
      </c>
      <c r="I3339">
        <v>143862.23</v>
      </c>
      <c r="J3339">
        <v>124989.68</v>
      </c>
      <c r="K3339" s="1"/>
      <c r="L3339" s="1"/>
      <c r="M3339" s="1"/>
      <c r="N3339" s="1"/>
    </row>
    <row r="3340" ht="15.75" customHeight="1">
      <c r="A3340" t="s">
        <v>25</v>
      </c>
      <c r="B3340" t="s">
        <v>33</v>
      </c>
      <c r="C3340" t="s">
        <v>4917</v>
      </c>
      <c r="D3340" t="s">
        <v>3429</v>
      </c>
      <c r="E3340">
        <v>86421.5143782783</v>
      </c>
      <c r="F3340">
        <v>30243.6621170417</v>
      </c>
      <c r="G3340">
        <v>27220.2283684598</v>
      </c>
      <c r="H3340">
        <v>18875.9524125974</v>
      </c>
      <c r="I3340">
        <v>143885.4</v>
      </c>
      <c r="J3340">
        <v>125009.45</v>
      </c>
      <c r="K3340" s="1"/>
      <c r="L3340" s="1"/>
      <c r="M3340" s="1"/>
      <c r="N3340" s="1"/>
    </row>
    <row r="3341" ht="15.75" customHeight="1">
      <c r="A3341" t="s">
        <v>17</v>
      </c>
      <c r="B3341" t="s">
        <v>54</v>
      </c>
      <c r="C3341" t="s">
        <v>4911</v>
      </c>
      <c r="D3341" t="s">
        <v>3430</v>
      </c>
      <c r="E3341">
        <v>86432.3973481845</v>
      </c>
      <c r="F3341">
        <v>30248.2768353691</v>
      </c>
      <c r="G3341">
        <v>27227.9083718893</v>
      </c>
      <c r="H3341">
        <v>18879.3499632847</v>
      </c>
      <c r="I3341">
        <v>143908.58</v>
      </c>
      <c r="J3341">
        <v>125029.23</v>
      </c>
      <c r="K3341" s="1"/>
      <c r="L3341" s="1"/>
      <c r="M3341" s="1"/>
      <c r="N3341" s="1"/>
    </row>
    <row r="3342" ht="15.75" customHeight="1">
      <c r="A3342" t="s">
        <v>29</v>
      </c>
      <c r="B3342" t="s">
        <v>37</v>
      </c>
      <c r="C3342" t="s">
        <v>4912</v>
      </c>
      <c r="D3342" t="s">
        <v>3431</v>
      </c>
      <c r="E3342">
        <v>86443.2803180907</v>
      </c>
      <c r="F3342">
        <v>30252.8915536965</v>
      </c>
      <c r="G3342">
        <v>27235.5883753188</v>
      </c>
      <c r="H3342">
        <v>18882.747513972</v>
      </c>
      <c r="I3342">
        <v>143931.76</v>
      </c>
      <c r="J3342">
        <v>125049.01</v>
      </c>
      <c r="K3342" s="1"/>
      <c r="L3342" s="1"/>
      <c r="M3342" s="1"/>
      <c r="N3342" s="1"/>
    </row>
    <row r="3343" ht="15.75" customHeight="1">
      <c r="A3343" t="s">
        <v>36</v>
      </c>
      <c r="B3343" t="s">
        <v>33</v>
      </c>
      <c r="C3343" t="s">
        <v>4911</v>
      </c>
      <c r="D3343" t="s">
        <v>3432</v>
      </c>
      <c r="E3343">
        <v>86454.1632879969</v>
      </c>
      <c r="F3343">
        <v>30257.506272024</v>
      </c>
      <c r="G3343">
        <v>27243.2683787483</v>
      </c>
      <c r="H3343">
        <v>18886.1450646593</v>
      </c>
      <c r="I3343">
        <v>143954.94</v>
      </c>
      <c r="J3343">
        <v>125068.79</v>
      </c>
      <c r="K3343" s="1"/>
      <c r="L3343" s="1"/>
      <c r="M3343" s="1"/>
      <c r="N3343" s="1"/>
    </row>
    <row r="3344" ht="15.75" customHeight="1">
      <c r="A3344" t="s">
        <v>36</v>
      </c>
      <c r="B3344" t="s">
        <v>33</v>
      </c>
      <c r="C3344" t="s">
        <v>4908</v>
      </c>
      <c r="D3344" t="s">
        <v>3433</v>
      </c>
      <c r="E3344">
        <v>86465.0462579031</v>
      </c>
      <c r="F3344">
        <v>30262.1209903514</v>
      </c>
      <c r="G3344">
        <v>27250.9483821778</v>
      </c>
      <c r="H3344">
        <v>18889.5426153466</v>
      </c>
      <c r="I3344">
        <v>143978.12</v>
      </c>
      <c r="J3344">
        <v>125088.58</v>
      </c>
      <c r="K3344" s="1"/>
      <c r="L3344" s="1"/>
      <c r="M3344" s="1"/>
      <c r="N3344" s="1"/>
    </row>
    <row r="3345" ht="15.75" customHeight="1">
      <c r="A3345" t="s">
        <v>36</v>
      </c>
      <c r="B3345" t="s">
        <v>14</v>
      </c>
      <c r="C3345" t="s">
        <v>4913</v>
      </c>
      <c r="D3345" t="s">
        <v>3434</v>
      </c>
      <c r="E3345">
        <v>86475.9292278093</v>
      </c>
      <c r="F3345">
        <v>30266.7357086788</v>
      </c>
      <c r="G3345">
        <v>27258.6283856073</v>
      </c>
      <c r="H3345">
        <v>18892.9401660338</v>
      </c>
      <c r="I3345">
        <v>144001.29</v>
      </c>
      <c r="J3345">
        <v>125108.35</v>
      </c>
      <c r="K3345" s="1"/>
      <c r="L3345" s="1"/>
      <c r="M3345" s="1"/>
      <c r="N3345" s="1"/>
    </row>
    <row r="3346" ht="15.75" customHeight="1">
      <c r="A3346" t="s">
        <v>53</v>
      </c>
      <c r="B3346" t="s">
        <v>26</v>
      </c>
      <c r="C3346" t="s">
        <v>4911</v>
      </c>
      <c r="D3346" t="s">
        <v>3435</v>
      </c>
      <c r="E3346">
        <v>86486.8121977155</v>
      </c>
      <c r="F3346">
        <v>30271.3504270062</v>
      </c>
      <c r="G3346">
        <v>27266.3083890368</v>
      </c>
      <c r="H3346">
        <v>18896.3377167211</v>
      </c>
      <c r="I3346">
        <v>144024.47</v>
      </c>
      <c r="J3346">
        <v>125128.13</v>
      </c>
      <c r="K3346" s="1"/>
      <c r="L3346" s="1"/>
      <c r="M3346" s="1"/>
      <c r="N3346" s="1"/>
    </row>
    <row r="3347" ht="15.75" customHeight="1">
      <c r="A3347" t="s">
        <v>36</v>
      </c>
      <c r="B3347" t="s">
        <v>18</v>
      </c>
      <c r="C3347" t="s">
        <v>4916</v>
      </c>
      <c r="D3347" t="s">
        <v>3436</v>
      </c>
      <c r="E3347">
        <v>86508.5781375279</v>
      </c>
      <c r="F3347">
        <v>30280.5798636611</v>
      </c>
      <c r="G3347">
        <v>27281.6683958958</v>
      </c>
      <c r="H3347">
        <v>18903.1328180957</v>
      </c>
      <c r="I3347">
        <v>144070.83</v>
      </c>
      <c r="J3347">
        <v>125167.7</v>
      </c>
      <c r="K3347" s="1"/>
      <c r="L3347" s="1"/>
      <c r="M3347" s="1"/>
      <c r="N3347" s="1"/>
    </row>
    <row r="3348" ht="15.75" customHeight="1">
      <c r="A3348" t="s">
        <v>29</v>
      </c>
      <c r="B3348" t="s">
        <v>37</v>
      </c>
      <c r="C3348" t="s">
        <v>4917</v>
      </c>
      <c r="D3348" t="s">
        <v>3437</v>
      </c>
      <c r="E3348">
        <v>86519.4611074341</v>
      </c>
      <c r="F3348">
        <v>30285.1945819885</v>
      </c>
      <c r="G3348">
        <v>27289.3483993253</v>
      </c>
      <c r="H3348">
        <v>18906.530368783</v>
      </c>
      <c r="I3348">
        <v>144094.0</v>
      </c>
      <c r="J3348">
        <v>125187.47</v>
      </c>
      <c r="K3348" s="1"/>
      <c r="L3348" s="1"/>
      <c r="M3348" s="1"/>
      <c r="N3348" s="1"/>
    </row>
    <row r="3349" ht="15.75" customHeight="1">
      <c r="A3349" t="s">
        <v>13</v>
      </c>
      <c r="B3349" t="s">
        <v>26</v>
      </c>
      <c r="C3349" t="s">
        <v>4911</v>
      </c>
      <c r="D3349" t="s">
        <v>3438</v>
      </c>
      <c r="E3349">
        <v>71656.69906138915</v>
      </c>
      <c r="F3349">
        <v>30289.8093003159</v>
      </c>
      <c r="G3349">
        <v>27297.0284027548</v>
      </c>
      <c r="H3349">
        <v>18909.9279194703</v>
      </c>
      <c r="I3349">
        <v>129243.54</v>
      </c>
      <c r="J3349">
        <v>110333.61</v>
      </c>
      <c r="K3349" s="1"/>
      <c r="L3349" s="1"/>
      <c r="M3349" s="1"/>
      <c r="N3349" s="1"/>
    </row>
    <row r="3350" ht="15.75" customHeight="1">
      <c r="A3350" t="s">
        <v>36</v>
      </c>
      <c r="B3350" t="s">
        <v>54</v>
      </c>
      <c r="C3350" t="s">
        <v>4912</v>
      </c>
      <c r="D3350" t="s">
        <v>3439</v>
      </c>
      <c r="E3350">
        <v>86541.2270472465</v>
      </c>
      <c r="F3350">
        <v>30294.4240186433</v>
      </c>
      <c r="G3350">
        <v>27304.7084061843</v>
      </c>
      <c r="H3350">
        <v>18913.3254701576</v>
      </c>
      <c r="I3350">
        <v>144140.36</v>
      </c>
      <c r="J3350">
        <v>125227.03</v>
      </c>
      <c r="K3350" s="1"/>
      <c r="L3350" s="1"/>
      <c r="M3350" s="1"/>
      <c r="N3350" s="1"/>
    </row>
    <row r="3351" ht="15.75" customHeight="1">
      <c r="A3351" t="s">
        <v>53</v>
      </c>
      <c r="B3351" t="s">
        <v>18</v>
      </c>
      <c r="C3351" t="s">
        <v>4915</v>
      </c>
      <c r="D3351" t="s">
        <v>3440</v>
      </c>
      <c r="E3351">
        <v>86552.1100171527</v>
      </c>
      <c r="F3351">
        <v>30299.0387369708</v>
      </c>
      <c r="G3351">
        <v>27312.3884096138</v>
      </c>
      <c r="H3351">
        <v>18916.7230208448</v>
      </c>
      <c r="I3351">
        <v>144163.54</v>
      </c>
      <c r="J3351">
        <v>125246.82</v>
      </c>
      <c r="K3351" s="1"/>
      <c r="L3351" s="1"/>
      <c r="M3351" s="1"/>
      <c r="N3351" s="1"/>
    </row>
    <row r="3352" ht="15.75" customHeight="1">
      <c r="A3352" t="s">
        <v>13</v>
      </c>
      <c r="B3352" t="s">
        <v>14</v>
      </c>
      <c r="C3352" t="s">
        <v>4914</v>
      </c>
      <c r="D3352" t="s">
        <v>3441</v>
      </c>
      <c r="E3352">
        <v>86562.9929870588</v>
      </c>
      <c r="F3352">
        <v>30303.6534552982</v>
      </c>
      <c r="G3352">
        <v>27320.0684130433</v>
      </c>
      <c r="H3352">
        <v>18920.1205715321</v>
      </c>
      <c r="I3352">
        <v>144186.71</v>
      </c>
      <c r="J3352">
        <v>125266.59</v>
      </c>
      <c r="K3352" s="1"/>
      <c r="L3352" s="1"/>
      <c r="M3352" s="1"/>
      <c r="N3352" s="1"/>
    </row>
    <row r="3353" ht="15.75" customHeight="1">
      <c r="A3353" t="s">
        <v>51</v>
      </c>
      <c r="B3353" t="s">
        <v>14</v>
      </c>
      <c r="C3353" t="s">
        <v>4917</v>
      </c>
      <c r="D3353" t="s">
        <v>3442</v>
      </c>
      <c r="E3353">
        <v>86573.875956965</v>
      </c>
      <c r="F3353">
        <v>30308.2681736256</v>
      </c>
      <c r="G3353">
        <v>27327.7484164728</v>
      </c>
      <c r="H3353">
        <v>18923.5181222194</v>
      </c>
      <c r="I3353">
        <v>144209.89</v>
      </c>
      <c r="J3353">
        <v>125286.37</v>
      </c>
      <c r="K3353" s="1"/>
      <c r="L3353" s="1"/>
      <c r="M3353" s="1"/>
      <c r="N3353" s="1"/>
    </row>
    <row r="3354" ht="15.75" customHeight="1">
      <c r="A3354" t="s">
        <v>13</v>
      </c>
      <c r="B3354" t="s">
        <v>18</v>
      </c>
      <c r="C3354" t="s">
        <v>4916</v>
      </c>
      <c r="D3354" t="s">
        <v>3443</v>
      </c>
      <c r="E3354">
        <v>86584.7589268712</v>
      </c>
      <c r="F3354">
        <v>30312.882891953</v>
      </c>
      <c r="G3354">
        <v>27335.4284199023</v>
      </c>
      <c r="H3354">
        <v>18926.9156729067</v>
      </c>
      <c r="I3354">
        <v>144233.07</v>
      </c>
      <c r="J3354">
        <v>125306.15</v>
      </c>
      <c r="K3354" s="1"/>
      <c r="L3354" s="1"/>
      <c r="M3354" s="1"/>
      <c r="N3354" s="1"/>
    </row>
    <row r="3355" ht="15.75" customHeight="1">
      <c r="A3355" t="s">
        <v>53</v>
      </c>
      <c r="B3355" t="s">
        <v>54</v>
      </c>
      <c r="C3355" t="s">
        <v>4913</v>
      </c>
      <c r="D3355" t="s">
        <v>3444</v>
      </c>
      <c r="E3355">
        <v>86595.6418967774</v>
      </c>
      <c r="F3355">
        <v>30317.4976102805</v>
      </c>
      <c r="G3355">
        <v>27343.1084233318</v>
      </c>
      <c r="H3355">
        <v>18930.313223594</v>
      </c>
      <c r="I3355">
        <v>144256.25</v>
      </c>
      <c r="J3355">
        <v>125325.94</v>
      </c>
      <c r="K3355" s="1"/>
      <c r="L3355" s="1"/>
      <c r="M3355" s="1"/>
      <c r="N3355" s="1"/>
    </row>
    <row r="3356" ht="15.75" customHeight="1">
      <c r="A3356" t="s">
        <v>53</v>
      </c>
      <c r="B3356" t="s">
        <v>37</v>
      </c>
      <c r="C3356" t="s">
        <v>4905</v>
      </c>
      <c r="D3356" t="s">
        <v>3445</v>
      </c>
      <c r="E3356">
        <v>86606.5248666836</v>
      </c>
      <c r="F3356">
        <v>30322.1123286079</v>
      </c>
      <c r="G3356">
        <v>27350.7884267613</v>
      </c>
      <c r="H3356">
        <v>18933.7107742813</v>
      </c>
      <c r="I3356">
        <v>144279.43</v>
      </c>
      <c r="J3356">
        <v>125345.72</v>
      </c>
      <c r="K3356" s="1"/>
      <c r="L3356" s="1"/>
      <c r="M3356" s="1"/>
      <c r="N3356" s="1"/>
    </row>
    <row r="3357" ht="15.75" customHeight="1">
      <c r="A3357" t="s">
        <v>51</v>
      </c>
      <c r="B3357" t="s">
        <v>18</v>
      </c>
      <c r="C3357" t="s">
        <v>4910</v>
      </c>
      <c r="D3357" t="s">
        <v>3446</v>
      </c>
      <c r="E3357">
        <v>86617.4078365898</v>
      </c>
      <c r="F3357">
        <v>30326.7270469353</v>
      </c>
      <c r="G3357">
        <v>27358.4684301908</v>
      </c>
      <c r="H3357">
        <v>18937.1083249686</v>
      </c>
      <c r="I3357">
        <v>144302.6</v>
      </c>
      <c r="J3357">
        <v>125365.49</v>
      </c>
      <c r="K3357" s="1"/>
      <c r="L3357" s="1"/>
      <c r="M3357" s="1"/>
      <c r="N3357" s="1"/>
    </row>
    <row r="3358" ht="15.75" customHeight="1">
      <c r="A3358" t="s">
        <v>13</v>
      </c>
      <c r="B3358" t="s">
        <v>54</v>
      </c>
      <c r="C3358" t="s">
        <v>4908</v>
      </c>
      <c r="D3358" t="s">
        <v>3447</v>
      </c>
      <c r="E3358">
        <v>86628.290806496</v>
      </c>
      <c r="F3358">
        <v>30331.3417652627</v>
      </c>
      <c r="G3358">
        <v>27366.1484336203</v>
      </c>
      <c r="H3358">
        <v>18940.5058756559</v>
      </c>
      <c r="I3358">
        <v>144325.78</v>
      </c>
      <c r="J3358">
        <v>125385.27</v>
      </c>
      <c r="K3358" s="1"/>
      <c r="L3358" s="1"/>
      <c r="M3358" s="1"/>
      <c r="N3358" s="1"/>
    </row>
    <row r="3359" ht="15.75" customHeight="1">
      <c r="A3359" t="s">
        <v>25</v>
      </c>
      <c r="B3359" t="s">
        <v>33</v>
      </c>
      <c r="C3359" t="s">
        <v>4910</v>
      </c>
      <c r="D3359" t="s">
        <v>3448</v>
      </c>
      <c r="E3359">
        <v>86639.1737764022</v>
      </c>
      <c r="F3359">
        <v>30335.9564835901</v>
      </c>
      <c r="G3359">
        <v>27373.8284370498</v>
      </c>
      <c r="H3359">
        <v>18943.9034263431</v>
      </c>
      <c r="I3359">
        <v>144348.96</v>
      </c>
      <c r="J3359">
        <v>125405.06</v>
      </c>
      <c r="K3359" s="1"/>
      <c r="L3359" s="1"/>
      <c r="M3359" s="1"/>
      <c r="N3359" s="1"/>
    </row>
    <row r="3360" ht="15.75" customHeight="1">
      <c r="A3360" t="s">
        <v>53</v>
      </c>
      <c r="B3360" t="s">
        <v>30</v>
      </c>
      <c r="C3360" t="s">
        <v>4914</v>
      </c>
      <c r="D3360" t="s">
        <v>3449</v>
      </c>
      <c r="E3360">
        <v>86650.0567463084</v>
      </c>
      <c r="F3360">
        <v>30340.5712019176</v>
      </c>
      <c r="G3360">
        <v>27381.5084404793</v>
      </c>
      <c r="H3360">
        <v>18947.3009770304</v>
      </c>
      <c r="I3360">
        <v>144372.14</v>
      </c>
      <c r="J3360">
        <v>125424.84</v>
      </c>
      <c r="K3360" s="1"/>
      <c r="L3360" s="1"/>
      <c r="M3360" s="1"/>
      <c r="N3360" s="1"/>
    </row>
    <row r="3361" ht="15.75" customHeight="1">
      <c r="A3361" t="s">
        <v>51</v>
      </c>
      <c r="B3361" t="s">
        <v>26</v>
      </c>
      <c r="C3361" t="s">
        <v>4910</v>
      </c>
      <c r="D3361" t="s">
        <v>3450</v>
      </c>
      <c r="E3361">
        <v>86660.9397162146</v>
      </c>
      <c r="F3361">
        <v>30345.185920245</v>
      </c>
      <c r="G3361">
        <v>27389.1884439088</v>
      </c>
      <c r="H3361">
        <v>18950.6985277177</v>
      </c>
      <c r="I3361">
        <v>144395.31</v>
      </c>
      <c r="J3361">
        <v>125444.61</v>
      </c>
      <c r="K3361" s="1"/>
      <c r="L3361" s="1"/>
      <c r="M3361" s="1"/>
      <c r="N3361" s="1"/>
    </row>
    <row r="3362" ht="15.75" customHeight="1">
      <c r="A3362" t="s">
        <v>13</v>
      </c>
      <c r="B3362" t="s">
        <v>18</v>
      </c>
      <c r="C3362" t="s">
        <v>4912</v>
      </c>
      <c r="D3362" t="s">
        <v>3451</v>
      </c>
      <c r="E3362">
        <v>86671.8226861208</v>
      </c>
      <c r="F3362">
        <v>30349.8006385724</v>
      </c>
      <c r="G3362">
        <v>27396.8684473383</v>
      </c>
      <c r="H3362">
        <v>18954.096078405</v>
      </c>
      <c r="I3362">
        <v>144418.49</v>
      </c>
      <c r="J3362">
        <v>125464.39</v>
      </c>
      <c r="K3362" s="1"/>
      <c r="L3362" s="1"/>
      <c r="M3362" s="1"/>
      <c r="N3362" s="1"/>
    </row>
    <row r="3363" ht="15.75" customHeight="1">
      <c r="A3363" t="s">
        <v>53</v>
      </c>
      <c r="B3363" t="s">
        <v>37</v>
      </c>
      <c r="C3363" t="s">
        <v>4911</v>
      </c>
      <c r="D3363" t="s">
        <v>3452</v>
      </c>
      <c r="E3363">
        <v>86682.705656027</v>
      </c>
      <c r="F3363">
        <v>30354.4153568998</v>
      </c>
      <c r="G3363">
        <v>27404.5484507678</v>
      </c>
      <c r="H3363">
        <v>14765.30618879032</v>
      </c>
      <c r="I3363">
        <v>144441.67</v>
      </c>
      <c r="J3363">
        <v>129676.36</v>
      </c>
      <c r="K3363" s="1"/>
      <c r="L3363" s="1"/>
      <c r="M3363" s="1"/>
      <c r="N3363" s="1"/>
    </row>
    <row r="3364" ht="15.75" customHeight="1">
      <c r="A3364" t="s">
        <v>25</v>
      </c>
      <c r="B3364" t="s">
        <v>54</v>
      </c>
      <c r="C3364" t="s">
        <v>4910</v>
      </c>
      <c r="D3364" t="s">
        <v>3453</v>
      </c>
      <c r="E3364">
        <v>86693.5886259332</v>
      </c>
      <c r="F3364">
        <v>30359.0300752273</v>
      </c>
      <c r="G3364">
        <v>27412.2284541973</v>
      </c>
      <c r="H3364">
        <v>18960.8911797796</v>
      </c>
      <c r="I3364">
        <v>144464.85</v>
      </c>
      <c r="J3364">
        <v>125503.96</v>
      </c>
      <c r="K3364" s="1"/>
      <c r="L3364" s="1"/>
      <c r="M3364" s="1"/>
      <c r="N3364" s="1"/>
    </row>
    <row r="3365" ht="15.75" customHeight="1">
      <c r="A3365" t="s">
        <v>13</v>
      </c>
      <c r="B3365" t="s">
        <v>37</v>
      </c>
      <c r="C3365" t="s">
        <v>4912</v>
      </c>
      <c r="D3365" t="s">
        <v>3454</v>
      </c>
      <c r="E3365">
        <v>86704.4715958394</v>
      </c>
      <c r="F3365">
        <v>30363.6447935547</v>
      </c>
      <c r="G3365">
        <v>27419.9084576268</v>
      </c>
      <c r="H3365">
        <v>18964.2887304669</v>
      </c>
      <c r="I3365">
        <v>144488.02</v>
      </c>
      <c r="J3365">
        <v>125523.73</v>
      </c>
      <c r="K3365" s="1"/>
      <c r="L3365" s="1"/>
      <c r="M3365" s="1"/>
      <c r="N3365" s="1"/>
    </row>
    <row r="3366" ht="15.75" customHeight="1">
      <c r="A3366" t="s">
        <v>29</v>
      </c>
      <c r="B3366" t="s">
        <v>33</v>
      </c>
      <c r="C3366" t="s">
        <v>4905</v>
      </c>
      <c r="D3366" t="s">
        <v>3455</v>
      </c>
      <c r="E3366">
        <v>86715.3545657455</v>
      </c>
      <c r="F3366">
        <v>30368.2595118821</v>
      </c>
      <c r="G3366">
        <v>27427.5884610563</v>
      </c>
      <c r="H3366">
        <v>18967.6862811542</v>
      </c>
      <c r="I3366">
        <v>144511.2</v>
      </c>
      <c r="J3366">
        <v>125543.51</v>
      </c>
      <c r="K3366" s="1"/>
      <c r="L3366" s="1"/>
      <c r="M3366" s="1"/>
      <c r="N3366" s="1"/>
    </row>
    <row r="3367" ht="15.75" customHeight="1">
      <c r="A3367" t="s">
        <v>51</v>
      </c>
      <c r="B3367" t="s">
        <v>14</v>
      </c>
      <c r="C3367" t="s">
        <v>4912</v>
      </c>
      <c r="D3367" t="s">
        <v>3456</v>
      </c>
      <c r="E3367">
        <v>86726.2375356517</v>
      </c>
      <c r="F3367">
        <v>30372.8742302095</v>
      </c>
      <c r="G3367">
        <v>27435.2684644858</v>
      </c>
      <c r="H3367">
        <v>18971.0838318414</v>
      </c>
      <c r="I3367">
        <v>144534.38</v>
      </c>
      <c r="J3367">
        <v>125563.3</v>
      </c>
      <c r="K3367" s="1"/>
      <c r="L3367" s="1"/>
      <c r="M3367" s="1"/>
      <c r="N3367" s="1"/>
    </row>
    <row r="3368" ht="15.75" customHeight="1">
      <c r="A3368" t="s">
        <v>13</v>
      </c>
      <c r="B3368" t="s">
        <v>14</v>
      </c>
      <c r="C3368" t="s">
        <v>4905</v>
      </c>
      <c r="D3368" t="s">
        <v>3457</v>
      </c>
      <c r="E3368">
        <v>86737.1205055579</v>
      </c>
      <c r="F3368">
        <v>30377.4889485369</v>
      </c>
      <c r="G3368">
        <v>27442.9484679152</v>
      </c>
      <c r="H3368">
        <v>18974.4813825287</v>
      </c>
      <c r="I3368">
        <v>144557.56</v>
      </c>
      <c r="J3368">
        <v>125583.08</v>
      </c>
      <c r="K3368" s="1"/>
      <c r="L3368" s="1"/>
      <c r="M3368" s="1"/>
      <c r="N3368" s="1"/>
    </row>
    <row r="3369" ht="15.75" customHeight="1">
      <c r="A3369" t="s">
        <v>29</v>
      </c>
      <c r="B3369" t="s">
        <v>30</v>
      </c>
      <c r="C3369" t="s">
        <v>4912</v>
      </c>
      <c r="D3369" t="s">
        <v>3458</v>
      </c>
      <c r="E3369">
        <v>86748.0034754641</v>
      </c>
      <c r="F3369">
        <v>30382.1036668644</v>
      </c>
      <c r="G3369">
        <v>27450.6284713447</v>
      </c>
      <c r="H3369">
        <v>18977.878933216</v>
      </c>
      <c r="I3369">
        <v>144580.74</v>
      </c>
      <c r="J3369">
        <v>125602.86</v>
      </c>
      <c r="K3369" s="1"/>
      <c r="L3369" s="1"/>
      <c r="M3369" s="1"/>
      <c r="N3369" s="1"/>
    </row>
    <row r="3370" ht="15.75" customHeight="1">
      <c r="A3370" t="s">
        <v>53</v>
      </c>
      <c r="B3370" t="s">
        <v>14</v>
      </c>
      <c r="C3370" t="s">
        <v>4910</v>
      </c>
      <c r="D3370" t="s">
        <v>3459</v>
      </c>
      <c r="E3370">
        <v>86769.7694152765</v>
      </c>
      <c r="F3370">
        <v>30391.3331035192</v>
      </c>
      <c r="G3370">
        <v>27465.9884782037</v>
      </c>
      <c r="H3370">
        <v>18984.6740345906</v>
      </c>
      <c r="I3370">
        <v>144627.09</v>
      </c>
      <c r="J3370">
        <v>125642.42</v>
      </c>
      <c r="K3370" s="1"/>
      <c r="L3370" s="1"/>
      <c r="M3370" s="1"/>
      <c r="N3370" s="1"/>
    </row>
    <row r="3371" ht="15.75" customHeight="1">
      <c r="A3371" t="s">
        <v>29</v>
      </c>
      <c r="B3371" t="s">
        <v>30</v>
      </c>
      <c r="C3371" t="s">
        <v>4913</v>
      </c>
      <c r="D3371" t="s">
        <v>3460</v>
      </c>
      <c r="E3371">
        <v>86780.6523851827</v>
      </c>
      <c r="F3371">
        <v>30395.9478218466</v>
      </c>
      <c r="G3371">
        <v>27473.6684816332</v>
      </c>
      <c r="H3371">
        <v>18988.0715852779</v>
      </c>
      <c r="I3371">
        <v>144650.27</v>
      </c>
      <c r="J3371">
        <v>125662.2</v>
      </c>
      <c r="K3371" s="1"/>
      <c r="L3371" s="1"/>
      <c r="M3371" s="1"/>
      <c r="N3371" s="1"/>
    </row>
    <row r="3372" ht="15.75" customHeight="1">
      <c r="A3372" t="s">
        <v>51</v>
      </c>
      <c r="B3372" t="s">
        <v>37</v>
      </c>
      <c r="C3372" t="s">
        <v>4916</v>
      </c>
      <c r="D3372" t="s">
        <v>3461</v>
      </c>
      <c r="E3372">
        <v>86791.5353550889</v>
      </c>
      <c r="F3372">
        <v>30400.562540174</v>
      </c>
      <c r="G3372">
        <v>27481.3484850627</v>
      </c>
      <c r="H3372">
        <v>18991.4691359652</v>
      </c>
      <c r="I3372">
        <v>144673.45</v>
      </c>
      <c r="J3372">
        <v>125681.98</v>
      </c>
      <c r="K3372" s="1"/>
      <c r="L3372" s="1"/>
      <c r="M3372" s="1"/>
      <c r="N3372" s="1"/>
    </row>
    <row r="3373" ht="15.75" customHeight="1">
      <c r="A3373" t="s">
        <v>13</v>
      </c>
      <c r="B3373" t="s">
        <v>33</v>
      </c>
      <c r="C3373" t="s">
        <v>4913</v>
      </c>
      <c r="D3373" t="s">
        <v>3462</v>
      </c>
      <c r="E3373">
        <v>86802.4183249951</v>
      </c>
      <c r="F3373">
        <v>30405.1772585015</v>
      </c>
      <c r="G3373">
        <v>27489.0284884922</v>
      </c>
      <c r="H3373">
        <v>18994.8666866524</v>
      </c>
      <c r="I3373">
        <v>144696.62</v>
      </c>
      <c r="J3373">
        <v>125701.75</v>
      </c>
      <c r="K3373" s="1"/>
      <c r="L3373" s="1"/>
      <c r="M3373" s="1"/>
      <c r="N3373" s="1"/>
    </row>
    <row r="3374" ht="15.75" customHeight="1">
      <c r="A3374" t="s">
        <v>29</v>
      </c>
      <c r="B3374" t="s">
        <v>54</v>
      </c>
      <c r="C3374" t="s">
        <v>4913</v>
      </c>
      <c r="D3374" t="s">
        <v>3463</v>
      </c>
      <c r="E3374">
        <v>86813.3012949013</v>
      </c>
      <c r="F3374">
        <v>30409.7919768289</v>
      </c>
      <c r="G3374">
        <v>27496.7084919217</v>
      </c>
      <c r="H3374">
        <v>18998.2642373397</v>
      </c>
      <c r="I3374">
        <v>144719.8</v>
      </c>
      <c r="J3374">
        <v>125721.54</v>
      </c>
      <c r="K3374" s="1"/>
      <c r="L3374" s="1"/>
      <c r="M3374" s="1"/>
      <c r="N3374" s="1"/>
    </row>
    <row r="3375" ht="15.75" customHeight="1">
      <c r="A3375" t="s">
        <v>25</v>
      </c>
      <c r="B3375" t="s">
        <v>14</v>
      </c>
      <c r="C3375" t="s">
        <v>4907</v>
      </c>
      <c r="D3375" t="s">
        <v>3464</v>
      </c>
      <c r="E3375">
        <v>86824.1842648075</v>
      </c>
      <c r="F3375">
        <v>30414.4066951563</v>
      </c>
      <c r="G3375">
        <v>27504.3884953512</v>
      </c>
      <c r="H3375">
        <v>19001.661788027</v>
      </c>
      <c r="I3375">
        <v>144742.98</v>
      </c>
      <c r="J3375">
        <v>125741.32</v>
      </c>
      <c r="K3375" s="1"/>
      <c r="L3375" s="1"/>
      <c r="M3375" s="1"/>
      <c r="N3375" s="1"/>
    </row>
    <row r="3376" ht="15.75" customHeight="1">
      <c r="A3376" t="s">
        <v>36</v>
      </c>
      <c r="B3376" t="s">
        <v>18</v>
      </c>
      <c r="C3376" t="s">
        <v>4913</v>
      </c>
      <c r="D3376" t="s">
        <v>3465</v>
      </c>
      <c r="E3376">
        <v>86835.0672347137</v>
      </c>
      <c r="F3376">
        <v>30419.0214134837</v>
      </c>
      <c r="G3376">
        <v>27512.0684987807</v>
      </c>
      <c r="H3376">
        <v>19005.0593387143</v>
      </c>
      <c r="I3376">
        <v>144766.16</v>
      </c>
      <c r="J3376">
        <v>125761.1</v>
      </c>
      <c r="K3376" s="1"/>
      <c r="L3376" s="1"/>
      <c r="M3376" s="1"/>
      <c r="N3376" s="1"/>
    </row>
    <row r="3377" ht="15.75" customHeight="1">
      <c r="A3377" t="s">
        <v>36</v>
      </c>
      <c r="B3377" t="s">
        <v>54</v>
      </c>
      <c r="C3377" t="s">
        <v>4907</v>
      </c>
      <c r="D3377" t="s">
        <v>3466</v>
      </c>
      <c r="E3377">
        <v>86845.9502046199</v>
      </c>
      <c r="F3377">
        <v>30423.6361318112</v>
      </c>
      <c r="G3377">
        <v>27519.7485022102</v>
      </c>
      <c r="H3377">
        <v>19008.4568894016</v>
      </c>
      <c r="I3377">
        <v>144789.33</v>
      </c>
      <c r="J3377">
        <v>125780.87</v>
      </c>
      <c r="K3377" s="1"/>
      <c r="L3377" s="1"/>
      <c r="M3377" s="1"/>
      <c r="N3377" s="1"/>
    </row>
    <row r="3378" ht="15.75" customHeight="1">
      <c r="A3378" t="s">
        <v>36</v>
      </c>
      <c r="B3378" t="s">
        <v>26</v>
      </c>
      <c r="C3378" t="s">
        <v>4913</v>
      </c>
      <c r="D3378" t="s">
        <v>3467</v>
      </c>
      <c r="E3378">
        <v>86856.8331745261</v>
      </c>
      <c r="F3378">
        <v>30428.2508501386</v>
      </c>
      <c r="G3378">
        <v>27527.4285056397</v>
      </c>
      <c r="H3378">
        <v>19011.8544400889</v>
      </c>
      <c r="I3378">
        <v>144812.51</v>
      </c>
      <c r="J3378">
        <v>125800.66</v>
      </c>
      <c r="K3378" s="1"/>
      <c r="L3378" s="1"/>
      <c r="M3378" s="1"/>
      <c r="N3378" s="1"/>
    </row>
    <row r="3379" ht="15.75" customHeight="1">
      <c r="A3379" t="s">
        <v>25</v>
      </c>
      <c r="B3379" t="s">
        <v>14</v>
      </c>
      <c r="C3379" t="s">
        <v>4912</v>
      </c>
      <c r="D3379" t="s">
        <v>3468</v>
      </c>
      <c r="E3379">
        <v>86867.7161444323</v>
      </c>
      <c r="F3379">
        <v>30432.865568466</v>
      </c>
      <c r="G3379">
        <v>27535.1085090692</v>
      </c>
      <c r="H3379">
        <v>19015.2519907762</v>
      </c>
      <c r="I3379">
        <v>144835.69</v>
      </c>
      <c r="J3379">
        <v>125820.44</v>
      </c>
      <c r="K3379" s="1"/>
      <c r="L3379" s="1"/>
      <c r="M3379" s="1"/>
      <c r="N3379" s="1"/>
    </row>
    <row r="3380" ht="15.75" customHeight="1">
      <c r="A3380" t="s">
        <v>53</v>
      </c>
      <c r="B3380" t="s">
        <v>37</v>
      </c>
      <c r="C3380" t="s">
        <v>4917</v>
      </c>
      <c r="D3380" t="s">
        <v>3469</v>
      </c>
      <c r="E3380">
        <v>86878.5991143385</v>
      </c>
      <c r="F3380">
        <v>30437.4802867934</v>
      </c>
      <c r="G3380">
        <v>27542.7885124987</v>
      </c>
      <c r="H3380">
        <v>19018.6495414635</v>
      </c>
      <c r="I3380">
        <v>144858.87</v>
      </c>
      <c r="J3380">
        <v>125840.22</v>
      </c>
      <c r="K3380" s="1"/>
      <c r="L3380" s="1"/>
      <c r="M3380" s="1"/>
      <c r="N3380" s="1"/>
    </row>
    <row r="3381" ht="15.75" customHeight="1">
      <c r="A3381" t="s">
        <v>13</v>
      </c>
      <c r="B3381" t="s">
        <v>37</v>
      </c>
      <c r="C3381" t="s">
        <v>4911</v>
      </c>
      <c r="D3381" t="s">
        <v>3470</v>
      </c>
      <c r="E3381">
        <v>86889.4820842446</v>
      </c>
      <c r="F3381">
        <v>30442.0950051208</v>
      </c>
      <c r="G3381">
        <v>27550.4685159282</v>
      </c>
      <c r="H3381">
        <v>19022.0470921507</v>
      </c>
      <c r="I3381">
        <v>144882.05</v>
      </c>
      <c r="J3381">
        <v>125860.0</v>
      </c>
      <c r="K3381" s="1"/>
      <c r="L3381" s="1"/>
      <c r="M3381" s="1"/>
      <c r="N3381" s="1"/>
    </row>
    <row r="3382" ht="15.75" customHeight="1">
      <c r="A3382" t="s">
        <v>36</v>
      </c>
      <c r="B3382" t="s">
        <v>26</v>
      </c>
      <c r="C3382" t="s">
        <v>4914</v>
      </c>
      <c r="D3382" t="s">
        <v>3471</v>
      </c>
      <c r="E3382">
        <v>86900.3650541508</v>
      </c>
      <c r="F3382">
        <v>30446.7097234483</v>
      </c>
      <c r="G3382">
        <v>27558.1485193577</v>
      </c>
      <c r="H3382">
        <v>19025.444642838</v>
      </c>
      <c r="I3382">
        <v>144905.22</v>
      </c>
      <c r="J3382">
        <v>125879.78</v>
      </c>
      <c r="K3382" s="1"/>
      <c r="L3382" s="1"/>
      <c r="M3382" s="1"/>
      <c r="N3382" s="1"/>
    </row>
    <row r="3383" ht="15.75" customHeight="1">
      <c r="A3383" t="s">
        <v>17</v>
      </c>
      <c r="B3383" t="s">
        <v>14</v>
      </c>
      <c r="C3383" t="s">
        <v>4910</v>
      </c>
      <c r="D3383" t="s">
        <v>3472</v>
      </c>
      <c r="E3383">
        <v>86911.248024057</v>
      </c>
      <c r="F3383">
        <v>30451.3244417757</v>
      </c>
      <c r="G3383">
        <v>27565.8285227872</v>
      </c>
      <c r="H3383">
        <v>19028.8421935253</v>
      </c>
      <c r="I3383">
        <v>144928.4</v>
      </c>
      <c r="J3383">
        <v>125899.56</v>
      </c>
      <c r="K3383" s="1"/>
      <c r="L3383" s="1"/>
      <c r="M3383" s="1"/>
      <c r="N3383" s="1"/>
    </row>
    <row r="3384" ht="15.75" customHeight="1">
      <c r="A3384" t="s">
        <v>51</v>
      </c>
      <c r="B3384" t="s">
        <v>26</v>
      </c>
      <c r="C3384" t="s">
        <v>4907</v>
      </c>
      <c r="D3384" t="s">
        <v>3473</v>
      </c>
      <c r="E3384">
        <v>86922.1309939632</v>
      </c>
      <c r="F3384">
        <v>30455.9391601031</v>
      </c>
      <c r="G3384">
        <v>27573.5085262167</v>
      </c>
      <c r="H3384">
        <v>19032.2397442126</v>
      </c>
      <c r="I3384">
        <v>144951.58</v>
      </c>
      <c r="J3384">
        <v>125919.34</v>
      </c>
      <c r="K3384" s="1"/>
      <c r="L3384" s="1"/>
      <c r="M3384" s="1"/>
      <c r="N3384" s="1"/>
    </row>
    <row r="3385" ht="15.75" customHeight="1">
      <c r="A3385" t="s">
        <v>17</v>
      </c>
      <c r="B3385" t="s">
        <v>37</v>
      </c>
      <c r="C3385" t="s">
        <v>4905</v>
      </c>
      <c r="D3385" t="s">
        <v>3474</v>
      </c>
      <c r="E3385">
        <v>86933.0139638694</v>
      </c>
      <c r="F3385">
        <v>30460.5538784305</v>
      </c>
      <c r="G3385">
        <v>27581.1885296462</v>
      </c>
      <c r="H3385">
        <v>19035.6372948999</v>
      </c>
      <c r="I3385">
        <v>144974.76</v>
      </c>
      <c r="J3385">
        <v>125939.12</v>
      </c>
      <c r="K3385" s="1"/>
      <c r="L3385" s="1"/>
      <c r="M3385" s="1"/>
      <c r="N3385" s="1"/>
    </row>
    <row r="3386" ht="15.75" customHeight="1">
      <c r="A3386" t="s">
        <v>17</v>
      </c>
      <c r="B3386" t="s">
        <v>18</v>
      </c>
      <c r="C3386" t="s">
        <v>4908</v>
      </c>
      <c r="D3386" t="s">
        <v>3475</v>
      </c>
      <c r="E3386">
        <v>86943.8969337756</v>
      </c>
      <c r="F3386">
        <v>30465.168596758</v>
      </c>
      <c r="G3386">
        <v>27588.8685330757</v>
      </c>
      <c r="H3386">
        <v>19039.0348455872</v>
      </c>
      <c r="I3386">
        <v>144997.93</v>
      </c>
      <c r="J3386">
        <v>125958.9</v>
      </c>
      <c r="K3386" s="1"/>
      <c r="L3386" s="1"/>
      <c r="M3386" s="1"/>
      <c r="N3386" s="1"/>
    </row>
    <row r="3387" ht="15.75" customHeight="1">
      <c r="A3387" t="s">
        <v>36</v>
      </c>
      <c r="B3387" t="s">
        <v>18</v>
      </c>
      <c r="C3387" t="s">
        <v>4917</v>
      </c>
      <c r="D3387" t="s">
        <v>3476</v>
      </c>
      <c r="E3387">
        <v>86965.662873588</v>
      </c>
      <c r="F3387">
        <v>30474.3980334128</v>
      </c>
      <c r="G3387">
        <v>27604.2285399347</v>
      </c>
      <c r="H3387">
        <v>19045.8299469618</v>
      </c>
      <c r="I3387">
        <v>145044.29</v>
      </c>
      <c r="J3387">
        <v>125998.46</v>
      </c>
      <c r="K3387" s="1"/>
      <c r="L3387" s="1"/>
      <c r="M3387" s="1"/>
      <c r="N3387" s="1"/>
    </row>
    <row r="3388" ht="15.75" customHeight="1">
      <c r="A3388" t="s">
        <v>25</v>
      </c>
      <c r="B3388" t="s">
        <v>37</v>
      </c>
      <c r="C3388" t="s">
        <v>4905</v>
      </c>
      <c r="D3388" t="s">
        <v>3477</v>
      </c>
      <c r="E3388">
        <v>86976.5458434942</v>
      </c>
      <c r="F3388">
        <v>30479.0127517402</v>
      </c>
      <c r="G3388">
        <v>27611.9085433642</v>
      </c>
      <c r="H3388">
        <v>19049.227497649</v>
      </c>
      <c r="I3388">
        <v>145067.47</v>
      </c>
      <c r="J3388">
        <v>126018.24</v>
      </c>
      <c r="K3388" s="1"/>
      <c r="L3388" s="1"/>
      <c r="M3388" s="1"/>
      <c r="N3388" s="1"/>
    </row>
    <row r="3389" ht="15.75" customHeight="1">
      <c r="A3389" t="s">
        <v>25</v>
      </c>
      <c r="B3389" t="s">
        <v>26</v>
      </c>
      <c r="C3389" t="s">
        <v>4910</v>
      </c>
      <c r="D3389" t="s">
        <v>3478</v>
      </c>
      <c r="E3389">
        <v>86987.4288134004</v>
      </c>
      <c r="F3389">
        <v>30483.6274700676</v>
      </c>
      <c r="G3389">
        <v>27619.5885467937</v>
      </c>
      <c r="H3389">
        <v>19052.6250483363</v>
      </c>
      <c r="I3389">
        <v>145090.64</v>
      </c>
      <c r="J3389">
        <v>126038.01</v>
      </c>
      <c r="K3389" s="1"/>
      <c r="L3389" s="1"/>
      <c r="M3389" s="1"/>
      <c r="N3389" s="1"/>
    </row>
    <row r="3390" ht="15.75" customHeight="1">
      <c r="A3390" t="s">
        <v>25</v>
      </c>
      <c r="B3390" t="s">
        <v>26</v>
      </c>
      <c r="C3390" t="s">
        <v>4910</v>
      </c>
      <c r="D3390" t="s">
        <v>3479</v>
      </c>
      <c r="E3390">
        <v>86998.3117833066</v>
      </c>
      <c r="F3390">
        <v>30488.2421883951</v>
      </c>
      <c r="G3390">
        <v>27627.2685502232</v>
      </c>
      <c r="H3390">
        <v>19056.0225990236</v>
      </c>
      <c r="I3390">
        <v>145113.82</v>
      </c>
      <c r="J3390">
        <v>126057.8</v>
      </c>
      <c r="K3390" s="1"/>
      <c r="L3390" s="1"/>
      <c r="M3390" s="1"/>
      <c r="N3390" s="1"/>
    </row>
    <row r="3391" ht="15.75" customHeight="1">
      <c r="A3391" t="s">
        <v>51</v>
      </c>
      <c r="B3391" t="s">
        <v>14</v>
      </c>
      <c r="C3391" t="s">
        <v>4912</v>
      </c>
      <c r="D3391" t="s">
        <v>3480</v>
      </c>
      <c r="E3391">
        <v>87009.1947532128</v>
      </c>
      <c r="F3391">
        <v>30492.8569067225</v>
      </c>
      <c r="G3391">
        <v>27634.9485536527</v>
      </c>
      <c r="H3391">
        <v>19059.4201497109</v>
      </c>
      <c r="I3391">
        <v>145137.0</v>
      </c>
      <c r="J3391">
        <v>126077.58</v>
      </c>
      <c r="K3391" s="1"/>
      <c r="L3391" s="1"/>
      <c r="M3391" s="1"/>
      <c r="N3391" s="1"/>
    </row>
    <row r="3392" ht="15.75" customHeight="1">
      <c r="A3392" t="s">
        <v>29</v>
      </c>
      <c r="B3392" t="s">
        <v>30</v>
      </c>
      <c r="C3392" t="s">
        <v>4907</v>
      </c>
      <c r="D3392" t="s">
        <v>3481</v>
      </c>
      <c r="E3392">
        <v>87020.077723119</v>
      </c>
      <c r="F3392">
        <v>30497.4716250499</v>
      </c>
      <c r="G3392">
        <v>27642.6285570822</v>
      </c>
      <c r="H3392">
        <v>19062.8177003982</v>
      </c>
      <c r="I3392">
        <v>145160.18</v>
      </c>
      <c r="J3392">
        <v>126097.36</v>
      </c>
      <c r="K3392" s="1"/>
      <c r="L3392" s="1"/>
      <c r="M3392" s="1"/>
      <c r="N3392" s="1"/>
    </row>
    <row r="3393" ht="15.75" customHeight="1">
      <c r="A3393" t="s">
        <v>53</v>
      </c>
      <c r="B3393" t="s">
        <v>54</v>
      </c>
      <c r="C3393" t="s">
        <v>4912</v>
      </c>
      <c r="D3393" t="s">
        <v>3482</v>
      </c>
      <c r="E3393">
        <v>87030.9606930252</v>
      </c>
      <c r="F3393">
        <v>30502.0863433773</v>
      </c>
      <c r="G3393">
        <v>27650.3085605117</v>
      </c>
      <c r="H3393">
        <v>19066.2152510855</v>
      </c>
      <c r="I3393">
        <v>145183.36</v>
      </c>
      <c r="J3393">
        <v>126117.14</v>
      </c>
      <c r="K3393" s="1"/>
      <c r="L3393" s="1"/>
      <c r="M3393" s="1"/>
      <c r="N3393" s="1"/>
    </row>
    <row r="3394" ht="15.75" customHeight="1">
      <c r="A3394" t="s">
        <v>17</v>
      </c>
      <c r="B3394" t="s">
        <v>33</v>
      </c>
      <c r="C3394" t="s">
        <v>4913</v>
      </c>
      <c r="D3394" t="s">
        <v>3483</v>
      </c>
      <c r="E3394">
        <v>87041.8436629314</v>
      </c>
      <c r="F3394">
        <v>30506.7010617048</v>
      </c>
      <c r="G3394">
        <v>27657.9885639412</v>
      </c>
      <c r="H3394">
        <v>19069.6128017728</v>
      </c>
      <c r="I3394">
        <v>145206.53</v>
      </c>
      <c r="J3394">
        <v>126136.92</v>
      </c>
      <c r="K3394" s="1"/>
      <c r="L3394" s="1"/>
      <c r="M3394" s="1"/>
      <c r="N3394" s="1"/>
    </row>
    <row r="3395" ht="15.75" customHeight="1">
      <c r="A3395" t="s">
        <v>53</v>
      </c>
      <c r="B3395" t="s">
        <v>54</v>
      </c>
      <c r="C3395" t="s">
        <v>4912</v>
      </c>
      <c r="D3395" t="s">
        <v>3484</v>
      </c>
      <c r="E3395">
        <v>87063.6096027437</v>
      </c>
      <c r="F3395">
        <v>30515.9304983596</v>
      </c>
      <c r="G3395">
        <v>27673.3485708002</v>
      </c>
      <c r="H3395">
        <v>19076.4079031473</v>
      </c>
      <c r="I3395">
        <v>145252.89</v>
      </c>
      <c r="J3395">
        <v>126176.48</v>
      </c>
      <c r="K3395" s="1"/>
      <c r="L3395" s="1"/>
      <c r="M3395" s="1"/>
      <c r="N3395" s="1"/>
    </row>
    <row r="3396" ht="15.75" customHeight="1">
      <c r="A3396" t="s">
        <v>25</v>
      </c>
      <c r="B3396" t="s">
        <v>30</v>
      </c>
      <c r="C3396" t="s">
        <v>4915</v>
      </c>
      <c r="D3396" t="s">
        <v>3485</v>
      </c>
      <c r="E3396">
        <v>87074.4925726499</v>
      </c>
      <c r="F3396">
        <v>30520.545216687</v>
      </c>
      <c r="G3396">
        <v>27681.0285742297</v>
      </c>
      <c r="H3396">
        <v>19079.8054538346</v>
      </c>
      <c r="I3396">
        <v>145276.07</v>
      </c>
      <c r="J3396">
        <v>126196.26</v>
      </c>
      <c r="K3396" s="1"/>
      <c r="L3396" s="1"/>
      <c r="M3396" s="1"/>
      <c r="N3396" s="1"/>
    </row>
    <row r="3397" ht="15.75" customHeight="1">
      <c r="A3397" t="s">
        <v>53</v>
      </c>
      <c r="B3397" t="s">
        <v>37</v>
      </c>
      <c r="C3397" t="s">
        <v>4905</v>
      </c>
      <c r="D3397" t="s">
        <v>3486</v>
      </c>
      <c r="E3397">
        <v>87096.2585124623</v>
      </c>
      <c r="F3397">
        <v>30529.7746533419</v>
      </c>
      <c r="G3397">
        <v>27696.3885810887</v>
      </c>
      <c r="H3397">
        <v>19086.6005552092</v>
      </c>
      <c r="I3397">
        <v>145322.42</v>
      </c>
      <c r="J3397">
        <v>126235.82</v>
      </c>
      <c r="K3397" s="1"/>
      <c r="L3397" s="1"/>
      <c r="M3397" s="1"/>
      <c r="N3397" s="1"/>
    </row>
    <row r="3398" ht="15.75" customHeight="1">
      <c r="A3398" t="s">
        <v>53</v>
      </c>
      <c r="B3398" t="s">
        <v>37</v>
      </c>
      <c r="C3398" t="s">
        <v>4908</v>
      </c>
      <c r="D3398" t="s">
        <v>3487</v>
      </c>
      <c r="E3398">
        <v>87107.1414823685</v>
      </c>
      <c r="F3398">
        <v>30534.3893716693</v>
      </c>
      <c r="G3398">
        <v>27704.0685845182</v>
      </c>
      <c r="H3398">
        <v>19089.9981058965</v>
      </c>
      <c r="I3398">
        <v>145345.6</v>
      </c>
      <c r="J3398">
        <v>126255.6</v>
      </c>
      <c r="K3398" s="1"/>
      <c r="L3398" s="1"/>
      <c r="M3398" s="1"/>
      <c r="N3398" s="1"/>
    </row>
    <row r="3399" ht="15.75" customHeight="1">
      <c r="A3399" t="s">
        <v>13</v>
      </c>
      <c r="B3399" t="s">
        <v>33</v>
      </c>
      <c r="C3399" t="s">
        <v>4916</v>
      </c>
      <c r="D3399" t="s">
        <v>3488</v>
      </c>
      <c r="E3399">
        <v>87128.9074221809</v>
      </c>
      <c r="F3399">
        <v>30543.6188083241</v>
      </c>
      <c r="G3399">
        <v>27719.4285913771</v>
      </c>
      <c r="H3399">
        <v>19096.7932072711</v>
      </c>
      <c r="I3399">
        <v>145391.95</v>
      </c>
      <c r="J3399">
        <v>126295.16</v>
      </c>
      <c r="K3399" s="1"/>
      <c r="L3399" s="1"/>
      <c r="M3399" s="1"/>
      <c r="N3399" s="1"/>
    </row>
    <row r="3400" ht="15.75" customHeight="1">
      <c r="A3400" t="s">
        <v>51</v>
      </c>
      <c r="B3400" t="s">
        <v>14</v>
      </c>
      <c r="C3400" t="s">
        <v>4915</v>
      </c>
      <c r="D3400" t="s">
        <v>3489</v>
      </c>
      <c r="E3400">
        <v>87139.7903920871</v>
      </c>
      <c r="F3400">
        <v>30548.2335266516</v>
      </c>
      <c r="G3400">
        <v>27727.1085948066</v>
      </c>
      <c r="H3400">
        <v>19100.1907579583</v>
      </c>
      <c r="I3400">
        <v>145415.13</v>
      </c>
      <c r="J3400">
        <v>126314.94</v>
      </c>
      <c r="K3400" s="1"/>
      <c r="L3400" s="1"/>
      <c r="M3400" s="1"/>
      <c r="N3400" s="1"/>
    </row>
    <row r="3401" ht="15.75" customHeight="1">
      <c r="A3401" t="s">
        <v>25</v>
      </c>
      <c r="B3401" t="s">
        <v>33</v>
      </c>
      <c r="C3401" t="s">
        <v>4914</v>
      </c>
      <c r="D3401" t="s">
        <v>3490</v>
      </c>
      <c r="E3401">
        <v>87150.6733619933</v>
      </c>
      <c r="F3401">
        <v>30552.848244979</v>
      </c>
      <c r="G3401">
        <v>27734.7885982361</v>
      </c>
      <c r="H3401">
        <v>19103.5883086456</v>
      </c>
      <c r="I3401">
        <v>145438.31</v>
      </c>
      <c r="J3401">
        <v>126334.72</v>
      </c>
      <c r="K3401" s="1"/>
      <c r="L3401" s="1"/>
      <c r="M3401" s="1"/>
      <c r="N3401" s="1"/>
    </row>
    <row r="3402" ht="15.75" customHeight="1">
      <c r="A3402" t="s">
        <v>51</v>
      </c>
      <c r="B3402" t="s">
        <v>54</v>
      </c>
      <c r="C3402" t="s">
        <v>4910</v>
      </c>
      <c r="D3402" t="s">
        <v>3491</v>
      </c>
      <c r="E3402">
        <v>87161.5563318995</v>
      </c>
      <c r="F3402">
        <v>30557.4629633064</v>
      </c>
      <c r="G3402">
        <v>27742.4686016656</v>
      </c>
      <c r="H3402">
        <v>19106.9858593329</v>
      </c>
      <c r="I3402">
        <v>145461.49</v>
      </c>
      <c r="J3402">
        <v>126354.5</v>
      </c>
      <c r="K3402" s="1"/>
      <c r="L3402" s="1"/>
      <c r="M3402" s="1"/>
      <c r="N3402" s="1"/>
    </row>
    <row r="3403" ht="15.75" customHeight="1">
      <c r="A3403" t="s">
        <v>17</v>
      </c>
      <c r="B3403" t="s">
        <v>30</v>
      </c>
      <c r="C3403" t="s">
        <v>4909</v>
      </c>
      <c r="D3403" t="s">
        <v>3492</v>
      </c>
      <c r="E3403">
        <v>87172.4393018057</v>
      </c>
      <c r="F3403">
        <v>30562.0776816338</v>
      </c>
      <c r="G3403">
        <v>27750.1486050951</v>
      </c>
      <c r="H3403">
        <v>19110.3834100202</v>
      </c>
      <c r="I3403">
        <v>145484.67</v>
      </c>
      <c r="J3403">
        <v>126374.29</v>
      </c>
      <c r="K3403" s="1"/>
      <c r="L3403" s="1"/>
      <c r="M3403" s="1"/>
      <c r="N3403" s="1"/>
    </row>
    <row r="3404" ht="15.75" customHeight="1">
      <c r="A3404" t="s">
        <v>13</v>
      </c>
      <c r="B3404" t="s">
        <v>33</v>
      </c>
      <c r="C3404" t="s">
        <v>4909</v>
      </c>
      <c r="D3404" t="s">
        <v>3493</v>
      </c>
      <c r="E3404">
        <v>87183.3222717119</v>
      </c>
      <c r="F3404">
        <v>30566.6923999612</v>
      </c>
      <c r="G3404">
        <v>27757.8286085246</v>
      </c>
      <c r="H3404">
        <v>19113.7809607075</v>
      </c>
      <c r="I3404">
        <v>145507.84</v>
      </c>
      <c r="J3404">
        <v>126394.06</v>
      </c>
      <c r="K3404" s="1"/>
      <c r="L3404" s="1"/>
      <c r="M3404" s="1"/>
      <c r="N3404" s="1"/>
    </row>
    <row r="3405" ht="15.75" customHeight="1">
      <c r="A3405" t="s">
        <v>13</v>
      </c>
      <c r="B3405" t="s">
        <v>37</v>
      </c>
      <c r="C3405" t="s">
        <v>4908</v>
      </c>
      <c r="D3405" t="s">
        <v>3494</v>
      </c>
      <c r="E3405">
        <v>71656.69906138915</v>
      </c>
      <c r="F3405">
        <v>30571.3071182887</v>
      </c>
      <c r="G3405">
        <v>27765.5086119541</v>
      </c>
      <c r="H3405">
        <v>19117.1785113948</v>
      </c>
      <c r="I3405">
        <v>129993.51</v>
      </c>
      <c r="J3405">
        <v>110876.33</v>
      </c>
      <c r="K3405" s="1"/>
      <c r="L3405" s="1"/>
      <c r="M3405" s="1"/>
      <c r="N3405" s="1"/>
    </row>
    <row r="3406" ht="15.75" customHeight="1">
      <c r="A3406" t="s">
        <v>13</v>
      </c>
      <c r="B3406" t="s">
        <v>14</v>
      </c>
      <c r="C3406" t="s">
        <v>4911</v>
      </c>
      <c r="D3406" t="s">
        <v>3495</v>
      </c>
      <c r="E3406">
        <v>87205.0882115243</v>
      </c>
      <c r="F3406">
        <v>30575.9218366161</v>
      </c>
      <c r="G3406">
        <v>27773.1886153836</v>
      </c>
      <c r="H3406">
        <v>19120.5760620821</v>
      </c>
      <c r="I3406">
        <v>145554.2</v>
      </c>
      <c r="J3406">
        <v>126433.62</v>
      </c>
      <c r="K3406" s="1"/>
      <c r="L3406" s="1"/>
      <c r="M3406" s="1"/>
      <c r="N3406" s="1"/>
    </row>
    <row r="3407" ht="15.75" customHeight="1">
      <c r="A3407" t="s">
        <v>51</v>
      </c>
      <c r="B3407" t="s">
        <v>14</v>
      </c>
      <c r="C3407" t="s">
        <v>4912</v>
      </c>
      <c r="D3407" t="s">
        <v>3496</v>
      </c>
      <c r="E3407">
        <v>87215.9711814304</v>
      </c>
      <c r="F3407">
        <v>30580.5365549435</v>
      </c>
      <c r="G3407">
        <v>27780.8686188131</v>
      </c>
      <c r="H3407">
        <v>19123.9736127694</v>
      </c>
      <c r="I3407">
        <v>145577.38</v>
      </c>
      <c r="J3407">
        <v>126453.41</v>
      </c>
      <c r="K3407" s="1"/>
      <c r="L3407" s="1"/>
      <c r="M3407" s="1"/>
      <c r="N3407" s="1"/>
    </row>
    <row r="3408" ht="15.75" customHeight="1">
      <c r="A3408" t="s">
        <v>51</v>
      </c>
      <c r="B3408" t="s">
        <v>14</v>
      </c>
      <c r="C3408" t="s">
        <v>4905</v>
      </c>
      <c r="D3408" t="s">
        <v>3497</v>
      </c>
      <c r="E3408">
        <v>87226.8541513366</v>
      </c>
      <c r="F3408">
        <v>30585.1512732709</v>
      </c>
      <c r="G3408">
        <v>27788.5486222426</v>
      </c>
      <c r="H3408">
        <v>19127.3711634566</v>
      </c>
      <c r="I3408">
        <v>145600.55</v>
      </c>
      <c r="J3408">
        <v>126473.18</v>
      </c>
      <c r="K3408" s="1"/>
      <c r="L3408" s="1"/>
      <c r="M3408" s="1"/>
      <c r="N3408" s="1"/>
    </row>
    <row r="3409" ht="15.75" customHeight="1">
      <c r="A3409" t="s">
        <v>36</v>
      </c>
      <c r="B3409" t="s">
        <v>26</v>
      </c>
      <c r="C3409" t="s">
        <v>4914</v>
      </c>
      <c r="D3409" t="s">
        <v>3498</v>
      </c>
      <c r="E3409">
        <v>87237.7371212428</v>
      </c>
      <c r="F3409">
        <v>30589.7659915984</v>
      </c>
      <c r="G3409">
        <v>27796.2286256721</v>
      </c>
      <c r="H3409">
        <v>19130.7687141439</v>
      </c>
      <c r="I3409">
        <v>145623.73</v>
      </c>
      <c r="J3409">
        <v>126492.96</v>
      </c>
      <c r="K3409" s="1"/>
      <c r="L3409" s="1"/>
      <c r="M3409" s="1"/>
      <c r="N3409" s="1"/>
    </row>
    <row r="3410" ht="15.75" customHeight="1">
      <c r="A3410" t="s">
        <v>51</v>
      </c>
      <c r="B3410" t="s">
        <v>18</v>
      </c>
      <c r="C3410" t="s">
        <v>4905</v>
      </c>
      <c r="D3410" t="s">
        <v>3499</v>
      </c>
      <c r="E3410">
        <v>87248.620091149</v>
      </c>
      <c r="F3410">
        <v>30594.3807099258</v>
      </c>
      <c r="G3410">
        <v>27803.9086291016</v>
      </c>
      <c r="H3410">
        <v>19134.1662648312</v>
      </c>
      <c r="I3410">
        <v>145646.91</v>
      </c>
      <c r="J3410">
        <v>126512.74</v>
      </c>
      <c r="K3410" s="1"/>
      <c r="L3410" s="1"/>
      <c r="M3410" s="1"/>
      <c r="N3410" s="1"/>
    </row>
    <row r="3411" ht="15.75" customHeight="1">
      <c r="A3411" t="s">
        <v>51</v>
      </c>
      <c r="B3411" t="s">
        <v>14</v>
      </c>
      <c r="C3411" t="s">
        <v>4916</v>
      </c>
      <c r="D3411" t="s">
        <v>3500</v>
      </c>
      <c r="E3411">
        <v>87259.5030610552</v>
      </c>
      <c r="F3411">
        <v>30598.9954282532</v>
      </c>
      <c r="G3411">
        <v>27811.5886325311</v>
      </c>
      <c r="H3411">
        <v>19137.5638155185</v>
      </c>
      <c r="I3411">
        <v>145670.09</v>
      </c>
      <c r="J3411">
        <v>126532.53</v>
      </c>
      <c r="K3411" s="1"/>
      <c r="L3411" s="1"/>
      <c r="M3411" s="1"/>
      <c r="N3411" s="1"/>
    </row>
    <row r="3412" ht="15.75" customHeight="1">
      <c r="A3412" t="s">
        <v>13</v>
      </c>
      <c r="B3412" t="s">
        <v>26</v>
      </c>
      <c r="C3412" t="s">
        <v>4914</v>
      </c>
      <c r="D3412" t="s">
        <v>3501</v>
      </c>
      <c r="E3412">
        <v>87270.3860309614</v>
      </c>
      <c r="F3412">
        <v>30603.6101465806</v>
      </c>
      <c r="G3412">
        <v>27819.2686359606</v>
      </c>
      <c r="H3412">
        <v>19140.9613662058</v>
      </c>
      <c r="I3412">
        <v>145693.26</v>
      </c>
      <c r="J3412">
        <v>126552.3</v>
      </c>
      <c r="K3412" s="1"/>
      <c r="L3412" s="1"/>
      <c r="M3412" s="1"/>
      <c r="N3412" s="1"/>
    </row>
    <row r="3413" ht="15.75" customHeight="1">
      <c r="A3413" t="s">
        <v>29</v>
      </c>
      <c r="B3413" t="s">
        <v>26</v>
      </c>
      <c r="C3413" t="s">
        <v>4907</v>
      </c>
      <c r="D3413" t="s">
        <v>3502</v>
      </c>
      <c r="E3413">
        <v>87281.2690008676</v>
      </c>
      <c r="F3413">
        <v>30608.224864908</v>
      </c>
      <c r="G3413">
        <v>27826.9486393901</v>
      </c>
      <c r="H3413">
        <v>19144.3589168931</v>
      </c>
      <c r="I3413">
        <v>145716.44</v>
      </c>
      <c r="J3413">
        <v>126572.08</v>
      </c>
      <c r="K3413" s="1"/>
      <c r="L3413" s="1"/>
      <c r="M3413" s="1"/>
      <c r="N3413" s="1"/>
    </row>
    <row r="3414" ht="15.75" customHeight="1">
      <c r="A3414" t="s">
        <v>17</v>
      </c>
      <c r="B3414" t="s">
        <v>26</v>
      </c>
      <c r="C3414" t="s">
        <v>4917</v>
      </c>
      <c r="D3414" t="s">
        <v>3503</v>
      </c>
      <c r="E3414">
        <v>87292.1519707738</v>
      </c>
      <c r="F3414">
        <v>30612.8395832355</v>
      </c>
      <c r="G3414">
        <v>27834.6286428196</v>
      </c>
      <c r="H3414">
        <v>19147.7564675804</v>
      </c>
      <c r="I3414">
        <v>145739.62</v>
      </c>
      <c r="J3414">
        <v>126591.86</v>
      </c>
      <c r="K3414" s="1"/>
      <c r="L3414" s="1"/>
      <c r="M3414" s="1"/>
      <c r="N3414" s="1"/>
    </row>
    <row r="3415" ht="15.75" customHeight="1">
      <c r="A3415" t="s">
        <v>53</v>
      </c>
      <c r="B3415" t="s">
        <v>30</v>
      </c>
      <c r="C3415" t="s">
        <v>4913</v>
      </c>
      <c r="D3415" t="s">
        <v>3504</v>
      </c>
      <c r="E3415">
        <v>87303.03494068</v>
      </c>
      <c r="F3415">
        <v>30617.4543015629</v>
      </c>
      <c r="G3415">
        <v>27842.3086462491</v>
      </c>
      <c r="H3415">
        <v>19151.1540182676</v>
      </c>
      <c r="I3415">
        <v>145762.8</v>
      </c>
      <c r="J3415">
        <v>126611.65</v>
      </c>
      <c r="K3415" s="1"/>
      <c r="L3415" s="1"/>
      <c r="M3415" s="1"/>
      <c r="N3415" s="1"/>
    </row>
    <row r="3416" ht="15.75" customHeight="1">
      <c r="A3416" t="s">
        <v>53</v>
      </c>
      <c r="B3416" t="s">
        <v>54</v>
      </c>
      <c r="C3416" t="s">
        <v>4905</v>
      </c>
      <c r="D3416" t="s">
        <v>3505</v>
      </c>
      <c r="E3416">
        <v>87313.9179105862</v>
      </c>
      <c r="F3416">
        <v>30622.0690198903</v>
      </c>
      <c r="G3416">
        <v>27849.9886496786</v>
      </c>
      <c r="H3416">
        <v>19154.5515689549</v>
      </c>
      <c r="I3416">
        <v>145785.98</v>
      </c>
      <c r="J3416">
        <v>126631.43</v>
      </c>
      <c r="K3416" s="1"/>
      <c r="L3416" s="1"/>
      <c r="M3416" s="1"/>
      <c r="N3416" s="1"/>
    </row>
    <row r="3417" ht="15.75" customHeight="1">
      <c r="A3417" t="s">
        <v>53</v>
      </c>
      <c r="B3417" t="s">
        <v>33</v>
      </c>
      <c r="C3417" t="s">
        <v>4905</v>
      </c>
      <c r="D3417" t="s">
        <v>3506</v>
      </c>
      <c r="E3417">
        <v>87324.8008804924</v>
      </c>
      <c r="F3417">
        <v>30626.6837382177</v>
      </c>
      <c r="G3417">
        <v>27857.6686531081</v>
      </c>
      <c r="H3417">
        <v>19157.9491196422</v>
      </c>
      <c r="I3417">
        <v>145809.15</v>
      </c>
      <c r="J3417">
        <v>126651.2</v>
      </c>
      <c r="K3417" s="1"/>
      <c r="L3417" s="1"/>
      <c r="M3417" s="1"/>
      <c r="N3417" s="1"/>
    </row>
    <row r="3418" ht="15.75" customHeight="1">
      <c r="A3418" t="s">
        <v>36</v>
      </c>
      <c r="B3418" t="s">
        <v>14</v>
      </c>
      <c r="C3418" t="s">
        <v>4914</v>
      </c>
      <c r="D3418" t="s">
        <v>3507</v>
      </c>
      <c r="E3418">
        <v>87335.6838503986</v>
      </c>
      <c r="F3418">
        <v>30631.2984565452</v>
      </c>
      <c r="G3418">
        <v>27865.3486565376</v>
      </c>
      <c r="H3418">
        <v>19161.3466703295</v>
      </c>
      <c r="I3418">
        <v>145832.33</v>
      </c>
      <c r="J3418">
        <v>126670.98</v>
      </c>
      <c r="K3418" s="1"/>
      <c r="L3418" s="1"/>
      <c r="M3418" s="1"/>
      <c r="N3418" s="1"/>
    </row>
    <row r="3419" ht="15.75" customHeight="1">
      <c r="A3419" t="s">
        <v>17</v>
      </c>
      <c r="B3419" t="s">
        <v>33</v>
      </c>
      <c r="C3419" t="s">
        <v>4908</v>
      </c>
      <c r="D3419" t="s">
        <v>3508</v>
      </c>
      <c r="E3419">
        <v>87346.5668203048</v>
      </c>
      <c r="F3419">
        <v>30635.9131748726</v>
      </c>
      <c r="G3419">
        <v>27873.0286599671</v>
      </c>
      <c r="H3419">
        <v>19164.7442210168</v>
      </c>
      <c r="I3419">
        <v>145855.51</v>
      </c>
      <c r="J3419">
        <v>126690.77</v>
      </c>
      <c r="K3419" s="1"/>
      <c r="L3419" s="1"/>
      <c r="M3419" s="1"/>
      <c r="N3419" s="1"/>
    </row>
    <row r="3420" ht="15.75" customHeight="1">
      <c r="A3420" t="s">
        <v>36</v>
      </c>
      <c r="B3420" t="s">
        <v>26</v>
      </c>
      <c r="C3420" t="s">
        <v>4910</v>
      </c>
      <c r="D3420" t="s">
        <v>3509</v>
      </c>
      <c r="E3420">
        <v>87357.449790211</v>
      </c>
      <c r="F3420">
        <v>30640.5278932</v>
      </c>
      <c r="G3420">
        <v>27880.7086633966</v>
      </c>
      <c r="H3420">
        <v>19168.1417717041</v>
      </c>
      <c r="I3420">
        <v>145878.69</v>
      </c>
      <c r="J3420">
        <v>126710.55</v>
      </c>
      <c r="K3420" s="1"/>
      <c r="L3420" s="1"/>
      <c r="M3420" s="1"/>
      <c r="N3420" s="1"/>
    </row>
    <row r="3421" ht="15.75" customHeight="1">
      <c r="A3421" t="s">
        <v>53</v>
      </c>
      <c r="B3421" t="s">
        <v>33</v>
      </c>
      <c r="C3421" t="s">
        <v>4916</v>
      </c>
      <c r="D3421" t="s">
        <v>3510</v>
      </c>
      <c r="E3421">
        <v>87368.3327601171</v>
      </c>
      <c r="F3421">
        <v>30645.1426115274</v>
      </c>
      <c r="G3421">
        <v>27888.3886668261</v>
      </c>
      <c r="H3421">
        <v>19171.5393223914</v>
      </c>
      <c r="I3421">
        <v>145901.86</v>
      </c>
      <c r="J3421">
        <v>126730.32</v>
      </c>
      <c r="K3421" s="1"/>
      <c r="L3421" s="1"/>
      <c r="M3421" s="1"/>
      <c r="N3421" s="1"/>
    </row>
    <row r="3422" ht="15.75" customHeight="1">
      <c r="A3422" t="s">
        <v>25</v>
      </c>
      <c r="B3422" t="s">
        <v>37</v>
      </c>
      <c r="C3422" t="s">
        <v>4916</v>
      </c>
      <c r="D3422" t="s">
        <v>3511</v>
      </c>
      <c r="E3422">
        <v>87379.2157300233</v>
      </c>
      <c r="F3422">
        <v>30649.7573298548</v>
      </c>
      <c r="G3422">
        <v>27896.0686702556</v>
      </c>
      <c r="H3422">
        <v>19174.9368730787</v>
      </c>
      <c r="I3422">
        <v>145925.04</v>
      </c>
      <c r="J3422">
        <v>126750.1</v>
      </c>
      <c r="K3422" s="1"/>
      <c r="L3422" s="1"/>
      <c r="M3422" s="1"/>
      <c r="N3422" s="1"/>
    </row>
    <row r="3423" ht="15.75" customHeight="1">
      <c r="A3423" t="s">
        <v>51</v>
      </c>
      <c r="B3423" t="s">
        <v>18</v>
      </c>
      <c r="C3423" t="s">
        <v>4913</v>
      </c>
      <c r="D3423" t="s">
        <v>3512</v>
      </c>
      <c r="E3423">
        <v>87390.0986999295</v>
      </c>
      <c r="F3423">
        <v>30654.3720481823</v>
      </c>
      <c r="G3423">
        <v>27903.7486736851</v>
      </c>
      <c r="H3423">
        <v>19178.3344237659</v>
      </c>
      <c r="I3423">
        <v>145948.22</v>
      </c>
      <c r="J3423">
        <v>126769.89</v>
      </c>
      <c r="K3423" s="1"/>
      <c r="L3423" s="1"/>
      <c r="M3423" s="1"/>
      <c r="N3423" s="1"/>
    </row>
    <row r="3424" ht="15.75" customHeight="1">
      <c r="A3424" t="s">
        <v>17</v>
      </c>
      <c r="B3424" t="s">
        <v>26</v>
      </c>
      <c r="C3424" t="s">
        <v>4907</v>
      </c>
      <c r="D3424" t="s">
        <v>3513</v>
      </c>
      <c r="E3424">
        <v>87400.9816698357</v>
      </c>
      <c r="F3424">
        <v>30658.9867665097</v>
      </c>
      <c r="G3424">
        <v>27911.4286771146</v>
      </c>
      <c r="H3424">
        <v>19181.7319744532</v>
      </c>
      <c r="I3424">
        <v>145971.4</v>
      </c>
      <c r="J3424">
        <v>126789.67</v>
      </c>
      <c r="K3424" s="1"/>
      <c r="L3424" s="1"/>
      <c r="M3424" s="1"/>
      <c r="N3424" s="1"/>
    </row>
    <row r="3425" ht="15.75" customHeight="1">
      <c r="A3425" t="s">
        <v>17</v>
      </c>
      <c r="B3425" t="s">
        <v>26</v>
      </c>
      <c r="C3425" t="s">
        <v>4905</v>
      </c>
      <c r="D3425" t="s">
        <v>3514</v>
      </c>
      <c r="E3425">
        <v>87411.8646397419</v>
      </c>
      <c r="F3425">
        <v>30663.6014848371</v>
      </c>
      <c r="G3425">
        <v>27919.1086805441</v>
      </c>
      <c r="H3425">
        <v>19185.1295251405</v>
      </c>
      <c r="I3425">
        <v>145994.57</v>
      </c>
      <c r="J3425">
        <v>126809.44</v>
      </c>
      <c r="K3425" s="1"/>
      <c r="L3425" s="1"/>
      <c r="M3425" s="1"/>
      <c r="N3425" s="1"/>
    </row>
    <row r="3426" ht="15.75" customHeight="1">
      <c r="A3426" t="s">
        <v>17</v>
      </c>
      <c r="B3426" t="s">
        <v>26</v>
      </c>
      <c r="C3426" t="s">
        <v>4907</v>
      </c>
      <c r="D3426" t="s">
        <v>3515</v>
      </c>
      <c r="E3426">
        <v>87422.7476096481</v>
      </c>
      <c r="F3426">
        <v>30668.2162031645</v>
      </c>
      <c r="G3426">
        <v>27926.7886839736</v>
      </c>
      <c r="H3426">
        <v>19188.5270758278</v>
      </c>
      <c r="I3426">
        <v>146017.75</v>
      </c>
      <c r="J3426">
        <v>126829.22</v>
      </c>
      <c r="K3426" s="1"/>
      <c r="L3426" s="1"/>
      <c r="M3426" s="1"/>
      <c r="N3426" s="1"/>
    </row>
    <row r="3427" ht="15.75" customHeight="1">
      <c r="A3427" t="s">
        <v>17</v>
      </c>
      <c r="B3427" t="s">
        <v>33</v>
      </c>
      <c r="C3427" t="s">
        <v>4908</v>
      </c>
      <c r="D3427" t="s">
        <v>3516</v>
      </c>
      <c r="E3427">
        <v>87433.6305795543</v>
      </c>
      <c r="F3427">
        <v>30672.830921492</v>
      </c>
      <c r="G3427">
        <v>27934.4686874031</v>
      </c>
      <c r="H3427">
        <v>19191.9246265151</v>
      </c>
      <c r="I3427">
        <v>146040.93</v>
      </c>
      <c r="J3427">
        <v>126849.01</v>
      </c>
      <c r="K3427" s="1"/>
      <c r="L3427" s="1"/>
      <c r="M3427" s="1"/>
      <c r="N3427" s="1"/>
    </row>
    <row r="3428" ht="15.75" customHeight="1">
      <c r="A3428" t="s">
        <v>13</v>
      </c>
      <c r="B3428" t="s">
        <v>33</v>
      </c>
      <c r="C3428" t="s">
        <v>4910</v>
      </c>
      <c r="D3428" t="s">
        <v>3517</v>
      </c>
      <c r="E3428">
        <v>87444.5135494605</v>
      </c>
      <c r="F3428">
        <v>30677.4456398194</v>
      </c>
      <c r="G3428">
        <v>27942.1486908326</v>
      </c>
      <c r="H3428">
        <v>19195.3221772024</v>
      </c>
      <c r="I3428">
        <v>146064.11</v>
      </c>
      <c r="J3428">
        <v>126868.79</v>
      </c>
      <c r="K3428" s="1"/>
      <c r="L3428" s="1"/>
      <c r="M3428" s="1"/>
      <c r="N3428" s="1"/>
    </row>
    <row r="3429" ht="15.75" customHeight="1">
      <c r="A3429" t="s">
        <v>17</v>
      </c>
      <c r="B3429" t="s">
        <v>54</v>
      </c>
      <c r="C3429" t="s">
        <v>4912</v>
      </c>
      <c r="D3429" t="s">
        <v>3518</v>
      </c>
      <c r="E3429">
        <v>87455.3965193667</v>
      </c>
      <c r="F3429">
        <v>30682.0603581468</v>
      </c>
      <c r="G3429">
        <v>27949.8286942621</v>
      </c>
      <c r="H3429">
        <v>19198.7197278897</v>
      </c>
      <c r="I3429">
        <v>146087.29</v>
      </c>
      <c r="J3429">
        <v>126888.57</v>
      </c>
      <c r="K3429" s="1"/>
      <c r="L3429" s="1"/>
      <c r="M3429" s="1"/>
      <c r="N3429" s="1"/>
    </row>
    <row r="3430" ht="15.75" customHeight="1">
      <c r="A3430" t="s">
        <v>17</v>
      </c>
      <c r="B3430" t="s">
        <v>30</v>
      </c>
      <c r="C3430" t="s">
        <v>4913</v>
      </c>
      <c r="D3430" t="s">
        <v>3519</v>
      </c>
      <c r="E3430">
        <v>87466.2794892729</v>
      </c>
      <c r="F3430">
        <v>30686.6750764742</v>
      </c>
      <c r="G3430">
        <v>27957.5086976916</v>
      </c>
      <c r="H3430">
        <v>19202.117278577</v>
      </c>
      <c r="I3430">
        <v>146110.46</v>
      </c>
      <c r="J3430">
        <v>126908.34</v>
      </c>
      <c r="K3430" s="1"/>
      <c r="L3430" s="1"/>
      <c r="M3430" s="1"/>
      <c r="N3430" s="1"/>
    </row>
    <row r="3431" ht="15.75" customHeight="1">
      <c r="A3431" t="s">
        <v>13</v>
      </c>
      <c r="B3431" t="s">
        <v>33</v>
      </c>
      <c r="C3431" t="s">
        <v>4905</v>
      </c>
      <c r="D3431" t="s">
        <v>3520</v>
      </c>
      <c r="E3431">
        <v>87477.1624591791</v>
      </c>
      <c r="F3431">
        <v>30691.2897948016</v>
      </c>
      <c r="G3431">
        <v>27965.1887011211</v>
      </c>
      <c r="H3431">
        <v>19205.5148292642</v>
      </c>
      <c r="I3431">
        <v>146133.64</v>
      </c>
      <c r="J3431">
        <v>126928.13</v>
      </c>
      <c r="K3431" s="1"/>
      <c r="L3431" s="1"/>
      <c r="M3431" s="1"/>
      <c r="N3431" s="1"/>
    </row>
    <row r="3432" ht="15.75" customHeight="1">
      <c r="A3432" t="s">
        <v>25</v>
      </c>
      <c r="B3432" t="s">
        <v>30</v>
      </c>
      <c r="C3432" t="s">
        <v>4910</v>
      </c>
      <c r="D3432" t="s">
        <v>3521</v>
      </c>
      <c r="E3432">
        <v>87488.0454290853</v>
      </c>
      <c r="F3432">
        <v>30695.9045131291</v>
      </c>
      <c r="G3432">
        <v>27972.8687045506</v>
      </c>
      <c r="H3432">
        <v>19208.9123799515</v>
      </c>
      <c r="I3432">
        <v>146156.82</v>
      </c>
      <c r="J3432">
        <v>126947.91</v>
      </c>
      <c r="K3432" s="1"/>
      <c r="L3432" s="1"/>
      <c r="M3432" s="1"/>
      <c r="N3432" s="1"/>
    </row>
    <row r="3433" ht="15.75" customHeight="1">
      <c r="A3433" t="s">
        <v>29</v>
      </c>
      <c r="B3433" t="s">
        <v>14</v>
      </c>
      <c r="C3433" t="s">
        <v>4905</v>
      </c>
      <c r="D3433" t="s">
        <v>3522</v>
      </c>
      <c r="E3433">
        <v>87498.9283989915</v>
      </c>
      <c r="F3433">
        <v>30700.5192314565</v>
      </c>
      <c r="G3433">
        <v>27980.5487079801</v>
      </c>
      <c r="H3433">
        <v>19212.3099306388</v>
      </c>
      <c r="I3433">
        <v>146180.0</v>
      </c>
      <c r="J3433">
        <v>126967.69</v>
      </c>
      <c r="K3433" s="1"/>
      <c r="L3433" s="1"/>
      <c r="M3433" s="1"/>
      <c r="N3433" s="1"/>
    </row>
    <row r="3434" ht="15.75" customHeight="1">
      <c r="A3434" t="s">
        <v>36</v>
      </c>
      <c r="B3434" t="s">
        <v>18</v>
      </c>
      <c r="C3434" t="s">
        <v>4911</v>
      </c>
      <c r="D3434" t="s">
        <v>3523</v>
      </c>
      <c r="E3434">
        <v>87520.6943388039</v>
      </c>
      <c r="F3434">
        <v>30709.7486681113</v>
      </c>
      <c r="G3434">
        <v>27995.9087148391</v>
      </c>
      <c r="H3434">
        <v>19219.1050320134</v>
      </c>
      <c r="I3434">
        <v>146226.35</v>
      </c>
      <c r="J3434">
        <v>127007.24</v>
      </c>
      <c r="K3434" s="1"/>
      <c r="L3434" s="1"/>
      <c r="M3434" s="1"/>
      <c r="N3434" s="1"/>
    </row>
    <row r="3435" ht="15.75" customHeight="1">
      <c r="A3435" t="s">
        <v>25</v>
      </c>
      <c r="B3435" t="s">
        <v>14</v>
      </c>
      <c r="C3435" t="s">
        <v>4917</v>
      </c>
      <c r="D3435" t="s">
        <v>3524</v>
      </c>
      <c r="E3435">
        <v>87531.5773087101</v>
      </c>
      <c r="F3435">
        <v>30714.3633864388</v>
      </c>
      <c r="G3435">
        <v>28003.5887182685</v>
      </c>
      <c r="H3435">
        <v>19222.5025827007</v>
      </c>
      <c r="I3435">
        <v>146249.53</v>
      </c>
      <c r="J3435">
        <v>127027.03</v>
      </c>
      <c r="K3435" s="1"/>
      <c r="L3435" s="1"/>
      <c r="M3435" s="1"/>
      <c r="N3435" s="1"/>
    </row>
    <row r="3436" ht="15.75" customHeight="1">
      <c r="A3436" t="s">
        <v>17</v>
      </c>
      <c r="B3436" t="s">
        <v>33</v>
      </c>
      <c r="C3436" t="s">
        <v>4914</v>
      </c>
      <c r="D3436" t="s">
        <v>3525</v>
      </c>
      <c r="E3436">
        <v>87542.4602786162</v>
      </c>
      <c r="F3436">
        <v>30718.9781047662</v>
      </c>
      <c r="G3436">
        <v>28011.268721698</v>
      </c>
      <c r="H3436">
        <v>19225.900133388</v>
      </c>
      <c r="I3436">
        <v>146272.71</v>
      </c>
      <c r="J3436">
        <v>127046.81</v>
      </c>
      <c r="K3436" s="1"/>
      <c r="L3436" s="1"/>
      <c r="M3436" s="1"/>
      <c r="N3436" s="1"/>
    </row>
    <row r="3437" ht="15.75" customHeight="1">
      <c r="A3437" t="s">
        <v>25</v>
      </c>
      <c r="B3437" t="s">
        <v>37</v>
      </c>
      <c r="C3437" t="s">
        <v>4917</v>
      </c>
      <c r="D3437" t="s">
        <v>3526</v>
      </c>
      <c r="E3437">
        <v>20500.0</v>
      </c>
      <c r="F3437">
        <v>30723.5928230936</v>
      </c>
      <c r="G3437">
        <v>28018.9487251275</v>
      </c>
      <c r="H3437">
        <v>19229.2976840752</v>
      </c>
      <c r="I3437">
        <v>79242.54</v>
      </c>
      <c r="J3437">
        <v>60013.24</v>
      </c>
      <c r="K3437" s="1"/>
      <c r="L3437" s="1"/>
      <c r="M3437" s="1"/>
      <c r="N3437" s="1"/>
    </row>
    <row r="3438" ht="15.75" customHeight="1">
      <c r="A3438" t="s">
        <v>29</v>
      </c>
      <c r="B3438" t="s">
        <v>54</v>
      </c>
      <c r="C3438" t="s">
        <v>4912</v>
      </c>
      <c r="D3438" t="s">
        <v>3527</v>
      </c>
      <c r="E3438">
        <v>21000.0</v>
      </c>
      <c r="F3438">
        <v>30728.207541421</v>
      </c>
      <c r="G3438">
        <v>28026.628728557</v>
      </c>
      <c r="H3438">
        <v>19232.6952347625</v>
      </c>
      <c r="I3438">
        <v>79754.84</v>
      </c>
      <c r="J3438">
        <v>60522.14</v>
      </c>
      <c r="K3438" s="1"/>
      <c r="L3438" s="1"/>
      <c r="M3438" s="1"/>
      <c r="N3438" s="1"/>
    </row>
    <row r="3439" ht="15.75" customHeight="1">
      <c r="A3439" t="s">
        <v>17</v>
      </c>
      <c r="B3439" t="s">
        <v>33</v>
      </c>
      <c r="C3439" t="s">
        <v>4905</v>
      </c>
      <c r="D3439" t="s">
        <v>3528</v>
      </c>
      <c r="E3439">
        <v>21500.0</v>
      </c>
      <c r="F3439">
        <v>30732.8222597484</v>
      </c>
      <c r="G3439">
        <v>28034.3087319865</v>
      </c>
      <c r="H3439">
        <v>19236.0927854498</v>
      </c>
      <c r="I3439">
        <v>80267.13</v>
      </c>
      <c r="J3439">
        <v>61031.04</v>
      </c>
      <c r="K3439" s="1"/>
      <c r="L3439" s="1"/>
      <c r="M3439" s="1"/>
      <c r="N3439" s="1"/>
    </row>
    <row r="3440" ht="15.75" customHeight="1">
      <c r="A3440" t="s">
        <v>29</v>
      </c>
      <c r="B3440" t="s">
        <v>37</v>
      </c>
      <c r="C3440" t="s">
        <v>4905</v>
      </c>
      <c r="D3440" t="s">
        <v>3529</v>
      </c>
      <c r="E3440">
        <v>167600.0</v>
      </c>
      <c r="F3440">
        <v>30742.0516964033</v>
      </c>
      <c r="G3440">
        <v>28049.6687388455</v>
      </c>
      <c r="H3440">
        <v>19242.8878868244</v>
      </c>
      <c r="I3440">
        <v>226391.72</v>
      </c>
      <c r="J3440">
        <v>207148.83</v>
      </c>
      <c r="K3440" s="1"/>
      <c r="L3440" s="1"/>
      <c r="M3440" s="1"/>
      <c r="N3440" s="1"/>
    </row>
    <row r="3441" ht="15.75" customHeight="1">
      <c r="A3441" t="s">
        <v>36</v>
      </c>
      <c r="B3441" t="s">
        <v>30</v>
      </c>
      <c r="C3441" t="s">
        <v>4911</v>
      </c>
      <c r="D3441" t="s">
        <v>3530</v>
      </c>
      <c r="E3441">
        <v>87553.3432485224</v>
      </c>
      <c r="F3441">
        <v>30746.6664147307</v>
      </c>
      <c r="G3441">
        <v>28057.348742275</v>
      </c>
      <c r="H3441">
        <v>19246.2854375117</v>
      </c>
      <c r="I3441">
        <v>146357.36</v>
      </c>
      <c r="J3441">
        <v>127111.07</v>
      </c>
      <c r="K3441" s="1"/>
      <c r="L3441" s="1"/>
      <c r="M3441" s="1"/>
      <c r="N3441" s="1"/>
    </row>
    <row r="3442" ht="15.75" customHeight="1">
      <c r="A3442" t="s">
        <v>29</v>
      </c>
      <c r="B3442" t="s">
        <v>26</v>
      </c>
      <c r="C3442" t="s">
        <v>4917</v>
      </c>
      <c r="D3442" t="s">
        <v>3531</v>
      </c>
      <c r="E3442">
        <v>87564.2262184286</v>
      </c>
      <c r="F3442">
        <v>30751.2811330581</v>
      </c>
      <c r="G3442">
        <v>28065.0287457045</v>
      </c>
      <c r="H3442">
        <v>19249.682988199</v>
      </c>
      <c r="I3442">
        <v>146380.54</v>
      </c>
      <c r="J3442">
        <v>127130.86</v>
      </c>
      <c r="K3442" s="1"/>
      <c r="L3442" s="1"/>
      <c r="M3442" s="1"/>
      <c r="N3442" s="1"/>
    </row>
    <row r="3443" ht="15.75" customHeight="1">
      <c r="A3443" t="s">
        <v>51</v>
      </c>
      <c r="B3443" t="s">
        <v>18</v>
      </c>
      <c r="C3443" t="s">
        <v>4916</v>
      </c>
      <c r="D3443" t="s">
        <v>3532</v>
      </c>
      <c r="E3443">
        <v>87575.1091883348</v>
      </c>
      <c r="F3443">
        <v>30755.8958513855</v>
      </c>
      <c r="G3443">
        <v>28072.708749134</v>
      </c>
      <c r="H3443">
        <v>19253.0805388863</v>
      </c>
      <c r="I3443">
        <v>146403.71</v>
      </c>
      <c r="J3443">
        <v>127150.63</v>
      </c>
      <c r="K3443" s="1"/>
      <c r="L3443" s="1"/>
      <c r="M3443" s="1"/>
      <c r="N3443" s="1"/>
    </row>
    <row r="3444" ht="15.75" customHeight="1">
      <c r="A3444" t="s">
        <v>53</v>
      </c>
      <c r="B3444" t="s">
        <v>37</v>
      </c>
      <c r="C3444" t="s">
        <v>4917</v>
      </c>
      <c r="D3444" t="s">
        <v>3533</v>
      </c>
      <c r="E3444">
        <v>87585.992158241</v>
      </c>
      <c r="F3444">
        <v>30760.510569713</v>
      </c>
      <c r="G3444">
        <v>28080.3887525635</v>
      </c>
      <c r="H3444">
        <v>19256.4780895735</v>
      </c>
      <c r="I3444">
        <v>146426.89</v>
      </c>
      <c r="J3444">
        <v>127170.41</v>
      </c>
      <c r="K3444" s="1"/>
      <c r="L3444" s="1"/>
      <c r="M3444" s="1"/>
      <c r="N3444" s="1"/>
    </row>
    <row r="3445" ht="15.75" customHeight="1">
      <c r="A3445" t="s">
        <v>53</v>
      </c>
      <c r="B3445" t="s">
        <v>26</v>
      </c>
      <c r="C3445" t="s">
        <v>4917</v>
      </c>
      <c r="D3445" t="s">
        <v>3534</v>
      </c>
      <c r="E3445">
        <v>87596.8751281472</v>
      </c>
      <c r="F3445">
        <v>30765.1252880404</v>
      </c>
      <c r="G3445">
        <v>28088.068755993</v>
      </c>
      <c r="H3445">
        <v>19259.8756402608</v>
      </c>
      <c r="I3445">
        <v>146450.07</v>
      </c>
      <c r="J3445">
        <v>127190.19</v>
      </c>
      <c r="K3445" s="1"/>
      <c r="L3445" s="1"/>
      <c r="M3445" s="1"/>
      <c r="N3445" s="1"/>
    </row>
    <row r="3446" ht="15.75" customHeight="1">
      <c r="A3446" t="s">
        <v>51</v>
      </c>
      <c r="B3446" t="s">
        <v>18</v>
      </c>
      <c r="C3446" t="s">
        <v>4905</v>
      </c>
      <c r="D3446" t="s">
        <v>3535</v>
      </c>
      <c r="E3446">
        <v>87607.7580980534</v>
      </c>
      <c r="F3446">
        <v>30769.7400063678</v>
      </c>
      <c r="G3446">
        <v>28095.7487594225</v>
      </c>
      <c r="H3446">
        <v>19263.2731909481</v>
      </c>
      <c r="I3446">
        <v>146473.25</v>
      </c>
      <c r="J3446">
        <v>127209.98</v>
      </c>
      <c r="K3446" s="1"/>
      <c r="L3446" s="1"/>
      <c r="M3446" s="1"/>
      <c r="N3446" s="1"/>
    </row>
    <row r="3447" ht="15.75" customHeight="1">
      <c r="A3447" t="s">
        <v>36</v>
      </c>
      <c r="B3447" t="s">
        <v>37</v>
      </c>
      <c r="C3447" t="s">
        <v>4909</v>
      </c>
      <c r="D3447" t="s">
        <v>3536</v>
      </c>
      <c r="E3447">
        <v>87618.6410679596</v>
      </c>
      <c r="F3447">
        <v>30774.3547246952</v>
      </c>
      <c r="G3447">
        <v>28103.428762852</v>
      </c>
      <c r="H3447">
        <v>19266.6707416354</v>
      </c>
      <c r="I3447">
        <v>146496.42</v>
      </c>
      <c r="J3447">
        <v>127229.75</v>
      </c>
      <c r="K3447" s="1"/>
      <c r="L3447" s="1"/>
      <c r="M3447" s="1"/>
      <c r="N3447" s="1"/>
    </row>
    <row r="3448" ht="15.75" customHeight="1">
      <c r="A3448" t="s">
        <v>13</v>
      </c>
      <c r="B3448" t="s">
        <v>33</v>
      </c>
      <c r="C3448" t="s">
        <v>4911</v>
      </c>
      <c r="D3448" t="s">
        <v>3537</v>
      </c>
      <c r="E3448">
        <v>87629.5240378658</v>
      </c>
      <c r="F3448">
        <v>30778.9694430227</v>
      </c>
      <c r="G3448">
        <v>28111.1087662815</v>
      </c>
      <c r="H3448">
        <v>19270.0682923227</v>
      </c>
      <c r="I3448">
        <v>146519.6</v>
      </c>
      <c r="J3448">
        <v>127249.53</v>
      </c>
      <c r="K3448" s="1"/>
      <c r="L3448" s="1"/>
      <c r="M3448" s="1"/>
      <c r="N3448" s="1"/>
    </row>
    <row r="3449" ht="15.75" customHeight="1">
      <c r="A3449" t="s">
        <v>29</v>
      </c>
      <c r="B3449" t="s">
        <v>14</v>
      </c>
      <c r="C3449" t="s">
        <v>4907</v>
      </c>
      <c r="D3449" t="s">
        <v>3538</v>
      </c>
      <c r="E3449">
        <v>87640.407007772</v>
      </c>
      <c r="F3449">
        <v>30783.5841613501</v>
      </c>
      <c r="G3449">
        <v>28118.788769711</v>
      </c>
      <c r="H3449">
        <v>19273.46584301</v>
      </c>
      <c r="I3449">
        <v>146542.78</v>
      </c>
      <c r="J3449">
        <v>127269.31</v>
      </c>
      <c r="K3449" s="1"/>
      <c r="L3449" s="1"/>
      <c r="M3449" s="1"/>
      <c r="N3449" s="1"/>
    </row>
    <row r="3450" ht="15.75" customHeight="1">
      <c r="A3450" t="s">
        <v>13</v>
      </c>
      <c r="B3450" t="s">
        <v>33</v>
      </c>
      <c r="C3450" t="s">
        <v>4910</v>
      </c>
      <c r="D3450" t="s">
        <v>3540</v>
      </c>
      <c r="E3450">
        <v>87651.2899776782</v>
      </c>
      <c r="F3450">
        <v>30788.1988796775</v>
      </c>
      <c r="G3450">
        <v>28126.4687731405</v>
      </c>
      <c r="H3450">
        <v>19276.8633936973</v>
      </c>
      <c r="I3450">
        <v>146565.96</v>
      </c>
      <c r="J3450">
        <v>127289.1</v>
      </c>
      <c r="K3450" s="1"/>
      <c r="L3450" s="1"/>
      <c r="M3450" s="1"/>
      <c r="N3450" s="1"/>
    </row>
    <row r="3451" ht="15.75" customHeight="1">
      <c r="A3451" t="s">
        <v>25</v>
      </c>
      <c r="B3451" t="s">
        <v>33</v>
      </c>
      <c r="C3451" t="s">
        <v>4905</v>
      </c>
      <c r="D3451" t="s">
        <v>3541</v>
      </c>
      <c r="E3451">
        <v>87662.1729475844</v>
      </c>
      <c r="F3451">
        <v>30792.8135980049</v>
      </c>
      <c r="G3451">
        <v>28134.14877657</v>
      </c>
      <c r="H3451">
        <v>19280.2609443846</v>
      </c>
      <c r="I3451">
        <v>146589.14</v>
      </c>
      <c r="J3451">
        <v>127308.88</v>
      </c>
      <c r="K3451" s="1"/>
      <c r="L3451" s="1"/>
      <c r="M3451" s="1"/>
      <c r="N3451" s="1"/>
    </row>
    <row r="3452" ht="15.75" customHeight="1">
      <c r="A3452" t="s">
        <v>29</v>
      </c>
      <c r="B3452" t="s">
        <v>33</v>
      </c>
      <c r="C3452" t="s">
        <v>4911</v>
      </c>
      <c r="D3452" t="s">
        <v>3542</v>
      </c>
      <c r="E3452">
        <v>87673.0559174906</v>
      </c>
      <c r="F3452">
        <v>30797.4283163324</v>
      </c>
      <c r="G3452">
        <v>28141.8287799995</v>
      </c>
      <c r="H3452">
        <v>19283.6584950718</v>
      </c>
      <c r="I3452">
        <v>146612.31</v>
      </c>
      <c r="J3452">
        <v>127328.65</v>
      </c>
      <c r="K3452" s="1"/>
      <c r="L3452" s="1"/>
      <c r="M3452" s="1"/>
      <c r="N3452" s="1"/>
    </row>
    <row r="3453" ht="15.75" customHeight="1">
      <c r="A3453" t="s">
        <v>53</v>
      </c>
      <c r="B3453" t="s">
        <v>14</v>
      </c>
      <c r="C3453" t="s">
        <v>4916</v>
      </c>
      <c r="D3453" t="s">
        <v>3543</v>
      </c>
      <c r="E3453">
        <v>87683.9388873968</v>
      </c>
      <c r="F3453">
        <v>30802.0430346598</v>
      </c>
      <c r="G3453">
        <v>28149.508783429</v>
      </c>
      <c r="H3453">
        <v>19287.0560457591</v>
      </c>
      <c r="I3453">
        <v>146635.49</v>
      </c>
      <c r="J3453">
        <v>127348.43</v>
      </c>
      <c r="K3453" s="1"/>
      <c r="L3453" s="1"/>
      <c r="M3453" s="1"/>
      <c r="N3453" s="1"/>
    </row>
    <row r="3454" ht="15.75" customHeight="1">
      <c r="A3454" t="s">
        <v>36</v>
      </c>
      <c r="B3454" t="s">
        <v>30</v>
      </c>
      <c r="C3454" t="s">
        <v>4915</v>
      </c>
      <c r="D3454" t="s">
        <v>3544</v>
      </c>
      <c r="E3454">
        <v>87705.7048272092</v>
      </c>
      <c r="F3454">
        <v>30811.2724713146</v>
      </c>
      <c r="G3454">
        <v>28164.868790288</v>
      </c>
      <c r="H3454">
        <v>19293.8511471337</v>
      </c>
      <c r="I3454">
        <v>146681.85</v>
      </c>
      <c r="J3454">
        <v>127388.0</v>
      </c>
      <c r="K3454" s="1"/>
      <c r="L3454" s="1"/>
      <c r="M3454" s="1"/>
      <c r="N3454" s="1"/>
    </row>
    <row r="3455" ht="15.75" customHeight="1">
      <c r="A3455" t="s">
        <v>13</v>
      </c>
      <c r="B3455" t="s">
        <v>14</v>
      </c>
      <c r="C3455" t="s">
        <v>4915</v>
      </c>
      <c r="D3455" t="s">
        <v>3545</v>
      </c>
      <c r="E3455">
        <v>87716.5877971153</v>
      </c>
      <c r="F3455">
        <v>30815.887189642</v>
      </c>
      <c r="G3455">
        <v>28172.5487937175</v>
      </c>
      <c r="H3455">
        <v>19297.248697821</v>
      </c>
      <c r="I3455">
        <v>146705.02</v>
      </c>
      <c r="J3455">
        <v>127407.77</v>
      </c>
      <c r="K3455" s="1"/>
      <c r="L3455" s="1"/>
      <c r="M3455" s="1"/>
      <c r="N3455" s="1"/>
    </row>
    <row r="3456" ht="15.75" customHeight="1">
      <c r="A3456" t="s">
        <v>36</v>
      </c>
      <c r="B3456" t="s">
        <v>37</v>
      </c>
      <c r="C3456" t="s">
        <v>4908</v>
      </c>
      <c r="D3456" t="s">
        <v>3546</v>
      </c>
      <c r="E3456">
        <v>87727.4707670215</v>
      </c>
      <c r="F3456">
        <v>30820.5019079695</v>
      </c>
      <c r="G3456">
        <v>28180.228797147</v>
      </c>
      <c r="H3456">
        <v>19300.6462485083</v>
      </c>
      <c r="I3456">
        <v>146728.2</v>
      </c>
      <c r="J3456">
        <v>127427.55</v>
      </c>
      <c r="K3456" s="1"/>
      <c r="L3456" s="1"/>
      <c r="M3456" s="1"/>
      <c r="N3456" s="1"/>
    </row>
    <row r="3457" ht="15.75" customHeight="1">
      <c r="A3457" t="s">
        <v>29</v>
      </c>
      <c r="B3457" t="s">
        <v>54</v>
      </c>
      <c r="C3457" t="s">
        <v>4917</v>
      </c>
      <c r="D3457" t="s">
        <v>3547</v>
      </c>
      <c r="E3457">
        <v>87738.3537369277</v>
      </c>
      <c r="F3457">
        <v>30825.1166262969</v>
      </c>
      <c r="G3457">
        <v>28187.9088005765</v>
      </c>
      <c r="H3457">
        <v>19304.0437991956</v>
      </c>
      <c r="I3457">
        <v>146751.38</v>
      </c>
      <c r="J3457">
        <v>127447.34</v>
      </c>
      <c r="K3457" s="1"/>
      <c r="L3457" s="1"/>
      <c r="M3457" s="1"/>
      <c r="N3457" s="1"/>
    </row>
    <row r="3458" ht="15.75" customHeight="1">
      <c r="A3458" t="s">
        <v>36</v>
      </c>
      <c r="B3458" t="s">
        <v>18</v>
      </c>
      <c r="C3458" t="s">
        <v>4916</v>
      </c>
      <c r="D3458" t="s">
        <v>3548</v>
      </c>
      <c r="E3458">
        <v>87749.2367068339</v>
      </c>
      <c r="F3458">
        <v>30829.7313446243</v>
      </c>
      <c r="G3458">
        <v>28195.588804006</v>
      </c>
      <c r="H3458">
        <v>19307.4413498828</v>
      </c>
      <c r="I3458">
        <v>146774.56</v>
      </c>
      <c r="J3458">
        <v>127467.12</v>
      </c>
      <c r="K3458" s="1"/>
      <c r="L3458" s="1"/>
      <c r="M3458" s="1"/>
      <c r="N3458" s="1"/>
    </row>
    <row r="3459" ht="15.75" customHeight="1">
      <c r="A3459" t="s">
        <v>51</v>
      </c>
      <c r="B3459" t="s">
        <v>37</v>
      </c>
      <c r="C3459" t="s">
        <v>4909</v>
      </c>
      <c r="D3459" t="s">
        <v>3549</v>
      </c>
      <c r="E3459">
        <v>87760.1196767401</v>
      </c>
      <c r="F3459">
        <v>30834.3460629517</v>
      </c>
      <c r="G3459">
        <v>28203.2688074355</v>
      </c>
      <c r="H3459">
        <v>19310.8389005701</v>
      </c>
      <c r="I3459">
        <v>146797.73</v>
      </c>
      <c r="J3459">
        <v>127486.89</v>
      </c>
      <c r="K3459" s="1"/>
      <c r="L3459" s="1"/>
      <c r="M3459" s="1"/>
      <c r="N3459" s="1"/>
    </row>
    <row r="3460" ht="15.75" customHeight="1">
      <c r="A3460" t="s">
        <v>17</v>
      </c>
      <c r="B3460" t="s">
        <v>26</v>
      </c>
      <c r="C3460" t="s">
        <v>4907</v>
      </c>
      <c r="D3460" t="s">
        <v>3550</v>
      </c>
      <c r="E3460">
        <v>87771.0026466463</v>
      </c>
      <c r="F3460">
        <v>30838.9607812791</v>
      </c>
      <c r="G3460">
        <v>28210.948810865</v>
      </c>
      <c r="H3460">
        <v>19314.2364512574</v>
      </c>
      <c r="I3460">
        <v>146820.91</v>
      </c>
      <c r="J3460">
        <v>127506.67</v>
      </c>
      <c r="K3460" s="1"/>
      <c r="L3460" s="1"/>
      <c r="M3460" s="1"/>
      <c r="N3460" s="1"/>
    </row>
    <row r="3461" ht="15.75" customHeight="1">
      <c r="A3461" t="s">
        <v>36</v>
      </c>
      <c r="B3461" t="s">
        <v>30</v>
      </c>
      <c r="C3461" t="s">
        <v>4912</v>
      </c>
      <c r="D3461" t="s">
        <v>3551</v>
      </c>
      <c r="E3461">
        <v>87781.8856165525</v>
      </c>
      <c r="F3461">
        <v>30843.5754996066</v>
      </c>
      <c r="G3461">
        <v>28218.6288142945</v>
      </c>
      <c r="H3461">
        <v>19317.6340019447</v>
      </c>
      <c r="I3461">
        <v>146844.09</v>
      </c>
      <c r="J3461">
        <v>127526.46</v>
      </c>
      <c r="K3461" s="1"/>
      <c r="L3461" s="1"/>
      <c r="M3461" s="1"/>
      <c r="N3461" s="1"/>
    </row>
    <row r="3462" ht="15.75" customHeight="1">
      <c r="A3462" t="s">
        <v>36</v>
      </c>
      <c r="B3462" t="s">
        <v>33</v>
      </c>
      <c r="C3462" t="s">
        <v>4911</v>
      </c>
      <c r="D3462" t="s">
        <v>3552</v>
      </c>
      <c r="E3462">
        <v>87792.7685864587</v>
      </c>
      <c r="F3462">
        <v>30848.190217934</v>
      </c>
      <c r="G3462">
        <v>28226.308817724</v>
      </c>
      <c r="H3462">
        <v>19321.031552632</v>
      </c>
      <c r="I3462">
        <v>146867.27</v>
      </c>
      <c r="J3462">
        <v>127546.24</v>
      </c>
      <c r="K3462" s="1"/>
      <c r="L3462" s="1"/>
      <c r="M3462" s="1"/>
      <c r="N3462" s="1"/>
    </row>
    <row r="3463" ht="15.75" customHeight="1">
      <c r="A3463" t="s">
        <v>13</v>
      </c>
      <c r="B3463" t="s">
        <v>14</v>
      </c>
      <c r="C3463" t="s">
        <v>4914</v>
      </c>
      <c r="D3463" t="s">
        <v>3553</v>
      </c>
      <c r="E3463">
        <v>87803.6515563649</v>
      </c>
      <c r="F3463">
        <v>30852.8049362614</v>
      </c>
      <c r="G3463">
        <v>28233.9888211535</v>
      </c>
      <c r="H3463">
        <v>19324.4291033193</v>
      </c>
      <c r="I3463">
        <v>146890.45</v>
      </c>
      <c r="J3463">
        <v>127566.02</v>
      </c>
      <c r="K3463" s="1"/>
      <c r="L3463" s="1"/>
      <c r="M3463" s="1"/>
      <c r="N3463" s="1"/>
    </row>
    <row r="3464" ht="15.75" customHeight="1">
      <c r="A3464" t="s">
        <v>25</v>
      </c>
      <c r="B3464" t="s">
        <v>30</v>
      </c>
      <c r="C3464" t="s">
        <v>4911</v>
      </c>
      <c r="D3464" t="s">
        <v>3554</v>
      </c>
      <c r="E3464">
        <v>87825.4174961773</v>
      </c>
      <c r="F3464">
        <v>30862.0343729163</v>
      </c>
      <c r="G3464">
        <v>28249.3488280125</v>
      </c>
      <c r="H3464">
        <v>19331.2242046939</v>
      </c>
      <c r="I3464">
        <v>146936.8</v>
      </c>
      <c r="J3464">
        <v>127605.58</v>
      </c>
      <c r="K3464" s="1"/>
      <c r="L3464" s="1"/>
      <c r="M3464" s="1"/>
      <c r="N3464" s="1"/>
    </row>
    <row r="3465" ht="15.75" customHeight="1">
      <c r="A3465" t="s">
        <v>36</v>
      </c>
      <c r="B3465" t="s">
        <v>37</v>
      </c>
      <c r="C3465" t="s">
        <v>4911</v>
      </c>
      <c r="D3465" t="s">
        <v>3555</v>
      </c>
      <c r="E3465">
        <v>87836.3004660835</v>
      </c>
      <c r="F3465">
        <v>30866.6490912437</v>
      </c>
      <c r="G3465">
        <v>28257.028831442</v>
      </c>
      <c r="H3465">
        <v>19334.6217553811</v>
      </c>
      <c r="I3465">
        <v>146959.98</v>
      </c>
      <c r="J3465">
        <v>127625.36</v>
      </c>
      <c r="K3465" s="1"/>
      <c r="L3465" s="1"/>
      <c r="M3465" s="1"/>
      <c r="N3465" s="1"/>
    </row>
    <row r="3466" ht="15.75" customHeight="1">
      <c r="A3466" t="s">
        <v>25</v>
      </c>
      <c r="B3466" t="s">
        <v>26</v>
      </c>
      <c r="C3466" t="s">
        <v>4914</v>
      </c>
      <c r="D3466" t="s">
        <v>3556</v>
      </c>
      <c r="E3466">
        <v>87847.1834359897</v>
      </c>
      <c r="F3466">
        <v>30871.2638095711</v>
      </c>
      <c r="G3466">
        <v>28264.7088348715</v>
      </c>
      <c r="H3466">
        <v>19338.0193060684</v>
      </c>
      <c r="I3466">
        <v>146983.16</v>
      </c>
      <c r="J3466">
        <v>127645.14</v>
      </c>
      <c r="K3466" s="1"/>
      <c r="L3466" s="1"/>
      <c r="M3466" s="1"/>
      <c r="N3466" s="1"/>
    </row>
    <row r="3467" ht="15.75" customHeight="1">
      <c r="A3467" t="s">
        <v>25</v>
      </c>
      <c r="B3467" t="s">
        <v>33</v>
      </c>
      <c r="C3467" t="s">
        <v>4917</v>
      </c>
      <c r="D3467" t="s">
        <v>3557</v>
      </c>
      <c r="E3467">
        <v>87858.0664058959</v>
      </c>
      <c r="F3467">
        <v>30875.8785278985</v>
      </c>
      <c r="G3467">
        <v>28272.388838301</v>
      </c>
      <c r="H3467">
        <v>19341.4168567557</v>
      </c>
      <c r="I3467">
        <v>147006.33</v>
      </c>
      <c r="J3467">
        <v>127664.91</v>
      </c>
      <c r="K3467" s="1"/>
      <c r="L3467" s="1"/>
      <c r="M3467" s="1"/>
      <c r="N3467" s="1"/>
    </row>
    <row r="3468" ht="15.75" customHeight="1">
      <c r="A3468" t="s">
        <v>36</v>
      </c>
      <c r="B3468" t="s">
        <v>54</v>
      </c>
      <c r="C3468" t="s">
        <v>4916</v>
      </c>
      <c r="D3468" t="s">
        <v>3558</v>
      </c>
      <c r="E3468">
        <v>87868.949375802</v>
      </c>
      <c r="F3468">
        <v>30880.4932462259</v>
      </c>
      <c r="G3468">
        <v>28280.0688417304</v>
      </c>
      <c r="H3468">
        <v>19344.814407443</v>
      </c>
      <c r="I3468">
        <v>147029.51</v>
      </c>
      <c r="J3468">
        <v>127684.7</v>
      </c>
      <c r="K3468" s="1"/>
      <c r="L3468" s="1"/>
      <c r="M3468" s="1"/>
      <c r="N3468" s="1"/>
    </row>
    <row r="3469" ht="15.75" customHeight="1">
      <c r="A3469" t="s">
        <v>36</v>
      </c>
      <c r="B3469" t="s">
        <v>30</v>
      </c>
      <c r="C3469" t="s">
        <v>4914</v>
      </c>
      <c r="D3469" t="s">
        <v>3559</v>
      </c>
      <c r="E3469">
        <v>87879.8323457082</v>
      </c>
      <c r="F3469">
        <v>30885.1079645534</v>
      </c>
      <c r="G3469">
        <v>28287.7488451599</v>
      </c>
      <c r="H3469">
        <v>19348.2119581303</v>
      </c>
      <c r="I3469">
        <v>147052.69</v>
      </c>
      <c r="J3469">
        <v>127704.48</v>
      </c>
      <c r="K3469" s="1"/>
      <c r="L3469" s="1"/>
      <c r="M3469" s="1"/>
      <c r="N3469" s="1"/>
    </row>
    <row r="3470" ht="15.75" customHeight="1">
      <c r="A3470" t="s">
        <v>29</v>
      </c>
      <c r="B3470" t="s">
        <v>37</v>
      </c>
      <c r="C3470" t="s">
        <v>4911</v>
      </c>
      <c r="D3470" t="s">
        <v>3560</v>
      </c>
      <c r="E3470">
        <v>87890.7153156144</v>
      </c>
      <c r="F3470">
        <v>30889.7226828808</v>
      </c>
      <c r="G3470">
        <v>28295.4288485894</v>
      </c>
      <c r="H3470">
        <v>19351.6095088176</v>
      </c>
      <c r="I3470">
        <v>147075.87</v>
      </c>
      <c r="J3470">
        <v>127724.26</v>
      </c>
      <c r="K3470" s="1"/>
      <c r="L3470" s="1"/>
      <c r="M3470" s="1"/>
      <c r="N3470" s="1"/>
    </row>
    <row r="3471" ht="15.75" customHeight="1">
      <c r="A3471" t="s">
        <v>13</v>
      </c>
      <c r="B3471" t="s">
        <v>37</v>
      </c>
      <c r="C3471" t="s">
        <v>4916</v>
      </c>
      <c r="D3471" t="s">
        <v>3561</v>
      </c>
      <c r="E3471">
        <v>87901.5982855206</v>
      </c>
      <c r="F3471">
        <v>30894.3374012082</v>
      </c>
      <c r="G3471">
        <v>28303.1088520189</v>
      </c>
      <c r="H3471">
        <v>19355.0070595049</v>
      </c>
      <c r="I3471">
        <v>147099.04</v>
      </c>
      <c r="J3471">
        <v>127744.03</v>
      </c>
      <c r="K3471" s="1"/>
      <c r="L3471" s="1"/>
      <c r="M3471" s="1"/>
      <c r="N3471" s="1"/>
    </row>
    <row r="3472" ht="15.75" customHeight="1">
      <c r="A3472" t="s">
        <v>13</v>
      </c>
      <c r="B3472" t="s">
        <v>30</v>
      </c>
      <c r="C3472" t="s">
        <v>4916</v>
      </c>
      <c r="D3472" t="s">
        <v>3562</v>
      </c>
      <c r="E3472">
        <v>87912.4812554268</v>
      </c>
      <c r="F3472">
        <v>30898.9521195356</v>
      </c>
      <c r="G3472">
        <v>28310.7888554484</v>
      </c>
      <c r="H3472">
        <v>19358.4046101922</v>
      </c>
      <c r="I3472">
        <v>147122.22</v>
      </c>
      <c r="J3472">
        <v>127763.82</v>
      </c>
      <c r="K3472" s="1"/>
      <c r="L3472" s="1"/>
      <c r="M3472" s="1"/>
      <c r="N3472" s="1"/>
    </row>
    <row r="3473" ht="15.75" customHeight="1">
      <c r="A3473" t="s">
        <v>53</v>
      </c>
      <c r="B3473" t="s">
        <v>26</v>
      </c>
      <c r="C3473" t="s">
        <v>4912</v>
      </c>
      <c r="D3473" t="s">
        <v>3563</v>
      </c>
      <c r="E3473">
        <v>87923.364225333</v>
      </c>
      <c r="F3473">
        <v>30903.5668378631</v>
      </c>
      <c r="G3473">
        <v>28318.4688588779</v>
      </c>
      <c r="H3473">
        <v>19361.8021608794</v>
      </c>
      <c r="I3473">
        <v>147145.4</v>
      </c>
      <c r="J3473">
        <v>127783.6</v>
      </c>
      <c r="K3473" s="1"/>
      <c r="L3473" s="1"/>
      <c r="M3473" s="1"/>
      <c r="N3473" s="1"/>
    </row>
    <row r="3474" ht="15.75" customHeight="1">
      <c r="A3474" t="s">
        <v>17</v>
      </c>
      <c r="B3474" t="s">
        <v>37</v>
      </c>
      <c r="C3474" t="s">
        <v>4912</v>
      </c>
      <c r="D3474" t="s">
        <v>3564</v>
      </c>
      <c r="E3474">
        <v>87934.2471952392</v>
      </c>
      <c r="F3474">
        <v>30908.1815561905</v>
      </c>
      <c r="G3474">
        <v>28326.1488623074</v>
      </c>
      <c r="H3474">
        <v>19365.1997115667</v>
      </c>
      <c r="I3474">
        <v>147168.58</v>
      </c>
      <c r="J3474">
        <v>127803.38</v>
      </c>
      <c r="K3474" s="1"/>
      <c r="L3474" s="1"/>
      <c r="M3474" s="1"/>
      <c r="N3474" s="1"/>
    </row>
    <row r="3475" ht="15.75" customHeight="1">
      <c r="A3475" t="s">
        <v>51</v>
      </c>
      <c r="B3475" t="s">
        <v>54</v>
      </c>
      <c r="C3475" t="s">
        <v>4909</v>
      </c>
      <c r="D3475" t="s">
        <v>3566</v>
      </c>
      <c r="E3475">
        <v>87945.1301651454</v>
      </c>
      <c r="F3475">
        <v>30912.7962745179</v>
      </c>
      <c r="G3475">
        <v>28333.8288657369</v>
      </c>
      <c r="H3475">
        <v>19368.597262254</v>
      </c>
      <c r="I3475">
        <v>147191.76</v>
      </c>
      <c r="J3475">
        <v>127823.16</v>
      </c>
      <c r="K3475" s="1"/>
      <c r="L3475" s="1"/>
      <c r="M3475" s="1"/>
      <c r="N3475" s="1"/>
    </row>
    <row r="3476" ht="15.75" customHeight="1">
      <c r="A3476" t="s">
        <v>53</v>
      </c>
      <c r="B3476" t="s">
        <v>18</v>
      </c>
      <c r="C3476" t="s">
        <v>4909</v>
      </c>
      <c r="D3476" t="s">
        <v>3567</v>
      </c>
      <c r="E3476">
        <v>87956.0131350516</v>
      </c>
      <c r="F3476">
        <v>30917.4109928453</v>
      </c>
      <c r="G3476">
        <v>28341.5088691664</v>
      </c>
      <c r="H3476">
        <v>19371.9948129413</v>
      </c>
      <c r="I3476">
        <v>147214.93</v>
      </c>
      <c r="J3476">
        <v>127842.94</v>
      </c>
      <c r="K3476" s="1"/>
      <c r="L3476" s="1"/>
      <c r="M3476" s="1"/>
      <c r="N3476" s="1"/>
    </row>
    <row r="3477" ht="15.75" customHeight="1">
      <c r="A3477" t="s">
        <v>51</v>
      </c>
      <c r="B3477" t="s">
        <v>37</v>
      </c>
      <c r="C3477" t="s">
        <v>4910</v>
      </c>
      <c r="D3477" t="s">
        <v>3568</v>
      </c>
      <c r="E3477">
        <v>87966.8961049578</v>
      </c>
      <c r="F3477">
        <v>30922.0257111727</v>
      </c>
      <c r="G3477">
        <v>28349.1888725959</v>
      </c>
      <c r="H3477">
        <v>19375.3923636286</v>
      </c>
      <c r="I3477">
        <v>147238.11</v>
      </c>
      <c r="J3477">
        <v>127862.72</v>
      </c>
      <c r="K3477" s="1"/>
      <c r="L3477" s="1"/>
      <c r="M3477" s="1"/>
      <c r="N3477" s="1"/>
    </row>
    <row r="3478" ht="15.75" customHeight="1">
      <c r="A3478" t="s">
        <v>25</v>
      </c>
      <c r="B3478" t="s">
        <v>30</v>
      </c>
      <c r="C3478" t="s">
        <v>4910</v>
      </c>
      <c r="D3478" t="s">
        <v>3569</v>
      </c>
      <c r="E3478">
        <v>87977.779074864</v>
      </c>
      <c r="F3478">
        <v>30926.6404295002</v>
      </c>
      <c r="G3478">
        <v>28356.8688760254</v>
      </c>
      <c r="H3478">
        <v>19378.7899143159</v>
      </c>
      <c r="I3478">
        <v>147261.29</v>
      </c>
      <c r="J3478">
        <v>127882.5</v>
      </c>
      <c r="K3478" s="1"/>
      <c r="L3478" s="1"/>
      <c r="M3478" s="1"/>
      <c r="N3478" s="1"/>
    </row>
    <row r="3479" ht="15.75" customHeight="1">
      <c r="A3479" t="s">
        <v>17</v>
      </c>
      <c r="B3479" t="s">
        <v>18</v>
      </c>
      <c r="C3479" t="s">
        <v>4909</v>
      </c>
      <c r="D3479" t="s">
        <v>3570</v>
      </c>
      <c r="E3479">
        <v>87988.6620447702</v>
      </c>
      <c r="F3479">
        <v>30931.2551478276</v>
      </c>
      <c r="G3479">
        <v>28364.5488794549</v>
      </c>
      <c r="H3479">
        <v>19382.1874650032</v>
      </c>
      <c r="I3479">
        <v>147284.47</v>
      </c>
      <c r="J3479">
        <v>127902.28</v>
      </c>
      <c r="K3479" s="1"/>
      <c r="L3479" s="1"/>
      <c r="M3479" s="1"/>
      <c r="N3479" s="1"/>
    </row>
    <row r="3480" ht="15.75" customHeight="1">
      <c r="A3480" t="s">
        <v>51</v>
      </c>
      <c r="B3480" t="s">
        <v>26</v>
      </c>
      <c r="C3480" t="s">
        <v>4912</v>
      </c>
      <c r="D3480" t="s">
        <v>3571</v>
      </c>
      <c r="E3480">
        <v>87999.5450146764</v>
      </c>
      <c r="F3480">
        <v>30935.869866155</v>
      </c>
      <c r="G3480">
        <v>28372.2288828844</v>
      </c>
      <c r="H3480">
        <v>19385.5850156904</v>
      </c>
      <c r="I3480">
        <v>147307.64</v>
      </c>
      <c r="J3480">
        <v>127922.05</v>
      </c>
      <c r="K3480" s="1"/>
      <c r="L3480" s="1"/>
      <c r="M3480" s="1"/>
      <c r="N3480" s="1"/>
    </row>
    <row r="3481" ht="15.75" customHeight="1">
      <c r="A3481" t="s">
        <v>53</v>
      </c>
      <c r="B3481" t="s">
        <v>18</v>
      </c>
      <c r="C3481" t="s">
        <v>4907</v>
      </c>
      <c r="D3481" t="s">
        <v>3572</v>
      </c>
      <c r="E3481">
        <v>88010.4279845826</v>
      </c>
      <c r="F3481">
        <v>30940.4845844824</v>
      </c>
      <c r="G3481">
        <v>28379.9088863139</v>
      </c>
      <c r="H3481">
        <v>19388.9825663777</v>
      </c>
      <c r="I3481">
        <v>147330.82</v>
      </c>
      <c r="J3481">
        <v>127941.84</v>
      </c>
      <c r="K3481" s="1"/>
      <c r="L3481" s="1"/>
      <c r="M3481" s="1"/>
      <c r="N3481" s="1"/>
    </row>
    <row r="3482" ht="15.75" customHeight="1">
      <c r="A3482" t="s">
        <v>13</v>
      </c>
      <c r="B3482" t="s">
        <v>30</v>
      </c>
      <c r="C3482" t="s">
        <v>4915</v>
      </c>
      <c r="D3482" t="s">
        <v>3573</v>
      </c>
      <c r="E3482">
        <v>71656.69906138915</v>
      </c>
      <c r="F3482">
        <v>30949.7140211373</v>
      </c>
      <c r="G3482">
        <v>28395.2688931729</v>
      </c>
      <c r="H3482">
        <v>19395.7776677523</v>
      </c>
      <c r="I3482">
        <v>131001.68</v>
      </c>
      <c r="J3482">
        <v>111605.9</v>
      </c>
      <c r="K3482" s="1"/>
      <c r="L3482" s="1"/>
      <c r="M3482" s="1"/>
      <c r="N3482" s="1"/>
    </row>
    <row r="3483" ht="15.75" customHeight="1">
      <c r="A3483" t="s">
        <v>51</v>
      </c>
      <c r="B3483" t="s">
        <v>37</v>
      </c>
      <c r="C3483" t="s">
        <v>4915</v>
      </c>
      <c r="D3483" t="s">
        <v>3574</v>
      </c>
      <c r="E3483">
        <v>88043.0768943011</v>
      </c>
      <c r="F3483">
        <v>30954.3287394647</v>
      </c>
      <c r="G3483">
        <v>28402.9488966024</v>
      </c>
      <c r="H3483">
        <v>19399.1752184396</v>
      </c>
      <c r="I3483">
        <v>147400.35</v>
      </c>
      <c r="J3483">
        <v>128001.17</v>
      </c>
      <c r="K3483" s="1"/>
      <c r="L3483" s="1"/>
      <c r="M3483" s="1"/>
      <c r="N3483" s="1"/>
    </row>
    <row r="3484" ht="15.75" customHeight="1">
      <c r="A3484" t="s">
        <v>17</v>
      </c>
      <c r="B3484" t="s">
        <v>54</v>
      </c>
      <c r="C3484" t="s">
        <v>4907</v>
      </c>
      <c r="D3484" t="s">
        <v>3575</v>
      </c>
      <c r="E3484">
        <v>88053.9598642073</v>
      </c>
      <c r="F3484">
        <v>30958.9434577921</v>
      </c>
      <c r="G3484">
        <v>28410.6289000319</v>
      </c>
      <c r="H3484">
        <v>19402.5727691269</v>
      </c>
      <c r="I3484">
        <v>147423.53</v>
      </c>
      <c r="J3484">
        <v>128020.96</v>
      </c>
      <c r="K3484" s="1"/>
      <c r="L3484" s="1"/>
      <c r="M3484" s="1"/>
      <c r="N3484" s="1"/>
    </row>
    <row r="3485" ht="15.75" customHeight="1">
      <c r="A3485" t="s">
        <v>13</v>
      </c>
      <c r="B3485" t="s">
        <v>54</v>
      </c>
      <c r="C3485" t="s">
        <v>4912</v>
      </c>
      <c r="D3485" t="s">
        <v>3576</v>
      </c>
      <c r="E3485">
        <v>88064.8428341135</v>
      </c>
      <c r="F3485">
        <v>30963.5581761195</v>
      </c>
      <c r="G3485">
        <v>28418.3089034614</v>
      </c>
      <c r="H3485">
        <v>19405.9703198142</v>
      </c>
      <c r="I3485">
        <v>147446.71</v>
      </c>
      <c r="J3485">
        <v>128040.74</v>
      </c>
      <c r="K3485" s="1"/>
      <c r="L3485" s="1"/>
      <c r="M3485" s="1"/>
      <c r="N3485" s="1"/>
    </row>
    <row r="3486" ht="15.75" customHeight="1">
      <c r="A3486" t="s">
        <v>17</v>
      </c>
      <c r="B3486" t="s">
        <v>26</v>
      </c>
      <c r="C3486" t="s">
        <v>4913</v>
      </c>
      <c r="D3486" t="s">
        <v>3577</v>
      </c>
      <c r="E3486">
        <v>88075.7258040197</v>
      </c>
      <c r="F3486">
        <v>30968.172894447</v>
      </c>
      <c r="G3486">
        <v>28425.9889068909</v>
      </c>
      <c r="H3486">
        <v>19409.3678705015</v>
      </c>
      <c r="I3486">
        <v>147469.89</v>
      </c>
      <c r="J3486">
        <v>128060.52</v>
      </c>
      <c r="K3486" s="1"/>
      <c r="L3486" s="1"/>
      <c r="M3486" s="1"/>
      <c r="N3486" s="1"/>
    </row>
    <row r="3487" ht="15.75" customHeight="1">
      <c r="A3487" t="s">
        <v>17</v>
      </c>
      <c r="B3487" t="s">
        <v>37</v>
      </c>
      <c r="C3487" t="s">
        <v>4911</v>
      </c>
      <c r="D3487" t="s">
        <v>3578</v>
      </c>
      <c r="E3487">
        <v>88086.6087739259</v>
      </c>
      <c r="F3487">
        <v>30972.7876127744</v>
      </c>
      <c r="G3487">
        <v>28433.6689103204</v>
      </c>
      <c r="H3487">
        <v>19412.7654211887</v>
      </c>
      <c r="I3487">
        <v>147493.07</v>
      </c>
      <c r="J3487">
        <v>128080.3</v>
      </c>
      <c r="K3487" s="1"/>
      <c r="L3487" s="1"/>
      <c r="M3487" s="1"/>
      <c r="N3487" s="1"/>
    </row>
    <row r="3488" ht="15.75" customHeight="1">
      <c r="A3488" t="s">
        <v>29</v>
      </c>
      <c r="B3488" t="s">
        <v>54</v>
      </c>
      <c r="C3488" t="s">
        <v>4913</v>
      </c>
      <c r="D3488" t="s">
        <v>3579</v>
      </c>
      <c r="E3488">
        <v>88097.4917438321</v>
      </c>
      <c r="F3488">
        <v>30977.4023311018</v>
      </c>
      <c r="G3488">
        <v>28441.3489137499</v>
      </c>
      <c r="H3488">
        <v>19416.162971876</v>
      </c>
      <c r="I3488">
        <v>147516.24</v>
      </c>
      <c r="J3488">
        <v>128100.08</v>
      </c>
      <c r="K3488" s="1"/>
      <c r="L3488" s="1"/>
      <c r="M3488" s="1"/>
      <c r="N3488" s="1"/>
    </row>
    <row r="3489" ht="15.75" customHeight="1">
      <c r="A3489" t="s">
        <v>51</v>
      </c>
      <c r="B3489" t="s">
        <v>54</v>
      </c>
      <c r="C3489" t="s">
        <v>4905</v>
      </c>
      <c r="D3489" t="s">
        <v>3580</v>
      </c>
      <c r="E3489">
        <v>88108.3747137383</v>
      </c>
      <c r="F3489">
        <v>30982.0170494292</v>
      </c>
      <c r="G3489">
        <v>28449.0289171794</v>
      </c>
      <c r="H3489">
        <v>19419.5605225633</v>
      </c>
      <c r="I3489">
        <v>147539.42</v>
      </c>
      <c r="J3489">
        <v>128119.86</v>
      </c>
      <c r="K3489" s="1"/>
      <c r="L3489" s="1"/>
      <c r="M3489" s="1"/>
      <c r="N3489" s="1"/>
    </row>
    <row r="3490" ht="15.75" customHeight="1">
      <c r="A3490" t="s">
        <v>53</v>
      </c>
      <c r="B3490" t="s">
        <v>14</v>
      </c>
      <c r="C3490" t="s">
        <v>4914</v>
      </c>
      <c r="D3490" t="s">
        <v>3581</v>
      </c>
      <c r="E3490">
        <v>88119.2576836445</v>
      </c>
      <c r="F3490">
        <v>30986.6317677567</v>
      </c>
      <c r="G3490">
        <v>28456.7089206089</v>
      </c>
      <c r="H3490">
        <v>19422.9580732506</v>
      </c>
      <c r="I3490">
        <v>147562.6</v>
      </c>
      <c r="J3490">
        <v>128139.64</v>
      </c>
      <c r="K3490" s="1"/>
      <c r="L3490" s="1"/>
      <c r="M3490" s="1"/>
      <c r="N3490" s="1"/>
    </row>
    <row r="3491" ht="15.75" customHeight="1">
      <c r="A3491" t="s">
        <v>36</v>
      </c>
      <c r="B3491" t="s">
        <v>54</v>
      </c>
      <c r="C3491" t="s">
        <v>4917</v>
      </c>
      <c r="D3491" t="s">
        <v>3582</v>
      </c>
      <c r="E3491">
        <v>88130.1406535507</v>
      </c>
      <c r="F3491">
        <v>30991.2464860841</v>
      </c>
      <c r="G3491">
        <v>28464.3889240384</v>
      </c>
      <c r="H3491">
        <v>19426.3556239379</v>
      </c>
      <c r="I3491">
        <v>147585.78</v>
      </c>
      <c r="J3491">
        <v>128159.42</v>
      </c>
      <c r="K3491" s="1"/>
      <c r="L3491" s="1"/>
      <c r="M3491" s="1"/>
      <c r="N3491" s="1"/>
    </row>
    <row r="3492" ht="15.75" customHeight="1">
      <c r="A3492" t="s">
        <v>25</v>
      </c>
      <c r="B3492" t="s">
        <v>37</v>
      </c>
      <c r="C3492" t="s">
        <v>4910</v>
      </c>
      <c r="D3492" t="s">
        <v>3583</v>
      </c>
      <c r="E3492">
        <v>88141.0236234569</v>
      </c>
      <c r="F3492">
        <v>30995.8612044115</v>
      </c>
      <c r="G3492">
        <v>28472.0689274679</v>
      </c>
      <c r="H3492">
        <v>19429.7531746252</v>
      </c>
      <c r="I3492">
        <v>147608.95</v>
      </c>
      <c r="J3492">
        <v>128179.2</v>
      </c>
      <c r="K3492" s="1"/>
      <c r="L3492" s="1"/>
      <c r="M3492" s="1"/>
      <c r="N3492" s="1"/>
    </row>
    <row r="3493" ht="15.75" customHeight="1">
      <c r="A3493" t="s">
        <v>17</v>
      </c>
      <c r="B3493" t="s">
        <v>54</v>
      </c>
      <c r="C3493" t="s">
        <v>4912</v>
      </c>
      <c r="D3493" t="s">
        <v>3584</v>
      </c>
      <c r="E3493">
        <v>88151.9065933631</v>
      </c>
      <c r="F3493">
        <v>31000.4759227389</v>
      </c>
      <c r="G3493">
        <v>28479.7489308974</v>
      </c>
      <c r="H3493">
        <v>19433.1507253125</v>
      </c>
      <c r="I3493">
        <v>147632.13</v>
      </c>
      <c r="J3493">
        <v>128198.98</v>
      </c>
      <c r="K3493" s="1"/>
      <c r="L3493" s="1"/>
      <c r="M3493" s="1"/>
      <c r="N3493" s="1"/>
    </row>
    <row r="3494" ht="15.75" customHeight="1">
      <c r="A3494" t="s">
        <v>29</v>
      </c>
      <c r="B3494" t="s">
        <v>33</v>
      </c>
      <c r="C3494" t="s">
        <v>4910</v>
      </c>
      <c r="D3494" t="s">
        <v>3585</v>
      </c>
      <c r="E3494">
        <v>88162.7895632693</v>
      </c>
      <c r="F3494">
        <v>31005.0906410663</v>
      </c>
      <c r="G3494">
        <v>28487.4289343269</v>
      </c>
      <c r="H3494">
        <v>19436.5482759998</v>
      </c>
      <c r="I3494">
        <v>147655.31</v>
      </c>
      <c r="J3494">
        <v>128218.76</v>
      </c>
      <c r="K3494" s="1"/>
      <c r="L3494" s="1"/>
      <c r="M3494" s="1"/>
      <c r="N3494" s="1"/>
    </row>
    <row r="3495" ht="15.75" customHeight="1">
      <c r="A3495" t="s">
        <v>51</v>
      </c>
      <c r="B3495" t="s">
        <v>26</v>
      </c>
      <c r="C3495" t="s">
        <v>4913</v>
      </c>
      <c r="D3495" t="s">
        <v>3586</v>
      </c>
      <c r="E3495">
        <v>71902.66457289942</v>
      </c>
      <c r="F3495">
        <v>31009.7053593938</v>
      </c>
      <c r="G3495">
        <v>28495.1089377564</v>
      </c>
      <c r="H3495">
        <v>19439.945826687</v>
      </c>
      <c r="I3495">
        <v>131407.48</v>
      </c>
      <c r="J3495">
        <v>111967.53</v>
      </c>
      <c r="K3495" s="1"/>
      <c r="L3495" s="1"/>
      <c r="M3495" s="1"/>
      <c r="N3495" s="1"/>
    </row>
    <row r="3496" ht="15.75" customHeight="1">
      <c r="A3496" t="s">
        <v>29</v>
      </c>
      <c r="B3496" t="s">
        <v>30</v>
      </c>
      <c r="C3496" t="s">
        <v>4907</v>
      </c>
      <c r="D3496" t="s">
        <v>3587</v>
      </c>
      <c r="E3496">
        <v>88184.5555030817</v>
      </c>
      <c r="F3496">
        <v>31014.3200777212</v>
      </c>
      <c r="G3496">
        <v>28502.7889411859</v>
      </c>
      <c r="H3496">
        <v>19443.3433773743</v>
      </c>
      <c r="I3496">
        <v>147701.66</v>
      </c>
      <c r="J3496">
        <v>128258.32</v>
      </c>
      <c r="K3496" s="1"/>
      <c r="L3496" s="1"/>
      <c r="M3496" s="1"/>
      <c r="N3496" s="1"/>
    </row>
    <row r="3497" ht="15.75" customHeight="1">
      <c r="A3497" t="s">
        <v>17</v>
      </c>
      <c r="B3497" t="s">
        <v>54</v>
      </c>
      <c r="C3497" t="s">
        <v>4905</v>
      </c>
      <c r="D3497" t="s">
        <v>3588</v>
      </c>
      <c r="E3497">
        <v>88195.4384729878</v>
      </c>
      <c r="F3497">
        <v>31018.9347960486</v>
      </c>
      <c r="G3497">
        <v>28510.4689446154</v>
      </c>
      <c r="H3497">
        <v>19446.7409280616</v>
      </c>
      <c r="I3497">
        <v>147724.84</v>
      </c>
      <c r="J3497">
        <v>128278.1</v>
      </c>
      <c r="K3497" s="1"/>
      <c r="L3497" s="1"/>
      <c r="M3497" s="1"/>
      <c r="N3497" s="1"/>
    </row>
    <row r="3498" ht="15.75" customHeight="1">
      <c r="A3498" t="s">
        <v>17</v>
      </c>
      <c r="B3498" t="s">
        <v>14</v>
      </c>
      <c r="C3498" t="s">
        <v>4917</v>
      </c>
      <c r="D3498" t="s">
        <v>3589</v>
      </c>
      <c r="E3498">
        <v>88206.321442894</v>
      </c>
      <c r="F3498">
        <v>31023.549514376</v>
      </c>
      <c r="G3498">
        <v>28518.1489480449</v>
      </c>
      <c r="H3498">
        <v>19450.1384787489</v>
      </c>
      <c r="I3498">
        <v>147748.02</v>
      </c>
      <c r="J3498">
        <v>128297.88</v>
      </c>
      <c r="K3498" s="1"/>
      <c r="L3498" s="1"/>
      <c r="M3498" s="1"/>
      <c r="N3498" s="1"/>
    </row>
    <row r="3499" ht="15.75" customHeight="1">
      <c r="A3499" t="s">
        <v>53</v>
      </c>
      <c r="B3499" t="s">
        <v>54</v>
      </c>
      <c r="C3499" t="s">
        <v>4910</v>
      </c>
      <c r="D3499" t="s">
        <v>3590</v>
      </c>
      <c r="E3499">
        <v>88217.2044128002</v>
      </c>
      <c r="F3499">
        <v>31028.1642327035</v>
      </c>
      <c r="G3499">
        <v>28525.8289514744</v>
      </c>
      <c r="H3499">
        <v>19453.5360294362</v>
      </c>
      <c r="I3499">
        <v>147771.2</v>
      </c>
      <c r="J3499">
        <v>128317.66</v>
      </c>
      <c r="K3499" s="1"/>
      <c r="L3499" s="1"/>
      <c r="M3499" s="1"/>
      <c r="N3499" s="1"/>
    </row>
    <row r="3500" ht="15.75" customHeight="1">
      <c r="A3500" t="s">
        <v>13</v>
      </c>
      <c r="B3500" t="s">
        <v>33</v>
      </c>
      <c r="C3500" t="s">
        <v>4915</v>
      </c>
      <c r="D3500" t="s">
        <v>3591</v>
      </c>
      <c r="E3500">
        <v>71656.69906138915</v>
      </c>
      <c r="F3500">
        <v>31032.7789510309</v>
      </c>
      <c r="G3500">
        <v>28533.5089549039</v>
      </c>
      <c r="H3500">
        <v>19456.9335801235</v>
      </c>
      <c r="I3500">
        <v>131222.99</v>
      </c>
      <c r="J3500">
        <v>111766.06</v>
      </c>
      <c r="K3500" s="1"/>
      <c r="L3500" s="1"/>
      <c r="M3500" s="1"/>
      <c r="N3500" s="1"/>
    </row>
    <row r="3501" ht="15.75" customHeight="1">
      <c r="A3501" t="s">
        <v>13</v>
      </c>
      <c r="B3501" t="s">
        <v>30</v>
      </c>
      <c r="C3501" t="s">
        <v>4911</v>
      </c>
      <c r="D3501" t="s">
        <v>3592</v>
      </c>
      <c r="E3501">
        <v>88238.9703526126</v>
      </c>
      <c r="F3501">
        <v>31037.3936693583</v>
      </c>
      <c r="G3501">
        <v>28541.1889583334</v>
      </c>
      <c r="H3501">
        <v>19460.3311308108</v>
      </c>
      <c r="I3501">
        <v>147817.55</v>
      </c>
      <c r="J3501">
        <v>128357.22</v>
      </c>
      <c r="K3501" s="1"/>
      <c r="L3501" s="1"/>
      <c r="M3501" s="1"/>
      <c r="N3501" s="1"/>
    </row>
    <row r="3502" ht="15.75" customHeight="1">
      <c r="A3502" t="s">
        <v>29</v>
      </c>
      <c r="B3502" t="s">
        <v>33</v>
      </c>
      <c r="C3502" t="s">
        <v>4910</v>
      </c>
      <c r="D3502" t="s">
        <v>3593</v>
      </c>
      <c r="E3502">
        <v>88249.8533225188</v>
      </c>
      <c r="F3502">
        <v>31042.0083876857</v>
      </c>
      <c r="G3502">
        <v>28548.8689617629</v>
      </c>
      <c r="H3502">
        <v>19463.728681498</v>
      </c>
      <c r="I3502">
        <v>147840.73</v>
      </c>
      <c r="J3502">
        <v>128377.0</v>
      </c>
      <c r="K3502" s="1"/>
      <c r="L3502" s="1"/>
      <c r="M3502" s="1"/>
      <c r="N3502" s="1"/>
    </row>
    <row r="3503" ht="15.75" customHeight="1">
      <c r="A3503" t="s">
        <v>53</v>
      </c>
      <c r="B3503" t="s">
        <v>18</v>
      </c>
      <c r="C3503" t="s">
        <v>4914</v>
      </c>
      <c r="D3503" t="s">
        <v>3594</v>
      </c>
      <c r="E3503">
        <v>88260.736292425</v>
      </c>
      <c r="F3503">
        <v>31046.6231060131</v>
      </c>
      <c r="G3503">
        <v>28556.5489651924</v>
      </c>
      <c r="H3503">
        <v>19467.1262321853</v>
      </c>
      <c r="I3503">
        <v>147863.91</v>
      </c>
      <c r="J3503">
        <v>128396.78</v>
      </c>
      <c r="K3503" s="1"/>
      <c r="L3503" s="1"/>
      <c r="M3503" s="1"/>
      <c r="N3503" s="1"/>
    </row>
    <row r="3504" ht="15.75" customHeight="1">
      <c r="A3504" t="s">
        <v>51</v>
      </c>
      <c r="B3504" t="s">
        <v>26</v>
      </c>
      <c r="C3504" t="s">
        <v>4905</v>
      </c>
      <c r="D3504" t="s">
        <v>3595</v>
      </c>
      <c r="E3504">
        <v>88271.6192623312</v>
      </c>
      <c r="F3504">
        <v>31051.2378243406</v>
      </c>
      <c r="G3504">
        <v>28564.2289686219</v>
      </c>
      <c r="H3504">
        <v>19470.5237828726</v>
      </c>
      <c r="I3504">
        <v>147887.09</v>
      </c>
      <c r="J3504">
        <v>128416.57</v>
      </c>
      <c r="K3504" s="1"/>
      <c r="L3504" s="1"/>
      <c r="M3504" s="1"/>
      <c r="N3504" s="1"/>
    </row>
    <row r="3505" ht="15.75" customHeight="1">
      <c r="A3505" t="s">
        <v>53</v>
      </c>
      <c r="B3505" t="s">
        <v>14</v>
      </c>
      <c r="C3505" t="s">
        <v>4912</v>
      </c>
      <c r="D3505" t="s">
        <v>3596</v>
      </c>
      <c r="E3505">
        <v>88282.5022322374</v>
      </c>
      <c r="F3505">
        <v>31055.852542668</v>
      </c>
      <c r="G3505">
        <v>28571.9089720513</v>
      </c>
      <c r="H3505">
        <v>19473.9213335599</v>
      </c>
      <c r="I3505">
        <v>147910.26</v>
      </c>
      <c r="J3505">
        <v>128436.34</v>
      </c>
      <c r="K3505" s="1"/>
      <c r="L3505" s="1"/>
      <c r="M3505" s="1"/>
      <c r="N3505" s="1"/>
    </row>
    <row r="3506" ht="15.75" customHeight="1">
      <c r="A3506" t="s">
        <v>51</v>
      </c>
      <c r="B3506" t="s">
        <v>30</v>
      </c>
      <c r="C3506" t="s">
        <v>4908</v>
      </c>
      <c r="D3506" t="s">
        <v>3597</v>
      </c>
      <c r="E3506">
        <v>88293.3852021436</v>
      </c>
      <c r="F3506">
        <v>31060.4672609954</v>
      </c>
      <c r="G3506">
        <v>28579.5889754808</v>
      </c>
      <c r="H3506">
        <v>19477.3188842472</v>
      </c>
      <c r="I3506">
        <v>147933.44</v>
      </c>
      <c r="J3506">
        <v>128456.12</v>
      </c>
      <c r="K3506" s="1"/>
      <c r="L3506" s="1"/>
      <c r="M3506" s="1"/>
      <c r="N3506" s="1"/>
    </row>
    <row r="3507" ht="15.75" customHeight="1">
      <c r="A3507" t="s">
        <v>36</v>
      </c>
      <c r="B3507" t="s">
        <v>18</v>
      </c>
      <c r="C3507" t="s">
        <v>4909</v>
      </c>
      <c r="D3507" t="s">
        <v>3598</v>
      </c>
      <c r="E3507">
        <v>88304.2681720498</v>
      </c>
      <c r="F3507">
        <v>31065.0819793228</v>
      </c>
      <c r="G3507">
        <v>28587.2689789103</v>
      </c>
      <c r="H3507">
        <v>19480.7164349345</v>
      </c>
      <c r="I3507">
        <v>147956.62</v>
      </c>
      <c r="J3507">
        <v>128475.9</v>
      </c>
      <c r="K3507" s="1"/>
      <c r="L3507" s="1"/>
      <c r="M3507" s="1"/>
      <c r="N3507" s="1"/>
    </row>
    <row r="3508" ht="15.75" customHeight="1">
      <c r="A3508" t="s">
        <v>51</v>
      </c>
      <c r="B3508" t="s">
        <v>30</v>
      </c>
      <c r="C3508" t="s">
        <v>4913</v>
      </c>
      <c r="D3508" t="s">
        <v>3599</v>
      </c>
      <c r="E3508">
        <v>88315.151141956</v>
      </c>
      <c r="F3508">
        <v>31069.6966976503</v>
      </c>
      <c r="G3508">
        <v>28594.9489823398</v>
      </c>
      <c r="H3508">
        <v>19484.1139856218</v>
      </c>
      <c r="I3508">
        <v>147979.8</v>
      </c>
      <c r="J3508">
        <v>128495.69</v>
      </c>
      <c r="K3508" s="1"/>
      <c r="L3508" s="1"/>
      <c r="M3508" s="1"/>
      <c r="N3508" s="1"/>
    </row>
    <row r="3509" ht="15.75" customHeight="1">
      <c r="A3509" t="s">
        <v>17</v>
      </c>
      <c r="B3509" t="s">
        <v>26</v>
      </c>
      <c r="C3509" t="s">
        <v>4909</v>
      </c>
      <c r="D3509" t="s">
        <v>3600</v>
      </c>
      <c r="E3509">
        <v>88326.0341118622</v>
      </c>
      <c r="F3509">
        <v>31074.3114159777</v>
      </c>
      <c r="G3509">
        <v>28602.6289857693</v>
      </c>
      <c r="H3509">
        <v>19487.5115363091</v>
      </c>
      <c r="I3509">
        <v>148002.97</v>
      </c>
      <c r="J3509">
        <v>128515.46</v>
      </c>
      <c r="K3509" s="1"/>
      <c r="L3509" s="1"/>
      <c r="M3509" s="1"/>
      <c r="N3509" s="1"/>
    </row>
    <row r="3510" ht="15.75" customHeight="1">
      <c r="A3510" t="s">
        <v>51</v>
      </c>
      <c r="B3510" t="s">
        <v>30</v>
      </c>
      <c r="C3510" t="s">
        <v>4914</v>
      </c>
      <c r="D3510" t="s">
        <v>3601</v>
      </c>
      <c r="E3510">
        <v>88336.9170817684</v>
      </c>
      <c r="F3510">
        <v>31078.9261343051</v>
      </c>
      <c r="G3510">
        <v>28610.3089891988</v>
      </c>
      <c r="H3510">
        <v>19490.9090869963</v>
      </c>
      <c r="I3510">
        <v>148026.15</v>
      </c>
      <c r="J3510">
        <v>128535.24</v>
      </c>
      <c r="K3510" s="1"/>
      <c r="L3510" s="1"/>
      <c r="M3510" s="1"/>
      <c r="N3510" s="1"/>
    </row>
    <row r="3511" ht="15.75" customHeight="1">
      <c r="A3511" t="s">
        <v>36</v>
      </c>
      <c r="B3511" t="s">
        <v>14</v>
      </c>
      <c r="C3511" t="s">
        <v>4914</v>
      </c>
      <c r="D3511" t="s">
        <v>3602</v>
      </c>
      <c r="E3511">
        <v>88347.8000516746</v>
      </c>
      <c r="F3511">
        <v>31083.5408526325</v>
      </c>
      <c r="G3511">
        <v>28617.9889926283</v>
      </c>
      <c r="H3511">
        <v>19494.3066376836</v>
      </c>
      <c r="I3511">
        <v>148049.33</v>
      </c>
      <c r="J3511">
        <v>128555.02</v>
      </c>
      <c r="K3511" s="1"/>
      <c r="L3511" s="1"/>
      <c r="M3511" s="1"/>
      <c r="N3511" s="1"/>
    </row>
    <row r="3512" ht="15.75" customHeight="1">
      <c r="A3512" t="s">
        <v>36</v>
      </c>
      <c r="B3512" t="s">
        <v>54</v>
      </c>
      <c r="C3512" t="s">
        <v>4914</v>
      </c>
      <c r="D3512" t="s">
        <v>3603</v>
      </c>
      <c r="E3512">
        <v>88358.6830215808</v>
      </c>
      <c r="F3512">
        <v>31088.1555709599</v>
      </c>
      <c r="G3512">
        <v>28625.6689960578</v>
      </c>
      <c r="H3512">
        <v>19497.7041883709</v>
      </c>
      <c r="I3512">
        <v>148072.51</v>
      </c>
      <c r="J3512">
        <v>128574.81</v>
      </c>
      <c r="K3512" s="1"/>
      <c r="L3512" s="1"/>
      <c r="M3512" s="1"/>
      <c r="N3512" s="1"/>
    </row>
    <row r="3513" ht="15.75" customHeight="1">
      <c r="A3513" t="s">
        <v>25</v>
      </c>
      <c r="B3513" t="s">
        <v>54</v>
      </c>
      <c r="C3513" t="s">
        <v>4915</v>
      </c>
      <c r="D3513" t="s">
        <v>3604</v>
      </c>
      <c r="E3513">
        <v>88369.5659914869</v>
      </c>
      <c r="F3513">
        <v>31092.7702892874</v>
      </c>
      <c r="G3513">
        <v>28633.3489994873</v>
      </c>
      <c r="H3513">
        <v>19501.1017390582</v>
      </c>
      <c r="I3513">
        <v>148095.69</v>
      </c>
      <c r="J3513">
        <v>128594.59</v>
      </c>
      <c r="K3513" s="1"/>
      <c r="L3513" s="1"/>
      <c r="M3513" s="1"/>
      <c r="N3513" s="1"/>
    </row>
    <row r="3514" ht="15.75" customHeight="1">
      <c r="A3514" t="s">
        <v>17</v>
      </c>
      <c r="B3514" t="s">
        <v>14</v>
      </c>
      <c r="C3514" t="s">
        <v>4908</v>
      </c>
      <c r="D3514" t="s">
        <v>3605</v>
      </c>
      <c r="E3514">
        <v>88380.4489613931</v>
      </c>
      <c r="F3514">
        <v>31097.3850076148</v>
      </c>
      <c r="G3514">
        <v>28641.0290029168</v>
      </c>
      <c r="H3514">
        <v>19504.4992897455</v>
      </c>
      <c r="I3514">
        <v>148118.86</v>
      </c>
      <c r="J3514">
        <v>128614.36</v>
      </c>
      <c r="K3514" s="1"/>
      <c r="L3514" s="1"/>
      <c r="M3514" s="1"/>
      <c r="N3514" s="1"/>
    </row>
    <row r="3515" ht="15.75" customHeight="1">
      <c r="A3515" t="s">
        <v>13</v>
      </c>
      <c r="B3515" t="s">
        <v>33</v>
      </c>
      <c r="C3515" t="s">
        <v>4908</v>
      </c>
      <c r="D3515" t="s">
        <v>3606</v>
      </c>
      <c r="E3515">
        <v>88391.3319312993</v>
      </c>
      <c r="F3515">
        <v>31101.9997259422</v>
      </c>
      <c r="G3515">
        <v>28648.7090063463</v>
      </c>
      <c r="H3515">
        <v>19507.8968404328</v>
      </c>
      <c r="I3515">
        <v>148142.04</v>
      </c>
      <c r="J3515">
        <v>128634.14</v>
      </c>
      <c r="K3515" s="1"/>
      <c r="L3515" s="1"/>
      <c r="M3515" s="1"/>
      <c r="N3515" s="1"/>
    </row>
    <row r="3516" ht="15.75" customHeight="1">
      <c r="A3516" t="s">
        <v>53</v>
      </c>
      <c r="B3516" t="s">
        <v>30</v>
      </c>
      <c r="C3516" t="s">
        <v>4912</v>
      </c>
      <c r="D3516" t="s">
        <v>3607</v>
      </c>
      <c r="E3516">
        <v>88402.2149012055</v>
      </c>
      <c r="F3516">
        <v>31106.6144442696</v>
      </c>
      <c r="G3516">
        <v>28656.3890097758</v>
      </c>
      <c r="H3516">
        <v>19511.2943911201</v>
      </c>
      <c r="I3516">
        <v>148165.22</v>
      </c>
      <c r="J3516">
        <v>128653.93</v>
      </c>
      <c r="K3516" s="1"/>
      <c r="L3516" s="1"/>
      <c r="M3516" s="1"/>
      <c r="N3516" s="1"/>
    </row>
    <row r="3517" ht="15.75" customHeight="1">
      <c r="A3517" t="s">
        <v>36</v>
      </c>
      <c r="B3517" t="s">
        <v>18</v>
      </c>
      <c r="C3517" t="s">
        <v>4905</v>
      </c>
      <c r="D3517" t="s">
        <v>3608</v>
      </c>
      <c r="E3517">
        <v>88413.0978711117</v>
      </c>
      <c r="F3517">
        <v>31111.2291625971</v>
      </c>
      <c r="G3517">
        <v>28664.0690132053</v>
      </c>
      <c r="H3517">
        <v>19514.6919418074</v>
      </c>
      <c r="I3517">
        <v>148188.4</v>
      </c>
      <c r="J3517">
        <v>128673.71</v>
      </c>
      <c r="K3517" s="1"/>
      <c r="L3517" s="1"/>
      <c r="M3517" s="1"/>
      <c r="N3517" s="1"/>
    </row>
    <row r="3518" ht="15.75" customHeight="1">
      <c r="A3518" t="s">
        <v>29</v>
      </c>
      <c r="B3518" t="s">
        <v>26</v>
      </c>
      <c r="C3518" t="s">
        <v>4905</v>
      </c>
      <c r="D3518" t="s">
        <v>3609</v>
      </c>
      <c r="E3518">
        <v>88434.8638109241</v>
      </c>
      <c r="F3518">
        <v>31120.4585992519</v>
      </c>
      <c r="G3518">
        <v>28679.4290200643</v>
      </c>
      <c r="H3518">
        <v>19521.4870431819</v>
      </c>
      <c r="I3518">
        <v>148234.75</v>
      </c>
      <c r="J3518">
        <v>128713.26</v>
      </c>
      <c r="K3518" s="1"/>
      <c r="L3518" s="1"/>
      <c r="M3518" s="1"/>
      <c r="N3518" s="1"/>
    </row>
    <row r="3519" ht="15.75" customHeight="1">
      <c r="A3519" t="s">
        <v>53</v>
      </c>
      <c r="B3519" t="s">
        <v>30</v>
      </c>
      <c r="C3519" t="s">
        <v>4912</v>
      </c>
      <c r="D3519" t="s">
        <v>3610</v>
      </c>
      <c r="E3519">
        <v>88445.7467808303</v>
      </c>
      <c r="F3519">
        <v>31125.0733175793</v>
      </c>
      <c r="G3519">
        <v>28687.1090234938</v>
      </c>
      <c r="H3519">
        <v>19524.8845938692</v>
      </c>
      <c r="I3519">
        <v>148257.93</v>
      </c>
      <c r="J3519">
        <v>128733.05</v>
      </c>
      <c r="K3519" s="1"/>
      <c r="L3519" s="1"/>
      <c r="M3519" s="1"/>
      <c r="N3519" s="1"/>
    </row>
    <row r="3520" ht="15.75" customHeight="1">
      <c r="A3520" t="s">
        <v>51</v>
      </c>
      <c r="B3520" t="s">
        <v>26</v>
      </c>
      <c r="C3520" t="s">
        <v>4915</v>
      </c>
      <c r="D3520" t="s">
        <v>3611</v>
      </c>
      <c r="E3520">
        <v>88456.6297507365</v>
      </c>
      <c r="F3520">
        <v>31129.6880359067</v>
      </c>
      <c r="G3520">
        <v>28694.7890269233</v>
      </c>
      <c r="H3520">
        <v>19528.2821445565</v>
      </c>
      <c r="I3520">
        <v>148281.11</v>
      </c>
      <c r="J3520">
        <v>128752.83</v>
      </c>
      <c r="K3520" s="1"/>
      <c r="L3520" s="1"/>
      <c r="M3520" s="1"/>
      <c r="N3520" s="1"/>
    </row>
    <row r="3521" ht="15.75" customHeight="1">
      <c r="A3521" t="s">
        <v>51</v>
      </c>
      <c r="B3521" t="s">
        <v>30</v>
      </c>
      <c r="C3521" t="s">
        <v>4908</v>
      </c>
      <c r="D3521" t="s">
        <v>3612</v>
      </c>
      <c r="E3521">
        <v>88467.5127206427</v>
      </c>
      <c r="F3521">
        <v>31134.3027542342</v>
      </c>
      <c r="G3521">
        <v>28702.4690303528</v>
      </c>
      <c r="H3521">
        <v>19531.6796952438</v>
      </c>
      <c r="I3521">
        <v>148304.28</v>
      </c>
      <c r="J3521">
        <v>128772.6</v>
      </c>
      <c r="K3521" s="1"/>
      <c r="L3521" s="1"/>
      <c r="M3521" s="1"/>
      <c r="N3521" s="1"/>
    </row>
    <row r="3522" ht="15.75" customHeight="1">
      <c r="A3522" t="s">
        <v>17</v>
      </c>
      <c r="B3522" t="s">
        <v>26</v>
      </c>
      <c r="C3522" t="s">
        <v>4913</v>
      </c>
      <c r="D3522" t="s">
        <v>3613</v>
      </c>
      <c r="E3522">
        <v>88478.3956905489</v>
      </c>
      <c r="F3522">
        <v>31138.9174725616</v>
      </c>
      <c r="G3522">
        <v>28710.1490337823</v>
      </c>
      <c r="H3522">
        <v>19535.0772459311</v>
      </c>
      <c r="I3522">
        <v>148327.46</v>
      </c>
      <c r="J3522">
        <v>128792.38</v>
      </c>
      <c r="K3522" s="1"/>
      <c r="L3522" s="1"/>
      <c r="M3522" s="1"/>
      <c r="N3522" s="1"/>
    </row>
    <row r="3523" ht="15.75" customHeight="1">
      <c r="A3523" t="s">
        <v>29</v>
      </c>
      <c r="B3523" t="s">
        <v>33</v>
      </c>
      <c r="C3523" t="s">
        <v>4915</v>
      </c>
      <c r="D3523" t="s">
        <v>3614</v>
      </c>
      <c r="E3523">
        <v>88489.2786604551</v>
      </c>
      <c r="F3523">
        <v>31143.532190889</v>
      </c>
      <c r="G3523">
        <v>28717.8290372118</v>
      </c>
      <c r="H3523">
        <v>19538.4747966184</v>
      </c>
      <c r="I3523">
        <v>148350.64</v>
      </c>
      <c r="J3523">
        <v>128812.17</v>
      </c>
      <c r="K3523" s="1"/>
      <c r="L3523" s="1"/>
      <c r="M3523" s="1"/>
      <c r="N3523" s="1"/>
    </row>
    <row r="3524" ht="15.75" customHeight="1">
      <c r="A3524" t="s">
        <v>13</v>
      </c>
      <c r="B3524" t="s">
        <v>54</v>
      </c>
      <c r="C3524" t="s">
        <v>4913</v>
      </c>
      <c r="D3524" t="s">
        <v>3615</v>
      </c>
      <c r="E3524">
        <v>88500.1616303613</v>
      </c>
      <c r="F3524">
        <v>31148.1469092164</v>
      </c>
      <c r="G3524">
        <v>28725.5090406413</v>
      </c>
      <c r="H3524">
        <v>19541.8723473056</v>
      </c>
      <c r="I3524">
        <v>148373.82</v>
      </c>
      <c r="J3524">
        <v>128831.95</v>
      </c>
      <c r="K3524" s="1"/>
      <c r="L3524" s="1"/>
      <c r="M3524" s="1"/>
      <c r="N3524" s="1"/>
    </row>
    <row r="3525" ht="15.75" customHeight="1">
      <c r="A3525" t="s">
        <v>29</v>
      </c>
      <c r="B3525" t="s">
        <v>18</v>
      </c>
      <c r="C3525" t="s">
        <v>4908</v>
      </c>
      <c r="D3525" t="s">
        <v>3616</v>
      </c>
      <c r="E3525">
        <v>88511.0446002675</v>
      </c>
      <c r="F3525">
        <v>31152.7616275439</v>
      </c>
      <c r="G3525">
        <v>28733.1890440708</v>
      </c>
      <c r="H3525">
        <v>19545.2698979929</v>
      </c>
      <c r="I3525">
        <v>148397.0</v>
      </c>
      <c r="J3525">
        <v>128851.73</v>
      </c>
      <c r="K3525" s="1"/>
      <c r="L3525" s="1"/>
      <c r="M3525" s="1"/>
      <c r="N3525" s="1"/>
    </row>
    <row r="3526" ht="15.75" customHeight="1">
      <c r="A3526" t="s">
        <v>13</v>
      </c>
      <c r="B3526" t="s">
        <v>18</v>
      </c>
      <c r="C3526" t="s">
        <v>4913</v>
      </c>
      <c r="D3526" t="s">
        <v>3617</v>
      </c>
      <c r="E3526">
        <v>88521.9275701736</v>
      </c>
      <c r="F3526">
        <v>31157.3763458713</v>
      </c>
      <c r="G3526">
        <v>28740.8690475003</v>
      </c>
      <c r="H3526">
        <v>19548.6674486802</v>
      </c>
      <c r="I3526">
        <v>148420.17</v>
      </c>
      <c r="J3526">
        <v>128871.5</v>
      </c>
      <c r="K3526" s="1"/>
      <c r="L3526" s="1"/>
      <c r="M3526" s="1"/>
      <c r="N3526" s="1"/>
    </row>
    <row r="3527" ht="15.75" customHeight="1">
      <c r="A3527" t="s">
        <v>17</v>
      </c>
      <c r="B3527" t="s">
        <v>33</v>
      </c>
      <c r="C3527" t="s">
        <v>4912</v>
      </c>
      <c r="D3527" t="s">
        <v>3618</v>
      </c>
      <c r="E3527">
        <v>88532.8105400798</v>
      </c>
      <c r="F3527">
        <v>31161.9910641987</v>
      </c>
      <c r="G3527">
        <v>28748.5490509298</v>
      </c>
      <c r="H3527">
        <v>19552.0649993675</v>
      </c>
      <c r="I3527">
        <v>148443.35</v>
      </c>
      <c r="J3527">
        <v>128891.29</v>
      </c>
      <c r="K3527" s="1"/>
      <c r="L3527" s="1"/>
      <c r="M3527" s="1"/>
      <c r="N3527" s="1"/>
    </row>
    <row r="3528" ht="15.75" customHeight="1">
      <c r="A3528" t="s">
        <v>51</v>
      </c>
      <c r="B3528" t="s">
        <v>26</v>
      </c>
      <c r="C3528" t="s">
        <v>4907</v>
      </c>
      <c r="D3528" t="s">
        <v>3619</v>
      </c>
      <c r="E3528">
        <v>88543.693509986</v>
      </c>
      <c r="F3528">
        <v>31166.6057825261</v>
      </c>
      <c r="G3528">
        <v>28756.2290543593</v>
      </c>
      <c r="H3528">
        <v>19555.4625500548</v>
      </c>
      <c r="I3528">
        <v>148466.53</v>
      </c>
      <c r="J3528">
        <v>128911.07</v>
      </c>
      <c r="K3528" s="1"/>
      <c r="L3528" s="1"/>
      <c r="M3528" s="1"/>
      <c r="N3528" s="1"/>
    </row>
    <row r="3529" ht="15.75" customHeight="1">
      <c r="A3529" t="s">
        <v>36</v>
      </c>
      <c r="B3529" t="s">
        <v>54</v>
      </c>
      <c r="C3529" t="s">
        <v>4914</v>
      </c>
      <c r="D3529" t="s">
        <v>3620</v>
      </c>
      <c r="E3529">
        <v>88554.5764798922</v>
      </c>
      <c r="F3529">
        <v>31171.2205008535</v>
      </c>
      <c r="G3529">
        <v>28763.9090577888</v>
      </c>
      <c r="H3529">
        <v>19558.8601007421</v>
      </c>
      <c r="I3529">
        <v>148489.71</v>
      </c>
      <c r="J3529">
        <v>128930.85</v>
      </c>
      <c r="K3529" s="1"/>
      <c r="L3529" s="1"/>
      <c r="M3529" s="1"/>
      <c r="N3529" s="1"/>
    </row>
    <row r="3530" ht="15.75" customHeight="1">
      <c r="A3530" t="s">
        <v>29</v>
      </c>
      <c r="B3530" t="s">
        <v>18</v>
      </c>
      <c r="C3530" t="s">
        <v>4912</v>
      </c>
      <c r="D3530" t="s">
        <v>3621</v>
      </c>
      <c r="E3530">
        <v>88565.4594497984</v>
      </c>
      <c r="F3530">
        <v>31175.835219181</v>
      </c>
      <c r="G3530">
        <v>28771.5890612183</v>
      </c>
      <c r="H3530">
        <v>19562.2576514294</v>
      </c>
      <c r="I3530">
        <v>148512.88</v>
      </c>
      <c r="J3530">
        <v>128950.62</v>
      </c>
      <c r="K3530" s="1"/>
      <c r="L3530" s="1"/>
      <c r="M3530" s="1"/>
      <c r="N3530" s="1"/>
    </row>
    <row r="3531" ht="15.75" customHeight="1">
      <c r="A3531" t="s">
        <v>51</v>
      </c>
      <c r="B3531" t="s">
        <v>26</v>
      </c>
      <c r="C3531" t="s">
        <v>4911</v>
      </c>
      <c r="D3531" t="s">
        <v>3622</v>
      </c>
      <c r="E3531">
        <v>88576.3424197046</v>
      </c>
      <c r="F3531">
        <v>31180.4499375084</v>
      </c>
      <c r="G3531">
        <v>28779.2690646478</v>
      </c>
      <c r="H3531">
        <v>19565.6552021167</v>
      </c>
      <c r="I3531">
        <v>148536.06</v>
      </c>
      <c r="J3531">
        <v>128970.4</v>
      </c>
      <c r="K3531" s="1"/>
      <c r="L3531" s="1"/>
      <c r="M3531" s="1"/>
      <c r="N3531" s="1"/>
    </row>
    <row r="3532" ht="15.75" customHeight="1">
      <c r="A3532" t="s">
        <v>51</v>
      </c>
      <c r="B3532" t="s">
        <v>26</v>
      </c>
      <c r="C3532" t="s">
        <v>4913</v>
      </c>
      <c r="D3532" t="s">
        <v>3623</v>
      </c>
      <c r="E3532">
        <v>88587.2253896108</v>
      </c>
      <c r="F3532">
        <v>31185.0646558358</v>
      </c>
      <c r="G3532">
        <v>28786.9490680773</v>
      </c>
      <c r="H3532">
        <v>19569.0527528039</v>
      </c>
      <c r="I3532">
        <v>148559.24</v>
      </c>
      <c r="J3532">
        <v>128990.19</v>
      </c>
      <c r="K3532" s="1"/>
      <c r="L3532" s="1"/>
      <c r="M3532" s="1"/>
      <c r="N3532" s="1"/>
    </row>
    <row r="3533" ht="15.75" customHeight="1">
      <c r="A3533" t="s">
        <v>13</v>
      </c>
      <c r="B3533" t="s">
        <v>30</v>
      </c>
      <c r="C3533" t="s">
        <v>4908</v>
      </c>
      <c r="D3533" t="s">
        <v>3624</v>
      </c>
      <c r="E3533">
        <v>88598.108359517</v>
      </c>
      <c r="F3533">
        <v>31189.6793741632</v>
      </c>
      <c r="G3533">
        <v>28794.6290715068</v>
      </c>
      <c r="H3533">
        <v>19572.4503034912</v>
      </c>
      <c r="I3533">
        <v>148582.42</v>
      </c>
      <c r="J3533">
        <v>129009.97</v>
      </c>
      <c r="K3533" s="1"/>
      <c r="L3533" s="1"/>
      <c r="M3533" s="1"/>
      <c r="N3533" s="1"/>
    </row>
    <row r="3534" ht="15.75" customHeight="1">
      <c r="A3534" t="s">
        <v>29</v>
      </c>
      <c r="B3534" t="s">
        <v>18</v>
      </c>
      <c r="C3534" t="s">
        <v>4912</v>
      </c>
      <c r="D3534" t="s">
        <v>3625</v>
      </c>
      <c r="E3534">
        <v>72210.86634532797</v>
      </c>
      <c r="F3534">
        <v>31198.9088108181</v>
      </c>
      <c r="G3534">
        <v>28809.9890783658</v>
      </c>
      <c r="H3534">
        <v>19579.2454048658</v>
      </c>
      <c r="I3534">
        <v>132219.76</v>
      </c>
      <c r="J3534">
        <v>112640.51</v>
      </c>
      <c r="K3534" s="1"/>
      <c r="L3534" s="1"/>
      <c r="M3534" s="1"/>
      <c r="N3534" s="1"/>
    </row>
    <row r="3535" ht="15.75" customHeight="1">
      <c r="A3535" t="s">
        <v>36</v>
      </c>
      <c r="B3535" t="s">
        <v>26</v>
      </c>
      <c r="C3535" t="s">
        <v>4914</v>
      </c>
      <c r="D3535" t="s">
        <v>3626</v>
      </c>
      <c r="E3535">
        <v>88630.7572692356</v>
      </c>
      <c r="F3535">
        <v>31203.5235291455</v>
      </c>
      <c r="G3535">
        <v>28817.6690817953</v>
      </c>
      <c r="H3535">
        <v>19582.6429555531</v>
      </c>
      <c r="I3535">
        <v>148651.95</v>
      </c>
      <c r="J3535">
        <v>129069.31</v>
      </c>
      <c r="K3535" s="1"/>
      <c r="L3535" s="1"/>
      <c r="M3535" s="1"/>
      <c r="N3535" s="1"/>
    </row>
    <row r="3536" ht="15.75" customHeight="1">
      <c r="A3536" t="s">
        <v>17</v>
      </c>
      <c r="B3536" t="s">
        <v>33</v>
      </c>
      <c r="C3536" t="s">
        <v>4905</v>
      </c>
      <c r="D3536" t="s">
        <v>3627</v>
      </c>
      <c r="E3536">
        <v>88641.6402391418</v>
      </c>
      <c r="F3536">
        <v>31208.1382474729</v>
      </c>
      <c r="G3536">
        <v>28825.3490852248</v>
      </c>
      <c r="H3536">
        <v>19586.0405062404</v>
      </c>
      <c r="I3536">
        <v>148675.13</v>
      </c>
      <c r="J3536">
        <v>129089.09</v>
      </c>
      <c r="K3536" s="1"/>
      <c r="L3536" s="1"/>
      <c r="M3536" s="1"/>
      <c r="N3536" s="1"/>
    </row>
    <row r="3537" ht="15.75" customHeight="1">
      <c r="A3537" t="s">
        <v>17</v>
      </c>
      <c r="B3537" t="s">
        <v>37</v>
      </c>
      <c r="C3537" t="s">
        <v>4916</v>
      </c>
      <c r="D3537" t="s">
        <v>3628</v>
      </c>
      <c r="E3537">
        <v>88663.4061789542</v>
      </c>
      <c r="F3537">
        <v>31217.3676841278</v>
      </c>
      <c r="G3537">
        <v>28840.7090920838</v>
      </c>
      <c r="H3537">
        <v>19592.835607615</v>
      </c>
      <c r="I3537">
        <v>148721.48</v>
      </c>
      <c r="J3537">
        <v>129128.64</v>
      </c>
      <c r="K3537" s="1"/>
      <c r="L3537" s="1"/>
      <c r="M3537" s="1"/>
      <c r="N3537" s="1"/>
    </row>
    <row r="3538" ht="15.75" customHeight="1">
      <c r="A3538" t="s">
        <v>17</v>
      </c>
      <c r="B3538" t="s">
        <v>37</v>
      </c>
      <c r="C3538" t="s">
        <v>4914</v>
      </c>
      <c r="D3538" t="s">
        <v>3629</v>
      </c>
      <c r="E3538">
        <v>88674.2891488604</v>
      </c>
      <c r="F3538">
        <v>31221.9824024552</v>
      </c>
      <c r="G3538">
        <v>28848.3890955132</v>
      </c>
      <c r="H3538">
        <v>19596.2331583022</v>
      </c>
      <c r="I3538">
        <v>148744.66</v>
      </c>
      <c r="J3538">
        <v>129148.43</v>
      </c>
      <c r="K3538" s="1"/>
      <c r="L3538" s="1"/>
      <c r="M3538" s="1"/>
      <c r="N3538" s="1"/>
    </row>
    <row r="3539" ht="15.75" customHeight="1">
      <c r="A3539" t="s">
        <v>51</v>
      </c>
      <c r="B3539" t="s">
        <v>37</v>
      </c>
      <c r="C3539" t="s">
        <v>4907</v>
      </c>
      <c r="D3539" t="s">
        <v>3630</v>
      </c>
      <c r="E3539">
        <v>88685.1721187665</v>
      </c>
      <c r="F3539">
        <v>31226.5971207826</v>
      </c>
      <c r="G3539">
        <v>28856.0690989427</v>
      </c>
      <c r="H3539">
        <v>19599.6307089895</v>
      </c>
      <c r="I3539">
        <v>148767.84</v>
      </c>
      <c r="J3539">
        <v>129168.21</v>
      </c>
      <c r="K3539" s="1"/>
      <c r="L3539" s="1"/>
      <c r="M3539" s="1"/>
      <c r="N3539" s="1"/>
    </row>
    <row r="3540" ht="15.75" customHeight="1">
      <c r="A3540" t="s">
        <v>25</v>
      </c>
      <c r="B3540" t="s">
        <v>33</v>
      </c>
      <c r="C3540" t="s">
        <v>4910</v>
      </c>
      <c r="D3540" t="s">
        <v>3631</v>
      </c>
      <c r="E3540">
        <v>88696.0550886727</v>
      </c>
      <c r="F3540">
        <v>31231.21183911</v>
      </c>
      <c r="G3540">
        <v>28863.7491023722</v>
      </c>
      <c r="H3540">
        <v>19603.0282596768</v>
      </c>
      <c r="I3540">
        <v>148791.02</v>
      </c>
      <c r="J3540">
        <v>129187.99</v>
      </c>
      <c r="K3540" s="1"/>
      <c r="L3540" s="1"/>
      <c r="M3540" s="1"/>
      <c r="N3540" s="1"/>
    </row>
    <row r="3541" ht="15.75" customHeight="1">
      <c r="A3541" t="s">
        <v>29</v>
      </c>
      <c r="B3541" t="s">
        <v>54</v>
      </c>
      <c r="C3541" t="s">
        <v>4907</v>
      </c>
      <c r="D3541" t="s">
        <v>3632</v>
      </c>
      <c r="E3541">
        <v>88706.9380585789</v>
      </c>
      <c r="F3541">
        <v>31235.8265574374</v>
      </c>
      <c r="G3541">
        <v>28871.4291058017</v>
      </c>
      <c r="H3541">
        <v>19606.4258103641</v>
      </c>
      <c r="I3541">
        <v>148814.19</v>
      </c>
      <c r="J3541">
        <v>129207.76</v>
      </c>
      <c r="K3541" s="1"/>
      <c r="L3541" s="1"/>
      <c r="M3541" s="1"/>
      <c r="N3541" s="1"/>
    </row>
    <row r="3542" ht="15.75" customHeight="1">
      <c r="A3542" t="s">
        <v>51</v>
      </c>
      <c r="B3542" t="s">
        <v>54</v>
      </c>
      <c r="C3542" t="s">
        <v>4908</v>
      </c>
      <c r="D3542" t="s">
        <v>3633</v>
      </c>
      <c r="E3542">
        <v>88717.8210284851</v>
      </c>
      <c r="F3542">
        <v>31240.4412757649</v>
      </c>
      <c r="G3542">
        <v>28879.1091092312</v>
      </c>
      <c r="H3542">
        <v>14517.91218360388</v>
      </c>
      <c r="I3542">
        <v>148837.37</v>
      </c>
      <c r="J3542">
        <v>134319.46</v>
      </c>
      <c r="K3542" s="1"/>
      <c r="L3542" s="1"/>
      <c r="M3542" s="1"/>
      <c r="N3542" s="1"/>
    </row>
    <row r="3543" ht="15.75" customHeight="1">
      <c r="A3543" t="s">
        <v>36</v>
      </c>
      <c r="B3543" t="s">
        <v>14</v>
      </c>
      <c r="C3543" t="s">
        <v>4909</v>
      </c>
      <c r="D3543" t="s">
        <v>3634</v>
      </c>
      <c r="E3543">
        <v>88728.7039983913</v>
      </c>
      <c r="F3543">
        <v>31245.0559940923</v>
      </c>
      <c r="G3543">
        <v>28886.7891126607</v>
      </c>
      <c r="H3543">
        <v>19613.2209117387</v>
      </c>
      <c r="I3543">
        <v>148860.55</v>
      </c>
      <c r="J3543">
        <v>129247.33</v>
      </c>
      <c r="K3543" s="1"/>
      <c r="L3543" s="1"/>
      <c r="M3543" s="1"/>
      <c r="N3543" s="1"/>
    </row>
    <row r="3544" ht="15.75" customHeight="1">
      <c r="A3544" t="s">
        <v>29</v>
      </c>
      <c r="B3544" t="s">
        <v>14</v>
      </c>
      <c r="C3544" t="s">
        <v>4912</v>
      </c>
      <c r="D3544" t="s">
        <v>3635</v>
      </c>
      <c r="E3544">
        <v>88739.5869682975</v>
      </c>
      <c r="F3544">
        <v>31249.6707124197</v>
      </c>
      <c r="G3544">
        <v>28894.4691160902</v>
      </c>
      <c r="H3544">
        <v>19616.618462426</v>
      </c>
      <c r="I3544">
        <v>148883.73</v>
      </c>
      <c r="J3544">
        <v>129267.11</v>
      </c>
      <c r="K3544" s="1"/>
      <c r="L3544" s="1"/>
      <c r="M3544" s="1"/>
      <c r="N3544" s="1"/>
    </row>
    <row r="3545" ht="15.75" customHeight="1">
      <c r="A3545" t="s">
        <v>53</v>
      </c>
      <c r="B3545" t="s">
        <v>14</v>
      </c>
      <c r="C3545" t="s">
        <v>4912</v>
      </c>
      <c r="D3545" t="s">
        <v>3636</v>
      </c>
      <c r="E3545">
        <v>88750.4699382037</v>
      </c>
      <c r="F3545">
        <v>31254.2854307471</v>
      </c>
      <c r="G3545">
        <v>28902.1491195197</v>
      </c>
      <c r="H3545">
        <v>19620.0160131132</v>
      </c>
      <c r="I3545">
        <v>148906.9</v>
      </c>
      <c r="J3545">
        <v>129286.88</v>
      </c>
      <c r="K3545" s="1"/>
      <c r="L3545" s="1"/>
      <c r="M3545" s="1"/>
      <c r="N3545" s="1"/>
    </row>
    <row r="3546" ht="15.75" customHeight="1">
      <c r="A3546" t="s">
        <v>29</v>
      </c>
      <c r="B3546" t="s">
        <v>54</v>
      </c>
      <c r="C3546" t="s">
        <v>4911</v>
      </c>
      <c r="D3546" t="s">
        <v>3637</v>
      </c>
      <c r="E3546">
        <v>88772.2358780161</v>
      </c>
      <c r="F3546">
        <v>31263.514867402</v>
      </c>
      <c r="G3546">
        <v>28917.5091263787</v>
      </c>
      <c r="H3546">
        <v>19626.8111144878</v>
      </c>
      <c r="I3546">
        <v>148953.26</v>
      </c>
      <c r="J3546">
        <v>129326.45</v>
      </c>
      <c r="K3546" s="1"/>
      <c r="L3546" s="1"/>
      <c r="M3546" s="1"/>
      <c r="N3546" s="1"/>
    </row>
    <row r="3547" ht="15.75" customHeight="1">
      <c r="A3547" t="s">
        <v>36</v>
      </c>
      <c r="B3547" t="s">
        <v>37</v>
      </c>
      <c r="C3547" t="s">
        <v>4915</v>
      </c>
      <c r="D3547" t="s">
        <v>3638</v>
      </c>
      <c r="E3547">
        <v>88783.1188479223</v>
      </c>
      <c r="F3547">
        <v>31268.1295857294</v>
      </c>
      <c r="G3547">
        <v>28925.1891298082</v>
      </c>
      <c r="H3547">
        <v>19630.2086651751</v>
      </c>
      <c r="I3547">
        <v>148976.44</v>
      </c>
      <c r="J3547">
        <v>129346.23</v>
      </c>
      <c r="K3547" s="1"/>
      <c r="L3547" s="1"/>
      <c r="M3547" s="1"/>
      <c r="N3547" s="1"/>
    </row>
    <row r="3548" ht="15.75" customHeight="1">
      <c r="A3548" t="s">
        <v>29</v>
      </c>
      <c r="B3548" t="s">
        <v>14</v>
      </c>
      <c r="C3548" t="s">
        <v>4912</v>
      </c>
      <c r="D3548" t="s">
        <v>3639</v>
      </c>
      <c r="E3548">
        <v>88794.0018178285</v>
      </c>
      <c r="F3548">
        <v>31272.7443040568</v>
      </c>
      <c r="G3548">
        <v>28932.8691332377</v>
      </c>
      <c r="H3548">
        <v>19633.6062158624</v>
      </c>
      <c r="I3548">
        <v>148999.62</v>
      </c>
      <c r="J3548">
        <v>129366.01</v>
      </c>
      <c r="K3548" s="1"/>
      <c r="L3548" s="1"/>
      <c r="M3548" s="1"/>
      <c r="N3548" s="1"/>
    </row>
    <row r="3549" ht="15.75" customHeight="1">
      <c r="A3549" t="s">
        <v>51</v>
      </c>
      <c r="B3549" t="s">
        <v>33</v>
      </c>
      <c r="C3549" t="s">
        <v>4907</v>
      </c>
      <c r="D3549" t="s">
        <v>3640</v>
      </c>
      <c r="E3549">
        <v>88804.8847877347</v>
      </c>
      <c r="F3549">
        <v>31277.3590223842</v>
      </c>
      <c r="G3549">
        <v>28940.5491366672</v>
      </c>
      <c r="H3549">
        <v>19637.0037665497</v>
      </c>
      <c r="I3549">
        <v>149022.79</v>
      </c>
      <c r="J3549">
        <v>129385.79</v>
      </c>
      <c r="K3549" s="1"/>
      <c r="L3549" s="1"/>
      <c r="M3549" s="1"/>
      <c r="N3549" s="1"/>
    </row>
    <row r="3550" ht="15.75" customHeight="1">
      <c r="A3550" t="s">
        <v>51</v>
      </c>
      <c r="B3550" t="s">
        <v>37</v>
      </c>
      <c r="C3550" t="s">
        <v>4914</v>
      </c>
      <c r="D3550" t="s">
        <v>3641</v>
      </c>
      <c r="E3550">
        <v>88815.7677576409</v>
      </c>
      <c r="F3550">
        <v>31281.9737407117</v>
      </c>
      <c r="G3550">
        <v>28948.2291400967</v>
      </c>
      <c r="H3550">
        <v>19640.401317237</v>
      </c>
      <c r="I3550">
        <v>149045.97</v>
      </c>
      <c r="J3550">
        <v>129405.57</v>
      </c>
      <c r="K3550" s="1"/>
      <c r="L3550" s="1"/>
      <c r="M3550" s="1"/>
      <c r="N3550" s="1"/>
    </row>
    <row r="3551" ht="15.75" customHeight="1">
      <c r="A3551" t="s">
        <v>53</v>
      </c>
      <c r="B3551" t="s">
        <v>26</v>
      </c>
      <c r="C3551" t="s">
        <v>4912</v>
      </c>
      <c r="D3551" t="s">
        <v>3642</v>
      </c>
      <c r="E3551">
        <v>88826.6507275471</v>
      </c>
      <c r="F3551">
        <v>31286.5884590391</v>
      </c>
      <c r="G3551">
        <v>28955.9091435262</v>
      </c>
      <c r="H3551">
        <v>19643.7988679243</v>
      </c>
      <c r="I3551">
        <v>149069.15</v>
      </c>
      <c r="J3551">
        <v>129425.35</v>
      </c>
      <c r="K3551" s="1"/>
      <c r="L3551" s="1"/>
      <c r="M3551" s="1"/>
      <c r="N3551" s="1"/>
    </row>
    <row r="3552" ht="15.75" customHeight="1">
      <c r="A3552" t="s">
        <v>51</v>
      </c>
      <c r="B3552" t="s">
        <v>54</v>
      </c>
      <c r="C3552" t="s">
        <v>4909</v>
      </c>
      <c r="D3552" t="s">
        <v>3643</v>
      </c>
      <c r="E3552">
        <v>88837.5336974533</v>
      </c>
      <c r="F3552">
        <v>31291.2031773665</v>
      </c>
      <c r="G3552">
        <v>28963.5891469557</v>
      </c>
      <c r="H3552">
        <v>19647.1964186115</v>
      </c>
      <c r="I3552">
        <v>149092.33</v>
      </c>
      <c r="J3552">
        <v>129445.13</v>
      </c>
      <c r="K3552" s="1"/>
      <c r="L3552" s="1"/>
      <c r="M3552" s="1"/>
      <c r="N3552" s="1"/>
    </row>
    <row r="3553" ht="15.75" customHeight="1">
      <c r="A3553" t="s">
        <v>53</v>
      </c>
      <c r="B3553" t="s">
        <v>54</v>
      </c>
      <c r="C3553" t="s">
        <v>4911</v>
      </c>
      <c r="D3553" t="s">
        <v>3644</v>
      </c>
      <c r="E3553">
        <v>88848.4166673595</v>
      </c>
      <c r="F3553">
        <v>31295.8178956939</v>
      </c>
      <c r="G3553">
        <v>28971.2691503852</v>
      </c>
      <c r="H3553">
        <v>19650.5939692988</v>
      </c>
      <c r="I3553">
        <v>149115.5</v>
      </c>
      <c r="J3553">
        <v>129464.91</v>
      </c>
      <c r="K3553" s="1"/>
      <c r="L3553" s="1"/>
      <c r="M3553" s="1"/>
      <c r="N3553" s="1"/>
    </row>
    <row r="3554" ht="15.75" customHeight="1">
      <c r="A3554" t="s">
        <v>17</v>
      </c>
      <c r="B3554" t="s">
        <v>14</v>
      </c>
      <c r="C3554" t="s">
        <v>4915</v>
      </c>
      <c r="D3554" t="s">
        <v>3645</v>
      </c>
      <c r="E3554">
        <v>88859.2996372656</v>
      </c>
      <c r="F3554">
        <v>31300.4326140214</v>
      </c>
      <c r="G3554">
        <v>28978.9491538147</v>
      </c>
      <c r="H3554">
        <v>19653.9915199861</v>
      </c>
      <c r="I3554">
        <v>149138.68</v>
      </c>
      <c r="J3554">
        <v>129484.69</v>
      </c>
      <c r="K3554" s="1"/>
      <c r="L3554" s="1"/>
      <c r="M3554" s="1"/>
      <c r="N3554" s="1"/>
    </row>
    <row r="3555" ht="15.75" customHeight="1">
      <c r="A3555" t="s">
        <v>51</v>
      </c>
      <c r="B3555" t="s">
        <v>33</v>
      </c>
      <c r="C3555" t="s">
        <v>4915</v>
      </c>
      <c r="D3555" t="s">
        <v>3646</v>
      </c>
      <c r="E3555">
        <v>88870.1826071718</v>
      </c>
      <c r="F3555">
        <v>31305.0473323488</v>
      </c>
      <c r="G3555">
        <v>28986.6291572442</v>
      </c>
      <c r="H3555">
        <v>14517.91218360388</v>
      </c>
      <c r="I3555">
        <v>149161.86</v>
      </c>
      <c r="J3555">
        <v>134643.95</v>
      </c>
      <c r="K3555" s="1"/>
      <c r="L3555" s="1"/>
      <c r="M3555" s="1"/>
      <c r="N3555" s="1"/>
    </row>
    <row r="3556" ht="15.75" customHeight="1">
      <c r="A3556" t="s">
        <v>36</v>
      </c>
      <c r="B3556" t="s">
        <v>18</v>
      </c>
      <c r="C3556" t="s">
        <v>4913</v>
      </c>
      <c r="D3556" t="s">
        <v>3647</v>
      </c>
      <c r="E3556">
        <v>88881.065577078</v>
      </c>
      <c r="F3556">
        <v>31309.6620506762</v>
      </c>
      <c r="G3556">
        <v>28994.3091606737</v>
      </c>
      <c r="H3556">
        <v>19660.7866213607</v>
      </c>
      <c r="I3556">
        <v>149185.04</v>
      </c>
      <c r="J3556">
        <v>129524.25</v>
      </c>
      <c r="K3556" s="1"/>
      <c r="L3556" s="1"/>
      <c r="M3556" s="1"/>
      <c r="N3556" s="1"/>
    </row>
    <row r="3557" ht="15.75" customHeight="1">
      <c r="A3557" t="s">
        <v>25</v>
      </c>
      <c r="B3557" t="s">
        <v>30</v>
      </c>
      <c r="C3557" t="s">
        <v>4908</v>
      </c>
      <c r="D3557" t="s">
        <v>3648</v>
      </c>
      <c r="E3557">
        <v>88891.9485469842</v>
      </c>
      <c r="F3557">
        <v>31314.2767690036</v>
      </c>
      <c r="G3557">
        <v>29001.9891641032</v>
      </c>
      <c r="H3557">
        <v>19664.184172048</v>
      </c>
      <c r="I3557">
        <v>149208.21</v>
      </c>
      <c r="J3557">
        <v>129544.03</v>
      </c>
      <c r="K3557" s="1"/>
      <c r="L3557" s="1"/>
      <c r="M3557" s="1"/>
      <c r="N3557" s="1"/>
    </row>
    <row r="3558" ht="15.75" customHeight="1">
      <c r="A3558" t="s">
        <v>25</v>
      </c>
      <c r="B3558" t="s">
        <v>30</v>
      </c>
      <c r="C3558" t="s">
        <v>4915</v>
      </c>
      <c r="D3558" t="s">
        <v>3649</v>
      </c>
      <c r="E3558">
        <v>88902.8315168904</v>
      </c>
      <c r="F3558">
        <v>31318.891487331</v>
      </c>
      <c r="G3558">
        <v>29009.6691675327</v>
      </c>
      <c r="H3558">
        <v>19667.5817227353</v>
      </c>
      <c r="I3558">
        <v>149231.39</v>
      </c>
      <c r="J3558">
        <v>129563.81</v>
      </c>
      <c r="K3558" s="1"/>
      <c r="L3558" s="1"/>
      <c r="M3558" s="1"/>
      <c r="N3558" s="1"/>
    </row>
    <row r="3559" ht="15.75" customHeight="1">
      <c r="A3559" t="s">
        <v>36</v>
      </c>
      <c r="B3559" t="s">
        <v>33</v>
      </c>
      <c r="C3559" t="s">
        <v>4910</v>
      </c>
      <c r="D3559" t="s">
        <v>3650</v>
      </c>
      <c r="E3559">
        <v>88913.7144867966</v>
      </c>
      <c r="F3559">
        <v>31323.5062056585</v>
      </c>
      <c r="G3559">
        <v>29017.3491709622</v>
      </c>
      <c r="H3559">
        <v>19670.9792734226</v>
      </c>
      <c r="I3559">
        <v>149254.57</v>
      </c>
      <c r="J3559">
        <v>129583.59</v>
      </c>
      <c r="K3559" s="1"/>
      <c r="L3559" s="1"/>
      <c r="M3559" s="1"/>
      <c r="N3559" s="1"/>
    </row>
    <row r="3560" ht="15.75" customHeight="1">
      <c r="A3560" t="s">
        <v>29</v>
      </c>
      <c r="B3560" t="s">
        <v>14</v>
      </c>
      <c r="C3560" t="s">
        <v>4909</v>
      </c>
      <c r="D3560" t="s">
        <v>3651</v>
      </c>
      <c r="E3560">
        <v>88924.5974567028</v>
      </c>
      <c r="F3560">
        <v>31328.1209239859</v>
      </c>
      <c r="G3560">
        <v>29025.0291743917</v>
      </c>
      <c r="H3560">
        <v>19674.3768241098</v>
      </c>
      <c r="I3560">
        <v>149277.75</v>
      </c>
      <c r="J3560">
        <v>129603.37</v>
      </c>
      <c r="K3560" s="1"/>
      <c r="L3560" s="1"/>
      <c r="M3560" s="1"/>
      <c r="N3560" s="1"/>
    </row>
    <row r="3561" ht="15.75" customHeight="1">
      <c r="A3561" t="s">
        <v>13</v>
      </c>
      <c r="B3561" t="s">
        <v>26</v>
      </c>
      <c r="C3561" t="s">
        <v>4917</v>
      </c>
      <c r="D3561" t="s">
        <v>3652</v>
      </c>
      <c r="E3561">
        <v>88935.480426609</v>
      </c>
      <c r="F3561">
        <v>31332.7356423133</v>
      </c>
      <c r="G3561">
        <v>29032.7091778212</v>
      </c>
      <c r="H3561">
        <v>19677.7743747971</v>
      </c>
      <c r="I3561">
        <v>149300.93</v>
      </c>
      <c r="J3561">
        <v>129623.16</v>
      </c>
      <c r="K3561" s="1"/>
      <c r="L3561" s="1"/>
      <c r="M3561" s="1"/>
      <c r="N3561" s="1"/>
    </row>
    <row r="3562" ht="15.75" customHeight="1">
      <c r="A3562" t="s">
        <v>17</v>
      </c>
      <c r="B3562" t="s">
        <v>26</v>
      </c>
      <c r="C3562" t="s">
        <v>4910</v>
      </c>
      <c r="D3562" t="s">
        <v>3653</v>
      </c>
      <c r="E3562">
        <v>88946.3633965152</v>
      </c>
      <c r="F3562">
        <v>31337.3503606407</v>
      </c>
      <c r="G3562">
        <v>29040.3891812507</v>
      </c>
      <c r="H3562">
        <v>19681.1719254844</v>
      </c>
      <c r="I3562">
        <v>149324.1</v>
      </c>
      <c r="J3562">
        <v>129642.93</v>
      </c>
      <c r="K3562" s="1"/>
      <c r="L3562" s="1"/>
      <c r="M3562" s="1"/>
      <c r="N3562" s="1"/>
    </row>
    <row r="3563" ht="15.75" customHeight="1">
      <c r="A3563" t="s">
        <v>17</v>
      </c>
      <c r="B3563" t="s">
        <v>30</v>
      </c>
      <c r="C3563" t="s">
        <v>4905</v>
      </c>
      <c r="D3563" t="s">
        <v>3654</v>
      </c>
      <c r="E3563">
        <v>88957.2463664214</v>
      </c>
      <c r="F3563">
        <v>31341.9650789682</v>
      </c>
      <c r="G3563">
        <v>29048.0691846802</v>
      </c>
      <c r="H3563">
        <v>19684.5694761717</v>
      </c>
      <c r="I3563">
        <v>149347.28</v>
      </c>
      <c r="J3563">
        <v>129662.71</v>
      </c>
      <c r="K3563" s="1"/>
      <c r="L3563" s="1"/>
      <c r="M3563" s="1"/>
      <c r="N3563" s="1"/>
    </row>
    <row r="3564" ht="15.75" customHeight="1">
      <c r="A3564" t="s">
        <v>13</v>
      </c>
      <c r="B3564" t="s">
        <v>18</v>
      </c>
      <c r="C3564" t="s">
        <v>4910</v>
      </c>
      <c r="D3564" t="s">
        <v>3655</v>
      </c>
      <c r="E3564">
        <v>88968.1293363276</v>
      </c>
      <c r="F3564">
        <v>31346.5797972956</v>
      </c>
      <c r="G3564">
        <v>29055.7491881097</v>
      </c>
      <c r="H3564">
        <v>19687.967026859</v>
      </c>
      <c r="I3564">
        <v>149370.46</v>
      </c>
      <c r="J3564">
        <v>129682.49</v>
      </c>
      <c r="K3564" s="1"/>
      <c r="L3564" s="1"/>
      <c r="M3564" s="1"/>
      <c r="N3564" s="1"/>
    </row>
    <row r="3565" ht="15.75" customHeight="1">
      <c r="A3565" t="s">
        <v>25</v>
      </c>
      <c r="B3565" t="s">
        <v>14</v>
      </c>
      <c r="C3565" t="s">
        <v>4909</v>
      </c>
      <c r="D3565" t="s">
        <v>3656</v>
      </c>
      <c r="E3565">
        <v>88979.0123062338</v>
      </c>
      <c r="F3565">
        <v>31351.194515623</v>
      </c>
      <c r="G3565">
        <v>29063.4291915392</v>
      </c>
      <c r="H3565">
        <v>19691.3645775463</v>
      </c>
      <c r="I3565">
        <v>149393.64</v>
      </c>
      <c r="J3565">
        <v>129702.28</v>
      </c>
      <c r="K3565" s="1"/>
      <c r="L3565" s="1"/>
      <c r="M3565" s="1"/>
      <c r="N3565" s="1"/>
    </row>
    <row r="3566" ht="15.75" customHeight="1">
      <c r="A3566" t="s">
        <v>25</v>
      </c>
      <c r="B3566" t="s">
        <v>18</v>
      </c>
      <c r="C3566" t="s">
        <v>4907</v>
      </c>
      <c r="D3566" t="s">
        <v>3657</v>
      </c>
      <c r="E3566">
        <v>88989.89527614</v>
      </c>
      <c r="F3566">
        <v>31355.8092339504</v>
      </c>
      <c r="G3566">
        <v>29071.1091949687</v>
      </c>
      <c r="H3566">
        <v>19694.7621282336</v>
      </c>
      <c r="I3566">
        <v>149416.81</v>
      </c>
      <c r="J3566">
        <v>129722.05</v>
      </c>
      <c r="K3566" s="1"/>
      <c r="L3566" s="1"/>
      <c r="M3566" s="1"/>
      <c r="N3566" s="1"/>
    </row>
    <row r="3567" ht="15.75" customHeight="1">
      <c r="A3567" t="s">
        <v>25</v>
      </c>
      <c r="B3567" t="s">
        <v>33</v>
      </c>
      <c r="C3567" t="s">
        <v>4907</v>
      </c>
      <c r="D3567" t="s">
        <v>3658</v>
      </c>
      <c r="E3567">
        <v>89000.7782460462</v>
      </c>
      <c r="F3567">
        <v>31360.4239522778</v>
      </c>
      <c r="G3567">
        <v>29078.7891983982</v>
      </c>
      <c r="H3567">
        <v>19698.1596789208</v>
      </c>
      <c r="I3567">
        <v>149439.99</v>
      </c>
      <c r="J3567">
        <v>129741.83</v>
      </c>
      <c r="K3567" s="1"/>
      <c r="L3567" s="1"/>
      <c r="M3567" s="1"/>
      <c r="N3567" s="1"/>
    </row>
    <row r="3568" ht="15.75" customHeight="1">
      <c r="A3568" t="s">
        <v>13</v>
      </c>
      <c r="B3568" t="s">
        <v>37</v>
      </c>
      <c r="C3568" t="s">
        <v>4911</v>
      </c>
      <c r="D3568" t="s">
        <v>3659</v>
      </c>
      <c r="E3568">
        <v>89011.6612159524</v>
      </c>
      <c r="F3568">
        <v>31365.0386706053</v>
      </c>
      <c r="G3568">
        <v>29086.4692018277</v>
      </c>
      <c r="H3568">
        <v>19701.5572296081</v>
      </c>
      <c r="I3568">
        <v>149463.17</v>
      </c>
      <c r="J3568">
        <v>129761.61</v>
      </c>
      <c r="K3568" s="1"/>
      <c r="L3568" s="1"/>
      <c r="M3568" s="1"/>
      <c r="N3568" s="1"/>
    </row>
    <row r="3569" ht="15.75" customHeight="1">
      <c r="A3569" t="s">
        <v>53</v>
      </c>
      <c r="B3569" t="s">
        <v>14</v>
      </c>
      <c r="C3569" t="s">
        <v>4916</v>
      </c>
      <c r="D3569" t="s">
        <v>3660</v>
      </c>
      <c r="E3569">
        <v>89022.5441858585</v>
      </c>
      <c r="F3569">
        <v>31369.6533889327</v>
      </c>
      <c r="G3569">
        <v>29094.1492052572</v>
      </c>
      <c r="H3569">
        <v>19704.9547802954</v>
      </c>
      <c r="I3569">
        <v>149486.35</v>
      </c>
      <c r="J3569">
        <v>129781.4</v>
      </c>
      <c r="K3569" s="1"/>
      <c r="L3569" s="1"/>
      <c r="M3569" s="1"/>
      <c r="N3569" s="1"/>
    </row>
    <row r="3570" ht="15.75" customHeight="1">
      <c r="A3570" t="s">
        <v>17</v>
      </c>
      <c r="B3570" t="s">
        <v>54</v>
      </c>
      <c r="C3570" t="s">
        <v>4913</v>
      </c>
      <c r="D3570" t="s">
        <v>3661</v>
      </c>
      <c r="E3570">
        <v>89033.4271557647</v>
      </c>
      <c r="F3570">
        <v>31374.2681072601</v>
      </c>
      <c r="G3570">
        <v>29101.8292086867</v>
      </c>
      <c r="H3570">
        <v>19708.3523309827</v>
      </c>
      <c r="I3570">
        <v>149509.52</v>
      </c>
      <c r="J3570">
        <v>129801.17</v>
      </c>
      <c r="K3570" s="1"/>
      <c r="L3570" s="1"/>
      <c r="M3570" s="1"/>
      <c r="N3570" s="1"/>
    </row>
    <row r="3571" ht="15.75" customHeight="1">
      <c r="A3571" t="s">
        <v>25</v>
      </c>
      <c r="B3571" t="s">
        <v>37</v>
      </c>
      <c r="C3571" t="s">
        <v>4905</v>
      </c>
      <c r="D3571" t="s">
        <v>3662</v>
      </c>
      <c r="E3571">
        <v>89044.3101256709</v>
      </c>
      <c r="F3571">
        <v>31378.8828255875</v>
      </c>
      <c r="G3571">
        <v>29109.5092121162</v>
      </c>
      <c r="H3571">
        <v>19711.74988167</v>
      </c>
      <c r="I3571">
        <v>149532.7</v>
      </c>
      <c r="J3571">
        <v>129820.95</v>
      </c>
      <c r="K3571" s="1"/>
      <c r="L3571" s="1"/>
      <c r="M3571" s="1"/>
      <c r="N3571" s="1"/>
    </row>
    <row r="3572" ht="15.75" customHeight="1">
      <c r="A3572" t="s">
        <v>36</v>
      </c>
      <c r="B3572" t="s">
        <v>54</v>
      </c>
      <c r="C3572" t="s">
        <v>4907</v>
      </c>
      <c r="D3572" t="s">
        <v>3663</v>
      </c>
      <c r="E3572">
        <v>89055.1930955771</v>
      </c>
      <c r="F3572">
        <v>31383.497543915</v>
      </c>
      <c r="G3572">
        <v>29117.1892155457</v>
      </c>
      <c r="H3572">
        <v>19715.1474323573</v>
      </c>
      <c r="I3572">
        <v>149555.88</v>
      </c>
      <c r="J3572">
        <v>129840.73</v>
      </c>
      <c r="K3572" s="1"/>
      <c r="L3572" s="1"/>
      <c r="M3572" s="1"/>
      <c r="N3572" s="1"/>
    </row>
    <row r="3573" ht="15.75" customHeight="1">
      <c r="A3573" t="s">
        <v>36</v>
      </c>
      <c r="B3573" t="s">
        <v>26</v>
      </c>
      <c r="C3573" t="s">
        <v>4913</v>
      </c>
      <c r="D3573" t="s">
        <v>3664</v>
      </c>
      <c r="E3573">
        <v>89066.0760654833</v>
      </c>
      <c r="F3573">
        <v>31388.1122622424</v>
      </c>
      <c r="G3573">
        <v>29124.8692189751</v>
      </c>
      <c r="H3573">
        <v>19718.5449830446</v>
      </c>
      <c r="I3573">
        <v>149579.06</v>
      </c>
      <c r="J3573">
        <v>129860.52</v>
      </c>
      <c r="K3573" s="1"/>
      <c r="L3573" s="1"/>
      <c r="M3573" s="1"/>
      <c r="N3573" s="1"/>
    </row>
    <row r="3574" ht="15.75" customHeight="1">
      <c r="A3574" t="s">
        <v>29</v>
      </c>
      <c r="B3574" t="s">
        <v>37</v>
      </c>
      <c r="C3574" t="s">
        <v>4914</v>
      </c>
      <c r="D3574" t="s">
        <v>3665</v>
      </c>
      <c r="E3574">
        <v>89076.9590353895</v>
      </c>
      <c r="F3574">
        <v>31392.7269805698</v>
      </c>
      <c r="G3574">
        <v>29132.5492224046</v>
      </c>
      <c r="H3574">
        <v>19721.9425337319</v>
      </c>
      <c r="I3574">
        <v>149602.24</v>
      </c>
      <c r="J3574">
        <v>129880.3</v>
      </c>
      <c r="K3574" s="1"/>
      <c r="L3574" s="1"/>
      <c r="M3574" s="1"/>
      <c r="N3574" s="1"/>
    </row>
    <row r="3575" ht="15.75" customHeight="1">
      <c r="A3575" t="s">
        <v>36</v>
      </c>
      <c r="B3575" t="s">
        <v>33</v>
      </c>
      <c r="C3575" t="s">
        <v>4917</v>
      </c>
      <c r="D3575" t="s">
        <v>3666</v>
      </c>
      <c r="E3575">
        <v>89087.8420052957</v>
      </c>
      <c r="F3575">
        <v>31397.3416988972</v>
      </c>
      <c r="G3575">
        <v>29140.2292258341</v>
      </c>
      <c r="H3575">
        <v>19725.3400844191</v>
      </c>
      <c r="I3575">
        <v>149625.41</v>
      </c>
      <c r="J3575">
        <v>129900.07</v>
      </c>
      <c r="K3575" s="1"/>
      <c r="L3575" s="1"/>
      <c r="M3575" s="1"/>
      <c r="N3575" s="1"/>
    </row>
    <row r="3576" ht="15.75" customHeight="1">
      <c r="A3576" t="s">
        <v>36</v>
      </c>
      <c r="B3576" t="s">
        <v>54</v>
      </c>
      <c r="C3576" t="s">
        <v>4910</v>
      </c>
      <c r="D3576" t="s">
        <v>3667</v>
      </c>
      <c r="E3576">
        <v>89098.7249752019</v>
      </c>
      <c r="F3576">
        <v>31401.9564172246</v>
      </c>
      <c r="G3576">
        <v>29147.9092292636</v>
      </c>
      <c r="H3576">
        <v>19728.7376351064</v>
      </c>
      <c r="I3576">
        <v>149648.59</v>
      </c>
      <c r="J3576">
        <v>129919.85</v>
      </c>
      <c r="K3576" s="1"/>
      <c r="L3576" s="1"/>
      <c r="M3576" s="1"/>
      <c r="N3576" s="1"/>
    </row>
    <row r="3577" ht="15.75" customHeight="1">
      <c r="A3577" t="s">
        <v>25</v>
      </c>
      <c r="B3577" t="s">
        <v>33</v>
      </c>
      <c r="C3577" t="s">
        <v>4908</v>
      </c>
      <c r="D3577" t="s">
        <v>3668</v>
      </c>
      <c r="E3577">
        <v>89109.6079451081</v>
      </c>
      <c r="F3577">
        <v>31406.5711355521</v>
      </c>
      <c r="G3577">
        <v>29155.5892326931</v>
      </c>
      <c r="H3577">
        <v>19732.1351857937</v>
      </c>
      <c r="I3577">
        <v>149671.77</v>
      </c>
      <c r="J3577">
        <v>129939.63</v>
      </c>
      <c r="K3577" s="1"/>
      <c r="L3577" s="1"/>
      <c r="M3577" s="1"/>
      <c r="N3577" s="1"/>
    </row>
    <row r="3578" ht="15.75" customHeight="1">
      <c r="A3578" t="s">
        <v>36</v>
      </c>
      <c r="B3578" t="s">
        <v>33</v>
      </c>
      <c r="C3578" t="s">
        <v>4908</v>
      </c>
      <c r="D3578" t="s">
        <v>3669</v>
      </c>
      <c r="E3578">
        <v>89120.4909150143</v>
      </c>
      <c r="F3578">
        <v>31411.1858538795</v>
      </c>
      <c r="G3578">
        <v>29163.2692361226</v>
      </c>
      <c r="H3578">
        <v>19735.532736481</v>
      </c>
      <c r="I3578">
        <v>149694.95</v>
      </c>
      <c r="J3578">
        <v>129959.42</v>
      </c>
      <c r="K3578" s="1"/>
      <c r="L3578" s="1"/>
      <c r="M3578" s="1"/>
      <c r="N3578" s="1"/>
    </row>
    <row r="3579" ht="15.75" customHeight="1">
      <c r="A3579" t="s">
        <v>36</v>
      </c>
      <c r="B3579" t="s">
        <v>37</v>
      </c>
      <c r="C3579" t="s">
        <v>4914</v>
      </c>
      <c r="D3579" t="s">
        <v>3670</v>
      </c>
      <c r="E3579">
        <v>89142.2568548267</v>
      </c>
      <c r="F3579">
        <v>31420.4152905343</v>
      </c>
      <c r="G3579">
        <v>29178.6292429816</v>
      </c>
      <c r="H3579">
        <v>19742.3278378556</v>
      </c>
      <c r="I3579">
        <v>149741.3</v>
      </c>
      <c r="J3579">
        <v>129998.97</v>
      </c>
      <c r="K3579" s="1"/>
      <c r="L3579" s="1"/>
      <c r="M3579" s="1"/>
      <c r="N3579" s="1"/>
    </row>
    <row r="3580" ht="15.75" customHeight="1">
      <c r="A3580" t="s">
        <v>13</v>
      </c>
      <c r="B3580" t="s">
        <v>18</v>
      </c>
      <c r="C3580" t="s">
        <v>4915</v>
      </c>
      <c r="D3580" t="s">
        <v>3671</v>
      </c>
      <c r="E3580">
        <v>89153.1398247329</v>
      </c>
      <c r="F3580">
        <v>31425.0300088618</v>
      </c>
      <c r="G3580">
        <v>29186.3092464111</v>
      </c>
      <c r="H3580">
        <v>19745.7253885429</v>
      </c>
      <c r="I3580">
        <v>149764.48</v>
      </c>
      <c r="J3580">
        <v>130018.75</v>
      </c>
      <c r="K3580" s="1"/>
      <c r="L3580" s="1"/>
      <c r="M3580" s="1"/>
      <c r="N3580" s="1"/>
    </row>
    <row r="3581" ht="15.75" customHeight="1">
      <c r="A3581" t="s">
        <v>25</v>
      </c>
      <c r="B3581" t="s">
        <v>18</v>
      </c>
      <c r="C3581" t="s">
        <v>4913</v>
      </c>
      <c r="D3581" t="s">
        <v>3672</v>
      </c>
      <c r="E3581">
        <v>89164.0227946391</v>
      </c>
      <c r="F3581">
        <v>31429.6447271892</v>
      </c>
      <c r="G3581">
        <v>29193.9892498406</v>
      </c>
      <c r="H3581">
        <v>19749.1229392302</v>
      </c>
      <c r="I3581">
        <v>149787.66</v>
      </c>
      <c r="J3581">
        <v>130038.54</v>
      </c>
      <c r="K3581" s="1"/>
      <c r="L3581" s="1"/>
      <c r="M3581" s="1"/>
      <c r="N3581" s="1"/>
    </row>
    <row r="3582" ht="15.75" customHeight="1">
      <c r="A3582" t="s">
        <v>13</v>
      </c>
      <c r="B3582" t="s">
        <v>30</v>
      </c>
      <c r="C3582" t="s">
        <v>4910</v>
      </c>
      <c r="D3582" t="s">
        <v>3673</v>
      </c>
      <c r="E3582">
        <v>89174.9057645453</v>
      </c>
      <c r="F3582">
        <v>31434.2594455166</v>
      </c>
      <c r="G3582">
        <v>29201.6692532701</v>
      </c>
      <c r="H3582">
        <v>19752.5204899174</v>
      </c>
      <c r="I3582">
        <v>149810.83</v>
      </c>
      <c r="J3582">
        <v>130058.31</v>
      </c>
      <c r="K3582" s="1"/>
      <c r="L3582" s="1"/>
      <c r="M3582" s="1"/>
      <c r="N3582" s="1"/>
    </row>
    <row r="3583" ht="15.75" customHeight="1">
      <c r="A3583" t="s">
        <v>13</v>
      </c>
      <c r="B3583" t="s">
        <v>37</v>
      </c>
      <c r="C3583" t="s">
        <v>4914</v>
      </c>
      <c r="D3583" t="s">
        <v>3674</v>
      </c>
      <c r="E3583">
        <v>89196.6717043576</v>
      </c>
      <c r="F3583">
        <v>31443.4888821714</v>
      </c>
      <c r="G3583">
        <v>29217.0292601291</v>
      </c>
      <c r="H3583">
        <v>19759.315591292</v>
      </c>
      <c r="I3583">
        <v>149857.19</v>
      </c>
      <c r="J3583">
        <v>130097.87</v>
      </c>
      <c r="K3583" s="1"/>
      <c r="L3583" s="1"/>
      <c r="M3583" s="1"/>
      <c r="N3583" s="1"/>
    </row>
    <row r="3584" ht="15.75" customHeight="1">
      <c r="A3584" t="s">
        <v>29</v>
      </c>
      <c r="B3584" t="s">
        <v>26</v>
      </c>
      <c r="C3584" t="s">
        <v>4908</v>
      </c>
      <c r="D3584" t="s">
        <v>3675</v>
      </c>
      <c r="E3584">
        <v>89207.5546742638</v>
      </c>
      <c r="F3584">
        <v>31448.1036004989</v>
      </c>
      <c r="G3584">
        <v>29224.7092635586</v>
      </c>
      <c r="H3584">
        <v>19762.7131419793</v>
      </c>
      <c r="I3584">
        <v>149880.37</v>
      </c>
      <c r="J3584">
        <v>130117.66</v>
      </c>
      <c r="K3584" s="1"/>
      <c r="L3584" s="1"/>
      <c r="M3584" s="1"/>
      <c r="N3584" s="1"/>
    </row>
    <row r="3585" ht="15.75" customHeight="1">
      <c r="A3585" t="s">
        <v>53</v>
      </c>
      <c r="B3585" t="s">
        <v>37</v>
      </c>
      <c r="C3585" t="s">
        <v>4907</v>
      </c>
      <c r="D3585" t="s">
        <v>3676</v>
      </c>
      <c r="E3585">
        <v>89229.3206140762</v>
      </c>
      <c r="F3585">
        <v>31457.3330371537</v>
      </c>
      <c r="G3585">
        <v>29240.0692704176</v>
      </c>
      <c r="H3585">
        <v>19769.5082433539</v>
      </c>
      <c r="I3585">
        <v>149926.72</v>
      </c>
      <c r="J3585">
        <v>130157.21</v>
      </c>
      <c r="K3585" s="1"/>
      <c r="L3585" s="1"/>
      <c r="M3585" s="1"/>
      <c r="N3585" s="1"/>
    </row>
    <row r="3586" ht="15.75" customHeight="1">
      <c r="A3586" t="s">
        <v>25</v>
      </c>
      <c r="B3586" t="s">
        <v>37</v>
      </c>
      <c r="C3586" t="s">
        <v>4917</v>
      </c>
      <c r="D3586" t="s">
        <v>3677</v>
      </c>
      <c r="E3586">
        <v>89251.0865538886</v>
      </c>
      <c r="F3586">
        <v>31466.5624738086</v>
      </c>
      <c r="G3586">
        <v>29255.4292772766</v>
      </c>
      <c r="H3586">
        <v>19776.3033447284</v>
      </c>
      <c r="I3586">
        <v>149973.08</v>
      </c>
      <c r="J3586">
        <v>130196.78</v>
      </c>
      <c r="K3586" s="1"/>
      <c r="L3586" s="1"/>
      <c r="M3586" s="1"/>
      <c r="N3586" s="1"/>
    </row>
    <row r="3587" ht="15.75" customHeight="1">
      <c r="A3587" t="s">
        <v>36</v>
      </c>
      <c r="B3587" t="s">
        <v>33</v>
      </c>
      <c r="C3587" t="s">
        <v>4905</v>
      </c>
      <c r="D3587" t="s">
        <v>3678</v>
      </c>
      <c r="E3587">
        <v>89261.9695237948</v>
      </c>
      <c r="F3587">
        <v>31471.177192136</v>
      </c>
      <c r="G3587">
        <v>29263.1092807061</v>
      </c>
      <c r="H3587">
        <v>19779.7008954157</v>
      </c>
      <c r="I3587">
        <v>149996.26</v>
      </c>
      <c r="J3587">
        <v>130216.56</v>
      </c>
      <c r="K3587" s="1"/>
      <c r="L3587" s="1"/>
      <c r="M3587" s="1"/>
      <c r="N3587" s="1"/>
    </row>
    <row r="3588" ht="15.75" customHeight="1">
      <c r="A3588" t="s">
        <v>51</v>
      </c>
      <c r="B3588" t="s">
        <v>33</v>
      </c>
      <c r="C3588" t="s">
        <v>4915</v>
      </c>
      <c r="D3588" t="s">
        <v>3679</v>
      </c>
      <c r="E3588">
        <v>89272.852493701</v>
      </c>
      <c r="F3588">
        <v>31475.7919104634</v>
      </c>
      <c r="G3588">
        <v>29270.7892841356</v>
      </c>
      <c r="H3588">
        <v>19783.098446103</v>
      </c>
      <c r="I3588">
        <v>150019.43</v>
      </c>
      <c r="J3588">
        <v>130236.33</v>
      </c>
      <c r="K3588" s="1"/>
      <c r="L3588" s="1"/>
      <c r="M3588" s="1"/>
      <c r="N3588" s="1"/>
    </row>
    <row r="3589" ht="15.75" customHeight="1">
      <c r="A3589" t="s">
        <v>17</v>
      </c>
      <c r="B3589" t="s">
        <v>26</v>
      </c>
      <c r="C3589" t="s">
        <v>4915</v>
      </c>
      <c r="D3589" t="s">
        <v>3680</v>
      </c>
      <c r="E3589">
        <v>89283.7354636072</v>
      </c>
      <c r="F3589">
        <v>31480.4066287908</v>
      </c>
      <c r="G3589">
        <v>29278.4692875651</v>
      </c>
      <c r="H3589">
        <v>19786.4959967903</v>
      </c>
      <c r="I3589">
        <v>150042.61</v>
      </c>
      <c r="J3589">
        <v>130256.11</v>
      </c>
      <c r="K3589" s="1"/>
      <c r="L3589" s="1"/>
      <c r="M3589" s="1"/>
      <c r="N3589" s="1"/>
    </row>
    <row r="3590" ht="15.75" customHeight="1">
      <c r="A3590" t="s">
        <v>51</v>
      </c>
      <c r="B3590" t="s">
        <v>30</v>
      </c>
      <c r="C3590" t="s">
        <v>4908</v>
      </c>
      <c r="D3590" t="s">
        <v>3681</v>
      </c>
      <c r="E3590">
        <v>89294.6184335134</v>
      </c>
      <c r="F3590">
        <v>31485.0213471182</v>
      </c>
      <c r="G3590">
        <v>29286.1492909946</v>
      </c>
      <c r="H3590">
        <v>19789.8935474776</v>
      </c>
      <c r="I3590">
        <v>150065.79</v>
      </c>
      <c r="J3590">
        <v>130275.9</v>
      </c>
      <c r="K3590" s="1"/>
      <c r="L3590" s="1"/>
      <c r="M3590" s="1"/>
      <c r="N3590" s="1"/>
    </row>
    <row r="3591" ht="15.75" customHeight="1">
      <c r="A3591" t="s">
        <v>36</v>
      </c>
      <c r="B3591" t="s">
        <v>26</v>
      </c>
      <c r="C3591" t="s">
        <v>4907</v>
      </c>
      <c r="D3591" t="s">
        <v>3682</v>
      </c>
      <c r="E3591">
        <v>89316.3843733258</v>
      </c>
      <c r="F3591">
        <v>31494.2507837731</v>
      </c>
      <c r="G3591">
        <v>29301.5092978536</v>
      </c>
      <c r="H3591">
        <v>19796.6886488522</v>
      </c>
      <c r="I3591">
        <v>150112.14</v>
      </c>
      <c r="J3591">
        <v>130315.45</v>
      </c>
      <c r="K3591" s="1"/>
      <c r="L3591" s="1"/>
      <c r="M3591" s="1"/>
      <c r="N3591" s="1"/>
    </row>
    <row r="3592" ht="15.75" customHeight="1">
      <c r="A3592" t="s">
        <v>13</v>
      </c>
      <c r="B3592" t="s">
        <v>26</v>
      </c>
      <c r="C3592" t="s">
        <v>4913</v>
      </c>
      <c r="D3592" t="s">
        <v>3683</v>
      </c>
      <c r="E3592">
        <v>89338.1503131382</v>
      </c>
      <c r="F3592">
        <v>31503.4802204279</v>
      </c>
      <c r="G3592">
        <v>29316.8693047126</v>
      </c>
      <c r="H3592">
        <v>19803.4837502267</v>
      </c>
      <c r="I3592">
        <v>150158.5</v>
      </c>
      <c r="J3592">
        <v>130355.02</v>
      </c>
      <c r="K3592" s="1"/>
      <c r="L3592" s="1"/>
      <c r="M3592" s="1"/>
      <c r="N3592" s="1"/>
    </row>
    <row r="3593" ht="15.75" customHeight="1">
      <c r="A3593" t="s">
        <v>36</v>
      </c>
      <c r="B3593" t="s">
        <v>14</v>
      </c>
      <c r="C3593" t="s">
        <v>4914</v>
      </c>
      <c r="D3593" t="s">
        <v>3684</v>
      </c>
      <c r="E3593">
        <v>89349.0332830443</v>
      </c>
      <c r="F3593">
        <v>31508.0949387554</v>
      </c>
      <c r="G3593">
        <v>29324.5493081421</v>
      </c>
      <c r="H3593">
        <v>19806.881300914</v>
      </c>
      <c r="I3593">
        <v>150181.68</v>
      </c>
      <c r="J3593">
        <v>130374.8</v>
      </c>
      <c r="K3593" s="1"/>
      <c r="L3593" s="1"/>
      <c r="M3593" s="1"/>
      <c r="N3593" s="1"/>
    </row>
    <row r="3594" ht="15.75" customHeight="1">
      <c r="A3594" t="s">
        <v>29</v>
      </c>
      <c r="B3594" t="s">
        <v>14</v>
      </c>
      <c r="C3594" t="s">
        <v>4914</v>
      </c>
      <c r="D3594" t="s">
        <v>3685</v>
      </c>
      <c r="E3594">
        <v>89359.9162529505</v>
      </c>
      <c r="F3594">
        <v>31512.7096570828</v>
      </c>
      <c r="G3594">
        <v>29332.2293115716</v>
      </c>
      <c r="H3594">
        <v>19810.2788516013</v>
      </c>
      <c r="I3594">
        <v>150204.86</v>
      </c>
      <c r="J3594">
        <v>130394.58</v>
      </c>
      <c r="K3594" s="1"/>
      <c r="L3594" s="1"/>
      <c r="M3594" s="1"/>
      <c r="N3594" s="1"/>
    </row>
    <row r="3595" ht="15.75" customHeight="1">
      <c r="A3595" t="s">
        <v>13</v>
      </c>
      <c r="B3595" t="s">
        <v>14</v>
      </c>
      <c r="C3595" t="s">
        <v>4907</v>
      </c>
      <c r="D3595" t="s">
        <v>3686</v>
      </c>
      <c r="E3595">
        <v>89370.7992228567</v>
      </c>
      <c r="F3595">
        <v>31517.3243754102</v>
      </c>
      <c r="G3595">
        <v>29339.9093150011</v>
      </c>
      <c r="H3595">
        <v>19813.6764022886</v>
      </c>
      <c r="I3595">
        <v>150228.03</v>
      </c>
      <c r="J3595">
        <v>130414.35</v>
      </c>
      <c r="K3595" s="1"/>
      <c r="L3595" s="1"/>
      <c r="M3595" s="1"/>
      <c r="N3595" s="1"/>
    </row>
    <row r="3596" ht="15.75" customHeight="1">
      <c r="A3596" t="s">
        <v>53</v>
      </c>
      <c r="B3596" t="s">
        <v>14</v>
      </c>
      <c r="C3596" t="s">
        <v>4910</v>
      </c>
      <c r="D3596" t="s">
        <v>3687</v>
      </c>
      <c r="E3596">
        <v>89381.6821927629</v>
      </c>
      <c r="F3596">
        <v>31521.9390937376</v>
      </c>
      <c r="G3596">
        <v>29347.5893184306</v>
      </c>
      <c r="H3596">
        <v>19817.0739529759</v>
      </c>
      <c r="I3596">
        <v>150251.21</v>
      </c>
      <c r="J3596">
        <v>130434.14</v>
      </c>
      <c r="K3596" s="1"/>
      <c r="L3596" s="1"/>
      <c r="M3596" s="1"/>
      <c r="N3596" s="1"/>
    </row>
    <row r="3597" ht="15.75" customHeight="1">
      <c r="A3597" t="s">
        <v>13</v>
      </c>
      <c r="B3597" t="s">
        <v>37</v>
      </c>
      <c r="C3597" t="s">
        <v>4912</v>
      </c>
      <c r="D3597" t="s">
        <v>3688</v>
      </c>
      <c r="E3597">
        <v>89392.5651626691</v>
      </c>
      <c r="F3597">
        <v>31526.553812065</v>
      </c>
      <c r="G3597">
        <v>29355.2693218601</v>
      </c>
      <c r="H3597">
        <v>19820.4715036632</v>
      </c>
      <c r="I3597">
        <v>150274.39</v>
      </c>
      <c r="J3597">
        <v>130453.92</v>
      </c>
      <c r="K3597" s="1"/>
      <c r="L3597" s="1"/>
      <c r="M3597" s="1"/>
      <c r="N3597" s="1"/>
    </row>
    <row r="3598" ht="15.75" customHeight="1">
      <c r="A3598" t="s">
        <v>29</v>
      </c>
      <c r="B3598" t="s">
        <v>54</v>
      </c>
      <c r="C3598" t="s">
        <v>4917</v>
      </c>
      <c r="D3598" t="s">
        <v>3689</v>
      </c>
      <c r="E3598">
        <v>72210.86634532797</v>
      </c>
      <c r="F3598">
        <v>31531.1685303925</v>
      </c>
      <c r="G3598">
        <v>29362.9493252896</v>
      </c>
      <c r="H3598">
        <v>19823.8690543505</v>
      </c>
      <c r="I3598">
        <v>133104.98</v>
      </c>
      <c r="J3598">
        <v>113281.11</v>
      </c>
      <c r="K3598" s="1"/>
      <c r="L3598" s="1"/>
      <c r="M3598" s="1"/>
      <c r="N3598" s="1"/>
    </row>
    <row r="3599" ht="15.75" customHeight="1">
      <c r="A3599" t="s">
        <v>29</v>
      </c>
      <c r="B3599" t="s">
        <v>37</v>
      </c>
      <c r="C3599" t="s">
        <v>4907</v>
      </c>
      <c r="D3599" t="s">
        <v>3690</v>
      </c>
      <c r="E3599">
        <v>89414.3311024815</v>
      </c>
      <c r="F3599">
        <v>31535.7832487199</v>
      </c>
      <c r="G3599">
        <v>29370.6293287191</v>
      </c>
      <c r="H3599">
        <v>19827.2666050378</v>
      </c>
      <c r="I3599">
        <v>150320.74</v>
      </c>
      <c r="J3599">
        <v>130493.47</v>
      </c>
      <c r="K3599" s="1"/>
      <c r="L3599" s="1"/>
      <c r="M3599" s="1"/>
      <c r="N3599" s="1"/>
    </row>
    <row r="3600" ht="15.75" customHeight="1">
      <c r="A3600" t="s">
        <v>51</v>
      </c>
      <c r="B3600" t="s">
        <v>30</v>
      </c>
      <c r="C3600" t="s">
        <v>4908</v>
      </c>
      <c r="D3600" t="s">
        <v>3691</v>
      </c>
      <c r="E3600">
        <v>89425.2140723877</v>
      </c>
      <c r="F3600">
        <v>31540.3979670473</v>
      </c>
      <c r="G3600">
        <v>29378.3093321486</v>
      </c>
      <c r="H3600">
        <v>19830.664155725</v>
      </c>
      <c r="I3600">
        <v>150343.92</v>
      </c>
      <c r="J3600">
        <v>130513.26</v>
      </c>
      <c r="K3600" s="1"/>
      <c r="L3600" s="1"/>
      <c r="M3600" s="1"/>
      <c r="N3600" s="1"/>
    </row>
    <row r="3601" ht="15.75" customHeight="1">
      <c r="A3601" t="s">
        <v>53</v>
      </c>
      <c r="B3601" t="s">
        <v>37</v>
      </c>
      <c r="C3601" t="s">
        <v>4917</v>
      </c>
      <c r="D3601" t="s">
        <v>3692</v>
      </c>
      <c r="E3601">
        <v>89436.0970422939</v>
      </c>
      <c r="F3601">
        <v>31545.0126853747</v>
      </c>
      <c r="G3601">
        <v>29385.9893355781</v>
      </c>
      <c r="H3601">
        <v>19834.0617064123</v>
      </c>
      <c r="I3601">
        <v>150367.1</v>
      </c>
      <c r="J3601">
        <v>130533.04</v>
      </c>
      <c r="K3601" s="1"/>
      <c r="L3601" s="1"/>
      <c r="M3601" s="1"/>
      <c r="N3601" s="1"/>
    </row>
    <row r="3602" ht="15.75" customHeight="1">
      <c r="A3602" t="s">
        <v>36</v>
      </c>
      <c r="B3602" t="s">
        <v>30</v>
      </c>
      <c r="C3602" t="s">
        <v>4909</v>
      </c>
      <c r="D3602" t="s">
        <v>3693</v>
      </c>
      <c r="E3602">
        <v>89446.9800122001</v>
      </c>
      <c r="F3602">
        <v>31549.6274037022</v>
      </c>
      <c r="G3602">
        <v>29393.6693390076</v>
      </c>
      <c r="H3602">
        <v>19837.4592570996</v>
      </c>
      <c r="I3602">
        <v>150390.28</v>
      </c>
      <c r="J3602">
        <v>130552.82</v>
      </c>
      <c r="K3602" s="1"/>
      <c r="L3602" s="1"/>
      <c r="M3602" s="1"/>
      <c r="N3602" s="1"/>
    </row>
    <row r="3603" ht="15.75" customHeight="1">
      <c r="A3603" t="s">
        <v>53</v>
      </c>
      <c r="B3603" t="s">
        <v>54</v>
      </c>
      <c r="C3603" t="s">
        <v>4912</v>
      </c>
      <c r="D3603" t="s">
        <v>3694</v>
      </c>
      <c r="E3603">
        <v>89457.8629821063</v>
      </c>
      <c r="F3603">
        <v>31554.2421220296</v>
      </c>
      <c r="G3603">
        <v>29401.3493424371</v>
      </c>
      <c r="H3603">
        <v>19840.8568077869</v>
      </c>
      <c r="I3603">
        <v>150413.45</v>
      </c>
      <c r="J3603">
        <v>130572.59</v>
      </c>
      <c r="K3603" s="1"/>
      <c r="L3603" s="1"/>
      <c r="M3603" s="1"/>
      <c r="N3603" s="1"/>
    </row>
    <row r="3604" ht="15.75" customHeight="1">
      <c r="A3604" t="s">
        <v>53</v>
      </c>
      <c r="B3604" t="s">
        <v>30</v>
      </c>
      <c r="C3604" t="s">
        <v>4911</v>
      </c>
      <c r="D3604" t="s">
        <v>3695</v>
      </c>
      <c r="E3604">
        <v>89468.7459520125</v>
      </c>
      <c r="F3604">
        <v>31558.856840357</v>
      </c>
      <c r="G3604">
        <v>29409.0293458665</v>
      </c>
      <c r="H3604">
        <v>19844.2543584742</v>
      </c>
      <c r="I3604">
        <v>150436.63</v>
      </c>
      <c r="J3604">
        <v>130592.38</v>
      </c>
      <c r="K3604" s="1"/>
      <c r="L3604" s="1"/>
      <c r="M3604" s="1"/>
      <c r="N3604" s="1"/>
    </row>
    <row r="3605" ht="15.75" customHeight="1">
      <c r="A3605" t="s">
        <v>25</v>
      </c>
      <c r="B3605" t="s">
        <v>18</v>
      </c>
      <c r="C3605" t="s">
        <v>4915</v>
      </c>
      <c r="D3605" t="s">
        <v>3696</v>
      </c>
      <c r="E3605">
        <v>89479.6289219187</v>
      </c>
      <c r="F3605">
        <v>31563.4715586844</v>
      </c>
      <c r="G3605">
        <v>29416.709349296</v>
      </c>
      <c r="H3605">
        <v>19847.6519091615</v>
      </c>
      <c r="I3605">
        <v>150459.81</v>
      </c>
      <c r="J3605">
        <v>130612.16</v>
      </c>
      <c r="K3605" s="1"/>
      <c r="L3605" s="1"/>
      <c r="M3605" s="1"/>
      <c r="N3605" s="1"/>
    </row>
    <row r="3606" ht="15.75" customHeight="1">
      <c r="A3606" t="s">
        <v>13</v>
      </c>
      <c r="B3606" t="s">
        <v>37</v>
      </c>
      <c r="C3606" t="s">
        <v>4910</v>
      </c>
      <c r="D3606" t="s">
        <v>3697</v>
      </c>
      <c r="E3606">
        <v>89490.5118918249</v>
      </c>
      <c r="F3606">
        <v>31568.0862770118</v>
      </c>
      <c r="G3606">
        <v>29424.3893527255</v>
      </c>
      <c r="H3606">
        <v>19851.0494598488</v>
      </c>
      <c r="I3606">
        <v>150482.99</v>
      </c>
      <c r="J3606">
        <v>130631.94</v>
      </c>
      <c r="K3606" s="1"/>
      <c r="L3606" s="1"/>
      <c r="M3606" s="1"/>
      <c r="N3606" s="1"/>
    </row>
    <row r="3607" ht="15.75" customHeight="1">
      <c r="A3607" t="s">
        <v>13</v>
      </c>
      <c r="B3607" t="s">
        <v>37</v>
      </c>
      <c r="C3607" t="s">
        <v>4911</v>
      </c>
      <c r="D3607" t="s">
        <v>3698</v>
      </c>
      <c r="E3607">
        <v>89501.3948617311</v>
      </c>
      <c r="F3607">
        <v>31572.7009953393</v>
      </c>
      <c r="G3607">
        <v>29432.069356155</v>
      </c>
      <c r="H3607">
        <v>14327.38295125808</v>
      </c>
      <c r="I3607">
        <v>150506.17</v>
      </c>
      <c r="J3607">
        <v>136178.79</v>
      </c>
      <c r="K3607" s="1"/>
      <c r="L3607" s="1"/>
      <c r="M3607" s="1"/>
      <c r="N3607" s="1"/>
    </row>
    <row r="3608" ht="15.75" customHeight="1">
      <c r="A3608" t="s">
        <v>51</v>
      </c>
      <c r="B3608" t="s">
        <v>37</v>
      </c>
      <c r="C3608" t="s">
        <v>4915</v>
      </c>
      <c r="D3608" t="s">
        <v>3699</v>
      </c>
      <c r="E3608">
        <v>89512.2778316372</v>
      </c>
      <c r="F3608">
        <v>31577.3157136667</v>
      </c>
      <c r="G3608">
        <v>29439.7493595845</v>
      </c>
      <c r="H3608">
        <v>19857.8445612233</v>
      </c>
      <c r="I3608">
        <v>150529.34</v>
      </c>
      <c r="J3608">
        <v>130671.5</v>
      </c>
      <c r="K3608" s="1"/>
      <c r="L3608" s="1"/>
      <c r="M3608" s="1"/>
      <c r="N3608" s="1"/>
    </row>
    <row r="3609" ht="15.75" customHeight="1">
      <c r="A3609" t="s">
        <v>29</v>
      </c>
      <c r="B3609" t="s">
        <v>26</v>
      </c>
      <c r="C3609" t="s">
        <v>4914</v>
      </c>
      <c r="D3609" t="s">
        <v>3700</v>
      </c>
      <c r="E3609">
        <v>89523.1608015434</v>
      </c>
      <c r="F3609">
        <v>31581.9304319941</v>
      </c>
      <c r="G3609">
        <v>29447.429363014</v>
      </c>
      <c r="H3609">
        <v>19861.2421119106</v>
      </c>
      <c r="I3609">
        <v>150552.52</v>
      </c>
      <c r="J3609">
        <v>130691.28</v>
      </c>
      <c r="K3609" s="1"/>
      <c r="L3609" s="1"/>
      <c r="M3609" s="1"/>
      <c r="N3609" s="1"/>
    </row>
    <row r="3610" ht="15.75" customHeight="1">
      <c r="A3610" t="s">
        <v>13</v>
      </c>
      <c r="B3610" t="s">
        <v>14</v>
      </c>
      <c r="C3610" t="s">
        <v>4917</v>
      </c>
      <c r="D3610" t="s">
        <v>3701</v>
      </c>
      <c r="E3610">
        <v>89534.0437714496</v>
      </c>
      <c r="F3610">
        <v>31586.5451503215</v>
      </c>
      <c r="G3610">
        <v>29455.1093664435</v>
      </c>
      <c r="H3610">
        <v>19864.6396625979</v>
      </c>
      <c r="I3610">
        <v>150575.7</v>
      </c>
      <c r="J3610">
        <v>130711.06</v>
      </c>
      <c r="K3610" s="1"/>
      <c r="L3610" s="1"/>
      <c r="M3610" s="1"/>
      <c r="N3610" s="1"/>
    </row>
    <row r="3611" ht="15.75" customHeight="1">
      <c r="A3611" t="s">
        <v>25</v>
      </c>
      <c r="B3611" t="s">
        <v>33</v>
      </c>
      <c r="C3611" t="s">
        <v>4915</v>
      </c>
      <c r="D3611" t="s">
        <v>3702</v>
      </c>
      <c r="E3611">
        <v>89544.9267413558</v>
      </c>
      <c r="F3611">
        <v>31591.159868649</v>
      </c>
      <c r="G3611">
        <v>29462.789369873</v>
      </c>
      <c r="H3611">
        <v>19868.0372132852</v>
      </c>
      <c r="I3611">
        <v>150598.88</v>
      </c>
      <c r="J3611">
        <v>130730.84</v>
      </c>
      <c r="K3611" s="1"/>
      <c r="L3611" s="1"/>
      <c r="M3611" s="1"/>
      <c r="N3611" s="1"/>
    </row>
    <row r="3612" ht="15.75" customHeight="1">
      <c r="A3612" t="s">
        <v>29</v>
      </c>
      <c r="B3612" t="s">
        <v>26</v>
      </c>
      <c r="C3612" t="s">
        <v>4905</v>
      </c>
      <c r="D3612" t="s">
        <v>3703</v>
      </c>
      <c r="E3612">
        <v>89555.809711262</v>
      </c>
      <c r="F3612">
        <v>31595.7745869764</v>
      </c>
      <c r="G3612">
        <v>29470.4693733025</v>
      </c>
      <c r="H3612">
        <v>19871.4347639725</v>
      </c>
      <c r="I3612">
        <v>150622.05</v>
      </c>
      <c r="J3612">
        <v>130750.62</v>
      </c>
      <c r="K3612" s="1"/>
      <c r="L3612" s="1"/>
      <c r="M3612" s="1"/>
      <c r="N3612" s="1"/>
    </row>
    <row r="3613" ht="15.75" customHeight="1">
      <c r="A3613" t="s">
        <v>29</v>
      </c>
      <c r="B3613" t="s">
        <v>18</v>
      </c>
      <c r="C3613" t="s">
        <v>4910</v>
      </c>
      <c r="D3613" t="s">
        <v>3704</v>
      </c>
      <c r="E3613">
        <v>89566.6926811682</v>
      </c>
      <c r="F3613">
        <v>31600.3893053038</v>
      </c>
      <c r="G3613">
        <v>29478.149376732</v>
      </c>
      <c r="H3613">
        <v>19874.8323146598</v>
      </c>
      <c r="I3613">
        <v>150645.23</v>
      </c>
      <c r="J3613">
        <v>130770.4</v>
      </c>
      <c r="K3613" s="1"/>
      <c r="L3613" s="1"/>
      <c r="M3613" s="1"/>
      <c r="N3613" s="1"/>
    </row>
    <row r="3614" ht="15.75" customHeight="1">
      <c r="A3614" t="s">
        <v>29</v>
      </c>
      <c r="B3614" t="s">
        <v>30</v>
      </c>
      <c r="C3614" t="s">
        <v>4916</v>
      </c>
      <c r="D3614" t="s">
        <v>3705</v>
      </c>
      <c r="E3614">
        <v>89588.4586209806</v>
      </c>
      <c r="F3614">
        <v>31609.6187419586</v>
      </c>
      <c r="G3614">
        <v>29493.509383591</v>
      </c>
      <c r="H3614">
        <v>19881.6274160343</v>
      </c>
      <c r="I3614">
        <v>150691.59</v>
      </c>
      <c r="J3614">
        <v>130809.96</v>
      </c>
      <c r="K3614" s="1"/>
      <c r="L3614" s="1"/>
      <c r="M3614" s="1"/>
      <c r="N3614" s="1"/>
    </row>
    <row r="3615" ht="15.75" customHeight="1">
      <c r="A3615" t="s">
        <v>29</v>
      </c>
      <c r="B3615" t="s">
        <v>37</v>
      </c>
      <c r="C3615" t="s">
        <v>4914</v>
      </c>
      <c r="D3615" t="s">
        <v>3706</v>
      </c>
      <c r="E3615">
        <v>89599.3415908868</v>
      </c>
      <c r="F3615">
        <v>31614.2334602861</v>
      </c>
      <c r="G3615">
        <v>29501.1893870205</v>
      </c>
      <c r="H3615">
        <v>19885.0249667216</v>
      </c>
      <c r="I3615">
        <v>150714.76</v>
      </c>
      <c r="J3615">
        <v>130829.74</v>
      </c>
      <c r="K3615" s="1"/>
      <c r="L3615" s="1"/>
      <c r="M3615" s="1"/>
      <c r="N3615" s="1"/>
    </row>
    <row r="3616" ht="15.75" customHeight="1">
      <c r="A3616" t="s">
        <v>36</v>
      </c>
      <c r="B3616" t="s">
        <v>33</v>
      </c>
      <c r="C3616" t="s">
        <v>4908</v>
      </c>
      <c r="D3616" t="s">
        <v>3707</v>
      </c>
      <c r="E3616">
        <v>89610.224560793</v>
      </c>
      <c r="F3616">
        <v>31618.8481786135</v>
      </c>
      <c r="G3616">
        <v>29508.86939045</v>
      </c>
      <c r="H3616">
        <v>19888.4225174089</v>
      </c>
      <c r="I3616">
        <v>150737.94</v>
      </c>
      <c r="J3616">
        <v>130849.52</v>
      </c>
      <c r="K3616" s="1"/>
      <c r="L3616" s="1"/>
      <c r="M3616" s="1"/>
      <c r="N3616" s="1"/>
    </row>
    <row r="3617" ht="15.75" customHeight="1">
      <c r="A3617" t="s">
        <v>29</v>
      </c>
      <c r="B3617" t="s">
        <v>18</v>
      </c>
      <c r="C3617" t="s">
        <v>4917</v>
      </c>
      <c r="D3617" t="s">
        <v>3708</v>
      </c>
      <c r="E3617">
        <v>89621.1075306992</v>
      </c>
      <c r="F3617">
        <v>31623.4628969409</v>
      </c>
      <c r="G3617">
        <v>29516.5493938795</v>
      </c>
      <c r="H3617">
        <v>19891.8200680962</v>
      </c>
      <c r="I3617">
        <v>150761.12</v>
      </c>
      <c r="J3617">
        <v>130869.3</v>
      </c>
      <c r="K3617" s="1"/>
      <c r="L3617" s="1"/>
      <c r="M3617" s="1"/>
      <c r="N3617" s="1"/>
    </row>
    <row r="3618" ht="15.75" customHeight="1">
      <c r="A3618" t="s">
        <v>13</v>
      </c>
      <c r="B3618" t="s">
        <v>30</v>
      </c>
      <c r="C3618" t="s">
        <v>4910</v>
      </c>
      <c r="D3618" t="s">
        <v>3709</v>
      </c>
      <c r="E3618">
        <v>89631.9905006054</v>
      </c>
      <c r="F3618">
        <v>31628.0776152683</v>
      </c>
      <c r="G3618">
        <v>29524.229397309</v>
      </c>
      <c r="H3618">
        <v>19895.2176187835</v>
      </c>
      <c r="I3618">
        <v>150784.3</v>
      </c>
      <c r="J3618">
        <v>130889.08</v>
      </c>
      <c r="K3618" s="1"/>
      <c r="L3618" s="1"/>
      <c r="M3618" s="1"/>
      <c r="N3618" s="1"/>
    </row>
    <row r="3619" ht="15.75" customHeight="1">
      <c r="A3619" t="s">
        <v>53</v>
      </c>
      <c r="B3619" t="s">
        <v>18</v>
      </c>
      <c r="C3619" t="s">
        <v>4908</v>
      </c>
      <c r="D3619" t="s">
        <v>3710</v>
      </c>
      <c r="E3619">
        <v>89642.8734705116</v>
      </c>
      <c r="F3619">
        <v>31632.6923335957</v>
      </c>
      <c r="G3619">
        <v>29531.9094007385</v>
      </c>
      <c r="H3619">
        <v>19898.6151694708</v>
      </c>
      <c r="I3619">
        <v>150807.48</v>
      </c>
      <c r="J3619">
        <v>130908.86</v>
      </c>
      <c r="K3619" s="1"/>
      <c r="L3619" s="1"/>
      <c r="M3619" s="1"/>
      <c r="N3619" s="1"/>
    </row>
    <row r="3620" ht="15.75" customHeight="1">
      <c r="A3620" t="s">
        <v>36</v>
      </c>
      <c r="B3620" t="s">
        <v>18</v>
      </c>
      <c r="C3620" t="s">
        <v>4908</v>
      </c>
      <c r="D3620" t="s">
        <v>3711</v>
      </c>
      <c r="E3620">
        <v>89653.7564404178</v>
      </c>
      <c r="F3620">
        <v>31637.3070519232</v>
      </c>
      <c r="G3620">
        <v>29539.589404168</v>
      </c>
      <c r="H3620">
        <v>19902.0127201581</v>
      </c>
      <c r="I3620">
        <v>150830.65</v>
      </c>
      <c r="J3620">
        <v>130928.64</v>
      </c>
      <c r="K3620" s="1"/>
      <c r="L3620" s="1"/>
      <c r="M3620" s="1"/>
      <c r="N3620" s="1"/>
    </row>
    <row r="3621" ht="15.75" customHeight="1">
      <c r="A3621" t="s">
        <v>29</v>
      </c>
      <c r="B3621" t="s">
        <v>14</v>
      </c>
      <c r="C3621" t="s">
        <v>4908</v>
      </c>
      <c r="D3621" t="s">
        <v>3712</v>
      </c>
      <c r="E3621">
        <v>89664.639410324</v>
      </c>
      <c r="F3621">
        <v>31641.9217702506</v>
      </c>
      <c r="G3621">
        <v>29547.2694075975</v>
      </c>
      <c r="H3621">
        <v>19905.4102708454</v>
      </c>
      <c r="I3621">
        <v>150853.83</v>
      </c>
      <c r="J3621">
        <v>130948.42</v>
      </c>
      <c r="K3621" s="1"/>
      <c r="L3621" s="1"/>
      <c r="M3621" s="1"/>
      <c r="N3621" s="1"/>
    </row>
    <row r="3622" ht="15.75" customHeight="1">
      <c r="A3622" t="s">
        <v>51</v>
      </c>
      <c r="B3622" t="s">
        <v>18</v>
      </c>
      <c r="C3622" t="s">
        <v>4916</v>
      </c>
      <c r="D3622" t="s">
        <v>3713</v>
      </c>
      <c r="E3622">
        <v>89675.5223802301</v>
      </c>
      <c r="F3622">
        <v>31646.536488578</v>
      </c>
      <c r="G3622">
        <v>29554.949411027</v>
      </c>
      <c r="H3622">
        <v>19908.8078215326</v>
      </c>
      <c r="I3622">
        <v>150877.01</v>
      </c>
      <c r="J3622">
        <v>130968.2</v>
      </c>
      <c r="K3622" s="1"/>
      <c r="L3622" s="1"/>
      <c r="M3622" s="1"/>
      <c r="N3622" s="1"/>
    </row>
    <row r="3623" ht="15.75" customHeight="1">
      <c r="A3623" t="s">
        <v>13</v>
      </c>
      <c r="B3623" t="s">
        <v>54</v>
      </c>
      <c r="C3623" t="s">
        <v>4910</v>
      </c>
      <c r="D3623" t="s">
        <v>3714</v>
      </c>
      <c r="E3623">
        <v>89686.4053501363</v>
      </c>
      <c r="F3623">
        <v>31651.1512069054</v>
      </c>
      <c r="G3623">
        <v>29562.6294144565</v>
      </c>
      <c r="H3623">
        <v>19912.2053722199</v>
      </c>
      <c r="I3623">
        <v>150900.19</v>
      </c>
      <c r="J3623">
        <v>130987.98</v>
      </c>
      <c r="K3623" s="1"/>
      <c r="L3623" s="1"/>
      <c r="M3623" s="1"/>
      <c r="N3623" s="1"/>
    </row>
    <row r="3624" ht="15.75" customHeight="1">
      <c r="A3624" t="s">
        <v>51</v>
      </c>
      <c r="B3624" t="s">
        <v>37</v>
      </c>
      <c r="C3624" t="s">
        <v>4912</v>
      </c>
      <c r="D3624" t="s">
        <v>3715</v>
      </c>
      <c r="E3624">
        <v>89697.2883200425</v>
      </c>
      <c r="F3624">
        <v>31655.7659252329</v>
      </c>
      <c r="G3624">
        <v>29570.309417886</v>
      </c>
      <c r="H3624">
        <v>14517.91218360388</v>
      </c>
      <c r="I3624">
        <v>150923.36</v>
      </c>
      <c r="J3624">
        <v>136405.45</v>
      </c>
      <c r="K3624" s="1"/>
      <c r="L3624" s="1"/>
      <c r="M3624" s="1"/>
      <c r="N3624" s="1"/>
    </row>
    <row r="3625" ht="15.75" customHeight="1">
      <c r="A3625" t="s">
        <v>53</v>
      </c>
      <c r="B3625" t="s">
        <v>26</v>
      </c>
      <c r="C3625" t="s">
        <v>4907</v>
      </c>
      <c r="D3625" t="s">
        <v>3716</v>
      </c>
      <c r="E3625">
        <v>89708.1712899487</v>
      </c>
      <c r="F3625">
        <v>31660.3806435603</v>
      </c>
      <c r="G3625">
        <v>29577.9894213155</v>
      </c>
      <c r="H3625">
        <v>19919.0004735945</v>
      </c>
      <c r="I3625">
        <v>150946.54</v>
      </c>
      <c r="J3625">
        <v>131027.54</v>
      </c>
      <c r="K3625" s="1"/>
      <c r="L3625" s="1"/>
      <c r="M3625" s="1"/>
      <c r="N3625" s="1"/>
    </row>
    <row r="3626" ht="15.75" customHeight="1">
      <c r="A3626" t="s">
        <v>17</v>
      </c>
      <c r="B3626" t="s">
        <v>14</v>
      </c>
      <c r="C3626" t="s">
        <v>4914</v>
      </c>
      <c r="D3626" t="s">
        <v>3717</v>
      </c>
      <c r="E3626">
        <v>89719.0542598549</v>
      </c>
      <c r="F3626">
        <v>31664.9953618877</v>
      </c>
      <c r="G3626">
        <v>29585.669424745</v>
      </c>
      <c r="H3626">
        <v>19922.3980242818</v>
      </c>
      <c r="I3626">
        <v>150969.72</v>
      </c>
      <c r="J3626">
        <v>131047.32</v>
      </c>
      <c r="K3626" s="1"/>
      <c r="L3626" s="1"/>
      <c r="M3626" s="1"/>
      <c r="N3626" s="1"/>
    </row>
    <row r="3627" ht="15.75" customHeight="1">
      <c r="A3627" t="s">
        <v>25</v>
      </c>
      <c r="B3627" t="s">
        <v>18</v>
      </c>
      <c r="C3627" t="s">
        <v>4916</v>
      </c>
      <c r="D3627" t="s">
        <v>3718</v>
      </c>
      <c r="E3627">
        <v>89729.9372297611</v>
      </c>
      <c r="F3627">
        <v>31669.6100802151</v>
      </c>
      <c r="G3627">
        <v>29593.3494281745</v>
      </c>
      <c r="H3627">
        <v>19925.7955749691</v>
      </c>
      <c r="I3627">
        <v>150992.9</v>
      </c>
      <c r="J3627">
        <v>131067.1</v>
      </c>
      <c r="K3627" s="1"/>
      <c r="L3627" s="1"/>
      <c r="M3627" s="1"/>
      <c r="N3627" s="1"/>
    </row>
    <row r="3628" ht="15.75" customHeight="1">
      <c r="A3628" t="s">
        <v>51</v>
      </c>
      <c r="B3628" t="s">
        <v>14</v>
      </c>
      <c r="C3628" t="s">
        <v>4917</v>
      </c>
      <c r="D3628" t="s">
        <v>3719</v>
      </c>
      <c r="E3628">
        <v>89751.7031695735</v>
      </c>
      <c r="F3628">
        <v>31678.83951687</v>
      </c>
      <c r="G3628">
        <v>29608.7094350335</v>
      </c>
      <c r="H3628">
        <v>19932.5906763436</v>
      </c>
      <c r="I3628">
        <v>151039.25</v>
      </c>
      <c r="J3628">
        <v>131106.66</v>
      </c>
      <c r="K3628" s="1"/>
      <c r="L3628" s="1"/>
      <c r="M3628" s="1"/>
      <c r="N3628" s="1"/>
    </row>
    <row r="3629" ht="15.75" customHeight="1">
      <c r="A3629" t="s">
        <v>25</v>
      </c>
      <c r="B3629" t="s">
        <v>18</v>
      </c>
      <c r="C3629" t="s">
        <v>4912</v>
      </c>
      <c r="D3629" t="s">
        <v>3720</v>
      </c>
      <c r="E3629">
        <v>89762.5861394797</v>
      </c>
      <c r="F3629">
        <v>31683.4542351974</v>
      </c>
      <c r="G3629">
        <v>29616.389438463</v>
      </c>
      <c r="H3629">
        <v>19935.9882270309</v>
      </c>
      <c r="I3629">
        <v>151062.43</v>
      </c>
      <c r="J3629">
        <v>131126.44</v>
      </c>
      <c r="K3629" s="1"/>
      <c r="L3629" s="1"/>
      <c r="M3629" s="1"/>
      <c r="N3629" s="1"/>
    </row>
    <row r="3630" ht="15.75" customHeight="1">
      <c r="A3630" t="s">
        <v>17</v>
      </c>
      <c r="B3630" t="s">
        <v>37</v>
      </c>
      <c r="C3630" t="s">
        <v>4915</v>
      </c>
      <c r="D3630" t="s">
        <v>3721</v>
      </c>
      <c r="E3630">
        <v>89773.4691093859</v>
      </c>
      <c r="F3630">
        <v>31688.0689535248</v>
      </c>
      <c r="G3630">
        <v>29624.0694418925</v>
      </c>
      <c r="H3630">
        <v>19939.3857777182</v>
      </c>
      <c r="I3630">
        <v>151085.61</v>
      </c>
      <c r="J3630">
        <v>131146.22</v>
      </c>
      <c r="K3630" s="1"/>
      <c r="L3630" s="1"/>
      <c r="M3630" s="1"/>
      <c r="N3630" s="1"/>
    </row>
    <row r="3631" ht="15.75" customHeight="1">
      <c r="A3631" t="s">
        <v>13</v>
      </c>
      <c r="B3631" t="s">
        <v>26</v>
      </c>
      <c r="C3631" t="s">
        <v>4915</v>
      </c>
      <c r="D3631" t="s">
        <v>3722</v>
      </c>
      <c r="E3631">
        <v>89784.3520792921</v>
      </c>
      <c r="F3631">
        <v>31692.6836718522</v>
      </c>
      <c r="G3631">
        <v>29631.749445322</v>
      </c>
      <c r="H3631">
        <v>19942.7833284055</v>
      </c>
      <c r="I3631">
        <v>151108.79</v>
      </c>
      <c r="J3631">
        <v>131166.01</v>
      </c>
      <c r="K3631" s="1"/>
      <c r="L3631" s="1"/>
      <c r="M3631" s="1"/>
      <c r="N3631" s="1"/>
    </row>
    <row r="3632" ht="15.75" customHeight="1">
      <c r="A3632" t="s">
        <v>17</v>
      </c>
      <c r="B3632" t="s">
        <v>30</v>
      </c>
      <c r="C3632" t="s">
        <v>4917</v>
      </c>
      <c r="D3632" t="s">
        <v>3723</v>
      </c>
      <c r="E3632">
        <v>89795.2350491983</v>
      </c>
      <c r="F3632">
        <v>31697.2983901797</v>
      </c>
      <c r="G3632">
        <v>29639.4294487515</v>
      </c>
      <c r="H3632">
        <v>19946.1808790928</v>
      </c>
      <c r="I3632">
        <v>151131.96</v>
      </c>
      <c r="J3632">
        <v>131185.78</v>
      </c>
      <c r="K3632" s="1"/>
      <c r="L3632" s="1"/>
      <c r="M3632" s="1"/>
      <c r="N3632" s="1"/>
    </row>
    <row r="3633" ht="15.75" customHeight="1">
      <c r="A3633" t="s">
        <v>53</v>
      </c>
      <c r="B3633" t="s">
        <v>33</v>
      </c>
      <c r="C3633" t="s">
        <v>4908</v>
      </c>
      <c r="D3633" t="s">
        <v>3724</v>
      </c>
      <c r="E3633">
        <v>89806.1180191045</v>
      </c>
      <c r="F3633">
        <v>31701.9131085071</v>
      </c>
      <c r="G3633">
        <v>29647.109452181</v>
      </c>
      <c r="H3633">
        <v>19949.5784297801</v>
      </c>
      <c r="I3633">
        <v>151155.14</v>
      </c>
      <c r="J3633">
        <v>131205.56</v>
      </c>
      <c r="K3633" s="1"/>
      <c r="L3633" s="1"/>
      <c r="M3633" s="1"/>
      <c r="N3633" s="1"/>
    </row>
    <row r="3634" ht="15.75" customHeight="1">
      <c r="A3634" t="s">
        <v>13</v>
      </c>
      <c r="B3634" t="s">
        <v>18</v>
      </c>
      <c r="C3634" t="s">
        <v>4912</v>
      </c>
      <c r="D3634" t="s">
        <v>3725</v>
      </c>
      <c r="E3634">
        <v>89817.0009890107</v>
      </c>
      <c r="F3634">
        <v>31706.5278268345</v>
      </c>
      <c r="G3634">
        <v>29654.7894556105</v>
      </c>
      <c r="H3634">
        <v>19952.9759804674</v>
      </c>
      <c r="I3634">
        <v>151178.32</v>
      </c>
      <c r="J3634">
        <v>131225.34</v>
      </c>
      <c r="K3634" s="1"/>
      <c r="L3634" s="1"/>
      <c r="M3634" s="1"/>
      <c r="N3634" s="1"/>
    </row>
    <row r="3635" ht="15.75" customHeight="1">
      <c r="A3635" t="s">
        <v>53</v>
      </c>
      <c r="B3635" t="s">
        <v>54</v>
      </c>
      <c r="C3635" t="s">
        <v>4914</v>
      </c>
      <c r="D3635" t="s">
        <v>3726</v>
      </c>
      <c r="E3635">
        <v>89827.8839589169</v>
      </c>
      <c r="F3635">
        <v>31711.1425451619</v>
      </c>
      <c r="G3635">
        <v>29662.46945904</v>
      </c>
      <c r="H3635">
        <v>19956.3735311547</v>
      </c>
      <c r="I3635">
        <v>151201.5</v>
      </c>
      <c r="J3635">
        <v>131245.13</v>
      </c>
      <c r="K3635" s="1"/>
      <c r="L3635" s="1"/>
      <c r="M3635" s="1"/>
      <c r="N3635" s="1"/>
    </row>
    <row r="3636" ht="15.75" customHeight="1">
      <c r="A3636" t="s">
        <v>36</v>
      </c>
      <c r="B3636" t="s">
        <v>18</v>
      </c>
      <c r="C3636" t="s">
        <v>4905</v>
      </c>
      <c r="D3636" t="s">
        <v>3727</v>
      </c>
      <c r="E3636">
        <v>89838.766928823</v>
      </c>
      <c r="F3636">
        <v>31715.7572634893</v>
      </c>
      <c r="G3636">
        <v>29670.1494624695</v>
      </c>
      <c r="H3636">
        <v>19959.7710818419</v>
      </c>
      <c r="I3636">
        <v>151224.67</v>
      </c>
      <c r="J3636">
        <v>131264.9</v>
      </c>
      <c r="K3636" s="1"/>
      <c r="L3636" s="1"/>
      <c r="M3636" s="1"/>
      <c r="N3636" s="1"/>
    </row>
    <row r="3637" ht="15.75" customHeight="1">
      <c r="A3637" t="s">
        <v>36</v>
      </c>
      <c r="B3637" t="s">
        <v>14</v>
      </c>
      <c r="C3637" t="s">
        <v>4915</v>
      </c>
      <c r="D3637" t="s">
        <v>3728</v>
      </c>
      <c r="E3637">
        <v>89849.6498987292</v>
      </c>
      <c r="F3637">
        <v>31720.3719818168</v>
      </c>
      <c r="G3637">
        <v>29677.829465899</v>
      </c>
      <c r="H3637">
        <v>19963.1686325292</v>
      </c>
      <c r="I3637">
        <v>151247.85</v>
      </c>
      <c r="J3637">
        <v>131284.68</v>
      </c>
      <c r="K3637" s="1"/>
      <c r="L3637" s="1"/>
      <c r="M3637" s="1"/>
      <c r="N3637" s="1"/>
    </row>
    <row r="3638" ht="15.75" customHeight="1">
      <c r="A3638" t="s">
        <v>36</v>
      </c>
      <c r="B3638" t="s">
        <v>30</v>
      </c>
      <c r="C3638" t="s">
        <v>4913</v>
      </c>
      <c r="D3638" t="s">
        <v>3729</v>
      </c>
      <c r="E3638">
        <v>89860.5328686354</v>
      </c>
      <c r="F3638">
        <v>31724.9867001442</v>
      </c>
      <c r="G3638">
        <v>29685.5094693284</v>
      </c>
      <c r="H3638">
        <v>19966.5661832165</v>
      </c>
      <c r="I3638">
        <v>151271.03</v>
      </c>
      <c r="J3638">
        <v>131304.46</v>
      </c>
      <c r="K3638" s="1"/>
      <c r="L3638" s="1"/>
      <c r="M3638" s="1"/>
      <c r="N3638" s="1"/>
    </row>
    <row r="3639" ht="15.75" customHeight="1">
      <c r="A3639" t="s">
        <v>17</v>
      </c>
      <c r="B3639" t="s">
        <v>18</v>
      </c>
      <c r="C3639" t="s">
        <v>4909</v>
      </c>
      <c r="D3639" t="s">
        <v>3730</v>
      </c>
      <c r="E3639">
        <v>89871.4158385416</v>
      </c>
      <c r="F3639">
        <v>31729.6014184716</v>
      </c>
      <c r="G3639">
        <v>29693.1894727579</v>
      </c>
      <c r="H3639">
        <v>19969.9637339038</v>
      </c>
      <c r="I3639">
        <v>151294.21</v>
      </c>
      <c r="J3639">
        <v>131324.25</v>
      </c>
      <c r="K3639" s="1"/>
      <c r="L3639" s="1"/>
      <c r="M3639" s="1"/>
      <c r="N3639" s="1"/>
    </row>
    <row r="3640" ht="15.75" customHeight="1">
      <c r="A3640" t="s">
        <v>29</v>
      </c>
      <c r="B3640" t="s">
        <v>14</v>
      </c>
      <c r="C3640" t="s">
        <v>4908</v>
      </c>
      <c r="D3640" t="s">
        <v>3731</v>
      </c>
      <c r="E3640">
        <v>89893.181778354</v>
      </c>
      <c r="F3640">
        <v>31738.8308551265</v>
      </c>
      <c r="G3640">
        <v>29708.5494796169</v>
      </c>
      <c r="H3640">
        <v>19976.7588352784</v>
      </c>
      <c r="I3640">
        <v>151340.56</v>
      </c>
      <c r="J3640">
        <v>131363.8</v>
      </c>
      <c r="K3640" s="1"/>
      <c r="L3640" s="1"/>
      <c r="M3640" s="1"/>
      <c r="N3640" s="1"/>
    </row>
    <row r="3641" ht="15.75" customHeight="1">
      <c r="A3641" t="s">
        <v>25</v>
      </c>
      <c r="B3641" t="s">
        <v>30</v>
      </c>
      <c r="C3641" t="s">
        <v>4916</v>
      </c>
      <c r="D3641" t="s">
        <v>3732</v>
      </c>
      <c r="E3641">
        <v>89904.0647482602</v>
      </c>
      <c r="F3641">
        <v>31743.4455734539</v>
      </c>
      <c r="G3641">
        <v>29716.2294830464</v>
      </c>
      <c r="H3641">
        <v>19980.1563859657</v>
      </c>
      <c r="I3641">
        <v>151363.74</v>
      </c>
      <c r="J3641">
        <v>131383.58</v>
      </c>
      <c r="K3641" s="1"/>
      <c r="L3641" s="1"/>
      <c r="M3641" s="1"/>
      <c r="N3641" s="1"/>
    </row>
    <row r="3642" ht="15.75" customHeight="1">
      <c r="A3642" t="s">
        <v>53</v>
      </c>
      <c r="B3642" t="s">
        <v>33</v>
      </c>
      <c r="C3642" t="s">
        <v>4905</v>
      </c>
      <c r="D3642" t="s">
        <v>3733</v>
      </c>
      <c r="E3642">
        <v>89914.9477181664</v>
      </c>
      <c r="F3642">
        <v>31748.0602917813</v>
      </c>
      <c r="G3642">
        <v>29723.9094864759</v>
      </c>
      <c r="H3642">
        <v>19983.553936653</v>
      </c>
      <c r="I3642">
        <v>151386.92</v>
      </c>
      <c r="J3642">
        <v>131403.37</v>
      </c>
      <c r="K3642" s="1"/>
      <c r="L3642" s="1"/>
      <c r="M3642" s="1"/>
      <c r="N3642" s="1"/>
    </row>
    <row r="3643" ht="15.75" customHeight="1">
      <c r="A3643" t="s">
        <v>29</v>
      </c>
      <c r="B3643" t="s">
        <v>18</v>
      </c>
      <c r="C3643" t="s">
        <v>4912</v>
      </c>
      <c r="D3643" t="s">
        <v>3734</v>
      </c>
      <c r="E3643">
        <v>89925.8306880726</v>
      </c>
      <c r="F3643">
        <v>31752.6750101087</v>
      </c>
      <c r="G3643">
        <v>29731.5894899054</v>
      </c>
      <c r="H3643">
        <v>19986.9514873402</v>
      </c>
      <c r="I3643">
        <v>151410.1</v>
      </c>
      <c r="J3643">
        <v>131423.15</v>
      </c>
      <c r="K3643" s="1"/>
      <c r="L3643" s="1"/>
      <c r="M3643" s="1"/>
      <c r="N3643" s="1"/>
    </row>
    <row r="3644" ht="15.75" customHeight="1">
      <c r="A3644" t="s">
        <v>25</v>
      </c>
      <c r="B3644" t="s">
        <v>37</v>
      </c>
      <c r="C3644" t="s">
        <v>4909</v>
      </c>
      <c r="D3644" t="s">
        <v>3735</v>
      </c>
      <c r="E3644">
        <v>89936.7136579788</v>
      </c>
      <c r="F3644">
        <v>31757.2897284361</v>
      </c>
      <c r="G3644">
        <v>29739.2694933349</v>
      </c>
      <c r="H3644">
        <v>19990.3490380275</v>
      </c>
      <c r="I3644">
        <v>151433.27</v>
      </c>
      <c r="J3644">
        <v>131442.92</v>
      </c>
      <c r="K3644" s="1"/>
      <c r="L3644" s="1"/>
      <c r="M3644" s="1"/>
      <c r="N3644" s="1"/>
    </row>
    <row r="3645" ht="15.75" customHeight="1">
      <c r="A3645" t="s">
        <v>13</v>
      </c>
      <c r="B3645" t="s">
        <v>54</v>
      </c>
      <c r="C3645" t="s">
        <v>4908</v>
      </c>
      <c r="D3645" t="s">
        <v>3736</v>
      </c>
      <c r="E3645">
        <v>89947.596627885</v>
      </c>
      <c r="F3645">
        <v>31761.9044467636</v>
      </c>
      <c r="G3645">
        <v>29746.9494967644</v>
      </c>
      <c r="H3645">
        <v>19993.7465887148</v>
      </c>
      <c r="I3645">
        <v>151456.45</v>
      </c>
      <c r="J3645">
        <v>131462.7</v>
      </c>
      <c r="K3645" s="1"/>
      <c r="L3645" s="1"/>
      <c r="M3645" s="1"/>
      <c r="N3645" s="1"/>
    </row>
    <row r="3646" ht="15.75" customHeight="1">
      <c r="A3646" t="s">
        <v>29</v>
      </c>
      <c r="B3646" t="s">
        <v>18</v>
      </c>
      <c r="C3646" t="s">
        <v>4912</v>
      </c>
      <c r="D3646" t="s">
        <v>3737</v>
      </c>
      <c r="E3646">
        <v>89958.4795977912</v>
      </c>
      <c r="F3646">
        <v>31766.519165091</v>
      </c>
      <c r="G3646">
        <v>29754.6295001939</v>
      </c>
      <c r="H3646">
        <v>19997.1441394021</v>
      </c>
      <c r="I3646">
        <v>151479.63</v>
      </c>
      <c r="J3646">
        <v>131482.49</v>
      </c>
      <c r="K3646" s="1"/>
      <c r="L3646" s="1"/>
      <c r="M3646" s="1"/>
      <c r="N3646" s="1"/>
    </row>
    <row r="3647" ht="15.75" customHeight="1">
      <c r="A3647" t="s">
        <v>29</v>
      </c>
      <c r="B3647" t="s">
        <v>14</v>
      </c>
      <c r="C3647" t="s">
        <v>4916</v>
      </c>
      <c r="D3647" t="s">
        <v>3738</v>
      </c>
      <c r="E3647">
        <v>89969.3625676974</v>
      </c>
      <c r="F3647">
        <v>31771.1338834184</v>
      </c>
      <c r="G3647">
        <v>29762.3095036234</v>
      </c>
      <c r="H3647">
        <v>20000.5416900894</v>
      </c>
      <c r="I3647">
        <v>151502.81</v>
      </c>
      <c r="J3647">
        <v>131502.27</v>
      </c>
      <c r="K3647" s="1"/>
      <c r="L3647" s="1"/>
      <c r="M3647" s="1"/>
      <c r="N3647" s="1"/>
    </row>
    <row r="3648" ht="15.75" customHeight="1">
      <c r="A3648" t="s">
        <v>51</v>
      </c>
      <c r="B3648" t="s">
        <v>33</v>
      </c>
      <c r="C3648" t="s">
        <v>4916</v>
      </c>
      <c r="D3648" t="s">
        <v>3739</v>
      </c>
      <c r="E3648">
        <v>89980.2455376036</v>
      </c>
      <c r="F3648">
        <v>31775.7486017458</v>
      </c>
      <c r="G3648">
        <v>29769.9895070529</v>
      </c>
      <c r="H3648">
        <v>20003.9392407767</v>
      </c>
      <c r="I3648">
        <v>151525.98</v>
      </c>
      <c r="J3648">
        <v>131522.04</v>
      </c>
      <c r="K3648" s="1"/>
      <c r="L3648" s="1"/>
      <c r="M3648" s="1"/>
      <c r="N3648" s="1"/>
    </row>
    <row r="3649" ht="15.75" customHeight="1">
      <c r="A3649" t="s">
        <v>36</v>
      </c>
      <c r="B3649" t="s">
        <v>14</v>
      </c>
      <c r="C3649" t="s">
        <v>4913</v>
      </c>
      <c r="D3649" t="s">
        <v>3740</v>
      </c>
      <c r="E3649">
        <v>89991.1285075098</v>
      </c>
      <c r="F3649">
        <v>31780.3633200733</v>
      </c>
      <c r="G3649">
        <v>29777.6695104824</v>
      </c>
      <c r="H3649">
        <v>20007.336791464</v>
      </c>
      <c r="I3649">
        <v>151549.16</v>
      </c>
      <c r="J3649">
        <v>131541.82</v>
      </c>
      <c r="K3649" s="1"/>
      <c r="L3649" s="1"/>
      <c r="M3649" s="1"/>
      <c r="N3649" s="1"/>
    </row>
    <row r="3650" ht="15.75" customHeight="1">
      <c r="A3650" t="s">
        <v>25</v>
      </c>
      <c r="B3650" t="s">
        <v>30</v>
      </c>
      <c r="C3650" t="s">
        <v>4910</v>
      </c>
      <c r="D3650" t="s">
        <v>3741</v>
      </c>
      <c r="E3650">
        <v>90002.0114774159</v>
      </c>
      <c r="F3650">
        <v>31784.9780384007</v>
      </c>
      <c r="G3650">
        <v>29785.3495139119</v>
      </c>
      <c r="H3650">
        <v>20010.7343421512</v>
      </c>
      <c r="I3650">
        <v>151572.34</v>
      </c>
      <c r="J3650">
        <v>131561.61</v>
      </c>
      <c r="K3650" s="1"/>
      <c r="L3650" s="1"/>
      <c r="M3650" s="1"/>
      <c r="N3650" s="1"/>
    </row>
    <row r="3651" ht="15.75" customHeight="1">
      <c r="A3651" t="s">
        <v>17</v>
      </c>
      <c r="B3651" t="s">
        <v>33</v>
      </c>
      <c r="C3651" t="s">
        <v>4910</v>
      </c>
      <c r="D3651" t="s">
        <v>3742</v>
      </c>
      <c r="E3651">
        <v>90012.8944473221</v>
      </c>
      <c r="F3651">
        <v>31789.5927567281</v>
      </c>
      <c r="G3651">
        <v>29793.0295173414</v>
      </c>
      <c r="H3651">
        <v>20014.1318928385</v>
      </c>
      <c r="I3651">
        <v>151595.52</v>
      </c>
      <c r="J3651">
        <v>131581.39</v>
      </c>
      <c r="K3651" s="1"/>
      <c r="L3651" s="1"/>
      <c r="M3651" s="1"/>
      <c r="N3651" s="1"/>
    </row>
    <row r="3652" ht="15.75" customHeight="1">
      <c r="A3652" t="s">
        <v>17</v>
      </c>
      <c r="B3652" t="s">
        <v>26</v>
      </c>
      <c r="C3652" t="s">
        <v>4908</v>
      </c>
      <c r="D3652" t="s">
        <v>3743</v>
      </c>
      <c r="E3652">
        <v>90034.6603871345</v>
      </c>
      <c r="F3652">
        <v>31798.8221933829</v>
      </c>
      <c r="G3652">
        <v>29808.3895242004</v>
      </c>
      <c r="H3652">
        <v>20020.9269942131</v>
      </c>
      <c r="I3652">
        <v>151641.87</v>
      </c>
      <c r="J3652">
        <v>131620.94</v>
      </c>
      <c r="K3652" s="1"/>
      <c r="L3652" s="1"/>
      <c r="M3652" s="1"/>
      <c r="N3652" s="1"/>
    </row>
    <row r="3653" ht="15.75" customHeight="1">
      <c r="A3653" t="s">
        <v>17</v>
      </c>
      <c r="B3653" t="s">
        <v>26</v>
      </c>
      <c r="C3653" t="s">
        <v>4905</v>
      </c>
      <c r="D3653" t="s">
        <v>3744</v>
      </c>
      <c r="E3653">
        <v>90045.5433570407</v>
      </c>
      <c r="F3653">
        <v>31803.4369117104</v>
      </c>
      <c r="G3653">
        <v>29816.0695276299</v>
      </c>
      <c r="H3653">
        <v>20024.3245449004</v>
      </c>
      <c r="I3653">
        <v>151665.05</v>
      </c>
      <c r="J3653">
        <v>131640.73</v>
      </c>
      <c r="K3653" s="1"/>
      <c r="L3653" s="1"/>
      <c r="M3653" s="1"/>
      <c r="N3653" s="1"/>
    </row>
    <row r="3654" ht="15.75" customHeight="1">
      <c r="A3654" t="s">
        <v>51</v>
      </c>
      <c r="B3654" t="s">
        <v>26</v>
      </c>
      <c r="C3654" t="s">
        <v>4916</v>
      </c>
      <c r="D3654" t="s">
        <v>3745</v>
      </c>
      <c r="E3654">
        <v>90056.4263269469</v>
      </c>
      <c r="F3654">
        <v>31808.0516300378</v>
      </c>
      <c r="G3654">
        <v>29823.7495310594</v>
      </c>
      <c r="H3654">
        <v>20027.7220955877</v>
      </c>
      <c r="I3654">
        <v>151688.23</v>
      </c>
      <c r="J3654">
        <v>131660.51</v>
      </c>
      <c r="K3654" s="1"/>
      <c r="L3654" s="1"/>
      <c r="M3654" s="1"/>
      <c r="N3654" s="1"/>
    </row>
    <row r="3655" ht="15.75" customHeight="1">
      <c r="A3655" t="s">
        <v>36</v>
      </c>
      <c r="B3655" t="s">
        <v>14</v>
      </c>
      <c r="C3655" t="s">
        <v>4913</v>
      </c>
      <c r="D3655" t="s">
        <v>3746</v>
      </c>
      <c r="E3655">
        <v>90067.3092968531</v>
      </c>
      <c r="F3655">
        <v>31812.6663483652</v>
      </c>
      <c r="G3655">
        <v>29831.4295344889</v>
      </c>
      <c r="H3655">
        <v>20031.119646275</v>
      </c>
      <c r="I3655">
        <v>151711.41</v>
      </c>
      <c r="J3655">
        <v>131680.29</v>
      </c>
      <c r="K3655" s="1"/>
      <c r="L3655" s="1"/>
      <c r="M3655" s="1"/>
      <c r="N3655" s="1"/>
    </row>
    <row r="3656" ht="15.75" customHeight="1">
      <c r="A3656" t="s">
        <v>53</v>
      </c>
      <c r="B3656" t="s">
        <v>33</v>
      </c>
      <c r="C3656" t="s">
        <v>4905</v>
      </c>
      <c r="D3656" t="s">
        <v>3747</v>
      </c>
      <c r="E3656">
        <v>90078.1922667593</v>
      </c>
      <c r="F3656">
        <v>31817.2810666926</v>
      </c>
      <c r="G3656">
        <v>29839.1095379184</v>
      </c>
      <c r="H3656">
        <v>20034.5171969623</v>
      </c>
      <c r="I3656">
        <v>151734.58</v>
      </c>
      <c r="J3656">
        <v>131700.06</v>
      </c>
      <c r="K3656" s="1"/>
      <c r="L3656" s="1"/>
      <c r="M3656" s="1"/>
      <c r="N3656" s="1"/>
    </row>
    <row r="3657" ht="15.75" customHeight="1">
      <c r="A3657" t="s">
        <v>36</v>
      </c>
      <c r="B3657" t="s">
        <v>14</v>
      </c>
      <c r="C3657" t="s">
        <v>4912</v>
      </c>
      <c r="D3657" t="s">
        <v>3748</v>
      </c>
      <c r="E3657">
        <v>90099.9582065717</v>
      </c>
      <c r="F3657">
        <v>31826.5105033475</v>
      </c>
      <c r="G3657">
        <v>29854.4695447774</v>
      </c>
      <c r="H3657">
        <v>20041.3122983368</v>
      </c>
      <c r="I3657">
        <v>151780.94</v>
      </c>
      <c r="J3657">
        <v>131739.63</v>
      </c>
      <c r="K3657" s="1"/>
      <c r="L3657" s="1"/>
      <c r="M3657" s="1"/>
      <c r="N3657" s="1"/>
    </row>
    <row r="3658" ht="15.75" customHeight="1">
      <c r="A3658" t="s">
        <v>17</v>
      </c>
      <c r="B3658" t="s">
        <v>26</v>
      </c>
      <c r="C3658" t="s">
        <v>4908</v>
      </c>
      <c r="D3658" t="s">
        <v>3749</v>
      </c>
      <c r="E3658">
        <v>90110.8411764779</v>
      </c>
      <c r="F3658">
        <v>31831.1252216749</v>
      </c>
      <c r="G3658">
        <v>29862.1495482069</v>
      </c>
      <c r="H3658">
        <v>20044.7098490241</v>
      </c>
      <c r="I3658">
        <v>151804.12</v>
      </c>
      <c r="J3658">
        <v>131759.41</v>
      </c>
      <c r="K3658" s="1"/>
      <c r="L3658" s="1"/>
      <c r="M3658" s="1"/>
      <c r="N3658" s="1"/>
    </row>
    <row r="3659" ht="15.75" customHeight="1">
      <c r="A3659" t="s">
        <v>29</v>
      </c>
      <c r="B3659" t="s">
        <v>54</v>
      </c>
      <c r="C3659" t="s">
        <v>4911</v>
      </c>
      <c r="D3659" t="s">
        <v>3750</v>
      </c>
      <c r="E3659">
        <v>72210.86634532797</v>
      </c>
      <c r="F3659">
        <v>31835.7399400023</v>
      </c>
      <c r="G3659">
        <v>29869.8295516364</v>
      </c>
      <c r="H3659">
        <v>20048.1073997114</v>
      </c>
      <c r="I3659">
        <v>133916.44</v>
      </c>
      <c r="J3659">
        <v>113868.33</v>
      </c>
      <c r="K3659" s="1"/>
      <c r="L3659" s="1"/>
      <c r="M3659" s="1"/>
      <c r="N3659" s="1"/>
    </row>
    <row r="3660" ht="15.75" customHeight="1">
      <c r="A3660" t="s">
        <v>53</v>
      </c>
      <c r="B3660" t="s">
        <v>14</v>
      </c>
      <c r="C3660" t="s">
        <v>4917</v>
      </c>
      <c r="D3660" t="s">
        <v>3751</v>
      </c>
      <c r="E3660">
        <v>90132.6071162903</v>
      </c>
      <c r="F3660">
        <v>31840.3546583297</v>
      </c>
      <c r="G3660">
        <v>29877.5095550659</v>
      </c>
      <c r="H3660">
        <v>20051.5049503987</v>
      </c>
      <c r="I3660">
        <v>151850.47</v>
      </c>
      <c r="J3660">
        <v>131798.97</v>
      </c>
      <c r="K3660" s="1"/>
      <c r="L3660" s="1"/>
      <c r="M3660" s="1"/>
      <c r="N3660" s="1"/>
    </row>
    <row r="3661" ht="15.75" customHeight="1">
      <c r="A3661" t="s">
        <v>25</v>
      </c>
      <c r="B3661" t="s">
        <v>54</v>
      </c>
      <c r="C3661" t="s">
        <v>4916</v>
      </c>
      <c r="D3661" t="s">
        <v>3752</v>
      </c>
      <c r="E3661">
        <v>90143.4900861965</v>
      </c>
      <c r="F3661">
        <v>31844.9693766572</v>
      </c>
      <c r="G3661">
        <v>29885.1895584954</v>
      </c>
      <c r="H3661">
        <v>20054.902501086</v>
      </c>
      <c r="I3661">
        <v>151873.65</v>
      </c>
      <c r="J3661">
        <v>131818.75</v>
      </c>
      <c r="K3661" s="1"/>
      <c r="L3661" s="1"/>
      <c r="M3661" s="1"/>
      <c r="N3661" s="1"/>
    </row>
    <row r="3662" ht="15.75" customHeight="1">
      <c r="A3662" t="s">
        <v>25</v>
      </c>
      <c r="B3662" t="s">
        <v>14</v>
      </c>
      <c r="C3662" t="s">
        <v>4917</v>
      </c>
      <c r="D3662" t="s">
        <v>3753</v>
      </c>
      <c r="E3662">
        <v>90154.3730561027</v>
      </c>
      <c r="F3662">
        <v>31849.5840949846</v>
      </c>
      <c r="G3662">
        <v>29892.8695619249</v>
      </c>
      <c r="H3662">
        <v>20058.3000517733</v>
      </c>
      <c r="I3662">
        <v>151896.83</v>
      </c>
      <c r="J3662">
        <v>131838.53</v>
      </c>
      <c r="K3662" s="1"/>
      <c r="L3662" s="1"/>
      <c r="M3662" s="1"/>
      <c r="N3662" s="1"/>
    </row>
    <row r="3663" ht="15.75" customHeight="1">
      <c r="A3663" t="s">
        <v>51</v>
      </c>
      <c r="B3663" t="s">
        <v>33</v>
      </c>
      <c r="C3663" t="s">
        <v>4909</v>
      </c>
      <c r="D3663" t="s">
        <v>3754</v>
      </c>
      <c r="E3663">
        <v>90165.2560260089</v>
      </c>
      <c r="F3663">
        <v>31854.198813312</v>
      </c>
      <c r="G3663">
        <v>29900.5495653544</v>
      </c>
      <c r="H3663">
        <v>20061.6976024606</v>
      </c>
      <c r="I3663">
        <v>151920.0</v>
      </c>
      <c r="J3663">
        <v>131858.3</v>
      </c>
      <c r="K3663" s="1"/>
      <c r="L3663" s="1"/>
      <c r="M3663" s="1"/>
      <c r="N3663" s="1"/>
    </row>
    <row r="3664" ht="15.75" customHeight="1">
      <c r="A3664" t="s">
        <v>17</v>
      </c>
      <c r="B3664" t="s">
        <v>26</v>
      </c>
      <c r="C3664" t="s">
        <v>4912</v>
      </c>
      <c r="D3664" t="s">
        <v>3755</v>
      </c>
      <c r="E3664">
        <v>90176.138995915</v>
      </c>
      <c r="F3664">
        <v>31858.8135316394</v>
      </c>
      <c r="G3664">
        <v>29908.2295687839</v>
      </c>
      <c r="H3664">
        <v>20065.0951531478</v>
      </c>
      <c r="I3664">
        <v>151943.18</v>
      </c>
      <c r="J3664">
        <v>131878.08</v>
      </c>
      <c r="K3664" s="1"/>
      <c r="L3664" s="1"/>
      <c r="M3664" s="1"/>
      <c r="N3664" s="1"/>
    </row>
    <row r="3665" ht="15.75" customHeight="1">
      <c r="A3665" t="s">
        <v>25</v>
      </c>
      <c r="B3665" t="s">
        <v>14</v>
      </c>
      <c r="C3665" t="s">
        <v>4910</v>
      </c>
      <c r="D3665" t="s">
        <v>3756</v>
      </c>
      <c r="E3665">
        <v>90187.0219658212</v>
      </c>
      <c r="F3665">
        <v>31863.4282499669</v>
      </c>
      <c r="G3665">
        <v>29915.9095722134</v>
      </c>
      <c r="H3665">
        <v>20068.4927038351</v>
      </c>
      <c r="I3665">
        <v>151966.36</v>
      </c>
      <c r="J3665">
        <v>131897.87</v>
      </c>
      <c r="K3665" s="1"/>
      <c r="L3665" s="1"/>
      <c r="M3665" s="1"/>
      <c r="N3665" s="1"/>
    </row>
    <row r="3666" ht="15.75" customHeight="1">
      <c r="A3666" t="s">
        <v>53</v>
      </c>
      <c r="B3666" t="s">
        <v>18</v>
      </c>
      <c r="C3666" t="s">
        <v>4915</v>
      </c>
      <c r="D3666" t="s">
        <v>3757</v>
      </c>
      <c r="E3666">
        <v>90197.9049357274</v>
      </c>
      <c r="F3666">
        <v>31868.0429682943</v>
      </c>
      <c r="G3666">
        <v>29923.5895756429</v>
      </c>
      <c r="H3666">
        <v>20071.8902545224</v>
      </c>
      <c r="I3666">
        <v>151989.54</v>
      </c>
      <c r="J3666">
        <v>131917.65</v>
      </c>
      <c r="K3666" s="1"/>
      <c r="L3666" s="1"/>
      <c r="M3666" s="1"/>
      <c r="N3666" s="1"/>
    </row>
    <row r="3667" ht="15.75" customHeight="1">
      <c r="A3667" t="s">
        <v>36</v>
      </c>
      <c r="B3667" t="s">
        <v>26</v>
      </c>
      <c r="C3667" t="s">
        <v>4907</v>
      </c>
      <c r="D3667" t="s">
        <v>3758</v>
      </c>
      <c r="E3667">
        <v>90208.7879056336</v>
      </c>
      <c r="F3667">
        <v>31872.6576866217</v>
      </c>
      <c r="G3667">
        <v>29931.2695790724</v>
      </c>
      <c r="H3667">
        <v>20075.2878052097</v>
      </c>
      <c r="I3667">
        <v>152012.72</v>
      </c>
      <c r="J3667">
        <v>131937.43</v>
      </c>
      <c r="K3667" s="1"/>
      <c r="L3667" s="1"/>
      <c r="M3667" s="1"/>
      <c r="N3667" s="1"/>
    </row>
    <row r="3668" ht="15.75" customHeight="1">
      <c r="A3668" t="s">
        <v>53</v>
      </c>
      <c r="B3668" t="s">
        <v>54</v>
      </c>
      <c r="C3668" t="s">
        <v>4915</v>
      </c>
      <c r="D3668" t="s">
        <v>3759</v>
      </c>
      <c r="E3668">
        <v>90219.6708755398</v>
      </c>
      <c r="F3668">
        <v>31877.2724049491</v>
      </c>
      <c r="G3668">
        <v>29938.9495825019</v>
      </c>
      <c r="H3668">
        <v>20078.685355897</v>
      </c>
      <c r="I3668">
        <v>152035.89</v>
      </c>
      <c r="J3668">
        <v>131957.2</v>
      </c>
      <c r="K3668" s="1"/>
      <c r="L3668" s="1"/>
      <c r="M3668" s="1"/>
      <c r="N3668" s="1"/>
    </row>
    <row r="3669" ht="15.75" customHeight="1">
      <c r="A3669" t="s">
        <v>17</v>
      </c>
      <c r="B3669" t="s">
        <v>14</v>
      </c>
      <c r="C3669" t="s">
        <v>4905</v>
      </c>
      <c r="D3669" t="s">
        <v>3760</v>
      </c>
      <c r="E3669">
        <v>90230.553845446</v>
      </c>
      <c r="F3669">
        <v>31881.8871232765</v>
      </c>
      <c r="G3669">
        <v>29946.6295859314</v>
      </c>
      <c r="H3669">
        <v>20082.0829065843</v>
      </c>
      <c r="I3669">
        <v>152059.07</v>
      </c>
      <c r="J3669">
        <v>131976.99</v>
      </c>
      <c r="K3669" s="1"/>
      <c r="L3669" s="1"/>
      <c r="M3669" s="1"/>
      <c r="N3669" s="1"/>
    </row>
    <row r="3670" ht="15.75" customHeight="1">
      <c r="A3670" t="s">
        <v>36</v>
      </c>
      <c r="B3670" t="s">
        <v>54</v>
      </c>
      <c r="C3670" t="s">
        <v>4914</v>
      </c>
      <c r="D3670" t="s">
        <v>3761</v>
      </c>
      <c r="E3670">
        <v>90241.4368153522</v>
      </c>
      <c r="F3670">
        <v>31886.501841604</v>
      </c>
      <c r="G3670">
        <v>29954.3095893609</v>
      </c>
      <c r="H3670">
        <v>20085.4804572716</v>
      </c>
      <c r="I3670">
        <v>152082.25</v>
      </c>
      <c r="J3670">
        <v>131996.77</v>
      </c>
      <c r="K3670" s="1"/>
      <c r="L3670" s="1"/>
      <c r="M3670" s="1"/>
      <c r="N3670" s="1"/>
    </row>
    <row r="3671" ht="15.75" customHeight="1">
      <c r="A3671" t="s">
        <v>51</v>
      </c>
      <c r="B3671" t="s">
        <v>30</v>
      </c>
      <c r="C3671" t="s">
        <v>4917</v>
      </c>
      <c r="D3671" t="s">
        <v>3762</v>
      </c>
      <c r="E3671">
        <v>90263.2027551646</v>
      </c>
      <c r="F3671">
        <v>31895.7312782588</v>
      </c>
      <c r="G3671">
        <v>29969.6695962199</v>
      </c>
      <c r="H3671">
        <v>20092.2755586461</v>
      </c>
      <c r="I3671">
        <v>152128.6</v>
      </c>
      <c r="J3671">
        <v>132036.32</v>
      </c>
      <c r="K3671" s="1"/>
      <c r="L3671" s="1"/>
      <c r="M3671" s="1"/>
      <c r="N3671" s="1"/>
    </row>
    <row r="3672" ht="15.75" customHeight="1">
      <c r="A3672" t="s">
        <v>17</v>
      </c>
      <c r="B3672" t="s">
        <v>26</v>
      </c>
      <c r="C3672" t="s">
        <v>4910</v>
      </c>
      <c r="D3672" t="s">
        <v>3763</v>
      </c>
      <c r="E3672">
        <v>90274.0857250708</v>
      </c>
      <c r="F3672">
        <v>31900.3459965862</v>
      </c>
      <c r="G3672">
        <v>29977.3495996493</v>
      </c>
      <c r="H3672">
        <v>20095.6731093334</v>
      </c>
      <c r="I3672">
        <v>152151.78</v>
      </c>
      <c r="J3672">
        <v>132056.11</v>
      </c>
      <c r="K3672" s="1"/>
      <c r="L3672" s="1"/>
      <c r="M3672" s="1"/>
      <c r="N3672" s="1"/>
    </row>
    <row r="3673" ht="15.75" customHeight="1">
      <c r="A3673" t="s">
        <v>53</v>
      </c>
      <c r="B3673" t="s">
        <v>30</v>
      </c>
      <c r="C3673" t="s">
        <v>4912</v>
      </c>
      <c r="D3673" t="s">
        <v>3764</v>
      </c>
      <c r="E3673">
        <v>90284.968694977</v>
      </c>
      <c r="F3673">
        <v>31904.9607149137</v>
      </c>
      <c r="G3673">
        <v>29985.0296030788</v>
      </c>
      <c r="H3673">
        <v>20099.0706600207</v>
      </c>
      <c r="I3673">
        <v>152174.96</v>
      </c>
      <c r="J3673">
        <v>132075.89</v>
      </c>
      <c r="K3673" s="1"/>
      <c r="L3673" s="1"/>
      <c r="M3673" s="1"/>
      <c r="N3673" s="1"/>
    </row>
    <row r="3674" ht="15.75" customHeight="1">
      <c r="A3674" t="s">
        <v>36</v>
      </c>
      <c r="B3674" t="s">
        <v>54</v>
      </c>
      <c r="C3674" t="s">
        <v>4917</v>
      </c>
      <c r="D3674" t="s">
        <v>3765</v>
      </c>
      <c r="E3674">
        <v>90295.8516648832</v>
      </c>
      <c r="F3674">
        <v>31909.5754332411</v>
      </c>
      <c r="G3674">
        <v>29992.7096065083</v>
      </c>
      <c r="H3674">
        <v>20102.468210708</v>
      </c>
      <c r="I3674">
        <v>152198.14</v>
      </c>
      <c r="J3674">
        <v>132095.67</v>
      </c>
      <c r="K3674" s="1"/>
      <c r="L3674" s="1"/>
      <c r="M3674" s="1"/>
      <c r="N3674" s="1"/>
    </row>
    <row r="3675" ht="15.75" customHeight="1">
      <c r="A3675" t="s">
        <v>29</v>
      </c>
      <c r="B3675" t="s">
        <v>33</v>
      </c>
      <c r="C3675" t="s">
        <v>4910</v>
      </c>
      <c r="D3675" t="s">
        <v>3766</v>
      </c>
      <c r="E3675">
        <v>90306.7346347894</v>
      </c>
      <c r="F3675">
        <v>31914.1901515685</v>
      </c>
      <c r="G3675">
        <v>30000.3896099378</v>
      </c>
      <c r="H3675">
        <v>20105.8657613953</v>
      </c>
      <c r="I3675">
        <v>152221.31</v>
      </c>
      <c r="J3675">
        <v>132115.44</v>
      </c>
      <c r="K3675" s="1"/>
      <c r="L3675" s="1"/>
      <c r="M3675" s="1"/>
      <c r="N3675" s="1"/>
    </row>
    <row r="3676" ht="15.75" customHeight="1">
      <c r="A3676" t="s">
        <v>13</v>
      </c>
      <c r="B3676" t="s">
        <v>26</v>
      </c>
      <c r="C3676" t="s">
        <v>4905</v>
      </c>
      <c r="D3676" t="s">
        <v>3767</v>
      </c>
      <c r="E3676">
        <v>90317.6176046956</v>
      </c>
      <c r="F3676">
        <v>31918.8048698959</v>
      </c>
      <c r="G3676">
        <v>30008.0696133673</v>
      </c>
      <c r="H3676">
        <v>20109.2633120826</v>
      </c>
      <c r="I3676">
        <v>152244.49</v>
      </c>
      <c r="J3676">
        <v>132135.23</v>
      </c>
      <c r="K3676" s="1"/>
      <c r="L3676" s="1"/>
      <c r="M3676" s="1"/>
      <c r="N3676" s="1"/>
    </row>
    <row r="3677" ht="15.75" customHeight="1">
      <c r="A3677" t="s">
        <v>17</v>
      </c>
      <c r="B3677" t="s">
        <v>14</v>
      </c>
      <c r="C3677" t="s">
        <v>4917</v>
      </c>
      <c r="D3677" t="s">
        <v>3768</v>
      </c>
      <c r="E3677">
        <v>90328.5005746018</v>
      </c>
      <c r="F3677">
        <v>31923.4195882233</v>
      </c>
      <c r="G3677">
        <v>30015.7496167968</v>
      </c>
      <c r="H3677">
        <v>20112.6608627699</v>
      </c>
      <c r="I3677">
        <v>152267.67</v>
      </c>
      <c r="J3677">
        <v>132155.01</v>
      </c>
      <c r="K3677" s="1"/>
      <c r="L3677" s="1"/>
      <c r="M3677" s="1"/>
      <c r="N3677" s="1"/>
    </row>
    <row r="3678" ht="15.75" customHeight="1">
      <c r="A3678" t="s">
        <v>13</v>
      </c>
      <c r="B3678" t="s">
        <v>33</v>
      </c>
      <c r="C3678" t="s">
        <v>4908</v>
      </c>
      <c r="D3678" t="s">
        <v>3769</v>
      </c>
      <c r="E3678">
        <v>90339.3835445079</v>
      </c>
      <c r="F3678">
        <v>31928.0343065508</v>
      </c>
      <c r="G3678">
        <v>30023.4296202263</v>
      </c>
      <c r="H3678">
        <v>20116.0584134571</v>
      </c>
      <c r="I3678">
        <v>152290.85</v>
      </c>
      <c r="J3678">
        <v>132174.79</v>
      </c>
      <c r="K3678" s="1"/>
      <c r="L3678" s="1"/>
      <c r="M3678" s="1"/>
      <c r="N3678" s="1"/>
    </row>
    <row r="3679" ht="15.75" customHeight="1">
      <c r="A3679" t="s">
        <v>53</v>
      </c>
      <c r="B3679" t="s">
        <v>54</v>
      </c>
      <c r="C3679" t="s">
        <v>4909</v>
      </c>
      <c r="D3679" t="s">
        <v>3770</v>
      </c>
      <c r="E3679">
        <v>90350.2665144141</v>
      </c>
      <c r="F3679">
        <v>31932.6490248782</v>
      </c>
      <c r="G3679">
        <v>30031.1096236558</v>
      </c>
      <c r="H3679">
        <v>20119.4559641444</v>
      </c>
      <c r="I3679">
        <v>152314.03</v>
      </c>
      <c r="J3679">
        <v>132194.57</v>
      </c>
      <c r="K3679" s="1"/>
      <c r="L3679" s="1"/>
      <c r="M3679" s="1"/>
      <c r="N3679" s="1"/>
    </row>
    <row r="3680" ht="15.75" customHeight="1">
      <c r="A3680" t="s">
        <v>25</v>
      </c>
      <c r="B3680" t="s">
        <v>26</v>
      </c>
      <c r="C3680" t="s">
        <v>4905</v>
      </c>
      <c r="D3680" t="s">
        <v>3771</v>
      </c>
      <c r="E3680">
        <v>90361.1494843203</v>
      </c>
      <c r="F3680">
        <v>31937.2637432056</v>
      </c>
      <c r="G3680">
        <v>30038.7896270853</v>
      </c>
      <c r="H3680">
        <v>20122.8535148317</v>
      </c>
      <c r="I3680">
        <v>152337.2</v>
      </c>
      <c r="J3680">
        <v>132214.35</v>
      </c>
      <c r="K3680" s="1"/>
      <c r="L3680" s="1"/>
      <c r="M3680" s="1"/>
      <c r="N3680" s="1"/>
    </row>
    <row r="3681" ht="15.75" customHeight="1">
      <c r="A3681" t="s">
        <v>36</v>
      </c>
      <c r="B3681" t="s">
        <v>30</v>
      </c>
      <c r="C3681" t="s">
        <v>4916</v>
      </c>
      <c r="D3681" t="s">
        <v>3772</v>
      </c>
      <c r="E3681">
        <v>90372.0324542265</v>
      </c>
      <c r="F3681">
        <v>31941.878461533</v>
      </c>
      <c r="G3681">
        <v>30046.4696305148</v>
      </c>
      <c r="H3681">
        <v>20126.251065519</v>
      </c>
      <c r="I3681">
        <v>152360.38</v>
      </c>
      <c r="J3681">
        <v>132234.13</v>
      </c>
      <c r="K3681" s="1"/>
      <c r="L3681" s="1"/>
      <c r="M3681" s="1"/>
      <c r="N3681" s="1"/>
    </row>
    <row r="3682" ht="15.75" customHeight="1">
      <c r="A3682" t="s">
        <v>29</v>
      </c>
      <c r="B3682" t="s">
        <v>37</v>
      </c>
      <c r="C3682" t="s">
        <v>4911</v>
      </c>
      <c r="D3682" t="s">
        <v>3773</v>
      </c>
      <c r="E3682">
        <v>90382.9154241327</v>
      </c>
      <c r="F3682">
        <v>31946.4931798605</v>
      </c>
      <c r="G3682">
        <v>30054.1496339443</v>
      </c>
      <c r="H3682">
        <v>20129.6486162063</v>
      </c>
      <c r="I3682">
        <v>152383.56</v>
      </c>
      <c r="J3682">
        <v>132253.91</v>
      </c>
      <c r="K3682" s="1"/>
      <c r="L3682" s="1"/>
      <c r="M3682" s="1"/>
      <c r="N3682" s="1"/>
    </row>
    <row r="3683" ht="15.75" customHeight="1">
      <c r="A3683" t="s">
        <v>53</v>
      </c>
      <c r="B3683" t="s">
        <v>14</v>
      </c>
      <c r="C3683" t="s">
        <v>4908</v>
      </c>
      <c r="D3683" t="s">
        <v>3774</v>
      </c>
      <c r="E3683">
        <v>90404.6813639451</v>
      </c>
      <c r="F3683">
        <v>31955.7226165153</v>
      </c>
      <c r="G3683">
        <v>30069.5096408033</v>
      </c>
      <c r="H3683">
        <v>20136.4437175809</v>
      </c>
      <c r="I3683">
        <v>152429.91</v>
      </c>
      <c r="J3683">
        <v>132293.47</v>
      </c>
      <c r="K3683" s="1"/>
      <c r="L3683" s="1"/>
      <c r="M3683" s="1"/>
      <c r="N3683" s="1"/>
    </row>
    <row r="3684" ht="15.75" customHeight="1">
      <c r="A3684" t="s">
        <v>36</v>
      </c>
      <c r="B3684" t="s">
        <v>18</v>
      </c>
      <c r="C3684" t="s">
        <v>4917</v>
      </c>
      <c r="D3684" t="s">
        <v>3775</v>
      </c>
      <c r="E3684">
        <v>90415.5643338513</v>
      </c>
      <c r="F3684">
        <v>31960.3373348427</v>
      </c>
      <c r="G3684">
        <v>30077.1896442328</v>
      </c>
      <c r="H3684">
        <v>20139.8412682682</v>
      </c>
      <c r="I3684">
        <v>152453.09</v>
      </c>
      <c r="J3684">
        <v>132313.25</v>
      </c>
      <c r="K3684" s="1"/>
      <c r="L3684" s="1"/>
      <c r="M3684" s="1"/>
      <c r="N3684" s="1"/>
    </row>
    <row r="3685" ht="15.75" customHeight="1">
      <c r="A3685" t="s">
        <v>13</v>
      </c>
      <c r="B3685" t="s">
        <v>30</v>
      </c>
      <c r="C3685" t="s">
        <v>4915</v>
      </c>
      <c r="D3685" t="s">
        <v>3776</v>
      </c>
      <c r="E3685">
        <v>90426.4473037575</v>
      </c>
      <c r="F3685">
        <v>31964.9520531701</v>
      </c>
      <c r="G3685">
        <v>30084.8696476623</v>
      </c>
      <c r="H3685">
        <v>20143.2388189554</v>
      </c>
      <c r="I3685">
        <v>152476.27</v>
      </c>
      <c r="J3685">
        <v>132333.03</v>
      </c>
      <c r="K3685" s="1"/>
      <c r="L3685" s="1"/>
      <c r="M3685" s="1"/>
      <c r="N3685" s="1"/>
    </row>
    <row r="3686" ht="15.75" customHeight="1">
      <c r="A3686" t="s">
        <v>53</v>
      </c>
      <c r="B3686" t="s">
        <v>37</v>
      </c>
      <c r="C3686" t="s">
        <v>4910</v>
      </c>
      <c r="D3686" t="s">
        <v>3777</v>
      </c>
      <c r="E3686">
        <v>90437.3302736637</v>
      </c>
      <c r="F3686">
        <v>31969.5667714976</v>
      </c>
      <c r="G3686">
        <v>30092.5496510918</v>
      </c>
      <c r="H3686">
        <v>20146.6363696427</v>
      </c>
      <c r="I3686">
        <v>152499.45</v>
      </c>
      <c r="J3686">
        <v>132352.81</v>
      </c>
      <c r="K3686" s="1"/>
      <c r="L3686" s="1"/>
      <c r="M3686" s="1"/>
      <c r="N3686" s="1"/>
    </row>
    <row r="3687" ht="15.75" customHeight="1">
      <c r="A3687" t="s">
        <v>29</v>
      </c>
      <c r="B3687" t="s">
        <v>54</v>
      </c>
      <c r="C3687" t="s">
        <v>4905</v>
      </c>
      <c r="D3687" t="s">
        <v>3778</v>
      </c>
      <c r="E3687">
        <v>90448.2132435699</v>
      </c>
      <c r="F3687">
        <v>31974.181489825</v>
      </c>
      <c r="G3687">
        <v>30100.2296545213</v>
      </c>
      <c r="H3687">
        <v>20150.03392033</v>
      </c>
      <c r="I3687">
        <v>152522.62</v>
      </c>
      <c r="J3687">
        <v>132372.59</v>
      </c>
      <c r="K3687" s="1"/>
      <c r="L3687" s="1"/>
      <c r="M3687" s="1"/>
      <c r="N3687" s="1"/>
    </row>
    <row r="3688" ht="15.75" customHeight="1">
      <c r="A3688" t="s">
        <v>53</v>
      </c>
      <c r="B3688" t="s">
        <v>26</v>
      </c>
      <c r="C3688" t="s">
        <v>4910</v>
      </c>
      <c r="D3688" t="s">
        <v>3779</v>
      </c>
      <c r="E3688">
        <v>90459.0962134761</v>
      </c>
      <c r="F3688">
        <v>31978.7962081524</v>
      </c>
      <c r="G3688">
        <v>30107.9096579508</v>
      </c>
      <c r="H3688">
        <v>20153.4314710173</v>
      </c>
      <c r="I3688">
        <v>152545.8</v>
      </c>
      <c r="J3688">
        <v>132392.37</v>
      </c>
      <c r="K3688" s="1"/>
      <c r="L3688" s="1"/>
      <c r="M3688" s="1"/>
      <c r="N3688" s="1"/>
    </row>
    <row r="3689" ht="15.75" customHeight="1">
      <c r="A3689" t="s">
        <v>36</v>
      </c>
      <c r="B3689" t="s">
        <v>26</v>
      </c>
      <c r="C3689" t="s">
        <v>4908</v>
      </c>
      <c r="D3689" t="s">
        <v>3780</v>
      </c>
      <c r="E3689">
        <v>90469.9791833823</v>
      </c>
      <c r="F3689">
        <v>31983.4109264798</v>
      </c>
      <c r="G3689">
        <v>30115.5896613803</v>
      </c>
      <c r="H3689">
        <v>14194.35617001081</v>
      </c>
      <c r="I3689">
        <v>152568.98</v>
      </c>
      <c r="J3689">
        <v>138374.62</v>
      </c>
      <c r="K3689" s="1"/>
      <c r="L3689" s="1"/>
      <c r="M3689" s="1"/>
      <c r="N3689" s="1"/>
    </row>
    <row r="3690" ht="15.75" customHeight="1">
      <c r="A3690" t="s">
        <v>17</v>
      </c>
      <c r="B3690" t="s">
        <v>37</v>
      </c>
      <c r="C3690" t="s">
        <v>4913</v>
      </c>
      <c r="D3690" t="s">
        <v>3781</v>
      </c>
      <c r="E3690">
        <v>90480.8621532885</v>
      </c>
      <c r="F3690">
        <v>31988.0256448072</v>
      </c>
      <c r="G3690">
        <v>30123.2696648098</v>
      </c>
      <c r="H3690">
        <v>20160.2265723919</v>
      </c>
      <c r="I3690">
        <v>152592.16</v>
      </c>
      <c r="J3690">
        <v>132431.93</v>
      </c>
      <c r="K3690" s="1"/>
      <c r="L3690" s="1"/>
      <c r="M3690" s="1"/>
      <c r="N3690" s="1"/>
    </row>
    <row r="3691" ht="15.75" customHeight="1">
      <c r="A3691" t="s">
        <v>25</v>
      </c>
      <c r="B3691" t="s">
        <v>14</v>
      </c>
      <c r="C3691" t="s">
        <v>4907</v>
      </c>
      <c r="D3691" t="s">
        <v>3782</v>
      </c>
      <c r="E3691">
        <v>90491.7451231946</v>
      </c>
      <c r="F3691">
        <v>31992.6403631347</v>
      </c>
      <c r="G3691">
        <v>30130.9496682393</v>
      </c>
      <c r="H3691">
        <v>14634.43925924574</v>
      </c>
      <c r="I3691">
        <v>152615.34</v>
      </c>
      <c r="J3691">
        <v>137980.9</v>
      </c>
      <c r="K3691" s="1"/>
      <c r="L3691" s="1"/>
      <c r="M3691" s="1"/>
      <c r="N3691" s="1"/>
    </row>
    <row r="3692" ht="15.75" customHeight="1">
      <c r="A3692" t="s">
        <v>25</v>
      </c>
      <c r="B3692" t="s">
        <v>18</v>
      </c>
      <c r="C3692" t="s">
        <v>4905</v>
      </c>
      <c r="D3692" t="s">
        <v>3783</v>
      </c>
      <c r="E3692">
        <v>90513.511063007</v>
      </c>
      <c r="F3692">
        <v>32001.8697997895</v>
      </c>
      <c r="G3692">
        <v>30146.3096750983</v>
      </c>
      <c r="H3692">
        <v>20170.4192244537</v>
      </c>
      <c r="I3692">
        <v>152661.69</v>
      </c>
      <c r="J3692">
        <v>132491.27</v>
      </c>
      <c r="K3692" s="1"/>
      <c r="L3692" s="1"/>
      <c r="M3692" s="1"/>
      <c r="N3692" s="1"/>
    </row>
    <row r="3693" ht="15.75" customHeight="1">
      <c r="A3693" t="s">
        <v>53</v>
      </c>
      <c r="B3693" t="s">
        <v>26</v>
      </c>
      <c r="C3693" t="s">
        <v>4908</v>
      </c>
      <c r="D3693" t="s">
        <v>3784</v>
      </c>
      <c r="E3693">
        <v>90524.3940329132</v>
      </c>
      <c r="F3693">
        <v>32006.4845181169</v>
      </c>
      <c r="G3693">
        <v>30153.9896785278</v>
      </c>
      <c r="H3693">
        <v>20173.816775141</v>
      </c>
      <c r="I3693">
        <v>152684.87</v>
      </c>
      <c r="J3693">
        <v>132511.05</v>
      </c>
      <c r="K3693" s="1"/>
      <c r="L3693" s="1"/>
      <c r="M3693" s="1"/>
      <c r="N3693" s="1"/>
    </row>
    <row r="3694" ht="15.75" customHeight="1">
      <c r="A3694" t="s">
        <v>29</v>
      </c>
      <c r="B3694" t="s">
        <v>26</v>
      </c>
      <c r="C3694" t="s">
        <v>4909</v>
      </c>
      <c r="D3694" t="s">
        <v>3785</v>
      </c>
      <c r="E3694">
        <v>90535.2770028194</v>
      </c>
      <c r="F3694">
        <v>32011.0992364444</v>
      </c>
      <c r="G3694">
        <v>30161.6696819573</v>
      </c>
      <c r="H3694">
        <v>20177.2143258283</v>
      </c>
      <c r="I3694">
        <v>152708.05</v>
      </c>
      <c r="J3694">
        <v>132530.84</v>
      </c>
      <c r="K3694" s="1"/>
      <c r="L3694" s="1"/>
      <c r="M3694" s="1"/>
      <c r="N3694" s="1"/>
    </row>
    <row r="3695" ht="15.75" customHeight="1">
      <c r="A3695" t="s">
        <v>17</v>
      </c>
      <c r="B3695" t="s">
        <v>18</v>
      </c>
      <c r="C3695" t="s">
        <v>4917</v>
      </c>
      <c r="D3695" t="s">
        <v>3786</v>
      </c>
      <c r="E3695">
        <v>90546.1599727256</v>
      </c>
      <c r="F3695">
        <v>32015.7139547718</v>
      </c>
      <c r="G3695">
        <v>30169.3496853868</v>
      </c>
      <c r="H3695">
        <v>20180.6118765156</v>
      </c>
      <c r="I3695">
        <v>152731.22</v>
      </c>
      <c r="J3695">
        <v>132550.61</v>
      </c>
      <c r="K3695" s="1"/>
      <c r="L3695" s="1"/>
      <c r="M3695" s="1"/>
      <c r="N3695" s="1"/>
    </row>
    <row r="3696" ht="15.75" customHeight="1">
      <c r="A3696" t="s">
        <v>36</v>
      </c>
      <c r="B3696" t="s">
        <v>37</v>
      </c>
      <c r="C3696" t="s">
        <v>4916</v>
      </c>
      <c r="D3696" t="s">
        <v>3787</v>
      </c>
      <c r="E3696">
        <v>90557.0429426318</v>
      </c>
      <c r="F3696">
        <v>32020.3286730992</v>
      </c>
      <c r="G3696">
        <v>30177.0296888163</v>
      </c>
      <c r="H3696">
        <v>20184.0094272029</v>
      </c>
      <c r="I3696">
        <v>152754.4</v>
      </c>
      <c r="J3696">
        <v>132570.39</v>
      </c>
      <c r="K3696" s="1"/>
      <c r="L3696" s="1"/>
      <c r="M3696" s="1"/>
      <c r="N3696" s="1"/>
    </row>
    <row r="3697" ht="15.75" customHeight="1">
      <c r="A3697" t="s">
        <v>25</v>
      </c>
      <c r="B3697" t="s">
        <v>33</v>
      </c>
      <c r="C3697" t="s">
        <v>4910</v>
      </c>
      <c r="D3697" t="s">
        <v>3788</v>
      </c>
      <c r="E3697">
        <v>90567.925912538</v>
      </c>
      <c r="F3697">
        <v>32024.9433914266</v>
      </c>
      <c r="G3697">
        <v>30184.7096922458</v>
      </c>
      <c r="H3697">
        <v>20187.4069778902</v>
      </c>
      <c r="I3697">
        <v>152777.58</v>
      </c>
      <c r="J3697">
        <v>132590.17</v>
      </c>
      <c r="K3697" s="1"/>
      <c r="L3697" s="1"/>
      <c r="M3697" s="1"/>
      <c r="N3697" s="1"/>
    </row>
    <row r="3698" ht="15.75" customHeight="1">
      <c r="A3698" t="s">
        <v>25</v>
      </c>
      <c r="B3698" t="s">
        <v>14</v>
      </c>
      <c r="C3698" t="s">
        <v>4917</v>
      </c>
      <c r="D3698" t="s">
        <v>3789</v>
      </c>
      <c r="E3698">
        <v>90578.8088824442</v>
      </c>
      <c r="F3698">
        <v>32029.558109754</v>
      </c>
      <c r="G3698">
        <v>30192.3896956753</v>
      </c>
      <c r="H3698">
        <v>20190.8045285775</v>
      </c>
      <c r="I3698">
        <v>152800.76</v>
      </c>
      <c r="J3698">
        <v>132609.96</v>
      </c>
      <c r="K3698" s="1"/>
      <c r="L3698" s="1"/>
      <c r="M3698" s="1"/>
      <c r="N3698" s="1"/>
    </row>
    <row r="3699" ht="15.75" customHeight="1">
      <c r="A3699" t="s">
        <v>25</v>
      </c>
      <c r="B3699" t="s">
        <v>30</v>
      </c>
      <c r="C3699" t="s">
        <v>4915</v>
      </c>
      <c r="D3699" t="s">
        <v>3790</v>
      </c>
      <c r="E3699">
        <v>90589.6918523504</v>
      </c>
      <c r="F3699">
        <v>32034.1728280815</v>
      </c>
      <c r="G3699">
        <v>30200.0696991048</v>
      </c>
      <c r="H3699">
        <v>20194.2020792647</v>
      </c>
      <c r="I3699">
        <v>152823.93</v>
      </c>
      <c r="J3699">
        <v>132629.73</v>
      </c>
      <c r="K3699" s="1"/>
      <c r="L3699" s="1"/>
      <c r="M3699" s="1"/>
      <c r="N3699" s="1"/>
    </row>
    <row r="3700" ht="15.75" customHeight="1">
      <c r="A3700" t="s">
        <v>53</v>
      </c>
      <c r="B3700" t="s">
        <v>14</v>
      </c>
      <c r="C3700" t="s">
        <v>4914</v>
      </c>
      <c r="D3700" t="s">
        <v>3791</v>
      </c>
      <c r="E3700">
        <v>90600.5748222566</v>
      </c>
      <c r="F3700">
        <v>32038.7875464089</v>
      </c>
      <c r="G3700">
        <v>30207.7497025343</v>
      </c>
      <c r="H3700">
        <v>20197.599629952</v>
      </c>
      <c r="I3700">
        <v>152847.11</v>
      </c>
      <c r="J3700">
        <v>132649.51</v>
      </c>
      <c r="K3700" s="1"/>
      <c r="L3700" s="1"/>
      <c r="M3700" s="1"/>
      <c r="N3700" s="1"/>
    </row>
    <row r="3701" ht="15.75" customHeight="1">
      <c r="A3701" t="s">
        <v>13</v>
      </c>
      <c r="B3701" t="s">
        <v>37</v>
      </c>
      <c r="C3701" t="s">
        <v>4916</v>
      </c>
      <c r="D3701" t="s">
        <v>3792</v>
      </c>
      <c r="E3701">
        <v>90622.340762069</v>
      </c>
      <c r="F3701">
        <v>32048.0169830637</v>
      </c>
      <c r="G3701">
        <v>30223.1097093933</v>
      </c>
      <c r="H3701">
        <v>20204.3947313266</v>
      </c>
      <c r="I3701">
        <v>152893.47</v>
      </c>
      <c r="J3701">
        <v>132689.08</v>
      </c>
      <c r="K3701" s="1"/>
      <c r="L3701" s="1"/>
      <c r="M3701" s="1"/>
      <c r="N3701" s="1"/>
    </row>
    <row r="3702" ht="15.75" customHeight="1">
      <c r="A3702" t="s">
        <v>53</v>
      </c>
      <c r="B3702" t="s">
        <v>54</v>
      </c>
      <c r="C3702" t="s">
        <v>4917</v>
      </c>
      <c r="D3702" t="s">
        <v>3793</v>
      </c>
      <c r="E3702">
        <v>90633.2237319752</v>
      </c>
      <c r="F3702">
        <v>32052.6317013912</v>
      </c>
      <c r="G3702">
        <v>30230.7897128228</v>
      </c>
      <c r="H3702">
        <v>20207.7922820139</v>
      </c>
      <c r="I3702">
        <v>152916.65</v>
      </c>
      <c r="J3702">
        <v>132708.86</v>
      </c>
      <c r="K3702" s="1"/>
      <c r="L3702" s="1"/>
      <c r="M3702" s="1"/>
      <c r="N3702" s="1"/>
    </row>
    <row r="3703" ht="15.75" customHeight="1">
      <c r="A3703" t="s">
        <v>17</v>
      </c>
      <c r="B3703" t="s">
        <v>37</v>
      </c>
      <c r="C3703" t="s">
        <v>4917</v>
      </c>
      <c r="D3703" t="s">
        <v>3794</v>
      </c>
      <c r="E3703">
        <v>90644.1067018814</v>
      </c>
      <c r="F3703">
        <v>32057.2464197186</v>
      </c>
      <c r="G3703">
        <v>30238.4697162523</v>
      </c>
      <c r="H3703">
        <v>20211.1898327012</v>
      </c>
      <c r="I3703">
        <v>152939.82</v>
      </c>
      <c r="J3703">
        <v>132728.63</v>
      </c>
      <c r="K3703" s="1"/>
      <c r="L3703" s="1"/>
      <c r="M3703" s="1"/>
      <c r="N3703" s="1"/>
    </row>
    <row r="3704" ht="15.75" customHeight="1">
      <c r="A3704" t="s">
        <v>25</v>
      </c>
      <c r="B3704" t="s">
        <v>37</v>
      </c>
      <c r="C3704" t="s">
        <v>4907</v>
      </c>
      <c r="D3704" t="s">
        <v>3795</v>
      </c>
      <c r="E3704">
        <v>90654.9896717876</v>
      </c>
      <c r="F3704">
        <v>32061.861138046</v>
      </c>
      <c r="G3704">
        <v>30246.1497196818</v>
      </c>
      <c r="H3704">
        <v>20214.5873833885</v>
      </c>
      <c r="I3704">
        <v>152963.0</v>
      </c>
      <c r="J3704">
        <v>132748.41</v>
      </c>
      <c r="K3704" s="1"/>
      <c r="L3704" s="1"/>
      <c r="M3704" s="1"/>
      <c r="N3704" s="1"/>
    </row>
    <row r="3705" ht="15.75" customHeight="1">
      <c r="A3705" t="s">
        <v>13</v>
      </c>
      <c r="B3705" t="s">
        <v>30</v>
      </c>
      <c r="C3705" t="s">
        <v>4910</v>
      </c>
      <c r="D3705" t="s">
        <v>3796</v>
      </c>
      <c r="E3705">
        <v>90665.8726416937</v>
      </c>
      <c r="F3705">
        <v>32066.4758563734</v>
      </c>
      <c r="G3705">
        <v>30253.8297231112</v>
      </c>
      <c r="H3705">
        <v>14327.38295125808</v>
      </c>
      <c r="I3705">
        <v>152986.18</v>
      </c>
      <c r="J3705">
        <v>138658.8</v>
      </c>
      <c r="K3705" s="1"/>
      <c r="L3705" s="1"/>
      <c r="M3705" s="1"/>
      <c r="N3705" s="1"/>
    </row>
    <row r="3706" ht="15.75" customHeight="1">
      <c r="A3706" t="s">
        <v>51</v>
      </c>
      <c r="B3706" t="s">
        <v>26</v>
      </c>
      <c r="C3706" t="s">
        <v>4917</v>
      </c>
      <c r="D3706" t="s">
        <v>3797</v>
      </c>
      <c r="E3706">
        <v>90676.7556115999</v>
      </c>
      <c r="F3706">
        <v>32071.0905747008</v>
      </c>
      <c r="G3706">
        <v>30261.5097265407</v>
      </c>
      <c r="H3706">
        <v>20221.382484763</v>
      </c>
      <c r="I3706">
        <v>153009.36</v>
      </c>
      <c r="J3706">
        <v>132787.98</v>
      </c>
      <c r="K3706" s="1"/>
      <c r="L3706" s="1"/>
      <c r="M3706" s="1"/>
      <c r="N3706" s="1"/>
    </row>
    <row r="3707" ht="15.75" customHeight="1">
      <c r="A3707" t="s">
        <v>51</v>
      </c>
      <c r="B3707" t="s">
        <v>18</v>
      </c>
      <c r="C3707" t="s">
        <v>4912</v>
      </c>
      <c r="D3707" t="s">
        <v>3798</v>
      </c>
      <c r="E3707">
        <v>90687.6385815061</v>
      </c>
      <c r="F3707">
        <v>32075.7052930283</v>
      </c>
      <c r="G3707">
        <v>30269.1897299702</v>
      </c>
      <c r="H3707">
        <v>20224.7800354503</v>
      </c>
      <c r="I3707">
        <v>153032.53</v>
      </c>
      <c r="J3707">
        <v>132807.75</v>
      </c>
      <c r="K3707" s="1"/>
      <c r="L3707" s="1"/>
      <c r="M3707" s="1"/>
      <c r="N3707" s="1"/>
    </row>
    <row r="3708" ht="15.75" customHeight="1">
      <c r="A3708" t="s">
        <v>29</v>
      </c>
      <c r="B3708" t="s">
        <v>30</v>
      </c>
      <c r="C3708" t="s">
        <v>4914</v>
      </c>
      <c r="D3708" t="s">
        <v>3799</v>
      </c>
      <c r="E3708">
        <v>90698.5215514123</v>
      </c>
      <c r="F3708">
        <v>32080.3200113557</v>
      </c>
      <c r="G3708">
        <v>30276.8697333997</v>
      </c>
      <c r="H3708">
        <v>20228.1775861376</v>
      </c>
      <c r="I3708">
        <v>153055.71</v>
      </c>
      <c r="J3708">
        <v>132827.53</v>
      </c>
      <c r="K3708" s="1"/>
      <c r="L3708" s="1"/>
      <c r="M3708" s="1"/>
      <c r="N3708" s="1"/>
    </row>
    <row r="3709" ht="15.75" customHeight="1">
      <c r="A3709" t="s">
        <v>53</v>
      </c>
      <c r="B3709" t="s">
        <v>18</v>
      </c>
      <c r="C3709" t="s">
        <v>4915</v>
      </c>
      <c r="D3709" t="s">
        <v>3800</v>
      </c>
      <c r="E3709">
        <v>90709.4045213185</v>
      </c>
      <c r="F3709">
        <v>32084.9347296831</v>
      </c>
      <c r="G3709">
        <v>30284.5497368292</v>
      </c>
      <c r="H3709">
        <v>20231.5751368249</v>
      </c>
      <c r="I3709">
        <v>153078.89</v>
      </c>
      <c r="J3709">
        <v>132847.31</v>
      </c>
      <c r="K3709" s="1"/>
      <c r="L3709" s="1"/>
      <c r="M3709" s="1"/>
      <c r="N3709" s="1"/>
    </row>
    <row r="3710" ht="15.75" customHeight="1">
      <c r="A3710" t="s">
        <v>51</v>
      </c>
      <c r="B3710" t="s">
        <v>30</v>
      </c>
      <c r="C3710" t="s">
        <v>4911</v>
      </c>
      <c r="D3710" t="s">
        <v>3801</v>
      </c>
      <c r="E3710">
        <v>90720.2874912247</v>
      </c>
      <c r="F3710">
        <v>32089.5494480105</v>
      </c>
      <c r="G3710">
        <v>30292.2297402587</v>
      </c>
      <c r="H3710">
        <v>20234.9726875122</v>
      </c>
      <c r="I3710">
        <v>153102.07</v>
      </c>
      <c r="J3710">
        <v>132867.1</v>
      </c>
      <c r="K3710" s="1"/>
      <c r="L3710" s="1"/>
      <c r="M3710" s="1"/>
      <c r="N3710" s="1"/>
    </row>
    <row r="3711" ht="15.75" customHeight="1">
      <c r="A3711" t="s">
        <v>29</v>
      </c>
      <c r="B3711" t="s">
        <v>14</v>
      </c>
      <c r="C3711" t="s">
        <v>4910</v>
      </c>
      <c r="D3711" t="s">
        <v>3802</v>
      </c>
      <c r="E3711">
        <v>90731.1704611309</v>
      </c>
      <c r="F3711">
        <v>32094.164166338</v>
      </c>
      <c r="G3711">
        <v>30299.9097436882</v>
      </c>
      <c r="H3711">
        <v>20238.3702381995</v>
      </c>
      <c r="I3711">
        <v>153125.24</v>
      </c>
      <c r="J3711">
        <v>132886.87</v>
      </c>
      <c r="K3711" s="1"/>
      <c r="L3711" s="1"/>
      <c r="M3711" s="1"/>
      <c r="N3711" s="1"/>
    </row>
    <row r="3712" ht="15.75" customHeight="1">
      <c r="A3712" t="s">
        <v>36</v>
      </c>
      <c r="B3712" t="s">
        <v>54</v>
      </c>
      <c r="C3712" t="s">
        <v>4914</v>
      </c>
      <c r="D3712" t="s">
        <v>3803</v>
      </c>
      <c r="E3712">
        <v>90742.0534310371</v>
      </c>
      <c r="F3712">
        <v>32098.7788846654</v>
      </c>
      <c r="G3712">
        <v>30307.5897471177</v>
      </c>
      <c r="H3712">
        <v>20241.7677888868</v>
      </c>
      <c r="I3712">
        <v>153148.42</v>
      </c>
      <c r="J3712">
        <v>132906.65</v>
      </c>
      <c r="K3712" s="1"/>
      <c r="L3712" s="1"/>
      <c r="M3712" s="1"/>
      <c r="N3712" s="1"/>
    </row>
    <row r="3713" ht="15.75" customHeight="1">
      <c r="A3713" t="s">
        <v>29</v>
      </c>
      <c r="B3713" t="s">
        <v>26</v>
      </c>
      <c r="C3713" t="s">
        <v>4910</v>
      </c>
      <c r="D3713" t="s">
        <v>3804</v>
      </c>
      <c r="E3713">
        <v>90752.9364009433</v>
      </c>
      <c r="F3713">
        <v>32103.3936029928</v>
      </c>
      <c r="G3713">
        <v>30315.2697505472</v>
      </c>
      <c r="H3713">
        <v>20245.165339574</v>
      </c>
      <c r="I3713">
        <v>153171.6</v>
      </c>
      <c r="J3713">
        <v>132926.43</v>
      </c>
      <c r="K3713" s="1"/>
      <c r="L3713" s="1"/>
      <c r="M3713" s="1"/>
      <c r="N3713" s="1"/>
    </row>
    <row r="3714" ht="15.75" customHeight="1">
      <c r="A3714" t="s">
        <v>53</v>
      </c>
      <c r="B3714" t="s">
        <v>26</v>
      </c>
      <c r="C3714" t="s">
        <v>4912</v>
      </c>
      <c r="D3714" t="s">
        <v>3805</v>
      </c>
      <c r="E3714">
        <v>90763.8193708495</v>
      </c>
      <c r="F3714">
        <v>32108.0083213202</v>
      </c>
      <c r="G3714">
        <v>30322.9497539767</v>
      </c>
      <c r="H3714">
        <v>20248.5628902613</v>
      </c>
      <c r="I3714">
        <v>153194.78</v>
      </c>
      <c r="J3714">
        <v>132946.22</v>
      </c>
      <c r="K3714" s="1"/>
      <c r="L3714" s="1"/>
      <c r="M3714" s="1"/>
      <c r="N3714" s="1"/>
    </row>
    <row r="3715" ht="15.75" customHeight="1">
      <c r="A3715" t="s">
        <v>17</v>
      </c>
      <c r="B3715" t="s">
        <v>33</v>
      </c>
      <c r="C3715" t="s">
        <v>4917</v>
      </c>
      <c r="D3715" t="s">
        <v>3806</v>
      </c>
      <c r="E3715">
        <v>90785.5853106619</v>
      </c>
      <c r="F3715">
        <v>32117.2377579751</v>
      </c>
      <c r="G3715">
        <v>30338.3097608357</v>
      </c>
      <c r="H3715">
        <v>20255.3579916359</v>
      </c>
      <c r="I3715">
        <v>153241.13</v>
      </c>
      <c r="J3715">
        <v>132985.77</v>
      </c>
      <c r="K3715" s="1"/>
      <c r="L3715" s="1"/>
      <c r="M3715" s="1"/>
      <c r="N3715" s="1"/>
    </row>
    <row r="3716" ht="15.75" customHeight="1">
      <c r="A3716" t="s">
        <v>53</v>
      </c>
      <c r="B3716" t="s">
        <v>30</v>
      </c>
      <c r="C3716" t="s">
        <v>4915</v>
      </c>
      <c r="D3716" t="s">
        <v>3807</v>
      </c>
      <c r="E3716">
        <v>90807.3512504743</v>
      </c>
      <c r="F3716">
        <v>32126.4671946299</v>
      </c>
      <c r="G3716">
        <v>30353.6697676947</v>
      </c>
      <c r="H3716">
        <v>20262.1530930105</v>
      </c>
      <c r="I3716">
        <v>153287.49</v>
      </c>
      <c r="J3716">
        <v>133025.34</v>
      </c>
      <c r="K3716" s="1"/>
      <c r="L3716" s="1"/>
      <c r="M3716" s="1"/>
      <c r="N3716" s="1"/>
    </row>
    <row r="3717" ht="15.75" customHeight="1">
      <c r="A3717" t="s">
        <v>13</v>
      </c>
      <c r="B3717" t="s">
        <v>33</v>
      </c>
      <c r="C3717" t="s">
        <v>4907</v>
      </c>
      <c r="D3717" t="s">
        <v>3808</v>
      </c>
      <c r="E3717">
        <v>90818.2342203805</v>
      </c>
      <c r="F3717">
        <v>32131.0819129573</v>
      </c>
      <c r="G3717">
        <v>30361.3497711242</v>
      </c>
      <c r="H3717">
        <v>20265.5506436978</v>
      </c>
      <c r="I3717">
        <v>153310.67</v>
      </c>
      <c r="J3717">
        <v>133045.12</v>
      </c>
      <c r="K3717" s="1"/>
      <c r="L3717" s="1"/>
      <c r="M3717" s="1"/>
      <c r="N3717" s="1"/>
    </row>
    <row r="3718" ht="15.75" customHeight="1">
      <c r="A3718" t="s">
        <v>29</v>
      </c>
      <c r="B3718" t="s">
        <v>37</v>
      </c>
      <c r="C3718" t="s">
        <v>4910</v>
      </c>
      <c r="D3718" t="s">
        <v>3809</v>
      </c>
      <c r="E3718">
        <v>90829.1171902866</v>
      </c>
      <c r="F3718">
        <v>32135.6966312848</v>
      </c>
      <c r="G3718">
        <v>30369.0297745537</v>
      </c>
      <c r="H3718">
        <v>20268.9481943851</v>
      </c>
      <c r="I3718">
        <v>153333.84</v>
      </c>
      <c r="J3718">
        <v>133064.89</v>
      </c>
      <c r="K3718" s="1"/>
      <c r="L3718" s="1"/>
      <c r="M3718" s="1"/>
      <c r="N3718" s="1"/>
    </row>
    <row r="3719" ht="15.75" customHeight="1">
      <c r="A3719" t="s">
        <v>36</v>
      </c>
      <c r="B3719" t="s">
        <v>33</v>
      </c>
      <c r="C3719" t="s">
        <v>4905</v>
      </c>
      <c r="D3719" t="s">
        <v>3810</v>
      </c>
      <c r="E3719">
        <v>90840.0001601928</v>
      </c>
      <c r="F3719">
        <v>32140.3113496122</v>
      </c>
      <c r="G3719">
        <v>30376.7097779832</v>
      </c>
      <c r="H3719">
        <v>20272.3457450723</v>
      </c>
      <c r="I3719">
        <v>153357.02</v>
      </c>
      <c r="J3719">
        <v>133084.67</v>
      </c>
      <c r="K3719" s="1"/>
      <c r="L3719" s="1"/>
      <c r="M3719" s="1"/>
      <c r="N3719" s="1"/>
    </row>
    <row r="3720" ht="15.75" customHeight="1">
      <c r="A3720" t="s">
        <v>29</v>
      </c>
      <c r="B3720" t="s">
        <v>30</v>
      </c>
      <c r="C3720" t="s">
        <v>4905</v>
      </c>
      <c r="D3720" t="s">
        <v>3811</v>
      </c>
      <c r="E3720">
        <v>90850.883130099</v>
      </c>
      <c r="F3720">
        <v>32144.9260679396</v>
      </c>
      <c r="G3720">
        <v>30384.3897814127</v>
      </c>
      <c r="H3720">
        <v>20275.7432957596</v>
      </c>
      <c r="I3720">
        <v>153380.2</v>
      </c>
      <c r="J3720">
        <v>133104.46</v>
      </c>
      <c r="K3720" s="1"/>
      <c r="L3720" s="1"/>
      <c r="M3720" s="1"/>
      <c r="N3720" s="1"/>
    </row>
    <row r="3721" ht="15.75" customHeight="1">
      <c r="A3721" t="s">
        <v>13</v>
      </c>
      <c r="B3721" t="s">
        <v>26</v>
      </c>
      <c r="C3721" t="s">
        <v>4917</v>
      </c>
      <c r="D3721" t="s">
        <v>3812</v>
      </c>
      <c r="E3721">
        <v>90861.7661000052</v>
      </c>
      <c r="F3721">
        <v>32149.540786267</v>
      </c>
      <c r="G3721">
        <v>30392.0697848422</v>
      </c>
      <c r="H3721">
        <v>20279.1408464469</v>
      </c>
      <c r="I3721">
        <v>153403.38</v>
      </c>
      <c r="J3721">
        <v>133124.24</v>
      </c>
      <c r="K3721" s="1"/>
      <c r="L3721" s="1"/>
      <c r="M3721" s="1"/>
      <c r="N3721" s="1"/>
    </row>
    <row r="3722" ht="15.75" customHeight="1">
      <c r="A3722" t="s">
        <v>25</v>
      </c>
      <c r="B3722" t="s">
        <v>37</v>
      </c>
      <c r="C3722" t="s">
        <v>4911</v>
      </c>
      <c r="D3722" t="s">
        <v>3813</v>
      </c>
      <c r="E3722">
        <v>90872.6490699114</v>
      </c>
      <c r="F3722">
        <v>32154.1555045944</v>
      </c>
      <c r="G3722">
        <v>30399.7497882717</v>
      </c>
      <c r="H3722">
        <v>20282.5383971342</v>
      </c>
      <c r="I3722">
        <v>153426.55</v>
      </c>
      <c r="J3722">
        <v>133144.01</v>
      </c>
      <c r="K3722" s="1"/>
      <c r="L3722" s="1"/>
      <c r="M3722" s="1"/>
      <c r="N3722" s="1"/>
    </row>
    <row r="3723" ht="15.75" customHeight="1">
      <c r="A3723" t="s">
        <v>36</v>
      </c>
      <c r="B3723" t="s">
        <v>14</v>
      </c>
      <c r="C3723" t="s">
        <v>4915</v>
      </c>
      <c r="D3723" t="s">
        <v>3814</v>
      </c>
      <c r="E3723">
        <v>90883.5320398176</v>
      </c>
      <c r="F3723">
        <v>32158.7702229219</v>
      </c>
      <c r="G3723">
        <v>30407.4297917012</v>
      </c>
      <c r="H3723">
        <v>20285.9359478215</v>
      </c>
      <c r="I3723">
        <v>153449.73</v>
      </c>
      <c r="J3723">
        <v>133163.79</v>
      </c>
      <c r="K3723" s="1"/>
      <c r="L3723" s="1"/>
      <c r="M3723" s="1"/>
      <c r="N3723" s="1"/>
    </row>
    <row r="3724" ht="15.75" customHeight="1">
      <c r="A3724" t="s">
        <v>36</v>
      </c>
      <c r="B3724" t="s">
        <v>14</v>
      </c>
      <c r="C3724" t="s">
        <v>4914</v>
      </c>
      <c r="D3724" t="s">
        <v>3815</v>
      </c>
      <c r="E3724">
        <v>90894.4150097238</v>
      </c>
      <c r="F3724">
        <v>32163.3849412493</v>
      </c>
      <c r="G3724">
        <v>30415.1097951307</v>
      </c>
      <c r="H3724">
        <v>20289.3334985088</v>
      </c>
      <c r="I3724">
        <v>153472.91</v>
      </c>
      <c r="J3724">
        <v>133183.58</v>
      </c>
      <c r="K3724" s="1"/>
      <c r="L3724" s="1"/>
      <c r="M3724" s="1"/>
      <c r="N3724" s="1"/>
    </row>
    <row r="3725" ht="15.75" customHeight="1">
      <c r="A3725" t="s">
        <v>29</v>
      </c>
      <c r="B3725" t="s">
        <v>26</v>
      </c>
      <c r="C3725" t="s">
        <v>4915</v>
      </c>
      <c r="D3725" t="s">
        <v>3816</v>
      </c>
      <c r="E3725">
        <v>90905.29797963</v>
      </c>
      <c r="F3725">
        <v>32167.9996595767</v>
      </c>
      <c r="G3725">
        <v>30422.7897985602</v>
      </c>
      <c r="H3725">
        <v>20292.7310491961</v>
      </c>
      <c r="I3725">
        <v>153496.09</v>
      </c>
      <c r="J3725">
        <v>133203.36</v>
      </c>
      <c r="K3725" s="1"/>
      <c r="L3725" s="1"/>
      <c r="M3725" s="1"/>
      <c r="N3725" s="1"/>
    </row>
    <row r="3726" ht="15.75" customHeight="1">
      <c r="A3726" t="s">
        <v>13</v>
      </c>
      <c r="B3726" t="s">
        <v>26</v>
      </c>
      <c r="C3726" t="s">
        <v>4905</v>
      </c>
      <c r="D3726" t="s">
        <v>3817</v>
      </c>
      <c r="E3726">
        <v>90916.1809495362</v>
      </c>
      <c r="F3726">
        <v>32172.6143779041</v>
      </c>
      <c r="G3726">
        <v>30430.4698019897</v>
      </c>
      <c r="H3726">
        <v>20296.1285998834</v>
      </c>
      <c r="I3726">
        <v>153519.27</v>
      </c>
      <c r="J3726">
        <v>133223.14</v>
      </c>
      <c r="K3726" s="1"/>
      <c r="L3726" s="1"/>
      <c r="M3726" s="1"/>
      <c r="N3726" s="1"/>
    </row>
    <row r="3727" ht="15.75" customHeight="1">
      <c r="A3727" t="s">
        <v>51</v>
      </c>
      <c r="B3727" t="s">
        <v>54</v>
      </c>
      <c r="C3727" t="s">
        <v>4909</v>
      </c>
      <c r="D3727" t="s">
        <v>3818</v>
      </c>
      <c r="E3727">
        <v>90927.0639194424</v>
      </c>
      <c r="F3727">
        <v>32177.2290962316</v>
      </c>
      <c r="G3727">
        <v>30438.1498054192</v>
      </c>
      <c r="H3727">
        <v>20299.5261505706</v>
      </c>
      <c r="I3727">
        <v>153542.44</v>
      </c>
      <c r="J3727">
        <v>133242.91</v>
      </c>
      <c r="K3727" s="1"/>
      <c r="L3727" s="1"/>
      <c r="M3727" s="1"/>
      <c r="N3727" s="1"/>
    </row>
    <row r="3728" ht="15.75" customHeight="1">
      <c r="A3728" t="s">
        <v>17</v>
      </c>
      <c r="B3728" t="s">
        <v>18</v>
      </c>
      <c r="C3728" t="s">
        <v>4912</v>
      </c>
      <c r="D3728" t="s">
        <v>3819</v>
      </c>
      <c r="E3728">
        <v>90937.9468893486</v>
      </c>
      <c r="F3728">
        <v>32181.843814559</v>
      </c>
      <c r="G3728">
        <v>30445.8298088487</v>
      </c>
      <c r="H3728">
        <v>20302.9237012579</v>
      </c>
      <c r="I3728">
        <v>153565.62</v>
      </c>
      <c r="J3728">
        <v>133262.7</v>
      </c>
      <c r="K3728" s="1"/>
      <c r="L3728" s="1"/>
      <c r="M3728" s="1"/>
      <c r="N3728" s="1"/>
    </row>
    <row r="3729" ht="15.75" customHeight="1">
      <c r="A3729" t="s">
        <v>51</v>
      </c>
      <c r="B3729" t="s">
        <v>37</v>
      </c>
      <c r="C3729" t="s">
        <v>4911</v>
      </c>
      <c r="D3729" t="s">
        <v>3820</v>
      </c>
      <c r="E3729">
        <v>90948.8298592548</v>
      </c>
      <c r="F3729">
        <v>32186.4585328864</v>
      </c>
      <c r="G3729">
        <v>30453.5098122782</v>
      </c>
      <c r="H3729">
        <v>20306.3212519452</v>
      </c>
      <c r="I3729">
        <v>153588.8</v>
      </c>
      <c r="J3729">
        <v>133282.48</v>
      </c>
      <c r="K3729" s="1"/>
      <c r="L3729" s="1"/>
      <c r="M3729" s="1"/>
      <c r="N3729" s="1"/>
    </row>
    <row r="3730" ht="15.75" customHeight="1">
      <c r="A3730" t="s">
        <v>13</v>
      </c>
      <c r="B3730" t="s">
        <v>26</v>
      </c>
      <c r="C3730" t="s">
        <v>4911</v>
      </c>
      <c r="D3730" t="s">
        <v>3821</v>
      </c>
      <c r="E3730">
        <v>90959.712829161</v>
      </c>
      <c r="F3730">
        <v>32191.0732512138</v>
      </c>
      <c r="G3730">
        <v>30461.1898157077</v>
      </c>
      <c r="H3730">
        <v>20309.7188026325</v>
      </c>
      <c r="I3730">
        <v>153611.98</v>
      </c>
      <c r="J3730">
        <v>133302.26</v>
      </c>
      <c r="K3730" s="1"/>
      <c r="L3730" s="1"/>
      <c r="M3730" s="1"/>
      <c r="N3730" s="1"/>
    </row>
    <row r="3731" ht="15.75" customHeight="1">
      <c r="A3731" t="s">
        <v>51</v>
      </c>
      <c r="B3731" t="s">
        <v>30</v>
      </c>
      <c r="C3731" t="s">
        <v>4915</v>
      </c>
      <c r="D3731" t="s">
        <v>3822</v>
      </c>
      <c r="E3731">
        <v>71902.66457289942</v>
      </c>
      <c r="F3731">
        <v>32195.6879695412</v>
      </c>
      <c r="G3731">
        <v>30468.8698191372</v>
      </c>
      <c r="H3731">
        <v>20313.1163533198</v>
      </c>
      <c r="I3731">
        <v>134567.22</v>
      </c>
      <c r="J3731">
        <v>114254.1</v>
      </c>
      <c r="K3731" s="1"/>
      <c r="L3731" s="1"/>
      <c r="M3731" s="1"/>
      <c r="N3731" s="1"/>
    </row>
    <row r="3732" ht="15.75" customHeight="1">
      <c r="A3732" t="s">
        <v>51</v>
      </c>
      <c r="B3732" t="s">
        <v>18</v>
      </c>
      <c r="C3732" t="s">
        <v>4910</v>
      </c>
      <c r="D3732" t="s">
        <v>3823</v>
      </c>
      <c r="E3732">
        <v>90981.4787689734</v>
      </c>
      <c r="F3732">
        <v>32200.3026878687</v>
      </c>
      <c r="G3732">
        <v>30476.5498225667</v>
      </c>
      <c r="H3732">
        <v>20316.5139040071</v>
      </c>
      <c r="I3732">
        <v>153658.33</v>
      </c>
      <c r="J3732">
        <v>133341.82</v>
      </c>
      <c r="K3732" s="1"/>
      <c r="L3732" s="1"/>
      <c r="M3732" s="1"/>
      <c r="N3732" s="1"/>
    </row>
    <row r="3733" ht="15.75" customHeight="1">
      <c r="A3733" t="s">
        <v>36</v>
      </c>
      <c r="B3733" t="s">
        <v>33</v>
      </c>
      <c r="C3733" t="s">
        <v>4911</v>
      </c>
      <c r="D3733" t="s">
        <v>3824</v>
      </c>
      <c r="E3733">
        <v>90992.3617388795</v>
      </c>
      <c r="F3733">
        <v>32204.9174061961</v>
      </c>
      <c r="G3733">
        <v>30484.2298259962</v>
      </c>
      <c r="H3733">
        <v>20319.9114546944</v>
      </c>
      <c r="I3733">
        <v>153681.51</v>
      </c>
      <c r="J3733">
        <v>133361.6</v>
      </c>
      <c r="K3733" s="1"/>
      <c r="L3733" s="1"/>
      <c r="M3733" s="1"/>
      <c r="N3733" s="1"/>
    </row>
    <row r="3734" ht="15.75" customHeight="1">
      <c r="A3734" t="s">
        <v>29</v>
      </c>
      <c r="B3734" t="s">
        <v>18</v>
      </c>
      <c r="C3734" t="s">
        <v>4916</v>
      </c>
      <c r="D3734" t="s">
        <v>3825</v>
      </c>
      <c r="E3734">
        <v>91003.2447087857</v>
      </c>
      <c r="F3734">
        <v>32209.5321245235</v>
      </c>
      <c r="G3734">
        <v>30491.9098294257</v>
      </c>
      <c r="H3734">
        <v>20323.3090053816</v>
      </c>
      <c r="I3734">
        <v>153704.69</v>
      </c>
      <c r="J3734">
        <v>133381.38</v>
      </c>
      <c r="K3734" s="1"/>
      <c r="L3734" s="1"/>
      <c r="M3734" s="1"/>
      <c r="N3734" s="1"/>
    </row>
    <row r="3735" ht="15.75" customHeight="1">
      <c r="A3735" t="s">
        <v>29</v>
      </c>
      <c r="B3735" t="s">
        <v>30</v>
      </c>
      <c r="C3735" t="s">
        <v>4909</v>
      </c>
      <c r="D3735" t="s">
        <v>3826</v>
      </c>
      <c r="E3735">
        <v>91014.1276786919</v>
      </c>
      <c r="F3735">
        <v>32214.1468428509</v>
      </c>
      <c r="G3735">
        <v>30499.5898328552</v>
      </c>
      <c r="H3735">
        <v>20326.7065560689</v>
      </c>
      <c r="I3735">
        <v>153727.86</v>
      </c>
      <c r="J3735">
        <v>133401.15</v>
      </c>
      <c r="K3735" s="1"/>
      <c r="L3735" s="1"/>
      <c r="M3735" s="1"/>
      <c r="N3735" s="1"/>
    </row>
    <row r="3736" ht="15.75" customHeight="1">
      <c r="A3736" t="s">
        <v>51</v>
      </c>
      <c r="B3736" t="s">
        <v>37</v>
      </c>
      <c r="C3736" t="s">
        <v>4916</v>
      </c>
      <c r="D3736" t="s">
        <v>3827</v>
      </c>
      <c r="E3736">
        <v>91025.0106485981</v>
      </c>
      <c r="F3736">
        <v>32218.7615611784</v>
      </c>
      <c r="G3736">
        <v>30507.2698362847</v>
      </c>
      <c r="H3736">
        <v>20330.1041067562</v>
      </c>
      <c r="I3736">
        <v>153751.04</v>
      </c>
      <c r="J3736">
        <v>133420.94</v>
      </c>
      <c r="K3736" s="1"/>
      <c r="L3736" s="1"/>
      <c r="M3736" s="1"/>
      <c r="N3736" s="1"/>
    </row>
    <row r="3737" ht="15.75" customHeight="1">
      <c r="A3737" t="s">
        <v>53</v>
      </c>
      <c r="B3737" t="s">
        <v>33</v>
      </c>
      <c r="C3737" t="s">
        <v>4910</v>
      </c>
      <c r="D3737" t="s">
        <v>3828</v>
      </c>
      <c r="E3737">
        <v>91035.8936185043</v>
      </c>
      <c r="F3737">
        <v>32223.3762795058</v>
      </c>
      <c r="G3737">
        <v>30514.9498397142</v>
      </c>
      <c r="H3737">
        <v>20333.5016574435</v>
      </c>
      <c r="I3737">
        <v>153774.22</v>
      </c>
      <c r="J3737">
        <v>133440.72</v>
      </c>
      <c r="K3737" s="1"/>
      <c r="L3737" s="1"/>
      <c r="M3737" s="1"/>
      <c r="N3737" s="1"/>
    </row>
    <row r="3738" ht="15.75" customHeight="1">
      <c r="A3738" t="s">
        <v>29</v>
      </c>
      <c r="B3738" t="s">
        <v>33</v>
      </c>
      <c r="C3738" t="s">
        <v>4910</v>
      </c>
      <c r="D3738" t="s">
        <v>3829</v>
      </c>
      <c r="E3738">
        <v>91046.7765884105</v>
      </c>
      <c r="F3738">
        <v>32227.9909978332</v>
      </c>
      <c r="G3738">
        <v>30522.6298431437</v>
      </c>
      <c r="H3738">
        <v>20336.8992081308</v>
      </c>
      <c r="I3738">
        <v>153797.4</v>
      </c>
      <c r="J3738">
        <v>133460.5</v>
      </c>
      <c r="K3738" s="1"/>
      <c r="L3738" s="1"/>
      <c r="M3738" s="1"/>
      <c r="N3738" s="1"/>
    </row>
    <row r="3739" ht="15.75" customHeight="1">
      <c r="A3739" t="s">
        <v>17</v>
      </c>
      <c r="B3739" t="s">
        <v>54</v>
      </c>
      <c r="C3739" t="s">
        <v>4914</v>
      </c>
      <c r="D3739" t="s">
        <v>3830</v>
      </c>
      <c r="E3739">
        <v>91057.6595583167</v>
      </c>
      <c r="F3739">
        <v>32232.6057161606</v>
      </c>
      <c r="G3739">
        <v>30530.3098465731</v>
      </c>
      <c r="H3739">
        <v>14735.51589897765</v>
      </c>
      <c r="I3739">
        <v>153820.58</v>
      </c>
      <c r="J3739">
        <v>139085.06</v>
      </c>
      <c r="K3739" s="1"/>
      <c r="L3739" s="1"/>
      <c r="M3739" s="1"/>
      <c r="N3739" s="1"/>
    </row>
    <row r="3740" ht="15.75" customHeight="1">
      <c r="A3740" t="s">
        <v>36</v>
      </c>
      <c r="B3740" t="s">
        <v>33</v>
      </c>
      <c r="C3740" t="s">
        <v>4905</v>
      </c>
      <c r="D3740" t="s">
        <v>3831</v>
      </c>
      <c r="E3740">
        <v>91068.5425282229</v>
      </c>
      <c r="F3740">
        <v>32237.220434488</v>
      </c>
      <c r="G3740">
        <v>30537.9898500026</v>
      </c>
      <c r="H3740">
        <v>20343.6943095054</v>
      </c>
      <c r="I3740">
        <v>153843.75</v>
      </c>
      <c r="J3740">
        <v>133500.06</v>
      </c>
      <c r="K3740" s="1"/>
      <c r="L3740" s="1"/>
      <c r="M3740" s="1"/>
      <c r="N3740" s="1"/>
    </row>
    <row r="3741" ht="15.75" customHeight="1">
      <c r="A3741" t="s">
        <v>13</v>
      </c>
      <c r="B3741" t="s">
        <v>33</v>
      </c>
      <c r="C3741" t="s">
        <v>4915</v>
      </c>
      <c r="D3741" t="s">
        <v>3832</v>
      </c>
      <c r="E3741">
        <v>91079.4254981291</v>
      </c>
      <c r="F3741">
        <v>32241.8351528155</v>
      </c>
      <c r="G3741">
        <v>30545.6698534321</v>
      </c>
      <c r="H3741">
        <v>20347.0918601927</v>
      </c>
      <c r="I3741">
        <v>153866.93</v>
      </c>
      <c r="J3741">
        <v>133519.84</v>
      </c>
      <c r="K3741" s="1"/>
      <c r="L3741" s="1"/>
      <c r="M3741" s="1"/>
      <c r="N3741" s="1"/>
    </row>
    <row r="3742" ht="15.75" customHeight="1">
      <c r="A3742" t="s">
        <v>36</v>
      </c>
      <c r="B3742" t="s">
        <v>33</v>
      </c>
      <c r="C3742" t="s">
        <v>4911</v>
      </c>
      <c r="D3742" t="s">
        <v>3833</v>
      </c>
      <c r="E3742">
        <v>91090.3084680353</v>
      </c>
      <c r="F3742">
        <v>32246.4498711429</v>
      </c>
      <c r="G3742">
        <v>30553.3498568616</v>
      </c>
      <c r="H3742">
        <v>20350.4894108799</v>
      </c>
      <c r="I3742">
        <v>153890.11</v>
      </c>
      <c r="J3742">
        <v>133539.62</v>
      </c>
      <c r="K3742" s="1"/>
      <c r="L3742" s="1"/>
      <c r="M3742" s="1"/>
      <c r="N3742" s="1"/>
    </row>
    <row r="3743" ht="15.75" customHeight="1">
      <c r="A3743" t="s">
        <v>51</v>
      </c>
      <c r="B3743" t="s">
        <v>54</v>
      </c>
      <c r="C3743" t="s">
        <v>4908</v>
      </c>
      <c r="D3743" t="s">
        <v>3834</v>
      </c>
      <c r="E3743">
        <v>91101.1914379415</v>
      </c>
      <c r="F3743">
        <v>32251.0645894703</v>
      </c>
      <c r="G3743">
        <v>30561.0298602911</v>
      </c>
      <c r="H3743">
        <v>20353.8869615672</v>
      </c>
      <c r="I3743">
        <v>153913.29</v>
      </c>
      <c r="J3743">
        <v>133559.4</v>
      </c>
      <c r="K3743" s="1"/>
      <c r="L3743" s="1"/>
      <c r="M3743" s="1"/>
      <c r="N3743" s="1"/>
    </row>
    <row r="3744" ht="15.75" customHeight="1">
      <c r="A3744" t="s">
        <v>17</v>
      </c>
      <c r="B3744" t="s">
        <v>30</v>
      </c>
      <c r="C3744" t="s">
        <v>4910</v>
      </c>
      <c r="D3744" t="s">
        <v>3835</v>
      </c>
      <c r="E3744">
        <v>91122.9573777539</v>
      </c>
      <c r="F3744">
        <v>32260.2940261252</v>
      </c>
      <c r="G3744">
        <v>30576.3898671501</v>
      </c>
      <c r="H3744">
        <v>20360.6820629418</v>
      </c>
      <c r="I3744">
        <v>153959.64</v>
      </c>
      <c r="J3744">
        <v>133598.96</v>
      </c>
      <c r="K3744" s="1"/>
      <c r="L3744" s="1"/>
      <c r="M3744" s="1"/>
      <c r="N3744" s="1"/>
    </row>
    <row r="3745" ht="15.75" customHeight="1">
      <c r="A3745" t="s">
        <v>17</v>
      </c>
      <c r="B3745" t="s">
        <v>14</v>
      </c>
      <c r="C3745" t="s">
        <v>4908</v>
      </c>
      <c r="D3745" t="s">
        <v>3836</v>
      </c>
      <c r="E3745">
        <v>91133.8403476601</v>
      </c>
      <c r="F3745">
        <v>32264.9087444526</v>
      </c>
      <c r="G3745">
        <v>30584.0698705796</v>
      </c>
      <c r="H3745">
        <v>20364.0796136291</v>
      </c>
      <c r="I3745">
        <v>153982.82</v>
      </c>
      <c r="J3745">
        <v>133618.74</v>
      </c>
      <c r="K3745" s="1"/>
      <c r="L3745" s="1"/>
      <c r="M3745" s="1"/>
      <c r="N3745" s="1"/>
    </row>
    <row r="3746" ht="15.75" customHeight="1">
      <c r="A3746" t="s">
        <v>25</v>
      </c>
      <c r="B3746" t="s">
        <v>14</v>
      </c>
      <c r="C3746" t="s">
        <v>4917</v>
      </c>
      <c r="D3746" t="s">
        <v>3837</v>
      </c>
      <c r="E3746">
        <v>91144.7233175662</v>
      </c>
      <c r="F3746">
        <v>32269.52346278</v>
      </c>
      <c r="G3746">
        <v>30591.7498740091</v>
      </c>
      <c r="H3746">
        <v>20367.4771643164</v>
      </c>
      <c r="I3746">
        <v>154006.0</v>
      </c>
      <c r="J3746">
        <v>133638.52</v>
      </c>
      <c r="K3746" s="1"/>
      <c r="L3746" s="1"/>
      <c r="M3746" s="1"/>
      <c r="N3746" s="1"/>
    </row>
    <row r="3747" ht="15.75" customHeight="1">
      <c r="A3747" t="s">
        <v>25</v>
      </c>
      <c r="B3747" t="s">
        <v>26</v>
      </c>
      <c r="C3747" t="s">
        <v>4911</v>
      </c>
      <c r="D3747" t="s">
        <v>3838</v>
      </c>
      <c r="E3747">
        <v>91155.6062874724</v>
      </c>
      <c r="F3747">
        <v>32274.1381811074</v>
      </c>
      <c r="G3747">
        <v>30599.4298774386</v>
      </c>
      <c r="H3747">
        <v>20370.8747150037</v>
      </c>
      <c r="I3747">
        <v>154029.17</v>
      </c>
      <c r="J3747">
        <v>133658.3</v>
      </c>
      <c r="K3747" s="1"/>
      <c r="L3747" s="1"/>
      <c r="M3747" s="1"/>
      <c r="N3747" s="1"/>
    </row>
    <row r="3748" ht="15.75" customHeight="1">
      <c r="A3748" t="s">
        <v>36</v>
      </c>
      <c r="B3748" t="s">
        <v>30</v>
      </c>
      <c r="C3748" t="s">
        <v>4907</v>
      </c>
      <c r="D3748" t="s">
        <v>3839</v>
      </c>
      <c r="E3748">
        <v>91166.4892573786</v>
      </c>
      <c r="F3748">
        <v>32278.7528994348</v>
      </c>
      <c r="G3748">
        <v>30607.1098808681</v>
      </c>
      <c r="H3748">
        <v>20374.272265691</v>
      </c>
      <c r="I3748">
        <v>154052.35</v>
      </c>
      <c r="J3748">
        <v>133678.08</v>
      </c>
      <c r="K3748" s="1"/>
      <c r="L3748" s="1"/>
      <c r="M3748" s="1"/>
      <c r="N3748" s="1"/>
    </row>
    <row r="3749" ht="15.75" customHeight="1">
      <c r="A3749" t="s">
        <v>51</v>
      </c>
      <c r="B3749" t="s">
        <v>37</v>
      </c>
      <c r="C3749" t="s">
        <v>4915</v>
      </c>
      <c r="D3749" t="s">
        <v>3840</v>
      </c>
      <c r="E3749">
        <v>91177.3722272848</v>
      </c>
      <c r="F3749">
        <v>32283.3676177623</v>
      </c>
      <c r="G3749">
        <v>30614.7898842976</v>
      </c>
      <c r="H3749">
        <v>20377.6698163782</v>
      </c>
      <c r="I3749">
        <v>154075.53</v>
      </c>
      <c r="J3749">
        <v>133697.86</v>
      </c>
      <c r="K3749" s="1"/>
      <c r="L3749" s="1"/>
      <c r="M3749" s="1"/>
      <c r="N3749" s="1"/>
    </row>
    <row r="3750" ht="15.75" customHeight="1">
      <c r="A3750" t="s">
        <v>13</v>
      </c>
      <c r="B3750" t="s">
        <v>18</v>
      </c>
      <c r="C3750" t="s">
        <v>4916</v>
      </c>
      <c r="D3750" t="s">
        <v>3841</v>
      </c>
      <c r="E3750">
        <v>91188.255197191</v>
      </c>
      <c r="F3750">
        <v>32287.9823360897</v>
      </c>
      <c r="G3750">
        <v>30622.4698877271</v>
      </c>
      <c r="H3750">
        <v>20381.0673670655</v>
      </c>
      <c r="I3750">
        <v>154098.71</v>
      </c>
      <c r="J3750">
        <v>133717.64</v>
      </c>
      <c r="K3750" s="1"/>
      <c r="L3750" s="1"/>
      <c r="M3750" s="1"/>
      <c r="N3750" s="1"/>
    </row>
    <row r="3751" ht="15.75" customHeight="1">
      <c r="A3751" t="s">
        <v>29</v>
      </c>
      <c r="B3751" t="s">
        <v>30</v>
      </c>
      <c r="C3751" t="s">
        <v>4912</v>
      </c>
      <c r="D3751" t="s">
        <v>3842</v>
      </c>
      <c r="E3751">
        <v>91199.1381670972</v>
      </c>
      <c r="F3751">
        <v>32292.5970544171</v>
      </c>
      <c r="G3751">
        <v>30630.1498911566</v>
      </c>
      <c r="H3751">
        <v>20384.4649177528</v>
      </c>
      <c r="I3751">
        <v>154121.89</v>
      </c>
      <c r="J3751">
        <v>133737.43</v>
      </c>
      <c r="K3751" s="1"/>
      <c r="L3751" s="1"/>
      <c r="M3751" s="1"/>
      <c r="N3751" s="1"/>
    </row>
    <row r="3752" ht="15.75" customHeight="1">
      <c r="A3752" t="s">
        <v>53</v>
      </c>
      <c r="B3752" t="s">
        <v>54</v>
      </c>
      <c r="C3752" t="s">
        <v>4915</v>
      </c>
      <c r="D3752" t="s">
        <v>3843</v>
      </c>
      <c r="E3752">
        <v>91210.0211370034</v>
      </c>
      <c r="F3752">
        <v>32297.2117727445</v>
      </c>
      <c r="G3752">
        <v>30637.8298945861</v>
      </c>
      <c r="H3752">
        <v>20387.8624684401</v>
      </c>
      <c r="I3752">
        <v>154145.06</v>
      </c>
      <c r="J3752">
        <v>133757.2</v>
      </c>
      <c r="K3752" s="1"/>
      <c r="L3752" s="1"/>
      <c r="M3752" s="1"/>
      <c r="N3752" s="1"/>
    </row>
    <row r="3753" ht="15.75" customHeight="1">
      <c r="A3753" t="s">
        <v>36</v>
      </c>
      <c r="B3753" t="s">
        <v>54</v>
      </c>
      <c r="C3753" t="s">
        <v>4915</v>
      </c>
      <c r="D3753" t="s">
        <v>3844</v>
      </c>
      <c r="E3753">
        <v>91220.9041069096</v>
      </c>
      <c r="F3753">
        <v>32301.826491072</v>
      </c>
      <c r="G3753">
        <v>30645.5098980156</v>
      </c>
      <c r="H3753">
        <v>20391.2600191274</v>
      </c>
      <c r="I3753">
        <v>154168.24</v>
      </c>
      <c r="J3753">
        <v>133776.98</v>
      </c>
      <c r="K3753" s="1"/>
      <c r="L3753" s="1"/>
      <c r="M3753" s="1"/>
      <c r="N3753" s="1"/>
    </row>
    <row r="3754" ht="15.75" customHeight="1">
      <c r="A3754" t="s">
        <v>17</v>
      </c>
      <c r="B3754" t="s">
        <v>33</v>
      </c>
      <c r="C3754" t="s">
        <v>4916</v>
      </c>
      <c r="D3754" t="s">
        <v>3845</v>
      </c>
      <c r="E3754">
        <v>91231.7870768158</v>
      </c>
      <c r="F3754">
        <v>32306.4412093994</v>
      </c>
      <c r="G3754">
        <v>30653.1899014451</v>
      </c>
      <c r="H3754">
        <v>20394.6575698147</v>
      </c>
      <c r="I3754">
        <v>154191.42</v>
      </c>
      <c r="J3754">
        <v>133796.76</v>
      </c>
      <c r="K3754" s="1"/>
      <c r="L3754" s="1"/>
      <c r="M3754" s="1"/>
      <c r="N3754" s="1"/>
    </row>
    <row r="3755" ht="15.75" customHeight="1">
      <c r="A3755" t="s">
        <v>53</v>
      </c>
      <c r="B3755" t="s">
        <v>33</v>
      </c>
      <c r="C3755" t="s">
        <v>4916</v>
      </c>
      <c r="D3755" t="s">
        <v>3846</v>
      </c>
      <c r="E3755">
        <v>72159.94658517206</v>
      </c>
      <c r="F3755">
        <v>32311.0559277268</v>
      </c>
      <c r="G3755">
        <v>30660.8699048746</v>
      </c>
      <c r="H3755">
        <v>20398.055120502</v>
      </c>
      <c r="I3755">
        <v>135131.87</v>
      </c>
      <c r="J3755">
        <v>114733.81</v>
      </c>
      <c r="K3755" s="1"/>
      <c r="L3755" s="1"/>
      <c r="M3755" s="1"/>
      <c r="N3755" s="1"/>
    </row>
    <row r="3756" ht="15.75" customHeight="1">
      <c r="A3756" t="s">
        <v>17</v>
      </c>
      <c r="B3756" t="s">
        <v>54</v>
      </c>
      <c r="C3756" t="s">
        <v>4910</v>
      </c>
      <c r="D3756" t="s">
        <v>3847</v>
      </c>
      <c r="E3756">
        <v>91253.5530166282</v>
      </c>
      <c r="F3756">
        <v>32315.6706460542</v>
      </c>
      <c r="G3756">
        <v>30668.5499083041</v>
      </c>
      <c r="H3756">
        <v>20401.4526711892</v>
      </c>
      <c r="I3756">
        <v>154237.77</v>
      </c>
      <c r="J3756">
        <v>133836.32</v>
      </c>
      <c r="K3756" s="1"/>
      <c r="L3756" s="1"/>
      <c r="M3756" s="1"/>
      <c r="N3756" s="1"/>
    </row>
    <row r="3757" ht="15.75" customHeight="1">
      <c r="A3757" t="s">
        <v>36</v>
      </c>
      <c r="B3757" t="s">
        <v>14</v>
      </c>
      <c r="C3757" t="s">
        <v>4913</v>
      </c>
      <c r="D3757" t="s">
        <v>3848</v>
      </c>
      <c r="E3757">
        <v>91264.4359865344</v>
      </c>
      <c r="F3757">
        <v>32320.2853643816</v>
      </c>
      <c r="G3757">
        <v>30676.2299117336</v>
      </c>
      <c r="H3757">
        <v>20404.8502218765</v>
      </c>
      <c r="I3757">
        <v>154260.95</v>
      </c>
      <c r="J3757">
        <v>133856.1</v>
      </c>
      <c r="K3757" s="1"/>
      <c r="L3757" s="1"/>
      <c r="M3757" s="1"/>
      <c r="N3757" s="1"/>
    </row>
    <row r="3758" ht="15.75" customHeight="1">
      <c r="A3758" t="s">
        <v>29</v>
      </c>
      <c r="B3758" t="s">
        <v>18</v>
      </c>
      <c r="C3758" t="s">
        <v>4907</v>
      </c>
      <c r="D3758" t="s">
        <v>3849</v>
      </c>
      <c r="E3758">
        <v>91275.3189564406</v>
      </c>
      <c r="F3758">
        <v>32324.9000827091</v>
      </c>
      <c r="G3758">
        <v>30683.9099151631</v>
      </c>
      <c r="H3758">
        <v>20408.2477725638</v>
      </c>
      <c r="I3758">
        <v>154284.13</v>
      </c>
      <c r="J3758">
        <v>133875.88</v>
      </c>
      <c r="K3758" s="1"/>
      <c r="L3758" s="1"/>
      <c r="M3758" s="1"/>
      <c r="N3758" s="1"/>
    </row>
    <row r="3759" ht="15.75" customHeight="1">
      <c r="A3759" t="s">
        <v>29</v>
      </c>
      <c r="B3759" t="s">
        <v>33</v>
      </c>
      <c r="C3759" t="s">
        <v>4916</v>
      </c>
      <c r="D3759" t="s">
        <v>3850</v>
      </c>
      <c r="E3759">
        <v>91286.2019263468</v>
      </c>
      <c r="F3759">
        <v>32329.5148010365</v>
      </c>
      <c r="G3759">
        <v>30691.5899185926</v>
      </c>
      <c r="H3759">
        <v>20411.6453232511</v>
      </c>
      <c r="I3759">
        <v>154307.31</v>
      </c>
      <c r="J3759">
        <v>133895.66</v>
      </c>
      <c r="K3759" s="1"/>
      <c r="L3759" s="1"/>
      <c r="M3759" s="1"/>
      <c r="N3759" s="1"/>
    </row>
    <row r="3760" ht="15.75" customHeight="1">
      <c r="A3760" t="s">
        <v>36</v>
      </c>
      <c r="B3760" t="s">
        <v>18</v>
      </c>
      <c r="C3760" t="s">
        <v>4917</v>
      </c>
      <c r="D3760" t="s">
        <v>3851</v>
      </c>
      <c r="E3760">
        <v>91297.084896253</v>
      </c>
      <c r="F3760">
        <v>32334.1295193639</v>
      </c>
      <c r="G3760">
        <v>30699.2699220221</v>
      </c>
      <c r="H3760">
        <v>20415.0428739384</v>
      </c>
      <c r="I3760">
        <v>154330.48</v>
      </c>
      <c r="J3760">
        <v>133915.44</v>
      </c>
      <c r="K3760" s="1"/>
      <c r="L3760" s="1"/>
      <c r="M3760" s="1"/>
      <c r="N3760" s="1"/>
    </row>
    <row r="3761" ht="15.75" customHeight="1">
      <c r="A3761" t="s">
        <v>53</v>
      </c>
      <c r="B3761" t="s">
        <v>30</v>
      </c>
      <c r="C3761" t="s">
        <v>4908</v>
      </c>
      <c r="D3761" t="s">
        <v>3852</v>
      </c>
      <c r="E3761">
        <v>91307.9678661592</v>
      </c>
      <c r="F3761">
        <v>32338.7442376913</v>
      </c>
      <c r="G3761">
        <v>30706.9499254516</v>
      </c>
      <c r="H3761">
        <v>20418.4404246257</v>
      </c>
      <c r="I3761">
        <v>154353.66</v>
      </c>
      <c r="J3761">
        <v>133935.22</v>
      </c>
      <c r="K3761" s="1"/>
      <c r="L3761" s="1"/>
      <c r="M3761" s="1"/>
      <c r="N3761" s="1"/>
    </row>
    <row r="3762" ht="15.75" customHeight="1">
      <c r="A3762" t="s">
        <v>53</v>
      </c>
      <c r="B3762" t="s">
        <v>18</v>
      </c>
      <c r="C3762" t="s">
        <v>4912</v>
      </c>
      <c r="D3762" t="s">
        <v>3853</v>
      </c>
      <c r="E3762">
        <v>91318.8508360653</v>
      </c>
      <c r="F3762">
        <v>32343.3589560188</v>
      </c>
      <c r="G3762">
        <v>30714.6299288811</v>
      </c>
      <c r="H3762">
        <v>20421.837975313</v>
      </c>
      <c r="I3762">
        <v>154376.84</v>
      </c>
      <c r="J3762">
        <v>133955.0</v>
      </c>
      <c r="K3762" s="1"/>
      <c r="L3762" s="1"/>
      <c r="M3762" s="1"/>
      <c r="N3762" s="1"/>
    </row>
    <row r="3763" ht="15.75" customHeight="1">
      <c r="A3763" t="s">
        <v>53</v>
      </c>
      <c r="B3763" t="s">
        <v>33</v>
      </c>
      <c r="C3763" t="s">
        <v>4916</v>
      </c>
      <c r="D3763" t="s">
        <v>3854</v>
      </c>
      <c r="E3763">
        <v>91329.7338059715</v>
      </c>
      <c r="F3763">
        <v>32347.9736743462</v>
      </c>
      <c r="G3763">
        <v>30722.3099323106</v>
      </c>
      <c r="H3763">
        <v>20425.2355260003</v>
      </c>
      <c r="I3763">
        <v>154400.02</v>
      </c>
      <c r="J3763">
        <v>133974.78</v>
      </c>
      <c r="K3763" s="1"/>
      <c r="L3763" s="1"/>
      <c r="M3763" s="1"/>
      <c r="N3763" s="1"/>
    </row>
    <row r="3764" ht="15.75" customHeight="1">
      <c r="A3764" t="s">
        <v>13</v>
      </c>
      <c r="B3764" t="s">
        <v>37</v>
      </c>
      <c r="C3764" t="s">
        <v>4915</v>
      </c>
      <c r="D3764" t="s">
        <v>3855</v>
      </c>
      <c r="E3764">
        <v>91340.6167758777</v>
      </c>
      <c r="F3764">
        <v>32352.5883926736</v>
      </c>
      <c r="G3764">
        <v>30729.9899357401</v>
      </c>
      <c r="H3764">
        <v>20428.6330766875</v>
      </c>
      <c r="I3764">
        <v>154423.2</v>
      </c>
      <c r="J3764">
        <v>133994.57</v>
      </c>
      <c r="K3764" s="1"/>
      <c r="L3764" s="1"/>
      <c r="M3764" s="1"/>
      <c r="N3764" s="1"/>
    </row>
    <row r="3765" ht="15.75" customHeight="1">
      <c r="A3765" t="s">
        <v>17</v>
      </c>
      <c r="B3765" t="s">
        <v>18</v>
      </c>
      <c r="C3765" t="s">
        <v>4912</v>
      </c>
      <c r="D3765" t="s">
        <v>3856</v>
      </c>
      <c r="E3765">
        <v>91351.4997457839</v>
      </c>
      <c r="F3765">
        <v>32357.203111001</v>
      </c>
      <c r="G3765">
        <v>30737.6699391696</v>
      </c>
      <c r="H3765">
        <v>20432.0306273748</v>
      </c>
      <c r="I3765">
        <v>154446.37</v>
      </c>
      <c r="J3765">
        <v>134014.34</v>
      </c>
      <c r="K3765" s="1"/>
      <c r="L3765" s="1"/>
      <c r="M3765" s="1"/>
      <c r="N3765" s="1"/>
    </row>
    <row r="3766" ht="15.75" customHeight="1">
      <c r="A3766" t="s">
        <v>36</v>
      </c>
      <c r="B3766" t="s">
        <v>26</v>
      </c>
      <c r="C3766" t="s">
        <v>4905</v>
      </c>
      <c r="D3766" t="s">
        <v>3857</v>
      </c>
      <c r="E3766">
        <v>91362.3827156901</v>
      </c>
      <c r="F3766">
        <v>32361.8178293284</v>
      </c>
      <c r="G3766">
        <v>30745.3499425991</v>
      </c>
      <c r="H3766">
        <v>20435.4281780621</v>
      </c>
      <c r="I3766">
        <v>154469.55</v>
      </c>
      <c r="J3766">
        <v>134034.12</v>
      </c>
      <c r="K3766" s="1"/>
      <c r="L3766" s="1"/>
      <c r="M3766" s="1"/>
      <c r="N3766" s="1"/>
    </row>
    <row r="3767" ht="15.75" customHeight="1">
      <c r="A3767" t="s">
        <v>36</v>
      </c>
      <c r="B3767" t="s">
        <v>54</v>
      </c>
      <c r="C3767" t="s">
        <v>4908</v>
      </c>
      <c r="D3767" t="s">
        <v>3858</v>
      </c>
      <c r="E3767">
        <v>91373.2656855963</v>
      </c>
      <c r="F3767">
        <v>32366.4325476559</v>
      </c>
      <c r="G3767">
        <v>30753.0299460286</v>
      </c>
      <c r="H3767">
        <v>20438.8257287494</v>
      </c>
      <c r="I3767">
        <v>154492.73</v>
      </c>
      <c r="J3767">
        <v>134053.9</v>
      </c>
      <c r="K3767" s="1"/>
      <c r="L3767" s="1"/>
      <c r="M3767" s="1"/>
      <c r="N3767" s="1"/>
    </row>
    <row r="3768" ht="15.75" customHeight="1">
      <c r="A3768" t="s">
        <v>51</v>
      </c>
      <c r="B3768" t="s">
        <v>33</v>
      </c>
      <c r="C3768" t="s">
        <v>4910</v>
      </c>
      <c r="D3768" t="s">
        <v>3859</v>
      </c>
      <c r="E3768">
        <v>71902.66457289942</v>
      </c>
      <c r="F3768">
        <v>32371.0472659833</v>
      </c>
      <c r="G3768">
        <v>30760.7099494581</v>
      </c>
      <c r="H3768">
        <v>20442.2232794367</v>
      </c>
      <c r="I3768">
        <v>135034.42</v>
      </c>
      <c r="J3768">
        <v>114592.2</v>
      </c>
      <c r="K3768" s="1"/>
      <c r="L3768" s="1"/>
      <c r="M3768" s="1"/>
      <c r="N3768" s="1"/>
    </row>
    <row r="3769" ht="15.75" customHeight="1">
      <c r="A3769" t="s">
        <v>51</v>
      </c>
      <c r="B3769" t="s">
        <v>26</v>
      </c>
      <c r="C3769" t="s">
        <v>4915</v>
      </c>
      <c r="D3769" t="s">
        <v>3860</v>
      </c>
      <c r="E3769">
        <v>91395.0316254087</v>
      </c>
      <c r="F3769">
        <v>32375.6619843107</v>
      </c>
      <c r="G3769">
        <v>30768.3899528876</v>
      </c>
      <c r="H3769">
        <v>20445.620830124</v>
      </c>
      <c r="I3769">
        <v>154539.08</v>
      </c>
      <c r="J3769">
        <v>134093.46</v>
      </c>
      <c r="K3769" s="1"/>
      <c r="L3769" s="1"/>
      <c r="M3769" s="1"/>
      <c r="N3769" s="1"/>
    </row>
    <row r="3770" ht="15.75" customHeight="1">
      <c r="A3770" t="s">
        <v>13</v>
      </c>
      <c r="B3770" t="s">
        <v>14</v>
      </c>
      <c r="C3770" t="s">
        <v>4913</v>
      </c>
      <c r="D3770" t="s">
        <v>3861</v>
      </c>
      <c r="E3770">
        <v>91405.9145953149</v>
      </c>
      <c r="F3770">
        <v>32380.2767026381</v>
      </c>
      <c r="G3770">
        <v>30776.0699563171</v>
      </c>
      <c r="H3770">
        <v>20449.0183808113</v>
      </c>
      <c r="I3770">
        <v>154562.26</v>
      </c>
      <c r="J3770">
        <v>134113.24</v>
      </c>
      <c r="K3770" s="1"/>
      <c r="L3770" s="1"/>
      <c r="M3770" s="1"/>
      <c r="N3770" s="1"/>
    </row>
    <row r="3771" ht="15.75" customHeight="1">
      <c r="A3771" t="s">
        <v>29</v>
      </c>
      <c r="B3771" t="s">
        <v>54</v>
      </c>
      <c r="C3771" t="s">
        <v>4907</v>
      </c>
      <c r="D3771" t="s">
        <v>3862</v>
      </c>
      <c r="E3771">
        <v>91416.7975652211</v>
      </c>
      <c r="F3771">
        <v>32384.8914209656</v>
      </c>
      <c r="G3771">
        <v>30783.7499597466</v>
      </c>
      <c r="H3771">
        <v>20452.4159314986</v>
      </c>
      <c r="I3771">
        <v>154585.44</v>
      </c>
      <c r="J3771">
        <v>134133.02</v>
      </c>
      <c r="K3771" s="1"/>
      <c r="L3771" s="1"/>
      <c r="M3771" s="1"/>
      <c r="N3771" s="1"/>
    </row>
    <row r="3772" ht="15.75" customHeight="1">
      <c r="A3772" t="s">
        <v>13</v>
      </c>
      <c r="B3772" t="s">
        <v>33</v>
      </c>
      <c r="C3772" t="s">
        <v>4905</v>
      </c>
      <c r="D3772" t="s">
        <v>3863</v>
      </c>
      <c r="E3772">
        <v>91427.6805351273</v>
      </c>
      <c r="F3772">
        <v>32389.506139293</v>
      </c>
      <c r="G3772">
        <v>30791.4299631761</v>
      </c>
      <c r="H3772">
        <v>20455.8134821858</v>
      </c>
      <c r="I3772">
        <v>154608.62</v>
      </c>
      <c r="J3772">
        <v>134152.81</v>
      </c>
      <c r="K3772" s="1"/>
      <c r="L3772" s="1"/>
      <c r="M3772" s="1"/>
      <c r="N3772" s="1"/>
    </row>
    <row r="3773" ht="15.75" customHeight="1">
      <c r="A3773" t="s">
        <v>25</v>
      </c>
      <c r="B3773" t="s">
        <v>54</v>
      </c>
      <c r="C3773" t="s">
        <v>4905</v>
      </c>
      <c r="D3773" t="s">
        <v>3864</v>
      </c>
      <c r="E3773">
        <v>91438.5635050335</v>
      </c>
      <c r="F3773">
        <v>32394.1208576204</v>
      </c>
      <c r="G3773">
        <v>30799.1099666056</v>
      </c>
      <c r="H3773">
        <v>20459.2110328731</v>
      </c>
      <c r="I3773">
        <v>154631.79</v>
      </c>
      <c r="J3773">
        <v>134172.58</v>
      </c>
      <c r="K3773" s="1"/>
      <c r="L3773" s="1"/>
      <c r="M3773" s="1"/>
      <c r="N3773" s="1"/>
    </row>
    <row r="3774" ht="15.75" customHeight="1">
      <c r="A3774" t="s">
        <v>36</v>
      </c>
      <c r="B3774" t="s">
        <v>26</v>
      </c>
      <c r="C3774" t="s">
        <v>4907</v>
      </c>
      <c r="D3774" t="s">
        <v>3865</v>
      </c>
      <c r="E3774">
        <v>91449.4464749397</v>
      </c>
      <c r="F3774">
        <v>32398.7355759478</v>
      </c>
      <c r="G3774">
        <v>30806.7899700351</v>
      </c>
      <c r="H3774">
        <v>20462.6085835604</v>
      </c>
      <c r="I3774">
        <v>154654.97</v>
      </c>
      <c r="J3774">
        <v>134192.36</v>
      </c>
      <c r="K3774" s="1"/>
      <c r="L3774" s="1"/>
      <c r="M3774" s="1"/>
      <c r="N3774" s="1"/>
    </row>
    <row r="3775" ht="15.75" customHeight="1">
      <c r="A3775" t="s">
        <v>29</v>
      </c>
      <c r="B3775" t="s">
        <v>33</v>
      </c>
      <c r="C3775" t="s">
        <v>4912</v>
      </c>
      <c r="D3775" t="s">
        <v>3866</v>
      </c>
      <c r="E3775">
        <v>91460.3294448459</v>
      </c>
      <c r="F3775">
        <v>32403.3502942752</v>
      </c>
      <c r="G3775">
        <v>30814.4699734645</v>
      </c>
      <c r="H3775">
        <v>20466.0061342477</v>
      </c>
      <c r="I3775">
        <v>154678.15</v>
      </c>
      <c r="J3775">
        <v>134212.14</v>
      </c>
      <c r="K3775" s="1"/>
      <c r="L3775" s="1"/>
      <c r="M3775" s="1"/>
      <c r="N3775" s="1"/>
    </row>
    <row r="3776" ht="15.75" customHeight="1">
      <c r="A3776" t="s">
        <v>36</v>
      </c>
      <c r="B3776" t="s">
        <v>26</v>
      </c>
      <c r="C3776" t="s">
        <v>4915</v>
      </c>
      <c r="D3776" t="s">
        <v>3867</v>
      </c>
      <c r="E3776">
        <v>91471.2124147521</v>
      </c>
      <c r="F3776">
        <v>32407.9650126027</v>
      </c>
      <c r="G3776">
        <v>30822.149976894</v>
      </c>
      <c r="H3776">
        <v>20469.403684935</v>
      </c>
      <c r="I3776">
        <v>154701.33</v>
      </c>
      <c r="J3776">
        <v>134231.93</v>
      </c>
      <c r="K3776" s="1"/>
      <c r="L3776" s="1"/>
      <c r="M3776" s="1"/>
      <c r="N3776" s="1"/>
    </row>
    <row r="3777" ht="15.75" customHeight="1">
      <c r="A3777" t="s">
        <v>29</v>
      </c>
      <c r="B3777" t="s">
        <v>54</v>
      </c>
      <c r="C3777" t="s">
        <v>4917</v>
      </c>
      <c r="D3777" t="s">
        <v>3868</v>
      </c>
      <c r="E3777">
        <v>91482.0953846583</v>
      </c>
      <c r="F3777">
        <v>32412.5797309301</v>
      </c>
      <c r="G3777">
        <v>30829.8299803235</v>
      </c>
      <c r="H3777">
        <v>20472.8012356223</v>
      </c>
      <c r="I3777">
        <v>154724.51</v>
      </c>
      <c r="J3777">
        <v>134251.71</v>
      </c>
      <c r="K3777" s="1"/>
      <c r="L3777" s="1"/>
      <c r="M3777" s="1"/>
      <c r="N3777" s="1"/>
    </row>
    <row r="3778" ht="15.75" customHeight="1">
      <c r="A3778" t="s">
        <v>13</v>
      </c>
      <c r="B3778" t="s">
        <v>14</v>
      </c>
      <c r="C3778" t="s">
        <v>4909</v>
      </c>
      <c r="D3778" t="s">
        <v>3869</v>
      </c>
      <c r="E3778">
        <v>91492.9783545644</v>
      </c>
      <c r="F3778">
        <v>32417.1944492575</v>
      </c>
      <c r="G3778">
        <v>30837.509983753</v>
      </c>
      <c r="H3778">
        <v>20476.1987863096</v>
      </c>
      <c r="I3778">
        <v>154747.68</v>
      </c>
      <c r="J3778">
        <v>134271.48</v>
      </c>
      <c r="K3778" s="1"/>
      <c r="L3778" s="1"/>
      <c r="M3778" s="1"/>
      <c r="N3778" s="1"/>
    </row>
    <row r="3779" ht="15.75" customHeight="1">
      <c r="A3779" t="s">
        <v>13</v>
      </c>
      <c r="B3779" t="s">
        <v>26</v>
      </c>
      <c r="C3779" t="s">
        <v>4907</v>
      </c>
      <c r="D3779" t="s">
        <v>3870</v>
      </c>
      <c r="E3779">
        <v>91503.8613244706</v>
      </c>
      <c r="F3779">
        <v>32421.8091675849</v>
      </c>
      <c r="G3779">
        <v>30845.1899871825</v>
      </c>
      <c r="H3779">
        <v>20479.5963369969</v>
      </c>
      <c r="I3779">
        <v>154770.86</v>
      </c>
      <c r="J3779">
        <v>134291.26</v>
      </c>
      <c r="K3779" s="1"/>
      <c r="L3779" s="1"/>
      <c r="M3779" s="1"/>
      <c r="N3779" s="1"/>
    </row>
    <row r="3780" ht="15.75" customHeight="1">
      <c r="A3780" t="s">
        <v>51</v>
      </c>
      <c r="B3780" t="s">
        <v>30</v>
      </c>
      <c r="C3780" t="s">
        <v>4913</v>
      </c>
      <c r="D3780" t="s">
        <v>3871</v>
      </c>
      <c r="E3780">
        <v>91514.7442943768</v>
      </c>
      <c r="F3780">
        <v>32426.4238859123</v>
      </c>
      <c r="G3780">
        <v>30852.869990612</v>
      </c>
      <c r="H3780">
        <v>20482.9938876841</v>
      </c>
      <c r="I3780">
        <v>154794.04</v>
      </c>
      <c r="J3780">
        <v>134311.05</v>
      </c>
      <c r="K3780" s="1"/>
      <c r="L3780" s="1"/>
      <c r="M3780" s="1"/>
      <c r="N3780" s="1"/>
    </row>
    <row r="3781" ht="15.75" customHeight="1">
      <c r="A3781" t="s">
        <v>51</v>
      </c>
      <c r="B3781" t="s">
        <v>37</v>
      </c>
      <c r="C3781" t="s">
        <v>4910</v>
      </c>
      <c r="D3781" t="s">
        <v>3872</v>
      </c>
      <c r="E3781">
        <v>91525.627264283</v>
      </c>
      <c r="F3781">
        <v>32431.0386042398</v>
      </c>
      <c r="G3781">
        <v>30860.5499940415</v>
      </c>
      <c r="H3781">
        <v>20486.3914383714</v>
      </c>
      <c r="I3781">
        <v>154817.22</v>
      </c>
      <c r="J3781">
        <v>134330.83</v>
      </c>
      <c r="K3781" s="1"/>
      <c r="L3781" s="1"/>
      <c r="M3781" s="1"/>
      <c r="N3781" s="1"/>
    </row>
    <row r="3782" ht="15.75" customHeight="1">
      <c r="A3782" t="s">
        <v>51</v>
      </c>
      <c r="B3782" t="s">
        <v>33</v>
      </c>
      <c r="C3782" t="s">
        <v>4911</v>
      </c>
      <c r="D3782" t="s">
        <v>3873</v>
      </c>
      <c r="E3782">
        <v>91547.3932040954</v>
      </c>
      <c r="F3782">
        <v>32440.2680408946</v>
      </c>
      <c r="G3782">
        <v>30875.9100009005</v>
      </c>
      <c r="H3782">
        <v>20493.186539746</v>
      </c>
      <c r="I3782">
        <v>154863.57</v>
      </c>
      <c r="J3782">
        <v>134370.38</v>
      </c>
      <c r="K3782" s="1"/>
      <c r="L3782" s="1"/>
      <c r="M3782" s="1"/>
      <c r="N3782" s="1"/>
    </row>
    <row r="3783" ht="15.75" customHeight="1">
      <c r="A3783" t="s">
        <v>25</v>
      </c>
      <c r="B3783" t="s">
        <v>54</v>
      </c>
      <c r="C3783" t="s">
        <v>4911</v>
      </c>
      <c r="D3783" t="s">
        <v>3874</v>
      </c>
      <c r="E3783">
        <v>91558.2761740016</v>
      </c>
      <c r="F3783">
        <v>32444.882759222</v>
      </c>
      <c r="G3783">
        <v>30883.59000433</v>
      </c>
      <c r="H3783">
        <v>20496.5840904333</v>
      </c>
      <c r="I3783">
        <v>154886.75</v>
      </c>
      <c r="J3783">
        <v>134390.17</v>
      </c>
      <c r="K3783" s="1"/>
      <c r="L3783" s="1"/>
      <c r="M3783" s="1"/>
      <c r="N3783" s="1"/>
    </row>
    <row r="3784" ht="15.75" customHeight="1">
      <c r="A3784" t="s">
        <v>29</v>
      </c>
      <c r="B3784" t="s">
        <v>14</v>
      </c>
      <c r="C3784" t="s">
        <v>4917</v>
      </c>
      <c r="D3784" t="s">
        <v>3875</v>
      </c>
      <c r="E3784">
        <v>91580.042113814</v>
      </c>
      <c r="F3784">
        <v>32454.1121958769</v>
      </c>
      <c r="G3784">
        <v>30898.950011189</v>
      </c>
      <c r="H3784">
        <v>20503.3791918079</v>
      </c>
      <c r="I3784">
        <v>154933.1</v>
      </c>
      <c r="J3784">
        <v>134429.72</v>
      </c>
      <c r="K3784" s="1"/>
      <c r="L3784" s="1"/>
      <c r="M3784" s="1"/>
      <c r="N3784" s="1"/>
    </row>
    <row r="3785" ht="15.75" customHeight="1">
      <c r="A3785" t="s">
        <v>25</v>
      </c>
      <c r="B3785" t="s">
        <v>37</v>
      </c>
      <c r="C3785" t="s">
        <v>4909</v>
      </c>
      <c r="D3785" t="s">
        <v>3876</v>
      </c>
      <c r="E3785">
        <v>91590.9250837202</v>
      </c>
      <c r="F3785">
        <v>32458.7269142043</v>
      </c>
      <c r="G3785">
        <v>30906.6300146185</v>
      </c>
      <c r="H3785">
        <v>20506.7767424951</v>
      </c>
      <c r="I3785">
        <v>154956.28</v>
      </c>
      <c r="J3785">
        <v>134449.5</v>
      </c>
      <c r="K3785" s="1"/>
      <c r="L3785" s="1"/>
      <c r="M3785" s="1"/>
      <c r="N3785" s="1"/>
    </row>
    <row r="3786" ht="15.75" customHeight="1">
      <c r="A3786" t="s">
        <v>13</v>
      </c>
      <c r="B3786" t="s">
        <v>18</v>
      </c>
      <c r="C3786" t="s">
        <v>4913</v>
      </c>
      <c r="D3786" t="s">
        <v>3877</v>
      </c>
      <c r="E3786">
        <v>91601.8080536264</v>
      </c>
      <c r="F3786">
        <v>32463.3416325317</v>
      </c>
      <c r="G3786">
        <v>30914.310018048</v>
      </c>
      <c r="H3786">
        <v>20510.1742931824</v>
      </c>
      <c r="I3786">
        <v>154979.46</v>
      </c>
      <c r="J3786">
        <v>134469.29</v>
      </c>
      <c r="K3786" s="1"/>
      <c r="L3786" s="1"/>
      <c r="M3786" s="1"/>
      <c r="N3786" s="1"/>
    </row>
    <row r="3787" ht="15.75" customHeight="1">
      <c r="A3787" t="s">
        <v>25</v>
      </c>
      <c r="B3787" t="s">
        <v>18</v>
      </c>
      <c r="C3787" t="s">
        <v>4905</v>
      </c>
      <c r="D3787" t="s">
        <v>3878</v>
      </c>
      <c r="E3787">
        <v>91612.6910235326</v>
      </c>
      <c r="F3787">
        <v>32467.9563508591</v>
      </c>
      <c r="G3787">
        <v>30921.9900214775</v>
      </c>
      <c r="H3787">
        <v>20513.5718438697</v>
      </c>
      <c r="I3787">
        <v>155002.64</v>
      </c>
      <c r="J3787">
        <v>134489.07</v>
      </c>
      <c r="K3787" s="1"/>
      <c r="L3787" s="1"/>
      <c r="M3787" s="1"/>
      <c r="N3787" s="1"/>
    </row>
    <row r="3788" ht="15.75" customHeight="1">
      <c r="A3788" t="s">
        <v>36</v>
      </c>
      <c r="B3788" t="s">
        <v>18</v>
      </c>
      <c r="C3788" t="s">
        <v>4917</v>
      </c>
      <c r="D3788" t="s">
        <v>3879</v>
      </c>
      <c r="E3788">
        <v>91623.5739934388</v>
      </c>
      <c r="F3788">
        <v>32472.5710691866</v>
      </c>
      <c r="G3788">
        <v>30929.670024907</v>
      </c>
      <c r="H3788">
        <v>20516.969394557</v>
      </c>
      <c r="I3788">
        <v>155025.82</v>
      </c>
      <c r="J3788">
        <v>134508.85</v>
      </c>
      <c r="K3788" s="1"/>
      <c r="L3788" s="1"/>
      <c r="M3788" s="1"/>
      <c r="N3788" s="1"/>
    </row>
    <row r="3789" ht="15.75" customHeight="1">
      <c r="A3789" t="s">
        <v>51</v>
      </c>
      <c r="B3789" t="s">
        <v>54</v>
      </c>
      <c r="C3789" t="s">
        <v>4905</v>
      </c>
      <c r="D3789" t="s">
        <v>3880</v>
      </c>
      <c r="E3789">
        <v>91634.456963345</v>
      </c>
      <c r="F3789">
        <v>32477.185787514</v>
      </c>
      <c r="G3789">
        <v>30937.3500283365</v>
      </c>
      <c r="H3789">
        <v>20520.3669452443</v>
      </c>
      <c r="I3789">
        <v>155048.99</v>
      </c>
      <c r="J3789">
        <v>134528.62</v>
      </c>
      <c r="K3789" s="1"/>
      <c r="L3789" s="1"/>
      <c r="M3789" s="1"/>
      <c r="N3789" s="1"/>
    </row>
    <row r="3790" ht="15.75" customHeight="1">
      <c r="A3790" t="s">
        <v>51</v>
      </c>
      <c r="B3790" t="s">
        <v>14</v>
      </c>
      <c r="C3790" t="s">
        <v>4912</v>
      </c>
      <c r="D3790" t="s">
        <v>3881</v>
      </c>
      <c r="E3790">
        <v>91645.3399332511</v>
      </c>
      <c r="F3790">
        <v>32481.8005058414</v>
      </c>
      <c r="G3790">
        <v>30945.030031766</v>
      </c>
      <c r="H3790">
        <v>20523.7644959316</v>
      </c>
      <c r="I3790">
        <v>155072.17</v>
      </c>
      <c r="J3790">
        <v>134548.41</v>
      </c>
      <c r="K3790" s="1"/>
      <c r="L3790" s="1"/>
      <c r="M3790" s="1"/>
      <c r="N3790" s="1"/>
    </row>
    <row r="3791" ht="15.75" customHeight="1">
      <c r="A3791" t="s">
        <v>53</v>
      </c>
      <c r="B3791" t="s">
        <v>37</v>
      </c>
      <c r="C3791" t="s">
        <v>4905</v>
      </c>
      <c r="D3791" t="s">
        <v>3882</v>
      </c>
      <c r="E3791">
        <v>91656.2229031573</v>
      </c>
      <c r="F3791">
        <v>32486.4152241688</v>
      </c>
      <c r="G3791">
        <v>30952.7100351955</v>
      </c>
      <c r="H3791">
        <v>20527.1620466189</v>
      </c>
      <c r="I3791">
        <v>155095.35</v>
      </c>
      <c r="J3791">
        <v>134568.19</v>
      </c>
      <c r="K3791" s="1"/>
      <c r="L3791" s="1"/>
      <c r="M3791" s="1"/>
      <c r="N3791" s="1"/>
    </row>
    <row r="3792" ht="15.75" customHeight="1">
      <c r="A3792" t="s">
        <v>17</v>
      </c>
      <c r="B3792" t="s">
        <v>37</v>
      </c>
      <c r="C3792" t="s">
        <v>4915</v>
      </c>
      <c r="D3792" t="s">
        <v>3883</v>
      </c>
      <c r="E3792">
        <v>91667.1058730635</v>
      </c>
      <c r="F3792">
        <v>32491.0299424963</v>
      </c>
      <c r="G3792">
        <v>30960.390038625</v>
      </c>
      <c r="H3792">
        <v>20530.5595973062</v>
      </c>
      <c r="I3792">
        <v>155118.53</v>
      </c>
      <c r="J3792">
        <v>134587.97</v>
      </c>
      <c r="K3792" s="1"/>
      <c r="L3792" s="1"/>
      <c r="M3792" s="1"/>
      <c r="N3792" s="1"/>
    </row>
    <row r="3793" ht="15.75" customHeight="1">
      <c r="A3793" t="s">
        <v>25</v>
      </c>
      <c r="B3793" t="s">
        <v>14</v>
      </c>
      <c r="C3793" t="s">
        <v>4916</v>
      </c>
      <c r="D3793" t="s">
        <v>3884</v>
      </c>
      <c r="E3793">
        <v>91677.9888429697</v>
      </c>
      <c r="F3793">
        <v>32495.6446608237</v>
      </c>
      <c r="G3793">
        <v>30968.0700420545</v>
      </c>
      <c r="H3793">
        <v>20533.9571479934</v>
      </c>
      <c r="I3793">
        <v>155141.7</v>
      </c>
      <c r="J3793">
        <v>134607.74</v>
      </c>
      <c r="K3793" s="1"/>
      <c r="L3793" s="1"/>
      <c r="M3793" s="1"/>
      <c r="N3793" s="1"/>
    </row>
    <row r="3794" ht="15.75" customHeight="1">
      <c r="A3794" t="s">
        <v>53</v>
      </c>
      <c r="B3794" t="s">
        <v>54</v>
      </c>
      <c r="C3794" t="s">
        <v>4909</v>
      </c>
      <c r="D3794" t="s">
        <v>3885</v>
      </c>
      <c r="E3794">
        <v>91688.8718128759</v>
      </c>
      <c r="F3794">
        <v>32500.2593791511</v>
      </c>
      <c r="G3794">
        <v>30975.750045484</v>
      </c>
      <c r="H3794">
        <v>20537.3546986807</v>
      </c>
      <c r="I3794">
        <v>155164.88</v>
      </c>
      <c r="J3794">
        <v>134627.53</v>
      </c>
      <c r="K3794" s="1"/>
      <c r="L3794" s="1"/>
      <c r="M3794" s="1"/>
      <c r="N3794" s="1"/>
    </row>
    <row r="3795" ht="15.75" customHeight="1">
      <c r="A3795" t="s">
        <v>53</v>
      </c>
      <c r="B3795" t="s">
        <v>14</v>
      </c>
      <c r="C3795" t="s">
        <v>4916</v>
      </c>
      <c r="D3795" t="s">
        <v>3886</v>
      </c>
      <c r="E3795">
        <v>91699.7547827821</v>
      </c>
      <c r="F3795">
        <v>32504.8740974785</v>
      </c>
      <c r="G3795">
        <v>30983.4300489135</v>
      </c>
      <c r="H3795">
        <v>20540.752249368</v>
      </c>
      <c r="I3795">
        <v>155188.06</v>
      </c>
      <c r="J3795">
        <v>134647.31</v>
      </c>
      <c r="K3795" s="1"/>
      <c r="L3795" s="1"/>
      <c r="M3795" s="1"/>
      <c r="N3795" s="1"/>
    </row>
    <row r="3796" ht="15.75" customHeight="1">
      <c r="A3796" t="s">
        <v>25</v>
      </c>
      <c r="B3796" t="s">
        <v>54</v>
      </c>
      <c r="C3796" t="s">
        <v>4917</v>
      </c>
      <c r="D3796" t="s">
        <v>3887</v>
      </c>
      <c r="E3796">
        <v>91710.6377526883</v>
      </c>
      <c r="F3796">
        <v>32509.4888158059</v>
      </c>
      <c r="G3796">
        <v>30991.110052343</v>
      </c>
      <c r="H3796">
        <v>20544.1498000553</v>
      </c>
      <c r="I3796">
        <v>155211.24</v>
      </c>
      <c r="J3796">
        <v>134667.09</v>
      </c>
      <c r="K3796" s="1"/>
      <c r="L3796" s="1"/>
      <c r="M3796" s="1"/>
      <c r="N3796" s="1"/>
    </row>
    <row r="3797" ht="15.75" customHeight="1">
      <c r="A3797" t="s">
        <v>25</v>
      </c>
      <c r="B3797" t="s">
        <v>26</v>
      </c>
      <c r="C3797" t="s">
        <v>4907</v>
      </c>
      <c r="D3797" t="s">
        <v>3888</v>
      </c>
      <c r="E3797">
        <v>91721.5207225945</v>
      </c>
      <c r="F3797">
        <v>32514.1035341334</v>
      </c>
      <c r="G3797">
        <v>30998.7900557725</v>
      </c>
      <c r="H3797">
        <v>20547.5473507426</v>
      </c>
      <c r="I3797">
        <v>155234.41</v>
      </c>
      <c r="J3797">
        <v>134686.86</v>
      </c>
      <c r="K3797" s="1"/>
      <c r="L3797" s="1"/>
      <c r="M3797" s="1"/>
      <c r="N3797" s="1"/>
    </row>
    <row r="3798" ht="15.75" customHeight="1">
      <c r="A3798" t="s">
        <v>53</v>
      </c>
      <c r="B3798" t="s">
        <v>26</v>
      </c>
      <c r="C3798" t="s">
        <v>4914</v>
      </c>
      <c r="D3798" t="s">
        <v>3889</v>
      </c>
      <c r="E3798">
        <v>91732.4036925007</v>
      </c>
      <c r="F3798">
        <v>32518.7182524608</v>
      </c>
      <c r="G3798">
        <v>31006.470059202</v>
      </c>
      <c r="H3798">
        <v>20550.9449014299</v>
      </c>
      <c r="I3798">
        <v>155257.59</v>
      </c>
      <c r="J3798">
        <v>134706.65</v>
      </c>
      <c r="K3798" s="1"/>
      <c r="L3798" s="1"/>
      <c r="M3798" s="1"/>
      <c r="N3798" s="1"/>
    </row>
    <row r="3799" ht="15.75" customHeight="1">
      <c r="A3799" t="s">
        <v>53</v>
      </c>
      <c r="B3799" t="s">
        <v>33</v>
      </c>
      <c r="C3799" t="s">
        <v>4907</v>
      </c>
      <c r="D3799" t="s">
        <v>3890</v>
      </c>
      <c r="E3799">
        <v>91743.2866624069</v>
      </c>
      <c r="F3799">
        <v>32523.3329707882</v>
      </c>
      <c r="G3799">
        <v>31014.1500626315</v>
      </c>
      <c r="H3799">
        <v>20554.3424521172</v>
      </c>
      <c r="I3799">
        <v>155280.77</v>
      </c>
      <c r="J3799">
        <v>134726.43</v>
      </c>
      <c r="K3799" s="1"/>
      <c r="L3799" s="1"/>
      <c r="M3799" s="1"/>
      <c r="N3799" s="1"/>
    </row>
    <row r="3800" ht="15.75" customHeight="1">
      <c r="A3800" t="s">
        <v>51</v>
      </c>
      <c r="B3800" t="s">
        <v>54</v>
      </c>
      <c r="C3800" t="s">
        <v>4909</v>
      </c>
      <c r="D3800" t="s">
        <v>3891</v>
      </c>
      <c r="E3800">
        <v>91754.1696323131</v>
      </c>
      <c r="F3800">
        <v>32527.9476891156</v>
      </c>
      <c r="G3800">
        <v>31021.830066061</v>
      </c>
      <c r="H3800">
        <v>20557.7400028045</v>
      </c>
      <c r="I3800">
        <v>155303.95</v>
      </c>
      <c r="J3800">
        <v>134746.21</v>
      </c>
      <c r="K3800" s="1"/>
      <c r="L3800" s="1"/>
      <c r="M3800" s="1"/>
      <c r="N3800" s="1"/>
    </row>
    <row r="3801" ht="15.75" customHeight="1">
      <c r="A3801" t="s">
        <v>36</v>
      </c>
      <c r="B3801" t="s">
        <v>54</v>
      </c>
      <c r="C3801" t="s">
        <v>4907</v>
      </c>
      <c r="D3801" t="s">
        <v>3892</v>
      </c>
      <c r="E3801">
        <v>91765.0526022193</v>
      </c>
      <c r="F3801">
        <v>32532.5624074431</v>
      </c>
      <c r="G3801">
        <v>31029.5100694905</v>
      </c>
      <c r="H3801">
        <v>14194.35617001081</v>
      </c>
      <c r="I3801">
        <v>155327.13</v>
      </c>
      <c r="J3801">
        <v>141132.77</v>
      </c>
      <c r="K3801" s="1"/>
      <c r="L3801" s="1"/>
      <c r="M3801" s="1"/>
      <c r="N3801" s="1"/>
    </row>
    <row r="3802" ht="15.75" customHeight="1">
      <c r="A3802" t="s">
        <v>13</v>
      </c>
      <c r="B3802" t="s">
        <v>18</v>
      </c>
      <c r="C3802" t="s">
        <v>4905</v>
      </c>
      <c r="D3802" t="s">
        <v>3893</v>
      </c>
      <c r="E3802">
        <v>91775.9355721255</v>
      </c>
      <c r="F3802">
        <v>32537.1771257705</v>
      </c>
      <c r="G3802">
        <v>31037.19007292</v>
      </c>
      <c r="H3802">
        <v>20564.535104179</v>
      </c>
      <c r="I3802">
        <v>155350.3</v>
      </c>
      <c r="J3802">
        <v>134785.76</v>
      </c>
      <c r="K3802" s="1"/>
      <c r="L3802" s="1"/>
      <c r="M3802" s="1"/>
      <c r="N3802" s="1"/>
    </row>
    <row r="3803" ht="15.75" customHeight="1">
      <c r="A3803" t="s">
        <v>29</v>
      </c>
      <c r="B3803" t="s">
        <v>54</v>
      </c>
      <c r="C3803" t="s">
        <v>4911</v>
      </c>
      <c r="D3803" t="s">
        <v>3894</v>
      </c>
      <c r="E3803">
        <v>91808.584481844</v>
      </c>
      <c r="F3803">
        <v>32551.0212807527</v>
      </c>
      <c r="G3803">
        <v>31060.2300832085</v>
      </c>
      <c r="H3803">
        <v>20574.7277562409</v>
      </c>
      <c r="I3803">
        <v>155419.84</v>
      </c>
      <c r="J3803">
        <v>134845.11</v>
      </c>
      <c r="K3803" s="1"/>
      <c r="L3803" s="1"/>
      <c r="M3803" s="1"/>
      <c r="N3803" s="1"/>
    </row>
    <row r="3804" ht="15.75" customHeight="1">
      <c r="A3804" t="s">
        <v>13</v>
      </c>
      <c r="B3804" t="s">
        <v>33</v>
      </c>
      <c r="C3804" t="s">
        <v>4914</v>
      </c>
      <c r="D3804" t="s">
        <v>3895</v>
      </c>
      <c r="E3804">
        <v>91819.4674517502</v>
      </c>
      <c r="F3804">
        <v>32555.6359990802</v>
      </c>
      <c r="G3804">
        <v>31067.910086638</v>
      </c>
      <c r="H3804">
        <v>20578.1253069282</v>
      </c>
      <c r="I3804">
        <v>155443.01</v>
      </c>
      <c r="J3804">
        <v>134864.88</v>
      </c>
      <c r="K3804" s="1"/>
      <c r="L3804" s="1"/>
      <c r="M3804" s="1"/>
      <c r="N3804" s="1"/>
    </row>
    <row r="3805" ht="15.75" customHeight="1">
      <c r="A3805" t="s">
        <v>25</v>
      </c>
      <c r="B3805" t="s">
        <v>33</v>
      </c>
      <c r="C3805" t="s">
        <v>4909</v>
      </c>
      <c r="D3805" t="s">
        <v>3896</v>
      </c>
      <c r="E3805">
        <v>91841.2333915626</v>
      </c>
      <c r="F3805">
        <v>32564.865435735</v>
      </c>
      <c r="G3805">
        <v>31083.270093497</v>
      </c>
      <c r="H3805">
        <v>20584.9204083027</v>
      </c>
      <c r="I3805">
        <v>155489.37</v>
      </c>
      <c r="J3805">
        <v>134904.45</v>
      </c>
      <c r="K3805" s="1"/>
      <c r="L3805" s="1"/>
      <c r="M3805" s="1"/>
      <c r="N3805" s="1"/>
    </row>
    <row r="3806" ht="15.75" customHeight="1">
      <c r="A3806" t="s">
        <v>13</v>
      </c>
      <c r="B3806" t="s">
        <v>18</v>
      </c>
      <c r="C3806" t="s">
        <v>4907</v>
      </c>
      <c r="D3806" t="s">
        <v>3897</v>
      </c>
      <c r="E3806">
        <v>91852.1163614688</v>
      </c>
      <c r="F3806">
        <v>32569.4801540624</v>
      </c>
      <c r="G3806">
        <v>31090.9500969264</v>
      </c>
      <c r="H3806">
        <v>20588.31795899</v>
      </c>
      <c r="I3806">
        <v>155512.55</v>
      </c>
      <c r="J3806">
        <v>134924.23</v>
      </c>
      <c r="K3806" s="1"/>
      <c r="L3806" s="1"/>
      <c r="M3806" s="1"/>
      <c r="N3806" s="1"/>
    </row>
    <row r="3807" ht="15.75" customHeight="1">
      <c r="A3807" t="s">
        <v>13</v>
      </c>
      <c r="B3807" t="s">
        <v>26</v>
      </c>
      <c r="C3807" t="s">
        <v>4917</v>
      </c>
      <c r="D3807" t="s">
        <v>3898</v>
      </c>
      <c r="E3807">
        <v>91862.999331375</v>
      </c>
      <c r="F3807">
        <v>32574.0948723899</v>
      </c>
      <c r="G3807">
        <v>31098.6301003559</v>
      </c>
      <c r="H3807">
        <v>20591.7155096773</v>
      </c>
      <c r="I3807">
        <v>155535.72</v>
      </c>
      <c r="J3807">
        <v>134944.0</v>
      </c>
      <c r="K3807" s="1"/>
      <c r="L3807" s="1"/>
      <c r="M3807" s="1"/>
      <c r="N3807" s="1"/>
    </row>
    <row r="3808" ht="15.75" customHeight="1">
      <c r="A3808" t="s">
        <v>36</v>
      </c>
      <c r="B3808" t="s">
        <v>30</v>
      </c>
      <c r="C3808" t="s">
        <v>4908</v>
      </c>
      <c r="D3808" t="s">
        <v>3899</v>
      </c>
      <c r="E3808">
        <v>91873.8823012812</v>
      </c>
      <c r="F3808">
        <v>32578.7095907173</v>
      </c>
      <c r="G3808">
        <v>31106.3101037854</v>
      </c>
      <c r="H3808">
        <v>20595.1130603646</v>
      </c>
      <c r="I3808">
        <v>155558.9</v>
      </c>
      <c r="J3808">
        <v>134963.79</v>
      </c>
      <c r="K3808" s="1"/>
      <c r="L3808" s="1"/>
      <c r="M3808" s="1"/>
      <c r="N3808" s="1"/>
    </row>
    <row r="3809" ht="15.75" customHeight="1">
      <c r="A3809" t="s">
        <v>17</v>
      </c>
      <c r="B3809" t="s">
        <v>26</v>
      </c>
      <c r="C3809" t="s">
        <v>4910</v>
      </c>
      <c r="D3809" t="s">
        <v>3900</v>
      </c>
      <c r="E3809">
        <v>91884.7652711874</v>
      </c>
      <c r="F3809">
        <v>32583.3243090447</v>
      </c>
      <c r="G3809">
        <v>31113.9901072149</v>
      </c>
      <c r="H3809">
        <v>20598.5106110519</v>
      </c>
      <c r="I3809">
        <v>155582.08</v>
      </c>
      <c r="J3809">
        <v>134983.57</v>
      </c>
      <c r="K3809" s="1"/>
      <c r="L3809" s="1"/>
      <c r="M3809" s="1"/>
      <c r="N3809" s="1"/>
    </row>
    <row r="3810" ht="15.75" customHeight="1">
      <c r="A3810" t="s">
        <v>51</v>
      </c>
      <c r="B3810" t="s">
        <v>30</v>
      </c>
      <c r="C3810" t="s">
        <v>4917</v>
      </c>
      <c r="D3810" t="s">
        <v>3901</v>
      </c>
      <c r="E3810">
        <v>91895.6482410936</v>
      </c>
      <c r="F3810">
        <v>32587.9390273721</v>
      </c>
      <c r="G3810">
        <v>31121.6701106444</v>
      </c>
      <c r="H3810">
        <v>20601.9081617392</v>
      </c>
      <c r="I3810">
        <v>155605.26</v>
      </c>
      <c r="J3810">
        <v>135003.35</v>
      </c>
      <c r="K3810" s="1"/>
      <c r="L3810" s="1"/>
      <c r="M3810" s="1"/>
      <c r="N3810" s="1"/>
    </row>
    <row r="3811" ht="15.75" customHeight="1">
      <c r="A3811" t="s">
        <v>13</v>
      </c>
      <c r="B3811" t="s">
        <v>54</v>
      </c>
      <c r="C3811" t="s">
        <v>4915</v>
      </c>
      <c r="D3811" t="s">
        <v>3902</v>
      </c>
      <c r="E3811">
        <v>91906.5312109998</v>
      </c>
      <c r="F3811">
        <v>32592.5537456995</v>
      </c>
      <c r="G3811">
        <v>31129.3501140739</v>
      </c>
      <c r="H3811">
        <v>20605.3057124265</v>
      </c>
      <c r="I3811">
        <v>155628.44</v>
      </c>
      <c r="J3811">
        <v>135023.13</v>
      </c>
      <c r="K3811" s="1"/>
      <c r="L3811" s="1"/>
      <c r="M3811" s="1"/>
      <c r="N3811" s="1"/>
    </row>
    <row r="3812" ht="15.75" customHeight="1">
      <c r="A3812" t="s">
        <v>53</v>
      </c>
      <c r="B3812" t="s">
        <v>14</v>
      </c>
      <c r="C3812" t="s">
        <v>4905</v>
      </c>
      <c r="D3812" t="s">
        <v>3903</v>
      </c>
      <c r="E3812">
        <v>91917.414180906</v>
      </c>
      <c r="F3812">
        <v>32597.168464027</v>
      </c>
      <c r="G3812">
        <v>31137.0301175034</v>
      </c>
      <c r="H3812">
        <v>20608.7032631138</v>
      </c>
      <c r="I3812">
        <v>155651.61</v>
      </c>
      <c r="J3812">
        <v>135042.91</v>
      </c>
      <c r="K3812" s="1"/>
      <c r="L3812" s="1"/>
      <c r="M3812" s="1"/>
      <c r="N3812" s="1"/>
    </row>
    <row r="3813" ht="15.75" customHeight="1">
      <c r="A3813" t="s">
        <v>51</v>
      </c>
      <c r="B3813" t="s">
        <v>14</v>
      </c>
      <c r="C3813" t="s">
        <v>4912</v>
      </c>
      <c r="D3813" t="s">
        <v>3904</v>
      </c>
      <c r="E3813">
        <v>91928.2971508122</v>
      </c>
      <c r="F3813">
        <v>32601.7831823544</v>
      </c>
      <c r="G3813">
        <v>31144.7101209329</v>
      </c>
      <c r="H3813">
        <v>20612.100813801</v>
      </c>
      <c r="I3813">
        <v>155674.79</v>
      </c>
      <c r="J3813">
        <v>135062.69</v>
      </c>
      <c r="K3813" s="1"/>
      <c r="L3813" s="1"/>
      <c r="M3813" s="1"/>
      <c r="N3813" s="1"/>
    </row>
    <row r="3814" ht="15.75" customHeight="1">
      <c r="A3814" t="s">
        <v>25</v>
      </c>
      <c r="B3814" t="s">
        <v>18</v>
      </c>
      <c r="C3814" t="s">
        <v>4913</v>
      </c>
      <c r="D3814" t="s">
        <v>3905</v>
      </c>
      <c r="E3814">
        <v>91939.1801207184</v>
      </c>
      <c r="F3814">
        <v>32606.3979006818</v>
      </c>
      <c r="G3814">
        <v>31152.3901243624</v>
      </c>
      <c r="H3814">
        <v>20615.4983644883</v>
      </c>
      <c r="I3814">
        <v>155697.97</v>
      </c>
      <c r="J3814">
        <v>135082.47</v>
      </c>
      <c r="K3814" s="1"/>
      <c r="L3814" s="1"/>
      <c r="M3814" s="1"/>
      <c r="N3814" s="1"/>
    </row>
    <row r="3815" ht="15.75" customHeight="1">
      <c r="A3815" t="s">
        <v>51</v>
      </c>
      <c r="B3815" t="s">
        <v>37</v>
      </c>
      <c r="C3815" t="s">
        <v>4915</v>
      </c>
      <c r="D3815" t="s">
        <v>3906</v>
      </c>
      <c r="E3815">
        <v>71902.66457289942</v>
      </c>
      <c r="F3815">
        <v>32615.6273373367</v>
      </c>
      <c r="G3815">
        <v>31167.7501312214</v>
      </c>
      <c r="H3815">
        <v>20622.2934658629</v>
      </c>
      <c r="I3815">
        <v>135686.04</v>
      </c>
      <c r="J3815">
        <v>115063.75</v>
      </c>
      <c r="K3815" s="1"/>
      <c r="L3815" s="1"/>
      <c r="M3815" s="1"/>
      <c r="N3815" s="1"/>
    </row>
    <row r="3816" ht="15.75" customHeight="1">
      <c r="A3816" t="s">
        <v>13</v>
      </c>
      <c r="B3816" t="s">
        <v>54</v>
      </c>
      <c r="C3816" t="s">
        <v>4908</v>
      </c>
      <c r="D3816" t="s">
        <v>3907</v>
      </c>
      <c r="E3816">
        <v>91971.8290304369</v>
      </c>
      <c r="F3816">
        <v>32620.2420556641</v>
      </c>
      <c r="G3816">
        <v>31175.4301346509</v>
      </c>
      <c r="H3816">
        <v>20625.6910165502</v>
      </c>
      <c r="I3816">
        <v>155767.5</v>
      </c>
      <c r="J3816">
        <v>135141.81</v>
      </c>
      <c r="K3816" s="1"/>
      <c r="L3816" s="1"/>
      <c r="M3816" s="1"/>
      <c r="N3816" s="1"/>
    </row>
    <row r="3817" ht="15.75" customHeight="1">
      <c r="A3817" t="s">
        <v>51</v>
      </c>
      <c r="B3817" t="s">
        <v>26</v>
      </c>
      <c r="C3817" t="s">
        <v>4915</v>
      </c>
      <c r="D3817" t="s">
        <v>3908</v>
      </c>
      <c r="E3817">
        <v>91982.7120003431</v>
      </c>
      <c r="F3817">
        <v>32624.8567739915</v>
      </c>
      <c r="G3817">
        <v>31183.1101380804</v>
      </c>
      <c r="H3817">
        <v>20629.0885672375</v>
      </c>
      <c r="I3817">
        <v>155790.68</v>
      </c>
      <c r="J3817">
        <v>135161.59</v>
      </c>
      <c r="K3817" s="1"/>
      <c r="L3817" s="1"/>
      <c r="M3817" s="1"/>
      <c r="N3817" s="1"/>
    </row>
    <row r="3818" ht="15.75" customHeight="1">
      <c r="A3818" t="s">
        <v>29</v>
      </c>
      <c r="B3818" t="s">
        <v>14</v>
      </c>
      <c r="C3818" t="s">
        <v>4916</v>
      </c>
      <c r="D3818" t="s">
        <v>3909</v>
      </c>
      <c r="E3818">
        <v>91993.5949702493</v>
      </c>
      <c r="F3818">
        <v>32629.4714923189</v>
      </c>
      <c r="G3818">
        <v>31190.7901415099</v>
      </c>
      <c r="H3818">
        <v>20632.4861179248</v>
      </c>
      <c r="I3818">
        <v>155813.86</v>
      </c>
      <c r="J3818">
        <v>135181.37</v>
      </c>
      <c r="K3818" s="1"/>
      <c r="L3818" s="1"/>
      <c r="M3818" s="1"/>
      <c r="N3818" s="1"/>
    </row>
    <row r="3819" ht="15.75" customHeight="1">
      <c r="A3819" t="s">
        <v>36</v>
      </c>
      <c r="B3819" t="s">
        <v>18</v>
      </c>
      <c r="C3819" t="s">
        <v>4917</v>
      </c>
      <c r="D3819" t="s">
        <v>3910</v>
      </c>
      <c r="E3819">
        <v>92004.4779401555</v>
      </c>
      <c r="F3819">
        <v>32634.0862106463</v>
      </c>
      <c r="G3819">
        <v>31198.4701449394</v>
      </c>
      <c r="H3819">
        <v>20635.8836686121</v>
      </c>
      <c r="I3819">
        <v>155837.03</v>
      </c>
      <c r="J3819">
        <v>135201.15</v>
      </c>
      <c r="K3819" s="1"/>
      <c r="L3819" s="1"/>
      <c r="M3819" s="1"/>
      <c r="N3819" s="1"/>
    </row>
    <row r="3820" ht="15.75" customHeight="1">
      <c r="A3820" t="s">
        <v>29</v>
      </c>
      <c r="B3820" t="s">
        <v>54</v>
      </c>
      <c r="C3820" t="s">
        <v>4907</v>
      </c>
      <c r="D3820" t="s">
        <v>3911</v>
      </c>
      <c r="E3820">
        <v>72210.86634532797</v>
      </c>
      <c r="F3820">
        <v>32638.7009289738</v>
      </c>
      <c r="G3820">
        <v>31206.1501483689</v>
      </c>
      <c r="H3820">
        <v>20639.2812192993</v>
      </c>
      <c r="I3820">
        <v>136055.72</v>
      </c>
      <c r="J3820">
        <v>115416.44</v>
      </c>
      <c r="K3820" s="1"/>
      <c r="L3820" s="1"/>
      <c r="M3820" s="1"/>
      <c r="N3820" s="1"/>
    </row>
    <row r="3821" ht="15.75" customHeight="1">
      <c r="A3821" t="s">
        <v>13</v>
      </c>
      <c r="B3821" t="s">
        <v>26</v>
      </c>
      <c r="C3821" t="s">
        <v>4914</v>
      </c>
      <c r="D3821" t="s">
        <v>3912</v>
      </c>
      <c r="E3821">
        <v>92026.2438799679</v>
      </c>
      <c r="F3821">
        <v>32643.3156473012</v>
      </c>
      <c r="G3821">
        <v>31213.8301517984</v>
      </c>
      <c r="H3821">
        <v>20642.6787699866</v>
      </c>
      <c r="I3821">
        <v>155883.39</v>
      </c>
      <c r="J3821">
        <v>135240.71</v>
      </c>
      <c r="K3821" s="1"/>
      <c r="L3821" s="1"/>
      <c r="M3821" s="1"/>
      <c r="N3821" s="1"/>
    </row>
    <row r="3822" ht="15.75" customHeight="1">
      <c r="A3822" t="s">
        <v>17</v>
      </c>
      <c r="B3822" t="s">
        <v>26</v>
      </c>
      <c r="C3822" t="s">
        <v>4915</v>
      </c>
      <c r="D3822" t="s">
        <v>3913</v>
      </c>
      <c r="E3822">
        <v>92037.1268498741</v>
      </c>
      <c r="F3822">
        <v>32647.9303656286</v>
      </c>
      <c r="G3822">
        <v>31221.5101552279</v>
      </c>
      <c r="H3822">
        <v>20646.0763206739</v>
      </c>
      <c r="I3822">
        <v>155906.57</v>
      </c>
      <c r="J3822">
        <v>135260.49</v>
      </c>
      <c r="K3822" s="1"/>
      <c r="L3822" s="1"/>
      <c r="M3822" s="1"/>
      <c r="N3822" s="1"/>
    </row>
    <row r="3823" ht="15.75" customHeight="1">
      <c r="A3823" t="s">
        <v>53</v>
      </c>
      <c r="B3823" t="s">
        <v>54</v>
      </c>
      <c r="C3823" t="s">
        <v>4910</v>
      </c>
      <c r="D3823" t="s">
        <v>3914</v>
      </c>
      <c r="E3823">
        <v>92048.0098197803</v>
      </c>
      <c r="F3823">
        <v>32652.545083956</v>
      </c>
      <c r="G3823">
        <v>31229.1901586574</v>
      </c>
      <c r="H3823">
        <v>20649.4738713612</v>
      </c>
      <c r="I3823">
        <v>155929.75</v>
      </c>
      <c r="J3823">
        <v>135280.28</v>
      </c>
      <c r="K3823" s="1"/>
      <c r="L3823" s="1"/>
      <c r="M3823" s="1"/>
      <c r="N3823" s="1"/>
    </row>
    <row r="3824" ht="15.75" customHeight="1">
      <c r="A3824" t="s">
        <v>51</v>
      </c>
      <c r="B3824" t="s">
        <v>37</v>
      </c>
      <c r="C3824" t="s">
        <v>4905</v>
      </c>
      <c r="D3824" t="s">
        <v>3915</v>
      </c>
      <c r="E3824">
        <v>92058.8927896865</v>
      </c>
      <c r="F3824">
        <v>32657.1598022835</v>
      </c>
      <c r="G3824">
        <v>31236.8701620869</v>
      </c>
      <c r="H3824">
        <v>20652.8714220485</v>
      </c>
      <c r="I3824">
        <v>155952.92</v>
      </c>
      <c r="J3824">
        <v>135300.05</v>
      </c>
      <c r="K3824" s="1"/>
      <c r="L3824" s="1"/>
      <c r="M3824" s="1"/>
      <c r="N3824" s="1"/>
    </row>
    <row r="3825" ht="15.75" customHeight="1">
      <c r="A3825" t="s">
        <v>51</v>
      </c>
      <c r="B3825" t="s">
        <v>37</v>
      </c>
      <c r="C3825" t="s">
        <v>4913</v>
      </c>
      <c r="D3825" t="s">
        <v>3916</v>
      </c>
      <c r="E3825">
        <v>92069.7757595927</v>
      </c>
      <c r="F3825">
        <v>32661.7745206109</v>
      </c>
      <c r="G3825">
        <v>31244.5501655164</v>
      </c>
      <c r="H3825">
        <v>20656.2689727358</v>
      </c>
      <c r="I3825">
        <v>155976.1</v>
      </c>
      <c r="J3825">
        <v>135319.83</v>
      </c>
      <c r="K3825" s="1"/>
      <c r="L3825" s="1"/>
      <c r="M3825" s="1"/>
      <c r="N3825" s="1"/>
    </row>
    <row r="3826" ht="15.75" customHeight="1">
      <c r="A3826" t="s">
        <v>29</v>
      </c>
      <c r="B3826" t="s">
        <v>37</v>
      </c>
      <c r="C3826" t="s">
        <v>4915</v>
      </c>
      <c r="D3826" t="s">
        <v>3917</v>
      </c>
      <c r="E3826">
        <v>92080.6587294989</v>
      </c>
      <c r="F3826">
        <v>32666.3892389383</v>
      </c>
      <c r="G3826">
        <v>31252.2301689459</v>
      </c>
      <c r="H3826">
        <v>20659.6665234231</v>
      </c>
      <c r="I3826">
        <v>155999.28</v>
      </c>
      <c r="J3826">
        <v>135339.61</v>
      </c>
      <c r="K3826" s="1"/>
      <c r="L3826" s="1"/>
      <c r="M3826" s="1"/>
      <c r="N3826" s="1"/>
    </row>
    <row r="3827" ht="15.75" customHeight="1">
      <c r="A3827" t="s">
        <v>29</v>
      </c>
      <c r="B3827" t="s">
        <v>26</v>
      </c>
      <c r="C3827" t="s">
        <v>4908</v>
      </c>
      <c r="D3827" t="s">
        <v>3918</v>
      </c>
      <c r="E3827">
        <v>92091.5416994051</v>
      </c>
      <c r="F3827">
        <v>32671.0039572657</v>
      </c>
      <c r="G3827">
        <v>31259.9101723754</v>
      </c>
      <c r="H3827">
        <v>20663.0640741103</v>
      </c>
      <c r="I3827">
        <v>156022.46</v>
      </c>
      <c r="J3827">
        <v>135359.4</v>
      </c>
      <c r="K3827" s="1"/>
      <c r="L3827" s="1"/>
      <c r="M3827" s="1"/>
      <c r="N3827" s="1"/>
    </row>
    <row r="3828" ht="15.75" customHeight="1">
      <c r="A3828" t="s">
        <v>36</v>
      </c>
      <c r="B3828" t="s">
        <v>26</v>
      </c>
      <c r="C3828" t="s">
        <v>4917</v>
      </c>
      <c r="D3828" t="s">
        <v>3919</v>
      </c>
      <c r="E3828">
        <v>92102.4246693113</v>
      </c>
      <c r="F3828">
        <v>32675.6186755931</v>
      </c>
      <c r="G3828">
        <v>31267.5901758049</v>
      </c>
      <c r="H3828">
        <v>20666.4616247976</v>
      </c>
      <c r="I3828">
        <v>156045.63</v>
      </c>
      <c r="J3828">
        <v>135379.17</v>
      </c>
      <c r="K3828" s="1"/>
      <c r="L3828" s="1"/>
      <c r="M3828" s="1"/>
      <c r="N3828" s="1"/>
    </row>
    <row r="3829" ht="15.75" customHeight="1">
      <c r="A3829" t="s">
        <v>17</v>
      </c>
      <c r="B3829" t="s">
        <v>33</v>
      </c>
      <c r="C3829" t="s">
        <v>4905</v>
      </c>
      <c r="D3829" t="s">
        <v>3920</v>
      </c>
      <c r="E3829">
        <v>92113.3076392175</v>
      </c>
      <c r="F3829">
        <v>32680.2333939206</v>
      </c>
      <c r="G3829">
        <v>31275.2701792344</v>
      </c>
      <c r="H3829">
        <v>20669.8591754849</v>
      </c>
      <c r="I3829">
        <v>156068.81</v>
      </c>
      <c r="J3829">
        <v>135398.95</v>
      </c>
      <c r="K3829" s="1"/>
      <c r="L3829" s="1"/>
      <c r="M3829" s="1"/>
      <c r="N3829" s="1"/>
    </row>
    <row r="3830" ht="15.75" customHeight="1">
      <c r="A3830" t="s">
        <v>53</v>
      </c>
      <c r="B3830" t="s">
        <v>18</v>
      </c>
      <c r="C3830" t="s">
        <v>4905</v>
      </c>
      <c r="D3830" t="s">
        <v>3921</v>
      </c>
      <c r="E3830">
        <v>92124.1906091237</v>
      </c>
      <c r="F3830">
        <v>32684.848112248</v>
      </c>
      <c r="G3830">
        <v>31282.9501826639</v>
      </c>
      <c r="H3830">
        <v>20673.2567261722</v>
      </c>
      <c r="I3830">
        <v>156091.99</v>
      </c>
      <c r="J3830">
        <v>135418.73</v>
      </c>
      <c r="K3830" s="1"/>
      <c r="L3830" s="1"/>
      <c r="M3830" s="1"/>
      <c r="N3830" s="1"/>
    </row>
    <row r="3831" ht="15.75" customHeight="1">
      <c r="A3831" t="s">
        <v>36</v>
      </c>
      <c r="B3831" t="s">
        <v>18</v>
      </c>
      <c r="C3831" t="s">
        <v>4907</v>
      </c>
      <c r="D3831" t="s">
        <v>3922</v>
      </c>
      <c r="E3831">
        <v>92135.0735790299</v>
      </c>
      <c r="F3831">
        <v>32689.4628305754</v>
      </c>
      <c r="G3831">
        <v>31290.6301860934</v>
      </c>
      <c r="H3831">
        <v>20676.6542768595</v>
      </c>
      <c r="I3831">
        <v>156115.17</v>
      </c>
      <c r="J3831">
        <v>135438.52</v>
      </c>
      <c r="K3831" s="1"/>
      <c r="L3831" s="1"/>
      <c r="M3831" s="1"/>
      <c r="N3831" s="1"/>
    </row>
    <row r="3832" ht="15.75" customHeight="1">
      <c r="A3832" t="s">
        <v>29</v>
      </c>
      <c r="B3832" t="s">
        <v>37</v>
      </c>
      <c r="C3832" t="s">
        <v>4907</v>
      </c>
      <c r="D3832" t="s">
        <v>3923</v>
      </c>
      <c r="E3832">
        <v>92145.956548936</v>
      </c>
      <c r="F3832">
        <v>32694.0775489028</v>
      </c>
      <c r="G3832">
        <v>31298.3101895229</v>
      </c>
      <c r="H3832">
        <v>20680.0518275468</v>
      </c>
      <c r="I3832">
        <v>156138.34</v>
      </c>
      <c r="J3832">
        <v>135458.29</v>
      </c>
      <c r="K3832" s="1"/>
      <c r="L3832" s="1"/>
      <c r="M3832" s="1"/>
      <c r="N3832" s="1"/>
    </row>
    <row r="3833" ht="15.75" customHeight="1">
      <c r="A3833" t="s">
        <v>36</v>
      </c>
      <c r="B3833" t="s">
        <v>54</v>
      </c>
      <c r="C3833" t="s">
        <v>4905</v>
      </c>
      <c r="D3833" t="s">
        <v>3924</v>
      </c>
      <c r="E3833">
        <v>92156.8395188422</v>
      </c>
      <c r="F3833">
        <v>32698.6922672303</v>
      </c>
      <c r="G3833">
        <v>31305.9901929524</v>
      </c>
      <c r="H3833">
        <v>20683.4493782341</v>
      </c>
      <c r="I3833">
        <v>156161.52</v>
      </c>
      <c r="J3833">
        <v>135478.07</v>
      </c>
      <c r="K3833" s="1"/>
      <c r="L3833" s="1"/>
      <c r="M3833" s="1"/>
      <c r="N3833" s="1"/>
    </row>
    <row r="3834" ht="15.75" customHeight="1">
      <c r="A3834" t="s">
        <v>53</v>
      </c>
      <c r="B3834" t="s">
        <v>26</v>
      </c>
      <c r="C3834" t="s">
        <v>4917</v>
      </c>
      <c r="D3834" t="s">
        <v>3925</v>
      </c>
      <c r="E3834">
        <v>92167.7224887484</v>
      </c>
      <c r="F3834">
        <v>32703.3069855577</v>
      </c>
      <c r="G3834">
        <v>31313.6701963819</v>
      </c>
      <c r="H3834">
        <v>20686.8469289214</v>
      </c>
      <c r="I3834">
        <v>156184.7</v>
      </c>
      <c r="J3834">
        <v>135497.85</v>
      </c>
      <c r="K3834" s="1"/>
      <c r="L3834" s="1"/>
      <c r="M3834" s="1"/>
      <c r="N3834" s="1"/>
    </row>
    <row r="3835" ht="15.75" customHeight="1">
      <c r="A3835" t="s">
        <v>36</v>
      </c>
      <c r="B3835" t="s">
        <v>14</v>
      </c>
      <c r="C3835" t="s">
        <v>4915</v>
      </c>
      <c r="D3835" t="s">
        <v>3926</v>
      </c>
      <c r="E3835">
        <v>92178.6054586546</v>
      </c>
      <c r="F3835">
        <v>32707.9217038851</v>
      </c>
      <c r="G3835">
        <v>31321.3501998114</v>
      </c>
      <c r="H3835">
        <v>20690.2444796086</v>
      </c>
      <c r="I3835">
        <v>156207.88</v>
      </c>
      <c r="J3835">
        <v>135517.64</v>
      </c>
      <c r="K3835" s="1"/>
      <c r="L3835" s="1"/>
      <c r="M3835" s="1"/>
      <c r="N3835" s="1"/>
    </row>
    <row r="3836" ht="15.75" customHeight="1">
      <c r="A3836" t="s">
        <v>25</v>
      </c>
      <c r="B3836" t="s">
        <v>26</v>
      </c>
      <c r="C3836" t="s">
        <v>4910</v>
      </c>
      <c r="D3836" t="s">
        <v>3927</v>
      </c>
      <c r="E3836">
        <v>92189.4884285608</v>
      </c>
      <c r="F3836">
        <v>32712.5364222125</v>
      </c>
      <c r="G3836">
        <v>31329.0302032409</v>
      </c>
      <c r="H3836">
        <v>20693.6420302959</v>
      </c>
      <c r="I3836">
        <v>156231.06</v>
      </c>
      <c r="J3836">
        <v>135537.42</v>
      </c>
      <c r="K3836" s="1"/>
      <c r="L3836" s="1"/>
      <c r="M3836" s="1"/>
      <c r="N3836" s="1"/>
    </row>
    <row r="3837" ht="15.75" customHeight="1">
      <c r="A3837" t="s">
        <v>51</v>
      </c>
      <c r="B3837" t="s">
        <v>14</v>
      </c>
      <c r="C3837" t="s">
        <v>4911</v>
      </c>
      <c r="D3837" t="s">
        <v>3928</v>
      </c>
      <c r="E3837">
        <v>92200.371398467</v>
      </c>
      <c r="F3837">
        <v>32717.1511405399</v>
      </c>
      <c r="G3837">
        <v>31336.7102066704</v>
      </c>
      <c r="H3837">
        <v>20697.0395809832</v>
      </c>
      <c r="I3837">
        <v>156254.23</v>
      </c>
      <c r="J3837">
        <v>135557.19</v>
      </c>
      <c r="K3837" s="1"/>
      <c r="L3837" s="1"/>
      <c r="M3837" s="1"/>
      <c r="N3837" s="1"/>
    </row>
    <row r="3838" ht="15.75" customHeight="1">
      <c r="A3838" t="s">
        <v>13</v>
      </c>
      <c r="B3838" t="s">
        <v>26</v>
      </c>
      <c r="C3838" t="s">
        <v>4910</v>
      </c>
      <c r="D3838" t="s">
        <v>3929</v>
      </c>
      <c r="E3838">
        <v>92211.2543683732</v>
      </c>
      <c r="F3838">
        <v>32721.7658588674</v>
      </c>
      <c r="G3838">
        <v>31344.3902100999</v>
      </c>
      <c r="H3838">
        <v>20700.4371316705</v>
      </c>
      <c r="I3838">
        <v>156277.41</v>
      </c>
      <c r="J3838">
        <v>135576.97</v>
      </c>
      <c r="K3838" s="1"/>
      <c r="L3838" s="1"/>
      <c r="M3838" s="1"/>
      <c r="N3838" s="1"/>
    </row>
    <row r="3839" ht="15.75" customHeight="1">
      <c r="A3839" t="s">
        <v>53</v>
      </c>
      <c r="B3839" t="s">
        <v>30</v>
      </c>
      <c r="C3839" t="s">
        <v>4913</v>
      </c>
      <c r="D3839" t="s">
        <v>3930</v>
      </c>
      <c r="E3839">
        <v>92222.1373382794</v>
      </c>
      <c r="F3839">
        <v>32726.3805771948</v>
      </c>
      <c r="G3839">
        <v>31352.0702135294</v>
      </c>
      <c r="H3839">
        <v>20703.8346823578</v>
      </c>
      <c r="I3839">
        <v>156300.59</v>
      </c>
      <c r="J3839">
        <v>135596.76</v>
      </c>
      <c r="K3839" s="1"/>
      <c r="L3839" s="1"/>
      <c r="M3839" s="1"/>
      <c r="N3839" s="1"/>
    </row>
    <row r="3840" ht="15.75" customHeight="1">
      <c r="A3840" t="s">
        <v>17</v>
      </c>
      <c r="B3840" t="s">
        <v>18</v>
      </c>
      <c r="C3840" t="s">
        <v>4909</v>
      </c>
      <c r="D3840" t="s">
        <v>3931</v>
      </c>
      <c r="E3840">
        <v>92233.0203081856</v>
      </c>
      <c r="F3840">
        <v>32730.9952955222</v>
      </c>
      <c r="G3840">
        <v>31359.7502169589</v>
      </c>
      <c r="H3840">
        <v>20707.2322330451</v>
      </c>
      <c r="I3840">
        <v>156323.77</v>
      </c>
      <c r="J3840">
        <v>135616.54</v>
      </c>
      <c r="K3840" s="1"/>
      <c r="L3840" s="1"/>
      <c r="M3840" s="1"/>
      <c r="N3840" s="1"/>
    </row>
    <row r="3841" ht="15.75" customHeight="1">
      <c r="A3841" t="s">
        <v>17</v>
      </c>
      <c r="B3841" t="s">
        <v>37</v>
      </c>
      <c r="C3841" t="s">
        <v>4913</v>
      </c>
      <c r="D3841" t="s">
        <v>3932</v>
      </c>
      <c r="E3841">
        <v>92243.9032780918</v>
      </c>
      <c r="F3841">
        <v>32735.6100138496</v>
      </c>
      <c r="G3841">
        <v>31367.4302203883</v>
      </c>
      <c r="H3841">
        <v>20710.6297837324</v>
      </c>
      <c r="I3841">
        <v>156346.94</v>
      </c>
      <c r="J3841">
        <v>135636.31</v>
      </c>
      <c r="K3841" s="1"/>
      <c r="L3841" s="1"/>
      <c r="M3841" s="1"/>
      <c r="N3841" s="1"/>
    </row>
    <row r="3842" ht="15.75" customHeight="1">
      <c r="A3842" t="s">
        <v>25</v>
      </c>
      <c r="B3842" t="s">
        <v>30</v>
      </c>
      <c r="C3842" t="s">
        <v>4914</v>
      </c>
      <c r="D3842" t="s">
        <v>3933</v>
      </c>
      <c r="E3842">
        <v>92254.786247998</v>
      </c>
      <c r="F3842">
        <v>32740.2247321771</v>
      </c>
      <c r="G3842">
        <v>31375.1102238178</v>
      </c>
      <c r="H3842">
        <v>20714.0273344197</v>
      </c>
      <c r="I3842">
        <v>156370.12</v>
      </c>
      <c r="J3842">
        <v>135656.09</v>
      </c>
      <c r="K3842" s="1"/>
      <c r="L3842" s="1"/>
      <c r="M3842" s="1"/>
      <c r="N3842" s="1"/>
    </row>
    <row r="3843" ht="15.75" customHeight="1">
      <c r="A3843" t="s">
        <v>36</v>
      </c>
      <c r="B3843" t="s">
        <v>18</v>
      </c>
      <c r="C3843" t="s">
        <v>4909</v>
      </c>
      <c r="D3843" t="s">
        <v>3934</v>
      </c>
      <c r="E3843">
        <v>92265.6692179042</v>
      </c>
      <c r="F3843">
        <v>32744.8394505045</v>
      </c>
      <c r="G3843">
        <v>31382.7902272473</v>
      </c>
      <c r="H3843">
        <v>20717.4248851069</v>
      </c>
      <c r="I3843">
        <v>156393.3</v>
      </c>
      <c r="J3843">
        <v>135675.88</v>
      </c>
      <c r="K3843" s="1"/>
      <c r="L3843" s="1"/>
      <c r="M3843" s="1"/>
      <c r="N3843" s="1"/>
    </row>
    <row r="3844" ht="15.75" customHeight="1">
      <c r="A3844" t="s">
        <v>13</v>
      </c>
      <c r="B3844" t="s">
        <v>30</v>
      </c>
      <c r="C3844" t="s">
        <v>4916</v>
      </c>
      <c r="D3844" t="s">
        <v>3935</v>
      </c>
      <c r="E3844">
        <v>92276.5521878104</v>
      </c>
      <c r="F3844">
        <v>32749.4541688319</v>
      </c>
      <c r="G3844">
        <v>31390.4702306768</v>
      </c>
      <c r="H3844">
        <v>20720.8224357942</v>
      </c>
      <c r="I3844">
        <v>156416.48</v>
      </c>
      <c r="J3844">
        <v>135695.66</v>
      </c>
      <c r="K3844" s="1"/>
      <c r="L3844" s="1"/>
      <c r="M3844" s="1"/>
      <c r="N3844" s="1"/>
    </row>
    <row r="3845" ht="15.75" customHeight="1">
      <c r="A3845" t="s">
        <v>53</v>
      </c>
      <c r="B3845" t="s">
        <v>14</v>
      </c>
      <c r="C3845" t="s">
        <v>4915</v>
      </c>
      <c r="D3845" t="s">
        <v>3936</v>
      </c>
      <c r="E3845">
        <v>92287.4351577166</v>
      </c>
      <c r="F3845">
        <v>32754.0688871593</v>
      </c>
      <c r="G3845">
        <v>31398.1502341063</v>
      </c>
      <c r="H3845">
        <v>20724.2199864815</v>
      </c>
      <c r="I3845">
        <v>156439.65</v>
      </c>
      <c r="J3845">
        <v>135715.43</v>
      </c>
      <c r="K3845" s="1"/>
      <c r="L3845" s="1"/>
      <c r="M3845" s="1"/>
      <c r="N3845" s="1"/>
    </row>
    <row r="3846" ht="15.75" customHeight="1">
      <c r="A3846" t="s">
        <v>25</v>
      </c>
      <c r="B3846" t="s">
        <v>37</v>
      </c>
      <c r="C3846" t="s">
        <v>4908</v>
      </c>
      <c r="D3846" t="s">
        <v>3937</v>
      </c>
      <c r="E3846">
        <v>92298.3181276227</v>
      </c>
      <c r="F3846">
        <v>32758.6836054867</v>
      </c>
      <c r="G3846">
        <v>31405.8302375358</v>
      </c>
      <c r="H3846">
        <v>20727.6175371688</v>
      </c>
      <c r="I3846">
        <v>156462.83</v>
      </c>
      <c r="J3846">
        <v>135735.21</v>
      </c>
      <c r="K3846" s="1"/>
      <c r="L3846" s="1"/>
      <c r="M3846" s="1"/>
      <c r="N3846" s="1"/>
    </row>
    <row r="3847" ht="15.75" customHeight="1">
      <c r="A3847" t="s">
        <v>53</v>
      </c>
      <c r="B3847" t="s">
        <v>30</v>
      </c>
      <c r="C3847" t="s">
        <v>4909</v>
      </c>
      <c r="D3847" t="s">
        <v>3938</v>
      </c>
      <c r="E3847">
        <v>92309.2010975289</v>
      </c>
      <c r="F3847">
        <v>32763.2983238142</v>
      </c>
      <c r="G3847">
        <v>31413.5102409653</v>
      </c>
      <c r="H3847">
        <v>20731.0150878561</v>
      </c>
      <c r="I3847">
        <v>156486.01</v>
      </c>
      <c r="J3847">
        <v>135754.99</v>
      </c>
      <c r="K3847" s="1"/>
      <c r="L3847" s="1"/>
      <c r="M3847" s="1"/>
      <c r="N3847" s="1"/>
    </row>
    <row r="3848" ht="15.75" customHeight="1">
      <c r="A3848" t="s">
        <v>36</v>
      </c>
      <c r="B3848" t="s">
        <v>26</v>
      </c>
      <c r="C3848" t="s">
        <v>4917</v>
      </c>
      <c r="D3848" t="s">
        <v>3939</v>
      </c>
      <c r="E3848">
        <v>92320.0840674351</v>
      </c>
      <c r="F3848">
        <v>32767.9130421416</v>
      </c>
      <c r="G3848">
        <v>31421.1902443948</v>
      </c>
      <c r="H3848">
        <v>14194.35617001081</v>
      </c>
      <c r="I3848">
        <v>156509.19</v>
      </c>
      <c r="J3848">
        <v>142314.83</v>
      </c>
      <c r="K3848" s="1"/>
      <c r="L3848" s="1"/>
      <c r="M3848" s="1"/>
      <c r="N3848" s="1"/>
    </row>
    <row r="3849" ht="15.75" customHeight="1">
      <c r="A3849" t="s">
        <v>53</v>
      </c>
      <c r="B3849" t="s">
        <v>26</v>
      </c>
      <c r="C3849" t="s">
        <v>4905</v>
      </c>
      <c r="D3849" t="s">
        <v>3940</v>
      </c>
      <c r="E3849">
        <v>92330.9670373413</v>
      </c>
      <c r="F3849">
        <v>32772.527760469</v>
      </c>
      <c r="G3849">
        <v>31428.8702478243</v>
      </c>
      <c r="H3849">
        <v>14765.30618879032</v>
      </c>
      <c r="I3849">
        <v>156532.37</v>
      </c>
      <c r="J3849">
        <v>141767.06</v>
      </c>
      <c r="K3849" s="1"/>
      <c r="L3849" s="1"/>
      <c r="M3849" s="1"/>
      <c r="N3849" s="1"/>
    </row>
    <row r="3850" ht="15.75" customHeight="1">
      <c r="A3850" t="s">
        <v>53</v>
      </c>
      <c r="B3850" t="s">
        <v>26</v>
      </c>
      <c r="C3850" t="s">
        <v>4913</v>
      </c>
      <c r="D3850" t="s">
        <v>3941</v>
      </c>
      <c r="E3850">
        <v>92341.8500072475</v>
      </c>
      <c r="F3850">
        <v>32777.1424787964</v>
      </c>
      <c r="G3850">
        <v>31436.5502512538</v>
      </c>
      <c r="H3850">
        <v>20741.2077399179</v>
      </c>
      <c r="I3850">
        <v>156555.54</v>
      </c>
      <c r="J3850">
        <v>135814.33</v>
      </c>
      <c r="K3850" s="1"/>
      <c r="L3850" s="1"/>
      <c r="M3850" s="1"/>
      <c r="N3850" s="1"/>
    </row>
    <row r="3851" ht="15.75" customHeight="1">
      <c r="A3851" t="s">
        <v>53</v>
      </c>
      <c r="B3851" t="s">
        <v>26</v>
      </c>
      <c r="C3851" t="s">
        <v>4914</v>
      </c>
      <c r="D3851" t="s">
        <v>3942</v>
      </c>
      <c r="E3851">
        <v>92363.6159470599</v>
      </c>
      <c r="F3851">
        <v>32786.3719154513</v>
      </c>
      <c r="G3851">
        <v>31451.9102581128</v>
      </c>
      <c r="H3851">
        <v>20748.0028412925</v>
      </c>
      <c r="I3851">
        <v>156601.9</v>
      </c>
      <c r="J3851">
        <v>135853.9</v>
      </c>
      <c r="K3851" s="1"/>
      <c r="L3851" s="1"/>
      <c r="M3851" s="1"/>
      <c r="N3851" s="1"/>
    </row>
    <row r="3852" ht="15.75" customHeight="1">
      <c r="A3852" t="s">
        <v>13</v>
      </c>
      <c r="B3852" t="s">
        <v>14</v>
      </c>
      <c r="C3852" t="s">
        <v>4917</v>
      </c>
      <c r="D3852" t="s">
        <v>3943</v>
      </c>
      <c r="E3852">
        <v>92374.4989169661</v>
      </c>
      <c r="F3852">
        <v>32790.9866337787</v>
      </c>
      <c r="G3852">
        <v>31459.5902615423</v>
      </c>
      <c r="H3852">
        <v>20751.4003919798</v>
      </c>
      <c r="I3852">
        <v>156625.08</v>
      </c>
      <c r="J3852">
        <v>135873.68</v>
      </c>
      <c r="K3852" s="1"/>
      <c r="L3852" s="1"/>
      <c r="M3852" s="1"/>
      <c r="N3852" s="1"/>
    </row>
    <row r="3853" ht="15.75" customHeight="1">
      <c r="A3853" t="s">
        <v>51</v>
      </c>
      <c r="B3853" t="s">
        <v>30</v>
      </c>
      <c r="C3853" t="s">
        <v>4908</v>
      </c>
      <c r="D3853" t="s">
        <v>3944</v>
      </c>
      <c r="E3853">
        <v>92385.3818868723</v>
      </c>
      <c r="F3853">
        <v>32795.6013521061</v>
      </c>
      <c r="G3853">
        <v>31467.2702649718</v>
      </c>
      <c r="H3853">
        <v>20754.7979426671</v>
      </c>
      <c r="I3853">
        <v>156648.25</v>
      </c>
      <c r="J3853">
        <v>135893.45</v>
      </c>
      <c r="K3853" s="1"/>
      <c r="L3853" s="1"/>
      <c r="M3853" s="1"/>
      <c r="N3853" s="1"/>
    </row>
    <row r="3854" ht="15.75" customHeight="1">
      <c r="A3854" t="s">
        <v>36</v>
      </c>
      <c r="B3854" t="s">
        <v>33</v>
      </c>
      <c r="C3854" t="s">
        <v>4917</v>
      </c>
      <c r="D3854" t="s">
        <v>3945</v>
      </c>
      <c r="E3854">
        <v>92396.2648567785</v>
      </c>
      <c r="F3854">
        <v>32800.2160704335</v>
      </c>
      <c r="G3854">
        <v>31474.9502684013</v>
      </c>
      <c r="H3854">
        <v>20758.1954933544</v>
      </c>
      <c r="I3854">
        <v>156671.43</v>
      </c>
      <c r="J3854">
        <v>135913.23</v>
      </c>
      <c r="K3854" s="1"/>
      <c r="L3854" s="1"/>
      <c r="M3854" s="1"/>
      <c r="N3854" s="1"/>
    </row>
    <row r="3855" ht="15.75" customHeight="1">
      <c r="A3855" t="s">
        <v>36</v>
      </c>
      <c r="B3855" t="s">
        <v>26</v>
      </c>
      <c r="C3855" t="s">
        <v>4910</v>
      </c>
      <c r="D3855" t="s">
        <v>3946</v>
      </c>
      <c r="E3855">
        <v>92407.1478266847</v>
      </c>
      <c r="F3855">
        <v>32804.830788761</v>
      </c>
      <c r="G3855">
        <v>31482.6302718308</v>
      </c>
      <c r="H3855">
        <v>20761.5930440417</v>
      </c>
      <c r="I3855">
        <v>156694.61</v>
      </c>
      <c r="J3855">
        <v>135933.02</v>
      </c>
      <c r="K3855" s="1"/>
      <c r="L3855" s="1"/>
      <c r="M3855" s="1"/>
      <c r="N3855" s="1"/>
    </row>
    <row r="3856" ht="15.75" customHeight="1">
      <c r="A3856" t="s">
        <v>53</v>
      </c>
      <c r="B3856" t="s">
        <v>33</v>
      </c>
      <c r="C3856" t="s">
        <v>4913</v>
      </c>
      <c r="D3856" t="s">
        <v>3947</v>
      </c>
      <c r="E3856">
        <v>92418.0307965909</v>
      </c>
      <c r="F3856">
        <v>32809.4455070884</v>
      </c>
      <c r="G3856">
        <v>31490.3102752603</v>
      </c>
      <c r="H3856">
        <v>20764.990594729</v>
      </c>
      <c r="I3856">
        <v>156717.79</v>
      </c>
      <c r="J3856">
        <v>135952.8</v>
      </c>
      <c r="K3856" s="1"/>
      <c r="L3856" s="1"/>
      <c r="M3856" s="1"/>
      <c r="N3856" s="1"/>
    </row>
    <row r="3857" ht="15.75" customHeight="1">
      <c r="A3857" t="s">
        <v>51</v>
      </c>
      <c r="B3857" t="s">
        <v>18</v>
      </c>
      <c r="C3857" t="s">
        <v>4907</v>
      </c>
      <c r="D3857" t="s">
        <v>3948</v>
      </c>
      <c r="E3857">
        <v>92439.7967364033</v>
      </c>
      <c r="F3857">
        <v>32818.6749437432</v>
      </c>
      <c r="G3857">
        <v>31505.6702821193</v>
      </c>
      <c r="H3857">
        <v>20771.7856961035</v>
      </c>
      <c r="I3857">
        <v>156764.14</v>
      </c>
      <c r="J3857">
        <v>135992.35</v>
      </c>
      <c r="K3857" s="1"/>
      <c r="L3857" s="1"/>
      <c r="M3857" s="1"/>
      <c r="N3857" s="1"/>
    </row>
    <row r="3858" ht="15.75" customHeight="1">
      <c r="A3858" t="s">
        <v>36</v>
      </c>
      <c r="B3858" t="s">
        <v>26</v>
      </c>
      <c r="C3858" t="s">
        <v>4908</v>
      </c>
      <c r="D3858" t="s">
        <v>3949</v>
      </c>
      <c r="E3858">
        <v>92450.6797063095</v>
      </c>
      <c r="F3858">
        <v>32823.2896620707</v>
      </c>
      <c r="G3858">
        <v>31513.3502855488</v>
      </c>
      <c r="H3858">
        <v>20775.1832467908</v>
      </c>
      <c r="I3858">
        <v>156787.32</v>
      </c>
      <c r="J3858">
        <v>136012.14</v>
      </c>
      <c r="K3858" s="1"/>
      <c r="L3858" s="1"/>
      <c r="M3858" s="1"/>
      <c r="N3858" s="1"/>
    </row>
    <row r="3859" ht="15.75" customHeight="1">
      <c r="A3859" t="s">
        <v>36</v>
      </c>
      <c r="B3859" t="s">
        <v>14</v>
      </c>
      <c r="C3859" t="s">
        <v>4910</v>
      </c>
      <c r="D3859" t="s">
        <v>3950</v>
      </c>
      <c r="E3859">
        <v>92461.5626762156</v>
      </c>
      <c r="F3859">
        <v>32827.9043803981</v>
      </c>
      <c r="G3859">
        <v>31521.0302889783</v>
      </c>
      <c r="H3859">
        <v>14194.35617001081</v>
      </c>
      <c r="I3859">
        <v>156810.5</v>
      </c>
      <c r="J3859">
        <v>142616.14</v>
      </c>
      <c r="K3859" s="1"/>
      <c r="L3859" s="1"/>
      <c r="M3859" s="1"/>
      <c r="N3859" s="1"/>
    </row>
    <row r="3860" ht="15.75" customHeight="1">
      <c r="A3860" t="s">
        <v>53</v>
      </c>
      <c r="B3860" t="s">
        <v>26</v>
      </c>
      <c r="C3860" t="s">
        <v>4910</v>
      </c>
      <c r="D3860" t="s">
        <v>3951</v>
      </c>
      <c r="E3860">
        <v>92472.4456461218</v>
      </c>
      <c r="F3860">
        <v>32832.5190987255</v>
      </c>
      <c r="G3860">
        <v>31528.7102924078</v>
      </c>
      <c r="H3860">
        <v>20781.9783481654</v>
      </c>
      <c r="I3860">
        <v>156833.68</v>
      </c>
      <c r="J3860">
        <v>136051.7</v>
      </c>
      <c r="K3860" s="1"/>
      <c r="L3860" s="1"/>
      <c r="M3860" s="1"/>
      <c r="N3860" s="1"/>
    </row>
    <row r="3861" ht="15.75" customHeight="1">
      <c r="A3861" t="s">
        <v>29</v>
      </c>
      <c r="B3861" t="s">
        <v>54</v>
      </c>
      <c r="C3861" t="s">
        <v>4917</v>
      </c>
      <c r="D3861" t="s">
        <v>3952</v>
      </c>
      <c r="E3861">
        <v>92483.328616028</v>
      </c>
      <c r="F3861">
        <v>32837.1338170529</v>
      </c>
      <c r="G3861">
        <v>31536.3902958373</v>
      </c>
      <c r="H3861">
        <v>20785.3758988527</v>
      </c>
      <c r="I3861">
        <v>156856.85</v>
      </c>
      <c r="J3861">
        <v>136071.47</v>
      </c>
      <c r="K3861" s="1"/>
      <c r="L3861" s="1"/>
      <c r="M3861" s="1"/>
      <c r="N3861" s="1"/>
    </row>
    <row r="3862" ht="15.75" customHeight="1">
      <c r="A3862" t="s">
        <v>53</v>
      </c>
      <c r="B3862" t="s">
        <v>14</v>
      </c>
      <c r="C3862" t="s">
        <v>4907</v>
      </c>
      <c r="D3862" t="s">
        <v>3953</v>
      </c>
      <c r="E3862">
        <v>92494.2115859342</v>
      </c>
      <c r="F3862">
        <v>32841.7485353803</v>
      </c>
      <c r="G3862">
        <v>31544.0702992668</v>
      </c>
      <c r="H3862">
        <v>20788.77344954</v>
      </c>
      <c r="I3862">
        <v>156880.03</v>
      </c>
      <c r="J3862">
        <v>136091.26</v>
      </c>
      <c r="K3862" s="1"/>
      <c r="L3862" s="1"/>
      <c r="M3862" s="1"/>
      <c r="N3862" s="1"/>
    </row>
    <row r="3863" ht="15.75" customHeight="1">
      <c r="A3863" t="s">
        <v>29</v>
      </c>
      <c r="B3863" t="s">
        <v>14</v>
      </c>
      <c r="C3863" t="s">
        <v>4914</v>
      </c>
      <c r="D3863" t="s">
        <v>3954</v>
      </c>
      <c r="E3863">
        <v>92505.0945558404</v>
      </c>
      <c r="F3863">
        <v>32846.3632537078</v>
      </c>
      <c r="G3863">
        <v>31551.7503026963</v>
      </c>
      <c r="H3863">
        <v>20792.1710002273</v>
      </c>
      <c r="I3863">
        <v>156903.21</v>
      </c>
      <c r="J3863">
        <v>136111.04</v>
      </c>
      <c r="K3863" s="1"/>
      <c r="L3863" s="1"/>
      <c r="M3863" s="1"/>
      <c r="N3863" s="1"/>
    </row>
    <row r="3864" ht="15.75" customHeight="1">
      <c r="A3864" t="s">
        <v>36</v>
      </c>
      <c r="B3864" t="s">
        <v>26</v>
      </c>
      <c r="C3864" t="s">
        <v>4911</v>
      </c>
      <c r="D3864" t="s">
        <v>3955</v>
      </c>
      <c r="E3864">
        <v>92515.9775257466</v>
      </c>
      <c r="F3864">
        <v>32850.9779720352</v>
      </c>
      <c r="G3864">
        <v>31559.4303061258</v>
      </c>
      <c r="H3864">
        <v>20795.5685509145</v>
      </c>
      <c r="I3864">
        <v>156926.39</v>
      </c>
      <c r="J3864">
        <v>136130.82</v>
      </c>
      <c r="K3864" s="1"/>
      <c r="L3864" s="1"/>
      <c r="M3864" s="1"/>
      <c r="N3864" s="1"/>
    </row>
    <row r="3865" ht="15.75" customHeight="1">
      <c r="A3865" t="s">
        <v>36</v>
      </c>
      <c r="B3865" t="s">
        <v>54</v>
      </c>
      <c r="C3865" t="s">
        <v>4911</v>
      </c>
      <c r="D3865" t="s">
        <v>3956</v>
      </c>
      <c r="E3865">
        <v>92526.8604956528</v>
      </c>
      <c r="F3865">
        <v>32855.5926903626</v>
      </c>
      <c r="G3865">
        <v>31567.1103095553</v>
      </c>
      <c r="H3865">
        <v>20798.9661016018</v>
      </c>
      <c r="I3865">
        <v>156949.56</v>
      </c>
      <c r="J3865">
        <v>136150.59</v>
      </c>
      <c r="K3865" s="1"/>
      <c r="L3865" s="1"/>
      <c r="M3865" s="1"/>
      <c r="N3865" s="1"/>
    </row>
    <row r="3866" ht="15.75" customHeight="1">
      <c r="A3866" t="s">
        <v>36</v>
      </c>
      <c r="B3866" t="s">
        <v>18</v>
      </c>
      <c r="C3866" t="s">
        <v>4916</v>
      </c>
      <c r="D3866" t="s">
        <v>3957</v>
      </c>
      <c r="E3866">
        <v>92537.743465559</v>
      </c>
      <c r="F3866">
        <v>32860.20740869</v>
      </c>
      <c r="G3866">
        <v>31574.7903129848</v>
      </c>
      <c r="H3866">
        <v>20802.3636522891</v>
      </c>
      <c r="I3866">
        <v>156972.74</v>
      </c>
      <c r="J3866">
        <v>136170.38</v>
      </c>
      <c r="K3866" s="1"/>
      <c r="L3866" s="1"/>
      <c r="M3866" s="1"/>
      <c r="N3866" s="1"/>
    </row>
    <row r="3867" ht="15.75" customHeight="1">
      <c r="A3867" t="s">
        <v>29</v>
      </c>
      <c r="B3867" t="s">
        <v>33</v>
      </c>
      <c r="C3867" t="s">
        <v>4912</v>
      </c>
      <c r="D3867" t="s">
        <v>3958</v>
      </c>
      <c r="E3867">
        <v>92548.6264354652</v>
      </c>
      <c r="F3867">
        <v>32864.8221270174</v>
      </c>
      <c r="G3867">
        <v>31582.4703164143</v>
      </c>
      <c r="H3867">
        <v>20805.7612029764</v>
      </c>
      <c r="I3867">
        <v>156995.92</v>
      </c>
      <c r="J3867">
        <v>136190.16</v>
      </c>
      <c r="K3867" s="1"/>
      <c r="L3867" s="1"/>
      <c r="M3867" s="1"/>
      <c r="N3867" s="1"/>
    </row>
    <row r="3868" ht="15.75" customHeight="1">
      <c r="A3868" t="s">
        <v>29</v>
      </c>
      <c r="B3868" t="s">
        <v>33</v>
      </c>
      <c r="C3868" t="s">
        <v>4915</v>
      </c>
      <c r="D3868" t="s">
        <v>3959</v>
      </c>
      <c r="E3868">
        <v>92559.5094053714</v>
      </c>
      <c r="F3868">
        <v>32869.4368453449</v>
      </c>
      <c r="G3868">
        <v>31590.1503198438</v>
      </c>
      <c r="H3868">
        <v>20809.1587536637</v>
      </c>
      <c r="I3868">
        <v>157019.1</v>
      </c>
      <c r="J3868">
        <v>136209.94</v>
      </c>
      <c r="K3868" s="1"/>
      <c r="L3868" s="1"/>
      <c r="M3868" s="1"/>
      <c r="N3868" s="1"/>
    </row>
    <row r="3869" ht="15.75" customHeight="1">
      <c r="A3869" t="s">
        <v>36</v>
      </c>
      <c r="B3869" t="s">
        <v>14</v>
      </c>
      <c r="C3869" t="s">
        <v>4910</v>
      </c>
      <c r="D3869" t="s">
        <v>3960</v>
      </c>
      <c r="E3869">
        <v>92570.3923752776</v>
      </c>
      <c r="F3869">
        <v>32874.0515636723</v>
      </c>
      <c r="G3869">
        <v>31597.8303232733</v>
      </c>
      <c r="H3869">
        <v>20812.556304351</v>
      </c>
      <c r="I3869">
        <v>157042.27</v>
      </c>
      <c r="J3869">
        <v>136229.71</v>
      </c>
      <c r="K3869" s="1"/>
      <c r="L3869" s="1"/>
      <c r="M3869" s="1"/>
      <c r="N3869" s="1"/>
    </row>
    <row r="3870" ht="15.75" customHeight="1">
      <c r="A3870" t="s">
        <v>25</v>
      </c>
      <c r="B3870" t="s">
        <v>30</v>
      </c>
      <c r="C3870" t="s">
        <v>4917</v>
      </c>
      <c r="D3870" t="s">
        <v>3961</v>
      </c>
      <c r="E3870">
        <v>92581.2753451838</v>
      </c>
      <c r="F3870">
        <v>32878.6662819997</v>
      </c>
      <c r="G3870">
        <v>31605.5103267028</v>
      </c>
      <c r="H3870">
        <v>20815.9538550383</v>
      </c>
      <c r="I3870">
        <v>157065.45</v>
      </c>
      <c r="J3870">
        <v>136249.5</v>
      </c>
      <c r="K3870" s="1"/>
      <c r="L3870" s="1"/>
      <c r="M3870" s="1"/>
      <c r="N3870" s="1"/>
    </row>
    <row r="3871" ht="15.75" customHeight="1">
      <c r="A3871" t="s">
        <v>17</v>
      </c>
      <c r="B3871" t="s">
        <v>26</v>
      </c>
      <c r="C3871" t="s">
        <v>4905</v>
      </c>
      <c r="D3871" t="s">
        <v>3962</v>
      </c>
      <c r="E3871">
        <v>92592.15831509</v>
      </c>
      <c r="F3871">
        <v>32883.2810003271</v>
      </c>
      <c r="G3871">
        <v>31613.1903301323</v>
      </c>
      <c r="H3871">
        <v>20819.3514057255</v>
      </c>
      <c r="I3871">
        <v>157088.63</v>
      </c>
      <c r="J3871">
        <v>136269.28</v>
      </c>
      <c r="K3871" s="1"/>
      <c r="L3871" s="1"/>
      <c r="M3871" s="1"/>
      <c r="N3871" s="1"/>
    </row>
    <row r="3872" ht="15.75" customHeight="1">
      <c r="A3872" t="s">
        <v>17</v>
      </c>
      <c r="B3872" t="s">
        <v>14</v>
      </c>
      <c r="C3872" t="s">
        <v>4916</v>
      </c>
      <c r="D3872" t="s">
        <v>3963</v>
      </c>
      <c r="E3872">
        <v>92603.0412849962</v>
      </c>
      <c r="F3872">
        <v>32887.8957186546</v>
      </c>
      <c r="G3872">
        <v>31620.8703335618</v>
      </c>
      <c r="H3872">
        <v>20822.7489564128</v>
      </c>
      <c r="I3872">
        <v>157111.81</v>
      </c>
      <c r="J3872">
        <v>136289.06</v>
      </c>
      <c r="K3872" s="1"/>
      <c r="L3872" s="1"/>
      <c r="M3872" s="1"/>
      <c r="N3872" s="1"/>
    </row>
    <row r="3873" ht="15.75" customHeight="1">
      <c r="A3873" t="s">
        <v>25</v>
      </c>
      <c r="B3873" t="s">
        <v>18</v>
      </c>
      <c r="C3873" t="s">
        <v>4915</v>
      </c>
      <c r="D3873" t="s">
        <v>3964</v>
      </c>
      <c r="E3873">
        <v>92613.9242549024</v>
      </c>
      <c r="F3873">
        <v>32892.510436982</v>
      </c>
      <c r="G3873">
        <v>31628.5503369913</v>
      </c>
      <c r="H3873">
        <v>20826.1465071001</v>
      </c>
      <c r="I3873">
        <v>157134.99</v>
      </c>
      <c r="J3873">
        <v>136308.84</v>
      </c>
      <c r="K3873" s="1"/>
      <c r="L3873" s="1"/>
      <c r="M3873" s="1"/>
      <c r="N3873" s="1"/>
    </row>
    <row r="3874" ht="15.75" customHeight="1">
      <c r="A3874" t="s">
        <v>36</v>
      </c>
      <c r="B3874" t="s">
        <v>18</v>
      </c>
      <c r="C3874" t="s">
        <v>4916</v>
      </c>
      <c r="D3874" t="s">
        <v>3965</v>
      </c>
      <c r="E3874">
        <v>92624.8072248086</v>
      </c>
      <c r="F3874">
        <v>32897.1251553094</v>
      </c>
      <c r="G3874">
        <v>31636.2303404208</v>
      </c>
      <c r="H3874">
        <v>20829.5440577874</v>
      </c>
      <c r="I3874">
        <v>157158.16</v>
      </c>
      <c r="J3874">
        <v>136328.62</v>
      </c>
      <c r="K3874" s="1"/>
      <c r="L3874" s="1"/>
      <c r="M3874" s="1"/>
      <c r="N3874" s="1"/>
    </row>
    <row r="3875" ht="15.75" customHeight="1">
      <c r="A3875" t="s">
        <v>36</v>
      </c>
      <c r="B3875" t="s">
        <v>30</v>
      </c>
      <c r="C3875" t="s">
        <v>4911</v>
      </c>
      <c r="D3875" t="s">
        <v>3966</v>
      </c>
      <c r="E3875">
        <v>92635.6901947147</v>
      </c>
      <c r="F3875">
        <v>32901.7398736368</v>
      </c>
      <c r="G3875">
        <v>31643.9103438503</v>
      </c>
      <c r="H3875">
        <v>20832.9416084747</v>
      </c>
      <c r="I3875">
        <v>157181.34</v>
      </c>
      <c r="J3875">
        <v>136348.4</v>
      </c>
      <c r="K3875" s="1"/>
      <c r="L3875" s="1"/>
      <c r="M3875" s="1"/>
      <c r="N3875" s="1"/>
    </row>
    <row r="3876" ht="15.75" customHeight="1">
      <c r="A3876" t="s">
        <v>36</v>
      </c>
      <c r="B3876" t="s">
        <v>54</v>
      </c>
      <c r="C3876" t="s">
        <v>4913</v>
      </c>
      <c r="D3876" t="s">
        <v>3967</v>
      </c>
      <c r="E3876">
        <v>92646.5731646209</v>
      </c>
      <c r="F3876">
        <v>32906.3545919642</v>
      </c>
      <c r="G3876">
        <v>31651.5903472798</v>
      </c>
      <c r="H3876">
        <v>20836.339159162</v>
      </c>
      <c r="I3876">
        <v>157204.52</v>
      </c>
      <c r="J3876">
        <v>136368.18</v>
      </c>
      <c r="K3876" s="1"/>
      <c r="L3876" s="1"/>
      <c r="M3876" s="1"/>
      <c r="N3876" s="1"/>
    </row>
    <row r="3877" ht="15.75" customHeight="1">
      <c r="A3877" t="s">
        <v>17</v>
      </c>
      <c r="B3877" t="s">
        <v>37</v>
      </c>
      <c r="C3877" t="s">
        <v>4910</v>
      </c>
      <c r="D3877" t="s">
        <v>3968</v>
      </c>
      <c r="E3877">
        <v>92657.4561345271</v>
      </c>
      <c r="F3877">
        <v>32910.9693102917</v>
      </c>
      <c r="G3877">
        <v>31659.2703507092</v>
      </c>
      <c r="H3877">
        <v>20839.7367098493</v>
      </c>
      <c r="I3877">
        <v>157227.7</v>
      </c>
      <c r="J3877">
        <v>136387.96</v>
      </c>
      <c r="K3877" s="1"/>
      <c r="L3877" s="1"/>
      <c r="M3877" s="1"/>
      <c r="N3877" s="1"/>
    </row>
    <row r="3878" ht="15.75" customHeight="1">
      <c r="A3878" t="s">
        <v>13</v>
      </c>
      <c r="B3878" t="s">
        <v>30</v>
      </c>
      <c r="C3878" t="s">
        <v>4908</v>
      </c>
      <c r="D3878" t="s">
        <v>3969</v>
      </c>
      <c r="E3878">
        <v>92668.3391044333</v>
      </c>
      <c r="F3878">
        <v>32915.5840286191</v>
      </c>
      <c r="G3878">
        <v>31666.9503541387</v>
      </c>
      <c r="H3878">
        <v>20843.1342605366</v>
      </c>
      <c r="I3878">
        <v>157250.87</v>
      </c>
      <c r="J3878">
        <v>136407.74</v>
      </c>
      <c r="K3878" s="1"/>
      <c r="L3878" s="1"/>
      <c r="M3878" s="1"/>
      <c r="N3878" s="1"/>
    </row>
    <row r="3879" ht="15.75" customHeight="1">
      <c r="A3879" t="s">
        <v>13</v>
      </c>
      <c r="B3879" t="s">
        <v>33</v>
      </c>
      <c r="C3879" t="s">
        <v>4915</v>
      </c>
      <c r="D3879" t="s">
        <v>3970</v>
      </c>
      <c r="E3879">
        <v>92679.2220743395</v>
      </c>
      <c r="F3879">
        <v>32920.1987469465</v>
      </c>
      <c r="G3879">
        <v>31674.6303575682</v>
      </c>
      <c r="H3879">
        <v>20846.5318112238</v>
      </c>
      <c r="I3879">
        <v>157274.05</v>
      </c>
      <c r="J3879">
        <v>136427.52</v>
      </c>
      <c r="K3879" s="1"/>
      <c r="L3879" s="1"/>
      <c r="M3879" s="1"/>
      <c r="N3879" s="1"/>
    </row>
    <row r="3880" ht="15.75" customHeight="1">
      <c r="A3880" t="s">
        <v>25</v>
      </c>
      <c r="B3880" t="s">
        <v>33</v>
      </c>
      <c r="C3880" t="s">
        <v>4909</v>
      </c>
      <c r="D3880" t="s">
        <v>3971</v>
      </c>
      <c r="E3880">
        <v>92690.1050442457</v>
      </c>
      <c r="F3880">
        <v>32924.8134652739</v>
      </c>
      <c r="G3880">
        <v>31682.3103609977</v>
      </c>
      <c r="H3880">
        <v>20849.9293619111</v>
      </c>
      <c r="I3880">
        <v>157297.23</v>
      </c>
      <c r="J3880">
        <v>136447.3</v>
      </c>
      <c r="K3880" s="1"/>
      <c r="L3880" s="1"/>
      <c r="M3880" s="1"/>
      <c r="N3880" s="1"/>
    </row>
    <row r="3881" ht="15.75" customHeight="1">
      <c r="A3881" t="s">
        <v>36</v>
      </c>
      <c r="B3881" t="s">
        <v>33</v>
      </c>
      <c r="C3881" t="s">
        <v>4905</v>
      </c>
      <c r="D3881" t="s">
        <v>3972</v>
      </c>
      <c r="E3881">
        <v>92711.8709840581</v>
      </c>
      <c r="F3881">
        <v>32934.0429019288</v>
      </c>
      <c r="G3881">
        <v>31697.6703678567</v>
      </c>
      <c r="H3881">
        <v>20856.7244632857</v>
      </c>
      <c r="I3881">
        <v>157343.58</v>
      </c>
      <c r="J3881">
        <v>136486.86</v>
      </c>
      <c r="K3881" s="1"/>
      <c r="L3881" s="1"/>
      <c r="M3881" s="1"/>
      <c r="N3881" s="1"/>
    </row>
    <row r="3882" ht="15.75" customHeight="1">
      <c r="A3882" t="s">
        <v>51</v>
      </c>
      <c r="B3882" t="s">
        <v>37</v>
      </c>
      <c r="C3882" t="s">
        <v>4909</v>
      </c>
      <c r="D3882" t="s">
        <v>3973</v>
      </c>
      <c r="E3882">
        <v>92722.7539539643</v>
      </c>
      <c r="F3882">
        <v>32938.6576202562</v>
      </c>
      <c r="G3882">
        <v>31705.3503712862</v>
      </c>
      <c r="H3882">
        <v>20860.122013973</v>
      </c>
      <c r="I3882">
        <v>157366.76</v>
      </c>
      <c r="J3882">
        <v>136506.64</v>
      </c>
      <c r="K3882" s="1"/>
      <c r="L3882" s="1"/>
      <c r="M3882" s="1"/>
      <c r="N3882" s="1"/>
    </row>
    <row r="3883" ht="15.75" customHeight="1">
      <c r="A3883" t="s">
        <v>17</v>
      </c>
      <c r="B3883" t="s">
        <v>14</v>
      </c>
      <c r="C3883" t="s">
        <v>4905</v>
      </c>
      <c r="D3883" t="s">
        <v>3974</v>
      </c>
      <c r="E3883">
        <v>92733.6369238705</v>
      </c>
      <c r="F3883">
        <v>32943.2723385836</v>
      </c>
      <c r="G3883">
        <v>31713.0303747157</v>
      </c>
      <c r="H3883">
        <v>20863.5195646603</v>
      </c>
      <c r="I3883">
        <v>157389.94</v>
      </c>
      <c r="J3883">
        <v>136526.42</v>
      </c>
      <c r="K3883" s="1"/>
      <c r="L3883" s="1"/>
      <c r="M3883" s="1"/>
      <c r="N3883" s="1"/>
    </row>
    <row r="3884" ht="15.75" customHeight="1">
      <c r="A3884" t="s">
        <v>25</v>
      </c>
      <c r="B3884" t="s">
        <v>26</v>
      </c>
      <c r="C3884" t="s">
        <v>4914</v>
      </c>
      <c r="D3884" t="s">
        <v>3975</v>
      </c>
      <c r="E3884">
        <v>92744.5198937767</v>
      </c>
      <c r="F3884">
        <v>32947.887056911</v>
      </c>
      <c r="G3884">
        <v>31720.7103781452</v>
      </c>
      <c r="H3884">
        <v>20866.9171153476</v>
      </c>
      <c r="I3884">
        <v>157413.12</v>
      </c>
      <c r="J3884">
        <v>136546.2</v>
      </c>
      <c r="K3884" s="1"/>
      <c r="L3884" s="1"/>
      <c r="M3884" s="1"/>
      <c r="N3884" s="1"/>
    </row>
    <row r="3885" ht="15.75" customHeight="1">
      <c r="A3885" t="s">
        <v>13</v>
      </c>
      <c r="B3885" t="s">
        <v>26</v>
      </c>
      <c r="C3885" t="s">
        <v>4913</v>
      </c>
      <c r="D3885" t="s">
        <v>3976</v>
      </c>
      <c r="E3885">
        <v>92755.4028636829</v>
      </c>
      <c r="F3885">
        <v>32952.5017752385</v>
      </c>
      <c r="G3885">
        <v>31728.3903815747</v>
      </c>
      <c r="H3885">
        <v>20870.3146660348</v>
      </c>
      <c r="I3885">
        <v>157436.3</v>
      </c>
      <c r="J3885">
        <v>136565.99</v>
      </c>
      <c r="K3885" s="1"/>
      <c r="L3885" s="1"/>
      <c r="M3885" s="1"/>
      <c r="N3885" s="1"/>
    </row>
    <row r="3886" ht="15.75" customHeight="1">
      <c r="A3886" t="s">
        <v>17</v>
      </c>
      <c r="B3886" t="s">
        <v>37</v>
      </c>
      <c r="C3886" t="s">
        <v>4913</v>
      </c>
      <c r="D3886" t="s">
        <v>3977</v>
      </c>
      <c r="E3886">
        <v>92766.2858335891</v>
      </c>
      <c r="F3886">
        <v>32957.1164935659</v>
      </c>
      <c r="G3886">
        <v>31736.0703850042</v>
      </c>
      <c r="H3886">
        <v>20873.7122167221</v>
      </c>
      <c r="I3886">
        <v>157459.47</v>
      </c>
      <c r="J3886">
        <v>136585.76</v>
      </c>
      <c r="K3886" s="1"/>
      <c r="L3886" s="1"/>
      <c r="M3886" s="1"/>
      <c r="N3886" s="1"/>
    </row>
    <row r="3887" ht="15.75" customHeight="1">
      <c r="A3887" t="s">
        <v>51</v>
      </c>
      <c r="B3887" t="s">
        <v>30</v>
      </c>
      <c r="C3887" t="s">
        <v>4909</v>
      </c>
      <c r="D3887" t="s">
        <v>3978</v>
      </c>
      <c r="E3887">
        <v>92777.1688034953</v>
      </c>
      <c r="F3887">
        <v>32961.7312118933</v>
      </c>
      <c r="G3887">
        <v>31743.7503884337</v>
      </c>
      <c r="H3887">
        <v>20877.1097674094</v>
      </c>
      <c r="I3887">
        <v>157482.65</v>
      </c>
      <c r="J3887">
        <v>136605.54</v>
      </c>
      <c r="K3887" s="1"/>
      <c r="L3887" s="1"/>
      <c r="M3887" s="1"/>
      <c r="N3887" s="1"/>
    </row>
    <row r="3888" ht="15.75" customHeight="1">
      <c r="A3888" t="s">
        <v>51</v>
      </c>
      <c r="B3888" t="s">
        <v>18</v>
      </c>
      <c r="C3888" t="s">
        <v>4908</v>
      </c>
      <c r="D3888" t="s">
        <v>3979</v>
      </c>
      <c r="E3888">
        <v>92788.0517734015</v>
      </c>
      <c r="F3888">
        <v>32966.3459302207</v>
      </c>
      <c r="G3888">
        <v>31751.4303918632</v>
      </c>
      <c r="H3888">
        <v>20880.5073180967</v>
      </c>
      <c r="I3888">
        <v>157505.83</v>
      </c>
      <c r="J3888">
        <v>136625.32</v>
      </c>
      <c r="K3888" s="1"/>
      <c r="L3888" s="1"/>
      <c r="M3888" s="1"/>
      <c r="N3888" s="1"/>
    </row>
    <row r="3889" ht="15.75" customHeight="1">
      <c r="A3889" t="s">
        <v>36</v>
      </c>
      <c r="B3889" t="s">
        <v>30</v>
      </c>
      <c r="C3889" t="s">
        <v>4917</v>
      </c>
      <c r="D3889" t="s">
        <v>3980</v>
      </c>
      <c r="E3889">
        <v>92798.9347433076</v>
      </c>
      <c r="F3889">
        <v>32970.9606485482</v>
      </c>
      <c r="G3889">
        <v>31759.1103952927</v>
      </c>
      <c r="H3889">
        <v>20883.904868784</v>
      </c>
      <c r="I3889">
        <v>157529.01</v>
      </c>
      <c r="J3889">
        <v>136645.11</v>
      </c>
      <c r="K3889" s="1"/>
      <c r="L3889" s="1"/>
      <c r="M3889" s="1"/>
      <c r="N3889" s="1"/>
    </row>
    <row r="3890" ht="15.75" customHeight="1">
      <c r="A3890" t="s">
        <v>36</v>
      </c>
      <c r="B3890" t="s">
        <v>18</v>
      </c>
      <c r="C3890" t="s">
        <v>4912</v>
      </c>
      <c r="D3890" t="s">
        <v>3981</v>
      </c>
      <c r="E3890">
        <v>92809.8177132138</v>
      </c>
      <c r="F3890">
        <v>32975.5753668756</v>
      </c>
      <c r="G3890">
        <v>31766.7903987222</v>
      </c>
      <c r="H3890">
        <v>20887.3024194713</v>
      </c>
      <c r="I3890">
        <v>157552.18</v>
      </c>
      <c r="J3890">
        <v>136664.88</v>
      </c>
      <c r="K3890" s="1"/>
      <c r="L3890" s="1"/>
      <c r="M3890" s="1"/>
      <c r="N3890" s="1"/>
    </row>
    <row r="3891" ht="15.75" customHeight="1">
      <c r="A3891" t="s">
        <v>53</v>
      </c>
      <c r="B3891" t="s">
        <v>14</v>
      </c>
      <c r="C3891" t="s">
        <v>4910</v>
      </c>
      <c r="D3891" t="s">
        <v>3982</v>
      </c>
      <c r="E3891">
        <v>92820.70068312</v>
      </c>
      <c r="F3891">
        <v>32980.190085203</v>
      </c>
      <c r="G3891">
        <v>31774.4704021517</v>
      </c>
      <c r="H3891">
        <v>20890.6999701586</v>
      </c>
      <c r="I3891">
        <v>157575.36</v>
      </c>
      <c r="J3891">
        <v>136684.66</v>
      </c>
      <c r="K3891" s="1"/>
      <c r="L3891" s="1"/>
      <c r="M3891" s="1"/>
      <c r="N3891" s="1"/>
    </row>
    <row r="3892" ht="15.75" customHeight="1">
      <c r="A3892" t="s">
        <v>36</v>
      </c>
      <c r="B3892" t="s">
        <v>26</v>
      </c>
      <c r="C3892" t="s">
        <v>4910</v>
      </c>
      <c r="D3892" t="s">
        <v>3983</v>
      </c>
      <c r="E3892">
        <v>92831.5836530262</v>
      </c>
      <c r="F3892">
        <v>32984.8048035304</v>
      </c>
      <c r="G3892">
        <v>31782.1504055812</v>
      </c>
      <c r="H3892">
        <v>20894.0975208459</v>
      </c>
      <c r="I3892">
        <v>157598.54</v>
      </c>
      <c r="J3892">
        <v>136704.44</v>
      </c>
      <c r="K3892" s="1"/>
      <c r="L3892" s="1"/>
      <c r="M3892" s="1"/>
      <c r="N3892" s="1"/>
    </row>
    <row r="3893" ht="15.75" customHeight="1">
      <c r="A3893" t="s">
        <v>29</v>
      </c>
      <c r="B3893" t="s">
        <v>54</v>
      </c>
      <c r="C3893" t="s">
        <v>4916</v>
      </c>
      <c r="D3893" t="s">
        <v>3984</v>
      </c>
      <c r="E3893">
        <v>92842.4666229324</v>
      </c>
      <c r="F3893">
        <v>32989.4195218578</v>
      </c>
      <c r="G3893">
        <v>31789.8304090107</v>
      </c>
      <c r="H3893">
        <v>20897.4950715331</v>
      </c>
      <c r="I3893">
        <v>157621.72</v>
      </c>
      <c r="J3893">
        <v>136724.22</v>
      </c>
      <c r="K3893" s="1"/>
      <c r="L3893" s="1"/>
      <c r="M3893" s="1"/>
      <c r="N3893" s="1"/>
    </row>
    <row r="3894" ht="15.75" customHeight="1">
      <c r="A3894" t="s">
        <v>25</v>
      </c>
      <c r="B3894" t="s">
        <v>33</v>
      </c>
      <c r="C3894" t="s">
        <v>4905</v>
      </c>
      <c r="D3894" t="s">
        <v>3985</v>
      </c>
      <c r="E3894">
        <v>92853.3495928386</v>
      </c>
      <c r="F3894">
        <v>32994.0342401853</v>
      </c>
      <c r="G3894">
        <v>31797.5104124402</v>
      </c>
      <c r="H3894">
        <v>20900.8926222204</v>
      </c>
      <c r="I3894">
        <v>157644.89</v>
      </c>
      <c r="J3894">
        <v>136744.0</v>
      </c>
      <c r="K3894" s="1"/>
      <c r="L3894" s="1"/>
      <c r="M3894" s="1"/>
      <c r="N3894" s="1"/>
    </row>
    <row r="3895" ht="15.75" customHeight="1">
      <c r="A3895" t="s">
        <v>53</v>
      </c>
      <c r="B3895" t="s">
        <v>26</v>
      </c>
      <c r="C3895" t="s">
        <v>4912</v>
      </c>
      <c r="D3895" t="s">
        <v>3986</v>
      </c>
      <c r="E3895">
        <v>92864.2325627448</v>
      </c>
      <c r="F3895">
        <v>32998.6489585127</v>
      </c>
      <c r="G3895">
        <v>31805.1904158697</v>
      </c>
      <c r="H3895">
        <v>20904.2901729077</v>
      </c>
      <c r="I3895">
        <v>157668.07</v>
      </c>
      <c r="J3895">
        <v>136763.78</v>
      </c>
      <c r="K3895" s="1"/>
      <c r="L3895" s="1"/>
      <c r="M3895" s="1"/>
      <c r="N3895" s="1"/>
    </row>
    <row r="3896" ht="15.75" customHeight="1">
      <c r="A3896" t="s">
        <v>17</v>
      </c>
      <c r="B3896" t="s">
        <v>30</v>
      </c>
      <c r="C3896" t="s">
        <v>4914</v>
      </c>
      <c r="D3896" t="s">
        <v>3987</v>
      </c>
      <c r="E3896">
        <v>92875.115532651</v>
      </c>
      <c r="F3896">
        <v>33003.2636768401</v>
      </c>
      <c r="G3896">
        <v>31812.8704192992</v>
      </c>
      <c r="H3896">
        <v>20907.687723595</v>
      </c>
      <c r="I3896">
        <v>157691.25</v>
      </c>
      <c r="J3896">
        <v>136783.56</v>
      </c>
      <c r="K3896" s="1"/>
      <c r="L3896" s="1"/>
      <c r="M3896" s="1"/>
      <c r="N3896" s="1"/>
    </row>
    <row r="3897" ht="15.75" customHeight="1">
      <c r="A3897" t="s">
        <v>51</v>
      </c>
      <c r="B3897" t="s">
        <v>30</v>
      </c>
      <c r="C3897" t="s">
        <v>4914</v>
      </c>
      <c r="D3897" t="s">
        <v>3988</v>
      </c>
      <c r="E3897">
        <v>92885.9985025572</v>
      </c>
      <c r="F3897">
        <v>33007.8783951675</v>
      </c>
      <c r="G3897">
        <v>31820.5504227287</v>
      </c>
      <c r="H3897">
        <v>20911.0852742823</v>
      </c>
      <c r="I3897">
        <v>157714.43</v>
      </c>
      <c r="J3897">
        <v>136803.34</v>
      </c>
      <c r="K3897" s="1"/>
      <c r="L3897" s="1"/>
      <c r="M3897" s="1"/>
      <c r="N3897" s="1"/>
    </row>
    <row r="3898" ht="15.75" customHeight="1">
      <c r="A3898" t="s">
        <v>13</v>
      </c>
      <c r="B3898" t="s">
        <v>30</v>
      </c>
      <c r="C3898" t="s">
        <v>4911</v>
      </c>
      <c r="D3898" t="s">
        <v>3989</v>
      </c>
      <c r="E3898">
        <v>92896.8814724634</v>
      </c>
      <c r="F3898">
        <v>33012.493113495</v>
      </c>
      <c r="G3898">
        <v>31828.2304261582</v>
      </c>
      <c r="H3898">
        <v>20914.4828249696</v>
      </c>
      <c r="I3898">
        <v>157737.61</v>
      </c>
      <c r="J3898">
        <v>136823.13</v>
      </c>
      <c r="K3898" s="1"/>
      <c r="L3898" s="1"/>
      <c r="M3898" s="1"/>
      <c r="N3898" s="1"/>
    </row>
    <row r="3899" ht="15.75" customHeight="1">
      <c r="A3899" t="s">
        <v>25</v>
      </c>
      <c r="B3899" t="s">
        <v>54</v>
      </c>
      <c r="C3899" t="s">
        <v>4910</v>
      </c>
      <c r="D3899" t="s">
        <v>3990</v>
      </c>
      <c r="E3899">
        <v>92907.7644423696</v>
      </c>
      <c r="F3899">
        <v>33017.1078318224</v>
      </c>
      <c r="G3899">
        <v>31835.9104295877</v>
      </c>
      <c r="H3899">
        <v>20917.8803756569</v>
      </c>
      <c r="I3899">
        <v>157760.78</v>
      </c>
      <c r="J3899">
        <v>136842.9</v>
      </c>
      <c r="K3899" s="1"/>
      <c r="L3899" s="1"/>
      <c r="M3899" s="1"/>
      <c r="N3899" s="1"/>
    </row>
    <row r="3900" ht="15.75" customHeight="1">
      <c r="A3900" t="s">
        <v>51</v>
      </c>
      <c r="B3900" t="s">
        <v>14</v>
      </c>
      <c r="C3900" t="s">
        <v>4914</v>
      </c>
      <c r="D3900" t="s">
        <v>3991</v>
      </c>
      <c r="E3900">
        <v>92918.6474122758</v>
      </c>
      <c r="F3900">
        <v>33021.7225501498</v>
      </c>
      <c r="G3900">
        <v>31843.5904330172</v>
      </c>
      <c r="H3900">
        <v>20921.2779263442</v>
      </c>
      <c r="I3900">
        <v>157783.96</v>
      </c>
      <c r="J3900">
        <v>136862.68</v>
      </c>
      <c r="K3900" s="1"/>
      <c r="L3900" s="1"/>
      <c r="M3900" s="1"/>
      <c r="N3900" s="1"/>
    </row>
    <row r="3901" ht="15.75" customHeight="1">
      <c r="A3901" t="s">
        <v>36</v>
      </c>
      <c r="B3901" t="s">
        <v>37</v>
      </c>
      <c r="C3901" t="s">
        <v>4912</v>
      </c>
      <c r="D3901" t="s">
        <v>3992</v>
      </c>
      <c r="E3901">
        <v>92929.530382182</v>
      </c>
      <c r="F3901">
        <v>33026.3372684772</v>
      </c>
      <c r="G3901">
        <v>31851.2704364467</v>
      </c>
      <c r="H3901">
        <v>20924.6754770314</v>
      </c>
      <c r="I3901">
        <v>157807.14</v>
      </c>
      <c r="J3901">
        <v>136882.46</v>
      </c>
      <c r="K3901" s="1"/>
      <c r="L3901" s="1"/>
      <c r="M3901" s="1"/>
      <c r="N3901" s="1"/>
    </row>
    <row r="3902" ht="15.75" customHeight="1">
      <c r="A3902" t="s">
        <v>17</v>
      </c>
      <c r="B3902" t="s">
        <v>37</v>
      </c>
      <c r="C3902" t="s">
        <v>4908</v>
      </c>
      <c r="D3902" t="s">
        <v>3993</v>
      </c>
      <c r="E3902">
        <v>92940.4133520882</v>
      </c>
      <c r="F3902">
        <v>33030.9519868046</v>
      </c>
      <c r="G3902">
        <v>31858.9504398762</v>
      </c>
      <c r="H3902">
        <v>20928.0730277187</v>
      </c>
      <c r="I3902">
        <v>157830.32</v>
      </c>
      <c r="J3902">
        <v>136902.25</v>
      </c>
      <c r="K3902" s="1"/>
      <c r="L3902" s="1"/>
      <c r="M3902" s="1"/>
      <c r="N3902" s="1"/>
    </row>
    <row r="3903" ht="15.75" customHeight="1">
      <c r="A3903" t="s">
        <v>51</v>
      </c>
      <c r="B3903" t="s">
        <v>26</v>
      </c>
      <c r="C3903" t="s">
        <v>4907</v>
      </c>
      <c r="D3903" t="s">
        <v>3994</v>
      </c>
      <c r="E3903">
        <v>92951.2963219944</v>
      </c>
      <c r="F3903">
        <v>33035.5667051321</v>
      </c>
      <c r="G3903">
        <v>31866.6304433057</v>
      </c>
      <c r="H3903">
        <v>20931.470578406</v>
      </c>
      <c r="I3903">
        <v>157853.49</v>
      </c>
      <c r="J3903">
        <v>136922.02</v>
      </c>
      <c r="K3903" s="1"/>
      <c r="L3903" s="1"/>
      <c r="M3903" s="1"/>
      <c r="N3903" s="1"/>
    </row>
    <row r="3904" ht="15.75" customHeight="1">
      <c r="A3904" t="s">
        <v>53</v>
      </c>
      <c r="B3904" t="s">
        <v>54</v>
      </c>
      <c r="C3904" t="s">
        <v>4909</v>
      </c>
      <c r="D3904" t="s">
        <v>3995</v>
      </c>
      <c r="E3904">
        <v>92962.1792919005</v>
      </c>
      <c r="F3904">
        <v>33040.1814234595</v>
      </c>
      <c r="G3904">
        <v>31874.3104467352</v>
      </c>
      <c r="H3904">
        <v>20934.8681290933</v>
      </c>
      <c r="I3904">
        <v>157876.67</v>
      </c>
      <c r="J3904">
        <v>136941.8</v>
      </c>
      <c r="K3904" s="1"/>
      <c r="L3904" s="1"/>
      <c r="M3904" s="1"/>
      <c r="N3904" s="1"/>
    </row>
    <row r="3905" ht="15.75" customHeight="1">
      <c r="A3905" t="s">
        <v>53</v>
      </c>
      <c r="B3905" t="s">
        <v>26</v>
      </c>
      <c r="C3905" t="s">
        <v>4912</v>
      </c>
      <c r="D3905" t="s">
        <v>3996</v>
      </c>
      <c r="E3905">
        <v>92973.0622618067</v>
      </c>
      <c r="F3905">
        <v>33044.7961417869</v>
      </c>
      <c r="G3905">
        <v>31881.9904501647</v>
      </c>
      <c r="H3905">
        <v>20938.2656797806</v>
      </c>
      <c r="I3905">
        <v>157899.85</v>
      </c>
      <c r="J3905">
        <v>136961.58</v>
      </c>
      <c r="K3905" s="1"/>
      <c r="L3905" s="1"/>
      <c r="M3905" s="1"/>
      <c r="N3905" s="1"/>
    </row>
    <row r="3906" ht="15.75" customHeight="1">
      <c r="A3906" t="s">
        <v>36</v>
      </c>
      <c r="B3906" t="s">
        <v>33</v>
      </c>
      <c r="C3906" t="s">
        <v>4908</v>
      </c>
      <c r="D3906" t="s">
        <v>3997</v>
      </c>
      <c r="E3906">
        <v>92983.9452317129</v>
      </c>
      <c r="F3906">
        <v>33049.4108601143</v>
      </c>
      <c r="G3906">
        <v>31889.6704535942</v>
      </c>
      <c r="H3906">
        <v>20941.6632304679</v>
      </c>
      <c r="I3906">
        <v>157923.03</v>
      </c>
      <c r="J3906">
        <v>136981.37</v>
      </c>
      <c r="K3906" s="1"/>
      <c r="L3906" s="1"/>
      <c r="M3906" s="1"/>
      <c r="N3906" s="1"/>
    </row>
    <row r="3907" ht="15.75" customHeight="1">
      <c r="A3907" t="s">
        <v>36</v>
      </c>
      <c r="B3907" t="s">
        <v>30</v>
      </c>
      <c r="C3907" t="s">
        <v>4916</v>
      </c>
      <c r="D3907" t="s">
        <v>3998</v>
      </c>
      <c r="E3907">
        <v>92994.8282016191</v>
      </c>
      <c r="F3907">
        <v>33054.0255784418</v>
      </c>
      <c r="G3907">
        <v>31897.3504570237</v>
      </c>
      <c r="H3907">
        <v>20945.0607811552</v>
      </c>
      <c r="I3907">
        <v>157946.2</v>
      </c>
      <c r="J3907">
        <v>137001.14</v>
      </c>
      <c r="K3907" s="1"/>
      <c r="L3907" s="1"/>
      <c r="M3907" s="1"/>
      <c r="N3907" s="1"/>
    </row>
    <row r="3908" ht="15.75" customHeight="1">
      <c r="A3908" t="s">
        <v>25</v>
      </c>
      <c r="B3908" t="s">
        <v>54</v>
      </c>
      <c r="C3908" t="s">
        <v>4910</v>
      </c>
      <c r="D3908" t="s">
        <v>3999</v>
      </c>
      <c r="E3908">
        <v>93005.7111715253</v>
      </c>
      <c r="F3908">
        <v>33058.6402967692</v>
      </c>
      <c r="G3908">
        <v>31905.0304604532</v>
      </c>
      <c r="H3908">
        <v>20948.4583318424</v>
      </c>
      <c r="I3908">
        <v>157969.38</v>
      </c>
      <c r="J3908">
        <v>137020.92</v>
      </c>
      <c r="K3908" s="1"/>
      <c r="L3908" s="1"/>
      <c r="M3908" s="1"/>
      <c r="N3908" s="1"/>
    </row>
    <row r="3909" ht="15.75" customHeight="1">
      <c r="A3909" t="s">
        <v>25</v>
      </c>
      <c r="B3909" t="s">
        <v>14</v>
      </c>
      <c r="C3909" t="s">
        <v>4913</v>
      </c>
      <c r="D3909" t="s">
        <v>4000</v>
      </c>
      <c r="E3909">
        <v>93016.5941414315</v>
      </c>
      <c r="F3909">
        <v>33063.2550150966</v>
      </c>
      <c r="G3909">
        <v>31912.7104638827</v>
      </c>
      <c r="H3909">
        <v>20951.8558825297</v>
      </c>
      <c r="I3909">
        <v>157992.56</v>
      </c>
      <c r="J3909">
        <v>137040.7</v>
      </c>
      <c r="K3909" s="1"/>
      <c r="L3909" s="1"/>
      <c r="M3909" s="1"/>
      <c r="N3909" s="1"/>
    </row>
    <row r="3910" ht="15.75" customHeight="1">
      <c r="A3910" t="s">
        <v>25</v>
      </c>
      <c r="B3910" t="s">
        <v>18</v>
      </c>
      <c r="C3910" t="s">
        <v>4908</v>
      </c>
      <c r="D3910" t="s">
        <v>4001</v>
      </c>
      <c r="E3910">
        <v>93027.4771113377</v>
      </c>
      <c r="F3910">
        <v>33067.869733424</v>
      </c>
      <c r="G3910">
        <v>31920.3904673122</v>
      </c>
      <c r="H3910">
        <v>20955.253433217</v>
      </c>
      <c r="I3910">
        <v>158015.74</v>
      </c>
      <c r="J3910">
        <v>137060.49</v>
      </c>
      <c r="K3910" s="1"/>
      <c r="L3910" s="1"/>
      <c r="M3910" s="1"/>
      <c r="N3910" s="1"/>
    </row>
    <row r="3911" ht="15.75" customHeight="1">
      <c r="A3911" t="s">
        <v>53</v>
      </c>
      <c r="B3911" t="s">
        <v>54</v>
      </c>
      <c r="C3911" t="s">
        <v>4913</v>
      </c>
      <c r="D3911" t="s">
        <v>4002</v>
      </c>
      <c r="E3911">
        <v>93038.3600812439</v>
      </c>
      <c r="F3911">
        <v>33072.4844517514</v>
      </c>
      <c r="G3911">
        <v>31928.0704707417</v>
      </c>
      <c r="H3911">
        <v>20958.6509839043</v>
      </c>
      <c r="I3911">
        <v>158038.92</v>
      </c>
      <c r="J3911">
        <v>137080.27</v>
      </c>
      <c r="K3911" s="1"/>
      <c r="L3911" s="1"/>
      <c r="M3911" s="1"/>
      <c r="N3911" s="1"/>
    </row>
    <row r="3912" ht="15.75" customHeight="1">
      <c r="A3912" t="s">
        <v>25</v>
      </c>
      <c r="B3912" t="s">
        <v>30</v>
      </c>
      <c r="C3912" t="s">
        <v>4914</v>
      </c>
      <c r="D3912" t="s">
        <v>4003</v>
      </c>
      <c r="E3912">
        <v>93049.2430511501</v>
      </c>
      <c r="F3912">
        <v>33077.0991700789</v>
      </c>
      <c r="G3912">
        <v>31935.7504741711</v>
      </c>
      <c r="H3912">
        <v>20962.0485345916</v>
      </c>
      <c r="I3912">
        <v>158062.09</v>
      </c>
      <c r="J3912">
        <v>137100.04</v>
      </c>
      <c r="K3912" s="1"/>
      <c r="L3912" s="1"/>
      <c r="M3912" s="1"/>
      <c r="N3912" s="1"/>
    </row>
    <row r="3913" ht="15.75" customHeight="1">
      <c r="A3913" t="s">
        <v>17</v>
      </c>
      <c r="B3913" t="s">
        <v>26</v>
      </c>
      <c r="C3913" t="s">
        <v>4905</v>
      </c>
      <c r="D3913" t="s">
        <v>4004</v>
      </c>
      <c r="E3913">
        <v>93060.1260210563</v>
      </c>
      <c r="F3913">
        <v>33081.7138884063</v>
      </c>
      <c r="G3913">
        <v>31943.4304776006</v>
      </c>
      <c r="H3913">
        <v>20965.4460852789</v>
      </c>
      <c r="I3913">
        <v>158085.27</v>
      </c>
      <c r="J3913">
        <v>137119.82</v>
      </c>
      <c r="K3913" s="1"/>
      <c r="L3913" s="1"/>
      <c r="M3913" s="1"/>
      <c r="N3913" s="1"/>
    </row>
    <row r="3914" ht="15.75" customHeight="1">
      <c r="A3914" t="s">
        <v>51</v>
      </c>
      <c r="B3914" t="s">
        <v>30</v>
      </c>
      <c r="C3914" t="s">
        <v>4912</v>
      </c>
      <c r="D3914" t="s">
        <v>4005</v>
      </c>
      <c r="E3914">
        <v>93071.0089909625</v>
      </c>
      <c r="F3914">
        <v>33086.3286067337</v>
      </c>
      <c r="G3914">
        <v>31951.1104810301</v>
      </c>
      <c r="H3914">
        <v>20968.8436359662</v>
      </c>
      <c r="I3914">
        <v>158108.45</v>
      </c>
      <c r="J3914">
        <v>137139.61</v>
      </c>
      <c r="K3914" s="1"/>
      <c r="L3914" s="1"/>
      <c r="M3914" s="1"/>
      <c r="N3914" s="1"/>
    </row>
    <row r="3915" ht="15.75" customHeight="1">
      <c r="A3915" t="s">
        <v>36</v>
      </c>
      <c r="B3915" t="s">
        <v>37</v>
      </c>
      <c r="C3915" t="s">
        <v>4914</v>
      </c>
      <c r="D3915" t="s">
        <v>4006</v>
      </c>
      <c r="E3915">
        <v>93081.8919608687</v>
      </c>
      <c r="F3915">
        <v>33090.9433250611</v>
      </c>
      <c r="G3915">
        <v>31958.7904844596</v>
      </c>
      <c r="H3915">
        <v>20972.2411866535</v>
      </c>
      <c r="I3915">
        <v>158131.63</v>
      </c>
      <c r="J3915">
        <v>137159.39</v>
      </c>
      <c r="K3915" s="1"/>
      <c r="L3915" s="1"/>
      <c r="M3915" s="1"/>
      <c r="N3915" s="1"/>
    </row>
    <row r="3916" ht="15.75" customHeight="1">
      <c r="A3916" t="s">
        <v>17</v>
      </c>
      <c r="B3916" t="s">
        <v>26</v>
      </c>
      <c r="C3916" t="s">
        <v>4913</v>
      </c>
      <c r="D3916" t="s">
        <v>4007</v>
      </c>
      <c r="E3916">
        <v>93092.7749307749</v>
      </c>
      <c r="F3916">
        <v>33095.5580433886</v>
      </c>
      <c r="G3916">
        <v>31966.4704878891</v>
      </c>
      <c r="H3916">
        <v>20975.6387373407</v>
      </c>
      <c r="I3916">
        <v>158154.8</v>
      </c>
      <c r="J3916">
        <v>137179.16</v>
      </c>
      <c r="K3916" s="1"/>
      <c r="L3916" s="1"/>
      <c r="M3916" s="1"/>
      <c r="N3916" s="1"/>
    </row>
    <row r="3917" ht="15.75" customHeight="1">
      <c r="A3917" t="s">
        <v>29</v>
      </c>
      <c r="B3917" t="s">
        <v>30</v>
      </c>
      <c r="C3917" t="s">
        <v>4910</v>
      </c>
      <c r="D3917" t="s">
        <v>4008</v>
      </c>
      <c r="E3917">
        <v>93103.6579006811</v>
      </c>
      <c r="F3917">
        <v>33100.172761716</v>
      </c>
      <c r="G3917">
        <v>31974.1504913186</v>
      </c>
      <c r="H3917">
        <v>20979.036288028</v>
      </c>
      <c r="I3917">
        <v>158177.98</v>
      </c>
      <c r="J3917">
        <v>137198.94</v>
      </c>
      <c r="K3917" s="1"/>
      <c r="L3917" s="1"/>
      <c r="M3917" s="1"/>
      <c r="N3917" s="1"/>
    </row>
    <row r="3918" ht="15.75" customHeight="1">
      <c r="A3918" t="s">
        <v>53</v>
      </c>
      <c r="B3918" t="s">
        <v>18</v>
      </c>
      <c r="C3918" t="s">
        <v>4912</v>
      </c>
      <c r="D3918" t="s">
        <v>4009</v>
      </c>
      <c r="E3918">
        <v>93114.5408705873</v>
      </c>
      <c r="F3918">
        <v>33104.7874800434</v>
      </c>
      <c r="G3918">
        <v>31981.8304947481</v>
      </c>
      <c r="H3918">
        <v>20982.4338387153</v>
      </c>
      <c r="I3918">
        <v>158201.16</v>
      </c>
      <c r="J3918">
        <v>137218.73</v>
      </c>
      <c r="K3918" s="1"/>
      <c r="L3918" s="1"/>
      <c r="M3918" s="1"/>
      <c r="N3918" s="1"/>
    </row>
    <row r="3919" ht="15.75" customHeight="1">
      <c r="A3919" t="s">
        <v>13</v>
      </c>
      <c r="B3919" t="s">
        <v>37</v>
      </c>
      <c r="C3919" t="s">
        <v>4914</v>
      </c>
      <c r="D3919" t="s">
        <v>4010</v>
      </c>
      <c r="E3919">
        <v>93125.4238404934</v>
      </c>
      <c r="F3919">
        <v>33109.4021983708</v>
      </c>
      <c r="G3919">
        <v>31989.5104981776</v>
      </c>
      <c r="H3919">
        <v>20985.8313894026</v>
      </c>
      <c r="I3919">
        <v>158224.34</v>
      </c>
      <c r="J3919">
        <v>137238.51</v>
      </c>
      <c r="K3919" s="1"/>
      <c r="L3919" s="1"/>
      <c r="M3919" s="1"/>
      <c r="N3919" s="1"/>
    </row>
    <row r="3920" ht="15.75" customHeight="1">
      <c r="A3920" t="s">
        <v>51</v>
      </c>
      <c r="B3920" t="s">
        <v>26</v>
      </c>
      <c r="C3920" t="s">
        <v>4913</v>
      </c>
      <c r="D3920" t="s">
        <v>4011</v>
      </c>
      <c r="E3920">
        <v>93136.3068103996</v>
      </c>
      <c r="F3920">
        <v>33114.0169166982</v>
      </c>
      <c r="G3920">
        <v>31997.1905016071</v>
      </c>
      <c r="H3920">
        <v>20989.2289400899</v>
      </c>
      <c r="I3920">
        <v>158247.51</v>
      </c>
      <c r="J3920">
        <v>137258.28</v>
      </c>
      <c r="K3920" s="1"/>
      <c r="L3920" s="1"/>
      <c r="M3920" s="1"/>
      <c r="N3920" s="1"/>
    </row>
    <row r="3921" ht="15.75" customHeight="1">
      <c r="A3921" t="s">
        <v>29</v>
      </c>
      <c r="B3921" t="s">
        <v>33</v>
      </c>
      <c r="C3921" t="s">
        <v>4910</v>
      </c>
      <c r="D3921" t="s">
        <v>4012</v>
      </c>
      <c r="E3921">
        <v>93147.1897803058</v>
      </c>
      <c r="F3921">
        <v>33118.6316350257</v>
      </c>
      <c r="G3921">
        <v>32004.8705050366</v>
      </c>
      <c r="H3921">
        <v>20992.6264907772</v>
      </c>
      <c r="I3921">
        <v>158270.69</v>
      </c>
      <c r="J3921">
        <v>137278.06</v>
      </c>
      <c r="K3921" s="1"/>
      <c r="L3921" s="1"/>
      <c r="M3921" s="1"/>
      <c r="N3921" s="1"/>
    </row>
    <row r="3922" ht="15.75" customHeight="1">
      <c r="A3922" t="s">
        <v>13</v>
      </c>
      <c r="B3922" t="s">
        <v>26</v>
      </c>
      <c r="C3922" t="s">
        <v>4917</v>
      </c>
      <c r="D3922" t="s">
        <v>4013</v>
      </c>
      <c r="E3922">
        <v>93158.072750212</v>
      </c>
      <c r="F3922">
        <v>33123.2463533531</v>
      </c>
      <c r="G3922">
        <v>32012.5505084661</v>
      </c>
      <c r="H3922">
        <v>20996.0240414645</v>
      </c>
      <c r="I3922">
        <v>158293.87</v>
      </c>
      <c r="J3922">
        <v>137297.85</v>
      </c>
      <c r="K3922" s="1"/>
      <c r="L3922" s="1"/>
      <c r="M3922" s="1"/>
      <c r="N3922" s="1"/>
    </row>
    <row r="3923" ht="15.75" customHeight="1">
      <c r="A3923" t="s">
        <v>17</v>
      </c>
      <c r="B3923" t="s">
        <v>14</v>
      </c>
      <c r="C3923" t="s">
        <v>4908</v>
      </c>
      <c r="D3923" t="s">
        <v>4014</v>
      </c>
      <c r="E3923">
        <v>93168.9557201182</v>
      </c>
      <c r="F3923">
        <v>33127.8610716805</v>
      </c>
      <c r="G3923">
        <v>32020.2305118956</v>
      </c>
      <c r="H3923">
        <v>20999.4215921518</v>
      </c>
      <c r="I3923">
        <v>158317.05</v>
      </c>
      <c r="J3923">
        <v>137317.63</v>
      </c>
      <c r="K3923" s="1"/>
      <c r="L3923" s="1"/>
      <c r="M3923" s="1"/>
      <c r="N3923" s="1"/>
    </row>
    <row r="3924" ht="15.75" customHeight="1">
      <c r="A3924" t="s">
        <v>51</v>
      </c>
      <c r="B3924" t="s">
        <v>18</v>
      </c>
      <c r="C3924" t="s">
        <v>4909</v>
      </c>
      <c r="D3924" t="s">
        <v>4015</v>
      </c>
      <c r="E3924">
        <v>93179.8386900244</v>
      </c>
      <c r="F3924">
        <v>33132.4757900079</v>
      </c>
      <c r="G3924">
        <v>32027.9105153251</v>
      </c>
      <c r="H3924">
        <v>21002.819142839</v>
      </c>
      <c r="I3924">
        <v>158340.22</v>
      </c>
      <c r="J3924">
        <v>137337.4</v>
      </c>
      <c r="K3924" s="1"/>
      <c r="L3924" s="1"/>
      <c r="M3924" s="1"/>
      <c r="N3924" s="1"/>
    </row>
    <row r="3925" ht="15.75" customHeight="1">
      <c r="A3925" t="s">
        <v>17</v>
      </c>
      <c r="B3925" t="s">
        <v>26</v>
      </c>
      <c r="C3925" t="s">
        <v>4905</v>
      </c>
      <c r="D3925" t="s">
        <v>4016</v>
      </c>
      <c r="E3925">
        <v>93190.7216599306</v>
      </c>
      <c r="F3925">
        <v>33137.0905083354</v>
      </c>
      <c r="G3925">
        <v>32035.5905187546</v>
      </c>
      <c r="H3925">
        <v>21006.2166935263</v>
      </c>
      <c r="I3925">
        <v>158363.4</v>
      </c>
      <c r="J3925">
        <v>137357.18</v>
      </c>
      <c r="K3925" s="1"/>
      <c r="L3925" s="1"/>
      <c r="M3925" s="1"/>
      <c r="N3925" s="1"/>
    </row>
    <row r="3926" ht="15.75" customHeight="1">
      <c r="A3926" t="s">
        <v>51</v>
      </c>
      <c r="B3926" t="s">
        <v>14</v>
      </c>
      <c r="C3926" t="s">
        <v>4914</v>
      </c>
      <c r="D3926" t="s">
        <v>4017</v>
      </c>
      <c r="E3926">
        <v>93201.6046298368</v>
      </c>
      <c r="F3926">
        <v>33141.7052266628</v>
      </c>
      <c r="G3926">
        <v>32043.2705221841</v>
      </c>
      <c r="H3926">
        <v>21009.6142442136</v>
      </c>
      <c r="I3926">
        <v>158386.58</v>
      </c>
      <c r="J3926">
        <v>137376.97</v>
      </c>
      <c r="K3926" s="1"/>
      <c r="L3926" s="1"/>
      <c r="M3926" s="1"/>
      <c r="N3926" s="1"/>
    </row>
    <row r="3927" ht="15.75" customHeight="1">
      <c r="A3927" t="s">
        <v>36</v>
      </c>
      <c r="B3927" t="s">
        <v>54</v>
      </c>
      <c r="C3927" t="s">
        <v>4912</v>
      </c>
      <c r="D3927" t="s">
        <v>4018</v>
      </c>
      <c r="E3927">
        <v>93212.487599743</v>
      </c>
      <c r="F3927">
        <v>33146.3199449902</v>
      </c>
      <c r="G3927">
        <v>32050.9505256136</v>
      </c>
      <c r="H3927">
        <v>21013.0117949009</v>
      </c>
      <c r="I3927">
        <v>158409.76</v>
      </c>
      <c r="J3927">
        <v>137396.75</v>
      </c>
      <c r="K3927" s="1"/>
      <c r="L3927" s="1"/>
      <c r="M3927" s="1"/>
      <c r="N3927" s="1"/>
    </row>
    <row r="3928" ht="15.75" customHeight="1">
      <c r="A3928" t="s">
        <v>51</v>
      </c>
      <c r="B3928" t="s">
        <v>26</v>
      </c>
      <c r="C3928" t="s">
        <v>4911</v>
      </c>
      <c r="D3928" t="s">
        <v>4019</v>
      </c>
      <c r="E3928">
        <v>93223.3705696492</v>
      </c>
      <c r="F3928">
        <v>33150.9346633176</v>
      </c>
      <c r="G3928">
        <v>32058.6305290431</v>
      </c>
      <c r="H3928">
        <v>21016.4093455882</v>
      </c>
      <c r="I3928">
        <v>158432.94</v>
      </c>
      <c r="J3928">
        <v>137416.53</v>
      </c>
      <c r="K3928" s="1"/>
      <c r="L3928" s="1"/>
      <c r="M3928" s="1"/>
      <c r="N3928" s="1"/>
    </row>
    <row r="3929" ht="15.75" customHeight="1">
      <c r="A3929" t="s">
        <v>29</v>
      </c>
      <c r="B3929" t="s">
        <v>18</v>
      </c>
      <c r="C3929" t="s">
        <v>4917</v>
      </c>
      <c r="D3929" t="s">
        <v>4020</v>
      </c>
      <c r="E3929">
        <v>93234.2535395554</v>
      </c>
      <c r="F3929">
        <v>33155.549381645</v>
      </c>
      <c r="G3929">
        <v>32066.3105324726</v>
      </c>
      <c r="H3929">
        <v>21019.8068962755</v>
      </c>
      <c r="I3929">
        <v>158456.11</v>
      </c>
      <c r="J3929">
        <v>137436.3</v>
      </c>
      <c r="K3929" s="1"/>
      <c r="L3929" s="1"/>
      <c r="M3929" s="1"/>
      <c r="N3929" s="1"/>
    </row>
    <row r="3930" ht="15.75" customHeight="1">
      <c r="A3930" t="s">
        <v>17</v>
      </c>
      <c r="B3930" t="s">
        <v>37</v>
      </c>
      <c r="C3930" t="s">
        <v>4913</v>
      </c>
      <c r="D3930" t="s">
        <v>4021</v>
      </c>
      <c r="E3930">
        <v>93245.1365094616</v>
      </c>
      <c r="F3930">
        <v>33160.1640999725</v>
      </c>
      <c r="G3930">
        <v>32073.9905359021</v>
      </c>
      <c r="H3930">
        <v>21023.2044469628</v>
      </c>
      <c r="I3930">
        <v>158479.29</v>
      </c>
      <c r="J3930">
        <v>137456.09</v>
      </c>
      <c r="K3930" s="1"/>
      <c r="L3930" s="1"/>
      <c r="M3930" s="1"/>
      <c r="N3930" s="1"/>
    </row>
    <row r="3931" ht="15.75" customHeight="1">
      <c r="A3931" t="s">
        <v>29</v>
      </c>
      <c r="B3931" t="s">
        <v>18</v>
      </c>
      <c r="C3931" t="s">
        <v>4911</v>
      </c>
      <c r="D3931" t="s">
        <v>4022</v>
      </c>
      <c r="E3931">
        <v>93256.0194793678</v>
      </c>
      <c r="F3931">
        <v>33164.7788182999</v>
      </c>
      <c r="G3931">
        <v>32081.6705393316</v>
      </c>
      <c r="H3931">
        <v>21026.60199765</v>
      </c>
      <c r="I3931">
        <v>158502.47</v>
      </c>
      <c r="J3931">
        <v>137475.87</v>
      </c>
      <c r="K3931" s="1"/>
      <c r="L3931" s="1"/>
      <c r="M3931" s="1"/>
      <c r="N3931" s="1"/>
    </row>
    <row r="3932" ht="15.75" customHeight="1">
      <c r="A3932" t="s">
        <v>13</v>
      </c>
      <c r="B3932" t="s">
        <v>18</v>
      </c>
      <c r="C3932" t="s">
        <v>4912</v>
      </c>
      <c r="D3932" t="s">
        <v>4023</v>
      </c>
      <c r="E3932">
        <v>93266.902449274</v>
      </c>
      <c r="F3932">
        <v>33169.3935366273</v>
      </c>
      <c r="G3932">
        <v>32089.3505427611</v>
      </c>
      <c r="H3932">
        <v>21029.9995483373</v>
      </c>
      <c r="I3932">
        <v>158525.65</v>
      </c>
      <c r="J3932">
        <v>137495.65</v>
      </c>
      <c r="K3932" s="1"/>
      <c r="L3932" s="1"/>
      <c r="M3932" s="1"/>
      <c r="N3932" s="1"/>
    </row>
    <row r="3933" ht="15.75" customHeight="1">
      <c r="A3933" t="s">
        <v>51</v>
      </c>
      <c r="B3933" t="s">
        <v>14</v>
      </c>
      <c r="C3933" t="s">
        <v>4916</v>
      </c>
      <c r="D3933" t="s">
        <v>4024</v>
      </c>
      <c r="E3933">
        <v>93277.7854191802</v>
      </c>
      <c r="F3933">
        <v>33174.0082549547</v>
      </c>
      <c r="G3933">
        <v>32097.0305461906</v>
      </c>
      <c r="H3933">
        <v>21033.3970990246</v>
      </c>
      <c r="I3933">
        <v>158548.82</v>
      </c>
      <c r="J3933">
        <v>137515.42</v>
      </c>
      <c r="K3933" s="1"/>
      <c r="L3933" s="1"/>
      <c r="M3933" s="1"/>
      <c r="N3933" s="1"/>
    </row>
    <row r="3934" ht="15.75" customHeight="1">
      <c r="A3934" t="s">
        <v>53</v>
      </c>
      <c r="B3934" t="s">
        <v>33</v>
      </c>
      <c r="C3934" t="s">
        <v>4917</v>
      </c>
      <c r="D3934" t="s">
        <v>4025</v>
      </c>
      <c r="E3934">
        <v>93288.6683890863</v>
      </c>
      <c r="F3934">
        <v>33178.6229732822</v>
      </c>
      <c r="G3934">
        <v>32104.7105496201</v>
      </c>
      <c r="H3934">
        <v>21036.7946497119</v>
      </c>
      <c r="I3934">
        <v>158572.0</v>
      </c>
      <c r="J3934">
        <v>137535.21</v>
      </c>
      <c r="K3934" s="1"/>
      <c r="L3934" s="1"/>
      <c r="M3934" s="1"/>
      <c r="N3934" s="1"/>
    </row>
    <row r="3935" ht="15.75" customHeight="1">
      <c r="A3935" t="s">
        <v>25</v>
      </c>
      <c r="B3935" t="s">
        <v>54</v>
      </c>
      <c r="C3935" t="s">
        <v>4910</v>
      </c>
      <c r="D3935" t="s">
        <v>4026</v>
      </c>
      <c r="E3935">
        <v>93299.5513589925</v>
      </c>
      <c r="F3935">
        <v>33183.2376916096</v>
      </c>
      <c r="G3935">
        <v>32112.3905530496</v>
      </c>
      <c r="H3935">
        <v>21040.1922003992</v>
      </c>
      <c r="I3935">
        <v>158595.18</v>
      </c>
      <c r="J3935">
        <v>137554.99</v>
      </c>
      <c r="K3935" s="1"/>
      <c r="L3935" s="1"/>
      <c r="M3935" s="1"/>
      <c r="N3935" s="1"/>
    </row>
    <row r="3936" ht="15.75" customHeight="1">
      <c r="A3936" t="s">
        <v>25</v>
      </c>
      <c r="B3936" t="s">
        <v>14</v>
      </c>
      <c r="C3936" t="s">
        <v>4913</v>
      </c>
      <c r="D3936" t="s">
        <v>4027</v>
      </c>
      <c r="E3936">
        <v>93310.4343288987</v>
      </c>
      <c r="F3936">
        <v>33187.852409937</v>
      </c>
      <c r="G3936">
        <v>32120.0705564791</v>
      </c>
      <c r="H3936">
        <v>21043.5897510865</v>
      </c>
      <c r="I3936">
        <v>158618.36</v>
      </c>
      <c r="J3936">
        <v>137574.77</v>
      </c>
      <c r="K3936" s="1"/>
      <c r="L3936" s="1"/>
      <c r="M3936" s="1"/>
      <c r="N3936" s="1"/>
    </row>
    <row r="3937" ht="15.75" customHeight="1">
      <c r="A3937" t="s">
        <v>53</v>
      </c>
      <c r="B3937" t="s">
        <v>37</v>
      </c>
      <c r="C3937" t="s">
        <v>4907</v>
      </c>
      <c r="D3937" t="s">
        <v>4028</v>
      </c>
      <c r="E3937">
        <v>93321.3172988049</v>
      </c>
      <c r="F3937">
        <v>33192.4671282644</v>
      </c>
      <c r="G3937">
        <v>32127.7505599086</v>
      </c>
      <c r="H3937">
        <v>21046.9873017738</v>
      </c>
      <c r="I3937">
        <v>158641.53</v>
      </c>
      <c r="J3937">
        <v>137594.54</v>
      </c>
      <c r="K3937" s="1"/>
      <c r="L3937" s="1"/>
      <c r="M3937" s="1"/>
      <c r="N3937" s="1"/>
    </row>
    <row r="3938" ht="15.75" customHeight="1">
      <c r="A3938" t="s">
        <v>29</v>
      </c>
      <c r="B3938" t="s">
        <v>54</v>
      </c>
      <c r="C3938" t="s">
        <v>4912</v>
      </c>
      <c r="D3938" t="s">
        <v>4029</v>
      </c>
      <c r="E3938">
        <v>93332.2002687111</v>
      </c>
      <c r="F3938">
        <v>33197.0818465918</v>
      </c>
      <c r="G3938">
        <v>32135.4305633381</v>
      </c>
      <c r="H3938">
        <v>14830.17958067168</v>
      </c>
      <c r="I3938">
        <v>158664.71</v>
      </c>
      <c r="J3938">
        <v>143834.53</v>
      </c>
      <c r="K3938" s="1"/>
      <c r="L3938" s="1"/>
      <c r="M3938" s="1"/>
      <c r="N3938" s="1"/>
    </row>
    <row r="3939" ht="15.75" customHeight="1">
      <c r="A3939" t="s">
        <v>13</v>
      </c>
      <c r="B3939" t="s">
        <v>54</v>
      </c>
      <c r="C3939" t="s">
        <v>4909</v>
      </c>
      <c r="D3939" t="s">
        <v>4030</v>
      </c>
      <c r="E3939">
        <v>93343.0832386173</v>
      </c>
      <c r="F3939">
        <v>33201.6965649193</v>
      </c>
      <c r="G3939">
        <v>32143.1105667676</v>
      </c>
      <c r="H3939">
        <v>21053.7824031483</v>
      </c>
      <c r="I3939">
        <v>158687.89</v>
      </c>
      <c r="J3939">
        <v>137634.11</v>
      </c>
      <c r="K3939" s="1"/>
      <c r="L3939" s="1"/>
      <c r="M3939" s="1"/>
      <c r="N3939" s="1"/>
    </row>
    <row r="3940" ht="15.75" customHeight="1">
      <c r="A3940" t="s">
        <v>29</v>
      </c>
      <c r="B3940" t="s">
        <v>33</v>
      </c>
      <c r="C3940" t="s">
        <v>4913</v>
      </c>
      <c r="D3940" t="s">
        <v>4031</v>
      </c>
      <c r="E3940">
        <v>93364.8491784297</v>
      </c>
      <c r="F3940">
        <v>33210.9260015741</v>
      </c>
      <c r="G3940">
        <v>32158.4705736266</v>
      </c>
      <c r="H3940">
        <v>21060.5775045229</v>
      </c>
      <c r="I3940">
        <v>158734.25</v>
      </c>
      <c r="J3940">
        <v>137673.67</v>
      </c>
      <c r="K3940" s="1"/>
      <c r="L3940" s="1"/>
      <c r="M3940" s="1"/>
      <c r="N3940" s="1"/>
    </row>
    <row r="3941" ht="15.75" customHeight="1">
      <c r="A3941" t="s">
        <v>53</v>
      </c>
      <c r="B3941" t="s">
        <v>33</v>
      </c>
      <c r="C3941" t="s">
        <v>4911</v>
      </c>
      <c r="D3941" t="s">
        <v>4032</v>
      </c>
      <c r="E3941">
        <v>93375.7321483359</v>
      </c>
      <c r="F3941">
        <v>33215.5407199015</v>
      </c>
      <c r="G3941">
        <v>32166.1505770561</v>
      </c>
      <c r="H3941">
        <v>21063.9750552102</v>
      </c>
      <c r="I3941">
        <v>158757.42</v>
      </c>
      <c r="J3941">
        <v>137693.44</v>
      </c>
      <c r="K3941" s="1"/>
      <c r="L3941" s="1"/>
      <c r="M3941" s="1"/>
      <c r="N3941" s="1"/>
    </row>
    <row r="3942" ht="15.75" customHeight="1">
      <c r="A3942" t="s">
        <v>17</v>
      </c>
      <c r="B3942" t="s">
        <v>37</v>
      </c>
      <c r="C3942" t="s">
        <v>4911</v>
      </c>
      <c r="D3942" t="s">
        <v>4033</v>
      </c>
      <c r="E3942">
        <v>93386.6151182421</v>
      </c>
      <c r="F3942">
        <v>33220.1554382289</v>
      </c>
      <c r="G3942">
        <v>32173.8305804856</v>
      </c>
      <c r="H3942">
        <v>21067.3726058975</v>
      </c>
      <c r="I3942">
        <v>158780.6</v>
      </c>
      <c r="J3942">
        <v>137713.23</v>
      </c>
      <c r="K3942" s="1"/>
      <c r="L3942" s="1"/>
      <c r="M3942" s="1"/>
      <c r="N3942" s="1"/>
    </row>
    <row r="3943" ht="15.75" customHeight="1">
      <c r="A3943" t="s">
        <v>25</v>
      </c>
      <c r="B3943" t="s">
        <v>30</v>
      </c>
      <c r="C3943" t="s">
        <v>4917</v>
      </c>
      <c r="D3943" t="s">
        <v>4034</v>
      </c>
      <c r="E3943">
        <v>93397.4980881483</v>
      </c>
      <c r="F3943">
        <v>33224.7701565564</v>
      </c>
      <c r="G3943">
        <v>32181.5105839151</v>
      </c>
      <c r="H3943">
        <v>21070.7701565848</v>
      </c>
      <c r="I3943">
        <v>158803.78</v>
      </c>
      <c r="J3943">
        <v>137733.01</v>
      </c>
      <c r="K3943" s="1"/>
      <c r="L3943" s="1"/>
      <c r="M3943" s="1"/>
      <c r="N3943" s="1"/>
    </row>
    <row r="3944" ht="15.75" customHeight="1">
      <c r="A3944" t="s">
        <v>36</v>
      </c>
      <c r="B3944" t="s">
        <v>30</v>
      </c>
      <c r="C3944" t="s">
        <v>4908</v>
      </c>
      <c r="D3944" t="s">
        <v>4035</v>
      </c>
      <c r="E3944">
        <v>93408.3810580545</v>
      </c>
      <c r="F3944">
        <v>33229.3848748838</v>
      </c>
      <c r="G3944">
        <v>32189.1905873446</v>
      </c>
      <c r="H3944">
        <v>21074.1677072721</v>
      </c>
      <c r="I3944">
        <v>158826.96</v>
      </c>
      <c r="J3944">
        <v>137752.79</v>
      </c>
      <c r="K3944" s="1"/>
      <c r="L3944" s="1"/>
      <c r="M3944" s="1"/>
      <c r="N3944" s="1"/>
    </row>
    <row r="3945" ht="15.75" customHeight="1">
      <c r="A3945" t="s">
        <v>29</v>
      </c>
      <c r="B3945" t="s">
        <v>26</v>
      </c>
      <c r="C3945" t="s">
        <v>4916</v>
      </c>
      <c r="D3945" t="s">
        <v>4036</v>
      </c>
      <c r="E3945">
        <v>93419.2640279607</v>
      </c>
      <c r="F3945">
        <v>33233.9995932112</v>
      </c>
      <c r="G3945">
        <v>32196.8705907741</v>
      </c>
      <c r="H3945">
        <v>21077.5652579594</v>
      </c>
      <c r="I3945">
        <v>158850.13</v>
      </c>
      <c r="J3945">
        <v>137772.56</v>
      </c>
      <c r="K3945" s="1"/>
      <c r="L3945" s="1"/>
      <c r="M3945" s="1"/>
      <c r="N3945" s="1"/>
    </row>
    <row r="3946" ht="15.75" customHeight="1">
      <c r="A3946" t="s">
        <v>53</v>
      </c>
      <c r="B3946" t="s">
        <v>14</v>
      </c>
      <c r="C3946" t="s">
        <v>4907</v>
      </c>
      <c r="D3946" t="s">
        <v>4037</v>
      </c>
      <c r="E3946">
        <v>93430.1469978669</v>
      </c>
      <c r="F3946">
        <v>33238.6143115386</v>
      </c>
      <c r="G3946">
        <v>32204.5505942036</v>
      </c>
      <c r="H3946">
        <v>21080.9628086466</v>
      </c>
      <c r="I3946">
        <v>158873.31</v>
      </c>
      <c r="J3946">
        <v>137792.35</v>
      </c>
      <c r="K3946" s="1"/>
      <c r="L3946" s="1"/>
      <c r="M3946" s="1"/>
      <c r="N3946" s="1"/>
    </row>
    <row r="3947" ht="15.75" customHeight="1">
      <c r="A3947" t="s">
        <v>13</v>
      </c>
      <c r="B3947" t="s">
        <v>26</v>
      </c>
      <c r="C3947" t="s">
        <v>4907</v>
      </c>
      <c r="D3947" t="s">
        <v>4038</v>
      </c>
      <c r="E3947">
        <v>93441.0299677731</v>
      </c>
      <c r="F3947">
        <v>33243.2290298661</v>
      </c>
      <c r="G3947">
        <v>32212.2305976331</v>
      </c>
      <c r="H3947">
        <v>21084.3603593339</v>
      </c>
      <c r="I3947">
        <v>158896.49</v>
      </c>
      <c r="J3947">
        <v>137812.13</v>
      </c>
      <c r="K3947" s="1"/>
      <c r="L3947" s="1"/>
      <c r="M3947" s="1"/>
      <c r="N3947" s="1"/>
    </row>
    <row r="3948" ht="15.75" customHeight="1">
      <c r="A3948" t="s">
        <v>17</v>
      </c>
      <c r="B3948" t="s">
        <v>33</v>
      </c>
      <c r="C3948" t="s">
        <v>4905</v>
      </c>
      <c r="D3948" t="s">
        <v>4039</v>
      </c>
      <c r="E3948">
        <v>93451.9129376792</v>
      </c>
      <c r="F3948">
        <v>33247.8437481935</v>
      </c>
      <c r="G3948">
        <v>32219.9106010625</v>
      </c>
      <c r="H3948">
        <v>21087.7579100212</v>
      </c>
      <c r="I3948">
        <v>158919.67</v>
      </c>
      <c r="J3948">
        <v>137831.91</v>
      </c>
      <c r="K3948" s="1"/>
      <c r="L3948" s="1"/>
      <c r="M3948" s="1"/>
      <c r="N3948" s="1"/>
    </row>
    <row r="3949" ht="15.75" customHeight="1">
      <c r="A3949" t="s">
        <v>13</v>
      </c>
      <c r="B3949" t="s">
        <v>37</v>
      </c>
      <c r="C3949" t="s">
        <v>4916</v>
      </c>
      <c r="D3949" t="s">
        <v>4040</v>
      </c>
      <c r="E3949">
        <v>93473.6788774916</v>
      </c>
      <c r="F3949">
        <v>33257.0731848483</v>
      </c>
      <c r="G3949">
        <v>32235.2706079215</v>
      </c>
      <c r="H3949">
        <v>21094.5530113958</v>
      </c>
      <c r="I3949">
        <v>158966.02</v>
      </c>
      <c r="J3949">
        <v>137871.47</v>
      </c>
      <c r="K3949" s="1"/>
      <c r="L3949" s="1"/>
      <c r="M3949" s="1"/>
      <c r="N3949" s="1"/>
    </row>
    <row r="3950" ht="15.75" customHeight="1">
      <c r="A3950" t="s">
        <v>53</v>
      </c>
      <c r="B3950" t="s">
        <v>14</v>
      </c>
      <c r="C3950" t="s">
        <v>4916</v>
      </c>
      <c r="D3950" t="s">
        <v>4041</v>
      </c>
      <c r="E3950">
        <v>93484.5618473978</v>
      </c>
      <c r="F3950">
        <v>33261.6879031757</v>
      </c>
      <c r="G3950">
        <v>32242.950611351</v>
      </c>
      <c r="H3950">
        <v>21097.9505620831</v>
      </c>
      <c r="I3950">
        <v>158989.2</v>
      </c>
      <c r="J3950">
        <v>137891.25</v>
      </c>
      <c r="K3950" s="1"/>
      <c r="L3950" s="1"/>
      <c r="M3950" s="1"/>
      <c r="N3950" s="1"/>
    </row>
    <row r="3951" ht="15.75" customHeight="1">
      <c r="A3951" t="s">
        <v>25</v>
      </c>
      <c r="B3951" t="s">
        <v>30</v>
      </c>
      <c r="C3951" t="s">
        <v>4917</v>
      </c>
      <c r="D3951" t="s">
        <v>4042</v>
      </c>
      <c r="E3951">
        <v>93495.444817304</v>
      </c>
      <c r="F3951">
        <v>33266.3026215032</v>
      </c>
      <c r="G3951">
        <v>32250.6306147805</v>
      </c>
      <c r="H3951">
        <v>21101.3481127704</v>
      </c>
      <c r="I3951">
        <v>159012.38</v>
      </c>
      <c r="J3951">
        <v>137911.03</v>
      </c>
      <c r="K3951" s="1"/>
      <c r="L3951" s="1"/>
      <c r="M3951" s="1"/>
      <c r="N3951" s="1"/>
    </row>
    <row r="3952" ht="15.75" customHeight="1">
      <c r="A3952" t="s">
        <v>29</v>
      </c>
      <c r="B3952" t="s">
        <v>37</v>
      </c>
      <c r="C3952" t="s">
        <v>4907</v>
      </c>
      <c r="D3952" t="s">
        <v>4043</v>
      </c>
      <c r="E3952">
        <v>93506.3277872102</v>
      </c>
      <c r="F3952">
        <v>33270.9173398306</v>
      </c>
      <c r="G3952">
        <v>32258.31061821</v>
      </c>
      <c r="H3952">
        <v>21104.7456634576</v>
      </c>
      <c r="I3952">
        <v>159035.56</v>
      </c>
      <c r="J3952">
        <v>137930.81</v>
      </c>
      <c r="K3952" s="1"/>
      <c r="L3952" s="1"/>
      <c r="M3952" s="1"/>
      <c r="N3952" s="1"/>
    </row>
    <row r="3953" ht="15.75" customHeight="1">
      <c r="A3953" t="s">
        <v>13</v>
      </c>
      <c r="B3953" t="s">
        <v>30</v>
      </c>
      <c r="C3953" t="s">
        <v>4907</v>
      </c>
      <c r="D3953" t="s">
        <v>4044</v>
      </c>
      <c r="E3953">
        <v>93517.2107571164</v>
      </c>
      <c r="F3953">
        <v>33275.532058158</v>
      </c>
      <c r="G3953">
        <v>32265.9906216395</v>
      </c>
      <c r="H3953">
        <v>21108.1432141449</v>
      </c>
      <c r="I3953">
        <v>159058.73</v>
      </c>
      <c r="J3953">
        <v>137950.59</v>
      </c>
      <c r="K3953" s="1"/>
      <c r="L3953" s="1"/>
      <c r="M3953" s="1"/>
      <c r="N3953" s="1"/>
    </row>
    <row r="3954" ht="15.75" customHeight="1">
      <c r="A3954" t="s">
        <v>51</v>
      </c>
      <c r="B3954" t="s">
        <v>26</v>
      </c>
      <c r="C3954" t="s">
        <v>4907</v>
      </c>
      <c r="D3954" t="s">
        <v>4045</v>
      </c>
      <c r="E3954">
        <v>93528.0937270226</v>
      </c>
      <c r="F3954">
        <v>33280.1467764854</v>
      </c>
      <c r="G3954">
        <v>32273.670625069</v>
      </c>
      <c r="H3954">
        <v>21111.5407648322</v>
      </c>
      <c r="I3954">
        <v>159081.91</v>
      </c>
      <c r="J3954">
        <v>137970.37</v>
      </c>
      <c r="K3954" s="1"/>
      <c r="L3954" s="1"/>
      <c r="M3954" s="1"/>
      <c r="N3954" s="1"/>
    </row>
    <row r="3955" ht="15.75" customHeight="1">
      <c r="A3955" t="s">
        <v>13</v>
      </c>
      <c r="B3955" t="s">
        <v>30</v>
      </c>
      <c r="C3955" t="s">
        <v>4916</v>
      </c>
      <c r="D3955" t="s">
        <v>4046</v>
      </c>
      <c r="E3955">
        <v>93538.9766969288</v>
      </c>
      <c r="F3955">
        <v>33284.7614948129</v>
      </c>
      <c r="G3955">
        <v>32281.3506284985</v>
      </c>
      <c r="H3955">
        <v>21114.9383155195</v>
      </c>
      <c r="I3955">
        <v>159105.09</v>
      </c>
      <c r="J3955">
        <v>137990.15</v>
      </c>
      <c r="K3955" s="1"/>
      <c r="L3955" s="1"/>
      <c r="M3955" s="1"/>
      <c r="N3955" s="1"/>
    </row>
    <row r="3956" ht="15.75" customHeight="1">
      <c r="A3956" t="s">
        <v>51</v>
      </c>
      <c r="B3956" t="s">
        <v>26</v>
      </c>
      <c r="C3956" t="s">
        <v>4915</v>
      </c>
      <c r="D3956" t="s">
        <v>4047</v>
      </c>
      <c r="E3956">
        <v>93549.859666835</v>
      </c>
      <c r="F3956">
        <v>33289.3762131403</v>
      </c>
      <c r="G3956">
        <v>32289.030631928</v>
      </c>
      <c r="H3956">
        <v>21118.3358662068</v>
      </c>
      <c r="I3956">
        <v>159128.27</v>
      </c>
      <c r="J3956">
        <v>138009.93</v>
      </c>
      <c r="K3956" s="1"/>
      <c r="L3956" s="1"/>
      <c r="M3956" s="1"/>
      <c r="N3956" s="1"/>
    </row>
    <row r="3957" ht="15.75" customHeight="1">
      <c r="A3957" t="s">
        <v>53</v>
      </c>
      <c r="B3957" t="s">
        <v>26</v>
      </c>
      <c r="C3957" t="s">
        <v>4910</v>
      </c>
      <c r="D3957" t="s">
        <v>4048</v>
      </c>
      <c r="E3957">
        <v>93560.7426367412</v>
      </c>
      <c r="F3957">
        <v>33293.9909314677</v>
      </c>
      <c r="G3957">
        <v>32296.7106353575</v>
      </c>
      <c r="H3957">
        <v>21121.7334168941</v>
      </c>
      <c r="I3957">
        <v>159151.44</v>
      </c>
      <c r="J3957">
        <v>138029.71</v>
      </c>
      <c r="K3957" s="1"/>
      <c r="L3957" s="1"/>
      <c r="M3957" s="1"/>
      <c r="N3957" s="1"/>
    </row>
    <row r="3958" ht="15.75" customHeight="1">
      <c r="A3958" t="s">
        <v>51</v>
      </c>
      <c r="B3958" t="s">
        <v>37</v>
      </c>
      <c r="C3958" t="s">
        <v>4916</v>
      </c>
      <c r="D3958" t="s">
        <v>4049</v>
      </c>
      <c r="E3958">
        <v>93571.6256066474</v>
      </c>
      <c r="F3958">
        <v>33298.6056497951</v>
      </c>
      <c r="G3958">
        <v>32304.390638787</v>
      </c>
      <c r="H3958">
        <v>21125.1309675814</v>
      </c>
      <c r="I3958">
        <v>159174.62</v>
      </c>
      <c r="J3958">
        <v>138049.49</v>
      </c>
      <c r="K3958" s="1"/>
      <c r="L3958" s="1"/>
      <c r="M3958" s="1"/>
      <c r="N3958" s="1"/>
    </row>
    <row r="3959" ht="15.75" customHeight="1">
      <c r="A3959" t="s">
        <v>29</v>
      </c>
      <c r="B3959" t="s">
        <v>37</v>
      </c>
      <c r="C3959" t="s">
        <v>4914</v>
      </c>
      <c r="D3959" t="s">
        <v>4050</v>
      </c>
      <c r="E3959">
        <v>93582.5085765536</v>
      </c>
      <c r="F3959">
        <v>33303.2203681225</v>
      </c>
      <c r="G3959">
        <v>32312.0706422165</v>
      </c>
      <c r="H3959">
        <v>21128.5285182687</v>
      </c>
      <c r="I3959">
        <v>159197.8</v>
      </c>
      <c r="J3959">
        <v>138069.27</v>
      </c>
      <c r="K3959" s="1"/>
      <c r="L3959" s="1"/>
      <c r="M3959" s="1"/>
      <c r="N3959" s="1"/>
    </row>
    <row r="3960" ht="15.75" customHeight="1">
      <c r="A3960" t="s">
        <v>17</v>
      </c>
      <c r="B3960" t="s">
        <v>33</v>
      </c>
      <c r="C3960" t="s">
        <v>4908</v>
      </c>
      <c r="D3960" t="s">
        <v>4051</v>
      </c>
      <c r="E3960">
        <v>93593.3915464598</v>
      </c>
      <c r="F3960">
        <v>33307.83508645</v>
      </c>
      <c r="G3960">
        <v>32319.750645646</v>
      </c>
      <c r="H3960">
        <v>21131.9260689559</v>
      </c>
      <c r="I3960">
        <v>159220.98</v>
      </c>
      <c r="J3960">
        <v>138089.05</v>
      </c>
      <c r="K3960" s="1"/>
      <c r="L3960" s="1"/>
      <c r="M3960" s="1"/>
      <c r="N3960" s="1"/>
    </row>
    <row r="3961" ht="15.75" customHeight="1">
      <c r="A3961" t="s">
        <v>29</v>
      </c>
      <c r="B3961" t="s">
        <v>14</v>
      </c>
      <c r="C3961" t="s">
        <v>4917</v>
      </c>
      <c r="D3961" t="s">
        <v>4052</v>
      </c>
      <c r="E3961">
        <v>93604.274516366</v>
      </c>
      <c r="F3961">
        <v>33312.4498047774</v>
      </c>
      <c r="G3961">
        <v>32327.4306490755</v>
      </c>
      <c r="H3961">
        <v>21135.3236196432</v>
      </c>
      <c r="I3961">
        <v>159244.15</v>
      </c>
      <c r="J3961">
        <v>138108.83</v>
      </c>
      <c r="K3961" s="1"/>
      <c r="L3961" s="1"/>
      <c r="M3961" s="1"/>
      <c r="N3961" s="1"/>
    </row>
    <row r="3962" ht="15.75" customHeight="1">
      <c r="A3962" t="s">
        <v>25</v>
      </c>
      <c r="B3962" t="s">
        <v>18</v>
      </c>
      <c r="C3962" t="s">
        <v>4917</v>
      </c>
      <c r="D3962" t="s">
        <v>4053</v>
      </c>
      <c r="E3962">
        <v>93615.1574862721</v>
      </c>
      <c r="F3962">
        <v>33317.0645231048</v>
      </c>
      <c r="G3962">
        <v>32335.110652505</v>
      </c>
      <c r="H3962">
        <v>21138.7211703305</v>
      </c>
      <c r="I3962">
        <v>159267.33</v>
      </c>
      <c r="J3962">
        <v>138128.61</v>
      </c>
      <c r="K3962" s="1"/>
      <c r="L3962" s="1"/>
      <c r="M3962" s="1"/>
      <c r="N3962" s="1"/>
    </row>
    <row r="3963" ht="15.75" customHeight="1">
      <c r="A3963" t="s">
        <v>51</v>
      </c>
      <c r="B3963" t="s">
        <v>18</v>
      </c>
      <c r="C3963" t="s">
        <v>4910</v>
      </c>
      <c r="D3963" t="s">
        <v>4054</v>
      </c>
      <c r="E3963">
        <v>93636.9234260845</v>
      </c>
      <c r="F3963">
        <v>33326.2939597597</v>
      </c>
      <c r="G3963">
        <v>32350.470659364</v>
      </c>
      <c r="H3963">
        <v>21145.5162717051</v>
      </c>
      <c r="I3963">
        <v>159313.69</v>
      </c>
      <c r="J3963">
        <v>138168.17</v>
      </c>
      <c r="K3963" s="1"/>
      <c r="L3963" s="1"/>
      <c r="M3963" s="1"/>
      <c r="N3963" s="1"/>
    </row>
    <row r="3964" ht="15.75" customHeight="1">
      <c r="A3964" t="s">
        <v>25</v>
      </c>
      <c r="B3964" t="s">
        <v>26</v>
      </c>
      <c r="C3964" t="s">
        <v>4905</v>
      </c>
      <c r="D3964" t="s">
        <v>4055</v>
      </c>
      <c r="E3964">
        <v>93647.8063959907</v>
      </c>
      <c r="F3964">
        <v>33330.9086780871</v>
      </c>
      <c r="G3964">
        <v>32358.1506627935</v>
      </c>
      <c r="H3964">
        <v>21148.9138223924</v>
      </c>
      <c r="I3964">
        <v>159336.87</v>
      </c>
      <c r="J3964">
        <v>138187.96</v>
      </c>
      <c r="K3964" s="1"/>
      <c r="L3964" s="1"/>
      <c r="M3964" s="1"/>
      <c r="N3964" s="1"/>
    </row>
    <row r="3965" ht="15.75" customHeight="1">
      <c r="A3965" t="s">
        <v>36</v>
      </c>
      <c r="B3965" t="s">
        <v>30</v>
      </c>
      <c r="C3965" t="s">
        <v>4911</v>
      </c>
      <c r="D3965" t="s">
        <v>4056</v>
      </c>
      <c r="E3965">
        <v>93658.6893658969</v>
      </c>
      <c r="F3965">
        <v>33335.5233964145</v>
      </c>
      <c r="G3965">
        <v>32365.830666223</v>
      </c>
      <c r="H3965">
        <v>21152.3113730797</v>
      </c>
      <c r="I3965">
        <v>159360.04</v>
      </c>
      <c r="J3965">
        <v>138207.73</v>
      </c>
      <c r="K3965" s="1"/>
      <c r="L3965" s="1"/>
      <c r="M3965" s="1"/>
      <c r="N3965" s="1"/>
    </row>
    <row r="3966" ht="15.75" customHeight="1">
      <c r="A3966" t="s">
        <v>36</v>
      </c>
      <c r="B3966" t="s">
        <v>33</v>
      </c>
      <c r="C3966" t="s">
        <v>4917</v>
      </c>
      <c r="D3966" t="s">
        <v>4057</v>
      </c>
      <c r="E3966">
        <v>93669.5723358031</v>
      </c>
      <c r="F3966">
        <v>33340.1381147419</v>
      </c>
      <c r="G3966">
        <v>32373.5106696525</v>
      </c>
      <c r="H3966">
        <v>21155.708923767</v>
      </c>
      <c r="I3966">
        <v>159383.22</v>
      </c>
      <c r="J3966">
        <v>138227.51</v>
      </c>
      <c r="K3966" s="1"/>
      <c r="L3966" s="1"/>
      <c r="M3966" s="1"/>
      <c r="N3966" s="1"/>
    </row>
    <row r="3967" ht="15.75" customHeight="1">
      <c r="A3967" t="s">
        <v>17</v>
      </c>
      <c r="B3967" t="s">
        <v>37</v>
      </c>
      <c r="C3967" t="s">
        <v>4913</v>
      </c>
      <c r="D3967" t="s">
        <v>4058</v>
      </c>
      <c r="E3967">
        <v>93680.4553057093</v>
      </c>
      <c r="F3967">
        <v>33344.7528330693</v>
      </c>
      <c r="G3967">
        <v>32381.190673082</v>
      </c>
      <c r="H3967">
        <v>21159.1064744542</v>
      </c>
      <c r="I3967">
        <v>159406.4</v>
      </c>
      <c r="J3967">
        <v>138247.29</v>
      </c>
      <c r="K3967" s="1"/>
      <c r="L3967" s="1"/>
      <c r="M3967" s="1"/>
      <c r="N3967" s="1"/>
    </row>
    <row r="3968" ht="15.75" customHeight="1">
      <c r="A3968" t="s">
        <v>29</v>
      </c>
      <c r="B3968" t="s">
        <v>18</v>
      </c>
      <c r="C3968" t="s">
        <v>4909</v>
      </c>
      <c r="D3968" t="s">
        <v>4059</v>
      </c>
      <c r="E3968">
        <v>93691.3382756155</v>
      </c>
      <c r="F3968">
        <v>33349.3675513968</v>
      </c>
      <c r="G3968">
        <v>32388.8706765115</v>
      </c>
      <c r="H3968">
        <v>21162.5040251415</v>
      </c>
      <c r="I3968">
        <v>159429.58</v>
      </c>
      <c r="J3968">
        <v>138267.08</v>
      </c>
      <c r="K3968" s="1"/>
      <c r="L3968" s="1"/>
      <c r="M3968" s="1"/>
      <c r="N3968" s="1"/>
    </row>
    <row r="3969" ht="15.75" customHeight="1">
      <c r="A3969" t="s">
        <v>13</v>
      </c>
      <c r="B3969" t="s">
        <v>14</v>
      </c>
      <c r="C3969" t="s">
        <v>4911</v>
      </c>
      <c r="D3969" t="s">
        <v>4060</v>
      </c>
      <c r="E3969">
        <v>93702.2212455217</v>
      </c>
      <c r="F3969">
        <v>33353.9822697242</v>
      </c>
      <c r="G3969">
        <v>32396.550679941</v>
      </c>
      <c r="H3969">
        <v>21165.9015758288</v>
      </c>
      <c r="I3969">
        <v>159452.75</v>
      </c>
      <c r="J3969">
        <v>138286.85</v>
      </c>
      <c r="K3969" s="1"/>
      <c r="L3969" s="1"/>
      <c r="M3969" s="1"/>
      <c r="N3969" s="1"/>
    </row>
    <row r="3970" ht="15.75" customHeight="1">
      <c r="A3970" t="s">
        <v>51</v>
      </c>
      <c r="B3970" t="s">
        <v>14</v>
      </c>
      <c r="C3970" t="s">
        <v>4908</v>
      </c>
      <c r="D3970" t="s">
        <v>4061</v>
      </c>
      <c r="E3970">
        <v>93713.1042154279</v>
      </c>
      <c r="F3970">
        <v>33358.5969880516</v>
      </c>
      <c r="G3970">
        <v>32404.2306833705</v>
      </c>
      <c r="H3970">
        <v>21169.2991265161</v>
      </c>
      <c r="I3970">
        <v>159475.93</v>
      </c>
      <c r="J3970">
        <v>138306.63</v>
      </c>
      <c r="K3970" s="1"/>
      <c r="L3970" s="1"/>
      <c r="M3970" s="1"/>
      <c r="N3970" s="1"/>
    </row>
    <row r="3971" ht="15.75" customHeight="1">
      <c r="A3971" t="s">
        <v>13</v>
      </c>
      <c r="B3971" t="s">
        <v>33</v>
      </c>
      <c r="C3971" t="s">
        <v>4917</v>
      </c>
      <c r="D3971" t="s">
        <v>4062</v>
      </c>
      <c r="E3971">
        <v>93723.9871853341</v>
      </c>
      <c r="F3971">
        <v>33363.211706379</v>
      </c>
      <c r="G3971">
        <v>32411.9106868</v>
      </c>
      <c r="H3971">
        <v>21172.6966772034</v>
      </c>
      <c r="I3971">
        <v>159499.11</v>
      </c>
      <c r="J3971">
        <v>138326.41</v>
      </c>
      <c r="K3971" s="1"/>
      <c r="L3971" s="1"/>
      <c r="M3971" s="1"/>
      <c r="N3971" s="1"/>
    </row>
    <row r="3972" ht="15.75" customHeight="1">
      <c r="A3972" t="s">
        <v>51</v>
      </c>
      <c r="B3972" t="s">
        <v>37</v>
      </c>
      <c r="C3972" t="s">
        <v>4912</v>
      </c>
      <c r="D3972" t="s">
        <v>4063</v>
      </c>
      <c r="E3972">
        <v>93734.8701552403</v>
      </c>
      <c r="F3972">
        <v>33367.8264247065</v>
      </c>
      <c r="G3972">
        <v>32419.5906902295</v>
      </c>
      <c r="H3972">
        <v>21176.0942278907</v>
      </c>
      <c r="I3972">
        <v>159522.29</v>
      </c>
      <c r="J3972">
        <v>138346.2</v>
      </c>
      <c r="K3972" s="1"/>
      <c r="L3972" s="1"/>
      <c r="M3972" s="1"/>
      <c r="N3972" s="1"/>
    </row>
    <row r="3973" ht="15.75" customHeight="1">
      <c r="A3973" t="s">
        <v>36</v>
      </c>
      <c r="B3973" t="s">
        <v>33</v>
      </c>
      <c r="C3973" t="s">
        <v>4907</v>
      </c>
      <c r="D3973" t="s">
        <v>4064</v>
      </c>
      <c r="E3973">
        <v>93745.7531251465</v>
      </c>
      <c r="F3973">
        <v>33372.4411430339</v>
      </c>
      <c r="G3973">
        <v>32427.270693659</v>
      </c>
      <c r="H3973">
        <v>21179.491778578</v>
      </c>
      <c r="I3973">
        <v>159545.46</v>
      </c>
      <c r="J3973">
        <v>138365.97</v>
      </c>
      <c r="K3973" s="1"/>
      <c r="L3973" s="1"/>
      <c r="M3973" s="1"/>
      <c r="N3973" s="1"/>
    </row>
    <row r="3974" ht="15.75" customHeight="1">
      <c r="A3974" t="s">
        <v>36</v>
      </c>
      <c r="B3974" t="s">
        <v>26</v>
      </c>
      <c r="C3974" t="s">
        <v>4913</v>
      </c>
      <c r="D3974" t="s">
        <v>4065</v>
      </c>
      <c r="E3974">
        <v>93756.6360950527</v>
      </c>
      <c r="F3974">
        <v>33377.0558613613</v>
      </c>
      <c r="G3974">
        <v>32434.9506970885</v>
      </c>
      <c r="H3974">
        <v>21182.8893292653</v>
      </c>
      <c r="I3974">
        <v>159568.64</v>
      </c>
      <c r="J3974">
        <v>138385.75</v>
      </c>
      <c r="K3974" s="1"/>
      <c r="L3974" s="1"/>
      <c r="M3974" s="1"/>
      <c r="N3974" s="1"/>
    </row>
    <row r="3975" ht="15.75" customHeight="1">
      <c r="A3975" t="s">
        <v>29</v>
      </c>
      <c r="B3975" t="s">
        <v>33</v>
      </c>
      <c r="C3975" t="s">
        <v>4909</v>
      </c>
      <c r="D3975" t="s">
        <v>4066</v>
      </c>
      <c r="E3975">
        <v>93767.5190649589</v>
      </c>
      <c r="F3975">
        <v>33381.6705796887</v>
      </c>
      <c r="G3975">
        <v>32442.630700518</v>
      </c>
      <c r="H3975">
        <v>21186.2868799525</v>
      </c>
      <c r="I3975">
        <v>159591.82</v>
      </c>
      <c r="J3975">
        <v>138405.53</v>
      </c>
      <c r="K3975" s="1"/>
      <c r="L3975" s="1"/>
      <c r="M3975" s="1"/>
      <c r="N3975" s="1"/>
    </row>
    <row r="3976" ht="15.75" customHeight="1">
      <c r="A3976" t="s">
        <v>51</v>
      </c>
      <c r="B3976" t="s">
        <v>30</v>
      </c>
      <c r="C3976" t="s">
        <v>4908</v>
      </c>
      <c r="D3976" t="s">
        <v>4067</v>
      </c>
      <c r="E3976">
        <v>93778.402034865</v>
      </c>
      <c r="F3976">
        <v>33386.2852980161</v>
      </c>
      <c r="G3976">
        <v>32450.3107039475</v>
      </c>
      <c r="H3976">
        <v>21189.6844306398</v>
      </c>
      <c r="I3976">
        <v>159615.0</v>
      </c>
      <c r="J3976">
        <v>138425.32</v>
      </c>
      <c r="K3976" s="1"/>
      <c r="L3976" s="1"/>
      <c r="M3976" s="1"/>
      <c r="N3976" s="1"/>
    </row>
    <row r="3977" ht="15.75" customHeight="1">
      <c r="A3977" t="s">
        <v>13</v>
      </c>
      <c r="B3977" t="s">
        <v>33</v>
      </c>
      <c r="C3977" t="s">
        <v>4917</v>
      </c>
      <c r="D3977" t="s">
        <v>4068</v>
      </c>
      <c r="E3977">
        <v>93789.2850047712</v>
      </c>
      <c r="F3977">
        <v>33390.9000163436</v>
      </c>
      <c r="G3977">
        <v>32457.990707377</v>
      </c>
      <c r="H3977">
        <v>21193.0819813271</v>
      </c>
      <c r="I3977">
        <v>159638.18</v>
      </c>
      <c r="J3977">
        <v>138445.1</v>
      </c>
      <c r="K3977" s="1"/>
      <c r="L3977" s="1"/>
      <c r="M3977" s="1"/>
      <c r="N3977" s="1"/>
    </row>
    <row r="3978" ht="15.75" customHeight="1">
      <c r="A3978" t="s">
        <v>25</v>
      </c>
      <c r="B3978" t="s">
        <v>54</v>
      </c>
      <c r="C3978" t="s">
        <v>4909</v>
      </c>
      <c r="D3978" t="s">
        <v>4069</v>
      </c>
      <c r="E3978">
        <v>93800.1679746774</v>
      </c>
      <c r="F3978">
        <v>33395.514734671</v>
      </c>
      <c r="G3978">
        <v>32465.6707108065</v>
      </c>
      <c r="H3978">
        <v>21196.4795320144</v>
      </c>
      <c r="I3978">
        <v>159661.35</v>
      </c>
      <c r="J3978">
        <v>138464.87</v>
      </c>
      <c r="K3978" s="1"/>
      <c r="L3978" s="1"/>
      <c r="M3978" s="1"/>
      <c r="N3978" s="1"/>
    </row>
    <row r="3979" ht="15.75" customHeight="1">
      <c r="A3979" t="s">
        <v>25</v>
      </c>
      <c r="B3979" t="s">
        <v>54</v>
      </c>
      <c r="C3979" t="s">
        <v>4912</v>
      </c>
      <c r="D3979" t="s">
        <v>4070</v>
      </c>
      <c r="E3979">
        <v>93811.0509445836</v>
      </c>
      <c r="F3979">
        <v>33400.1294529984</v>
      </c>
      <c r="G3979">
        <v>32473.350714236</v>
      </c>
      <c r="H3979">
        <v>21199.8770827017</v>
      </c>
      <c r="I3979">
        <v>159684.53</v>
      </c>
      <c r="J3979">
        <v>138484.65</v>
      </c>
      <c r="K3979" s="1"/>
      <c r="L3979" s="1"/>
      <c r="M3979" s="1"/>
      <c r="N3979" s="1"/>
    </row>
    <row r="3980" ht="15.75" customHeight="1">
      <c r="A3980" t="s">
        <v>51</v>
      </c>
      <c r="B3980" t="s">
        <v>26</v>
      </c>
      <c r="C3980" t="s">
        <v>4913</v>
      </c>
      <c r="D3980" t="s">
        <v>4071</v>
      </c>
      <c r="E3980">
        <v>93821.9339144898</v>
      </c>
      <c r="F3980">
        <v>33404.7441713258</v>
      </c>
      <c r="G3980">
        <v>32481.0307176655</v>
      </c>
      <c r="H3980">
        <v>21203.274633389</v>
      </c>
      <c r="I3980">
        <v>159707.71</v>
      </c>
      <c r="J3980">
        <v>138504.44</v>
      </c>
      <c r="K3980" s="1"/>
      <c r="L3980" s="1"/>
      <c r="M3980" s="1"/>
      <c r="N3980" s="1"/>
    </row>
    <row r="3981" ht="15.75" customHeight="1">
      <c r="A3981" t="s">
        <v>17</v>
      </c>
      <c r="B3981" t="s">
        <v>37</v>
      </c>
      <c r="C3981" t="s">
        <v>4911</v>
      </c>
      <c r="D3981" t="s">
        <v>4072</v>
      </c>
      <c r="E3981">
        <v>93832.816884396</v>
      </c>
      <c r="F3981">
        <v>33409.3588896533</v>
      </c>
      <c r="G3981">
        <v>32488.710721095</v>
      </c>
      <c r="H3981">
        <v>21206.6721840763</v>
      </c>
      <c r="I3981">
        <v>159730.89</v>
      </c>
      <c r="J3981">
        <v>138524.22</v>
      </c>
      <c r="K3981" s="1"/>
      <c r="L3981" s="1"/>
      <c r="M3981" s="1"/>
      <c r="N3981" s="1"/>
    </row>
    <row r="3982" ht="15.75" customHeight="1">
      <c r="A3982" t="s">
        <v>51</v>
      </c>
      <c r="B3982" t="s">
        <v>14</v>
      </c>
      <c r="C3982" t="s">
        <v>4911</v>
      </c>
      <c r="D3982" t="s">
        <v>4073</v>
      </c>
      <c r="E3982">
        <v>93843.6998543022</v>
      </c>
      <c r="F3982">
        <v>33413.9736079807</v>
      </c>
      <c r="G3982">
        <v>32496.3907245244</v>
      </c>
      <c r="H3982">
        <v>21210.0697347635</v>
      </c>
      <c r="I3982">
        <v>159754.06</v>
      </c>
      <c r="J3982">
        <v>138543.99</v>
      </c>
      <c r="K3982" s="1"/>
      <c r="L3982" s="1"/>
      <c r="M3982" s="1"/>
      <c r="N3982" s="1"/>
    </row>
    <row r="3983" ht="15.75" customHeight="1">
      <c r="A3983" t="s">
        <v>17</v>
      </c>
      <c r="B3983" t="s">
        <v>14</v>
      </c>
      <c r="C3983" t="s">
        <v>4913</v>
      </c>
      <c r="D3983" t="s">
        <v>4074</v>
      </c>
      <c r="E3983">
        <v>93854.5828242084</v>
      </c>
      <c r="F3983">
        <v>33418.5883263081</v>
      </c>
      <c r="G3983">
        <v>32504.0707279539</v>
      </c>
      <c r="H3983">
        <v>21213.4672854508</v>
      </c>
      <c r="I3983">
        <v>159777.24</v>
      </c>
      <c r="J3983">
        <v>138563.77</v>
      </c>
      <c r="K3983" s="1"/>
      <c r="L3983" s="1"/>
      <c r="M3983" s="1"/>
      <c r="N3983" s="1"/>
    </row>
    <row r="3984" ht="15.75" customHeight="1">
      <c r="A3984" t="s">
        <v>25</v>
      </c>
      <c r="B3984" t="s">
        <v>33</v>
      </c>
      <c r="C3984" t="s">
        <v>4908</v>
      </c>
      <c r="D3984" t="s">
        <v>4075</v>
      </c>
      <c r="E3984">
        <v>93865.4657941146</v>
      </c>
      <c r="F3984">
        <v>33423.2030446355</v>
      </c>
      <c r="G3984">
        <v>32511.7507313834</v>
      </c>
      <c r="H3984">
        <v>14634.43925924574</v>
      </c>
      <c r="I3984">
        <v>159800.42</v>
      </c>
      <c r="J3984">
        <v>145165.98</v>
      </c>
      <c r="K3984" s="1"/>
      <c r="L3984" s="1"/>
      <c r="M3984" s="1"/>
      <c r="N3984" s="1"/>
    </row>
    <row r="3985" ht="15.75" customHeight="1">
      <c r="A3985" t="s">
        <v>29</v>
      </c>
      <c r="B3985" t="s">
        <v>18</v>
      </c>
      <c r="C3985" t="s">
        <v>4907</v>
      </c>
      <c r="D3985" t="s">
        <v>4076</v>
      </c>
      <c r="E3985">
        <v>93876.3487640208</v>
      </c>
      <c r="F3985">
        <v>33427.8177629629</v>
      </c>
      <c r="G3985">
        <v>32519.4307348129</v>
      </c>
      <c r="H3985">
        <v>21220.2623868254</v>
      </c>
      <c r="I3985">
        <v>159823.6</v>
      </c>
      <c r="J3985">
        <v>138603.34</v>
      </c>
      <c r="K3985" s="1"/>
      <c r="L3985" s="1"/>
      <c r="M3985" s="1"/>
      <c r="N3985" s="1"/>
    </row>
    <row r="3986" ht="15.75" customHeight="1">
      <c r="A3986" t="s">
        <v>17</v>
      </c>
      <c r="B3986" t="s">
        <v>26</v>
      </c>
      <c r="C3986" t="s">
        <v>4912</v>
      </c>
      <c r="D3986" t="s">
        <v>4077</v>
      </c>
      <c r="E3986">
        <v>93887.231733927</v>
      </c>
      <c r="F3986">
        <v>33432.4324812904</v>
      </c>
      <c r="G3986">
        <v>32527.1107382424</v>
      </c>
      <c r="H3986">
        <v>14735.51589897765</v>
      </c>
      <c r="I3986">
        <v>159846.77</v>
      </c>
      <c r="J3986">
        <v>145111.25</v>
      </c>
      <c r="K3986" s="1"/>
      <c r="L3986" s="1"/>
      <c r="M3986" s="1"/>
      <c r="N3986" s="1"/>
    </row>
    <row r="3987" ht="15.75" customHeight="1">
      <c r="A3987" t="s">
        <v>53</v>
      </c>
      <c r="B3987" t="s">
        <v>33</v>
      </c>
      <c r="C3987" t="s">
        <v>4916</v>
      </c>
      <c r="D3987" t="s">
        <v>4078</v>
      </c>
      <c r="E3987">
        <v>93898.1147038332</v>
      </c>
      <c r="F3987">
        <v>33437.0471996178</v>
      </c>
      <c r="G3987">
        <v>32534.7907416719</v>
      </c>
      <c r="H3987">
        <v>21227.0574882</v>
      </c>
      <c r="I3987">
        <v>159869.95</v>
      </c>
      <c r="J3987">
        <v>138642.89</v>
      </c>
      <c r="K3987" s="1"/>
      <c r="L3987" s="1"/>
      <c r="M3987" s="1"/>
      <c r="N3987" s="1"/>
    </row>
    <row r="3988" ht="15.75" customHeight="1">
      <c r="A3988" t="s">
        <v>13</v>
      </c>
      <c r="B3988" t="s">
        <v>14</v>
      </c>
      <c r="C3988" t="s">
        <v>4914</v>
      </c>
      <c r="D3988" t="s">
        <v>4079</v>
      </c>
      <c r="E3988">
        <v>93908.9976737394</v>
      </c>
      <c r="F3988">
        <v>33441.6619179452</v>
      </c>
      <c r="G3988">
        <v>32542.4707451014</v>
      </c>
      <c r="H3988">
        <v>21230.4550388873</v>
      </c>
      <c r="I3988">
        <v>159893.13</v>
      </c>
      <c r="J3988">
        <v>138662.67</v>
      </c>
      <c r="K3988" s="1"/>
      <c r="L3988" s="1"/>
      <c r="M3988" s="1"/>
      <c r="N3988" s="1"/>
    </row>
    <row r="3989" ht="15.75" customHeight="1">
      <c r="A3989" t="s">
        <v>36</v>
      </c>
      <c r="B3989" t="s">
        <v>26</v>
      </c>
      <c r="C3989" t="s">
        <v>4909</v>
      </c>
      <c r="D3989" t="s">
        <v>4080</v>
      </c>
      <c r="E3989">
        <v>93919.8806436456</v>
      </c>
      <c r="F3989">
        <v>33446.2766362726</v>
      </c>
      <c r="G3989">
        <v>32550.1507485309</v>
      </c>
      <c r="H3989">
        <v>21233.8525895746</v>
      </c>
      <c r="I3989">
        <v>159916.31</v>
      </c>
      <c r="J3989">
        <v>138682.46</v>
      </c>
      <c r="K3989" s="1"/>
      <c r="L3989" s="1"/>
      <c r="M3989" s="1"/>
      <c r="N3989" s="1"/>
    </row>
    <row r="3990" ht="15.75" customHeight="1">
      <c r="A3990" t="s">
        <v>53</v>
      </c>
      <c r="B3990" t="s">
        <v>54</v>
      </c>
      <c r="C3990" t="s">
        <v>4905</v>
      </c>
      <c r="D3990" t="s">
        <v>4081</v>
      </c>
      <c r="E3990">
        <v>72159.94658517206</v>
      </c>
      <c r="F3990">
        <v>33450.8913546001</v>
      </c>
      <c r="G3990">
        <v>32557.8307519604</v>
      </c>
      <c r="H3990">
        <v>21237.2501402618</v>
      </c>
      <c r="I3990">
        <v>138168.67</v>
      </c>
      <c r="J3990">
        <v>116931.42</v>
      </c>
      <c r="K3990" s="1"/>
      <c r="L3990" s="1"/>
      <c r="M3990" s="1"/>
      <c r="N3990" s="1"/>
    </row>
    <row r="3991" ht="15.75" customHeight="1">
      <c r="A3991" t="s">
        <v>51</v>
      </c>
      <c r="B3991" t="s">
        <v>30</v>
      </c>
      <c r="C3991" t="s">
        <v>4913</v>
      </c>
      <c r="D3991" t="s">
        <v>4082</v>
      </c>
      <c r="E3991">
        <v>93941.646583458</v>
      </c>
      <c r="F3991">
        <v>33455.5060729275</v>
      </c>
      <c r="G3991">
        <v>32565.5107553899</v>
      </c>
      <c r="H3991">
        <v>21240.6476909491</v>
      </c>
      <c r="I3991">
        <v>159962.66</v>
      </c>
      <c r="J3991">
        <v>138722.01</v>
      </c>
      <c r="K3991" s="1"/>
      <c r="L3991" s="1"/>
      <c r="M3991" s="1"/>
      <c r="N3991" s="1"/>
    </row>
    <row r="3992" ht="15.75" customHeight="1">
      <c r="A3992" t="s">
        <v>53</v>
      </c>
      <c r="B3992" t="s">
        <v>54</v>
      </c>
      <c r="C3992" t="s">
        <v>4912</v>
      </c>
      <c r="D3992" t="s">
        <v>4083</v>
      </c>
      <c r="E3992">
        <v>93952.5295533641</v>
      </c>
      <c r="F3992">
        <v>33460.1207912549</v>
      </c>
      <c r="G3992">
        <v>32573.1907588194</v>
      </c>
      <c r="H3992">
        <v>21244.0452416364</v>
      </c>
      <c r="I3992">
        <v>159985.84</v>
      </c>
      <c r="J3992">
        <v>138741.79</v>
      </c>
      <c r="K3992" s="1"/>
      <c r="L3992" s="1"/>
      <c r="M3992" s="1"/>
      <c r="N3992" s="1"/>
    </row>
    <row r="3993" ht="15.75" customHeight="1">
      <c r="A3993" t="s">
        <v>51</v>
      </c>
      <c r="B3993" t="s">
        <v>14</v>
      </c>
      <c r="C3993" t="s">
        <v>4905</v>
      </c>
      <c r="D3993" t="s">
        <v>4084</v>
      </c>
      <c r="E3993">
        <v>93963.4125232703</v>
      </c>
      <c r="F3993">
        <v>33464.7355095823</v>
      </c>
      <c r="G3993">
        <v>32580.8707622489</v>
      </c>
      <c r="H3993">
        <v>21247.4427923237</v>
      </c>
      <c r="I3993">
        <v>160009.02</v>
      </c>
      <c r="J3993">
        <v>138761.58</v>
      </c>
      <c r="K3993" s="1"/>
      <c r="L3993" s="1"/>
      <c r="M3993" s="1"/>
      <c r="N3993" s="1"/>
    </row>
    <row r="3994" ht="15.75" customHeight="1">
      <c r="A3994" t="s">
        <v>17</v>
      </c>
      <c r="B3994" t="s">
        <v>37</v>
      </c>
      <c r="C3994" t="s">
        <v>4914</v>
      </c>
      <c r="D3994" t="s">
        <v>4085</v>
      </c>
      <c r="E3994">
        <v>93974.2954931765</v>
      </c>
      <c r="F3994">
        <v>33469.3502279097</v>
      </c>
      <c r="G3994">
        <v>32588.5507656784</v>
      </c>
      <c r="H3994">
        <v>21250.840343011</v>
      </c>
      <c r="I3994">
        <v>160032.2</v>
      </c>
      <c r="J3994">
        <v>138781.36</v>
      </c>
      <c r="K3994" s="1"/>
      <c r="L3994" s="1"/>
      <c r="M3994" s="1"/>
      <c r="N3994" s="1"/>
    </row>
    <row r="3995" ht="15.75" customHeight="1">
      <c r="A3995" t="s">
        <v>29</v>
      </c>
      <c r="B3995" t="s">
        <v>14</v>
      </c>
      <c r="C3995" t="s">
        <v>4916</v>
      </c>
      <c r="D3995" t="s">
        <v>4086</v>
      </c>
      <c r="E3995">
        <v>93985.1784630827</v>
      </c>
      <c r="F3995">
        <v>33473.9649462372</v>
      </c>
      <c r="G3995">
        <v>32596.2307691079</v>
      </c>
      <c r="H3995">
        <v>21254.2378936983</v>
      </c>
      <c r="I3995">
        <v>160055.37</v>
      </c>
      <c r="J3995">
        <v>138801.13</v>
      </c>
      <c r="K3995" s="1"/>
      <c r="L3995" s="1"/>
      <c r="M3995" s="1"/>
      <c r="N3995" s="1"/>
    </row>
    <row r="3996" ht="15.75" customHeight="1">
      <c r="A3996" t="s">
        <v>25</v>
      </c>
      <c r="B3996" t="s">
        <v>30</v>
      </c>
      <c r="C3996" t="s">
        <v>4908</v>
      </c>
      <c r="D3996" t="s">
        <v>4087</v>
      </c>
      <c r="E3996">
        <v>93996.0614329889</v>
      </c>
      <c r="F3996">
        <v>33478.5796645646</v>
      </c>
      <c r="G3996">
        <v>32603.9107725374</v>
      </c>
      <c r="H3996">
        <v>21257.6354443856</v>
      </c>
      <c r="I3996">
        <v>160078.55</v>
      </c>
      <c r="J3996">
        <v>138820.91</v>
      </c>
      <c r="K3996" s="1"/>
      <c r="L3996" s="1"/>
      <c r="M3996" s="1"/>
      <c r="N3996" s="1"/>
    </row>
    <row r="3997" ht="15.75" customHeight="1">
      <c r="A3997" t="s">
        <v>29</v>
      </c>
      <c r="B3997" t="s">
        <v>30</v>
      </c>
      <c r="C3997" t="s">
        <v>4912</v>
      </c>
      <c r="D3997" t="s">
        <v>4089</v>
      </c>
      <c r="E3997">
        <v>94006.9444028951</v>
      </c>
      <c r="F3997">
        <v>33483.194382892</v>
      </c>
      <c r="G3997">
        <v>32611.5907759669</v>
      </c>
      <c r="H3997">
        <v>21261.0329950729</v>
      </c>
      <c r="I3997">
        <v>160101.73</v>
      </c>
      <c r="J3997">
        <v>138840.7</v>
      </c>
      <c r="K3997" s="1"/>
      <c r="L3997" s="1"/>
      <c r="M3997" s="1"/>
      <c r="N3997" s="1"/>
    </row>
    <row r="3998" ht="15.75" customHeight="1">
      <c r="A3998" t="s">
        <v>53</v>
      </c>
      <c r="B3998" t="s">
        <v>54</v>
      </c>
      <c r="C3998" t="s">
        <v>4909</v>
      </c>
      <c r="D3998" t="s">
        <v>4090</v>
      </c>
      <c r="E3998">
        <v>94017.8273728013</v>
      </c>
      <c r="F3998">
        <v>33487.8091012194</v>
      </c>
      <c r="G3998">
        <v>32619.2707793964</v>
      </c>
      <c r="H3998">
        <v>14765.30618879032</v>
      </c>
      <c r="I3998">
        <v>160124.91</v>
      </c>
      <c r="J3998">
        <v>145359.6</v>
      </c>
      <c r="K3998" s="1"/>
      <c r="L3998" s="1"/>
      <c r="M3998" s="1"/>
      <c r="N3998" s="1"/>
    </row>
    <row r="3999" ht="15.75" customHeight="1">
      <c r="A3999" t="s">
        <v>51</v>
      </c>
      <c r="B3999" t="s">
        <v>18</v>
      </c>
      <c r="C3999" t="s">
        <v>4917</v>
      </c>
      <c r="D3999" t="s">
        <v>4091</v>
      </c>
      <c r="E3999">
        <v>94028.7103427075</v>
      </c>
      <c r="F3999">
        <v>33492.4238195469</v>
      </c>
      <c r="G3999">
        <v>32626.9507828259</v>
      </c>
      <c r="H3999">
        <v>21267.8280964474</v>
      </c>
      <c r="I3999">
        <v>160148.08</v>
      </c>
      <c r="J3999">
        <v>138880.25</v>
      </c>
      <c r="K3999" s="1"/>
      <c r="L3999" s="1"/>
      <c r="M3999" s="1"/>
      <c r="N3999" s="1"/>
    </row>
    <row r="4000" ht="15.75" customHeight="1">
      <c r="A4000" t="s">
        <v>25</v>
      </c>
      <c r="B4000" t="s">
        <v>26</v>
      </c>
      <c r="C4000" t="s">
        <v>4911</v>
      </c>
      <c r="D4000" t="s">
        <v>4092</v>
      </c>
      <c r="E4000">
        <v>94039.5933126137</v>
      </c>
      <c r="F4000">
        <v>33497.0385378743</v>
      </c>
      <c r="G4000">
        <v>32634.6307862554</v>
      </c>
      <c r="H4000">
        <v>21271.2256471347</v>
      </c>
      <c r="I4000">
        <v>160171.26</v>
      </c>
      <c r="J4000">
        <v>138900.03</v>
      </c>
      <c r="K4000" s="1"/>
      <c r="L4000" s="1"/>
      <c r="M4000" s="1"/>
      <c r="N4000" s="1"/>
    </row>
    <row r="4001" ht="15.75" customHeight="1">
      <c r="A4001" t="s">
        <v>17</v>
      </c>
      <c r="B4001" t="s">
        <v>30</v>
      </c>
      <c r="C4001" t="s">
        <v>4911</v>
      </c>
      <c r="D4001" t="s">
        <v>4093</v>
      </c>
      <c r="E4001">
        <v>94050.4762825199</v>
      </c>
      <c r="F4001">
        <v>33501.6532562017</v>
      </c>
      <c r="G4001">
        <v>32642.3107896849</v>
      </c>
      <c r="H4001">
        <v>21274.623197822</v>
      </c>
      <c r="I4001">
        <v>160194.44</v>
      </c>
      <c r="J4001">
        <v>138919.82</v>
      </c>
      <c r="K4001" s="1"/>
      <c r="L4001" s="1"/>
      <c r="M4001" s="1"/>
      <c r="N4001" s="1"/>
    </row>
    <row r="4002" ht="15.75" customHeight="1">
      <c r="A4002" t="s">
        <v>25</v>
      </c>
      <c r="B4002" t="s">
        <v>26</v>
      </c>
      <c r="C4002" t="s">
        <v>4908</v>
      </c>
      <c r="D4002" t="s">
        <v>4094</v>
      </c>
      <c r="E4002">
        <v>94061.3592524261</v>
      </c>
      <c r="F4002">
        <v>33506.2679745291</v>
      </c>
      <c r="G4002">
        <v>32649.9907931144</v>
      </c>
      <c r="H4002">
        <v>21278.0207485093</v>
      </c>
      <c r="I4002">
        <v>160217.62</v>
      </c>
      <c r="J4002">
        <v>138939.6</v>
      </c>
      <c r="K4002" s="1"/>
      <c r="L4002" s="1"/>
      <c r="M4002" s="1"/>
      <c r="N4002" s="1"/>
    </row>
    <row r="4003" ht="15.75" customHeight="1">
      <c r="A4003" t="s">
        <v>36</v>
      </c>
      <c r="B4003" t="s">
        <v>14</v>
      </c>
      <c r="C4003" t="s">
        <v>4910</v>
      </c>
      <c r="D4003" t="s">
        <v>4095</v>
      </c>
      <c r="E4003">
        <v>94072.2422223323</v>
      </c>
      <c r="F4003">
        <v>33510.8826928565</v>
      </c>
      <c r="G4003">
        <v>32657.6707965439</v>
      </c>
      <c r="H4003">
        <v>21281.4182991966</v>
      </c>
      <c r="I4003">
        <v>160240.8</v>
      </c>
      <c r="J4003">
        <v>138959.38</v>
      </c>
      <c r="K4003" s="1"/>
      <c r="L4003" s="1"/>
      <c r="M4003" s="1"/>
      <c r="N4003" s="1"/>
    </row>
    <row r="4004" ht="15.75" customHeight="1">
      <c r="A4004" t="s">
        <v>13</v>
      </c>
      <c r="B4004" t="s">
        <v>54</v>
      </c>
      <c r="C4004" t="s">
        <v>4913</v>
      </c>
      <c r="D4004" t="s">
        <v>4096</v>
      </c>
      <c r="E4004">
        <v>94083.1251922385</v>
      </c>
      <c r="F4004">
        <v>33515.497411184</v>
      </c>
      <c r="G4004">
        <v>32665.3507999734</v>
      </c>
      <c r="H4004">
        <v>21284.8158498839</v>
      </c>
      <c r="I4004">
        <v>160263.97</v>
      </c>
      <c r="J4004">
        <v>138979.15</v>
      </c>
      <c r="K4004" s="1"/>
      <c r="L4004" s="1"/>
      <c r="M4004" s="1"/>
      <c r="N4004" s="1"/>
    </row>
    <row r="4005" ht="15.75" customHeight="1">
      <c r="A4005" t="s">
        <v>13</v>
      </c>
      <c r="B4005" t="s">
        <v>14</v>
      </c>
      <c r="C4005" t="s">
        <v>4916</v>
      </c>
      <c r="D4005" t="s">
        <v>4097</v>
      </c>
      <c r="E4005">
        <v>94094.0081621447</v>
      </c>
      <c r="F4005">
        <v>33520.1121295114</v>
      </c>
      <c r="G4005">
        <v>32673.0308034029</v>
      </c>
      <c r="H4005">
        <v>21288.2134005711</v>
      </c>
      <c r="I4005">
        <v>160287.15</v>
      </c>
      <c r="J4005">
        <v>138998.94</v>
      </c>
      <c r="K4005" s="1"/>
      <c r="L4005" s="1"/>
      <c r="M4005" s="1"/>
      <c r="N4005" s="1"/>
    </row>
    <row r="4006" ht="15.75" customHeight="1">
      <c r="A4006" t="s">
        <v>13</v>
      </c>
      <c r="B4006" t="s">
        <v>54</v>
      </c>
      <c r="C4006" t="s">
        <v>4905</v>
      </c>
      <c r="D4006" t="s">
        <v>4098</v>
      </c>
      <c r="E4006">
        <v>94104.8911320509</v>
      </c>
      <c r="F4006">
        <v>33524.7268478388</v>
      </c>
      <c r="G4006">
        <v>32680.7108068324</v>
      </c>
      <c r="H4006">
        <v>21291.6109512584</v>
      </c>
      <c r="I4006">
        <v>160310.33</v>
      </c>
      <c r="J4006">
        <v>139018.72</v>
      </c>
      <c r="K4006" s="1"/>
      <c r="L4006" s="1"/>
      <c r="M4006" s="1"/>
      <c r="N4006" s="1"/>
    </row>
    <row r="4007" ht="15.75" customHeight="1">
      <c r="A4007" t="s">
        <v>51</v>
      </c>
      <c r="B4007" t="s">
        <v>54</v>
      </c>
      <c r="C4007" t="s">
        <v>4909</v>
      </c>
      <c r="D4007" t="s">
        <v>4099</v>
      </c>
      <c r="E4007">
        <v>94115.774101957</v>
      </c>
      <c r="F4007">
        <v>33529.3415661662</v>
      </c>
      <c r="G4007">
        <v>32688.3908102619</v>
      </c>
      <c r="H4007">
        <v>21295.0085019457</v>
      </c>
      <c r="I4007">
        <v>160333.51</v>
      </c>
      <c r="J4007">
        <v>139038.5</v>
      </c>
      <c r="K4007" s="1"/>
      <c r="L4007" s="1"/>
      <c r="M4007" s="1"/>
      <c r="N4007" s="1"/>
    </row>
    <row r="4008" ht="15.75" customHeight="1">
      <c r="A4008" t="s">
        <v>25</v>
      </c>
      <c r="B4008" t="s">
        <v>37</v>
      </c>
      <c r="C4008" t="s">
        <v>4907</v>
      </c>
      <c r="D4008" t="s">
        <v>4100</v>
      </c>
      <c r="E4008">
        <v>94126.6570718632</v>
      </c>
      <c r="F4008">
        <v>33533.9562844937</v>
      </c>
      <c r="G4008">
        <v>32696.0708136914</v>
      </c>
      <c r="H4008">
        <v>21298.406052633</v>
      </c>
      <c r="I4008">
        <v>160356.68</v>
      </c>
      <c r="J4008">
        <v>139058.27</v>
      </c>
      <c r="K4008" s="1"/>
      <c r="L4008" s="1"/>
      <c r="M4008" s="1"/>
      <c r="N4008" s="1"/>
    </row>
    <row r="4009" ht="15.75" customHeight="1">
      <c r="A4009" t="s">
        <v>51</v>
      </c>
      <c r="B4009" t="s">
        <v>26</v>
      </c>
      <c r="C4009" t="s">
        <v>4909</v>
      </c>
      <c r="D4009" t="s">
        <v>4101</v>
      </c>
      <c r="E4009">
        <v>94137.5400417694</v>
      </c>
      <c r="F4009">
        <v>33538.5710028211</v>
      </c>
      <c r="G4009">
        <v>32703.7508171209</v>
      </c>
      <c r="H4009">
        <v>21301.8036033203</v>
      </c>
      <c r="I4009">
        <v>160379.86</v>
      </c>
      <c r="J4009">
        <v>139078.06</v>
      </c>
      <c r="K4009" s="1"/>
      <c r="L4009" s="1"/>
      <c r="M4009" s="1"/>
      <c r="N4009" s="1"/>
    </row>
    <row r="4010" ht="15.75" customHeight="1">
      <c r="A4010" t="s">
        <v>17</v>
      </c>
      <c r="B4010" t="s">
        <v>37</v>
      </c>
      <c r="C4010" t="s">
        <v>4911</v>
      </c>
      <c r="D4010" t="s">
        <v>4102</v>
      </c>
      <c r="E4010">
        <v>94148.4230116756</v>
      </c>
      <c r="F4010">
        <v>33543.1857211485</v>
      </c>
      <c r="G4010">
        <v>32711.4308205504</v>
      </c>
      <c r="H4010">
        <v>21305.2011540076</v>
      </c>
      <c r="I4010">
        <v>160403.04</v>
      </c>
      <c r="J4010">
        <v>139097.84</v>
      </c>
      <c r="K4010" s="1"/>
      <c r="L4010" s="1"/>
      <c r="M4010" s="1"/>
      <c r="N4010" s="1"/>
    </row>
    <row r="4011" ht="15.75" customHeight="1">
      <c r="A4011" t="s">
        <v>25</v>
      </c>
      <c r="B4011" t="s">
        <v>37</v>
      </c>
      <c r="C4011" t="s">
        <v>4914</v>
      </c>
      <c r="D4011" t="s">
        <v>4103</v>
      </c>
      <c r="E4011">
        <v>94159.3059815818</v>
      </c>
      <c r="F4011">
        <v>33547.8004394759</v>
      </c>
      <c r="G4011">
        <v>32719.1108239799</v>
      </c>
      <c r="H4011">
        <v>21308.5987046949</v>
      </c>
      <c r="I4011">
        <v>160426.22</v>
      </c>
      <c r="J4011">
        <v>139117.62</v>
      </c>
      <c r="K4011" s="1"/>
      <c r="L4011" s="1"/>
      <c r="M4011" s="1"/>
      <c r="N4011" s="1"/>
    </row>
    <row r="4012" ht="15.75" customHeight="1">
      <c r="A4012" t="s">
        <v>29</v>
      </c>
      <c r="B4012" t="s">
        <v>37</v>
      </c>
      <c r="C4012" t="s">
        <v>4914</v>
      </c>
      <c r="D4012" t="s">
        <v>4104</v>
      </c>
      <c r="E4012">
        <v>94170.188951488</v>
      </c>
      <c r="F4012">
        <v>33552.4151578033</v>
      </c>
      <c r="G4012">
        <v>32726.7908274094</v>
      </c>
      <c r="H4012">
        <v>21311.9962553822</v>
      </c>
      <c r="I4012">
        <v>160449.39</v>
      </c>
      <c r="J4012">
        <v>139137.39</v>
      </c>
      <c r="K4012" s="1"/>
      <c r="L4012" s="1"/>
      <c r="M4012" s="1"/>
      <c r="N4012" s="1"/>
    </row>
    <row r="4013" ht="15.75" customHeight="1">
      <c r="A4013" t="s">
        <v>13</v>
      </c>
      <c r="B4013" t="s">
        <v>33</v>
      </c>
      <c r="C4013" t="s">
        <v>4909</v>
      </c>
      <c r="D4013" t="s">
        <v>4105</v>
      </c>
      <c r="E4013">
        <v>94181.0719213942</v>
      </c>
      <c r="F4013">
        <v>33557.0298761308</v>
      </c>
      <c r="G4013">
        <v>32734.4708308389</v>
      </c>
      <c r="H4013">
        <v>21315.3938060694</v>
      </c>
      <c r="I4013">
        <v>160472.57</v>
      </c>
      <c r="J4013">
        <v>139157.18</v>
      </c>
      <c r="K4013" s="1"/>
      <c r="L4013" s="1"/>
      <c r="M4013" s="1"/>
      <c r="N4013" s="1"/>
    </row>
    <row r="4014" ht="15.75" customHeight="1">
      <c r="A4014" t="s">
        <v>36</v>
      </c>
      <c r="B4014" t="s">
        <v>14</v>
      </c>
      <c r="C4014" t="s">
        <v>4915</v>
      </c>
      <c r="D4014" t="s">
        <v>4106</v>
      </c>
      <c r="E4014">
        <v>94191.9548913004</v>
      </c>
      <c r="F4014">
        <v>33561.6445944582</v>
      </c>
      <c r="G4014">
        <v>32742.1508342684</v>
      </c>
      <c r="H4014">
        <v>21318.7913567567</v>
      </c>
      <c r="I4014">
        <v>160495.75</v>
      </c>
      <c r="J4014">
        <v>139176.96</v>
      </c>
      <c r="K4014" s="1"/>
      <c r="L4014" s="1"/>
      <c r="M4014" s="1"/>
      <c r="N4014" s="1"/>
    </row>
    <row r="4015" ht="15.75" customHeight="1">
      <c r="A4015" t="s">
        <v>25</v>
      </c>
      <c r="B4015" t="s">
        <v>37</v>
      </c>
      <c r="C4015" t="s">
        <v>4907</v>
      </c>
      <c r="D4015" t="s">
        <v>4107</v>
      </c>
      <c r="E4015">
        <v>94202.8378612066</v>
      </c>
      <c r="F4015">
        <v>33566.2593127856</v>
      </c>
      <c r="G4015">
        <v>32749.8308376979</v>
      </c>
      <c r="H4015">
        <v>21322.188907444</v>
      </c>
      <c r="I4015">
        <v>160518.93</v>
      </c>
      <c r="J4015">
        <v>139196.74</v>
      </c>
      <c r="K4015" s="1"/>
      <c r="L4015" s="1"/>
      <c r="M4015" s="1"/>
      <c r="N4015" s="1"/>
    </row>
    <row r="4016" ht="15.75" customHeight="1">
      <c r="A4016" t="s">
        <v>17</v>
      </c>
      <c r="B4016" t="s">
        <v>33</v>
      </c>
      <c r="C4016" t="s">
        <v>4909</v>
      </c>
      <c r="D4016" t="s">
        <v>4108</v>
      </c>
      <c r="E4016">
        <v>94213.7208311128</v>
      </c>
      <c r="F4016">
        <v>33570.874031113</v>
      </c>
      <c r="G4016">
        <v>32757.5108411274</v>
      </c>
      <c r="H4016">
        <v>21325.5864581313</v>
      </c>
      <c r="I4016">
        <v>160542.11</v>
      </c>
      <c r="J4016">
        <v>139216.52</v>
      </c>
      <c r="K4016" s="1"/>
      <c r="L4016" s="1"/>
      <c r="M4016" s="1"/>
      <c r="N4016" s="1"/>
    </row>
    <row r="4017" ht="15.75" customHeight="1">
      <c r="A4017" t="s">
        <v>17</v>
      </c>
      <c r="B4017" t="s">
        <v>14</v>
      </c>
      <c r="C4017" t="s">
        <v>4913</v>
      </c>
      <c r="D4017" t="s">
        <v>4109</v>
      </c>
      <c r="E4017">
        <v>94235.4867709252</v>
      </c>
      <c r="F4017">
        <v>33580.1034677679</v>
      </c>
      <c r="G4017">
        <v>32772.8708479863</v>
      </c>
      <c r="H4017">
        <v>21332.3815595059</v>
      </c>
      <c r="I4017">
        <v>160588.46</v>
      </c>
      <c r="J4017">
        <v>139256.08</v>
      </c>
      <c r="K4017" s="1"/>
      <c r="L4017" s="1"/>
      <c r="M4017" s="1"/>
      <c r="N4017" s="1"/>
    </row>
    <row r="4018" ht="15.75" customHeight="1">
      <c r="A4018" t="s">
        <v>36</v>
      </c>
      <c r="B4018" t="s">
        <v>37</v>
      </c>
      <c r="C4018" t="s">
        <v>4913</v>
      </c>
      <c r="D4018" t="s">
        <v>4110</v>
      </c>
      <c r="E4018">
        <v>94246.3697408314</v>
      </c>
      <c r="F4018">
        <v>33584.7181860953</v>
      </c>
      <c r="G4018">
        <v>32780.5508514158</v>
      </c>
      <c r="H4018">
        <v>21335.7791101932</v>
      </c>
      <c r="I4018">
        <v>160611.64</v>
      </c>
      <c r="J4018">
        <v>139275.86</v>
      </c>
      <c r="K4018" s="1"/>
      <c r="L4018" s="1"/>
      <c r="M4018" s="1"/>
      <c r="N4018" s="1"/>
    </row>
    <row r="4019" ht="15.75" customHeight="1">
      <c r="A4019" t="s">
        <v>29</v>
      </c>
      <c r="B4019" t="s">
        <v>18</v>
      </c>
      <c r="C4019" t="s">
        <v>4909</v>
      </c>
      <c r="D4019" t="s">
        <v>4111</v>
      </c>
      <c r="E4019">
        <v>94257.2527107376</v>
      </c>
      <c r="F4019">
        <v>33589.3329044227</v>
      </c>
      <c r="G4019">
        <v>32788.2308548453</v>
      </c>
      <c r="H4019">
        <v>21339.1766608805</v>
      </c>
      <c r="I4019">
        <v>160634.82</v>
      </c>
      <c r="J4019">
        <v>139295.64</v>
      </c>
      <c r="K4019" s="1"/>
      <c r="L4019" s="1"/>
      <c r="M4019" s="1"/>
      <c r="N4019" s="1"/>
    </row>
    <row r="4020" ht="15.75" customHeight="1">
      <c r="A4020" t="s">
        <v>53</v>
      </c>
      <c r="B4020" t="s">
        <v>18</v>
      </c>
      <c r="C4020" t="s">
        <v>4909</v>
      </c>
      <c r="D4020" t="s">
        <v>4112</v>
      </c>
      <c r="E4020">
        <v>94268.1356806437</v>
      </c>
      <c r="F4020">
        <v>33593.9476227501</v>
      </c>
      <c r="G4020">
        <v>32795.9108582748</v>
      </c>
      <c r="H4020">
        <v>21342.5742115677</v>
      </c>
      <c r="I4020">
        <v>160657.99</v>
      </c>
      <c r="J4020">
        <v>139315.42</v>
      </c>
      <c r="K4020" s="1"/>
      <c r="L4020" s="1"/>
      <c r="M4020" s="1"/>
      <c r="N4020" s="1"/>
    </row>
    <row r="4021" ht="15.75" customHeight="1">
      <c r="A4021" t="s">
        <v>53</v>
      </c>
      <c r="B4021" t="s">
        <v>33</v>
      </c>
      <c r="C4021" t="s">
        <v>4909</v>
      </c>
      <c r="D4021" t="s">
        <v>4113</v>
      </c>
      <c r="E4021">
        <v>94279.0186505499</v>
      </c>
      <c r="F4021">
        <v>33598.5623410776</v>
      </c>
      <c r="G4021">
        <v>32803.5908617043</v>
      </c>
      <c r="H4021">
        <v>21345.971762255</v>
      </c>
      <c r="I4021">
        <v>160681.17</v>
      </c>
      <c r="J4021">
        <v>139335.2</v>
      </c>
      <c r="K4021" s="1"/>
      <c r="L4021" s="1"/>
      <c r="M4021" s="1"/>
      <c r="N4021" s="1"/>
    </row>
    <row r="4022" ht="15.75" customHeight="1">
      <c r="A4022" t="s">
        <v>17</v>
      </c>
      <c r="B4022" t="s">
        <v>14</v>
      </c>
      <c r="C4022" t="s">
        <v>4911</v>
      </c>
      <c r="D4022" t="s">
        <v>4114</v>
      </c>
      <c r="E4022">
        <v>94289.9016204561</v>
      </c>
      <c r="F4022">
        <v>33603.177059405</v>
      </c>
      <c r="G4022">
        <v>32811.2708651338</v>
      </c>
      <c r="H4022">
        <v>21349.3693129423</v>
      </c>
      <c r="I4022">
        <v>160704.35</v>
      </c>
      <c r="J4022">
        <v>139354.98</v>
      </c>
      <c r="K4022" s="1"/>
      <c r="L4022" s="1"/>
      <c r="M4022" s="1"/>
      <c r="N4022" s="1"/>
    </row>
    <row r="4023" ht="15.75" customHeight="1">
      <c r="A4023" t="s">
        <v>17</v>
      </c>
      <c r="B4023" t="s">
        <v>26</v>
      </c>
      <c r="C4023" t="s">
        <v>4910</v>
      </c>
      <c r="D4023" t="s">
        <v>4115</v>
      </c>
      <c r="E4023">
        <v>94300.7845903623</v>
      </c>
      <c r="F4023">
        <v>33607.7917777324</v>
      </c>
      <c r="G4023">
        <v>32818.9508685633</v>
      </c>
      <c r="H4023">
        <v>21352.7668636296</v>
      </c>
      <c r="I4023">
        <v>160727.53</v>
      </c>
      <c r="J4023">
        <v>139374.76</v>
      </c>
      <c r="K4023" s="1"/>
      <c r="L4023" s="1"/>
      <c r="M4023" s="1"/>
      <c r="N4023" s="1"/>
    </row>
    <row r="4024" ht="15.75" customHeight="1">
      <c r="A4024" t="s">
        <v>29</v>
      </c>
      <c r="B4024" t="s">
        <v>33</v>
      </c>
      <c r="C4024" t="s">
        <v>4917</v>
      </c>
      <c r="D4024" t="s">
        <v>4116</v>
      </c>
      <c r="E4024">
        <v>94311.6675602685</v>
      </c>
      <c r="F4024">
        <v>33612.4064960598</v>
      </c>
      <c r="G4024">
        <v>32826.6308719928</v>
      </c>
      <c r="H4024">
        <v>21356.1644143169</v>
      </c>
      <c r="I4024">
        <v>160750.7</v>
      </c>
      <c r="J4024">
        <v>139394.54</v>
      </c>
      <c r="K4024" s="1"/>
      <c r="L4024" s="1"/>
      <c r="M4024" s="1"/>
      <c r="N4024" s="1"/>
    </row>
    <row r="4025" ht="15.75" customHeight="1">
      <c r="A4025" t="s">
        <v>13</v>
      </c>
      <c r="B4025" t="s">
        <v>18</v>
      </c>
      <c r="C4025" t="s">
        <v>4915</v>
      </c>
      <c r="D4025" t="s">
        <v>4117</v>
      </c>
      <c r="E4025">
        <v>94322.5505301747</v>
      </c>
      <c r="F4025">
        <v>33617.0212143873</v>
      </c>
      <c r="G4025">
        <v>32834.3108754223</v>
      </c>
      <c r="H4025">
        <v>21359.5619650042</v>
      </c>
      <c r="I4025">
        <v>160773.88</v>
      </c>
      <c r="J4025">
        <v>139414.32</v>
      </c>
      <c r="K4025" s="1"/>
      <c r="L4025" s="1"/>
      <c r="M4025" s="1"/>
      <c r="N4025" s="1"/>
    </row>
    <row r="4026" ht="15.75" customHeight="1">
      <c r="A4026" t="s">
        <v>36</v>
      </c>
      <c r="B4026" t="s">
        <v>18</v>
      </c>
      <c r="C4026" t="s">
        <v>4917</v>
      </c>
      <c r="D4026" t="s">
        <v>4118</v>
      </c>
      <c r="E4026">
        <v>94333.4335000809</v>
      </c>
      <c r="F4026">
        <v>33621.6359327147</v>
      </c>
      <c r="G4026">
        <v>32841.9908788518</v>
      </c>
      <c r="H4026">
        <v>21362.9595156915</v>
      </c>
      <c r="I4026">
        <v>160797.06</v>
      </c>
      <c r="J4026">
        <v>139434.1</v>
      </c>
      <c r="K4026" s="1"/>
      <c r="L4026" s="1"/>
      <c r="M4026" s="1"/>
      <c r="N4026" s="1"/>
    </row>
    <row r="4027" ht="15.75" customHeight="1">
      <c r="A4027" t="s">
        <v>53</v>
      </c>
      <c r="B4027" t="s">
        <v>14</v>
      </c>
      <c r="C4027" t="s">
        <v>4913</v>
      </c>
      <c r="D4027" t="s">
        <v>4119</v>
      </c>
      <c r="E4027">
        <v>94344.3164699871</v>
      </c>
      <c r="F4027">
        <v>33626.2506510421</v>
      </c>
      <c r="G4027">
        <v>32849.6708822813</v>
      </c>
      <c r="H4027">
        <v>21366.3570663787</v>
      </c>
      <c r="I4027">
        <v>160820.24</v>
      </c>
      <c r="J4027">
        <v>139453.88</v>
      </c>
      <c r="K4027" s="1"/>
      <c r="L4027" s="1"/>
      <c r="M4027" s="1"/>
      <c r="N4027" s="1"/>
    </row>
    <row r="4028" ht="15.75" customHeight="1">
      <c r="A4028" t="s">
        <v>29</v>
      </c>
      <c r="B4028" t="s">
        <v>18</v>
      </c>
      <c r="C4028" t="s">
        <v>4916</v>
      </c>
      <c r="D4028" t="s">
        <v>4120</v>
      </c>
      <c r="E4028">
        <v>94355.1994398933</v>
      </c>
      <c r="F4028">
        <v>33630.8653693695</v>
      </c>
      <c r="G4028">
        <v>32857.3508857108</v>
      </c>
      <c r="H4028">
        <v>21369.754617066</v>
      </c>
      <c r="I4028">
        <v>160843.42</v>
      </c>
      <c r="J4028">
        <v>139473.67</v>
      </c>
      <c r="K4028" s="1"/>
      <c r="L4028" s="1"/>
      <c r="M4028" s="1"/>
      <c r="N4028" s="1"/>
    </row>
    <row r="4029" ht="15.75" customHeight="1">
      <c r="A4029" t="s">
        <v>17</v>
      </c>
      <c r="B4029" t="s">
        <v>54</v>
      </c>
      <c r="C4029" t="s">
        <v>4911</v>
      </c>
      <c r="D4029" t="s">
        <v>4121</v>
      </c>
      <c r="E4029">
        <v>94366.0824097995</v>
      </c>
      <c r="F4029">
        <v>33635.4800876969</v>
      </c>
      <c r="G4029">
        <v>32865.0308891403</v>
      </c>
      <c r="H4029">
        <v>21373.1521677533</v>
      </c>
      <c r="I4029">
        <v>160866.59</v>
      </c>
      <c r="J4029">
        <v>139493.44</v>
      </c>
      <c r="K4029" s="1"/>
      <c r="L4029" s="1"/>
      <c r="M4029" s="1"/>
      <c r="N4029" s="1"/>
    </row>
    <row r="4030" ht="15.75" customHeight="1">
      <c r="A4030" t="s">
        <v>25</v>
      </c>
      <c r="B4030" t="s">
        <v>33</v>
      </c>
      <c r="C4030" t="s">
        <v>4917</v>
      </c>
      <c r="D4030" t="s">
        <v>4122</v>
      </c>
      <c r="E4030">
        <v>94376.9653797057</v>
      </c>
      <c r="F4030">
        <v>33640.0948060244</v>
      </c>
      <c r="G4030">
        <v>32872.7108925698</v>
      </c>
      <c r="H4030">
        <v>21376.5497184406</v>
      </c>
      <c r="I4030">
        <v>160889.77</v>
      </c>
      <c r="J4030">
        <v>139513.22</v>
      </c>
      <c r="K4030" s="1"/>
      <c r="L4030" s="1"/>
      <c r="M4030" s="1"/>
      <c r="N4030" s="1"/>
    </row>
    <row r="4031" ht="15.75" customHeight="1">
      <c r="A4031" t="s">
        <v>25</v>
      </c>
      <c r="B4031" t="s">
        <v>54</v>
      </c>
      <c r="C4031" t="s">
        <v>4910</v>
      </c>
      <c r="D4031" t="s">
        <v>4123</v>
      </c>
      <c r="E4031">
        <v>94387.8483496119</v>
      </c>
      <c r="F4031">
        <v>33644.7095243518</v>
      </c>
      <c r="G4031">
        <v>32880.3908959993</v>
      </c>
      <c r="H4031">
        <v>21379.9472691279</v>
      </c>
      <c r="I4031">
        <v>160912.95</v>
      </c>
      <c r="J4031">
        <v>139533.0</v>
      </c>
      <c r="K4031" s="1"/>
      <c r="L4031" s="1"/>
      <c r="M4031" s="1"/>
      <c r="N4031" s="1"/>
    </row>
    <row r="4032" ht="15.75" customHeight="1">
      <c r="A4032" t="s">
        <v>13</v>
      </c>
      <c r="B4032" t="s">
        <v>18</v>
      </c>
      <c r="C4032" t="s">
        <v>4913</v>
      </c>
      <c r="D4032" t="s">
        <v>4124</v>
      </c>
      <c r="E4032">
        <v>94398.7313195181</v>
      </c>
      <c r="F4032">
        <v>33649.3242426792</v>
      </c>
      <c r="G4032">
        <v>32888.0708994288</v>
      </c>
      <c r="H4032">
        <v>21383.3448198152</v>
      </c>
      <c r="I4032">
        <v>160936.13</v>
      </c>
      <c r="J4032">
        <v>139552.79</v>
      </c>
      <c r="K4032" s="1"/>
      <c r="L4032" s="1"/>
      <c r="M4032" s="1"/>
      <c r="N4032" s="1"/>
    </row>
    <row r="4033" ht="15.75" customHeight="1">
      <c r="A4033" t="s">
        <v>51</v>
      </c>
      <c r="B4033" t="s">
        <v>14</v>
      </c>
      <c r="C4033" t="s">
        <v>4907</v>
      </c>
      <c r="D4033" t="s">
        <v>4125</v>
      </c>
      <c r="E4033">
        <v>94409.6142894243</v>
      </c>
      <c r="F4033">
        <v>33653.9389610066</v>
      </c>
      <c r="G4033">
        <v>32895.7509028583</v>
      </c>
      <c r="H4033">
        <v>21386.7423705025</v>
      </c>
      <c r="I4033">
        <v>160959.3</v>
      </c>
      <c r="J4033">
        <v>139572.56</v>
      </c>
      <c r="K4033" s="1"/>
      <c r="L4033" s="1"/>
      <c r="M4033" s="1"/>
      <c r="N4033" s="1"/>
    </row>
    <row r="4034" ht="15.75" customHeight="1">
      <c r="A4034" t="s">
        <v>36</v>
      </c>
      <c r="B4034" t="s">
        <v>14</v>
      </c>
      <c r="C4034" t="s">
        <v>4913</v>
      </c>
      <c r="D4034" t="s">
        <v>4126</v>
      </c>
      <c r="E4034">
        <v>94420.4972593305</v>
      </c>
      <c r="F4034">
        <v>33658.553679334</v>
      </c>
      <c r="G4034">
        <v>32903.4309062878</v>
      </c>
      <c r="H4034">
        <v>21390.1399211898</v>
      </c>
      <c r="I4034">
        <v>160982.48</v>
      </c>
      <c r="J4034">
        <v>139592.34</v>
      </c>
      <c r="K4034" s="1"/>
      <c r="L4034" s="1"/>
      <c r="M4034" s="1"/>
      <c r="N4034" s="1"/>
    </row>
    <row r="4035" ht="15.75" customHeight="1">
      <c r="A4035" t="s">
        <v>53</v>
      </c>
      <c r="B4035" t="s">
        <v>54</v>
      </c>
      <c r="C4035" t="s">
        <v>4912</v>
      </c>
      <c r="D4035" t="s">
        <v>4127</v>
      </c>
      <c r="E4035">
        <v>94442.2631991428</v>
      </c>
      <c r="F4035">
        <v>33667.7831159889</v>
      </c>
      <c r="G4035">
        <v>32918.7909131468</v>
      </c>
      <c r="H4035">
        <v>21396.9350225643</v>
      </c>
      <c r="I4035">
        <v>161028.84</v>
      </c>
      <c r="J4035">
        <v>139631.9</v>
      </c>
      <c r="K4035" s="1"/>
      <c r="L4035" s="1"/>
      <c r="M4035" s="1"/>
      <c r="N4035" s="1"/>
    </row>
    <row r="4036" ht="15.75" customHeight="1">
      <c r="A4036" t="s">
        <v>25</v>
      </c>
      <c r="B4036" t="s">
        <v>18</v>
      </c>
      <c r="C4036" t="s">
        <v>4907</v>
      </c>
      <c r="D4036" t="s">
        <v>4128</v>
      </c>
      <c r="E4036">
        <v>94453.146169049</v>
      </c>
      <c r="F4036">
        <v>33672.3978343163</v>
      </c>
      <c r="G4036">
        <v>32926.4709165763</v>
      </c>
      <c r="H4036">
        <v>21400.3325732516</v>
      </c>
      <c r="I4036">
        <v>161052.01</v>
      </c>
      <c r="J4036">
        <v>139651.68</v>
      </c>
      <c r="K4036" s="1"/>
      <c r="L4036" s="1"/>
      <c r="M4036" s="1"/>
      <c r="N4036" s="1"/>
    </row>
    <row r="4037" ht="15.75" customHeight="1">
      <c r="A4037" t="s">
        <v>51</v>
      </c>
      <c r="B4037" t="s">
        <v>37</v>
      </c>
      <c r="C4037" t="s">
        <v>4913</v>
      </c>
      <c r="D4037" t="s">
        <v>4129</v>
      </c>
      <c r="E4037">
        <v>94464.0291389552</v>
      </c>
      <c r="F4037">
        <v>33677.0125526437</v>
      </c>
      <c r="G4037">
        <v>32934.1509200058</v>
      </c>
      <c r="H4037">
        <v>21403.7301239389</v>
      </c>
      <c r="I4037">
        <v>161075.19</v>
      </c>
      <c r="J4037">
        <v>139671.46</v>
      </c>
      <c r="K4037" s="1"/>
      <c r="L4037" s="1"/>
      <c r="M4037" s="1"/>
      <c r="N4037" s="1"/>
    </row>
    <row r="4038" ht="15.75" customHeight="1">
      <c r="A4038" t="s">
        <v>17</v>
      </c>
      <c r="B4038" t="s">
        <v>33</v>
      </c>
      <c r="C4038" t="s">
        <v>4905</v>
      </c>
      <c r="D4038" t="s">
        <v>4130</v>
      </c>
      <c r="E4038">
        <v>94474.9121088614</v>
      </c>
      <c r="F4038">
        <v>33681.6272709712</v>
      </c>
      <c r="G4038">
        <v>32941.8309234353</v>
      </c>
      <c r="H4038">
        <v>21407.1276746262</v>
      </c>
      <c r="I4038">
        <v>161098.37</v>
      </c>
      <c r="J4038">
        <v>139691.24</v>
      </c>
      <c r="K4038" s="1"/>
      <c r="L4038" s="1"/>
      <c r="M4038" s="1"/>
      <c r="N4038" s="1"/>
    </row>
    <row r="4039" ht="15.75" customHeight="1">
      <c r="A4039" t="s">
        <v>36</v>
      </c>
      <c r="B4039" t="s">
        <v>30</v>
      </c>
      <c r="C4039" t="s">
        <v>4910</v>
      </c>
      <c r="D4039" t="s">
        <v>4131</v>
      </c>
      <c r="E4039">
        <v>70778.92354084158</v>
      </c>
      <c r="F4039">
        <v>33686.2419892986</v>
      </c>
      <c r="G4039">
        <v>32949.5109268648</v>
      </c>
      <c r="H4039">
        <v>21410.5252253135</v>
      </c>
      <c r="I4039">
        <v>137414.68</v>
      </c>
      <c r="J4039">
        <v>116004.15</v>
      </c>
      <c r="K4039" s="1"/>
      <c r="L4039" s="1"/>
      <c r="M4039" s="1"/>
      <c r="N4039" s="1"/>
    </row>
    <row r="4040" ht="15.75" customHeight="1">
      <c r="A4040" t="s">
        <v>51</v>
      </c>
      <c r="B4040" t="s">
        <v>37</v>
      </c>
      <c r="C4040" t="s">
        <v>4908</v>
      </c>
      <c r="D4040" t="s">
        <v>4132</v>
      </c>
      <c r="E4040">
        <v>94496.6780486738</v>
      </c>
      <c r="F4040">
        <v>33690.856707626</v>
      </c>
      <c r="G4040">
        <v>32957.1909302943</v>
      </c>
      <c r="H4040">
        <v>21413.9227760008</v>
      </c>
      <c r="I4040">
        <v>161144.73</v>
      </c>
      <c r="J4040">
        <v>139730.81</v>
      </c>
      <c r="K4040" s="1"/>
      <c r="L4040" s="1"/>
      <c r="M4040" s="1"/>
      <c r="N4040" s="1"/>
    </row>
    <row r="4041" ht="15.75" customHeight="1">
      <c r="A4041" t="s">
        <v>17</v>
      </c>
      <c r="B4041" t="s">
        <v>54</v>
      </c>
      <c r="C4041" t="s">
        <v>4910</v>
      </c>
      <c r="D4041" t="s">
        <v>4133</v>
      </c>
      <c r="E4041">
        <v>94507.56101858</v>
      </c>
      <c r="F4041">
        <v>33695.4714259534</v>
      </c>
      <c r="G4041">
        <v>32964.8709337238</v>
      </c>
      <c r="H4041">
        <v>21417.3203266881</v>
      </c>
      <c r="I4041">
        <v>161167.9</v>
      </c>
      <c r="J4041">
        <v>139750.58</v>
      </c>
      <c r="K4041" s="1"/>
      <c r="L4041" s="1"/>
      <c r="M4041" s="1"/>
      <c r="N4041" s="1"/>
    </row>
    <row r="4042" ht="15.75" customHeight="1">
      <c r="A4042" t="s">
        <v>36</v>
      </c>
      <c r="B4042" t="s">
        <v>18</v>
      </c>
      <c r="C4042" t="s">
        <v>4913</v>
      </c>
      <c r="D4042" t="s">
        <v>4134</v>
      </c>
      <c r="E4042">
        <v>94518.4439884862</v>
      </c>
      <c r="F4042">
        <v>33700.0861442808</v>
      </c>
      <c r="G4042">
        <v>32972.5509371533</v>
      </c>
      <c r="H4042">
        <v>21420.7178773753</v>
      </c>
      <c r="I4042">
        <v>161191.08</v>
      </c>
      <c r="J4042">
        <v>139770.36</v>
      </c>
      <c r="K4042" s="1"/>
      <c r="L4042" s="1"/>
      <c r="M4042" s="1"/>
      <c r="N4042" s="1"/>
    </row>
    <row r="4043" ht="15.75" customHeight="1">
      <c r="A4043" t="s">
        <v>29</v>
      </c>
      <c r="B4043" t="s">
        <v>18</v>
      </c>
      <c r="C4043" t="s">
        <v>4915</v>
      </c>
      <c r="D4043" t="s">
        <v>4135</v>
      </c>
      <c r="E4043">
        <v>94529.3269583924</v>
      </c>
      <c r="F4043">
        <v>33704.7008626083</v>
      </c>
      <c r="G4043">
        <v>32980.2309405828</v>
      </c>
      <c r="H4043">
        <v>21424.1154280626</v>
      </c>
      <c r="I4043">
        <v>161214.26</v>
      </c>
      <c r="J4043">
        <v>139790.14</v>
      </c>
      <c r="K4043" s="1"/>
      <c r="L4043" s="1"/>
      <c r="M4043" s="1"/>
      <c r="N4043" s="1"/>
    </row>
    <row r="4044" ht="15.75" customHeight="1">
      <c r="A4044" t="s">
        <v>51</v>
      </c>
      <c r="B4044" t="s">
        <v>26</v>
      </c>
      <c r="C4044" t="s">
        <v>4915</v>
      </c>
      <c r="D4044" t="s">
        <v>4136</v>
      </c>
      <c r="E4044">
        <v>94540.2099282986</v>
      </c>
      <c r="F4044">
        <v>33709.3155809357</v>
      </c>
      <c r="G4044">
        <v>32987.9109440123</v>
      </c>
      <c r="H4044">
        <v>21427.5129787499</v>
      </c>
      <c r="I4044">
        <v>161237.44</v>
      </c>
      <c r="J4044">
        <v>139809.93</v>
      </c>
      <c r="K4044" s="1"/>
      <c r="L4044" s="1"/>
      <c r="M4044" s="1"/>
      <c r="N4044" s="1"/>
    </row>
    <row r="4045" ht="15.75" customHeight="1">
      <c r="A4045" t="s">
        <v>13</v>
      </c>
      <c r="B4045" t="s">
        <v>14</v>
      </c>
      <c r="C4045" t="s">
        <v>4907</v>
      </c>
      <c r="D4045" t="s">
        <v>4137</v>
      </c>
      <c r="E4045">
        <v>94551.0928982048</v>
      </c>
      <c r="F4045">
        <v>33713.9302992631</v>
      </c>
      <c r="G4045">
        <v>32995.5909474418</v>
      </c>
      <c r="H4045">
        <v>21430.9105294372</v>
      </c>
      <c r="I4045">
        <v>161260.61</v>
      </c>
      <c r="J4045">
        <v>139829.7</v>
      </c>
      <c r="K4045" s="1"/>
      <c r="L4045" s="1"/>
      <c r="M4045" s="1"/>
      <c r="N4045" s="1"/>
    </row>
    <row r="4046" ht="15.75" customHeight="1">
      <c r="A4046" t="s">
        <v>13</v>
      </c>
      <c r="B4046" t="s">
        <v>54</v>
      </c>
      <c r="C4046" t="s">
        <v>4910</v>
      </c>
      <c r="D4046" t="s">
        <v>4138</v>
      </c>
      <c r="E4046">
        <v>94561.975868111</v>
      </c>
      <c r="F4046">
        <v>33718.5450175905</v>
      </c>
      <c r="G4046">
        <v>33003.2709508713</v>
      </c>
      <c r="H4046">
        <v>21434.3080801245</v>
      </c>
      <c r="I4046">
        <v>161283.79</v>
      </c>
      <c r="J4046">
        <v>139849.48</v>
      </c>
      <c r="K4046" s="1"/>
      <c r="L4046" s="1"/>
      <c r="M4046" s="1"/>
      <c r="N4046" s="1"/>
    </row>
    <row r="4047" ht="15.75" customHeight="1">
      <c r="A4047" t="s">
        <v>25</v>
      </c>
      <c r="B4047" t="s">
        <v>54</v>
      </c>
      <c r="C4047" t="s">
        <v>4917</v>
      </c>
      <c r="D4047" t="s">
        <v>4139</v>
      </c>
      <c r="E4047">
        <v>94572.8588380172</v>
      </c>
      <c r="F4047">
        <v>33723.159735918</v>
      </c>
      <c r="G4047">
        <v>33010.9509543008</v>
      </c>
      <c r="H4047">
        <v>21437.7056308118</v>
      </c>
      <c r="I4047">
        <v>161306.97</v>
      </c>
      <c r="J4047">
        <v>139869.26</v>
      </c>
      <c r="K4047" s="1"/>
      <c r="L4047" s="1"/>
      <c r="M4047" s="1"/>
      <c r="N4047" s="1"/>
    </row>
    <row r="4048" ht="15.75" customHeight="1">
      <c r="A4048" t="s">
        <v>53</v>
      </c>
      <c r="B4048" t="s">
        <v>54</v>
      </c>
      <c r="C4048" t="s">
        <v>4914</v>
      </c>
      <c r="D4048" t="s">
        <v>4140</v>
      </c>
      <c r="E4048">
        <v>94583.7418079234</v>
      </c>
      <c r="F4048">
        <v>33727.7744542454</v>
      </c>
      <c r="G4048">
        <v>33018.6309577303</v>
      </c>
      <c r="H4048">
        <v>21441.1031814991</v>
      </c>
      <c r="I4048">
        <v>161330.15</v>
      </c>
      <c r="J4048">
        <v>139889.05</v>
      </c>
      <c r="K4048" s="1"/>
      <c r="L4048" s="1"/>
      <c r="M4048" s="1"/>
      <c r="N4048" s="1"/>
    </row>
    <row r="4049" ht="15.75" customHeight="1">
      <c r="A4049" t="s">
        <v>51</v>
      </c>
      <c r="B4049" t="s">
        <v>37</v>
      </c>
      <c r="C4049" t="s">
        <v>4905</v>
      </c>
      <c r="D4049" t="s">
        <v>4141</v>
      </c>
      <c r="E4049">
        <v>94594.6247778296</v>
      </c>
      <c r="F4049">
        <v>33732.3891725728</v>
      </c>
      <c r="G4049">
        <v>33026.3109611598</v>
      </c>
      <c r="H4049">
        <v>21444.5007321863</v>
      </c>
      <c r="I4049">
        <v>161353.32</v>
      </c>
      <c r="J4049">
        <v>139908.82</v>
      </c>
      <c r="K4049" s="1"/>
      <c r="L4049" s="1"/>
      <c r="M4049" s="1"/>
      <c r="N4049" s="1"/>
    </row>
    <row r="4050" ht="15.75" customHeight="1">
      <c r="A4050" t="s">
        <v>29</v>
      </c>
      <c r="B4050" t="s">
        <v>37</v>
      </c>
      <c r="C4050" t="s">
        <v>4916</v>
      </c>
      <c r="D4050" t="s">
        <v>4142</v>
      </c>
      <c r="E4050">
        <v>94605.5077477357</v>
      </c>
      <c r="F4050">
        <v>33737.0038909002</v>
      </c>
      <c r="G4050">
        <v>33033.9909645893</v>
      </c>
      <c r="H4050">
        <v>21447.8982828736</v>
      </c>
      <c r="I4050">
        <v>161376.5</v>
      </c>
      <c r="J4050">
        <v>139928.6</v>
      </c>
      <c r="K4050" s="1"/>
      <c r="L4050" s="1"/>
      <c r="M4050" s="1"/>
      <c r="N4050" s="1"/>
    </row>
    <row r="4051" ht="15.75" customHeight="1">
      <c r="A4051" t="s">
        <v>53</v>
      </c>
      <c r="B4051" t="s">
        <v>30</v>
      </c>
      <c r="C4051" t="s">
        <v>4917</v>
      </c>
      <c r="D4051" t="s">
        <v>4143</v>
      </c>
      <c r="E4051">
        <v>94627.2736875481</v>
      </c>
      <c r="F4051">
        <v>33746.2333275551</v>
      </c>
      <c r="G4051">
        <v>33049.3509714483</v>
      </c>
      <c r="H4051">
        <v>21454.6933842482</v>
      </c>
      <c r="I4051">
        <v>161422.86</v>
      </c>
      <c r="J4051">
        <v>139968.17</v>
      </c>
      <c r="K4051" s="1"/>
      <c r="L4051" s="1"/>
      <c r="M4051" s="1"/>
      <c r="N4051" s="1"/>
    </row>
    <row r="4052" ht="15.75" customHeight="1">
      <c r="A4052" t="s">
        <v>25</v>
      </c>
      <c r="B4052" t="s">
        <v>18</v>
      </c>
      <c r="C4052" t="s">
        <v>4907</v>
      </c>
      <c r="D4052" t="s">
        <v>4144</v>
      </c>
      <c r="E4052">
        <v>94638.1566574543</v>
      </c>
      <c r="F4052">
        <v>33750.8480458825</v>
      </c>
      <c r="G4052">
        <v>33057.0309748777</v>
      </c>
      <c r="H4052">
        <v>21458.0909349355</v>
      </c>
      <c r="I4052">
        <v>161446.04</v>
      </c>
      <c r="J4052">
        <v>139987.95</v>
      </c>
      <c r="K4052" s="1"/>
      <c r="L4052" s="1"/>
      <c r="M4052" s="1"/>
      <c r="N4052" s="1"/>
    </row>
    <row r="4053" ht="15.75" customHeight="1">
      <c r="A4053" t="s">
        <v>25</v>
      </c>
      <c r="B4053" t="s">
        <v>54</v>
      </c>
      <c r="C4053" t="s">
        <v>4905</v>
      </c>
      <c r="D4053" t="s">
        <v>4145</v>
      </c>
      <c r="E4053">
        <v>94649.0396273605</v>
      </c>
      <c r="F4053">
        <v>33755.4627642099</v>
      </c>
      <c r="G4053">
        <v>33064.7109783072</v>
      </c>
      <c r="H4053">
        <v>21461.4884856228</v>
      </c>
      <c r="I4053">
        <v>161469.21</v>
      </c>
      <c r="J4053">
        <v>140007.72</v>
      </c>
      <c r="K4053" s="1"/>
      <c r="L4053" s="1"/>
      <c r="M4053" s="1"/>
      <c r="N4053" s="1"/>
    </row>
    <row r="4054" ht="15.75" customHeight="1">
      <c r="A4054" t="s">
        <v>13</v>
      </c>
      <c r="B4054" t="s">
        <v>14</v>
      </c>
      <c r="C4054" t="s">
        <v>4910</v>
      </c>
      <c r="D4054" t="s">
        <v>4146</v>
      </c>
      <c r="E4054">
        <v>94659.9225972667</v>
      </c>
      <c r="F4054">
        <v>33760.0774825373</v>
      </c>
      <c r="G4054">
        <v>33072.3909817367</v>
      </c>
      <c r="H4054">
        <v>21464.8860363101</v>
      </c>
      <c r="I4054">
        <v>161492.39</v>
      </c>
      <c r="J4054">
        <v>140027.5</v>
      </c>
      <c r="K4054" s="1"/>
      <c r="L4054" s="1"/>
      <c r="M4054" s="1"/>
      <c r="N4054" s="1"/>
    </row>
    <row r="4055" ht="15.75" customHeight="1">
      <c r="A4055" t="s">
        <v>17</v>
      </c>
      <c r="B4055" t="s">
        <v>14</v>
      </c>
      <c r="C4055" t="s">
        <v>4916</v>
      </c>
      <c r="D4055" t="s">
        <v>4147</v>
      </c>
      <c r="E4055">
        <v>94670.8055671729</v>
      </c>
      <c r="F4055">
        <v>33764.6922008648</v>
      </c>
      <c r="G4055">
        <v>33080.0709851662</v>
      </c>
      <c r="H4055">
        <v>21468.2835869974</v>
      </c>
      <c r="I4055">
        <v>161515.57</v>
      </c>
      <c r="J4055">
        <v>140047.29</v>
      </c>
      <c r="K4055" s="1"/>
      <c r="L4055" s="1"/>
      <c r="M4055" s="1"/>
      <c r="N4055" s="1"/>
    </row>
    <row r="4056" ht="15.75" customHeight="1">
      <c r="A4056" t="s">
        <v>51</v>
      </c>
      <c r="B4056" t="s">
        <v>26</v>
      </c>
      <c r="C4056" t="s">
        <v>4912</v>
      </c>
      <c r="D4056" t="s">
        <v>4148</v>
      </c>
      <c r="E4056">
        <v>94681.6885370791</v>
      </c>
      <c r="F4056">
        <v>33769.3069191922</v>
      </c>
      <c r="G4056">
        <v>33087.7509885957</v>
      </c>
      <c r="H4056">
        <v>21471.6811376846</v>
      </c>
      <c r="I4056">
        <v>161538.75</v>
      </c>
      <c r="J4056">
        <v>140067.07</v>
      </c>
      <c r="K4056" s="1"/>
      <c r="L4056" s="1"/>
      <c r="M4056" s="1"/>
      <c r="N4056" s="1"/>
    </row>
    <row r="4057" ht="15.75" customHeight="1">
      <c r="A4057" t="s">
        <v>13</v>
      </c>
      <c r="B4057" t="s">
        <v>26</v>
      </c>
      <c r="C4057" t="s">
        <v>4914</v>
      </c>
      <c r="D4057" t="s">
        <v>4149</v>
      </c>
      <c r="E4057">
        <v>94692.5715069853</v>
      </c>
      <c r="F4057">
        <v>33773.9216375196</v>
      </c>
      <c r="G4057">
        <v>33095.4309920252</v>
      </c>
      <c r="H4057">
        <v>14327.38295125808</v>
      </c>
      <c r="I4057">
        <v>161561.92</v>
      </c>
      <c r="J4057">
        <v>147234.54</v>
      </c>
      <c r="K4057" s="1"/>
      <c r="L4057" s="1"/>
      <c r="M4057" s="1"/>
      <c r="N4057" s="1"/>
    </row>
    <row r="4058" ht="15.75" customHeight="1">
      <c r="A4058" t="s">
        <v>51</v>
      </c>
      <c r="B4058" t="s">
        <v>26</v>
      </c>
      <c r="C4058" t="s">
        <v>4910</v>
      </c>
      <c r="D4058" t="s">
        <v>4150</v>
      </c>
      <c r="E4058">
        <v>94703.4544768915</v>
      </c>
      <c r="F4058">
        <v>33778.536355847</v>
      </c>
      <c r="G4058">
        <v>33103.1109954547</v>
      </c>
      <c r="H4058">
        <v>21478.4762390592</v>
      </c>
      <c r="I4058">
        <v>161585.1</v>
      </c>
      <c r="J4058">
        <v>140106.62</v>
      </c>
      <c r="K4058" s="1"/>
      <c r="L4058" s="1"/>
      <c r="M4058" s="1"/>
      <c r="N4058" s="1"/>
    </row>
    <row r="4059" ht="15.75" customHeight="1">
      <c r="A4059" t="s">
        <v>17</v>
      </c>
      <c r="B4059" t="s">
        <v>18</v>
      </c>
      <c r="C4059" t="s">
        <v>4915</v>
      </c>
      <c r="D4059" t="s">
        <v>4151</v>
      </c>
      <c r="E4059">
        <v>94714.3374467977</v>
      </c>
      <c r="F4059">
        <v>33783.1510741744</v>
      </c>
      <c r="G4059">
        <v>33110.7909988842</v>
      </c>
      <c r="H4059">
        <v>21481.8737897465</v>
      </c>
      <c r="I4059">
        <v>161608.28</v>
      </c>
      <c r="J4059">
        <v>140126.41</v>
      </c>
      <c r="K4059" s="1"/>
      <c r="L4059" s="1"/>
      <c r="M4059" s="1"/>
      <c r="N4059" s="1"/>
    </row>
    <row r="4060" ht="15.75" customHeight="1">
      <c r="A4060" t="s">
        <v>53</v>
      </c>
      <c r="B4060" t="s">
        <v>54</v>
      </c>
      <c r="C4060" t="s">
        <v>4916</v>
      </c>
      <c r="D4060" t="s">
        <v>4152</v>
      </c>
      <c r="E4060">
        <v>94725.2204167039</v>
      </c>
      <c r="F4060">
        <v>33787.7657925019</v>
      </c>
      <c r="G4060">
        <v>33118.4710023137</v>
      </c>
      <c r="H4060">
        <v>21485.2713404338</v>
      </c>
      <c r="I4060">
        <v>161631.46</v>
      </c>
      <c r="J4060">
        <v>140146.19</v>
      </c>
      <c r="K4060" s="1"/>
      <c r="L4060" s="1"/>
      <c r="M4060" s="1"/>
      <c r="N4060" s="1"/>
    </row>
    <row r="4061" ht="15.75" customHeight="1">
      <c r="A4061" t="s">
        <v>17</v>
      </c>
      <c r="B4061" t="s">
        <v>30</v>
      </c>
      <c r="C4061" t="s">
        <v>4914</v>
      </c>
      <c r="D4061" t="s">
        <v>4153</v>
      </c>
      <c r="E4061">
        <v>94736.1033866101</v>
      </c>
      <c r="F4061">
        <v>33792.3805108293</v>
      </c>
      <c r="G4061">
        <v>33126.1510057432</v>
      </c>
      <c r="H4061">
        <v>21488.6688911211</v>
      </c>
      <c r="I4061">
        <v>161654.63</v>
      </c>
      <c r="J4061">
        <v>140165.96</v>
      </c>
      <c r="K4061" s="1"/>
      <c r="L4061" s="1"/>
      <c r="M4061" s="1"/>
      <c r="N4061" s="1"/>
    </row>
    <row r="4062" ht="15.75" customHeight="1">
      <c r="A4062" t="s">
        <v>13</v>
      </c>
      <c r="B4062" t="s">
        <v>54</v>
      </c>
      <c r="C4062" t="s">
        <v>4916</v>
      </c>
      <c r="D4062" t="s">
        <v>4154</v>
      </c>
      <c r="E4062">
        <v>94746.9863565163</v>
      </c>
      <c r="F4062">
        <v>33796.9952291567</v>
      </c>
      <c r="G4062">
        <v>33133.8310091727</v>
      </c>
      <c r="H4062">
        <v>21492.0664418084</v>
      </c>
      <c r="I4062">
        <v>161677.81</v>
      </c>
      <c r="J4062">
        <v>140185.74</v>
      </c>
      <c r="K4062" s="1"/>
      <c r="L4062" s="1"/>
      <c r="M4062" s="1"/>
      <c r="N4062" s="1"/>
    </row>
    <row r="4063" ht="15.75" customHeight="1">
      <c r="A4063" t="s">
        <v>25</v>
      </c>
      <c r="B4063" t="s">
        <v>26</v>
      </c>
      <c r="C4063" t="s">
        <v>4917</v>
      </c>
      <c r="D4063" t="s">
        <v>4155</v>
      </c>
      <c r="E4063">
        <v>94757.8693264225</v>
      </c>
      <c r="F4063">
        <v>33801.6099474841</v>
      </c>
      <c r="G4063">
        <v>33141.5110126022</v>
      </c>
      <c r="H4063">
        <v>21495.4639924957</v>
      </c>
      <c r="I4063">
        <v>161700.99</v>
      </c>
      <c r="J4063">
        <v>140205.53</v>
      </c>
      <c r="K4063" s="1"/>
      <c r="L4063" s="1"/>
      <c r="M4063" s="1"/>
      <c r="N4063" s="1"/>
    </row>
    <row r="4064" ht="15.75" customHeight="1">
      <c r="A4064" t="s">
        <v>36</v>
      </c>
      <c r="B4064" t="s">
        <v>33</v>
      </c>
      <c r="C4064" t="s">
        <v>4915</v>
      </c>
      <c r="D4064" t="s">
        <v>4156</v>
      </c>
      <c r="E4064">
        <v>94768.7522963286</v>
      </c>
      <c r="F4064">
        <v>33806.2246658116</v>
      </c>
      <c r="G4064">
        <v>33149.1910160317</v>
      </c>
      <c r="H4064">
        <v>21498.8615431829</v>
      </c>
      <c r="I4064">
        <v>161724.17</v>
      </c>
      <c r="J4064">
        <v>140225.31</v>
      </c>
      <c r="K4064" s="1"/>
      <c r="L4064" s="1"/>
      <c r="M4064" s="1"/>
      <c r="N4064" s="1"/>
    </row>
    <row r="4065" ht="15.75" customHeight="1">
      <c r="A4065" t="s">
        <v>29</v>
      </c>
      <c r="B4065" t="s">
        <v>26</v>
      </c>
      <c r="C4065" t="s">
        <v>4910</v>
      </c>
      <c r="D4065" t="s">
        <v>4157</v>
      </c>
      <c r="E4065">
        <v>94779.6352662348</v>
      </c>
      <c r="F4065">
        <v>33810.839384139</v>
      </c>
      <c r="G4065">
        <v>33156.8710194612</v>
      </c>
      <c r="H4065">
        <v>21502.2590938702</v>
      </c>
      <c r="I4065">
        <v>161747.35</v>
      </c>
      <c r="J4065">
        <v>140245.09</v>
      </c>
      <c r="K4065" s="1"/>
      <c r="L4065" s="1"/>
      <c r="M4065" s="1"/>
      <c r="N4065" s="1"/>
    </row>
    <row r="4066" ht="15.75" customHeight="1">
      <c r="A4066" t="s">
        <v>13</v>
      </c>
      <c r="B4066" t="s">
        <v>18</v>
      </c>
      <c r="C4066" t="s">
        <v>4911</v>
      </c>
      <c r="D4066" t="s">
        <v>4158</v>
      </c>
      <c r="E4066">
        <v>94790.518236141</v>
      </c>
      <c r="F4066">
        <v>33815.4541024664</v>
      </c>
      <c r="G4066">
        <v>33164.5510228907</v>
      </c>
      <c r="H4066">
        <v>21505.6566445575</v>
      </c>
      <c r="I4066">
        <v>161770.52</v>
      </c>
      <c r="J4066">
        <v>140264.86</v>
      </c>
      <c r="K4066" s="1"/>
      <c r="L4066" s="1"/>
      <c r="M4066" s="1"/>
      <c r="N4066" s="1"/>
    </row>
    <row r="4067" ht="15.75" customHeight="1">
      <c r="A4067" t="s">
        <v>53</v>
      </c>
      <c r="B4067" t="s">
        <v>30</v>
      </c>
      <c r="C4067" t="s">
        <v>4910</v>
      </c>
      <c r="D4067" t="s">
        <v>4159</v>
      </c>
      <c r="E4067">
        <v>94801.4012060472</v>
      </c>
      <c r="F4067">
        <v>33820.0688207938</v>
      </c>
      <c r="G4067">
        <v>33172.2310263202</v>
      </c>
      <c r="H4067">
        <v>21509.0541952448</v>
      </c>
      <c r="I4067">
        <v>161793.7</v>
      </c>
      <c r="J4067">
        <v>140284.65</v>
      </c>
      <c r="K4067" s="1"/>
      <c r="L4067" s="1"/>
      <c r="M4067" s="1"/>
      <c r="N4067" s="1"/>
    </row>
    <row r="4068" ht="15.75" customHeight="1">
      <c r="A4068" t="s">
        <v>29</v>
      </c>
      <c r="B4068" t="s">
        <v>14</v>
      </c>
      <c r="C4068" t="s">
        <v>4914</v>
      </c>
      <c r="D4068" t="s">
        <v>4160</v>
      </c>
      <c r="E4068">
        <v>94812.2841759534</v>
      </c>
      <c r="F4068">
        <v>33824.6835391212</v>
      </c>
      <c r="G4068">
        <v>33179.9110297497</v>
      </c>
      <c r="H4068">
        <v>21512.4517459321</v>
      </c>
      <c r="I4068">
        <v>161816.88</v>
      </c>
      <c r="J4068">
        <v>140304.43</v>
      </c>
      <c r="K4068" s="1"/>
      <c r="L4068" s="1"/>
      <c r="M4068" s="1"/>
      <c r="N4068" s="1"/>
    </row>
    <row r="4069" ht="15.75" customHeight="1">
      <c r="A4069" t="s">
        <v>17</v>
      </c>
      <c r="B4069" t="s">
        <v>37</v>
      </c>
      <c r="C4069" t="s">
        <v>4916</v>
      </c>
      <c r="D4069" t="s">
        <v>4161</v>
      </c>
      <c r="E4069">
        <v>94823.1671458596</v>
      </c>
      <c r="F4069">
        <v>33829.2982574487</v>
      </c>
      <c r="G4069">
        <v>33187.5910331792</v>
      </c>
      <c r="H4069">
        <v>21515.8492966194</v>
      </c>
      <c r="I4069">
        <v>161840.06</v>
      </c>
      <c r="J4069">
        <v>140324.21</v>
      </c>
      <c r="K4069" s="1"/>
      <c r="L4069" s="1"/>
      <c r="M4069" s="1"/>
      <c r="N4069" s="1"/>
    </row>
    <row r="4070" ht="15.75" customHeight="1">
      <c r="A4070" t="s">
        <v>13</v>
      </c>
      <c r="B4070" t="s">
        <v>14</v>
      </c>
      <c r="C4070" t="s">
        <v>4913</v>
      </c>
      <c r="D4070" t="s">
        <v>4162</v>
      </c>
      <c r="E4070">
        <v>94834.0501157658</v>
      </c>
      <c r="F4070">
        <v>33833.9129757761</v>
      </c>
      <c r="G4070">
        <v>33195.2710366087</v>
      </c>
      <c r="H4070">
        <v>21519.2468473067</v>
      </c>
      <c r="I4070">
        <v>161863.23</v>
      </c>
      <c r="J4070">
        <v>140343.98</v>
      </c>
      <c r="K4070" s="1"/>
      <c r="L4070" s="1"/>
      <c r="M4070" s="1"/>
      <c r="N4070" s="1"/>
    </row>
    <row r="4071" ht="15.75" customHeight="1">
      <c r="A4071" t="s">
        <v>36</v>
      </c>
      <c r="B4071" t="s">
        <v>18</v>
      </c>
      <c r="C4071" t="s">
        <v>4908</v>
      </c>
      <c r="D4071" t="s">
        <v>4163</v>
      </c>
      <c r="E4071">
        <v>94844.933085672</v>
      </c>
      <c r="F4071">
        <v>33838.5276941035</v>
      </c>
      <c r="G4071">
        <v>33202.9510400382</v>
      </c>
      <c r="H4071">
        <v>21522.6443979939</v>
      </c>
      <c r="I4071">
        <v>161886.41</v>
      </c>
      <c r="J4071">
        <v>140363.77</v>
      </c>
      <c r="K4071" s="1"/>
      <c r="L4071" s="1"/>
      <c r="M4071" s="1"/>
      <c r="N4071" s="1"/>
    </row>
    <row r="4072" ht="15.75" customHeight="1">
      <c r="A4072" t="s">
        <v>25</v>
      </c>
      <c r="B4072" t="s">
        <v>18</v>
      </c>
      <c r="C4072" t="s">
        <v>4911</v>
      </c>
      <c r="D4072" t="s">
        <v>4164</v>
      </c>
      <c r="E4072">
        <v>94855.8160555782</v>
      </c>
      <c r="F4072">
        <v>33843.1424124309</v>
      </c>
      <c r="G4072">
        <v>33210.6310434677</v>
      </c>
      <c r="H4072">
        <v>21526.0419486812</v>
      </c>
      <c r="I4072">
        <v>161909.59</v>
      </c>
      <c r="J4072">
        <v>140383.55</v>
      </c>
      <c r="K4072" s="1"/>
      <c r="L4072" s="1"/>
      <c r="M4072" s="1"/>
      <c r="N4072" s="1"/>
    </row>
    <row r="4073" ht="15.75" customHeight="1">
      <c r="A4073" t="s">
        <v>17</v>
      </c>
      <c r="B4073" t="s">
        <v>37</v>
      </c>
      <c r="C4073" t="s">
        <v>4917</v>
      </c>
      <c r="D4073" t="s">
        <v>4165</v>
      </c>
      <c r="E4073">
        <v>94866.6990254844</v>
      </c>
      <c r="F4073">
        <v>33847.7571307584</v>
      </c>
      <c r="G4073">
        <v>33218.3110468972</v>
      </c>
      <c r="H4073">
        <v>21529.4394993685</v>
      </c>
      <c r="I4073">
        <v>161932.77</v>
      </c>
      <c r="J4073">
        <v>140403.33</v>
      </c>
      <c r="K4073" s="1"/>
      <c r="L4073" s="1"/>
      <c r="M4073" s="1"/>
      <c r="N4073" s="1"/>
    </row>
    <row r="4074" ht="15.75" customHeight="1">
      <c r="A4074" t="s">
        <v>53</v>
      </c>
      <c r="B4074" t="s">
        <v>37</v>
      </c>
      <c r="C4074" t="s">
        <v>4911</v>
      </c>
      <c r="D4074" t="s">
        <v>4166</v>
      </c>
      <c r="E4074">
        <v>94877.5819953906</v>
      </c>
      <c r="F4074">
        <v>33852.3718490858</v>
      </c>
      <c r="G4074">
        <v>33225.9910503267</v>
      </c>
      <c r="H4074">
        <v>21532.8370500558</v>
      </c>
      <c r="I4074">
        <v>161955.94</v>
      </c>
      <c r="J4074">
        <v>140423.1</v>
      </c>
      <c r="K4074" s="1"/>
      <c r="L4074" s="1"/>
      <c r="M4074" s="1"/>
      <c r="N4074" s="1"/>
    </row>
    <row r="4075" ht="15.75" customHeight="1">
      <c r="A4075" t="s">
        <v>29</v>
      </c>
      <c r="B4075" t="s">
        <v>54</v>
      </c>
      <c r="C4075" t="s">
        <v>4911</v>
      </c>
      <c r="D4075" t="s">
        <v>4167</v>
      </c>
      <c r="E4075">
        <v>94888.4649652968</v>
      </c>
      <c r="F4075">
        <v>33856.9865674132</v>
      </c>
      <c r="G4075">
        <v>33233.6710537562</v>
      </c>
      <c r="H4075">
        <v>21536.2346007431</v>
      </c>
      <c r="I4075">
        <v>161979.12</v>
      </c>
      <c r="J4075">
        <v>140442.89</v>
      </c>
      <c r="K4075" s="1"/>
      <c r="L4075" s="1"/>
      <c r="M4075" s="1"/>
      <c r="N4075" s="1"/>
    </row>
    <row r="4076" ht="15.75" customHeight="1">
      <c r="A4076" t="s">
        <v>29</v>
      </c>
      <c r="B4076" t="s">
        <v>54</v>
      </c>
      <c r="C4076" t="s">
        <v>4913</v>
      </c>
      <c r="D4076" t="s">
        <v>4168</v>
      </c>
      <c r="E4076">
        <v>94899.347935203</v>
      </c>
      <c r="F4076">
        <v>33861.6012857406</v>
      </c>
      <c r="G4076">
        <v>33241.3510571857</v>
      </c>
      <c r="H4076">
        <v>21539.6321514304</v>
      </c>
      <c r="I4076">
        <v>162002.3</v>
      </c>
      <c r="J4076">
        <v>140462.67</v>
      </c>
      <c r="K4076" s="1"/>
      <c r="L4076" s="1"/>
      <c r="M4076" s="1"/>
      <c r="N4076" s="1"/>
    </row>
    <row r="4077" ht="15.75" customHeight="1">
      <c r="A4077" t="s">
        <v>51</v>
      </c>
      <c r="B4077" t="s">
        <v>37</v>
      </c>
      <c r="C4077" t="s">
        <v>4912</v>
      </c>
      <c r="D4077" t="s">
        <v>4169</v>
      </c>
      <c r="E4077">
        <v>94910.2309051092</v>
      </c>
      <c r="F4077">
        <v>33866.216004068</v>
      </c>
      <c r="G4077">
        <v>33249.0310606152</v>
      </c>
      <c r="H4077">
        <v>21543.0297021177</v>
      </c>
      <c r="I4077">
        <v>162025.48</v>
      </c>
      <c r="J4077">
        <v>140482.45</v>
      </c>
      <c r="K4077" s="1"/>
      <c r="L4077" s="1"/>
      <c r="M4077" s="1"/>
      <c r="N4077" s="1"/>
    </row>
    <row r="4078" ht="15.75" customHeight="1">
      <c r="A4078" t="s">
        <v>53</v>
      </c>
      <c r="B4078" t="s">
        <v>33</v>
      </c>
      <c r="C4078" t="s">
        <v>4905</v>
      </c>
      <c r="D4078" t="s">
        <v>4170</v>
      </c>
      <c r="E4078">
        <v>72159.94658517206</v>
      </c>
      <c r="F4078">
        <v>33870.8307223955</v>
      </c>
      <c r="G4078">
        <v>33256.7110640447</v>
      </c>
      <c r="H4078">
        <v>21546.427252805</v>
      </c>
      <c r="I4078">
        <v>139287.49</v>
      </c>
      <c r="J4078">
        <v>117741.06</v>
      </c>
      <c r="K4078" s="1"/>
      <c r="L4078" s="1"/>
      <c r="M4078" s="1"/>
      <c r="N4078" s="1"/>
    </row>
    <row r="4079" ht="15.75" customHeight="1">
      <c r="A4079" t="s">
        <v>53</v>
      </c>
      <c r="B4079" t="s">
        <v>26</v>
      </c>
      <c r="C4079" t="s">
        <v>4913</v>
      </c>
      <c r="D4079" t="s">
        <v>4171</v>
      </c>
      <c r="E4079">
        <v>94931.9968449215</v>
      </c>
      <c r="F4079">
        <v>33875.4454407229</v>
      </c>
      <c r="G4079">
        <v>33264.3910674742</v>
      </c>
      <c r="H4079">
        <v>21549.8248034922</v>
      </c>
      <c r="I4079">
        <v>162071.83</v>
      </c>
      <c r="J4079">
        <v>140522.01</v>
      </c>
      <c r="K4079" s="1"/>
      <c r="L4079" s="1"/>
      <c r="M4079" s="1"/>
      <c r="N4079" s="1"/>
    </row>
    <row r="4080" ht="15.75" customHeight="1">
      <c r="A4080" t="s">
        <v>17</v>
      </c>
      <c r="B4080" t="s">
        <v>26</v>
      </c>
      <c r="C4080" t="s">
        <v>4910</v>
      </c>
      <c r="D4080" t="s">
        <v>4172</v>
      </c>
      <c r="E4080">
        <v>94942.8798148277</v>
      </c>
      <c r="F4080">
        <v>33880.0601590503</v>
      </c>
      <c r="G4080">
        <v>33272.0710709037</v>
      </c>
      <c r="H4080">
        <v>21553.2223541795</v>
      </c>
      <c r="I4080">
        <v>162095.01</v>
      </c>
      <c r="J4080">
        <v>140541.79</v>
      </c>
      <c r="K4080" s="1"/>
      <c r="L4080" s="1"/>
      <c r="M4080" s="1"/>
      <c r="N4080" s="1"/>
    </row>
    <row r="4081" ht="15.75" customHeight="1">
      <c r="A4081" t="s">
        <v>25</v>
      </c>
      <c r="B4081" t="s">
        <v>33</v>
      </c>
      <c r="C4081" t="s">
        <v>4917</v>
      </c>
      <c r="D4081" t="s">
        <v>4173</v>
      </c>
      <c r="E4081">
        <v>94953.7627847339</v>
      </c>
      <c r="F4081">
        <v>33884.6748773777</v>
      </c>
      <c r="G4081">
        <v>33279.7510743332</v>
      </c>
      <c r="H4081">
        <v>21556.6199048668</v>
      </c>
      <c r="I4081">
        <v>162118.19</v>
      </c>
      <c r="J4081">
        <v>140561.57</v>
      </c>
      <c r="K4081" s="1"/>
      <c r="L4081" s="1"/>
      <c r="M4081" s="1"/>
      <c r="N4081" s="1"/>
    </row>
    <row r="4082" ht="15.75" customHeight="1">
      <c r="A4082" t="s">
        <v>51</v>
      </c>
      <c r="B4082" t="s">
        <v>30</v>
      </c>
      <c r="C4082" t="s">
        <v>4911</v>
      </c>
      <c r="D4082" t="s">
        <v>4174</v>
      </c>
      <c r="E4082">
        <v>94964.6457546401</v>
      </c>
      <c r="F4082">
        <v>33889.2895957052</v>
      </c>
      <c r="G4082">
        <v>33287.4310777627</v>
      </c>
      <c r="H4082">
        <v>21560.0174555541</v>
      </c>
      <c r="I4082">
        <v>162141.37</v>
      </c>
      <c r="J4082">
        <v>140581.35</v>
      </c>
      <c r="K4082" s="1"/>
      <c r="L4082" s="1"/>
      <c r="M4082" s="1"/>
      <c r="N4082" s="1"/>
    </row>
    <row r="4083" ht="15.75" customHeight="1">
      <c r="A4083" t="s">
        <v>53</v>
      </c>
      <c r="B4083" t="s">
        <v>54</v>
      </c>
      <c r="C4083" t="s">
        <v>4908</v>
      </c>
      <c r="D4083" t="s">
        <v>4175</v>
      </c>
      <c r="E4083">
        <v>94975.5287245463</v>
      </c>
      <c r="F4083">
        <v>33893.9043140326</v>
      </c>
      <c r="G4083">
        <v>33295.1110811922</v>
      </c>
      <c r="H4083">
        <v>21563.4150062414</v>
      </c>
      <c r="I4083">
        <v>162164.54</v>
      </c>
      <c r="J4083">
        <v>140601.12</v>
      </c>
      <c r="K4083" s="1"/>
      <c r="L4083" s="1"/>
      <c r="M4083" s="1"/>
      <c r="N4083" s="1"/>
    </row>
    <row r="4084" ht="15.75" customHeight="1">
      <c r="A4084" t="s">
        <v>36</v>
      </c>
      <c r="B4084" t="s">
        <v>30</v>
      </c>
      <c r="C4084" t="s">
        <v>4917</v>
      </c>
      <c r="D4084" t="s">
        <v>4176</v>
      </c>
      <c r="E4084">
        <v>94986.4116944525</v>
      </c>
      <c r="F4084">
        <v>33898.51903236</v>
      </c>
      <c r="G4084">
        <v>33302.7910846217</v>
      </c>
      <c r="H4084">
        <v>21566.8125569287</v>
      </c>
      <c r="I4084">
        <v>162187.72</v>
      </c>
      <c r="J4084">
        <v>140620.91</v>
      </c>
      <c r="K4084" s="1"/>
      <c r="L4084" s="1"/>
      <c r="M4084" s="1"/>
      <c r="N4084" s="1"/>
    </row>
    <row r="4085" ht="15.75" customHeight="1">
      <c r="A4085" t="s">
        <v>51</v>
      </c>
      <c r="B4085" t="s">
        <v>37</v>
      </c>
      <c r="C4085" t="s">
        <v>4916</v>
      </c>
      <c r="D4085" t="s">
        <v>4177</v>
      </c>
      <c r="E4085">
        <v>94997.2946643587</v>
      </c>
      <c r="F4085">
        <v>33903.1337506874</v>
      </c>
      <c r="G4085">
        <v>33310.4710880512</v>
      </c>
      <c r="H4085">
        <v>21570.210107616</v>
      </c>
      <c r="I4085">
        <v>162210.9</v>
      </c>
      <c r="J4085">
        <v>140640.69</v>
      </c>
      <c r="K4085" s="1"/>
      <c r="L4085" s="1"/>
      <c r="M4085" s="1"/>
      <c r="N4085" s="1"/>
    </row>
    <row r="4086" ht="15.75" customHeight="1">
      <c r="A4086" t="s">
        <v>25</v>
      </c>
      <c r="B4086" t="s">
        <v>18</v>
      </c>
      <c r="C4086" t="s">
        <v>4907</v>
      </c>
      <c r="D4086" t="s">
        <v>4178</v>
      </c>
      <c r="E4086">
        <v>95008.1776342649</v>
      </c>
      <c r="F4086">
        <v>33907.7484690148</v>
      </c>
      <c r="G4086">
        <v>33318.1510914807</v>
      </c>
      <c r="H4086">
        <v>21573.6076583033</v>
      </c>
      <c r="I4086">
        <v>162234.08</v>
      </c>
      <c r="J4086">
        <v>140660.47</v>
      </c>
      <c r="K4086" s="1"/>
      <c r="L4086" s="1"/>
      <c r="M4086" s="1"/>
      <c r="N4086" s="1"/>
    </row>
    <row r="4087" ht="15.75" customHeight="1">
      <c r="A4087" t="s">
        <v>13</v>
      </c>
      <c r="B4087" t="s">
        <v>33</v>
      </c>
      <c r="C4087" t="s">
        <v>4910</v>
      </c>
      <c r="D4087" t="s">
        <v>4179</v>
      </c>
      <c r="E4087">
        <v>95019.0606041711</v>
      </c>
      <c r="F4087">
        <v>33912.3631873423</v>
      </c>
      <c r="G4087">
        <v>33325.8310949102</v>
      </c>
      <c r="H4087">
        <v>21577.0052089905</v>
      </c>
      <c r="I4087">
        <v>162257.25</v>
      </c>
      <c r="J4087">
        <v>140680.24</v>
      </c>
      <c r="K4087" s="1"/>
      <c r="L4087" s="1"/>
      <c r="M4087" s="1"/>
      <c r="N4087" s="1"/>
    </row>
    <row r="4088" ht="15.75" customHeight="1">
      <c r="A4088" t="s">
        <v>25</v>
      </c>
      <c r="B4088" t="s">
        <v>30</v>
      </c>
      <c r="C4088" t="s">
        <v>4910</v>
      </c>
      <c r="D4088" t="s">
        <v>4180</v>
      </c>
      <c r="E4088">
        <v>95029.9435740773</v>
      </c>
      <c r="F4088">
        <v>33916.9779056697</v>
      </c>
      <c r="G4088">
        <v>33333.5110983397</v>
      </c>
      <c r="H4088">
        <v>21580.4027596778</v>
      </c>
      <c r="I4088">
        <v>162280.43</v>
      </c>
      <c r="J4088">
        <v>140700.03</v>
      </c>
      <c r="K4088" s="1"/>
      <c r="L4088" s="1"/>
      <c r="M4088" s="1"/>
      <c r="N4088" s="1"/>
    </row>
    <row r="4089" ht="15.75" customHeight="1">
      <c r="A4089" t="s">
        <v>17</v>
      </c>
      <c r="B4089" t="s">
        <v>33</v>
      </c>
      <c r="C4089" t="s">
        <v>4905</v>
      </c>
      <c r="D4089" t="s">
        <v>4181</v>
      </c>
      <c r="E4089">
        <v>95040.8265439835</v>
      </c>
      <c r="F4089">
        <v>33921.5926239971</v>
      </c>
      <c r="G4089">
        <v>33341.1911017691</v>
      </c>
      <c r="H4089">
        <v>21583.8003103651</v>
      </c>
      <c r="I4089">
        <v>162303.61</v>
      </c>
      <c r="J4089">
        <v>140719.81</v>
      </c>
      <c r="K4089" s="1"/>
      <c r="L4089" s="1"/>
      <c r="M4089" s="1"/>
      <c r="N4089" s="1"/>
    </row>
    <row r="4090" ht="15.75" customHeight="1">
      <c r="A4090" t="s">
        <v>17</v>
      </c>
      <c r="B4090" t="s">
        <v>33</v>
      </c>
      <c r="C4090" t="s">
        <v>4909</v>
      </c>
      <c r="D4090" t="s">
        <v>4182</v>
      </c>
      <c r="E4090">
        <v>95051.7095138897</v>
      </c>
      <c r="F4090">
        <v>33926.2073423245</v>
      </c>
      <c r="G4090">
        <v>33348.8711051986</v>
      </c>
      <c r="H4090">
        <v>14735.51589897765</v>
      </c>
      <c r="I4090">
        <v>162326.79</v>
      </c>
      <c r="J4090">
        <v>147591.27</v>
      </c>
      <c r="K4090" s="1"/>
      <c r="L4090" s="1"/>
      <c r="M4090" s="1"/>
      <c r="N4090" s="1"/>
    </row>
    <row r="4091" ht="15.75" customHeight="1">
      <c r="A4091" t="s">
        <v>36</v>
      </c>
      <c r="B4091" t="s">
        <v>33</v>
      </c>
      <c r="C4091" t="s">
        <v>4910</v>
      </c>
      <c r="D4091" t="s">
        <v>4183</v>
      </c>
      <c r="E4091">
        <v>95062.5924837959</v>
      </c>
      <c r="F4091">
        <v>33930.822060652</v>
      </c>
      <c r="G4091">
        <v>33356.5511086281</v>
      </c>
      <c r="H4091">
        <v>21590.5954117397</v>
      </c>
      <c r="I4091">
        <v>162349.97</v>
      </c>
      <c r="J4091">
        <v>140759.37</v>
      </c>
      <c r="K4091" s="1"/>
      <c r="L4091" s="1"/>
      <c r="M4091" s="1"/>
      <c r="N4091" s="1"/>
    </row>
    <row r="4092" ht="15.75" customHeight="1">
      <c r="A4092" t="s">
        <v>36</v>
      </c>
      <c r="B4092" t="s">
        <v>26</v>
      </c>
      <c r="C4092" t="s">
        <v>4911</v>
      </c>
      <c r="D4092" t="s">
        <v>4184</v>
      </c>
      <c r="E4092">
        <v>95073.4754537021</v>
      </c>
      <c r="F4092">
        <v>33935.4367789794</v>
      </c>
      <c r="G4092">
        <v>33364.2311120576</v>
      </c>
      <c r="H4092">
        <v>21593.992962427</v>
      </c>
      <c r="I4092">
        <v>162373.14</v>
      </c>
      <c r="J4092">
        <v>140779.15</v>
      </c>
      <c r="K4092" s="1"/>
      <c r="L4092" s="1"/>
      <c r="M4092" s="1"/>
      <c r="N4092" s="1"/>
    </row>
    <row r="4093" ht="15.75" customHeight="1">
      <c r="A4093" t="s">
        <v>51</v>
      </c>
      <c r="B4093" t="s">
        <v>14</v>
      </c>
      <c r="C4093" t="s">
        <v>4912</v>
      </c>
      <c r="D4093" t="s">
        <v>4185</v>
      </c>
      <c r="E4093">
        <v>95084.3584236083</v>
      </c>
      <c r="F4093">
        <v>33940.0514973068</v>
      </c>
      <c r="G4093">
        <v>33371.9111154871</v>
      </c>
      <c r="H4093">
        <v>21597.3905131143</v>
      </c>
      <c r="I4093">
        <v>162396.32</v>
      </c>
      <c r="J4093">
        <v>140798.93</v>
      </c>
      <c r="K4093" s="1"/>
      <c r="L4093" s="1"/>
      <c r="M4093" s="1"/>
      <c r="N4093" s="1"/>
    </row>
    <row r="4094" ht="15.75" customHeight="1">
      <c r="A4094" t="s">
        <v>29</v>
      </c>
      <c r="B4094" t="s">
        <v>54</v>
      </c>
      <c r="C4094" t="s">
        <v>4916</v>
      </c>
      <c r="D4094" t="s">
        <v>4186</v>
      </c>
      <c r="E4094">
        <v>95095.2413935144</v>
      </c>
      <c r="F4094">
        <v>33944.6662156342</v>
      </c>
      <c r="G4094">
        <v>33379.5911189166</v>
      </c>
      <c r="H4094">
        <v>21600.7880638015</v>
      </c>
      <c r="I4094">
        <v>162419.5</v>
      </c>
      <c r="J4094">
        <v>140818.71</v>
      </c>
      <c r="K4094" s="1"/>
      <c r="L4094" s="1"/>
      <c r="M4094" s="1"/>
      <c r="N4094" s="1"/>
    </row>
    <row r="4095" ht="15.75" customHeight="1">
      <c r="A4095" t="s">
        <v>25</v>
      </c>
      <c r="B4095" t="s">
        <v>37</v>
      </c>
      <c r="C4095" t="s">
        <v>4905</v>
      </c>
      <c r="D4095" t="s">
        <v>4187</v>
      </c>
      <c r="E4095">
        <v>95106.1243634206</v>
      </c>
      <c r="F4095">
        <v>33949.2809339616</v>
      </c>
      <c r="G4095">
        <v>33387.2711223461</v>
      </c>
      <c r="H4095">
        <v>21604.1856144888</v>
      </c>
      <c r="I4095">
        <v>162442.68</v>
      </c>
      <c r="J4095">
        <v>140838.49</v>
      </c>
      <c r="K4095" s="1"/>
      <c r="L4095" s="1"/>
      <c r="M4095" s="1"/>
      <c r="N4095" s="1"/>
    </row>
    <row r="4096" ht="15.75" customHeight="1">
      <c r="A4096" t="s">
        <v>17</v>
      </c>
      <c r="B4096" t="s">
        <v>54</v>
      </c>
      <c r="C4096" t="s">
        <v>4910</v>
      </c>
      <c r="D4096" t="s">
        <v>4188</v>
      </c>
      <c r="E4096">
        <v>95117.0073333268</v>
      </c>
      <c r="F4096">
        <v>33953.8956522891</v>
      </c>
      <c r="G4096">
        <v>33394.9511257756</v>
      </c>
      <c r="H4096">
        <v>21607.5831651761</v>
      </c>
      <c r="I4096">
        <v>162465.85</v>
      </c>
      <c r="J4096">
        <v>140858.27</v>
      </c>
      <c r="K4096" s="1"/>
      <c r="L4096" s="1"/>
      <c r="M4096" s="1"/>
      <c r="N4096" s="1"/>
    </row>
    <row r="4097" ht="15.75" customHeight="1">
      <c r="A4097" t="s">
        <v>51</v>
      </c>
      <c r="B4097" t="s">
        <v>54</v>
      </c>
      <c r="C4097" t="s">
        <v>4910</v>
      </c>
      <c r="D4097" t="s">
        <v>4189</v>
      </c>
      <c r="E4097">
        <v>95127.890303233</v>
      </c>
      <c r="F4097">
        <v>33958.5103706165</v>
      </c>
      <c r="G4097">
        <v>33402.6311292051</v>
      </c>
      <c r="H4097">
        <v>21610.9807158634</v>
      </c>
      <c r="I4097">
        <v>162489.03</v>
      </c>
      <c r="J4097">
        <v>140878.05</v>
      </c>
      <c r="K4097" s="1"/>
      <c r="L4097" s="1"/>
      <c r="M4097" s="1"/>
      <c r="N4097" s="1"/>
    </row>
    <row r="4098" ht="15.75" customHeight="1">
      <c r="A4098" t="s">
        <v>13</v>
      </c>
      <c r="B4098" t="s">
        <v>37</v>
      </c>
      <c r="C4098" t="s">
        <v>4907</v>
      </c>
      <c r="D4098" t="s">
        <v>4190</v>
      </c>
      <c r="E4098">
        <v>95138.7732731392</v>
      </c>
      <c r="F4098">
        <v>33963.1250889439</v>
      </c>
      <c r="G4098">
        <v>33410.3111326346</v>
      </c>
      <c r="H4098">
        <v>21614.3782665507</v>
      </c>
      <c r="I4098">
        <v>162512.21</v>
      </c>
      <c r="J4098">
        <v>140897.83</v>
      </c>
      <c r="K4098" s="1"/>
      <c r="L4098" s="1"/>
      <c r="M4098" s="1"/>
      <c r="N4098" s="1"/>
    </row>
    <row r="4099" ht="15.75" customHeight="1">
      <c r="A4099" t="s">
        <v>13</v>
      </c>
      <c r="B4099" t="s">
        <v>30</v>
      </c>
      <c r="C4099" t="s">
        <v>4914</v>
      </c>
      <c r="D4099" t="s">
        <v>4191</v>
      </c>
      <c r="E4099">
        <v>95149.6562430454</v>
      </c>
      <c r="F4099">
        <v>33967.7398072713</v>
      </c>
      <c r="G4099">
        <v>33417.9911360641</v>
      </c>
      <c r="H4099">
        <v>21617.775817238</v>
      </c>
      <c r="I4099">
        <v>162535.39</v>
      </c>
      <c r="J4099">
        <v>140917.61</v>
      </c>
      <c r="K4099" s="1"/>
      <c r="L4099" s="1"/>
      <c r="M4099" s="1"/>
      <c r="N4099" s="1"/>
    </row>
    <row r="4100" ht="15.75" customHeight="1">
      <c r="A4100" t="s">
        <v>29</v>
      </c>
      <c r="B4100" t="s">
        <v>30</v>
      </c>
      <c r="C4100" t="s">
        <v>4911</v>
      </c>
      <c r="D4100" t="s">
        <v>4193</v>
      </c>
      <c r="E4100">
        <v>95160.5392129516</v>
      </c>
      <c r="F4100">
        <v>33972.3545255988</v>
      </c>
      <c r="G4100">
        <v>33425.6711394936</v>
      </c>
      <c r="H4100">
        <v>21621.1733679253</v>
      </c>
      <c r="I4100">
        <v>162558.56</v>
      </c>
      <c r="J4100">
        <v>140937.39</v>
      </c>
      <c r="K4100" s="1"/>
      <c r="L4100" s="1"/>
      <c r="M4100" s="1"/>
      <c r="N4100" s="1"/>
    </row>
    <row r="4101" ht="15.75" customHeight="1">
      <c r="A4101" t="s">
        <v>29</v>
      </c>
      <c r="B4101" t="s">
        <v>30</v>
      </c>
      <c r="C4101" t="s">
        <v>4905</v>
      </c>
      <c r="D4101" t="s">
        <v>4194</v>
      </c>
      <c r="E4101">
        <v>95171.4221828578</v>
      </c>
      <c r="F4101">
        <v>33976.9692439262</v>
      </c>
      <c r="G4101">
        <v>33433.3511429231</v>
      </c>
      <c r="H4101">
        <v>21624.5709186126</v>
      </c>
      <c r="I4101">
        <v>162581.74</v>
      </c>
      <c r="J4101">
        <v>140957.17</v>
      </c>
      <c r="K4101" s="1"/>
      <c r="L4101" s="1"/>
      <c r="M4101" s="1"/>
      <c r="N4101" s="1"/>
    </row>
    <row r="4102" ht="15.75" customHeight="1">
      <c r="A4102" t="s">
        <v>17</v>
      </c>
      <c r="B4102" t="s">
        <v>30</v>
      </c>
      <c r="C4102" t="s">
        <v>4909</v>
      </c>
      <c r="D4102" t="s">
        <v>4195</v>
      </c>
      <c r="E4102">
        <v>95182.305152764</v>
      </c>
      <c r="F4102">
        <v>33981.5839622536</v>
      </c>
      <c r="G4102">
        <v>33441.0311463526</v>
      </c>
      <c r="H4102">
        <v>21627.9684692998</v>
      </c>
      <c r="I4102">
        <v>162604.92</v>
      </c>
      <c r="J4102">
        <v>140976.95</v>
      </c>
      <c r="K4102" s="1"/>
      <c r="L4102" s="1"/>
      <c r="M4102" s="1"/>
      <c r="N4102" s="1"/>
    </row>
    <row r="4103" ht="15.75" customHeight="1">
      <c r="A4103" t="s">
        <v>53</v>
      </c>
      <c r="B4103" t="s">
        <v>30</v>
      </c>
      <c r="C4103" t="s">
        <v>4909</v>
      </c>
      <c r="D4103" t="s">
        <v>4196</v>
      </c>
      <c r="E4103">
        <v>95193.1881226702</v>
      </c>
      <c r="F4103">
        <v>33986.198680581</v>
      </c>
      <c r="G4103">
        <v>33448.7111497821</v>
      </c>
      <c r="H4103">
        <v>21631.3660199871</v>
      </c>
      <c r="I4103">
        <v>162628.1</v>
      </c>
      <c r="J4103">
        <v>140996.73</v>
      </c>
      <c r="K4103" s="1"/>
      <c r="L4103" s="1"/>
      <c r="M4103" s="1"/>
      <c r="N4103" s="1"/>
    </row>
    <row r="4104" ht="15.75" customHeight="1">
      <c r="A4104" t="s">
        <v>17</v>
      </c>
      <c r="B4104" t="s">
        <v>30</v>
      </c>
      <c r="C4104" t="s">
        <v>4916</v>
      </c>
      <c r="D4104" t="s">
        <v>4197</v>
      </c>
      <c r="E4104">
        <v>95204.0710925764</v>
      </c>
      <c r="F4104">
        <v>33990.8133989084</v>
      </c>
      <c r="G4104">
        <v>33456.3911532116</v>
      </c>
      <c r="H4104">
        <v>21634.7635706744</v>
      </c>
      <c r="I4104">
        <v>162651.28</v>
      </c>
      <c r="J4104">
        <v>141016.52</v>
      </c>
      <c r="K4104" s="1"/>
      <c r="L4104" s="1"/>
      <c r="M4104" s="1"/>
      <c r="N4104" s="1"/>
    </row>
    <row r="4105" ht="15.75" customHeight="1">
      <c r="A4105" t="s">
        <v>25</v>
      </c>
      <c r="B4105" t="s">
        <v>37</v>
      </c>
      <c r="C4105" t="s">
        <v>4905</v>
      </c>
      <c r="D4105" t="s">
        <v>4198</v>
      </c>
      <c r="E4105">
        <v>95214.9540624826</v>
      </c>
      <c r="F4105">
        <v>33995.4281172359</v>
      </c>
      <c r="G4105">
        <v>33464.0711566411</v>
      </c>
      <c r="H4105">
        <v>21638.1611213617</v>
      </c>
      <c r="I4105">
        <v>162674.45</v>
      </c>
      <c r="J4105">
        <v>141036.29</v>
      </c>
      <c r="K4105" s="1"/>
      <c r="L4105" s="1"/>
      <c r="M4105" s="1"/>
      <c r="N4105" s="1"/>
    </row>
    <row r="4106" ht="15.75" customHeight="1">
      <c r="A4106" t="s">
        <v>51</v>
      </c>
      <c r="B4106" t="s">
        <v>54</v>
      </c>
      <c r="C4106" t="s">
        <v>4907</v>
      </c>
      <c r="D4106" t="s">
        <v>4199</v>
      </c>
      <c r="E4106">
        <v>95225.8370323888</v>
      </c>
      <c r="F4106">
        <v>34000.0428355633</v>
      </c>
      <c r="G4106">
        <v>33471.7511600706</v>
      </c>
      <c r="H4106">
        <v>21641.558672049</v>
      </c>
      <c r="I4106">
        <v>162697.63</v>
      </c>
      <c r="J4106">
        <v>141056.07</v>
      </c>
      <c r="K4106" s="1"/>
      <c r="L4106" s="1"/>
      <c r="M4106" s="1"/>
      <c r="N4106" s="1"/>
    </row>
    <row r="4107" ht="15.75" customHeight="1">
      <c r="A4107" t="s">
        <v>36</v>
      </c>
      <c r="B4107" t="s">
        <v>14</v>
      </c>
      <c r="C4107" t="s">
        <v>4915</v>
      </c>
      <c r="D4107" t="s">
        <v>4200</v>
      </c>
      <c r="E4107">
        <v>95236.720002295</v>
      </c>
      <c r="F4107">
        <v>34004.6575538907</v>
      </c>
      <c r="G4107">
        <v>33479.4311635001</v>
      </c>
      <c r="H4107">
        <v>21644.9562227363</v>
      </c>
      <c r="I4107">
        <v>162720.81</v>
      </c>
      <c r="J4107">
        <v>141075.85</v>
      </c>
      <c r="K4107" s="1"/>
      <c r="L4107" s="1"/>
      <c r="M4107" s="1"/>
      <c r="N4107" s="1"/>
    </row>
    <row r="4108" ht="15.75" customHeight="1">
      <c r="A4108" t="s">
        <v>36</v>
      </c>
      <c r="B4108" t="s">
        <v>30</v>
      </c>
      <c r="C4108" t="s">
        <v>4917</v>
      </c>
      <c r="D4108" t="s">
        <v>4201</v>
      </c>
      <c r="E4108">
        <v>95247.6029722012</v>
      </c>
      <c r="F4108">
        <v>34009.2722722181</v>
      </c>
      <c r="G4108">
        <v>33487.1111669296</v>
      </c>
      <c r="H4108">
        <v>21648.3537734236</v>
      </c>
      <c r="I4108">
        <v>162743.99</v>
      </c>
      <c r="J4108">
        <v>141095.64</v>
      </c>
      <c r="K4108" s="1"/>
      <c r="L4108" s="1"/>
      <c r="M4108" s="1"/>
      <c r="N4108" s="1"/>
    </row>
    <row r="4109" ht="15.75" customHeight="1">
      <c r="A4109" t="s">
        <v>51</v>
      </c>
      <c r="B4109" t="s">
        <v>18</v>
      </c>
      <c r="C4109" t="s">
        <v>4913</v>
      </c>
      <c r="D4109" t="s">
        <v>4202</v>
      </c>
      <c r="E4109">
        <v>95258.4859421074</v>
      </c>
      <c r="F4109">
        <v>34013.8869905455</v>
      </c>
      <c r="G4109">
        <v>33494.7911703591</v>
      </c>
      <c r="H4109">
        <v>21651.7513241109</v>
      </c>
      <c r="I4109">
        <v>162767.16</v>
      </c>
      <c r="J4109">
        <v>141115.41</v>
      </c>
      <c r="K4109" s="1"/>
      <c r="L4109" s="1"/>
      <c r="M4109" s="1"/>
      <c r="N4109" s="1"/>
    </row>
    <row r="4110" ht="15.75" customHeight="1">
      <c r="A4110" t="s">
        <v>17</v>
      </c>
      <c r="B4110" t="s">
        <v>37</v>
      </c>
      <c r="C4110" t="s">
        <v>4913</v>
      </c>
      <c r="D4110" t="s">
        <v>4203</v>
      </c>
      <c r="E4110">
        <v>95269.3689120135</v>
      </c>
      <c r="F4110">
        <v>34018.501708873</v>
      </c>
      <c r="G4110">
        <v>33502.4711737886</v>
      </c>
      <c r="H4110">
        <v>21655.1488747981</v>
      </c>
      <c r="I4110">
        <v>162790.34</v>
      </c>
      <c r="J4110">
        <v>141135.19</v>
      </c>
      <c r="K4110" s="1"/>
      <c r="L4110" s="1"/>
      <c r="M4110" s="1"/>
      <c r="N4110" s="1"/>
    </row>
    <row r="4111" ht="15.75" customHeight="1">
      <c r="A4111" t="s">
        <v>25</v>
      </c>
      <c r="B4111" t="s">
        <v>18</v>
      </c>
      <c r="C4111" t="s">
        <v>4907</v>
      </c>
      <c r="D4111" t="s">
        <v>4204</v>
      </c>
      <c r="E4111">
        <v>95280.2518819197</v>
      </c>
      <c r="F4111">
        <v>34023.1164272004</v>
      </c>
      <c r="G4111">
        <v>33510.1511772181</v>
      </c>
      <c r="H4111">
        <v>21658.5464254854</v>
      </c>
      <c r="I4111">
        <v>162813.52</v>
      </c>
      <c r="J4111">
        <v>141154.97</v>
      </c>
      <c r="K4111" s="1"/>
      <c r="L4111" s="1"/>
      <c r="M4111" s="1"/>
      <c r="N4111" s="1"/>
    </row>
    <row r="4112" ht="15.75" customHeight="1">
      <c r="A4112" t="s">
        <v>25</v>
      </c>
      <c r="B4112" t="s">
        <v>33</v>
      </c>
      <c r="C4112" t="s">
        <v>4911</v>
      </c>
      <c r="D4112" t="s">
        <v>4205</v>
      </c>
      <c r="E4112">
        <v>95291.1348518259</v>
      </c>
      <c r="F4112">
        <v>34027.7311455278</v>
      </c>
      <c r="G4112">
        <v>33517.8311806476</v>
      </c>
      <c r="H4112">
        <v>21661.9439761727</v>
      </c>
      <c r="I4112">
        <v>162836.7</v>
      </c>
      <c r="J4112">
        <v>141174.76</v>
      </c>
      <c r="K4112" s="1"/>
      <c r="L4112" s="1"/>
      <c r="M4112" s="1"/>
      <c r="N4112" s="1"/>
    </row>
    <row r="4113" ht="15.75" customHeight="1">
      <c r="A4113" t="s">
        <v>13</v>
      </c>
      <c r="B4113" t="s">
        <v>33</v>
      </c>
      <c r="C4113" t="s">
        <v>4907</v>
      </c>
      <c r="D4113" t="s">
        <v>4206</v>
      </c>
      <c r="E4113">
        <v>95302.0178217321</v>
      </c>
      <c r="F4113">
        <v>34032.3458638552</v>
      </c>
      <c r="G4113">
        <v>33525.5111840771</v>
      </c>
      <c r="H4113">
        <v>21665.34152686</v>
      </c>
      <c r="I4113">
        <v>162859.87</v>
      </c>
      <c r="J4113">
        <v>141194.53</v>
      </c>
      <c r="K4113" s="1"/>
      <c r="L4113" s="1"/>
      <c r="M4113" s="1"/>
      <c r="N4113" s="1"/>
    </row>
    <row r="4114" ht="15.75" customHeight="1">
      <c r="A4114" t="s">
        <v>51</v>
      </c>
      <c r="B4114" t="s">
        <v>14</v>
      </c>
      <c r="C4114" t="s">
        <v>4909</v>
      </c>
      <c r="D4114" t="s">
        <v>4207</v>
      </c>
      <c r="E4114">
        <v>95312.9007916383</v>
      </c>
      <c r="F4114">
        <v>34036.9605821827</v>
      </c>
      <c r="G4114">
        <v>33533.1911875066</v>
      </c>
      <c r="H4114">
        <v>21668.7390775473</v>
      </c>
      <c r="I4114">
        <v>162883.05</v>
      </c>
      <c r="J4114">
        <v>141214.31</v>
      </c>
      <c r="K4114" s="1"/>
      <c r="L4114" s="1"/>
      <c r="M4114" s="1"/>
      <c r="N4114" s="1"/>
    </row>
    <row r="4115" ht="15.75" customHeight="1">
      <c r="A4115" t="s">
        <v>13</v>
      </c>
      <c r="B4115" t="s">
        <v>37</v>
      </c>
      <c r="C4115" t="s">
        <v>4914</v>
      </c>
      <c r="D4115" t="s">
        <v>4208</v>
      </c>
      <c r="E4115">
        <v>95323.7837615445</v>
      </c>
      <c r="F4115">
        <v>34041.5753005101</v>
      </c>
      <c r="G4115">
        <v>33540.8711909361</v>
      </c>
      <c r="H4115">
        <v>21672.1366282346</v>
      </c>
      <c r="I4115">
        <v>162906.23</v>
      </c>
      <c r="J4115">
        <v>141234.09</v>
      </c>
      <c r="K4115" s="1"/>
      <c r="L4115" s="1"/>
      <c r="M4115" s="1"/>
      <c r="N4115" s="1"/>
    </row>
    <row r="4116" ht="15.75" customHeight="1">
      <c r="A4116" t="s">
        <v>53</v>
      </c>
      <c r="B4116" t="s">
        <v>26</v>
      </c>
      <c r="C4116" t="s">
        <v>4916</v>
      </c>
      <c r="D4116" t="s">
        <v>4209</v>
      </c>
      <c r="E4116">
        <v>95345.5497013569</v>
      </c>
      <c r="F4116">
        <v>34050.8047371649</v>
      </c>
      <c r="G4116">
        <v>33556.2311977951</v>
      </c>
      <c r="H4116">
        <v>21678.9317296091</v>
      </c>
      <c r="I4116">
        <v>162952.59</v>
      </c>
      <c r="J4116">
        <v>141273.66</v>
      </c>
      <c r="K4116" s="1"/>
      <c r="L4116" s="1"/>
      <c r="M4116" s="1"/>
      <c r="N4116" s="1"/>
    </row>
    <row r="4117" ht="15.75" customHeight="1">
      <c r="A4117" t="s">
        <v>36</v>
      </c>
      <c r="B4117" t="s">
        <v>18</v>
      </c>
      <c r="C4117" t="s">
        <v>4917</v>
      </c>
      <c r="D4117" t="s">
        <v>4210</v>
      </c>
      <c r="E4117">
        <v>95356.4326712631</v>
      </c>
      <c r="F4117">
        <v>34055.4194554923</v>
      </c>
      <c r="G4117">
        <v>33563.9112012246</v>
      </c>
      <c r="H4117">
        <v>21682.3292802964</v>
      </c>
      <c r="I4117">
        <v>162975.76</v>
      </c>
      <c r="J4117">
        <v>141293.43</v>
      </c>
      <c r="K4117" s="1"/>
      <c r="L4117" s="1"/>
      <c r="M4117" s="1"/>
      <c r="N4117" s="1"/>
    </row>
    <row r="4118" ht="15.75" customHeight="1">
      <c r="A4118" t="s">
        <v>29</v>
      </c>
      <c r="B4118" t="s">
        <v>30</v>
      </c>
      <c r="C4118" t="s">
        <v>4914</v>
      </c>
      <c r="D4118" t="s">
        <v>4211</v>
      </c>
      <c r="E4118">
        <v>95367.3156411693</v>
      </c>
      <c r="F4118">
        <v>34060.0341738198</v>
      </c>
      <c r="G4118">
        <v>33571.5912046541</v>
      </c>
      <c r="H4118">
        <v>21685.7268309837</v>
      </c>
      <c r="I4118">
        <v>162998.94</v>
      </c>
      <c r="J4118">
        <v>141313.21</v>
      </c>
      <c r="K4118" s="1"/>
      <c r="L4118" s="1"/>
      <c r="M4118" s="1"/>
      <c r="N4118" s="1"/>
    </row>
    <row r="4119" ht="15.75" customHeight="1">
      <c r="A4119" t="s">
        <v>36</v>
      </c>
      <c r="B4119" t="s">
        <v>14</v>
      </c>
      <c r="C4119" t="s">
        <v>4912</v>
      </c>
      <c r="D4119" t="s">
        <v>4212</v>
      </c>
      <c r="E4119">
        <v>95378.1986110755</v>
      </c>
      <c r="F4119">
        <v>34064.6488921472</v>
      </c>
      <c r="G4119">
        <v>33579.2712080836</v>
      </c>
      <c r="H4119">
        <v>21689.124381671</v>
      </c>
      <c r="I4119">
        <v>163022.12</v>
      </c>
      <c r="J4119">
        <v>141333.0</v>
      </c>
      <c r="K4119" s="1"/>
      <c r="L4119" s="1"/>
      <c r="M4119" s="1"/>
      <c r="N4119" s="1"/>
    </row>
    <row r="4120" ht="15.75" customHeight="1">
      <c r="A4120" t="s">
        <v>53</v>
      </c>
      <c r="B4120" t="s">
        <v>33</v>
      </c>
      <c r="C4120" t="s">
        <v>4912</v>
      </c>
      <c r="D4120" t="s">
        <v>4213</v>
      </c>
      <c r="E4120">
        <v>95389.0815809817</v>
      </c>
      <c r="F4120">
        <v>34069.2636104746</v>
      </c>
      <c r="G4120">
        <v>33586.9512115131</v>
      </c>
      <c r="H4120">
        <v>21692.5219323583</v>
      </c>
      <c r="I4120">
        <v>163045.3</v>
      </c>
      <c r="J4120">
        <v>141352.78</v>
      </c>
      <c r="K4120" s="1"/>
      <c r="L4120" s="1"/>
      <c r="M4120" s="1"/>
      <c r="N4120" s="1"/>
    </row>
    <row r="4121" ht="15.75" customHeight="1">
      <c r="A4121" t="s">
        <v>36</v>
      </c>
      <c r="B4121" t="s">
        <v>54</v>
      </c>
      <c r="C4121" t="s">
        <v>4912</v>
      </c>
      <c r="D4121" t="s">
        <v>4214</v>
      </c>
      <c r="E4121">
        <v>95399.9645508879</v>
      </c>
      <c r="F4121">
        <v>34073.878328802</v>
      </c>
      <c r="G4121">
        <v>33594.6312149426</v>
      </c>
      <c r="H4121">
        <v>21695.9194830456</v>
      </c>
      <c r="I4121">
        <v>163068.47</v>
      </c>
      <c r="J4121">
        <v>141372.55</v>
      </c>
      <c r="K4121" s="1"/>
      <c r="L4121" s="1"/>
      <c r="M4121" s="1"/>
      <c r="N4121" s="1"/>
    </row>
    <row r="4122" ht="15.75" customHeight="1">
      <c r="A4122" t="s">
        <v>29</v>
      </c>
      <c r="B4122" t="s">
        <v>30</v>
      </c>
      <c r="C4122" t="s">
        <v>4905</v>
      </c>
      <c r="D4122" t="s">
        <v>4215</v>
      </c>
      <c r="E4122">
        <v>95410.8475207941</v>
      </c>
      <c r="F4122">
        <v>34078.4930471295</v>
      </c>
      <c r="G4122">
        <v>33602.3112183721</v>
      </c>
      <c r="H4122">
        <v>21699.3170337329</v>
      </c>
      <c r="I4122">
        <v>163091.65</v>
      </c>
      <c r="J4122">
        <v>141392.33</v>
      </c>
      <c r="K4122" s="1"/>
      <c r="L4122" s="1"/>
      <c r="M4122" s="1"/>
      <c r="N4122" s="1"/>
    </row>
    <row r="4123" ht="15.75" customHeight="1">
      <c r="A4123" t="s">
        <v>13</v>
      </c>
      <c r="B4123" t="s">
        <v>26</v>
      </c>
      <c r="C4123" t="s">
        <v>4909</v>
      </c>
      <c r="D4123" t="s">
        <v>4216</v>
      </c>
      <c r="E4123">
        <v>95421.7304907002</v>
      </c>
      <c r="F4123">
        <v>34083.1077654569</v>
      </c>
      <c r="G4123">
        <v>33609.9912218016</v>
      </c>
      <c r="H4123">
        <v>21702.7145844202</v>
      </c>
      <c r="I4123">
        <v>163114.83</v>
      </c>
      <c r="J4123">
        <v>141412.12</v>
      </c>
      <c r="K4123" s="1"/>
      <c r="L4123" s="1"/>
      <c r="M4123" s="1"/>
      <c r="N4123" s="1"/>
    </row>
    <row r="4124" ht="15.75" customHeight="1">
      <c r="A4124" t="s">
        <v>29</v>
      </c>
      <c r="B4124" t="s">
        <v>37</v>
      </c>
      <c r="C4124" t="s">
        <v>4912</v>
      </c>
      <c r="D4124" t="s">
        <v>4217</v>
      </c>
      <c r="E4124">
        <v>95432.6134606064</v>
      </c>
      <c r="F4124">
        <v>34087.7224837843</v>
      </c>
      <c r="G4124">
        <v>33617.6712252311</v>
      </c>
      <c r="H4124">
        <v>21706.1121351074</v>
      </c>
      <c r="I4124">
        <v>163138.01</v>
      </c>
      <c r="J4124">
        <v>141431.9</v>
      </c>
      <c r="K4124" s="1"/>
      <c r="L4124" s="1"/>
      <c r="M4124" s="1"/>
      <c r="N4124" s="1"/>
    </row>
    <row r="4125" ht="15.75" customHeight="1">
      <c r="A4125" t="s">
        <v>13</v>
      </c>
      <c r="B4125" t="s">
        <v>54</v>
      </c>
      <c r="C4125" t="s">
        <v>4916</v>
      </c>
      <c r="D4125" t="s">
        <v>4218</v>
      </c>
      <c r="E4125">
        <v>95443.4964305126</v>
      </c>
      <c r="F4125">
        <v>34092.3372021117</v>
      </c>
      <c r="G4125">
        <v>33625.3512286605</v>
      </c>
      <c r="H4125">
        <v>21709.5096857947</v>
      </c>
      <c r="I4125">
        <v>163161.18</v>
      </c>
      <c r="J4125">
        <v>141451.67</v>
      </c>
      <c r="K4125" s="1"/>
      <c r="L4125" s="1"/>
      <c r="M4125" s="1"/>
      <c r="N4125" s="1"/>
    </row>
    <row r="4126" ht="15.75" customHeight="1">
      <c r="A4126" t="s">
        <v>25</v>
      </c>
      <c r="B4126" t="s">
        <v>26</v>
      </c>
      <c r="C4126" t="s">
        <v>4913</v>
      </c>
      <c r="D4126" t="s">
        <v>4219</v>
      </c>
      <c r="E4126">
        <v>95465.262370325</v>
      </c>
      <c r="F4126">
        <v>34101.5666387666</v>
      </c>
      <c r="G4126">
        <v>33640.7112355195</v>
      </c>
      <c r="H4126">
        <v>21716.3047871693</v>
      </c>
      <c r="I4126">
        <v>163207.54</v>
      </c>
      <c r="J4126">
        <v>141491.24</v>
      </c>
      <c r="K4126" s="1"/>
      <c r="L4126" s="1"/>
      <c r="M4126" s="1"/>
      <c r="N4126" s="1"/>
    </row>
    <row r="4127" ht="15.75" customHeight="1">
      <c r="A4127" t="s">
        <v>17</v>
      </c>
      <c r="B4127" t="s">
        <v>18</v>
      </c>
      <c r="C4127" t="s">
        <v>4911</v>
      </c>
      <c r="D4127" t="s">
        <v>4220</v>
      </c>
      <c r="E4127">
        <v>95476.1453402312</v>
      </c>
      <c r="F4127">
        <v>34106.181357094</v>
      </c>
      <c r="G4127">
        <v>33648.391238949</v>
      </c>
      <c r="H4127">
        <v>21719.7023378566</v>
      </c>
      <c r="I4127">
        <v>163230.72</v>
      </c>
      <c r="J4127">
        <v>141511.02</v>
      </c>
      <c r="K4127" s="1"/>
      <c r="L4127" s="1"/>
      <c r="M4127" s="1"/>
      <c r="N4127" s="1"/>
    </row>
    <row r="4128" ht="15.75" customHeight="1">
      <c r="A4128" t="s">
        <v>17</v>
      </c>
      <c r="B4128" t="s">
        <v>37</v>
      </c>
      <c r="C4128" t="s">
        <v>4917</v>
      </c>
      <c r="D4128" t="s">
        <v>4221</v>
      </c>
      <c r="E4128">
        <v>95487.0283101374</v>
      </c>
      <c r="F4128">
        <v>34110.7960754214</v>
      </c>
      <c r="G4128">
        <v>33656.0712423785</v>
      </c>
      <c r="H4128">
        <v>21723.0998885439</v>
      </c>
      <c r="I4128">
        <v>163253.9</v>
      </c>
      <c r="J4128">
        <v>141530.8</v>
      </c>
      <c r="K4128" s="1"/>
      <c r="L4128" s="1"/>
      <c r="M4128" s="1"/>
      <c r="N4128" s="1"/>
    </row>
    <row r="4129" ht="15.75" customHeight="1">
      <c r="A4129" t="s">
        <v>51</v>
      </c>
      <c r="B4129" t="s">
        <v>37</v>
      </c>
      <c r="C4129" t="s">
        <v>4916</v>
      </c>
      <c r="D4129" t="s">
        <v>4222</v>
      </c>
      <c r="E4129">
        <v>95497.9112800436</v>
      </c>
      <c r="F4129">
        <v>34115.4107937488</v>
      </c>
      <c r="G4129">
        <v>33663.751245808</v>
      </c>
      <c r="H4129">
        <v>21726.4974392312</v>
      </c>
      <c r="I4129">
        <v>163277.07</v>
      </c>
      <c r="J4129">
        <v>141550.57</v>
      </c>
      <c r="K4129" s="1"/>
      <c r="L4129" s="1"/>
      <c r="M4129" s="1"/>
      <c r="N4129" s="1"/>
    </row>
    <row r="4130" ht="15.75" customHeight="1">
      <c r="A4130" t="s">
        <v>25</v>
      </c>
      <c r="B4130" t="s">
        <v>14</v>
      </c>
      <c r="C4130" t="s">
        <v>4910</v>
      </c>
      <c r="D4130" t="s">
        <v>4223</v>
      </c>
      <c r="E4130">
        <v>95508.7942499498</v>
      </c>
      <c r="F4130">
        <v>34120.0255120763</v>
      </c>
      <c r="G4130">
        <v>33671.4312492375</v>
      </c>
      <c r="H4130">
        <v>21729.8949899185</v>
      </c>
      <c r="I4130">
        <v>163300.25</v>
      </c>
      <c r="J4130">
        <v>141570.36</v>
      </c>
      <c r="K4130" s="1"/>
      <c r="L4130" s="1"/>
      <c r="M4130" s="1"/>
      <c r="N4130" s="1"/>
    </row>
    <row r="4131" ht="15.75" customHeight="1">
      <c r="A4131" t="s">
        <v>13</v>
      </c>
      <c r="B4131" t="s">
        <v>18</v>
      </c>
      <c r="C4131" t="s">
        <v>4905</v>
      </c>
      <c r="D4131" t="s">
        <v>4224</v>
      </c>
      <c r="E4131">
        <v>95519.677219856</v>
      </c>
      <c r="F4131">
        <v>34124.6402304037</v>
      </c>
      <c r="G4131">
        <v>33679.111252667</v>
      </c>
      <c r="H4131">
        <v>21733.2925406057</v>
      </c>
      <c r="I4131">
        <v>163323.43</v>
      </c>
      <c r="J4131">
        <v>141590.14</v>
      </c>
      <c r="K4131" s="1"/>
      <c r="L4131" s="1"/>
      <c r="M4131" s="1"/>
      <c r="N4131" s="1"/>
    </row>
    <row r="4132" ht="15.75" customHeight="1">
      <c r="A4132" t="s">
        <v>53</v>
      </c>
      <c r="B4132" t="s">
        <v>33</v>
      </c>
      <c r="C4132" t="s">
        <v>4905</v>
      </c>
      <c r="D4132" t="s">
        <v>4225</v>
      </c>
      <c r="E4132">
        <v>95530.5601897622</v>
      </c>
      <c r="F4132">
        <v>34129.2549487311</v>
      </c>
      <c r="G4132">
        <v>33686.7912560965</v>
      </c>
      <c r="H4132">
        <v>21736.690091293</v>
      </c>
      <c r="I4132">
        <v>163346.61</v>
      </c>
      <c r="J4132">
        <v>141609.92</v>
      </c>
      <c r="K4132" s="1"/>
      <c r="L4132" s="1"/>
      <c r="M4132" s="1"/>
      <c r="N4132" s="1"/>
    </row>
    <row r="4133" ht="15.75" customHeight="1">
      <c r="A4133" t="s">
        <v>13</v>
      </c>
      <c r="B4133" t="s">
        <v>37</v>
      </c>
      <c r="C4133" t="s">
        <v>4917</v>
      </c>
      <c r="D4133" t="s">
        <v>4226</v>
      </c>
      <c r="E4133">
        <v>95541.4431596684</v>
      </c>
      <c r="F4133">
        <v>34133.8696670585</v>
      </c>
      <c r="G4133">
        <v>33694.471259526</v>
      </c>
      <c r="H4133">
        <v>21740.0876419803</v>
      </c>
      <c r="I4133">
        <v>163369.78</v>
      </c>
      <c r="J4133">
        <v>141629.69</v>
      </c>
      <c r="K4133" s="1"/>
      <c r="L4133" s="1"/>
      <c r="M4133" s="1"/>
      <c r="N4133" s="1"/>
    </row>
    <row r="4134" ht="15.75" customHeight="1">
      <c r="A4134" t="s">
        <v>36</v>
      </c>
      <c r="B4134" t="s">
        <v>14</v>
      </c>
      <c r="C4134" t="s">
        <v>4911</v>
      </c>
      <c r="D4134" t="s">
        <v>4227</v>
      </c>
      <c r="E4134">
        <v>95552.3261295746</v>
      </c>
      <c r="F4134">
        <v>34138.4843853859</v>
      </c>
      <c r="G4134">
        <v>33702.1512629555</v>
      </c>
      <c r="H4134">
        <v>21743.4851926676</v>
      </c>
      <c r="I4134">
        <v>163392.96</v>
      </c>
      <c r="J4134">
        <v>141649.47</v>
      </c>
      <c r="K4134" s="1"/>
      <c r="L4134" s="1"/>
      <c r="M4134" s="1"/>
      <c r="N4134" s="1"/>
    </row>
    <row r="4135" ht="15.75" customHeight="1">
      <c r="A4135" t="s">
        <v>53</v>
      </c>
      <c r="B4135" t="s">
        <v>30</v>
      </c>
      <c r="C4135" t="s">
        <v>4912</v>
      </c>
      <c r="D4135" t="s">
        <v>4228</v>
      </c>
      <c r="E4135">
        <v>95563.2090994808</v>
      </c>
      <c r="F4135">
        <v>34143.0991037134</v>
      </c>
      <c r="G4135">
        <v>33709.831266385</v>
      </c>
      <c r="H4135">
        <v>21746.8827433549</v>
      </c>
      <c r="I4135">
        <v>163416.14</v>
      </c>
      <c r="J4135">
        <v>141669.26</v>
      </c>
      <c r="K4135" s="1"/>
      <c r="L4135" s="1"/>
      <c r="M4135" s="1"/>
      <c r="N4135" s="1"/>
    </row>
    <row r="4136" ht="15.75" customHeight="1">
      <c r="A4136" t="s">
        <v>53</v>
      </c>
      <c r="B4136" t="s">
        <v>33</v>
      </c>
      <c r="C4136" t="s">
        <v>4917</v>
      </c>
      <c r="D4136" t="s">
        <v>4229</v>
      </c>
      <c r="E4136">
        <v>95574.092069387</v>
      </c>
      <c r="F4136">
        <v>34147.7138220408</v>
      </c>
      <c r="G4136">
        <v>33717.5112698145</v>
      </c>
      <c r="H4136">
        <v>21750.2802940422</v>
      </c>
      <c r="I4136">
        <v>163439.32</v>
      </c>
      <c r="J4136">
        <v>141689.04</v>
      </c>
      <c r="K4136" s="1"/>
      <c r="L4136" s="1"/>
      <c r="M4136" s="1"/>
      <c r="N4136" s="1"/>
    </row>
    <row r="4137" ht="15.75" customHeight="1">
      <c r="A4137" t="s">
        <v>29</v>
      </c>
      <c r="B4137" t="s">
        <v>26</v>
      </c>
      <c r="C4137" t="s">
        <v>4907</v>
      </c>
      <c r="D4137" t="s">
        <v>4230</v>
      </c>
      <c r="E4137">
        <v>72210.86634532797</v>
      </c>
      <c r="F4137">
        <v>34152.3285403682</v>
      </c>
      <c r="G4137">
        <v>33725.191273244</v>
      </c>
      <c r="H4137">
        <v>21753.6778447295</v>
      </c>
      <c r="I4137">
        <v>140088.39</v>
      </c>
      <c r="J4137">
        <v>118334.71</v>
      </c>
      <c r="K4137" s="1"/>
      <c r="L4137" s="1"/>
      <c r="M4137" s="1"/>
      <c r="N4137" s="1"/>
    </row>
    <row r="4138" ht="15.75" customHeight="1">
      <c r="A4138" t="s">
        <v>53</v>
      </c>
      <c r="B4138" t="s">
        <v>18</v>
      </c>
      <c r="C4138" t="s">
        <v>4908</v>
      </c>
      <c r="D4138" t="s">
        <v>4231</v>
      </c>
      <c r="E4138">
        <v>95595.8580091993</v>
      </c>
      <c r="F4138">
        <v>34156.9432586956</v>
      </c>
      <c r="G4138">
        <v>33732.8712766735</v>
      </c>
      <c r="H4138">
        <v>21757.0753954167</v>
      </c>
      <c r="I4138">
        <v>163485.67</v>
      </c>
      <c r="J4138">
        <v>141728.59</v>
      </c>
      <c r="K4138" s="1"/>
      <c r="L4138" s="1"/>
      <c r="M4138" s="1"/>
      <c r="N4138" s="1"/>
    </row>
    <row r="4139" ht="15.75" customHeight="1">
      <c r="A4139" t="s">
        <v>53</v>
      </c>
      <c r="B4139" t="s">
        <v>33</v>
      </c>
      <c r="C4139" t="s">
        <v>4911</v>
      </c>
      <c r="D4139" t="s">
        <v>4232</v>
      </c>
      <c r="E4139">
        <v>95606.7409791055</v>
      </c>
      <c r="F4139">
        <v>34161.5579770231</v>
      </c>
      <c r="G4139">
        <v>33740.551280103</v>
      </c>
      <c r="H4139">
        <v>21760.472946104</v>
      </c>
      <c r="I4139">
        <v>163508.85</v>
      </c>
      <c r="J4139">
        <v>141748.38</v>
      </c>
      <c r="K4139" s="1"/>
      <c r="L4139" s="1"/>
      <c r="M4139" s="1"/>
      <c r="N4139" s="1"/>
    </row>
    <row r="4140" ht="15.75" customHeight="1">
      <c r="A4140" t="s">
        <v>13</v>
      </c>
      <c r="B4140" t="s">
        <v>18</v>
      </c>
      <c r="C4140" t="s">
        <v>4907</v>
      </c>
      <c r="D4140" t="s">
        <v>4233</v>
      </c>
      <c r="E4140">
        <v>95617.6239490117</v>
      </c>
      <c r="F4140">
        <v>34166.1726953505</v>
      </c>
      <c r="G4140">
        <v>33748.2312835325</v>
      </c>
      <c r="H4140">
        <v>21763.8704967913</v>
      </c>
      <c r="I4140">
        <v>163532.03</v>
      </c>
      <c r="J4140">
        <v>141768.16</v>
      </c>
      <c r="K4140" s="1"/>
      <c r="L4140" s="1"/>
      <c r="M4140" s="1"/>
      <c r="N4140" s="1"/>
    </row>
    <row r="4141" ht="15.75" customHeight="1">
      <c r="A4141" t="s">
        <v>53</v>
      </c>
      <c r="B4141" t="s">
        <v>18</v>
      </c>
      <c r="C4141" t="s">
        <v>4915</v>
      </c>
      <c r="D4141" t="s">
        <v>4234</v>
      </c>
      <c r="E4141">
        <v>95628.5069189179</v>
      </c>
      <c r="F4141">
        <v>34170.7874136779</v>
      </c>
      <c r="G4141">
        <v>33755.911286962</v>
      </c>
      <c r="H4141">
        <v>21767.2680474786</v>
      </c>
      <c r="I4141">
        <v>163555.21</v>
      </c>
      <c r="J4141">
        <v>141787.94</v>
      </c>
      <c r="K4141" s="1"/>
      <c r="L4141" s="1"/>
      <c r="M4141" s="1"/>
      <c r="N4141" s="1"/>
    </row>
    <row r="4142" ht="15.75" customHeight="1">
      <c r="A4142" t="s">
        <v>29</v>
      </c>
      <c r="B4142" t="s">
        <v>54</v>
      </c>
      <c r="C4142" t="s">
        <v>4905</v>
      </c>
      <c r="D4142" t="s">
        <v>4235</v>
      </c>
      <c r="E4142">
        <v>95639.3898888241</v>
      </c>
      <c r="F4142">
        <v>34175.4021320053</v>
      </c>
      <c r="G4142">
        <v>33763.5912903915</v>
      </c>
      <c r="H4142">
        <v>21770.6655981659</v>
      </c>
      <c r="I4142">
        <v>163578.38</v>
      </c>
      <c r="J4142">
        <v>141807.71</v>
      </c>
      <c r="K4142" s="1"/>
      <c r="L4142" s="1"/>
      <c r="M4142" s="1"/>
      <c r="N4142" s="1"/>
    </row>
    <row r="4143" ht="15.75" customHeight="1">
      <c r="A4143" t="s">
        <v>25</v>
      </c>
      <c r="B4143" t="s">
        <v>33</v>
      </c>
      <c r="C4143" t="s">
        <v>4917</v>
      </c>
      <c r="D4143" t="s">
        <v>4236</v>
      </c>
      <c r="E4143">
        <v>95650.2728587303</v>
      </c>
      <c r="F4143">
        <v>34180.0168503327</v>
      </c>
      <c r="G4143">
        <v>33771.271293821</v>
      </c>
      <c r="H4143">
        <v>21774.0631488532</v>
      </c>
      <c r="I4143">
        <v>163601.56</v>
      </c>
      <c r="J4143">
        <v>141827.5</v>
      </c>
      <c r="K4143" s="1"/>
      <c r="L4143" s="1"/>
      <c r="M4143" s="1"/>
      <c r="N4143" s="1"/>
    </row>
    <row r="4144" ht="15.75" customHeight="1">
      <c r="A4144" t="s">
        <v>29</v>
      </c>
      <c r="B4144" t="s">
        <v>33</v>
      </c>
      <c r="C4144" t="s">
        <v>4914</v>
      </c>
      <c r="D4144" t="s">
        <v>4237</v>
      </c>
      <c r="E4144">
        <v>95661.1558286365</v>
      </c>
      <c r="F4144">
        <v>34184.6315686602</v>
      </c>
      <c r="G4144">
        <v>33778.9512972505</v>
      </c>
      <c r="H4144">
        <v>21777.4606995405</v>
      </c>
      <c r="I4144">
        <v>163624.74</v>
      </c>
      <c r="J4144">
        <v>141847.28</v>
      </c>
      <c r="K4144" s="1"/>
      <c r="L4144" s="1"/>
      <c r="M4144" s="1"/>
      <c r="N4144" s="1"/>
    </row>
    <row r="4145" ht="15.75" customHeight="1">
      <c r="A4145" t="s">
        <v>25</v>
      </c>
      <c r="B4145" t="s">
        <v>18</v>
      </c>
      <c r="C4145" t="s">
        <v>4916</v>
      </c>
      <c r="D4145" t="s">
        <v>4238</v>
      </c>
      <c r="E4145">
        <v>95672.0387985427</v>
      </c>
      <c r="F4145">
        <v>34189.2462869876</v>
      </c>
      <c r="G4145">
        <v>33786.63130068</v>
      </c>
      <c r="H4145">
        <v>21780.8582502278</v>
      </c>
      <c r="I4145">
        <v>163647.92</v>
      </c>
      <c r="J4145">
        <v>141867.06</v>
      </c>
      <c r="K4145" s="1"/>
      <c r="L4145" s="1"/>
      <c r="M4145" s="1"/>
      <c r="N4145" s="1"/>
    </row>
    <row r="4146" ht="15.75" customHeight="1">
      <c r="A4146" t="s">
        <v>29</v>
      </c>
      <c r="B4146" t="s">
        <v>26</v>
      </c>
      <c r="C4146" t="s">
        <v>4910</v>
      </c>
      <c r="D4146" t="s">
        <v>4239</v>
      </c>
      <c r="E4146">
        <v>95682.9217684489</v>
      </c>
      <c r="F4146">
        <v>34193.861005315</v>
      </c>
      <c r="G4146">
        <v>33794.3113041095</v>
      </c>
      <c r="H4146">
        <v>21784.255800915</v>
      </c>
      <c r="I4146">
        <v>163671.09</v>
      </c>
      <c r="J4146">
        <v>141886.83</v>
      </c>
      <c r="K4146" s="1"/>
      <c r="L4146" s="1"/>
      <c r="M4146" s="1"/>
      <c r="N4146" s="1"/>
    </row>
    <row r="4147" ht="15.75" customHeight="1">
      <c r="A4147" t="s">
        <v>29</v>
      </c>
      <c r="B4147" t="s">
        <v>18</v>
      </c>
      <c r="C4147" t="s">
        <v>4905</v>
      </c>
      <c r="D4147" t="s">
        <v>4240</v>
      </c>
      <c r="E4147">
        <v>95693.8047383551</v>
      </c>
      <c r="F4147">
        <v>34198.4757236424</v>
      </c>
      <c r="G4147">
        <v>33801.991307539</v>
      </c>
      <c r="H4147">
        <v>21787.6533516023</v>
      </c>
      <c r="I4147">
        <v>163694.27</v>
      </c>
      <c r="J4147">
        <v>141906.62</v>
      </c>
      <c r="K4147" s="1"/>
      <c r="L4147" s="1"/>
      <c r="M4147" s="1"/>
      <c r="N4147" s="1"/>
    </row>
    <row r="4148" ht="15.75" customHeight="1">
      <c r="A4148" t="s">
        <v>25</v>
      </c>
      <c r="B4148" t="s">
        <v>18</v>
      </c>
      <c r="C4148" t="s">
        <v>4911</v>
      </c>
      <c r="D4148" t="s">
        <v>4241</v>
      </c>
      <c r="E4148">
        <v>95704.6877082613</v>
      </c>
      <c r="F4148">
        <v>34203.0904419699</v>
      </c>
      <c r="G4148">
        <v>33809.6713109685</v>
      </c>
      <c r="H4148">
        <v>21791.0509022896</v>
      </c>
      <c r="I4148">
        <v>163717.45</v>
      </c>
      <c r="J4148">
        <v>141926.4</v>
      </c>
      <c r="K4148" s="1"/>
      <c r="L4148" s="1"/>
      <c r="M4148" s="1"/>
      <c r="N4148" s="1"/>
    </row>
    <row r="4149" ht="15.75" customHeight="1">
      <c r="A4149" t="s">
        <v>53</v>
      </c>
      <c r="B4149" t="s">
        <v>30</v>
      </c>
      <c r="C4149" t="s">
        <v>4911</v>
      </c>
      <c r="D4149" t="s">
        <v>4242</v>
      </c>
      <c r="E4149">
        <v>95715.5706781675</v>
      </c>
      <c r="F4149">
        <v>34207.7051602973</v>
      </c>
      <c r="G4149">
        <v>33817.351314398</v>
      </c>
      <c r="H4149">
        <v>21794.4484529769</v>
      </c>
      <c r="I4149">
        <v>163740.63</v>
      </c>
      <c r="J4149">
        <v>141946.18</v>
      </c>
      <c r="K4149" s="1"/>
      <c r="L4149" s="1"/>
      <c r="M4149" s="1"/>
      <c r="N4149" s="1"/>
    </row>
    <row r="4150" ht="15.75" customHeight="1">
      <c r="A4150" t="s">
        <v>36</v>
      </c>
      <c r="B4150" t="s">
        <v>30</v>
      </c>
      <c r="C4150" t="s">
        <v>4917</v>
      </c>
      <c r="D4150" t="s">
        <v>4243</v>
      </c>
      <c r="E4150">
        <v>95726.4536480737</v>
      </c>
      <c r="F4150">
        <v>34212.3198786247</v>
      </c>
      <c r="G4150">
        <v>33825.0313178275</v>
      </c>
      <c r="H4150">
        <v>21797.8460036642</v>
      </c>
      <c r="I4150">
        <v>163763.8</v>
      </c>
      <c r="J4150">
        <v>141965.95</v>
      </c>
      <c r="K4150" s="1"/>
      <c r="L4150" s="1"/>
      <c r="M4150" s="1"/>
      <c r="N4150" s="1"/>
    </row>
    <row r="4151" ht="15.75" customHeight="1">
      <c r="A4151" t="s">
        <v>53</v>
      </c>
      <c r="B4151" t="s">
        <v>26</v>
      </c>
      <c r="C4151" t="s">
        <v>4912</v>
      </c>
      <c r="D4151" t="s">
        <v>4244</v>
      </c>
      <c r="E4151">
        <v>95737.3366179799</v>
      </c>
      <c r="F4151">
        <v>34216.9345969521</v>
      </c>
      <c r="G4151">
        <v>33832.711321257</v>
      </c>
      <c r="H4151">
        <v>21801.2435543515</v>
      </c>
      <c r="I4151">
        <v>163786.98</v>
      </c>
      <c r="J4151">
        <v>141985.74</v>
      </c>
      <c r="K4151" s="1"/>
      <c r="L4151" s="1"/>
      <c r="M4151" s="1"/>
      <c r="N4151" s="1"/>
    </row>
    <row r="4152" ht="15.75" customHeight="1">
      <c r="A4152" t="s">
        <v>51</v>
      </c>
      <c r="B4152" t="s">
        <v>26</v>
      </c>
      <c r="C4152" t="s">
        <v>4915</v>
      </c>
      <c r="D4152" t="s">
        <v>4245</v>
      </c>
      <c r="E4152">
        <v>95748.219587886</v>
      </c>
      <c r="F4152">
        <v>34221.5493152795</v>
      </c>
      <c r="G4152">
        <v>33840.3913246865</v>
      </c>
      <c r="H4152">
        <v>21804.6411050388</v>
      </c>
      <c r="I4152">
        <v>163810.16</v>
      </c>
      <c r="J4152">
        <v>142005.52</v>
      </c>
      <c r="K4152" s="1"/>
      <c r="L4152" s="1"/>
      <c r="M4152" s="1"/>
      <c r="N4152" s="1"/>
    </row>
    <row r="4153" ht="15.75" customHeight="1">
      <c r="A4153" t="s">
        <v>17</v>
      </c>
      <c r="B4153" t="s">
        <v>30</v>
      </c>
      <c r="C4153" t="s">
        <v>4909</v>
      </c>
      <c r="D4153" t="s">
        <v>4246</v>
      </c>
      <c r="E4153">
        <v>95759.1025577922</v>
      </c>
      <c r="F4153">
        <v>34226.164033607</v>
      </c>
      <c r="G4153">
        <v>33848.071328116</v>
      </c>
      <c r="H4153">
        <v>21808.0386557261</v>
      </c>
      <c r="I4153">
        <v>163833.34</v>
      </c>
      <c r="J4153">
        <v>142025.3</v>
      </c>
      <c r="K4153" s="1"/>
      <c r="L4153" s="1"/>
      <c r="M4153" s="1"/>
      <c r="N4153" s="1"/>
    </row>
    <row r="4154" ht="15.75" customHeight="1">
      <c r="A4154" t="s">
        <v>53</v>
      </c>
      <c r="B4154" t="s">
        <v>14</v>
      </c>
      <c r="C4154" t="s">
        <v>4910</v>
      </c>
      <c r="D4154" t="s">
        <v>4247</v>
      </c>
      <c r="E4154">
        <v>95769.9855276984</v>
      </c>
      <c r="F4154">
        <v>34230.7787519344</v>
      </c>
      <c r="G4154">
        <v>33855.7513315455</v>
      </c>
      <c r="H4154">
        <v>21811.4362064133</v>
      </c>
      <c r="I4154">
        <v>163856.52</v>
      </c>
      <c r="J4154">
        <v>142045.08</v>
      </c>
      <c r="K4154" s="1"/>
      <c r="L4154" s="1"/>
      <c r="M4154" s="1"/>
      <c r="N4154" s="1"/>
    </row>
    <row r="4155" ht="15.75" customHeight="1">
      <c r="A4155" t="s">
        <v>17</v>
      </c>
      <c r="B4155" t="s">
        <v>18</v>
      </c>
      <c r="C4155" t="s">
        <v>4917</v>
      </c>
      <c r="D4155" t="s">
        <v>4248</v>
      </c>
      <c r="E4155">
        <v>95780.8684976046</v>
      </c>
      <c r="F4155">
        <v>34235.3934702618</v>
      </c>
      <c r="G4155">
        <v>33863.431334975</v>
      </c>
      <c r="H4155">
        <v>21814.8337571006</v>
      </c>
      <c r="I4155">
        <v>163879.69</v>
      </c>
      <c r="J4155">
        <v>142064.86</v>
      </c>
      <c r="K4155" s="1"/>
      <c r="L4155" s="1"/>
      <c r="M4155" s="1"/>
      <c r="N4155" s="1"/>
    </row>
    <row r="4156" ht="15.75" customHeight="1">
      <c r="A4156" t="s">
        <v>17</v>
      </c>
      <c r="B4156" t="s">
        <v>14</v>
      </c>
      <c r="C4156" t="s">
        <v>4916</v>
      </c>
      <c r="D4156" t="s">
        <v>4249</v>
      </c>
      <c r="E4156">
        <v>72475.40820418281</v>
      </c>
      <c r="F4156">
        <v>34240.0081885892</v>
      </c>
      <c r="G4156">
        <v>33871.1113384045</v>
      </c>
      <c r="H4156">
        <v>21818.2313077879</v>
      </c>
      <c r="I4156">
        <v>140586.53</v>
      </c>
      <c r="J4156">
        <v>118768.3</v>
      </c>
      <c r="K4156" s="1"/>
      <c r="L4156" s="1"/>
      <c r="M4156" s="1"/>
      <c r="N4156" s="1"/>
    </row>
    <row r="4157" ht="15.75" customHeight="1">
      <c r="A4157" t="s">
        <v>29</v>
      </c>
      <c r="B4157" t="s">
        <v>37</v>
      </c>
      <c r="C4157" t="s">
        <v>4909</v>
      </c>
      <c r="D4157" t="s">
        <v>4250</v>
      </c>
      <c r="E4157">
        <v>95802.634437417</v>
      </c>
      <c r="F4157">
        <v>34244.6229069167</v>
      </c>
      <c r="G4157">
        <v>33878.791341834</v>
      </c>
      <c r="H4157">
        <v>21821.6288584752</v>
      </c>
      <c r="I4157">
        <v>163926.05</v>
      </c>
      <c r="J4157">
        <v>142104.42</v>
      </c>
      <c r="K4157" s="1"/>
      <c r="L4157" s="1"/>
      <c r="M4157" s="1"/>
      <c r="N4157" s="1"/>
    </row>
    <row r="4158" ht="15.75" customHeight="1">
      <c r="A4158" t="s">
        <v>51</v>
      </c>
      <c r="B4158" t="s">
        <v>18</v>
      </c>
      <c r="C4158" t="s">
        <v>4912</v>
      </c>
      <c r="D4158" t="s">
        <v>4251</v>
      </c>
      <c r="E4158">
        <v>95813.5174073232</v>
      </c>
      <c r="F4158">
        <v>34249.2376252441</v>
      </c>
      <c r="G4158">
        <v>33886.4713452635</v>
      </c>
      <c r="H4158">
        <v>21825.0264091625</v>
      </c>
      <c r="I4158">
        <v>163949.23</v>
      </c>
      <c r="J4158">
        <v>142124.2</v>
      </c>
      <c r="K4158" s="1"/>
      <c r="L4158" s="1"/>
      <c r="M4158" s="1"/>
      <c r="N4158" s="1"/>
    </row>
    <row r="4159" ht="15.75" customHeight="1">
      <c r="A4159" t="s">
        <v>17</v>
      </c>
      <c r="B4159" t="s">
        <v>14</v>
      </c>
      <c r="C4159" t="s">
        <v>4917</v>
      </c>
      <c r="D4159" t="s">
        <v>4252</v>
      </c>
      <c r="E4159">
        <v>95824.4003772294</v>
      </c>
      <c r="F4159">
        <v>34253.8523435715</v>
      </c>
      <c r="G4159">
        <v>33894.151348693</v>
      </c>
      <c r="H4159">
        <v>21828.4239598498</v>
      </c>
      <c r="I4159">
        <v>163972.4</v>
      </c>
      <c r="J4159">
        <v>142143.98</v>
      </c>
      <c r="K4159" s="1"/>
      <c r="L4159" s="1"/>
      <c r="M4159" s="1"/>
      <c r="N4159" s="1"/>
    </row>
    <row r="4160" ht="15.75" customHeight="1">
      <c r="A4160" t="s">
        <v>53</v>
      </c>
      <c r="B4160" t="s">
        <v>18</v>
      </c>
      <c r="C4160" t="s">
        <v>4915</v>
      </c>
      <c r="D4160" t="s">
        <v>4253</v>
      </c>
      <c r="E4160">
        <v>95835.2833471356</v>
      </c>
      <c r="F4160">
        <v>34258.4670618989</v>
      </c>
      <c r="G4160">
        <v>33901.8313521224</v>
      </c>
      <c r="H4160">
        <v>21831.8215105371</v>
      </c>
      <c r="I4160">
        <v>163995.58</v>
      </c>
      <c r="J4160">
        <v>142163.76</v>
      </c>
      <c r="K4160" s="1"/>
      <c r="L4160" s="1"/>
      <c r="M4160" s="1"/>
      <c r="N4160" s="1"/>
    </row>
    <row r="4161" ht="15.75" customHeight="1">
      <c r="A4161" t="s">
        <v>36</v>
      </c>
      <c r="B4161" t="s">
        <v>18</v>
      </c>
      <c r="C4161" t="s">
        <v>4908</v>
      </c>
      <c r="D4161" t="s">
        <v>4254</v>
      </c>
      <c r="E4161">
        <v>95846.1663170418</v>
      </c>
      <c r="F4161">
        <v>34263.0817802263</v>
      </c>
      <c r="G4161">
        <v>33909.5113555519</v>
      </c>
      <c r="H4161">
        <v>21835.2190612243</v>
      </c>
      <c r="I4161">
        <v>164018.76</v>
      </c>
      <c r="J4161">
        <v>142183.54</v>
      </c>
      <c r="K4161" s="1"/>
      <c r="L4161" s="1"/>
      <c r="M4161" s="1"/>
      <c r="N4161" s="1"/>
    </row>
    <row r="4162" ht="15.75" customHeight="1">
      <c r="A4162" t="s">
        <v>53</v>
      </c>
      <c r="B4162" t="s">
        <v>54</v>
      </c>
      <c r="C4162" t="s">
        <v>4905</v>
      </c>
      <c r="D4162" t="s">
        <v>4255</v>
      </c>
      <c r="E4162">
        <v>95857.049286948</v>
      </c>
      <c r="F4162">
        <v>34267.6964985538</v>
      </c>
      <c r="G4162">
        <v>33917.1913589814</v>
      </c>
      <c r="H4162">
        <v>21838.6166119116</v>
      </c>
      <c r="I4162">
        <v>164041.94</v>
      </c>
      <c r="J4162">
        <v>142203.32</v>
      </c>
      <c r="K4162" s="1"/>
      <c r="L4162" s="1"/>
      <c r="M4162" s="1"/>
      <c r="N4162" s="1"/>
    </row>
    <row r="4163" ht="15.75" customHeight="1">
      <c r="A4163" t="s">
        <v>51</v>
      </c>
      <c r="B4163" t="s">
        <v>54</v>
      </c>
      <c r="C4163" t="s">
        <v>4917</v>
      </c>
      <c r="D4163" t="s">
        <v>4256</v>
      </c>
      <c r="E4163">
        <v>95867.9322568542</v>
      </c>
      <c r="F4163">
        <v>34272.3112168812</v>
      </c>
      <c r="G4163">
        <v>33924.8713624109</v>
      </c>
      <c r="H4163">
        <v>21842.0141625989</v>
      </c>
      <c r="I4163">
        <v>164065.11</v>
      </c>
      <c r="J4163">
        <v>142223.1</v>
      </c>
      <c r="K4163" s="1"/>
      <c r="L4163" s="1"/>
      <c r="M4163" s="1"/>
      <c r="N4163" s="1"/>
    </row>
    <row r="4164" ht="15.75" customHeight="1">
      <c r="A4164" t="s">
        <v>53</v>
      </c>
      <c r="B4164" t="s">
        <v>37</v>
      </c>
      <c r="C4164" t="s">
        <v>4907</v>
      </c>
      <c r="D4164" t="s">
        <v>4257</v>
      </c>
      <c r="E4164">
        <v>95878.8152267604</v>
      </c>
      <c r="F4164">
        <v>34276.9259352086</v>
      </c>
      <c r="G4164">
        <v>33932.5513658404</v>
      </c>
      <c r="H4164">
        <v>21845.4117132862</v>
      </c>
      <c r="I4164">
        <v>164088.29</v>
      </c>
      <c r="J4164">
        <v>142242.88</v>
      </c>
      <c r="K4164" s="1"/>
      <c r="L4164" s="1"/>
      <c r="M4164" s="1"/>
      <c r="N4164" s="1"/>
    </row>
    <row r="4165" ht="15.75" customHeight="1">
      <c r="A4165" t="s">
        <v>25</v>
      </c>
      <c r="B4165" t="s">
        <v>14</v>
      </c>
      <c r="C4165" t="s">
        <v>4910</v>
      </c>
      <c r="D4165" t="s">
        <v>4258</v>
      </c>
      <c r="E4165">
        <v>95889.6981966666</v>
      </c>
      <c r="F4165">
        <v>34281.540653536</v>
      </c>
      <c r="G4165">
        <v>33940.2313692699</v>
      </c>
      <c r="H4165">
        <v>21848.8092639735</v>
      </c>
      <c r="I4165">
        <v>164111.47</v>
      </c>
      <c r="J4165">
        <v>142262.66</v>
      </c>
      <c r="K4165" s="1"/>
      <c r="L4165" s="1"/>
      <c r="M4165" s="1"/>
      <c r="N4165" s="1"/>
    </row>
    <row r="4166" ht="15.75" customHeight="1">
      <c r="A4166" t="s">
        <v>13</v>
      </c>
      <c r="B4166" t="s">
        <v>18</v>
      </c>
      <c r="C4166" t="s">
        <v>4913</v>
      </c>
      <c r="D4166" t="s">
        <v>4259</v>
      </c>
      <c r="E4166">
        <v>71656.69906138915</v>
      </c>
      <c r="F4166">
        <v>34286.1553718635</v>
      </c>
      <c r="G4166">
        <v>33947.9113726994</v>
      </c>
      <c r="H4166">
        <v>21852.2068146608</v>
      </c>
      <c r="I4166">
        <v>139890.77</v>
      </c>
      <c r="J4166">
        <v>118038.56</v>
      </c>
      <c r="K4166" s="1"/>
      <c r="L4166" s="1"/>
      <c r="M4166" s="1"/>
      <c r="N4166" s="1"/>
    </row>
    <row r="4167" ht="15.75" customHeight="1">
      <c r="A4167" t="s">
        <v>51</v>
      </c>
      <c r="B4167" t="s">
        <v>26</v>
      </c>
      <c r="C4167" t="s">
        <v>4905</v>
      </c>
      <c r="D4167" t="s">
        <v>4260</v>
      </c>
      <c r="E4167">
        <v>95911.464136479</v>
      </c>
      <c r="F4167">
        <v>34290.7700901909</v>
      </c>
      <c r="G4167">
        <v>33955.5913761289</v>
      </c>
      <c r="H4167">
        <v>21855.6043653481</v>
      </c>
      <c r="I4167">
        <v>164157.83</v>
      </c>
      <c r="J4167">
        <v>142302.23</v>
      </c>
      <c r="K4167" s="1"/>
      <c r="L4167" s="1"/>
      <c r="M4167" s="1"/>
      <c r="N4167" s="1"/>
    </row>
    <row r="4168" ht="15.75" customHeight="1">
      <c r="A4168" t="s">
        <v>51</v>
      </c>
      <c r="B4168" t="s">
        <v>30</v>
      </c>
      <c r="C4168" t="s">
        <v>4909</v>
      </c>
      <c r="D4168" t="s">
        <v>4261</v>
      </c>
      <c r="E4168">
        <v>95922.3471063851</v>
      </c>
      <c r="F4168">
        <v>34295.3848085183</v>
      </c>
      <c r="G4168">
        <v>33963.2713795584</v>
      </c>
      <c r="H4168">
        <v>21859.0019160354</v>
      </c>
      <c r="I4168">
        <v>164181.0</v>
      </c>
      <c r="J4168">
        <v>142322.0</v>
      </c>
      <c r="K4168" s="1"/>
      <c r="L4168" s="1"/>
      <c r="M4168" s="1"/>
      <c r="N4168" s="1"/>
    </row>
    <row r="4169" ht="15.75" customHeight="1">
      <c r="A4169" t="s">
        <v>36</v>
      </c>
      <c r="B4169" t="s">
        <v>33</v>
      </c>
      <c r="C4169" t="s">
        <v>4914</v>
      </c>
      <c r="D4169" t="s">
        <v>4262</v>
      </c>
      <c r="E4169">
        <v>95933.2300762913</v>
      </c>
      <c r="F4169">
        <v>34299.9995268457</v>
      </c>
      <c r="G4169">
        <v>33970.9513829879</v>
      </c>
      <c r="H4169">
        <v>21862.3994667226</v>
      </c>
      <c r="I4169">
        <v>164204.18</v>
      </c>
      <c r="J4169">
        <v>142341.78</v>
      </c>
      <c r="K4169" s="1"/>
      <c r="L4169" s="1"/>
      <c r="M4169" s="1"/>
      <c r="N4169" s="1"/>
    </row>
    <row r="4170" ht="15.75" customHeight="1">
      <c r="A4170" t="s">
        <v>13</v>
      </c>
      <c r="B4170" t="s">
        <v>30</v>
      </c>
      <c r="C4170" t="s">
        <v>4908</v>
      </c>
      <c r="D4170" t="s">
        <v>4263</v>
      </c>
      <c r="E4170">
        <v>95944.1130461975</v>
      </c>
      <c r="F4170">
        <v>34304.6142451731</v>
      </c>
      <c r="G4170">
        <v>33978.6313864174</v>
      </c>
      <c r="H4170">
        <v>21865.7970174099</v>
      </c>
      <c r="I4170">
        <v>164227.36</v>
      </c>
      <c r="J4170">
        <v>142361.56</v>
      </c>
      <c r="K4170" s="1"/>
      <c r="L4170" s="1"/>
      <c r="M4170" s="1"/>
      <c r="N4170" s="1"/>
    </row>
    <row r="4171" ht="15.75" customHeight="1">
      <c r="A4171" t="s">
        <v>53</v>
      </c>
      <c r="B4171" t="s">
        <v>26</v>
      </c>
      <c r="C4171" t="s">
        <v>4917</v>
      </c>
      <c r="D4171" t="s">
        <v>4264</v>
      </c>
      <c r="E4171">
        <v>95954.9960161037</v>
      </c>
      <c r="F4171">
        <v>34309.2289635006</v>
      </c>
      <c r="G4171">
        <v>33986.3113898469</v>
      </c>
      <c r="H4171">
        <v>21869.1945680972</v>
      </c>
      <c r="I4171">
        <v>164250.54</v>
      </c>
      <c r="J4171">
        <v>142381.35</v>
      </c>
      <c r="K4171" s="1"/>
      <c r="L4171" s="1"/>
      <c r="M4171" s="1"/>
      <c r="N4171" s="1"/>
    </row>
    <row r="4172" ht="15.75" customHeight="1">
      <c r="A4172" t="s">
        <v>29</v>
      </c>
      <c r="B4172" t="s">
        <v>18</v>
      </c>
      <c r="C4172" t="s">
        <v>4905</v>
      </c>
      <c r="D4172" t="s">
        <v>4265</v>
      </c>
      <c r="E4172">
        <v>95965.8789860099</v>
      </c>
      <c r="F4172">
        <v>34313.843681828</v>
      </c>
      <c r="G4172">
        <v>33993.9913932764</v>
      </c>
      <c r="H4172">
        <v>21872.5921187845</v>
      </c>
      <c r="I4172">
        <v>164273.71</v>
      </c>
      <c r="J4172">
        <v>142401.12</v>
      </c>
      <c r="K4172" s="1"/>
      <c r="L4172" s="1"/>
      <c r="M4172" s="1"/>
      <c r="N4172" s="1"/>
    </row>
    <row r="4173" ht="15.75" customHeight="1">
      <c r="A4173" t="s">
        <v>36</v>
      </c>
      <c r="B4173" t="s">
        <v>33</v>
      </c>
      <c r="C4173" t="s">
        <v>4911</v>
      </c>
      <c r="D4173" t="s">
        <v>4266</v>
      </c>
      <c r="E4173">
        <v>95976.7619559161</v>
      </c>
      <c r="F4173">
        <v>34318.4584001554</v>
      </c>
      <c r="G4173">
        <v>34001.6713967059</v>
      </c>
      <c r="H4173">
        <v>21875.9896694718</v>
      </c>
      <c r="I4173">
        <v>164296.89</v>
      </c>
      <c r="J4173">
        <v>142420.9</v>
      </c>
      <c r="K4173" s="1"/>
      <c r="L4173" s="1"/>
      <c r="M4173" s="1"/>
      <c r="N4173" s="1"/>
    </row>
    <row r="4174" ht="15.75" customHeight="1">
      <c r="A4174" t="s">
        <v>51</v>
      </c>
      <c r="B4174" t="s">
        <v>18</v>
      </c>
      <c r="C4174" t="s">
        <v>4909</v>
      </c>
      <c r="D4174" t="s">
        <v>4267</v>
      </c>
      <c r="E4174">
        <v>95987.6449258223</v>
      </c>
      <c r="F4174">
        <v>34323.0731184828</v>
      </c>
      <c r="G4174">
        <v>34009.3514001354</v>
      </c>
      <c r="H4174">
        <v>21879.3872201591</v>
      </c>
      <c r="I4174">
        <v>164320.07</v>
      </c>
      <c r="J4174">
        <v>142440.68</v>
      </c>
      <c r="K4174" s="1"/>
      <c r="L4174" s="1"/>
      <c r="M4174" s="1"/>
      <c r="N4174" s="1"/>
    </row>
    <row r="4175" ht="15.75" customHeight="1">
      <c r="A4175" t="s">
        <v>51</v>
      </c>
      <c r="B4175" t="s">
        <v>14</v>
      </c>
      <c r="C4175" t="s">
        <v>4913</v>
      </c>
      <c r="D4175" t="s">
        <v>4268</v>
      </c>
      <c r="E4175">
        <v>71902.66457289942</v>
      </c>
      <c r="F4175">
        <v>34327.6878368103</v>
      </c>
      <c r="G4175">
        <v>34017.0314035649</v>
      </c>
      <c r="H4175">
        <v>21882.7847708464</v>
      </c>
      <c r="I4175">
        <v>140247.38</v>
      </c>
      <c r="J4175">
        <v>118364.6</v>
      </c>
      <c r="K4175" s="1"/>
      <c r="L4175" s="1"/>
      <c r="M4175" s="1"/>
      <c r="N4175" s="1"/>
    </row>
    <row r="4176" ht="15.75" customHeight="1">
      <c r="A4176" t="s">
        <v>13</v>
      </c>
      <c r="B4176" t="s">
        <v>54</v>
      </c>
      <c r="C4176" t="s">
        <v>4910</v>
      </c>
      <c r="D4176" t="s">
        <v>4269</v>
      </c>
      <c r="E4176">
        <v>96009.4108656347</v>
      </c>
      <c r="F4176">
        <v>34332.3025551377</v>
      </c>
      <c r="G4176">
        <v>34024.7114069944</v>
      </c>
      <c r="H4176">
        <v>21886.1823215337</v>
      </c>
      <c r="I4176">
        <v>164366.42</v>
      </c>
      <c r="J4176">
        <v>142480.24</v>
      </c>
      <c r="K4176" s="1"/>
      <c r="L4176" s="1"/>
      <c r="M4176" s="1"/>
      <c r="N4176" s="1"/>
    </row>
    <row r="4177" ht="15.75" customHeight="1">
      <c r="A4177" t="s">
        <v>17</v>
      </c>
      <c r="B4177" t="s">
        <v>30</v>
      </c>
      <c r="C4177" t="s">
        <v>4915</v>
      </c>
      <c r="D4177" t="s">
        <v>4270</v>
      </c>
      <c r="E4177">
        <v>96020.2938355409</v>
      </c>
      <c r="F4177">
        <v>34336.9172734651</v>
      </c>
      <c r="G4177">
        <v>34032.3914104239</v>
      </c>
      <c r="H4177">
        <v>21889.5798722209</v>
      </c>
      <c r="I4177">
        <v>164389.6</v>
      </c>
      <c r="J4177">
        <v>142500.02</v>
      </c>
      <c r="K4177" s="1"/>
      <c r="L4177" s="1"/>
      <c r="M4177" s="1"/>
      <c r="N4177" s="1"/>
    </row>
    <row r="4178" ht="15.75" customHeight="1">
      <c r="A4178" t="s">
        <v>29</v>
      </c>
      <c r="B4178" t="s">
        <v>33</v>
      </c>
      <c r="C4178" t="s">
        <v>4909</v>
      </c>
      <c r="D4178" t="s">
        <v>4271</v>
      </c>
      <c r="E4178">
        <v>96031.1768054471</v>
      </c>
      <c r="F4178">
        <v>34341.5319917925</v>
      </c>
      <c r="G4178">
        <v>34040.0714138534</v>
      </c>
      <c r="H4178">
        <v>21892.9774229082</v>
      </c>
      <c r="I4178">
        <v>164412.78</v>
      </c>
      <c r="J4178">
        <v>142519.8</v>
      </c>
      <c r="K4178" s="1"/>
      <c r="L4178" s="1"/>
      <c r="M4178" s="1"/>
      <c r="N4178" s="1"/>
    </row>
    <row r="4179" ht="15.75" customHeight="1">
      <c r="A4179" t="s">
        <v>13</v>
      </c>
      <c r="B4179" t="s">
        <v>54</v>
      </c>
      <c r="C4179" t="s">
        <v>4917</v>
      </c>
      <c r="D4179" t="s">
        <v>4272</v>
      </c>
      <c r="E4179">
        <v>96042.0597753533</v>
      </c>
      <c r="F4179">
        <v>34346.1467101199</v>
      </c>
      <c r="G4179">
        <v>34047.7514172829</v>
      </c>
      <c r="H4179">
        <v>21896.3749735955</v>
      </c>
      <c r="I4179">
        <v>164435.96</v>
      </c>
      <c r="J4179">
        <v>142539.59</v>
      </c>
      <c r="K4179" s="1"/>
      <c r="L4179" s="1"/>
      <c r="M4179" s="1"/>
      <c r="N4179" s="1"/>
    </row>
    <row r="4180" ht="15.75" customHeight="1">
      <c r="A4180" t="s">
        <v>51</v>
      </c>
      <c r="B4180" t="s">
        <v>37</v>
      </c>
      <c r="C4180" t="s">
        <v>4912</v>
      </c>
      <c r="D4180" t="s">
        <v>4273</v>
      </c>
      <c r="E4180">
        <v>96052.9427452595</v>
      </c>
      <c r="F4180">
        <v>34350.7614284474</v>
      </c>
      <c r="G4180">
        <v>34055.4314207124</v>
      </c>
      <c r="H4180">
        <v>21899.7725242828</v>
      </c>
      <c r="I4180">
        <v>164459.14</v>
      </c>
      <c r="J4180">
        <v>142559.37</v>
      </c>
      <c r="K4180" s="1"/>
      <c r="L4180" s="1"/>
      <c r="M4180" s="1"/>
      <c r="N4180" s="1"/>
    </row>
    <row r="4181" ht="15.75" customHeight="1">
      <c r="A4181" t="s">
        <v>36</v>
      </c>
      <c r="B4181" t="s">
        <v>33</v>
      </c>
      <c r="C4181" t="s">
        <v>4911</v>
      </c>
      <c r="D4181" t="s">
        <v>4274</v>
      </c>
      <c r="E4181">
        <v>96063.8257151657</v>
      </c>
      <c r="F4181">
        <v>34355.3761467748</v>
      </c>
      <c r="G4181">
        <v>34063.1114241419</v>
      </c>
      <c r="H4181">
        <v>21903.1700749701</v>
      </c>
      <c r="I4181">
        <v>164482.31</v>
      </c>
      <c r="J4181">
        <v>142579.14</v>
      </c>
      <c r="K4181" s="1"/>
      <c r="L4181" s="1"/>
      <c r="M4181" s="1"/>
      <c r="N4181" s="1"/>
    </row>
    <row r="4182" ht="15.75" customHeight="1">
      <c r="A4182" t="s">
        <v>51</v>
      </c>
      <c r="B4182" t="s">
        <v>33</v>
      </c>
      <c r="C4182" t="s">
        <v>4907</v>
      </c>
      <c r="D4182" t="s">
        <v>4275</v>
      </c>
      <c r="E4182">
        <v>96074.7086850718</v>
      </c>
      <c r="F4182">
        <v>34359.9908651022</v>
      </c>
      <c r="G4182">
        <v>34070.7914275714</v>
      </c>
      <c r="H4182">
        <v>21906.5676256574</v>
      </c>
      <c r="I4182">
        <v>164505.49</v>
      </c>
      <c r="J4182">
        <v>142598.92</v>
      </c>
      <c r="K4182" s="1"/>
      <c r="L4182" s="1"/>
      <c r="M4182" s="1"/>
      <c r="N4182" s="1"/>
    </row>
    <row r="4183" ht="15.75" customHeight="1">
      <c r="A4183" t="s">
        <v>13</v>
      </c>
      <c r="B4183" t="s">
        <v>14</v>
      </c>
      <c r="C4183" t="s">
        <v>4910</v>
      </c>
      <c r="D4183" t="s">
        <v>4276</v>
      </c>
      <c r="E4183">
        <v>96085.591654978</v>
      </c>
      <c r="F4183">
        <v>34364.6055834296</v>
      </c>
      <c r="G4183">
        <v>34078.4714310009</v>
      </c>
      <c r="H4183">
        <v>21909.9651763447</v>
      </c>
      <c r="I4183">
        <v>164528.67</v>
      </c>
      <c r="J4183">
        <v>142618.7</v>
      </c>
      <c r="K4183" s="1"/>
      <c r="L4183" s="1"/>
      <c r="M4183" s="1"/>
      <c r="N4183" s="1"/>
    </row>
    <row r="4184" ht="15.75" customHeight="1">
      <c r="A4184" t="s">
        <v>36</v>
      </c>
      <c r="B4184" t="s">
        <v>26</v>
      </c>
      <c r="C4184" t="s">
        <v>4914</v>
      </c>
      <c r="D4184" t="s">
        <v>4277</v>
      </c>
      <c r="E4184">
        <v>96096.4746248842</v>
      </c>
      <c r="F4184">
        <v>34369.2203017571</v>
      </c>
      <c r="G4184">
        <v>34086.1514344304</v>
      </c>
      <c r="H4184">
        <v>21913.3627270319</v>
      </c>
      <c r="I4184">
        <v>164551.85</v>
      </c>
      <c r="J4184">
        <v>142638.49</v>
      </c>
      <c r="K4184" s="1"/>
      <c r="L4184" s="1"/>
      <c r="M4184" s="1"/>
      <c r="N4184" s="1"/>
    </row>
    <row r="4185" ht="15.75" customHeight="1">
      <c r="A4185" t="s">
        <v>53</v>
      </c>
      <c r="B4185" t="s">
        <v>18</v>
      </c>
      <c r="C4185" t="s">
        <v>4917</v>
      </c>
      <c r="D4185" t="s">
        <v>4278</v>
      </c>
      <c r="E4185">
        <v>96107.3575947904</v>
      </c>
      <c r="F4185">
        <v>34373.8350200845</v>
      </c>
      <c r="G4185">
        <v>34093.8314378599</v>
      </c>
      <c r="H4185">
        <v>21916.7602777192</v>
      </c>
      <c r="I4185">
        <v>164575.02</v>
      </c>
      <c r="J4185">
        <v>142658.26</v>
      </c>
      <c r="K4185" s="1"/>
      <c r="L4185" s="1"/>
      <c r="M4185" s="1"/>
      <c r="N4185" s="1"/>
    </row>
    <row r="4186" ht="15.75" customHeight="1">
      <c r="A4186" t="s">
        <v>29</v>
      </c>
      <c r="B4186" t="s">
        <v>18</v>
      </c>
      <c r="C4186" t="s">
        <v>4915</v>
      </c>
      <c r="D4186" t="s">
        <v>4279</v>
      </c>
      <c r="E4186">
        <v>96118.2405646966</v>
      </c>
      <c r="F4186">
        <v>34378.4497384119</v>
      </c>
      <c r="G4186">
        <v>34101.5114412894</v>
      </c>
      <c r="H4186">
        <v>21920.1578284065</v>
      </c>
      <c r="I4186">
        <v>164598.2</v>
      </c>
      <c r="J4186">
        <v>142678.04</v>
      </c>
      <c r="K4186" s="1"/>
      <c r="L4186" s="1"/>
      <c r="M4186" s="1"/>
      <c r="N4186" s="1"/>
    </row>
    <row r="4187" ht="15.75" customHeight="1">
      <c r="A4187" t="s">
        <v>36</v>
      </c>
      <c r="B4187" t="s">
        <v>26</v>
      </c>
      <c r="C4187" t="s">
        <v>4916</v>
      </c>
      <c r="D4187" t="s">
        <v>4280</v>
      </c>
      <c r="E4187">
        <v>96140.006504509</v>
      </c>
      <c r="F4187">
        <v>34387.6791750667</v>
      </c>
      <c r="G4187">
        <v>34116.8714481484</v>
      </c>
      <c r="H4187">
        <v>21926.9529297811</v>
      </c>
      <c r="I4187">
        <v>164644.56</v>
      </c>
      <c r="J4187">
        <v>142717.61</v>
      </c>
      <c r="K4187" s="1"/>
      <c r="L4187" s="1"/>
      <c r="M4187" s="1"/>
      <c r="N4187" s="1"/>
    </row>
    <row r="4188" ht="15.75" customHeight="1">
      <c r="A4188" t="s">
        <v>53</v>
      </c>
      <c r="B4188" t="s">
        <v>54</v>
      </c>
      <c r="C4188" t="s">
        <v>4914</v>
      </c>
      <c r="D4188" t="s">
        <v>4281</v>
      </c>
      <c r="E4188">
        <v>96150.8894744152</v>
      </c>
      <c r="F4188">
        <v>34392.2938933942</v>
      </c>
      <c r="G4188">
        <v>34124.5514515779</v>
      </c>
      <c r="H4188">
        <v>21930.3504804684</v>
      </c>
      <c r="I4188">
        <v>164667.73</v>
      </c>
      <c r="J4188">
        <v>142737.38</v>
      </c>
      <c r="K4188" s="1"/>
      <c r="L4188" s="1"/>
      <c r="M4188" s="1"/>
      <c r="N4188" s="1"/>
    </row>
    <row r="4189" ht="15.75" customHeight="1">
      <c r="A4189" t="s">
        <v>51</v>
      </c>
      <c r="B4189" t="s">
        <v>18</v>
      </c>
      <c r="C4189" t="s">
        <v>4916</v>
      </c>
      <c r="D4189" t="s">
        <v>4282</v>
      </c>
      <c r="E4189">
        <v>96161.7724443214</v>
      </c>
      <c r="F4189">
        <v>34396.9086117216</v>
      </c>
      <c r="G4189">
        <v>34132.2314550074</v>
      </c>
      <c r="H4189">
        <v>21933.7480311557</v>
      </c>
      <c r="I4189">
        <v>164690.91</v>
      </c>
      <c r="J4189">
        <v>142757.16</v>
      </c>
      <c r="K4189" s="1"/>
      <c r="L4189" s="1"/>
      <c r="M4189" s="1"/>
      <c r="N4189" s="1"/>
    </row>
    <row r="4190" ht="15.75" customHeight="1">
      <c r="A4190" t="s">
        <v>25</v>
      </c>
      <c r="B4190" t="s">
        <v>14</v>
      </c>
      <c r="C4190" t="s">
        <v>4913</v>
      </c>
      <c r="D4190" t="s">
        <v>4283</v>
      </c>
      <c r="E4190">
        <v>96172.6554142276</v>
      </c>
      <c r="F4190">
        <v>34401.523330049</v>
      </c>
      <c r="G4190">
        <v>34139.9114584369</v>
      </c>
      <c r="H4190">
        <v>21937.145581843</v>
      </c>
      <c r="I4190">
        <v>164714.09</v>
      </c>
      <c r="J4190">
        <v>142776.94</v>
      </c>
      <c r="K4190" s="1"/>
      <c r="L4190" s="1"/>
      <c r="M4190" s="1"/>
      <c r="N4190" s="1"/>
    </row>
    <row r="4191" ht="15.75" customHeight="1">
      <c r="A4191" t="s">
        <v>51</v>
      </c>
      <c r="B4191" t="s">
        <v>14</v>
      </c>
      <c r="C4191" t="s">
        <v>4916</v>
      </c>
      <c r="D4191" t="s">
        <v>4284</v>
      </c>
      <c r="E4191">
        <v>96183.5383841338</v>
      </c>
      <c r="F4191">
        <v>34406.1380483764</v>
      </c>
      <c r="G4191">
        <v>34147.5914618664</v>
      </c>
      <c r="H4191">
        <v>21940.5431325302</v>
      </c>
      <c r="I4191">
        <v>164737.27</v>
      </c>
      <c r="J4191">
        <v>142796.73</v>
      </c>
      <c r="K4191" s="1"/>
      <c r="L4191" s="1"/>
      <c r="M4191" s="1"/>
      <c r="N4191" s="1"/>
    </row>
    <row r="4192" ht="15.75" customHeight="1">
      <c r="A4192" t="s">
        <v>13</v>
      </c>
      <c r="B4192" t="s">
        <v>18</v>
      </c>
      <c r="C4192" t="s">
        <v>4916</v>
      </c>
      <c r="D4192" t="s">
        <v>4285</v>
      </c>
      <c r="E4192">
        <v>96194.42135404</v>
      </c>
      <c r="F4192">
        <v>34410.7527667039</v>
      </c>
      <c r="G4192">
        <v>34155.2714652959</v>
      </c>
      <c r="H4192">
        <v>21943.9406832175</v>
      </c>
      <c r="I4192">
        <v>164760.45</v>
      </c>
      <c r="J4192">
        <v>142816.51</v>
      </c>
      <c r="K4192" s="1"/>
      <c r="L4192" s="1"/>
      <c r="M4192" s="1"/>
      <c r="N4192" s="1"/>
    </row>
    <row r="4193" ht="15.75" customHeight="1">
      <c r="A4193" t="s">
        <v>13</v>
      </c>
      <c r="B4193" t="s">
        <v>54</v>
      </c>
      <c r="C4193" t="s">
        <v>4912</v>
      </c>
      <c r="D4193" t="s">
        <v>4286</v>
      </c>
      <c r="E4193">
        <v>96205.3043239462</v>
      </c>
      <c r="F4193">
        <v>34415.3674850313</v>
      </c>
      <c r="G4193">
        <v>34162.9514687254</v>
      </c>
      <c r="H4193">
        <v>21947.3382339048</v>
      </c>
      <c r="I4193">
        <v>164783.62</v>
      </c>
      <c r="J4193">
        <v>142836.28</v>
      </c>
      <c r="K4193" s="1"/>
      <c r="L4193" s="1"/>
      <c r="M4193" s="1"/>
      <c r="N4193" s="1"/>
    </row>
    <row r="4194" ht="15.75" customHeight="1">
      <c r="A4194" t="s">
        <v>29</v>
      </c>
      <c r="B4194" t="s">
        <v>37</v>
      </c>
      <c r="C4194" t="s">
        <v>4908</v>
      </c>
      <c r="D4194" t="s">
        <v>4287</v>
      </c>
      <c r="E4194">
        <v>96216.1872938524</v>
      </c>
      <c r="F4194">
        <v>34419.9822033587</v>
      </c>
      <c r="G4194">
        <v>34170.6314721549</v>
      </c>
      <c r="H4194">
        <v>21950.7357845921</v>
      </c>
      <c r="I4194">
        <v>164806.8</v>
      </c>
      <c r="J4194">
        <v>142856.06</v>
      </c>
      <c r="K4194" s="1"/>
      <c r="L4194" s="1"/>
      <c r="M4194" s="1"/>
      <c r="N4194" s="1"/>
    </row>
    <row r="4195" ht="15.75" customHeight="1">
      <c r="A4195" t="s">
        <v>13</v>
      </c>
      <c r="B4195" t="s">
        <v>18</v>
      </c>
      <c r="C4195" t="s">
        <v>4914</v>
      </c>
      <c r="D4195" t="s">
        <v>4288</v>
      </c>
      <c r="E4195">
        <v>96227.0702637586</v>
      </c>
      <c r="F4195">
        <v>34424.5969216861</v>
      </c>
      <c r="G4195">
        <v>34178.3114755843</v>
      </c>
      <c r="H4195">
        <v>21954.1333352794</v>
      </c>
      <c r="I4195">
        <v>164829.98</v>
      </c>
      <c r="J4195">
        <v>142875.85</v>
      </c>
      <c r="K4195" s="1"/>
      <c r="L4195" s="1"/>
      <c r="M4195" s="1"/>
      <c r="N4195" s="1"/>
    </row>
    <row r="4196" ht="15.75" customHeight="1">
      <c r="A4196" t="s">
        <v>53</v>
      </c>
      <c r="B4196" t="s">
        <v>54</v>
      </c>
      <c r="C4196" t="s">
        <v>4915</v>
      </c>
      <c r="D4196" t="s">
        <v>4289</v>
      </c>
      <c r="E4196">
        <v>96237.9532336647</v>
      </c>
      <c r="F4196">
        <v>34429.2116400135</v>
      </c>
      <c r="G4196">
        <v>34185.9914790138</v>
      </c>
      <c r="H4196">
        <v>21957.5308859667</v>
      </c>
      <c r="I4196">
        <v>164853.16</v>
      </c>
      <c r="J4196">
        <v>142895.63</v>
      </c>
      <c r="K4196" s="1"/>
      <c r="L4196" s="1"/>
      <c r="M4196" s="1"/>
      <c r="N4196" s="1"/>
    </row>
    <row r="4197" ht="15.75" customHeight="1">
      <c r="A4197" t="s">
        <v>17</v>
      </c>
      <c r="B4197" t="s">
        <v>33</v>
      </c>
      <c r="C4197" t="s">
        <v>4916</v>
      </c>
      <c r="D4197" t="s">
        <v>4290</v>
      </c>
      <c r="E4197">
        <v>96248.8362035709</v>
      </c>
      <c r="F4197">
        <v>34433.826358341</v>
      </c>
      <c r="G4197">
        <v>34193.6714824433</v>
      </c>
      <c r="H4197">
        <v>21960.928436654</v>
      </c>
      <c r="I4197">
        <v>164876.33</v>
      </c>
      <c r="J4197">
        <v>142915.4</v>
      </c>
      <c r="K4197" s="1"/>
      <c r="L4197" s="1"/>
      <c r="M4197" s="1"/>
      <c r="N4197" s="1"/>
    </row>
    <row r="4198" ht="15.75" customHeight="1">
      <c r="A4198" t="s">
        <v>17</v>
      </c>
      <c r="B4198" t="s">
        <v>30</v>
      </c>
      <c r="C4198" t="s">
        <v>4909</v>
      </c>
      <c r="D4198" t="s">
        <v>4291</v>
      </c>
      <c r="E4198">
        <v>96259.7191734771</v>
      </c>
      <c r="F4198">
        <v>34438.4410766684</v>
      </c>
      <c r="G4198">
        <v>34201.3514858728</v>
      </c>
      <c r="H4198">
        <v>21964.3259873413</v>
      </c>
      <c r="I4198">
        <v>164899.51</v>
      </c>
      <c r="J4198">
        <v>142935.18</v>
      </c>
      <c r="K4198" s="1"/>
      <c r="L4198" s="1"/>
      <c r="M4198" s="1"/>
      <c r="N4198" s="1"/>
    </row>
    <row r="4199" ht="15.75" customHeight="1">
      <c r="A4199" t="s">
        <v>36</v>
      </c>
      <c r="B4199" t="s">
        <v>26</v>
      </c>
      <c r="C4199" t="s">
        <v>4912</v>
      </c>
      <c r="D4199" t="s">
        <v>4292</v>
      </c>
      <c r="E4199">
        <v>96270.6021433833</v>
      </c>
      <c r="F4199">
        <v>34443.0557949958</v>
      </c>
      <c r="G4199">
        <v>34209.0314893023</v>
      </c>
      <c r="H4199">
        <v>21967.7235380285</v>
      </c>
      <c r="I4199">
        <v>164922.69</v>
      </c>
      <c r="J4199">
        <v>142954.97</v>
      </c>
      <c r="K4199" s="1"/>
      <c r="L4199" s="1"/>
      <c r="M4199" s="1"/>
      <c r="N4199" s="1"/>
    </row>
    <row r="4200" ht="15.75" customHeight="1">
      <c r="A4200" t="s">
        <v>53</v>
      </c>
      <c r="B4200" t="s">
        <v>54</v>
      </c>
      <c r="C4200" t="s">
        <v>4909</v>
      </c>
      <c r="D4200" t="s">
        <v>4293</v>
      </c>
      <c r="E4200">
        <v>72159.94658517206</v>
      </c>
      <c r="F4200">
        <v>34456.8999499781</v>
      </c>
      <c r="G4200">
        <v>34232.0714995908</v>
      </c>
      <c r="H4200">
        <v>21977.9161900904</v>
      </c>
      <c r="I4200">
        <v>140848.92</v>
      </c>
      <c r="J4200">
        <v>118871.0</v>
      </c>
      <c r="K4200" s="1"/>
      <c r="L4200" s="1"/>
      <c r="M4200" s="1"/>
      <c r="N4200" s="1"/>
    </row>
    <row r="4201" ht="15.75" customHeight="1">
      <c r="A4201" t="s">
        <v>25</v>
      </c>
      <c r="B4201" t="s">
        <v>37</v>
      </c>
      <c r="C4201" t="s">
        <v>4917</v>
      </c>
      <c r="D4201" t="s">
        <v>4294</v>
      </c>
      <c r="E4201">
        <v>96314.1340230081</v>
      </c>
      <c r="F4201">
        <v>34461.5146683055</v>
      </c>
      <c r="G4201">
        <v>34239.7515030203</v>
      </c>
      <c r="H4201">
        <v>21981.3137407777</v>
      </c>
      <c r="I4201">
        <v>165015.4</v>
      </c>
      <c r="J4201">
        <v>143034.09</v>
      </c>
      <c r="K4201" s="1"/>
      <c r="L4201" s="1"/>
      <c r="M4201" s="1"/>
      <c r="N4201" s="1"/>
    </row>
    <row r="4202" ht="15.75" customHeight="1">
      <c r="A4202" t="s">
        <v>53</v>
      </c>
      <c r="B4202" t="s">
        <v>33</v>
      </c>
      <c r="C4202" t="s">
        <v>4907</v>
      </c>
      <c r="D4202" t="s">
        <v>4295</v>
      </c>
      <c r="E4202">
        <v>96325.0169929143</v>
      </c>
      <c r="F4202">
        <v>34466.1293866329</v>
      </c>
      <c r="G4202">
        <v>34247.4315064498</v>
      </c>
      <c r="H4202">
        <v>21984.711291465</v>
      </c>
      <c r="I4202">
        <v>165038.58</v>
      </c>
      <c r="J4202">
        <v>143053.87</v>
      </c>
      <c r="K4202" s="1"/>
      <c r="L4202" s="1"/>
      <c r="M4202" s="1"/>
      <c r="N4202" s="1"/>
    </row>
    <row r="4203" ht="15.75" customHeight="1">
      <c r="A4203" t="s">
        <v>51</v>
      </c>
      <c r="B4203" t="s">
        <v>14</v>
      </c>
      <c r="C4203" t="s">
        <v>4915</v>
      </c>
      <c r="D4203" t="s">
        <v>4296</v>
      </c>
      <c r="E4203">
        <v>96335.8999628205</v>
      </c>
      <c r="F4203">
        <v>34470.7441049603</v>
      </c>
      <c r="G4203">
        <v>34255.1115098793</v>
      </c>
      <c r="H4203">
        <v>21988.1088421523</v>
      </c>
      <c r="I4203">
        <v>165061.76</v>
      </c>
      <c r="J4203">
        <v>143073.65</v>
      </c>
      <c r="K4203" s="1"/>
      <c r="L4203" s="1"/>
      <c r="M4203" s="1"/>
      <c r="N4203" s="1"/>
    </row>
    <row r="4204" ht="15.75" customHeight="1">
      <c r="A4204" t="s">
        <v>13</v>
      </c>
      <c r="B4204" t="s">
        <v>14</v>
      </c>
      <c r="C4204" t="s">
        <v>4915</v>
      </c>
      <c r="D4204" t="s">
        <v>4297</v>
      </c>
      <c r="E4204">
        <v>96346.7829327267</v>
      </c>
      <c r="F4204">
        <v>34475.3588232878</v>
      </c>
      <c r="G4204">
        <v>34262.7915133088</v>
      </c>
      <c r="H4204">
        <v>21991.5063928395</v>
      </c>
      <c r="I4204">
        <v>165084.93</v>
      </c>
      <c r="J4204">
        <v>143093.42</v>
      </c>
      <c r="K4204" s="1"/>
      <c r="L4204" s="1"/>
      <c r="M4204" s="1"/>
      <c r="N4204" s="1"/>
    </row>
    <row r="4205" ht="15.75" customHeight="1">
      <c r="A4205" t="s">
        <v>36</v>
      </c>
      <c r="B4205" t="s">
        <v>30</v>
      </c>
      <c r="C4205" t="s">
        <v>4905</v>
      </c>
      <c r="D4205" t="s">
        <v>4298</v>
      </c>
      <c r="E4205">
        <v>96357.6659026329</v>
      </c>
      <c r="F4205">
        <v>34479.9735416152</v>
      </c>
      <c r="G4205">
        <v>34270.4715167383</v>
      </c>
      <c r="H4205">
        <v>21994.9039435268</v>
      </c>
      <c r="I4205">
        <v>165108.11</v>
      </c>
      <c r="J4205">
        <v>143113.21</v>
      </c>
      <c r="K4205" s="1"/>
      <c r="L4205" s="1"/>
      <c r="M4205" s="1"/>
      <c r="N4205" s="1"/>
    </row>
    <row r="4206" ht="15.75" customHeight="1">
      <c r="A4206" t="s">
        <v>51</v>
      </c>
      <c r="B4206" t="s">
        <v>33</v>
      </c>
      <c r="C4206" t="s">
        <v>4907</v>
      </c>
      <c r="D4206" t="s">
        <v>4299</v>
      </c>
      <c r="E4206">
        <v>96368.5488725391</v>
      </c>
      <c r="F4206">
        <v>34484.5882599426</v>
      </c>
      <c r="G4206">
        <v>34278.1515201678</v>
      </c>
      <c r="H4206">
        <v>21998.3014942141</v>
      </c>
      <c r="I4206">
        <v>165131.29</v>
      </c>
      <c r="J4206">
        <v>143132.99</v>
      </c>
      <c r="K4206" s="1"/>
      <c r="L4206" s="1"/>
      <c r="M4206" s="1"/>
      <c r="N4206" s="1"/>
    </row>
    <row r="4207" ht="15.75" customHeight="1">
      <c r="A4207" t="s">
        <v>17</v>
      </c>
      <c r="B4207" t="s">
        <v>14</v>
      </c>
      <c r="C4207" t="s">
        <v>4916</v>
      </c>
      <c r="D4207" t="s">
        <v>4300</v>
      </c>
      <c r="E4207">
        <v>96379.4318424453</v>
      </c>
      <c r="F4207">
        <v>34489.20297827</v>
      </c>
      <c r="G4207">
        <v>34285.8315235973</v>
      </c>
      <c r="H4207">
        <v>22001.6990449014</v>
      </c>
      <c r="I4207">
        <v>165154.47</v>
      </c>
      <c r="J4207">
        <v>143152.77</v>
      </c>
      <c r="K4207" s="1"/>
      <c r="L4207" s="1"/>
      <c r="M4207" s="1"/>
      <c r="N4207" s="1"/>
    </row>
    <row r="4208" ht="15.75" customHeight="1">
      <c r="A4208" t="s">
        <v>36</v>
      </c>
      <c r="B4208" t="s">
        <v>30</v>
      </c>
      <c r="C4208" t="s">
        <v>4905</v>
      </c>
      <c r="D4208" t="s">
        <v>4301</v>
      </c>
      <c r="E4208">
        <v>96390.3148123515</v>
      </c>
      <c r="F4208">
        <v>34493.8176965974</v>
      </c>
      <c r="G4208">
        <v>34293.5115270268</v>
      </c>
      <c r="H4208">
        <v>22005.0965955887</v>
      </c>
      <c r="I4208">
        <v>165177.64</v>
      </c>
      <c r="J4208">
        <v>143172.54</v>
      </c>
      <c r="K4208" s="1"/>
      <c r="L4208" s="1"/>
      <c r="M4208" s="1"/>
      <c r="N4208" s="1"/>
    </row>
    <row r="4209" ht="15.75" customHeight="1">
      <c r="A4209" t="s">
        <v>13</v>
      </c>
      <c r="B4209" t="s">
        <v>37</v>
      </c>
      <c r="C4209" t="s">
        <v>4913</v>
      </c>
      <c r="D4209" t="s">
        <v>4302</v>
      </c>
      <c r="E4209">
        <v>96401.1977822577</v>
      </c>
      <c r="F4209">
        <v>34498.4324149249</v>
      </c>
      <c r="G4209">
        <v>34301.1915304563</v>
      </c>
      <c r="H4209">
        <v>22008.494146276</v>
      </c>
      <c r="I4209">
        <v>165200.82</v>
      </c>
      <c r="J4209">
        <v>143192.33</v>
      </c>
      <c r="K4209" s="1"/>
      <c r="L4209" s="1"/>
      <c r="M4209" s="1"/>
      <c r="N4209" s="1"/>
    </row>
    <row r="4210" ht="15.75" customHeight="1">
      <c r="A4210" t="s">
        <v>25</v>
      </c>
      <c r="B4210" t="s">
        <v>33</v>
      </c>
      <c r="C4210" t="s">
        <v>4915</v>
      </c>
      <c r="D4210" t="s">
        <v>4303</v>
      </c>
      <c r="E4210">
        <v>96412.0807521638</v>
      </c>
      <c r="F4210">
        <v>34503.0471332523</v>
      </c>
      <c r="G4210">
        <v>34308.8715338858</v>
      </c>
      <c r="H4210">
        <v>22011.8916969633</v>
      </c>
      <c r="I4210">
        <v>165224.0</v>
      </c>
      <c r="J4210">
        <v>143212.11</v>
      </c>
      <c r="K4210" s="1"/>
      <c r="L4210" s="1"/>
      <c r="M4210" s="1"/>
      <c r="N4210" s="1"/>
    </row>
    <row r="4211" ht="15.75" customHeight="1">
      <c r="A4211" t="s">
        <v>25</v>
      </c>
      <c r="B4211" t="s">
        <v>54</v>
      </c>
      <c r="C4211" t="s">
        <v>4916</v>
      </c>
      <c r="D4211" t="s">
        <v>4304</v>
      </c>
      <c r="E4211">
        <v>96422.96372207</v>
      </c>
      <c r="F4211">
        <v>34507.6618515797</v>
      </c>
      <c r="G4211">
        <v>34316.5515373153</v>
      </c>
      <c r="H4211">
        <v>22015.2892476506</v>
      </c>
      <c r="I4211">
        <v>165247.18</v>
      </c>
      <c r="J4211">
        <v>143231.89</v>
      </c>
      <c r="K4211" s="1"/>
      <c r="L4211" s="1"/>
      <c r="M4211" s="1"/>
      <c r="N4211" s="1"/>
    </row>
    <row r="4212" ht="15.75" customHeight="1">
      <c r="A4212" t="s">
        <v>13</v>
      </c>
      <c r="B4212" t="s">
        <v>14</v>
      </c>
      <c r="C4212" t="s">
        <v>4909</v>
      </c>
      <c r="D4212" t="s">
        <v>4305</v>
      </c>
      <c r="E4212">
        <v>96433.8466919762</v>
      </c>
      <c r="F4212">
        <v>34512.2765699071</v>
      </c>
      <c r="G4212">
        <v>34324.2315407448</v>
      </c>
      <c r="H4212">
        <v>22018.6867983378</v>
      </c>
      <c r="I4212">
        <v>165270.35</v>
      </c>
      <c r="J4212">
        <v>143251.66</v>
      </c>
      <c r="K4212" s="1"/>
      <c r="L4212" s="1"/>
      <c r="M4212" s="1"/>
      <c r="N4212" s="1"/>
    </row>
    <row r="4213" ht="15.75" customHeight="1">
      <c r="A4213" t="s">
        <v>36</v>
      </c>
      <c r="B4213" t="s">
        <v>18</v>
      </c>
      <c r="C4213" t="s">
        <v>4917</v>
      </c>
      <c r="D4213" t="s">
        <v>4306</v>
      </c>
      <c r="E4213">
        <v>96444.7296618824</v>
      </c>
      <c r="F4213">
        <v>34516.8912882346</v>
      </c>
      <c r="G4213">
        <v>34331.9115441743</v>
      </c>
      <c r="H4213">
        <v>22022.0843490251</v>
      </c>
      <c r="I4213">
        <v>165293.53</v>
      </c>
      <c r="J4213">
        <v>143271.45</v>
      </c>
      <c r="K4213" s="1"/>
      <c r="L4213" s="1"/>
      <c r="M4213" s="1"/>
      <c r="N4213" s="1"/>
    </row>
    <row r="4214" ht="15.75" customHeight="1">
      <c r="A4214" t="s">
        <v>13</v>
      </c>
      <c r="B4214" t="s">
        <v>54</v>
      </c>
      <c r="C4214" t="s">
        <v>4915</v>
      </c>
      <c r="D4214" t="s">
        <v>4307</v>
      </c>
      <c r="E4214">
        <v>96455.6126317886</v>
      </c>
      <c r="F4214">
        <v>34521.506006562</v>
      </c>
      <c r="G4214">
        <v>34339.5915476038</v>
      </c>
      <c r="H4214">
        <v>22025.4818997124</v>
      </c>
      <c r="I4214">
        <v>165316.71</v>
      </c>
      <c r="J4214">
        <v>143291.23</v>
      </c>
      <c r="K4214" s="1"/>
      <c r="L4214" s="1"/>
      <c r="M4214" s="1"/>
      <c r="N4214" s="1"/>
    </row>
    <row r="4215" ht="15.75" customHeight="1">
      <c r="A4215" t="s">
        <v>53</v>
      </c>
      <c r="B4215" t="s">
        <v>26</v>
      </c>
      <c r="C4215" t="s">
        <v>4912</v>
      </c>
      <c r="D4215" t="s">
        <v>4308</v>
      </c>
      <c r="E4215">
        <v>96466.4956016948</v>
      </c>
      <c r="F4215">
        <v>34526.1207248894</v>
      </c>
      <c r="G4215">
        <v>34347.2715510333</v>
      </c>
      <c r="H4215">
        <v>22028.8794503997</v>
      </c>
      <c r="I4215">
        <v>165339.89</v>
      </c>
      <c r="J4215">
        <v>143311.01</v>
      </c>
      <c r="K4215" s="1"/>
      <c r="L4215" s="1"/>
      <c r="M4215" s="1"/>
      <c r="N4215" s="1"/>
    </row>
    <row r="4216" ht="15.75" customHeight="1">
      <c r="A4216" t="s">
        <v>36</v>
      </c>
      <c r="B4216" t="s">
        <v>14</v>
      </c>
      <c r="C4216" t="s">
        <v>4909</v>
      </c>
      <c r="D4216" t="s">
        <v>4309</v>
      </c>
      <c r="E4216">
        <v>96477.378571601</v>
      </c>
      <c r="F4216">
        <v>34530.7354432168</v>
      </c>
      <c r="G4216">
        <v>34354.9515544628</v>
      </c>
      <c r="H4216">
        <v>22032.277001087</v>
      </c>
      <c r="I4216">
        <v>165363.07</v>
      </c>
      <c r="J4216">
        <v>143330.79</v>
      </c>
      <c r="K4216" s="1"/>
      <c r="L4216" s="1"/>
      <c r="M4216" s="1"/>
      <c r="N4216" s="1"/>
    </row>
    <row r="4217" ht="15.75" customHeight="1">
      <c r="A4217" t="s">
        <v>13</v>
      </c>
      <c r="B4217" t="s">
        <v>37</v>
      </c>
      <c r="C4217" t="s">
        <v>4909</v>
      </c>
      <c r="D4217" t="s">
        <v>4310</v>
      </c>
      <c r="E4217">
        <v>96488.2615415072</v>
      </c>
      <c r="F4217">
        <v>34535.3501615442</v>
      </c>
      <c r="G4217">
        <v>34362.6315578923</v>
      </c>
      <c r="H4217">
        <v>22035.6745517743</v>
      </c>
      <c r="I4217">
        <v>165386.24</v>
      </c>
      <c r="J4217">
        <v>143350.57</v>
      </c>
      <c r="K4217" s="1"/>
      <c r="L4217" s="1"/>
      <c r="M4217" s="1"/>
      <c r="N4217" s="1"/>
    </row>
    <row r="4218" ht="15.75" customHeight="1">
      <c r="A4218" t="s">
        <v>36</v>
      </c>
      <c r="B4218" t="s">
        <v>37</v>
      </c>
      <c r="C4218" t="s">
        <v>4905</v>
      </c>
      <c r="D4218" t="s">
        <v>4311</v>
      </c>
      <c r="E4218">
        <v>96499.1445114134</v>
      </c>
      <c r="F4218">
        <v>34539.9648798717</v>
      </c>
      <c r="G4218">
        <v>34370.3115613218</v>
      </c>
      <c r="H4218">
        <v>22039.0721024616</v>
      </c>
      <c r="I4218">
        <v>165409.42</v>
      </c>
      <c r="J4218">
        <v>143370.35</v>
      </c>
      <c r="K4218" s="1"/>
      <c r="L4218" s="1"/>
      <c r="M4218" s="1"/>
      <c r="N4218" s="1"/>
    </row>
    <row r="4219" ht="15.75" customHeight="1">
      <c r="A4219" t="s">
        <v>53</v>
      </c>
      <c r="B4219" t="s">
        <v>26</v>
      </c>
      <c r="C4219" t="s">
        <v>4913</v>
      </c>
      <c r="D4219" t="s">
        <v>4312</v>
      </c>
      <c r="E4219">
        <v>96510.0274813196</v>
      </c>
      <c r="F4219">
        <v>34544.5795981991</v>
      </c>
      <c r="G4219">
        <v>34377.9915647513</v>
      </c>
      <c r="H4219">
        <v>22042.4696531489</v>
      </c>
      <c r="I4219">
        <v>165432.6</v>
      </c>
      <c r="J4219">
        <v>143390.13</v>
      </c>
      <c r="K4219" s="1"/>
      <c r="L4219" s="1"/>
      <c r="M4219" s="1"/>
      <c r="N4219" s="1"/>
    </row>
    <row r="4220" ht="15.75" customHeight="1">
      <c r="A4220" t="s">
        <v>36</v>
      </c>
      <c r="B4220" t="s">
        <v>14</v>
      </c>
      <c r="C4220" t="s">
        <v>4911</v>
      </c>
      <c r="D4220" t="s">
        <v>4313</v>
      </c>
      <c r="E4220">
        <v>96520.9104512258</v>
      </c>
      <c r="F4220">
        <v>34549.1943165265</v>
      </c>
      <c r="G4220">
        <v>34385.6715681808</v>
      </c>
      <c r="H4220">
        <v>22045.8672038361</v>
      </c>
      <c r="I4220">
        <v>165455.78</v>
      </c>
      <c r="J4220">
        <v>143409.91</v>
      </c>
      <c r="K4220" s="1"/>
      <c r="L4220" s="1"/>
      <c r="M4220" s="1"/>
      <c r="N4220" s="1"/>
    </row>
    <row r="4221" ht="15.75" customHeight="1">
      <c r="A4221" t="s">
        <v>29</v>
      </c>
      <c r="B4221" t="s">
        <v>26</v>
      </c>
      <c r="C4221" t="s">
        <v>4916</v>
      </c>
      <c r="D4221" t="s">
        <v>4314</v>
      </c>
      <c r="E4221">
        <v>96531.793421132</v>
      </c>
      <c r="F4221">
        <v>34553.8090348539</v>
      </c>
      <c r="G4221">
        <v>34393.3515716103</v>
      </c>
      <c r="H4221">
        <v>22049.2647545234</v>
      </c>
      <c r="I4221">
        <v>165478.95</v>
      </c>
      <c r="J4221">
        <v>143429.69</v>
      </c>
      <c r="K4221" s="1"/>
      <c r="L4221" s="1"/>
      <c r="M4221" s="1"/>
      <c r="N4221" s="1"/>
    </row>
    <row r="4222" ht="15.75" customHeight="1">
      <c r="A4222" t="s">
        <v>13</v>
      </c>
      <c r="B4222" t="s">
        <v>37</v>
      </c>
      <c r="C4222" t="s">
        <v>4913</v>
      </c>
      <c r="D4222" t="s">
        <v>4315</v>
      </c>
      <c r="E4222">
        <v>96542.6763910382</v>
      </c>
      <c r="F4222">
        <v>34558.4237531814</v>
      </c>
      <c r="G4222">
        <v>34401.0315750398</v>
      </c>
      <c r="H4222">
        <v>22052.6623052107</v>
      </c>
      <c r="I4222">
        <v>165502.13</v>
      </c>
      <c r="J4222">
        <v>143449.47</v>
      </c>
      <c r="K4222" s="1"/>
      <c r="L4222" s="1"/>
      <c r="M4222" s="1"/>
      <c r="N4222" s="1"/>
    </row>
    <row r="4223" ht="15.75" customHeight="1">
      <c r="A4223" t="s">
        <v>13</v>
      </c>
      <c r="B4223" t="s">
        <v>18</v>
      </c>
      <c r="C4223" t="s">
        <v>4914</v>
      </c>
      <c r="D4223" t="s">
        <v>4316</v>
      </c>
      <c r="E4223">
        <v>96553.5593609444</v>
      </c>
      <c r="F4223">
        <v>34563.0384715088</v>
      </c>
      <c r="G4223">
        <v>34408.7115784693</v>
      </c>
      <c r="H4223">
        <v>22056.059855898</v>
      </c>
      <c r="I4223">
        <v>165525.31</v>
      </c>
      <c r="J4223">
        <v>143469.25</v>
      </c>
      <c r="K4223" s="1"/>
      <c r="L4223" s="1"/>
      <c r="M4223" s="1"/>
      <c r="N4223" s="1"/>
    </row>
    <row r="4224" ht="15.75" customHeight="1">
      <c r="A4224" t="s">
        <v>36</v>
      </c>
      <c r="B4224" t="s">
        <v>54</v>
      </c>
      <c r="C4224" t="s">
        <v>4911</v>
      </c>
      <c r="D4224" t="s">
        <v>4317</v>
      </c>
      <c r="E4224">
        <v>70778.92354084158</v>
      </c>
      <c r="F4224">
        <v>34567.6531898362</v>
      </c>
      <c r="G4224">
        <v>34416.3915818988</v>
      </c>
      <c r="H4224">
        <v>22059.4574065853</v>
      </c>
      <c r="I4224">
        <v>139762.97</v>
      </c>
      <c r="J4224">
        <v>117703.51</v>
      </c>
      <c r="K4224" s="1"/>
      <c r="L4224" s="1"/>
      <c r="M4224" s="1"/>
      <c r="N4224" s="1"/>
    </row>
    <row r="4225" ht="15.75" customHeight="1">
      <c r="A4225" t="s">
        <v>29</v>
      </c>
      <c r="B4225" t="s">
        <v>18</v>
      </c>
      <c r="C4225" t="s">
        <v>4905</v>
      </c>
      <c r="D4225" t="s">
        <v>4318</v>
      </c>
      <c r="E4225">
        <v>96575.3253007567</v>
      </c>
      <c r="F4225">
        <v>34572.2679081636</v>
      </c>
      <c r="G4225">
        <v>34424.0715853283</v>
      </c>
      <c r="H4225">
        <v>22062.8549572726</v>
      </c>
      <c r="I4225">
        <v>165571.66</v>
      </c>
      <c r="J4225">
        <v>143508.81</v>
      </c>
      <c r="K4225" s="1"/>
      <c r="L4225" s="1"/>
      <c r="M4225" s="1"/>
      <c r="N4225" s="1"/>
    </row>
    <row r="4226" ht="15.75" customHeight="1">
      <c r="A4226" t="s">
        <v>53</v>
      </c>
      <c r="B4226" t="s">
        <v>37</v>
      </c>
      <c r="C4226" t="s">
        <v>4915</v>
      </c>
      <c r="D4226" t="s">
        <v>4319</v>
      </c>
      <c r="E4226">
        <v>96586.2082706629</v>
      </c>
      <c r="F4226">
        <v>34576.882626491</v>
      </c>
      <c r="G4226">
        <v>34431.7515887578</v>
      </c>
      <c r="H4226">
        <v>22066.2525079599</v>
      </c>
      <c r="I4226">
        <v>165594.84</v>
      </c>
      <c r="J4226">
        <v>143528.59</v>
      </c>
      <c r="K4226" s="1"/>
      <c r="L4226" s="1"/>
      <c r="M4226" s="1"/>
      <c r="N4226" s="1"/>
    </row>
    <row r="4227" ht="15.75" customHeight="1">
      <c r="A4227" t="s">
        <v>29</v>
      </c>
      <c r="B4227" t="s">
        <v>26</v>
      </c>
      <c r="C4227" t="s">
        <v>4917</v>
      </c>
      <c r="D4227" t="s">
        <v>4320</v>
      </c>
      <c r="E4227">
        <v>96597.0912405691</v>
      </c>
      <c r="F4227">
        <v>34581.4973448185</v>
      </c>
      <c r="G4227">
        <v>34439.4315921873</v>
      </c>
      <c r="H4227">
        <v>22069.6500586471</v>
      </c>
      <c r="I4227">
        <v>165618.02</v>
      </c>
      <c r="J4227">
        <v>143548.37</v>
      </c>
      <c r="K4227" s="1"/>
      <c r="L4227" s="1"/>
      <c r="M4227" s="1"/>
      <c r="N4227" s="1"/>
    </row>
    <row r="4228" ht="15.75" customHeight="1">
      <c r="A4228" t="s">
        <v>25</v>
      </c>
      <c r="B4228" t="s">
        <v>26</v>
      </c>
      <c r="C4228" t="s">
        <v>4913</v>
      </c>
      <c r="D4228" t="s">
        <v>4321</v>
      </c>
      <c r="E4228">
        <v>96607.9742104753</v>
      </c>
      <c r="F4228">
        <v>34586.1120631459</v>
      </c>
      <c r="G4228">
        <v>34447.1115956168</v>
      </c>
      <c r="H4228">
        <v>22073.0476093344</v>
      </c>
      <c r="I4228">
        <v>165641.2</v>
      </c>
      <c r="J4228">
        <v>143568.15</v>
      </c>
      <c r="K4228" s="1"/>
      <c r="L4228" s="1"/>
      <c r="M4228" s="1"/>
      <c r="N4228" s="1"/>
    </row>
    <row r="4229" ht="15.75" customHeight="1">
      <c r="A4229" t="s">
        <v>51</v>
      </c>
      <c r="B4229" t="s">
        <v>14</v>
      </c>
      <c r="C4229" t="s">
        <v>4905</v>
      </c>
      <c r="D4229" t="s">
        <v>4322</v>
      </c>
      <c r="E4229">
        <v>96618.8571803815</v>
      </c>
      <c r="F4229">
        <v>34590.7267814733</v>
      </c>
      <c r="G4229">
        <v>34454.7915990463</v>
      </c>
      <c r="H4229">
        <v>22076.4451600217</v>
      </c>
      <c r="I4229">
        <v>165664.38</v>
      </c>
      <c r="J4229">
        <v>143587.93</v>
      </c>
      <c r="K4229" s="1"/>
      <c r="L4229" s="1"/>
      <c r="M4229" s="1"/>
      <c r="N4229" s="1"/>
    </row>
    <row r="4230" ht="15.75" customHeight="1">
      <c r="A4230" t="s">
        <v>53</v>
      </c>
      <c r="B4230" t="s">
        <v>30</v>
      </c>
      <c r="C4230" t="s">
        <v>4916</v>
      </c>
      <c r="D4230" t="s">
        <v>4323</v>
      </c>
      <c r="E4230">
        <v>96629.7401502877</v>
      </c>
      <c r="F4230">
        <v>34595.3414998007</v>
      </c>
      <c r="G4230">
        <v>34462.4716024757</v>
      </c>
      <c r="H4230">
        <v>22079.842710709</v>
      </c>
      <c r="I4230">
        <v>165687.55</v>
      </c>
      <c r="J4230">
        <v>143607.71</v>
      </c>
      <c r="K4230" s="1"/>
      <c r="L4230" s="1"/>
      <c r="M4230" s="1"/>
      <c r="N4230" s="1"/>
    </row>
    <row r="4231" ht="15.75" customHeight="1">
      <c r="A4231" t="s">
        <v>17</v>
      </c>
      <c r="B4231" t="s">
        <v>54</v>
      </c>
      <c r="C4231" t="s">
        <v>4908</v>
      </c>
      <c r="D4231" t="s">
        <v>4324</v>
      </c>
      <c r="E4231">
        <v>96640.6231201939</v>
      </c>
      <c r="F4231">
        <v>34599.9562181282</v>
      </c>
      <c r="G4231">
        <v>34470.1516059052</v>
      </c>
      <c r="H4231">
        <v>22083.2402613963</v>
      </c>
      <c r="I4231">
        <v>165710.73</v>
      </c>
      <c r="J4231">
        <v>143627.49</v>
      </c>
      <c r="K4231" s="1"/>
      <c r="L4231" s="1"/>
      <c r="M4231" s="1"/>
      <c r="N4231" s="1"/>
    </row>
    <row r="4232" ht="15.75" customHeight="1">
      <c r="A4232" t="s">
        <v>17</v>
      </c>
      <c r="B4232" t="s">
        <v>33</v>
      </c>
      <c r="C4232" t="s">
        <v>4916</v>
      </c>
      <c r="D4232" t="s">
        <v>4325</v>
      </c>
      <c r="E4232">
        <v>96651.5060901001</v>
      </c>
      <c r="F4232">
        <v>34604.5709364556</v>
      </c>
      <c r="G4232">
        <v>34477.8316093347</v>
      </c>
      <c r="H4232">
        <v>22086.6378120836</v>
      </c>
      <c r="I4232">
        <v>165733.91</v>
      </c>
      <c r="J4232">
        <v>143647.27</v>
      </c>
      <c r="K4232" s="1"/>
      <c r="L4232" s="1"/>
      <c r="M4232" s="1"/>
      <c r="N4232" s="1"/>
    </row>
    <row r="4233" ht="15.75" customHeight="1">
      <c r="A4233" t="s">
        <v>36</v>
      </c>
      <c r="B4233" t="s">
        <v>26</v>
      </c>
      <c r="C4233" t="s">
        <v>4912</v>
      </c>
      <c r="D4233" t="s">
        <v>4326</v>
      </c>
      <c r="E4233">
        <v>96662.3890600063</v>
      </c>
      <c r="F4233">
        <v>34609.185654783</v>
      </c>
      <c r="G4233">
        <v>34485.5116127642</v>
      </c>
      <c r="H4233">
        <v>22090.0353627709</v>
      </c>
      <c r="I4233">
        <v>165757.09</v>
      </c>
      <c r="J4233">
        <v>143667.05</v>
      </c>
      <c r="K4233" s="1"/>
      <c r="L4233" s="1"/>
      <c r="M4233" s="1"/>
      <c r="N4233" s="1"/>
    </row>
    <row r="4234" ht="15.75" customHeight="1">
      <c r="A4234" t="s">
        <v>17</v>
      </c>
      <c r="B4234" t="s">
        <v>54</v>
      </c>
      <c r="C4234" t="s">
        <v>4913</v>
      </c>
      <c r="D4234" t="s">
        <v>4327</v>
      </c>
      <c r="E4234">
        <v>96673.2720299125</v>
      </c>
      <c r="F4234">
        <v>34613.8003731104</v>
      </c>
      <c r="G4234">
        <v>34493.1916161937</v>
      </c>
      <c r="H4234">
        <v>22093.4329134582</v>
      </c>
      <c r="I4234">
        <v>165780.26</v>
      </c>
      <c r="J4234">
        <v>143686.83</v>
      </c>
      <c r="K4234" s="1"/>
      <c r="L4234" s="1"/>
      <c r="M4234" s="1"/>
      <c r="N4234" s="1"/>
    </row>
    <row r="4235" ht="15.75" customHeight="1">
      <c r="A4235" t="s">
        <v>25</v>
      </c>
      <c r="B4235" t="s">
        <v>30</v>
      </c>
      <c r="C4235" t="s">
        <v>4905</v>
      </c>
      <c r="D4235" t="s">
        <v>4328</v>
      </c>
      <c r="E4235">
        <v>96684.1549998187</v>
      </c>
      <c r="F4235">
        <v>34618.4150914378</v>
      </c>
      <c r="G4235">
        <v>34500.8716196232</v>
      </c>
      <c r="H4235">
        <v>22096.8304641454</v>
      </c>
      <c r="I4235">
        <v>165803.44</v>
      </c>
      <c r="J4235">
        <v>143706.61</v>
      </c>
      <c r="K4235" s="1"/>
      <c r="L4235" s="1"/>
      <c r="M4235" s="1"/>
      <c r="N4235" s="1"/>
    </row>
    <row r="4236" ht="15.75" customHeight="1">
      <c r="A4236" t="s">
        <v>53</v>
      </c>
      <c r="B4236" t="s">
        <v>18</v>
      </c>
      <c r="C4236" t="s">
        <v>4915</v>
      </c>
      <c r="D4236" t="s">
        <v>4329</v>
      </c>
      <c r="E4236">
        <v>96695.0379697249</v>
      </c>
      <c r="F4236">
        <v>34623.0298097653</v>
      </c>
      <c r="G4236">
        <v>34508.5516230527</v>
      </c>
      <c r="H4236">
        <v>22100.2280148327</v>
      </c>
      <c r="I4236">
        <v>165826.62</v>
      </c>
      <c r="J4236">
        <v>143726.39</v>
      </c>
      <c r="K4236" s="1"/>
      <c r="L4236" s="1"/>
      <c r="M4236" s="1"/>
      <c r="N4236" s="1"/>
    </row>
    <row r="4237" ht="15.75" customHeight="1">
      <c r="A4237" t="s">
        <v>51</v>
      </c>
      <c r="B4237" t="s">
        <v>37</v>
      </c>
      <c r="C4237" t="s">
        <v>4908</v>
      </c>
      <c r="D4237" t="s">
        <v>4330</v>
      </c>
      <c r="E4237">
        <v>96705.9209396311</v>
      </c>
      <c r="F4237">
        <v>34627.6445280927</v>
      </c>
      <c r="G4237">
        <v>34516.2316264822</v>
      </c>
      <c r="H4237">
        <v>22103.62556552</v>
      </c>
      <c r="I4237">
        <v>165849.8</v>
      </c>
      <c r="J4237">
        <v>143746.17</v>
      </c>
      <c r="K4237" s="1"/>
      <c r="L4237" s="1"/>
      <c r="M4237" s="1"/>
      <c r="N4237" s="1"/>
    </row>
    <row r="4238" ht="15.75" customHeight="1">
      <c r="A4238" t="s">
        <v>29</v>
      </c>
      <c r="B4238" t="s">
        <v>37</v>
      </c>
      <c r="C4238" t="s">
        <v>4909</v>
      </c>
      <c r="D4238" t="s">
        <v>4331</v>
      </c>
      <c r="E4238">
        <v>96716.8039095373</v>
      </c>
      <c r="F4238">
        <v>34632.2592464201</v>
      </c>
      <c r="G4238">
        <v>34523.9116299117</v>
      </c>
      <c r="H4238">
        <v>22107.0231162073</v>
      </c>
      <c r="I4238">
        <v>165872.97</v>
      </c>
      <c r="J4238">
        <v>143765.95</v>
      </c>
      <c r="K4238" s="1"/>
      <c r="L4238" s="1"/>
      <c r="M4238" s="1"/>
      <c r="N4238" s="1"/>
    </row>
    <row r="4239" ht="15.75" customHeight="1">
      <c r="A4239" t="s">
        <v>13</v>
      </c>
      <c r="B4239" t="s">
        <v>54</v>
      </c>
      <c r="C4239" t="s">
        <v>4915</v>
      </c>
      <c r="D4239" t="s">
        <v>4332</v>
      </c>
      <c r="E4239">
        <v>96727.6868794435</v>
      </c>
      <c r="F4239">
        <v>34636.8739647475</v>
      </c>
      <c r="G4239">
        <v>34531.5916333412</v>
      </c>
      <c r="H4239">
        <v>22110.4206668946</v>
      </c>
      <c r="I4239">
        <v>165896.15</v>
      </c>
      <c r="J4239">
        <v>143785.73</v>
      </c>
      <c r="K4239" s="1"/>
      <c r="L4239" s="1"/>
      <c r="M4239" s="1"/>
      <c r="N4239" s="1"/>
    </row>
    <row r="4240" ht="15.75" customHeight="1">
      <c r="A4240" t="s">
        <v>53</v>
      </c>
      <c r="B4240" t="s">
        <v>33</v>
      </c>
      <c r="C4240" t="s">
        <v>4913</v>
      </c>
      <c r="D4240" t="s">
        <v>4333</v>
      </c>
      <c r="E4240">
        <v>96738.5698493496</v>
      </c>
      <c r="F4240">
        <v>34641.488683075</v>
      </c>
      <c r="G4240">
        <v>34539.2716367707</v>
      </c>
      <c r="H4240">
        <v>22113.8182175819</v>
      </c>
      <c r="I4240">
        <v>165919.33</v>
      </c>
      <c r="J4240">
        <v>143805.51</v>
      </c>
      <c r="K4240" s="1"/>
      <c r="L4240" s="1"/>
      <c r="M4240" s="1"/>
      <c r="N4240" s="1"/>
    </row>
    <row r="4241" ht="15.75" customHeight="1">
      <c r="A4241" t="s">
        <v>36</v>
      </c>
      <c r="B4241" t="s">
        <v>14</v>
      </c>
      <c r="C4241" t="s">
        <v>4914</v>
      </c>
      <c r="D4241" t="s">
        <v>4334</v>
      </c>
      <c r="E4241">
        <v>96749.4528192558</v>
      </c>
      <c r="F4241">
        <v>34646.1034014024</v>
      </c>
      <c r="G4241">
        <v>34546.9516402002</v>
      </c>
      <c r="H4241">
        <v>22117.2157682692</v>
      </c>
      <c r="I4241">
        <v>165942.51</v>
      </c>
      <c r="J4241">
        <v>143825.29</v>
      </c>
      <c r="K4241" s="1"/>
      <c r="L4241" s="1"/>
      <c r="M4241" s="1"/>
      <c r="N4241" s="1"/>
    </row>
    <row r="4242" ht="15.75" customHeight="1">
      <c r="A4242" t="s">
        <v>53</v>
      </c>
      <c r="B4242" t="s">
        <v>33</v>
      </c>
      <c r="C4242" t="s">
        <v>4910</v>
      </c>
      <c r="D4242" t="s">
        <v>4335</v>
      </c>
      <c r="E4242">
        <v>96760.335789162</v>
      </c>
      <c r="F4242">
        <v>34650.7181197298</v>
      </c>
      <c r="G4242">
        <v>34554.6316436297</v>
      </c>
      <c r="H4242">
        <v>22120.6133189565</v>
      </c>
      <c r="I4242">
        <v>165965.69</v>
      </c>
      <c r="J4242">
        <v>143845.08</v>
      </c>
      <c r="K4242" s="1"/>
      <c r="L4242" s="1"/>
      <c r="M4242" s="1"/>
      <c r="N4242" s="1"/>
    </row>
    <row r="4243" ht="15.75" customHeight="1">
      <c r="A4243" t="s">
        <v>29</v>
      </c>
      <c r="B4243" t="s">
        <v>54</v>
      </c>
      <c r="C4243" t="s">
        <v>4908</v>
      </c>
      <c r="D4243" t="s">
        <v>4336</v>
      </c>
      <c r="E4243">
        <v>96771.2187590682</v>
      </c>
      <c r="F4243">
        <v>34655.3328380572</v>
      </c>
      <c r="G4243">
        <v>34562.3116470592</v>
      </c>
      <c r="H4243">
        <v>22124.0108696437</v>
      </c>
      <c r="I4243">
        <v>165988.86</v>
      </c>
      <c r="J4243">
        <v>143864.85</v>
      </c>
      <c r="K4243" s="1"/>
      <c r="L4243" s="1"/>
      <c r="M4243" s="1"/>
      <c r="N4243" s="1"/>
    </row>
    <row r="4244" ht="15.75" customHeight="1">
      <c r="A4244" t="s">
        <v>53</v>
      </c>
      <c r="B4244" t="s">
        <v>30</v>
      </c>
      <c r="C4244" t="s">
        <v>4905</v>
      </c>
      <c r="D4244" t="s">
        <v>4337</v>
      </c>
      <c r="E4244">
        <v>96782.1017289744</v>
      </c>
      <c r="F4244">
        <v>34659.9475563846</v>
      </c>
      <c r="G4244">
        <v>34569.9916504887</v>
      </c>
      <c r="H4244">
        <v>22127.408420331</v>
      </c>
      <c r="I4244">
        <v>166012.04</v>
      </c>
      <c r="J4244">
        <v>143884.63</v>
      </c>
      <c r="K4244" s="1"/>
      <c r="L4244" s="1"/>
      <c r="M4244" s="1"/>
      <c r="N4244" s="1"/>
    </row>
    <row r="4245" ht="15.75" customHeight="1">
      <c r="A4245" t="s">
        <v>13</v>
      </c>
      <c r="B4245" t="s">
        <v>33</v>
      </c>
      <c r="C4245" t="s">
        <v>4912</v>
      </c>
      <c r="D4245" t="s">
        <v>4338</v>
      </c>
      <c r="E4245">
        <v>96792.9846988806</v>
      </c>
      <c r="F4245">
        <v>34664.5622747121</v>
      </c>
      <c r="G4245">
        <v>34577.6716539182</v>
      </c>
      <c r="H4245">
        <v>22130.8059710183</v>
      </c>
      <c r="I4245">
        <v>166035.22</v>
      </c>
      <c r="J4245">
        <v>143904.41</v>
      </c>
      <c r="K4245" s="1"/>
      <c r="L4245" s="1"/>
      <c r="M4245" s="1"/>
      <c r="N4245" s="1"/>
    </row>
    <row r="4246" ht="15.75" customHeight="1">
      <c r="A4246" t="s">
        <v>25</v>
      </c>
      <c r="B4246" t="s">
        <v>14</v>
      </c>
      <c r="C4246" t="s">
        <v>4914</v>
      </c>
      <c r="D4246" t="s">
        <v>4339</v>
      </c>
      <c r="E4246">
        <v>96814.750638693</v>
      </c>
      <c r="F4246">
        <v>34673.7917113669</v>
      </c>
      <c r="G4246">
        <v>34593.0316607772</v>
      </c>
      <c r="H4246">
        <v>22137.6010723929</v>
      </c>
      <c r="I4246">
        <v>166081.57</v>
      </c>
      <c r="J4246">
        <v>143943.97</v>
      </c>
      <c r="K4246" s="1"/>
      <c r="L4246" s="1"/>
      <c r="M4246" s="1"/>
      <c r="N4246" s="1"/>
    </row>
    <row r="4247" ht="15.75" customHeight="1">
      <c r="A4247" t="s">
        <v>25</v>
      </c>
      <c r="B4247" t="s">
        <v>14</v>
      </c>
      <c r="C4247" t="s">
        <v>4908</v>
      </c>
      <c r="D4247" t="s">
        <v>4340</v>
      </c>
      <c r="E4247">
        <v>96825.6336085992</v>
      </c>
      <c r="F4247">
        <v>34678.4064296943</v>
      </c>
      <c r="G4247">
        <v>34600.7116642067</v>
      </c>
      <c r="H4247">
        <v>22140.9986230802</v>
      </c>
      <c r="I4247">
        <v>166104.75</v>
      </c>
      <c r="J4247">
        <v>143963.75</v>
      </c>
      <c r="K4247" s="1"/>
      <c r="L4247" s="1"/>
      <c r="M4247" s="1"/>
      <c r="N4247" s="1"/>
    </row>
    <row r="4248" ht="15.75" customHeight="1">
      <c r="A4248" t="s">
        <v>17</v>
      </c>
      <c r="B4248" t="s">
        <v>14</v>
      </c>
      <c r="C4248" t="s">
        <v>4909</v>
      </c>
      <c r="D4248" t="s">
        <v>4341</v>
      </c>
      <c r="E4248">
        <v>96836.5165785054</v>
      </c>
      <c r="F4248">
        <v>34683.0211480218</v>
      </c>
      <c r="G4248">
        <v>34608.3916676362</v>
      </c>
      <c r="H4248">
        <v>22144.3961737675</v>
      </c>
      <c r="I4248">
        <v>166127.93</v>
      </c>
      <c r="J4248">
        <v>143983.53</v>
      </c>
      <c r="K4248" s="1"/>
      <c r="L4248" s="1"/>
      <c r="M4248" s="1"/>
      <c r="N4248" s="1"/>
    </row>
    <row r="4249" ht="15.75" customHeight="1">
      <c r="A4249" t="s">
        <v>29</v>
      </c>
      <c r="B4249" t="s">
        <v>26</v>
      </c>
      <c r="C4249" t="s">
        <v>4915</v>
      </c>
      <c r="D4249" t="s">
        <v>4342</v>
      </c>
      <c r="E4249">
        <v>96847.3995484116</v>
      </c>
      <c r="F4249">
        <v>34687.6358663492</v>
      </c>
      <c r="G4249">
        <v>34616.0716710657</v>
      </c>
      <c r="H4249">
        <v>22147.7937244547</v>
      </c>
      <c r="I4249">
        <v>166151.11</v>
      </c>
      <c r="J4249">
        <v>144003.32</v>
      </c>
      <c r="K4249" s="1"/>
      <c r="L4249" s="1"/>
      <c r="M4249" s="1"/>
      <c r="N4249" s="1"/>
    </row>
    <row r="4250" ht="15.75" customHeight="1">
      <c r="A4250" t="s">
        <v>13</v>
      </c>
      <c r="B4250" t="s">
        <v>18</v>
      </c>
      <c r="C4250" t="s">
        <v>4916</v>
      </c>
      <c r="D4250" t="s">
        <v>4343</v>
      </c>
      <c r="E4250">
        <v>96858.2825183178</v>
      </c>
      <c r="F4250">
        <v>34692.2505846766</v>
      </c>
      <c r="G4250">
        <v>34623.7516744952</v>
      </c>
      <c r="H4250">
        <v>22151.191275142</v>
      </c>
      <c r="I4250">
        <v>166174.28</v>
      </c>
      <c r="J4250">
        <v>144023.09</v>
      </c>
      <c r="K4250" s="1"/>
      <c r="L4250" s="1"/>
      <c r="M4250" s="1"/>
      <c r="N4250" s="1"/>
    </row>
    <row r="4251" ht="15.75" customHeight="1">
      <c r="A4251" t="s">
        <v>51</v>
      </c>
      <c r="B4251" t="s">
        <v>14</v>
      </c>
      <c r="C4251" t="s">
        <v>4910</v>
      </c>
      <c r="D4251" t="s">
        <v>4344</v>
      </c>
      <c r="E4251">
        <v>96869.165488224</v>
      </c>
      <c r="F4251">
        <v>34696.865303004</v>
      </c>
      <c r="G4251">
        <v>34631.4316779247</v>
      </c>
      <c r="H4251">
        <v>22154.5888258293</v>
      </c>
      <c r="I4251">
        <v>166197.46</v>
      </c>
      <c r="J4251">
        <v>144042.87</v>
      </c>
      <c r="K4251" s="1"/>
      <c r="L4251" s="1"/>
      <c r="M4251" s="1"/>
      <c r="N4251" s="1"/>
    </row>
    <row r="4252" ht="15.75" customHeight="1">
      <c r="A4252" t="s">
        <v>17</v>
      </c>
      <c r="B4252" t="s">
        <v>26</v>
      </c>
      <c r="C4252" t="s">
        <v>4913</v>
      </c>
      <c r="D4252" t="s">
        <v>4345</v>
      </c>
      <c r="E4252">
        <v>96880.0484581302</v>
      </c>
      <c r="F4252">
        <v>34701.4800213314</v>
      </c>
      <c r="G4252">
        <v>34639.1116813542</v>
      </c>
      <c r="H4252">
        <v>22157.9863765166</v>
      </c>
      <c r="I4252">
        <v>166220.64</v>
      </c>
      <c r="J4252">
        <v>144062.65</v>
      </c>
      <c r="K4252" s="1"/>
      <c r="L4252" s="1"/>
      <c r="M4252" s="1"/>
      <c r="N4252" s="1"/>
    </row>
    <row r="4253" ht="15.75" customHeight="1">
      <c r="A4253" t="s">
        <v>17</v>
      </c>
      <c r="B4253" t="s">
        <v>26</v>
      </c>
      <c r="C4253" t="s">
        <v>4911</v>
      </c>
      <c r="D4253" t="s">
        <v>4346</v>
      </c>
      <c r="E4253">
        <v>96890.9314280364</v>
      </c>
      <c r="F4253">
        <v>34706.0947396589</v>
      </c>
      <c r="G4253">
        <v>34646.7916847837</v>
      </c>
      <c r="H4253">
        <v>22161.3839272039</v>
      </c>
      <c r="I4253">
        <v>166243.82</v>
      </c>
      <c r="J4253">
        <v>144082.44</v>
      </c>
      <c r="K4253" s="1"/>
      <c r="L4253" s="1"/>
      <c r="M4253" s="1"/>
      <c r="N4253" s="1"/>
    </row>
    <row r="4254" ht="15.75" customHeight="1">
      <c r="A4254" t="s">
        <v>25</v>
      </c>
      <c r="B4254" t="s">
        <v>26</v>
      </c>
      <c r="C4254" t="s">
        <v>4907</v>
      </c>
      <c r="D4254" t="s">
        <v>4347</v>
      </c>
      <c r="E4254">
        <v>96901.8143979425</v>
      </c>
      <c r="F4254">
        <v>34710.7094579863</v>
      </c>
      <c r="G4254">
        <v>34654.4716882132</v>
      </c>
      <c r="H4254">
        <v>22164.7814778912</v>
      </c>
      <c r="I4254">
        <v>166267.0</v>
      </c>
      <c r="J4254">
        <v>144102.22</v>
      </c>
      <c r="K4254" s="1"/>
      <c r="L4254" s="1"/>
      <c r="M4254" s="1"/>
      <c r="N4254" s="1"/>
    </row>
    <row r="4255" ht="15.75" customHeight="1">
      <c r="A4255" t="s">
        <v>36</v>
      </c>
      <c r="B4255" t="s">
        <v>30</v>
      </c>
      <c r="C4255" t="s">
        <v>4910</v>
      </c>
      <c r="D4255" t="s">
        <v>4348</v>
      </c>
      <c r="E4255">
        <v>96912.6973678487</v>
      </c>
      <c r="F4255">
        <v>34715.3241763137</v>
      </c>
      <c r="G4255">
        <v>34662.1516916427</v>
      </c>
      <c r="H4255">
        <v>22168.1790285785</v>
      </c>
      <c r="I4255">
        <v>166290.17</v>
      </c>
      <c r="J4255">
        <v>144121.99</v>
      </c>
      <c r="K4255" s="1"/>
      <c r="L4255" s="1"/>
      <c r="M4255" s="1"/>
      <c r="N4255" s="1"/>
    </row>
    <row r="4256" ht="15.75" customHeight="1">
      <c r="A4256" t="s">
        <v>36</v>
      </c>
      <c r="B4256" t="s">
        <v>54</v>
      </c>
      <c r="C4256" t="s">
        <v>4912</v>
      </c>
      <c r="D4256" t="s">
        <v>4349</v>
      </c>
      <c r="E4256">
        <v>96923.5803377549</v>
      </c>
      <c r="F4256">
        <v>34719.9388946411</v>
      </c>
      <c r="G4256">
        <v>34669.8316950722</v>
      </c>
      <c r="H4256">
        <v>22171.5765792658</v>
      </c>
      <c r="I4256">
        <v>166313.35</v>
      </c>
      <c r="J4256">
        <v>144141.77</v>
      </c>
      <c r="K4256" s="1"/>
      <c r="L4256" s="1"/>
      <c r="M4256" s="1"/>
      <c r="N4256" s="1"/>
    </row>
    <row r="4257" ht="15.75" customHeight="1">
      <c r="A4257" t="s">
        <v>36</v>
      </c>
      <c r="B4257" t="s">
        <v>33</v>
      </c>
      <c r="C4257" t="s">
        <v>4912</v>
      </c>
      <c r="D4257" t="s">
        <v>4350</v>
      </c>
      <c r="E4257">
        <v>96934.4633076611</v>
      </c>
      <c r="F4257">
        <v>34724.5536129686</v>
      </c>
      <c r="G4257">
        <v>34677.5116985017</v>
      </c>
      <c r="H4257">
        <v>22174.974129953</v>
      </c>
      <c r="I4257">
        <v>166336.53</v>
      </c>
      <c r="J4257">
        <v>144161.56</v>
      </c>
      <c r="K4257" s="1"/>
      <c r="L4257" s="1"/>
      <c r="M4257" s="1"/>
      <c r="N4257" s="1"/>
    </row>
    <row r="4258" ht="15.75" customHeight="1">
      <c r="A4258" t="s">
        <v>51</v>
      </c>
      <c r="B4258" t="s">
        <v>33</v>
      </c>
      <c r="C4258" t="s">
        <v>4915</v>
      </c>
      <c r="D4258" t="s">
        <v>4351</v>
      </c>
      <c r="E4258">
        <v>96956.2292474735</v>
      </c>
      <c r="F4258">
        <v>34733.7830496234</v>
      </c>
      <c r="G4258">
        <v>34692.8717053607</v>
      </c>
      <c r="H4258">
        <v>22181.7692313276</v>
      </c>
      <c r="I4258">
        <v>166382.88</v>
      </c>
      <c r="J4258">
        <v>144201.11</v>
      </c>
      <c r="K4258" s="1"/>
      <c r="L4258" s="1"/>
      <c r="M4258" s="1"/>
      <c r="N4258" s="1"/>
    </row>
    <row r="4259" ht="15.75" customHeight="1">
      <c r="A4259" t="s">
        <v>29</v>
      </c>
      <c r="B4259" t="s">
        <v>26</v>
      </c>
      <c r="C4259" t="s">
        <v>4911</v>
      </c>
      <c r="D4259" t="s">
        <v>4352</v>
      </c>
      <c r="E4259">
        <v>96967.1122173797</v>
      </c>
      <c r="F4259">
        <v>34738.3977679508</v>
      </c>
      <c r="G4259">
        <v>34700.5517087902</v>
      </c>
      <c r="H4259">
        <v>22185.1667820149</v>
      </c>
      <c r="I4259">
        <v>166406.06</v>
      </c>
      <c r="J4259">
        <v>144220.89</v>
      </c>
      <c r="K4259" s="1"/>
      <c r="L4259" s="1"/>
      <c r="M4259" s="1"/>
      <c r="N4259" s="1"/>
    </row>
    <row r="4260" ht="15.75" customHeight="1">
      <c r="A4260" t="s">
        <v>29</v>
      </c>
      <c r="B4260" t="s">
        <v>33</v>
      </c>
      <c r="C4260" t="s">
        <v>4917</v>
      </c>
      <c r="D4260" t="s">
        <v>4353</v>
      </c>
      <c r="E4260">
        <v>96977.9951872859</v>
      </c>
      <c r="F4260">
        <v>34743.0124862782</v>
      </c>
      <c r="G4260">
        <v>34708.2317122197</v>
      </c>
      <c r="H4260">
        <v>22188.5643327022</v>
      </c>
      <c r="I4260">
        <v>166429.24</v>
      </c>
      <c r="J4260">
        <v>144240.68</v>
      </c>
      <c r="K4260" s="1"/>
      <c r="L4260" s="1"/>
      <c r="M4260" s="1"/>
      <c r="N4260" s="1"/>
    </row>
    <row r="4261" ht="15.75" customHeight="1">
      <c r="A4261" t="s">
        <v>13</v>
      </c>
      <c r="B4261" t="s">
        <v>37</v>
      </c>
      <c r="C4261" t="s">
        <v>4915</v>
      </c>
      <c r="D4261" t="s">
        <v>4354</v>
      </c>
      <c r="E4261">
        <v>96988.8781571921</v>
      </c>
      <c r="F4261">
        <v>34747.6272046057</v>
      </c>
      <c r="G4261">
        <v>34715.9117156492</v>
      </c>
      <c r="H4261">
        <v>22191.9618833895</v>
      </c>
      <c r="I4261">
        <v>166452.42</v>
      </c>
      <c r="J4261">
        <v>144260.46</v>
      </c>
      <c r="K4261" s="1"/>
      <c r="L4261" s="1"/>
      <c r="M4261" s="1"/>
      <c r="N4261" s="1"/>
    </row>
    <row r="4262" ht="15.75" customHeight="1">
      <c r="A4262" t="s">
        <v>36</v>
      </c>
      <c r="B4262" t="s">
        <v>18</v>
      </c>
      <c r="C4262" t="s">
        <v>4908</v>
      </c>
      <c r="D4262" t="s">
        <v>4355</v>
      </c>
      <c r="E4262">
        <v>96999.7611270983</v>
      </c>
      <c r="F4262">
        <v>34752.2419229331</v>
      </c>
      <c r="G4262">
        <v>34723.5917190787</v>
      </c>
      <c r="H4262">
        <v>22195.3594340768</v>
      </c>
      <c r="I4262">
        <v>166475.59</v>
      </c>
      <c r="J4262">
        <v>144280.23</v>
      </c>
      <c r="K4262" s="1"/>
      <c r="L4262" s="1"/>
      <c r="M4262" s="1"/>
      <c r="N4262" s="1"/>
    </row>
    <row r="4263" ht="15.75" customHeight="1">
      <c r="A4263" t="s">
        <v>36</v>
      </c>
      <c r="B4263" t="s">
        <v>26</v>
      </c>
      <c r="C4263" t="s">
        <v>4912</v>
      </c>
      <c r="D4263" t="s">
        <v>4356</v>
      </c>
      <c r="E4263">
        <v>97010.6440970045</v>
      </c>
      <c r="F4263">
        <v>34756.8566412605</v>
      </c>
      <c r="G4263">
        <v>34731.2717225082</v>
      </c>
      <c r="H4263">
        <v>14194.35617001081</v>
      </c>
      <c r="I4263">
        <v>166498.77</v>
      </c>
      <c r="J4263">
        <v>152304.41</v>
      </c>
      <c r="K4263" s="1"/>
      <c r="L4263" s="1"/>
      <c r="M4263" s="1"/>
      <c r="N4263" s="1"/>
    </row>
    <row r="4264" ht="15.75" customHeight="1">
      <c r="A4264" t="s">
        <v>53</v>
      </c>
      <c r="B4264" t="s">
        <v>26</v>
      </c>
      <c r="C4264" t="s">
        <v>4912</v>
      </c>
      <c r="D4264" t="s">
        <v>4357</v>
      </c>
      <c r="E4264">
        <v>97021.5270669107</v>
      </c>
      <c r="F4264">
        <v>34761.4713595879</v>
      </c>
      <c r="G4264">
        <v>34738.9517259377</v>
      </c>
      <c r="H4264">
        <v>22202.1545354513</v>
      </c>
      <c r="I4264">
        <v>166521.95</v>
      </c>
      <c r="J4264">
        <v>144319.8</v>
      </c>
      <c r="K4264" s="1"/>
      <c r="L4264" s="1"/>
      <c r="M4264" s="1"/>
      <c r="N4264" s="1"/>
    </row>
    <row r="4265" ht="15.75" customHeight="1">
      <c r="A4265" t="s">
        <v>25</v>
      </c>
      <c r="B4265" t="s">
        <v>26</v>
      </c>
      <c r="C4265" t="s">
        <v>4908</v>
      </c>
      <c r="D4265" t="s">
        <v>4358</v>
      </c>
      <c r="E4265">
        <v>97032.4100368169</v>
      </c>
      <c r="F4265">
        <v>34766.0860779154</v>
      </c>
      <c r="G4265">
        <v>34746.6317293671</v>
      </c>
      <c r="H4265">
        <v>22205.5520861386</v>
      </c>
      <c r="I4265">
        <v>166545.13</v>
      </c>
      <c r="J4265">
        <v>144339.58</v>
      </c>
      <c r="K4265" s="1"/>
      <c r="L4265" s="1"/>
      <c r="M4265" s="1"/>
      <c r="N4265" s="1"/>
    </row>
    <row r="4266" ht="15.75" customHeight="1">
      <c r="A4266" t="s">
        <v>25</v>
      </c>
      <c r="B4266" t="s">
        <v>33</v>
      </c>
      <c r="C4266" t="s">
        <v>4910</v>
      </c>
      <c r="D4266" t="s">
        <v>4359</v>
      </c>
      <c r="E4266">
        <v>97043.2930067231</v>
      </c>
      <c r="F4266">
        <v>34770.7007962428</v>
      </c>
      <c r="G4266">
        <v>34754.3117327966</v>
      </c>
      <c r="H4266">
        <v>22208.9496368259</v>
      </c>
      <c r="I4266">
        <v>166568.31</v>
      </c>
      <c r="J4266">
        <v>144359.36</v>
      </c>
      <c r="K4266" s="1"/>
      <c r="L4266" s="1"/>
      <c r="M4266" s="1"/>
      <c r="N4266" s="1"/>
    </row>
    <row r="4267" ht="15.75" customHeight="1">
      <c r="A4267" t="s">
        <v>29</v>
      </c>
      <c r="B4267" t="s">
        <v>33</v>
      </c>
      <c r="C4267" t="s">
        <v>4909</v>
      </c>
      <c r="D4267" t="s">
        <v>4360</v>
      </c>
      <c r="E4267">
        <v>72210.86634532797</v>
      </c>
      <c r="F4267">
        <v>34775.3155145702</v>
      </c>
      <c r="G4267">
        <v>34761.9917362261</v>
      </c>
      <c r="H4267">
        <v>22212.3471875132</v>
      </c>
      <c r="I4267">
        <v>141748.17</v>
      </c>
      <c r="J4267">
        <v>119535.82</v>
      </c>
      <c r="K4267" s="1"/>
      <c r="L4267" s="1"/>
      <c r="M4267" s="1"/>
      <c r="N4267" s="1"/>
    </row>
    <row r="4268" ht="15.75" customHeight="1">
      <c r="A4268" t="s">
        <v>17</v>
      </c>
      <c r="B4268" t="s">
        <v>54</v>
      </c>
      <c r="C4268" t="s">
        <v>4911</v>
      </c>
      <c r="D4268" t="s">
        <v>4361</v>
      </c>
      <c r="E4268">
        <v>97065.0589465354</v>
      </c>
      <c r="F4268">
        <v>34779.9302328976</v>
      </c>
      <c r="G4268">
        <v>34769.6717396556</v>
      </c>
      <c r="H4268">
        <v>22215.7447382005</v>
      </c>
      <c r="I4268">
        <v>166614.66</v>
      </c>
      <c r="J4268">
        <v>144398.92</v>
      </c>
      <c r="K4268" s="1"/>
      <c r="L4268" s="1"/>
      <c r="M4268" s="1"/>
      <c r="N4268" s="1"/>
    </row>
    <row r="4269" ht="15.75" customHeight="1">
      <c r="A4269" t="s">
        <v>53</v>
      </c>
      <c r="B4269" t="s">
        <v>30</v>
      </c>
      <c r="C4269" t="s">
        <v>4913</v>
      </c>
      <c r="D4269" t="s">
        <v>4362</v>
      </c>
      <c r="E4269">
        <v>97075.9419164416</v>
      </c>
      <c r="F4269">
        <v>34784.544951225</v>
      </c>
      <c r="G4269">
        <v>34777.3517430851</v>
      </c>
      <c r="H4269">
        <v>22219.1422888878</v>
      </c>
      <c r="I4269">
        <v>166637.84</v>
      </c>
      <c r="J4269">
        <v>144418.7</v>
      </c>
      <c r="K4269" s="1"/>
      <c r="L4269" s="1"/>
      <c r="M4269" s="1"/>
      <c r="N4269" s="1"/>
    </row>
    <row r="4270" ht="15.75" customHeight="1">
      <c r="A4270" t="s">
        <v>17</v>
      </c>
      <c r="B4270" t="s">
        <v>26</v>
      </c>
      <c r="C4270" t="s">
        <v>4905</v>
      </c>
      <c r="D4270" t="s">
        <v>4363</v>
      </c>
      <c r="E4270">
        <v>54326.71</v>
      </c>
      <c r="F4270">
        <v>24591.85</v>
      </c>
      <c r="G4270">
        <v>34785.0317465146</v>
      </c>
      <c r="H4270">
        <v>14735.51589897765</v>
      </c>
      <c r="I4270">
        <v>113703.59</v>
      </c>
      <c r="J4270">
        <v>98968.07</v>
      </c>
      <c r="K4270" s="1"/>
      <c r="L4270" s="1"/>
      <c r="M4270" s="1"/>
      <c r="N4270" s="1"/>
    </row>
    <row r="4271" ht="15.75" customHeight="1">
      <c r="A4271" t="s">
        <v>51</v>
      </c>
      <c r="B4271" t="s">
        <v>37</v>
      </c>
      <c r="C4271" t="s">
        <v>4907</v>
      </c>
      <c r="D4271" t="s">
        <v>4364</v>
      </c>
      <c r="E4271">
        <v>114825.0</v>
      </c>
      <c r="F4271">
        <v>32995.56</v>
      </c>
      <c r="G4271">
        <v>34792.7117499441</v>
      </c>
      <c r="H4271">
        <v>2460.8</v>
      </c>
      <c r="I4271">
        <v>182613.27</v>
      </c>
      <c r="J4271">
        <v>180152.47</v>
      </c>
      <c r="K4271" s="1"/>
      <c r="L4271" s="1"/>
      <c r="M4271" s="1"/>
      <c r="N4271" s="1"/>
    </row>
    <row r="4272" ht="15.75" customHeight="1">
      <c r="A4272" t="s">
        <v>13</v>
      </c>
      <c r="B4272" t="s">
        <v>26</v>
      </c>
      <c r="C4272" t="s">
        <v>4908</v>
      </c>
      <c r="D4272" t="s">
        <v>4365</v>
      </c>
      <c r="E4272">
        <v>91859.36</v>
      </c>
      <c r="F4272">
        <v>31365.79</v>
      </c>
      <c r="G4272">
        <v>34800.3917533736</v>
      </c>
      <c r="H4272">
        <v>6437.08</v>
      </c>
      <c r="I4272">
        <v>158025.54</v>
      </c>
      <c r="J4272">
        <v>151588.46</v>
      </c>
      <c r="K4272" s="1"/>
      <c r="L4272" s="1"/>
      <c r="M4272" s="1"/>
      <c r="N4272" s="1"/>
    </row>
    <row r="4273" ht="15.75" customHeight="1">
      <c r="A4273" t="s">
        <v>25</v>
      </c>
      <c r="B4273" t="s">
        <v>54</v>
      </c>
      <c r="C4273" t="s">
        <v>4910</v>
      </c>
      <c r="D4273" t="s">
        <v>4366</v>
      </c>
      <c r="E4273">
        <v>77859.14</v>
      </c>
      <c r="F4273">
        <v>9540.4</v>
      </c>
      <c r="G4273">
        <v>34808.0717568031</v>
      </c>
      <c r="H4273">
        <v>19455.14</v>
      </c>
      <c r="I4273">
        <v>122207.61</v>
      </c>
      <c r="J4273">
        <v>102752.47</v>
      </c>
      <c r="K4273" s="1"/>
      <c r="L4273" s="1"/>
      <c r="M4273" s="1"/>
      <c r="N4273" s="1"/>
    </row>
    <row r="4274" ht="15.75" customHeight="1">
      <c r="A4274" t="s">
        <v>51</v>
      </c>
      <c r="B4274" t="s">
        <v>37</v>
      </c>
      <c r="C4274" t="s">
        <v>4912</v>
      </c>
      <c r="D4274" t="s">
        <v>4367</v>
      </c>
      <c r="E4274">
        <v>31381.96</v>
      </c>
      <c r="F4274">
        <v>9372.98</v>
      </c>
      <c r="G4274">
        <v>34815.7517602326</v>
      </c>
      <c r="H4274">
        <v>13452.8</v>
      </c>
      <c r="I4274">
        <v>75570.69</v>
      </c>
      <c r="J4274">
        <v>62117.89</v>
      </c>
      <c r="K4274" s="1"/>
      <c r="L4274" s="1"/>
      <c r="M4274" s="1"/>
      <c r="N4274" s="1"/>
    </row>
    <row r="4275" ht="15.75" customHeight="1">
      <c r="A4275" t="s">
        <v>17</v>
      </c>
      <c r="B4275" t="s">
        <v>18</v>
      </c>
      <c r="C4275" t="s">
        <v>4913</v>
      </c>
      <c r="D4275" t="s">
        <v>4368</v>
      </c>
      <c r="E4275">
        <v>31379.42</v>
      </c>
      <c r="F4275">
        <v>13654.28</v>
      </c>
      <c r="G4275">
        <v>34823.4317636621</v>
      </c>
      <c r="H4275">
        <v>23235.24</v>
      </c>
      <c r="I4275">
        <v>79857.13</v>
      </c>
      <c r="J4275">
        <v>56621.89</v>
      </c>
      <c r="K4275" s="1"/>
      <c r="L4275" s="1"/>
      <c r="M4275" s="1"/>
      <c r="N4275" s="1"/>
    </row>
    <row r="4276" ht="15.75" customHeight="1">
      <c r="A4276" t="s">
        <v>36</v>
      </c>
      <c r="B4276" t="s">
        <v>54</v>
      </c>
      <c r="C4276" t="s">
        <v>4905</v>
      </c>
      <c r="D4276" t="s">
        <v>4369</v>
      </c>
      <c r="E4276">
        <v>21098.78</v>
      </c>
      <c r="F4276">
        <v>16998.69</v>
      </c>
      <c r="G4276">
        <v>34831.1117670916</v>
      </c>
      <c r="H4276">
        <v>11004.41</v>
      </c>
      <c r="I4276">
        <v>72928.58</v>
      </c>
      <c r="J4276">
        <v>61924.17</v>
      </c>
      <c r="K4276" s="1"/>
      <c r="L4276" s="1"/>
      <c r="M4276" s="1"/>
      <c r="N4276" s="1"/>
    </row>
    <row r="4277" ht="15.75" customHeight="1">
      <c r="A4277" t="s">
        <v>51</v>
      </c>
      <c r="B4277" t="s">
        <v>30</v>
      </c>
      <c r="C4277" t="s">
        <v>4910</v>
      </c>
      <c r="D4277" t="s">
        <v>4370</v>
      </c>
      <c r="E4277">
        <v>105948.5</v>
      </c>
      <c r="F4277">
        <v>18704.4</v>
      </c>
      <c r="G4277">
        <v>34838.7917705211</v>
      </c>
      <c r="H4277">
        <v>21810.4</v>
      </c>
      <c r="I4277">
        <v>159491.69</v>
      </c>
      <c r="J4277">
        <v>137681.29</v>
      </c>
      <c r="K4277" s="1"/>
      <c r="L4277" s="1"/>
      <c r="M4277" s="1"/>
      <c r="N4277" s="1"/>
    </row>
    <row r="4278" ht="15.75" customHeight="1">
      <c r="A4278" t="s">
        <v>51</v>
      </c>
      <c r="B4278" t="s">
        <v>18</v>
      </c>
      <c r="C4278" t="s">
        <v>4905</v>
      </c>
      <c r="D4278" t="s">
        <v>4371</v>
      </c>
      <c r="E4278">
        <v>78117.08</v>
      </c>
      <c r="F4278">
        <v>28469.1</v>
      </c>
      <c r="G4278">
        <v>34846.4717739506</v>
      </c>
      <c r="H4278">
        <v>11499.41</v>
      </c>
      <c r="I4278">
        <v>141432.65</v>
      </c>
      <c r="J4278">
        <v>129933.24</v>
      </c>
      <c r="K4278" s="1"/>
      <c r="L4278" s="1"/>
      <c r="M4278" s="1"/>
      <c r="N4278" s="1"/>
    </row>
    <row r="4279" ht="15.75" customHeight="1">
      <c r="A4279" t="s">
        <v>36</v>
      </c>
      <c r="B4279" t="s">
        <v>33</v>
      </c>
      <c r="C4279" t="s">
        <v>4908</v>
      </c>
      <c r="D4279" t="s">
        <v>4372</v>
      </c>
      <c r="E4279">
        <v>89347.62</v>
      </c>
      <c r="F4279">
        <v>6040.5</v>
      </c>
      <c r="G4279">
        <v>34854.1517773801</v>
      </c>
      <c r="H4279">
        <v>24491.58</v>
      </c>
      <c r="I4279">
        <v>130242.27</v>
      </c>
      <c r="J4279">
        <v>105750.69</v>
      </c>
      <c r="K4279" s="1"/>
      <c r="L4279" s="1"/>
      <c r="M4279" s="1"/>
      <c r="N4279" s="1"/>
    </row>
    <row r="4280" ht="15.75" customHeight="1">
      <c r="A4280" t="s">
        <v>13</v>
      </c>
      <c r="B4280" t="s">
        <v>14</v>
      </c>
      <c r="C4280" t="s">
        <v>4911</v>
      </c>
      <c r="D4280" t="s">
        <v>4373</v>
      </c>
      <c r="E4280">
        <v>17161.37</v>
      </c>
      <c r="F4280">
        <v>5248.22</v>
      </c>
      <c r="G4280">
        <v>34861.8317808096</v>
      </c>
      <c r="H4280">
        <v>24015.94</v>
      </c>
      <c r="I4280">
        <v>57271.42</v>
      </c>
      <c r="J4280">
        <v>33255.48</v>
      </c>
      <c r="K4280" s="1"/>
      <c r="L4280" s="1"/>
      <c r="M4280" s="1"/>
      <c r="N4280" s="1"/>
    </row>
    <row r="4281" ht="15.75" customHeight="1">
      <c r="A4281" t="s">
        <v>29</v>
      </c>
      <c r="B4281" t="s">
        <v>26</v>
      </c>
      <c r="C4281" t="s">
        <v>4917</v>
      </c>
      <c r="D4281" t="s">
        <v>4374</v>
      </c>
      <c r="E4281">
        <v>116840.53</v>
      </c>
      <c r="F4281">
        <v>18108.78</v>
      </c>
      <c r="G4281">
        <v>34869.5117842391</v>
      </c>
      <c r="H4281">
        <v>8563.85</v>
      </c>
      <c r="I4281">
        <v>169818.82</v>
      </c>
      <c r="J4281">
        <v>161254.97</v>
      </c>
      <c r="K4281" s="1"/>
      <c r="L4281" s="1"/>
      <c r="M4281" s="1"/>
      <c r="N4281" s="1"/>
    </row>
    <row r="4282" ht="15.75" customHeight="1">
      <c r="A4282" t="s">
        <v>17</v>
      </c>
      <c r="B4282" t="s">
        <v>14</v>
      </c>
      <c r="C4282" t="s">
        <v>4914</v>
      </c>
      <c r="D4282" t="s">
        <v>4375</v>
      </c>
      <c r="E4282">
        <v>102406.48</v>
      </c>
      <c r="F4282">
        <v>29097.89</v>
      </c>
      <c r="G4282">
        <v>34877.1917876686</v>
      </c>
      <c r="H4282">
        <v>22205.13</v>
      </c>
      <c r="I4282">
        <v>166381.56</v>
      </c>
      <c r="J4282">
        <v>144176.43</v>
      </c>
      <c r="K4282" s="1"/>
      <c r="L4282" s="1"/>
      <c r="M4282" s="1"/>
      <c r="N4282" s="1"/>
    </row>
    <row r="4283" ht="15.75" customHeight="1">
      <c r="A4283" t="s">
        <v>17</v>
      </c>
      <c r="B4283" t="s">
        <v>33</v>
      </c>
      <c r="C4283" t="s">
        <v>4917</v>
      </c>
      <c r="D4283" t="s">
        <v>4376</v>
      </c>
      <c r="E4283">
        <v>37295.61</v>
      </c>
      <c r="F4283">
        <v>10963.67</v>
      </c>
      <c r="G4283">
        <v>34884.8717910981</v>
      </c>
      <c r="H4283">
        <v>21266.48</v>
      </c>
      <c r="I4283">
        <v>83144.15</v>
      </c>
      <c r="J4283">
        <v>61877.67</v>
      </c>
      <c r="K4283" s="1"/>
      <c r="L4283" s="1"/>
      <c r="M4283" s="1"/>
      <c r="N4283" s="1"/>
    </row>
    <row r="4284" ht="15.75" customHeight="1">
      <c r="A4284" t="s">
        <v>53</v>
      </c>
      <c r="B4284" t="s">
        <v>37</v>
      </c>
      <c r="C4284" t="s">
        <v>4912</v>
      </c>
      <c r="D4284" t="s">
        <v>4377</v>
      </c>
      <c r="E4284">
        <v>34091.62</v>
      </c>
      <c r="F4284">
        <v>27094.16</v>
      </c>
      <c r="G4284">
        <v>34892.5517945276</v>
      </c>
      <c r="H4284">
        <v>5661.67</v>
      </c>
      <c r="I4284">
        <v>96078.33</v>
      </c>
      <c r="J4284">
        <v>90416.66</v>
      </c>
      <c r="K4284" s="1"/>
      <c r="L4284" s="1"/>
      <c r="M4284" s="1"/>
      <c r="N4284" s="1"/>
    </row>
    <row r="4285" ht="15.75" customHeight="1">
      <c r="A4285" t="s">
        <v>29</v>
      </c>
      <c r="B4285" t="s">
        <v>37</v>
      </c>
      <c r="C4285" t="s">
        <v>4905</v>
      </c>
      <c r="D4285" t="s">
        <v>4378</v>
      </c>
      <c r="E4285">
        <v>34257.47</v>
      </c>
      <c r="F4285">
        <v>13353.81</v>
      </c>
      <c r="G4285">
        <v>34900.2317979571</v>
      </c>
      <c r="H4285">
        <v>15795.11</v>
      </c>
      <c r="I4285">
        <v>82511.51</v>
      </c>
      <c r="J4285">
        <v>66716.4</v>
      </c>
      <c r="K4285" s="1"/>
      <c r="L4285" s="1"/>
      <c r="M4285" s="1"/>
      <c r="N4285" s="1"/>
    </row>
    <row r="4286" ht="15.75" customHeight="1">
      <c r="A4286" t="s">
        <v>29</v>
      </c>
      <c r="B4286" t="s">
        <v>30</v>
      </c>
      <c r="C4286" t="s">
        <v>4914</v>
      </c>
      <c r="D4286" t="s">
        <v>4379</v>
      </c>
      <c r="E4286">
        <v>46945.44</v>
      </c>
      <c r="F4286">
        <v>35899.1</v>
      </c>
      <c r="G4286">
        <v>34907.9118013866</v>
      </c>
      <c r="H4286">
        <v>2280.72</v>
      </c>
      <c r="I4286">
        <v>117752.45</v>
      </c>
      <c r="J4286">
        <v>115471.73</v>
      </c>
      <c r="K4286" s="1"/>
      <c r="L4286" s="1"/>
      <c r="M4286" s="1"/>
      <c r="N4286" s="1"/>
    </row>
    <row r="4287" ht="15.75" customHeight="1">
      <c r="A4287" t="s">
        <v>29</v>
      </c>
      <c r="B4287" t="s">
        <v>26</v>
      </c>
      <c r="C4287" t="s">
        <v>4905</v>
      </c>
      <c r="D4287" t="s">
        <v>4380</v>
      </c>
      <c r="E4287">
        <v>70099.43</v>
      </c>
      <c r="F4287">
        <v>36244.84</v>
      </c>
      <c r="G4287">
        <v>34915.5918048161</v>
      </c>
      <c r="H4287">
        <v>20999.41</v>
      </c>
      <c r="I4287">
        <v>141259.86</v>
      </c>
      <c r="J4287">
        <v>120260.45</v>
      </c>
      <c r="K4287" s="1"/>
      <c r="L4287" s="1"/>
      <c r="M4287" s="1"/>
      <c r="N4287" s="1"/>
    </row>
    <row r="4288" ht="15.75" customHeight="1">
      <c r="A4288" t="s">
        <v>29</v>
      </c>
      <c r="B4288" t="s">
        <v>30</v>
      </c>
      <c r="C4288" t="s">
        <v>4911</v>
      </c>
      <c r="D4288" t="s">
        <v>4381</v>
      </c>
      <c r="E4288">
        <v>60354.23</v>
      </c>
      <c r="F4288">
        <v>14702.34</v>
      </c>
      <c r="G4288">
        <v>34923.2718082456</v>
      </c>
      <c r="H4288">
        <v>4776.37</v>
      </c>
      <c r="I4288">
        <v>109979.84</v>
      </c>
      <c r="J4288">
        <v>105203.47</v>
      </c>
      <c r="K4288" s="1"/>
      <c r="L4288" s="1"/>
      <c r="M4288" s="1"/>
      <c r="N4288" s="1"/>
    </row>
    <row r="4289" ht="15.75" customHeight="1">
      <c r="A4289" t="s">
        <v>17</v>
      </c>
      <c r="B4289" t="s">
        <v>18</v>
      </c>
      <c r="C4289" t="s">
        <v>4917</v>
      </c>
      <c r="D4289" t="s">
        <v>4382</v>
      </c>
      <c r="E4289">
        <v>45579.06</v>
      </c>
      <c r="F4289">
        <v>12279.78</v>
      </c>
      <c r="G4289">
        <v>34930.9518116751</v>
      </c>
      <c r="H4289">
        <v>2234.96</v>
      </c>
      <c r="I4289">
        <v>92789.79</v>
      </c>
      <c r="J4289">
        <v>90554.83</v>
      </c>
      <c r="K4289" s="1"/>
      <c r="L4289" s="1"/>
      <c r="M4289" s="1"/>
      <c r="N4289" s="1"/>
    </row>
    <row r="4290" ht="15.75" customHeight="1">
      <c r="A4290" t="s">
        <v>25</v>
      </c>
      <c r="B4290" t="s">
        <v>14</v>
      </c>
      <c r="C4290" t="s">
        <v>4916</v>
      </c>
      <c r="D4290" t="s">
        <v>4383</v>
      </c>
      <c r="E4290">
        <v>79244.55</v>
      </c>
      <c r="F4290">
        <v>18806.94</v>
      </c>
      <c r="G4290">
        <v>34938.6318151046</v>
      </c>
      <c r="H4290">
        <v>10305.37</v>
      </c>
      <c r="I4290">
        <v>132990.12</v>
      </c>
      <c r="J4290">
        <v>122684.75</v>
      </c>
      <c r="K4290" s="1"/>
      <c r="L4290" s="1"/>
      <c r="M4290" s="1"/>
      <c r="N4290" s="1"/>
    </row>
    <row r="4291" ht="15.75" customHeight="1">
      <c r="A4291" t="s">
        <v>51</v>
      </c>
      <c r="B4291" t="s">
        <v>30</v>
      </c>
      <c r="C4291" t="s">
        <v>4917</v>
      </c>
      <c r="D4291" t="s">
        <v>4384</v>
      </c>
      <c r="E4291">
        <v>29646.86</v>
      </c>
      <c r="F4291">
        <v>12659.14</v>
      </c>
      <c r="G4291">
        <v>34946.3118185341</v>
      </c>
      <c r="H4291">
        <v>14634.59</v>
      </c>
      <c r="I4291">
        <v>77252.31</v>
      </c>
      <c r="J4291">
        <v>62617.72</v>
      </c>
      <c r="K4291" s="1"/>
      <c r="L4291" s="1"/>
      <c r="M4291" s="1"/>
      <c r="N4291" s="1"/>
    </row>
    <row r="4292" ht="15.75" customHeight="1">
      <c r="A4292" t="s">
        <v>51</v>
      </c>
      <c r="B4292" t="s">
        <v>30</v>
      </c>
      <c r="C4292" t="s">
        <v>4917</v>
      </c>
      <c r="D4292" t="s">
        <v>4385</v>
      </c>
      <c r="E4292">
        <v>45675.19</v>
      </c>
      <c r="F4292">
        <v>28205.82</v>
      </c>
      <c r="G4292">
        <v>34953.9918219636</v>
      </c>
      <c r="H4292">
        <v>21445.47</v>
      </c>
      <c r="I4292">
        <v>108835.0</v>
      </c>
      <c r="J4292">
        <v>87389.53</v>
      </c>
      <c r="K4292" s="1"/>
      <c r="L4292" s="1"/>
      <c r="M4292" s="1"/>
      <c r="N4292" s="1"/>
    </row>
    <row r="4293" ht="15.75" customHeight="1">
      <c r="A4293" t="s">
        <v>36</v>
      </c>
      <c r="B4293" t="s">
        <v>37</v>
      </c>
      <c r="C4293" t="s">
        <v>4905</v>
      </c>
      <c r="D4293" t="s">
        <v>4386</v>
      </c>
      <c r="E4293">
        <v>53467.99</v>
      </c>
      <c r="F4293">
        <v>33738.33</v>
      </c>
      <c r="G4293">
        <v>34961.6718253931</v>
      </c>
      <c r="H4293">
        <v>24368.94</v>
      </c>
      <c r="I4293">
        <v>122167.99</v>
      </c>
      <c r="J4293">
        <v>97799.05</v>
      </c>
      <c r="K4293" s="1"/>
      <c r="L4293" s="1"/>
      <c r="M4293" s="1"/>
      <c r="N4293" s="1"/>
    </row>
    <row r="4294" ht="15.75" customHeight="1">
      <c r="A4294" t="s">
        <v>51</v>
      </c>
      <c r="B4294" t="s">
        <v>18</v>
      </c>
      <c r="C4294" t="s">
        <v>4909</v>
      </c>
      <c r="D4294" t="s">
        <v>4387</v>
      </c>
      <c r="E4294">
        <v>62887.35</v>
      </c>
      <c r="F4294">
        <v>28231.32</v>
      </c>
      <c r="G4294">
        <v>34969.3518288226</v>
      </c>
      <c r="H4294">
        <v>11267.57</v>
      </c>
      <c r="I4294">
        <v>126088.02</v>
      </c>
      <c r="J4294">
        <v>114820.45</v>
      </c>
      <c r="K4294" s="1"/>
      <c r="L4294" s="1"/>
      <c r="M4294" s="1"/>
      <c r="N4294" s="1"/>
    </row>
    <row r="4295" ht="15.75" customHeight="1">
      <c r="A4295" t="s">
        <v>25</v>
      </c>
      <c r="B4295" t="s">
        <v>33</v>
      </c>
      <c r="C4295" t="s">
        <v>4911</v>
      </c>
      <c r="D4295" t="s">
        <v>4388</v>
      </c>
      <c r="E4295">
        <v>97443.48</v>
      </c>
      <c r="F4295">
        <v>33676.62</v>
      </c>
      <c r="G4295">
        <v>34977.0318322521</v>
      </c>
      <c r="H4295">
        <v>1980.95</v>
      </c>
      <c r="I4295">
        <v>166097.13</v>
      </c>
      <c r="J4295">
        <v>164116.18</v>
      </c>
      <c r="K4295" s="1"/>
      <c r="L4295" s="1"/>
      <c r="M4295" s="1"/>
      <c r="N4295" s="1"/>
    </row>
    <row r="4296" ht="15.75" customHeight="1">
      <c r="A4296" t="s">
        <v>25</v>
      </c>
      <c r="B4296" t="s">
        <v>18</v>
      </c>
      <c r="C4296" t="s">
        <v>4907</v>
      </c>
      <c r="D4296" t="s">
        <v>4389</v>
      </c>
      <c r="E4296">
        <v>35965.75</v>
      </c>
      <c r="F4296">
        <v>18291.72</v>
      </c>
      <c r="G4296">
        <v>34984.7118356816</v>
      </c>
      <c r="H4296">
        <v>18853.33</v>
      </c>
      <c r="I4296">
        <v>89242.18</v>
      </c>
      <c r="J4296">
        <v>70388.85</v>
      </c>
      <c r="K4296" s="1"/>
      <c r="L4296" s="1"/>
      <c r="M4296" s="1"/>
      <c r="N4296" s="1"/>
    </row>
    <row r="4297" ht="15.75" customHeight="1">
      <c r="A4297" t="s">
        <v>53</v>
      </c>
      <c r="B4297" t="s">
        <v>30</v>
      </c>
      <c r="C4297" t="s">
        <v>4910</v>
      </c>
      <c r="D4297" t="s">
        <v>4390</v>
      </c>
      <c r="E4297">
        <v>68994.62</v>
      </c>
      <c r="F4297">
        <v>9627.41</v>
      </c>
      <c r="G4297">
        <v>34992.3918391111</v>
      </c>
      <c r="H4297">
        <v>14346.74</v>
      </c>
      <c r="I4297">
        <v>113614.42</v>
      </c>
      <c r="J4297">
        <v>99267.68</v>
      </c>
      <c r="K4297" s="1"/>
      <c r="L4297" s="1"/>
      <c r="M4297" s="1"/>
      <c r="N4297" s="1"/>
    </row>
    <row r="4298" ht="15.75" customHeight="1">
      <c r="A4298" t="s">
        <v>13</v>
      </c>
      <c r="B4298" t="s">
        <v>30</v>
      </c>
      <c r="C4298" t="s">
        <v>4905</v>
      </c>
      <c r="D4298" t="s">
        <v>4391</v>
      </c>
      <c r="E4298">
        <v>77203.53</v>
      </c>
      <c r="F4298">
        <v>30566.23</v>
      </c>
      <c r="G4298">
        <v>35000.0718425406</v>
      </c>
      <c r="H4298">
        <v>11473.34</v>
      </c>
      <c r="I4298">
        <v>142769.83</v>
      </c>
      <c r="J4298">
        <v>131296.49</v>
      </c>
      <c r="K4298" s="1"/>
      <c r="L4298" s="1"/>
      <c r="M4298" s="1"/>
      <c r="N4298" s="1"/>
    </row>
    <row r="4299" ht="15.75" customHeight="1">
      <c r="A4299" t="s">
        <v>13</v>
      </c>
      <c r="B4299" t="s">
        <v>33</v>
      </c>
      <c r="C4299" t="s">
        <v>4911</v>
      </c>
      <c r="D4299" t="s">
        <v>4392</v>
      </c>
      <c r="E4299">
        <v>19877.29</v>
      </c>
      <c r="F4299">
        <v>16977.08</v>
      </c>
      <c r="G4299">
        <v>35007.7518459701</v>
      </c>
      <c r="H4299">
        <v>8077.09</v>
      </c>
      <c r="I4299">
        <v>71862.12</v>
      </c>
      <c r="J4299">
        <v>63785.03</v>
      </c>
      <c r="K4299" s="1"/>
      <c r="L4299" s="1"/>
      <c r="M4299" s="1"/>
      <c r="N4299" s="1"/>
    </row>
    <row r="4300" ht="15.75" customHeight="1">
      <c r="A4300" t="s">
        <v>29</v>
      </c>
      <c r="B4300" t="s">
        <v>14</v>
      </c>
      <c r="C4300" t="s">
        <v>4905</v>
      </c>
      <c r="D4300" t="s">
        <v>4393</v>
      </c>
      <c r="E4300">
        <v>32905.03</v>
      </c>
      <c r="F4300">
        <v>13743.18</v>
      </c>
      <c r="G4300">
        <v>35023.1118528291</v>
      </c>
      <c r="H4300">
        <v>8797.65</v>
      </c>
      <c r="I4300">
        <v>81671.32</v>
      </c>
      <c r="J4300">
        <v>72873.67</v>
      </c>
      <c r="K4300" s="1"/>
      <c r="L4300" s="1"/>
      <c r="M4300" s="1"/>
      <c r="N4300" s="1"/>
    </row>
    <row r="4301" ht="15.75" customHeight="1">
      <c r="A4301" t="s">
        <v>36</v>
      </c>
      <c r="B4301" t="s">
        <v>26</v>
      </c>
      <c r="C4301" t="s">
        <v>4915</v>
      </c>
      <c r="D4301" t="s">
        <v>4394</v>
      </c>
      <c r="E4301">
        <v>21830.42</v>
      </c>
      <c r="F4301">
        <v>6924.27</v>
      </c>
      <c r="G4301">
        <v>35030.7918562585</v>
      </c>
      <c r="H4301">
        <v>19046.79</v>
      </c>
      <c r="I4301">
        <v>63785.48</v>
      </c>
      <c r="J4301">
        <v>44738.69</v>
      </c>
      <c r="K4301" s="1"/>
      <c r="L4301" s="1"/>
      <c r="M4301" s="1"/>
      <c r="N4301" s="1"/>
    </row>
    <row r="4302" ht="15.75" customHeight="1">
      <c r="A4302" t="s">
        <v>17</v>
      </c>
      <c r="B4302" t="s">
        <v>37</v>
      </c>
      <c r="C4302" t="s">
        <v>4915</v>
      </c>
      <c r="D4302" t="s">
        <v>4395</v>
      </c>
      <c r="E4302">
        <v>114632.98</v>
      </c>
      <c r="F4302">
        <v>39732.94</v>
      </c>
      <c r="G4302">
        <v>35038.471859688</v>
      </c>
      <c r="H4302">
        <v>13825.4</v>
      </c>
      <c r="I4302">
        <v>189404.39</v>
      </c>
      <c r="J4302">
        <v>175578.99</v>
      </c>
      <c r="K4302" s="1"/>
      <c r="L4302" s="1"/>
      <c r="M4302" s="1"/>
      <c r="N4302" s="1"/>
    </row>
    <row r="4303" ht="15.75" customHeight="1">
      <c r="A4303" t="s">
        <v>53</v>
      </c>
      <c r="B4303" t="s">
        <v>18</v>
      </c>
      <c r="C4303" t="s">
        <v>4908</v>
      </c>
      <c r="D4303" t="s">
        <v>4396</v>
      </c>
      <c r="E4303">
        <v>116391.36</v>
      </c>
      <c r="F4303">
        <v>9623.25</v>
      </c>
      <c r="G4303">
        <v>35046.1518631175</v>
      </c>
      <c r="H4303">
        <v>21982.77</v>
      </c>
      <c r="I4303">
        <v>161060.76</v>
      </c>
      <c r="J4303">
        <v>139077.99</v>
      </c>
      <c r="K4303" s="1"/>
      <c r="L4303" s="1"/>
      <c r="M4303" s="1"/>
      <c r="N4303" s="1"/>
    </row>
    <row r="4304" ht="15.75" customHeight="1">
      <c r="A4304" t="s">
        <v>51</v>
      </c>
      <c r="B4304" t="s">
        <v>14</v>
      </c>
      <c r="C4304" t="s">
        <v>4917</v>
      </c>
      <c r="D4304" t="s">
        <v>4397</v>
      </c>
      <c r="E4304">
        <v>99881.72</v>
      </c>
      <c r="F4304">
        <v>39583.16</v>
      </c>
      <c r="G4304">
        <v>35053.831866547</v>
      </c>
      <c r="H4304">
        <v>13816.83</v>
      </c>
      <c r="I4304">
        <v>174518.71</v>
      </c>
      <c r="J4304">
        <v>160701.88</v>
      </c>
      <c r="K4304" s="1"/>
      <c r="L4304" s="1"/>
      <c r="M4304" s="1"/>
      <c r="N4304" s="1"/>
    </row>
    <row r="4305" ht="15.75" customHeight="1">
      <c r="A4305" t="s">
        <v>51</v>
      </c>
      <c r="B4305" t="s">
        <v>54</v>
      </c>
      <c r="C4305" t="s">
        <v>4916</v>
      </c>
      <c r="D4305" t="s">
        <v>4398</v>
      </c>
      <c r="E4305">
        <v>46984.45</v>
      </c>
      <c r="F4305">
        <v>39182.08</v>
      </c>
      <c r="G4305">
        <v>35061.5118699765</v>
      </c>
      <c r="H4305">
        <v>6337.43</v>
      </c>
      <c r="I4305">
        <v>121228.04</v>
      </c>
      <c r="J4305">
        <v>114890.61</v>
      </c>
      <c r="K4305" s="1"/>
      <c r="L4305" s="1"/>
      <c r="M4305" s="1"/>
      <c r="N4305" s="1"/>
    </row>
    <row r="4306" ht="15.75" customHeight="1">
      <c r="A4306" t="s">
        <v>17</v>
      </c>
      <c r="B4306" t="s">
        <v>30</v>
      </c>
      <c r="C4306" t="s">
        <v>4909</v>
      </c>
      <c r="D4306" t="s">
        <v>4399</v>
      </c>
      <c r="E4306">
        <v>25255.57</v>
      </c>
      <c r="F4306">
        <v>32577.45</v>
      </c>
      <c r="G4306">
        <v>35069.191873406</v>
      </c>
      <c r="H4306">
        <v>21351.75</v>
      </c>
      <c r="I4306">
        <v>92902.21</v>
      </c>
      <c r="J4306">
        <v>71550.46</v>
      </c>
      <c r="K4306" s="1"/>
      <c r="L4306" s="1"/>
      <c r="M4306" s="1"/>
      <c r="N4306" s="1"/>
    </row>
    <row r="4307" ht="15.75" customHeight="1">
      <c r="A4307" t="s">
        <v>13</v>
      </c>
      <c r="B4307" t="s">
        <v>37</v>
      </c>
      <c r="C4307" t="s">
        <v>4907</v>
      </c>
      <c r="D4307" t="s">
        <v>4400</v>
      </c>
      <c r="E4307">
        <v>86844.47</v>
      </c>
      <c r="F4307">
        <v>27739.23</v>
      </c>
      <c r="G4307">
        <v>35076.8718768355</v>
      </c>
      <c r="H4307">
        <v>14151.87</v>
      </c>
      <c r="I4307">
        <v>149660.57</v>
      </c>
      <c r="J4307">
        <v>135508.7</v>
      </c>
      <c r="K4307" s="1"/>
      <c r="L4307" s="1"/>
      <c r="M4307" s="1"/>
      <c r="N4307" s="1"/>
    </row>
    <row r="4308" ht="15.75" customHeight="1">
      <c r="A4308" t="s">
        <v>53</v>
      </c>
      <c r="B4308" t="s">
        <v>54</v>
      </c>
      <c r="C4308" t="s">
        <v>4912</v>
      </c>
      <c r="D4308" t="s">
        <v>4401</v>
      </c>
      <c r="E4308">
        <v>61216.01</v>
      </c>
      <c r="F4308">
        <v>24801.05</v>
      </c>
      <c r="G4308">
        <v>35084.551880265</v>
      </c>
      <c r="H4308">
        <v>5567.61</v>
      </c>
      <c r="I4308">
        <v>121101.61</v>
      </c>
      <c r="J4308">
        <v>115534.0</v>
      </c>
      <c r="K4308" s="1"/>
      <c r="L4308" s="1"/>
      <c r="M4308" s="1"/>
      <c r="N4308" s="1"/>
    </row>
    <row r="4309" ht="15.75" customHeight="1">
      <c r="A4309" t="s">
        <v>29</v>
      </c>
      <c r="B4309" t="s">
        <v>18</v>
      </c>
      <c r="C4309" t="s">
        <v>4911</v>
      </c>
      <c r="D4309" t="s">
        <v>4402</v>
      </c>
      <c r="E4309">
        <v>27814.01</v>
      </c>
      <c r="F4309">
        <v>35179.66</v>
      </c>
      <c r="G4309">
        <v>35092.2318836945</v>
      </c>
      <c r="H4309">
        <v>15775.94</v>
      </c>
      <c r="I4309">
        <v>98085.9</v>
      </c>
      <c r="J4309">
        <v>82309.96</v>
      </c>
      <c r="K4309" s="1"/>
      <c r="L4309" s="1"/>
      <c r="M4309" s="1"/>
      <c r="N4309" s="1"/>
    </row>
    <row r="4310" ht="15.75" customHeight="1">
      <c r="A4310" t="s">
        <v>36</v>
      </c>
      <c r="B4310" t="s">
        <v>54</v>
      </c>
      <c r="C4310" t="s">
        <v>4914</v>
      </c>
      <c r="D4310" t="s">
        <v>4403</v>
      </c>
      <c r="E4310">
        <v>66993.58</v>
      </c>
      <c r="F4310">
        <v>14419.82</v>
      </c>
      <c r="G4310">
        <v>35099.911887124</v>
      </c>
      <c r="H4310">
        <v>9264.06</v>
      </c>
      <c r="I4310">
        <v>116513.31</v>
      </c>
      <c r="J4310">
        <v>107249.25</v>
      </c>
      <c r="K4310" s="1"/>
      <c r="L4310" s="1"/>
      <c r="M4310" s="1"/>
      <c r="N4310" s="1"/>
    </row>
    <row r="4311" ht="15.75" customHeight="1">
      <c r="A4311" t="s">
        <v>25</v>
      </c>
      <c r="B4311" t="s">
        <v>18</v>
      </c>
      <c r="C4311" t="s">
        <v>4915</v>
      </c>
      <c r="D4311" t="s">
        <v>4404</v>
      </c>
      <c r="E4311">
        <v>18610.79</v>
      </c>
      <c r="F4311">
        <v>20836.52</v>
      </c>
      <c r="G4311">
        <v>35107.5918905535</v>
      </c>
      <c r="H4311">
        <v>21187.94</v>
      </c>
      <c r="I4311">
        <v>74554.9</v>
      </c>
      <c r="J4311">
        <v>53366.96</v>
      </c>
      <c r="K4311" s="1"/>
      <c r="L4311" s="1"/>
      <c r="M4311" s="1"/>
      <c r="N4311" s="1"/>
    </row>
    <row r="4312" ht="15.75" customHeight="1">
      <c r="A4312" t="s">
        <v>13</v>
      </c>
      <c r="B4312" t="s">
        <v>26</v>
      </c>
      <c r="C4312" t="s">
        <v>4911</v>
      </c>
      <c r="D4312" t="s">
        <v>4405</v>
      </c>
      <c r="E4312">
        <v>110478.64</v>
      </c>
      <c r="F4312">
        <v>26298.04</v>
      </c>
      <c r="G4312">
        <v>35115.271893983</v>
      </c>
      <c r="H4312">
        <v>11605.84</v>
      </c>
      <c r="I4312">
        <v>171891.95</v>
      </c>
      <c r="J4312">
        <v>160286.11</v>
      </c>
      <c r="K4312" s="1"/>
      <c r="L4312" s="1"/>
      <c r="M4312" s="1"/>
      <c r="N4312" s="1"/>
    </row>
    <row r="4313" ht="15.75" customHeight="1">
      <c r="A4313" t="s">
        <v>36</v>
      </c>
      <c r="B4313" t="s">
        <v>37</v>
      </c>
      <c r="C4313" t="s">
        <v>4911</v>
      </c>
      <c r="D4313" t="s">
        <v>4406</v>
      </c>
      <c r="E4313">
        <v>42171.9</v>
      </c>
      <c r="F4313">
        <v>18802.86</v>
      </c>
      <c r="G4313">
        <v>35122.9518974125</v>
      </c>
      <c r="H4313">
        <v>18297.81</v>
      </c>
      <c r="I4313">
        <v>96097.71</v>
      </c>
      <c r="J4313">
        <v>77799.9</v>
      </c>
      <c r="K4313" s="1"/>
      <c r="L4313" s="1"/>
      <c r="M4313" s="1"/>
      <c r="N4313" s="1"/>
    </row>
    <row r="4314" ht="15.75" customHeight="1">
      <c r="A4314" t="s">
        <v>29</v>
      </c>
      <c r="B4314" t="s">
        <v>30</v>
      </c>
      <c r="C4314" t="s">
        <v>4914</v>
      </c>
      <c r="D4314" t="s">
        <v>4407</v>
      </c>
      <c r="E4314">
        <v>84564.84</v>
      </c>
      <c r="F4314">
        <v>19389.51</v>
      </c>
      <c r="G4314">
        <v>35130.631900842</v>
      </c>
      <c r="H4314">
        <v>2840.64</v>
      </c>
      <c r="I4314">
        <v>139084.98</v>
      </c>
      <c r="J4314">
        <v>136244.34</v>
      </c>
      <c r="K4314" s="1"/>
      <c r="L4314" s="1"/>
      <c r="M4314" s="1"/>
      <c r="N4314" s="1"/>
    </row>
    <row r="4315" ht="15.75" customHeight="1">
      <c r="A4315" t="s">
        <v>51</v>
      </c>
      <c r="B4315" t="s">
        <v>30</v>
      </c>
      <c r="C4315" t="s">
        <v>4917</v>
      </c>
      <c r="D4315" t="s">
        <v>4408</v>
      </c>
      <c r="E4315">
        <v>47729.66</v>
      </c>
      <c r="F4315">
        <v>15890.25</v>
      </c>
      <c r="G4315">
        <v>35138.3119042715</v>
      </c>
      <c r="H4315">
        <v>10202.6</v>
      </c>
      <c r="I4315">
        <v>98758.22</v>
      </c>
      <c r="J4315">
        <v>88555.62</v>
      </c>
      <c r="K4315" s="1"/>
      <c r="L4315" s="1"/>
      <c r="M4315" s="1"/>
      <c r="N4315" s="1"/>
    </row>
    <row r="4316" ht="15.75" customHeight="1">
      <c r="A4316" t="s">
        <v>53</v>
      </c>
      <c r="B4316" t="s">
        <v>18</v>
      </c>
      <c r="C4316" t="s">
        <v>4916</v>
      </c>
      <c r="D4316" t="s">
        <v>4409</v>
      </c>
      <c r="E4316">
        <v>69607.14</v>
      </c>
      <c r="F4316">
        <v>24312.35</v>
      </c>
      <c r="G4316">
        <v>35145.991907701</v>
      </c>
      <c r="H4316">
        <v>24589.42</v>
      </c>
      <c r="I4316">
        <v>129065.48</v>
      </c>
      <c r="J4316">
        <v>104476.06</v>
      </c>
      <c r="K4316" s="1"/>
      <c r="L4316" s="1"/>
      <c r="M4316" s="1"/>
      <c r="N4316" s="1"/>
    </row>
    <row r="4317" ht="15.75" customHeight="1">
      <c r="A4317" t="s">
        <v>29</v>
      </c>
      <c r="B4317" t="s">
        <v>30</v>
      </c>
      <c r="C4317" t="s">
        <v>4914</v>
      </c>
      <c r="D4317" t="s">
        <v>4410</v>
      </c>
      <c r="E4317">
        <v>72404.58</v>
      </c>
      <c r="F4317">
        <v>34620.68</v>
      </c>
      <c r="G4317">
        <v>35153.6719111305</v>
      </c>
      <c r="H4317">
        <v>20307.28</v>
      </c>
      <c r="I4317">
        <v>142178.93</v>
      </c>
      <c r="J4317">
        <v>121871.65</v>
      </c>
      <c r="K4317" s="1"/>
      <c r="L4317" s="1"/>
      <c r="M4317" s="1"/>
      <c r="N4317" s="1"/>
    </row>
    <row r="4318" ht="15.75" customHeight="1">
      <c r="A4318" t="s">
        <v>13</v>
      </c>
      <c r="B4318" t="s">
        <v>26</v>
      </c>
      <c r="C4318" t="s">
        <v>4911</v>
      </c>
      <c r="D4318" t="s">
        <v>4411</v>
      </c>
      <c r="E4318">
        <v>34409.72</v>
      </c>
      <c r="F4318">
        <v>11255.02</v>
      </c>
      <c r="G4318">
        <v>35161.35191456</v>
      </c>
      <c r="H4318">
        <v>4418.55</v>
      </c>
      <c r="I4318">
        <v>80826.09</v>
      </c>
      <c r="J4318">
        <v>76407.54</v>
      </c>
      <c r="K4318" s="1"/>
      <c r="L4318" s="1"/>
      <c r="M4318" s="1"/>
      <c r="N4318" s="1"/>
    </row>
    <row r="4319" ht="15.75" customHeight="1">
      <c r="A4319" t="s">
        <v>51</v>
      </c>
      <c r="B4319" t="s">
        <v>14</v>
      </c>
      <c r="C4319" t="s">
        <v>4916</v>
      </c>
      <c r="D4319" t="s">
        <v>4412</v>
      </c>
      <c r="E4319">
        <v>116806.39</v>
      </c>
      <c r="F4319">
        <v>37639.59</v>
      </c>
      <c r="G4319">
        <v>35169.0319179895</v>
      </c>
      <c r="H4319">
        <v>7305.22</v>
      </c>
      <c r="I4319">
        <v>189615.01</v>
      </c>
      <c r="J4319">
        <v>182309.79</v>
      </c>
      <c r="K4319" s="1"/>
      <c r="L4319" s="1"/>
      <c r="M4319" s="1"/>
      <c r="N4319" s="1"/>
    </row>
    <row r="4320" ht="15.75" customHeight="1">
      <c r="A4320" t="s">
        <v>25</v>
      </c>
      <c r="B4320" t="s">
        <v>37</v>
      </c>
      <c r="C4320" t="s">
        <v>4916</v>
      </c>
      <c r="D4320" t="s">
        <v>4413</v>
      </c>
      <c r="E4320">
        <v>96388.95</v>
      </c>
      <c r="F4320">
        <v>28807.16</v>
      </c>
      <c r="G4320">
        <v>35176.711921419</v>
      </c>
      <c r="H4320">
        <v>14634.43925924574</v>
      </c>
      <c r="I4320">
        <v>160372.82</v>
      </c>
      <c r="J4320">
        <v>145738.38</v>
      </c>
      <c r="K4320" s="1"/>
      <c r="L4320" s="1"/>
      <c r="M4320" s="1"/>
      <c r="N4320" s="1"/>
    </row>
    <row r="4321" ht="15.75" customHeight="1">
      <c r="A4321" t="s">
        <v>25</v>
      </c>
      <c r="B4321" t="s">
        <v>54</v>
      </c>
      <c r="C4321" t="s">
        <v>4912</v>
      </c>
      <c r="D4321" t="s">
        <v>4414</v>
      </c>
      <c r="E4321">
        <v>113647.39</v>
      </c>
      <c r="F4321">
        <v>33637.84</v>
      </c>
      <c r="G4321">
        <v>35184.3919248485</v>
      </c>
      <c r="H4321">
        <v>16433.96</v>
      </c>
      <c r="I4321">
        <v>182469.62</v>
      </c>
      <c r="J4321">
        <v>166035.66</v>
      </c>
      <c r="K4321" s="1"/>
      <c r="L4321" s="1"/>
      <c r="M4321" s="1"/>
      <c r="N4321" s="1"/>
    </row>
    <row r="4322" ht="15.75" customHeight="1">
      <c r="A4322" t="s">
        <v>29</v>
      </c>
      <c r="B4322" t="s">
        <v>30</v>
      </c>
      <c r="C4322" t="s">
        <v>4912</v>
      </c>
      <c r="D4322" t="s">
        <v>4415</v>
      </c>
      <c r="E4322">
        <v>108956.87</v>
      </c>
      <c r="F4322">
        <v>24022.86</v>
      </c>
      <c r="G4322">
        <v>35192.071928278</v>
      </c>
      <c r="H4322">
        <v>19046.37</v>
      </c>
      <c r="I4322">
        <v>168171.8</v>
      </c>
      <c r="J4322">
        <v>149125.43</v>
      </c>
      <c r="K4322" s="1"/>
      <c r="L4322" s="1"/>
      <c r="M4322" s="1"/>
      <c r="N4322" s="1"/>
    </row>
    <row r="4323" ht="15.75" customHeight="1">
      <c r="A4323" t="s">
        <v>51</v>
      </c>
      <c r="B4323" t="s">
        <v>54</v>
      </c>
      <c r="C4323" t="s">
        <v>4909</v>
      </c>
      <c r="D4323" t="s">
        <v>4416</v>
      </c>
      <c r="E4323">
        <v>77779.5</v>
      </c>
      <c r="F4323">
        <v>32062.6</v>
      </c>
      <c r="G4323">
        <v>35199.7519317075</v>
      </c>
      <c r="H4323">
        <v>18863.4</v>
      </c>
      <c r="I4323">
        <v>145041.85</v>
      </c>
      <c r="J4323">
        <v>126178.45</v>
      </c>
      <c r="K4323" s="1"/>
      <c r="L4323" s="1"/>
      <c r="M4323" s="1"/>
      <c r="N4323" s="1"/>
    </row>
    <row r="4324" ht="15.75" customHeight="1">
      <c r="A4324" t="s">
        <v>25</v>
      </c>
      <c r="B4324" t="s">
        <v>14</v>
      </c>
      <c r="C4324" t="s">
        <v>4909</v>
      </c>
      <c r="D4324" t="s">
        <v>4417</v>
      </c>
      <c r="E4324">
        <v>111796.79</v>
      </c>
      <c r="F4324">
        <v>4583.21</v>
      </c>
      <c r="G4324">
        <v>35207.431935137</v>
      </c>
      <c r="H4324">
        <v>12991.91</v>
      </c>
      <c r="I4324">
        <v>151587.43</v>
      </c>
      <c r="J4324">
        <v>138595.52</v>
      </c>
      <c r="K4324" s="1"/>
      <c r="L4324" s="1"/>
      <c r="M4324" s="1"/>
      <c r="N4324" s="1"/>
    </row>
    <row r="4325" ht="15.75" customHeight="1">
      <c r="A4325" t="s">
        <v>51</v>
      </c>
      <c r="B4325" t="s">
        <v>26</v>
      </c>
      <c r="C4325" t="s">
        <v>4910</v>
      </c>
      <c r="D4325" t="s">
        <v>4418</v>
      </c>
      <c r="E4325">
        <v>24291.71</v>
      </c>
      <c r="F4325">
        <v>33461.7</v>
      </c>
      <c r="G4325">
        <v>35215.1119385665</v>
      </c>
      <c r="H4325">
        <v>20365.1</v>
      </c>
      <c r="I4325">
        <v>92968.52</v>
      </c>
      <c r="J4325">
        <v>72603.42</v>
      </c>
      <c r="K4325" s="1"/>
      <c r="L4325" s="1"/>
      <c r="M4325" s="1"/>
      <c r="N4325" s="1"/>
    </row>
    <row r="4326" ht="15.75" customHeight="1">
      <c r="A4326" t="s">
        <v>36</v>
      </c>
      <c r="B4326" t="s">
        <v>37</v>
      </c>
      <c r="C4326" t="s">
        <v>4910</v>
      </c>
      <c r="D4326" t="s">
        <v>4419</v>
      </c>
      <c r="E4326">
        <v>35578.2</v>
      </c>
      <c r="F4326">
        <v>5445.0</v>
      </c>
      <c r="G4326">
        <v>35222.791941996</v>
      </c>
      <c r="H4326">
        <v>11208.41</v>
      </c>
      <c r="I4326">
        <v>76245.99</v>
      </c>
      <c r="J4326">
        <v>65037.58</v>
      </c>
      <c r="K4326" s="1"/>
      <c r="L4326" s="1"/>
      <c r="M4326" s="1"/>
      <c r="N4326" s="1"/>
    </row>
    <row r="4327" ht="15.75" customHeight="1">
      <c r="A4327" t="s">
        <v>36</v>
      </c>
      <c r="B4327" t="s">
        <v>33</v>
      </c>
      <c r="C4327" t="s">
        <v>4909</v>
      </c>
      <c r="D4327" t="s">
        <v>4420</v>
      </c>
      <c r="E4327">
        <v>19748.87</v>
      </c>
      <c r="F4327">
        <v>36036.88</v>
      </c>
      <c r="G4327">
        <v>35230.4719454255</v>
      </c>
      <c r="H4327">
        <v>3535.07</v>
      </c>
      <c r="I4327">
        <v>91016.22</v>
      </c>
      <c r="J4327">
        <v>87481.15</v>
      </c>
      <c r="K4327" s="1"/>
      <c r="L4327" s="1"/>
      <c r="M4327" s="1"/>
      <c r="N4327" s="1"/>
    </row>
    <row r="4328" ht="15.75" customHeight="1">
      <c r="A4328" t="s">
        <v>13</v>
      </c>
      <c r="B4328" t="s">
        <v>54</v>
      </c>
      <c r="C4328" t="s">
        <v>4912</v>
      </c>
      <c r="D4328" t="s">
        <v>4421</v>
      </c>
      <c r="E4328">
        <v>49159.68</v>
      </c>
      <c r="F4328">
        <v>39710.66</v>
      </c>
      <c r="G4328">
        <v>35238.151948855</v>
      </c>
      <c r="H4328">
        <v>14328.83</v>
      </c>
      <c r="I4328">
        <v>124108.49</v>
      </c>
      <c r="J4328">
        <v>109779.66</v>
      </c>
      <c r="K4328" s="1"/>
      <c r="L4328" s="1"/>
      <c r="M4328" s="1"/>
      <c r="N4328" s="1"/>
    </row>
    <row r="4329" ht="15.75" customHeight="1">
      <c r="A4329" t="s">
        <v>29</v>
      </c>
      <c r="B4329" t="s">
        <v>14</v>
      </c>
      <c r="C4329" t="s">
        <v>4907</v>
      </c>
      <c r="D4329" t="s">
        <v>4422</v>
      </c>
      <c r="E4329">
        <v>55811.12</v>
      </c>
      <c r="F4329">
        <v>14586.43</v>
      </c>
      <c r="G4329">
        <v>35245.8319522845</v>
      </c>
      <c r="H4329">
        <v>23831.38</v>
      </c>
      <c r="I4329">
        <v>105643.38</v>
      </c>
      <c r="J4329">
        <v>81812.0</v>
      </c>
      <c r="K4329" s="1"/>
      <c r="L4329" s="1"/>
      <c r="M4329" s="1"/>
      <c r="N4329" s="1"/>
    </row>
    <row r="4330" ht="15.75" customHeight="1">
      <c r="A4330" t="s">
        <v>53</v>
      </c>
      <c r="B4330" t="s">
        <v>33</v>
      </c>
      <c r="C4330" t="s">
        <v>4911</v>
      </c>
      <c r="D4330" t="s">
        <v>4423</v>
      </c>
      <c r="E4330">
        <v>43491.65</v>
      </c>
      <c r="F4330">
        <v>11571.47</v>
      </c>
      <c r="G4330">
        <v>35253.511955714</v>
      </c>
      <c r="H4330">
        <v>19928.34</v>
      </c>
      <c r="I4330">
        <v>90316.63</v>
      </c>
      <c r="J4330">
        <v>70388.29</v>
      </c>
      <c r="K4330" s="1"/>
      <c r="L4330" s="1"/>
      <c r="M4330" s="1"/>
      <c r="N4330" s="1"/>
    </row>
    <row r="4331" ht="15.75" customHeight="1">
      <c r="A4331" t="s">
        <v>17</v>
      </c>
      <c r="B4331" t="s">
        <v>37</v>
      </c>
      <c r="C4331" t="s">
        <v>4915</v>
      </c>
      <c r="D4331" t="s">
        <v>4424</v>
      </c>
      <c r="E4331">
        <v>102017.44</v>
      </c>
      <c r="F4331">
        <v>31553.08</v>
      </c>
      <c r="G4331">
        <v>35261.1919591435</v>
      </c>
      <c r="H4331">
        <v>14678.17</v>
      </c>
      <c r="I4331">
        <v>168831.71</v>
      </c>
      <c r="J4331">
        <v>154153.54</v>
      </c>
      <c r="K4331" s="1"/>
      <c r="L4331" s="1"/>
      <c r="M4331" s="1"/>
      <c r="N4331" s="1"/>
    </row>
    <row r="4332" ht="15.75" customHeight="1">
      <c r="A4332" t="s">
        <v>29</v>
      </c>
      <c r="B4332" t="s">
        <v>18</v>
      </c>
      <c r="C4332" t="s">
        <v>4915</v>
      </c>
      <c r="D4332" t="s">
        <v>4425</v>
      </c>
      <c r="E4332">
        <v>52459.1</v>
      </c>
      <c r="F4332">
        <v>13108.95</v>
      </c>
      <c r="G4332">
        <v>35268.871962573</v>
      </c>
      <c r="H4332">
        <v>16346.74</v>
      </c>
      <c r="I4332">
        <v>100836.92</v>
      </c>
      <c r="J4332">
        <v>84490.18</v>
      </c>
      <c r="K4332" s="1"/>
      <c r="L4332" s="1"/>
      <c r="M4332" s="1"/>
      <c r="N4332" s="1"/>
    </row>
    <row r="4333" ht="15.75" customHeight="1">
      <c r="A4333" t="s">
        <v>51</v>
      </c>
      <c r="B4333" t="s">
        <v>30</v>
      </c>
      <c r="C4333" t="s">
        <v>4907</v>
      </c>
      <c r="D4333" t="s">
        <v>4426</v>
      </c>
      <c r="E4333">
        <v>44498.12</v>
      </c>
      <c r="F4333">
        <v>35160.25</v>
      </c>
      <c r="G4333">
        <v>35276.5519660025</v>
      </c>
      <c r="H4333">
        <v>23298.77</v>
      </c>
      <c r="I4333">
        <v>114934.92</v>
      </c>
      <c r="J4333">
        <v>91636.15</v>
      </c>
      <c r="K4333" s="1"/>
      <c r="L4333" s="1"/>
      <c r="M4333" s="1"/>
      <c r="N4333" s="1"/>
    </row>
    <row r="4334" ht="15.75" customHeight="1">
      <c r="A4334" t="s">
        <v>13</v>
      </c>
      <c r="B4334" t="s">
        <v>33</v>
      </c>
      <c r="C4334" t="s">
        <v>4912</v>
      </c>
      <c r="D4334" t="s">
        <v>4427</v>
      </c>
      <c r="E4334">
        <v>71983.09</v>
      </c>
      <c r="F4334">
        <v>7702.33</v>
      </c>
      <c r="G4334">
        <v>35284.231969432</v>
      </c>
      <c r="H4334">
        <v>10994.4</v>
      </c>
      <c r="I4334">
        <v>114969.65</v>
      </c>
      <c r="J4334">
        <v>103975.25</v>
      </c>
      <c r="K4334" s="1"/>
      <c r="L4334" s="1"/>
      <c r="M4334" s="1"/>
      <c r="N4334" s="1"/>
    </row>
    <row r="4335" ht="15.75" customHeight="1">
      <c r="A4335" t="s">
        <v>13</v>
      </c>
      <c r="B4335" t="s">
        <v>37</v>
      </c>
      <c r="C4335" t="s">
        <v>4913</v>
      </c>
      <c r="D4335" t="s">
        <v>4428</v>
      </c>
      <c r="E4335">
        <v>29797.04</v>
      </c>
      <c r="F4335">
        <v>8534.39</v>
      </c>
      <c r="G4335">
        <v>35291.9119728615</v>
      </c>
      <c r="H4335">
        <v>8619.16</v>
      </c>
      <c r="I4335">
        <v>73623.34</v>
      </c>
      <c r="J4335">
        <v>65004.18</v>
      </c>
      <c r="K4335" s="1"/>
      <c r="L4335" s="1"/>
      <c r="M4335" s="1"/>
      <c r="N4335" s="1"/>
    </row>
    <row r="4336" ht="15.75" customHeight="1">
      <c r="A4336" t="s">
        <v>17</v>
      </c>
      <c r="B4336" t="s">
        <v>33</v>
      </c>
      <c r="C4336" t="s">
        <v>4911</v>
      </c>
      <c r="D4336" t="s">
        <v>4429</v>
      </c>
      <c r="E4336">
        <v>99230.68</v>
      </c>
      <c r="F4336">
        <v>39249.46</v>
      </c>
      <c r="G4336">
        <v>35299.591976291</v>
      </c>
      <c r="H4336">
        <v>24442.42</v>
      </c>
      <c r="I4336">
        <v>173779.73</v>
      </c>
      <c r="J4336">
        <v>149337.31</v>
      </c>
      <c r="K4336" s="1"/>
      <c r="L4336" s="1"/>
      <c r="M4336" s="1"/>
      <c r="N4336" s="1"/>
    </row>
    <row r="4337" ht="15.75" customHeight="1">
      <c r="A4337" t="s">
        <v>25</v>
      </c>
      <c r="B4337" t="s">
        <v>14</v>
      </c>
      <c r="C4337" t="s">
        <v>4913</v>
      </c>
      <c r="D4337" t="s">
        <v>4430</v>
      </c>
      <c r="E4337">
        <v>22827.82</v>
      </c>
      <c r="F4337">
        <v>28258.2</v>
      </c>
      <c r="G4337">
        <v>35307.2719797204</v>
      </c>
      <c r="H4337">
        <v>14634.43925924574</v>
      </c>
      <c r="I4337">
        <v>86393.29</v>
      </c>
      <c r="J4337">
        <v>71758.85</v>
      </c>
      <c r="K4337" s="1"/>
      <c r="L4337" s="1"/>
      <c r="M4337" s="1"/>
      <c r="N4337" s="1"/>
    </row>
    <row r="4338" ht="15.75" customHeight="1">
      <c r="A4338" t="s">
        <v>51</v>
      </c>
      <c r="B4338" t="s">
        <v>37</v>
      </c>
      <c r="C4338" t="s">
        <v>4905</v>
      </c>
      <c r="D4338" t="s">
        <v>4431</v>
      </c>
      <c r="E4338">
        <v>118623.13</v>
      </c>
      <c r="F4338">
        <v>34487.94</v>
      </c>
      <c r="G4338">
        <v>35314.9519831499</v>
      </c>
      <c r="H4338">
        <v>8414.57</v>
      </c>
      <c r="I4338">
        <v>188426.02</v>
      </c>
      <c r="J4338">
        <v>180011.45</v>
      </c>
      <c r="K4338" s="1"/>
      <c r="L4338" s="1"/>
      <c r="M4338" s="1"/>
      <c r="N4338" s="1"/>
    </row>
    <row r="4339" ht="15.75" customHeight="1">
      <c r="A4339" t="s">
        <v>51</v>
      </c>
      <c r="B4339" t="s">
        <v>37</v>
      </c>
      <c r="C4339" t="s">
        <v>4914</v>
      </c>
      <c r="D4339" t="s">
        <v>4432</v>
      </c>
      <c r="E4339">
        <v>96085.7</v>
      </c>
      <c r="F4339">
        <v>15675.86</v>
      </c>
      <c r="G4339">
        <v>35322.6319865794</v>
      </c>
      <c r="H4339">
        <v>11862.62</v>
      </c>
      <c r="I4339">
        <v>147084.19</v>
      </c>
      <c r="J4339">
        <v>135221.57</v>
      </c>
      <c r="K4339" s="1"/>
      <c r="L4339" s="1"/>
      <c r="M4339" s="1"/>
      <c r="N4339" s="1"/>
    </row>
    <row r="4340" ht="15.75" customHeight="1">
      <c r="A4340" t="s">
        <v>13</v>
      </c>
      <c r="B4340" t="s">
        <v>18</v>
      </c>
      <c r="C4340" t="s">
        <v>4917</v>
      </c>
      <c r="D4340" t="s">
        <v>4433</v>
      </c>
      <c r="E4340">
        <v>35865.15</v>
      </c>
      <c r="F4340">
        <v>28353.41</v>
      </c>
      <c r="G4340">
        <v>35330.3119900089</v>
      </c>
      <c r="H4340">
        <v>10669.41</v>
      </c>
      <c r="I4340">
        <v>99548.87</v>
      </c>
      <c r="J4340">
        <v>88879.46</v>
      </c>
      <c r="K4340" s="1"/>
      <c r="L4340" s="1"/>
      <c r="M4340" s="1"/>
      <c r="N4340" s="1"/>
    </row>
    <row r="4341" ht="15.75" customHeight="1">
      <c r="A4341" t="s">
        <v>53</v>
      </c>
      <c r="B4341" t="s">
        <v>30</v>
      </c>
      <c r="C4341" t="s">
        <v>4910</v>
      </c>
      <c r="D4341" t="s">
        <v>4434</v>
      </c>
      <c r="E4341">
        <v>15579.82</v>
      </c>
      <c r="F4341">
        <v>25392.71</v>
      </c>
      <c r="G4341">
        <v>35337.9919934384</v>
      </c>
      <c r="H4341">
        <v>4152.84</v>
      </c>
      <c r="I4341">
        <v>76310.52</v>
      </c>
      <c r="J4341">
        <v>72157.68</v>
      </c>
      <c r="K4341" s="1"/>
      <c r="L4341" s="1"/>
      <c r="M4341" s="1"/>
      <c r="N4341" s="1"/>
    </row>
    <row r="4342" ht="15.75" customHeight="1">
      <c r="A4342" t="s">
        <v>13</v>
      </c>
      <c r="B4342" t="s">
        <v>37</v>
      </c>
      <c r="C4342" t="s">
        <v>4912</v>
      </c>
      <c r="D4342" t="s">
        <v>4435</v>
      </c>
      <c r="E4342">
        <v>100623.45</v>
      </c>
      <c r="F4342">
        <v>25713.4</v>
      </c>
      <c r="G4342">
        <v>35345.6719968679</v>
      </c>
      <c r="H4342">
        <v>23966.57</v>
      </c>
      <c r="I4342">
        <v>161682.52</v>
      </c>
      <c r="J4342">
        <v>137715.95</v>
      </c>
      <c r="K4342" s="1"/>
      <c r="L4342" s="1"/>
      <c r="M4342" s="1"/>
      <c r="N4342" s="1"/>
    </row>
    <row r="4343" ht="15.75" customHeight="1">
      <c r="A4343" t="s">
        <v>17</v>
      </c>
      <c r="B4343" t="s">
        <v>14</v>
      </c>
      <c r="C4343" t="s">
        <v>4910</v>
      </c>
      <c r="D4343" t="s">
        <v>4436</v>
      </c>
      <c r="E4343">
        <v>89220.02</v>
      </c>
      <c r="F4343">
        <v>28571.17</v>
      </c>
      <c r="G4343">
        <v>35353.3520002974</v>
      </c>
      <c r="H4343">
        <v>10405.65</v>
      </c>
      <c r="I4343">
        <v>153144.54</v>
      </c>
      <c r="J4343">
        <v>142738.89</v>
      </c>
      <c r="K4343" s="1"/>
      <c r="L4343" s="1"/>
      <c r="M4343" s="1"/>
      <c r="N4343" s="1"/>
    </row>
    <row r="4344" ht="15.75" customHeight="1">
      <c r="A4344" t="s">
        <v>53</v>
      </c>
      <c r="B4344" t="s">
        <v>37</v>
      </c>
      <c r="C4344" t="s">
        <v>4913</v>
      </c>
      <c r="D4344" t="s">
        <v>4437</v>
      </c>
      <c r="E4344">
        <v>91545.75</v>
      </c>
      <c r="F4344">
        <v>24712.93</v>
      </c>
      <c r="G4344">
        <v>35361.0320037269</v>
      </c>
      <c r="H4344">
        <v>21945.56</v>
      </c>
      <c r="I4344">
        <v>151619.71</v>
      </c>
      <c r="J4344">
        <v>129674.15</v>
      </c>
      <c r="K4344" s="1"/>
      <c r="L4344" s="1"/>
      <c r="M4344" s="1"/>
      <c r="N4344" s="1"/>
    </row>
    <row r="4345" ht="15.75" customHeight="1">
      <c r="A4345" t="s">
        <v>53</v>
      </c>
      <c r="B4345" t="s">
        <v>37</v>
      </c>
      <c r="C4345" t="s">
        <v>4907</v>
      </c>
      <c r="D4345" t="s">
        <v>4438</v>
      </c>
      <c r="E4345">
        <v>95983.39</v>
      </c>
      <c r="F4345">
        <v>19446.25</v>
      </c>
      <c r="G4345">
        <v>35368.7120071564</v>
      </c>
      <c r="H4345">
        <v>5139.23</v>
      </c>
      <c r="I4345">
        <v>150798.35</v>
      </c>
      <c r="J4345">
        <v>145659.12</v>
      </c>
      <c r="K4345" s="1"/>
      <c r="L4345" s="1"/>
      <c r="M4345" s="1"/>
      <c r="N4345" s="1"/>
    </row>
    <row r="4346" ht="15.75" customHeight="1">
      <c r="A4346" t="s">
        <v>25</v>
      </c>
      <c r="B4346" t="s">
        <v>54</v>
      </c>
      <c r="C4346" t="s">
        <v>4905</v>
      </c>
      <c r="D4346" t="s">
        <v>4439</v>
      </c>
      <c r="E4346">
        <v>22774.69</v>
      </c>
      <c r="F4346">
        <v>13933.22</v>
      </c>
      <c r="G4346">
        <v>35376.3920105859</v>
      </c>
      <c r="H4346">
        <v>13922.83</v>
      </c>
      <c r="I4346">
        <v>72084.3</v>
      </c>
      <c r="J4346">
        <v>58161.47</v>
      </c>
      <c r="K4346" s="1"/>
      <c r="L4346" s="1"/>
      <c r="M4346" s="1"/>
      <c r="N4346" s="1"/>
    </row>
    <row r="4347" ht="15.75" customHeight="1">
      <c r="A4347" t="s">
        <v>17</v>
      </c>
      <c r="B4347" t="s">
        <v>30</v>
      </c>
      <c r="C4347" t="s">
        <v>4917</v>
      </c>
      <c r="D4347" t="s">
        <v>4440</v>
      </c>
      <c r="E4347">
        <v>52638.9</v>
      </c>
      <c r="F4347">
        <v>31668.93</v>
      </c>
      <c r="G4347">
        <v>35384.0720140154</v>
      </c>
      <c r="H4347">
        <v>1087.05</v>
      </c>
      <c r="I4347">
        <v>119691.9</v>
      </c>
      <c r="J4347">
        <v>118604.85</v>
      </c>
      <c r="K4347" s="1"/>
      <c r="L4347" s="1"/>
      <c r="M4347" s="1"/>
      <c r="N4347" s="1"/>
    </row>
    <row r="4348" ht="15.75" customHeight="1">
      <c r="A4348" t="s">
        <v>25</v>
      </c>
      <c r="B4348" t="s">
        <v>14</v>
      </c>
      <c r="C4348" t="s">
        <v>4910</v>
      </c>
      <c r="D4348" t="s">
        <v>4441</v>
      </c>
      <c r="E4348">
        <v>27166.25</v>
      </c>
      <c r="F4348">
        <v>12145.81</v>
      </c>
      <c r="G4348">
        <v>35391.7520174449</v>
      </c>
      <c r="H4348">
        <v>19223.4</v>
      </c>
      <c r="I4348">
        <v>74703.81</v>
      </c>
      <c r="J4348">
        <v>55480.41</v>
      </c>
      <c r="K4348" s="1"/>
      <c r="L4348" s="1"/>
      <c r="M4348" s="1"/>
      <c r="N4348" s="1"/>
    </row>
    <row r="4349" ht="15.75" customHeight="1">
      <c r="A4349" t="s">
        <v>53</v>
      </c>
      <c r="B4349" t="s">
        <v>54</v>
      </c>
      <c r="C4349" t="s">
        <v>4915</v>
      </c>
      <c r="D4349" t="s">
        <v>4442</v>
      </c>
      <c r="E4349">
        <v>105625.86</v>
      </c>
      <c r="F4349">
        <v>28924.76</v>
      </c>
      <c r="G4349">
        <v>35399.4320208744</v>
      </c>
      <c r="H4349">
        <v>14732.39</v>
      </c>
      <c r="I4349">
        <v>169950.05</v>
      </c>
      <c r="J4349">
        <v>155217.66</v>
      </c>
      <c r="K4349" s="1"/>
      <c r="L4349" s="1"/>
      <c r="M4349" s="1"/>
      <c r="N4349" s="1"/>
    </row>
    <row r="4350" ht="15.75" customHeight="1">
      <c r="A4350" t="s">
        <v>36</v>
      </c>
      <c r="B4350" t="s">
        <v>33</v>
      </c>
      <c r="C4350" t="s">
        <v>4911</v>
      </c>
      <c r="D4350" t="s">
        <v>4443</v>
      </c>
      <c r="E4350">
        <v>80446.3</v>
      </c>
      <c r="F4350">
        <v>12399.98</v>
      </c>
      <c r="G4350">
        <v>35407.1120243039</v>
      </c>
      <c r="H4350">
        <v>15826.94</v>
      </c>
      <c r="I4350">
        <v>128253.39</v>
      </c>
      <c r="J4350">
        <v>112426.45</v>
      </c>
      <c r="K4350" s="1"/>
      <c r="L4350" s="1"/>
      <c r="M4350" s="1"/>
      <c r="N4350" s="1"/>
    </row>
    <row r="4351" ht="15.75" customHeight="1">
      <c r="A4351" t="s">
        <v>25</v>
      </c>
      <c r="B4351" t="s">
        <v>26</v>
      </c>
      <c r="C4351" t="s">
        <v>4910</v>
      </c>
      <c r="D4351" t="s">
        <v>4444</v>
      </c>
      <c r="E4351">
        <v>49744.29</v>
      </c>
      <c r="F4351">
        <v>26511.89</v>
      </c>
      <c r="G4351">
        <v>35414.7920277334</v>
      </c>
      <c r="H4351">
        <v>1767.16</v>
      </c>
      <c r="I4351">
        <v>111670.97</v>
      </c>
      <c r="J4351">
        <v>109903.81</v>
      </c>
      <c r="K4351" s="1"/>
      <c r="L4351" s="1"/>
      <c r="M4351" s="1"/>
      <c r="N4351" s="1"/>
    </row>
    <row r="4352" ht="15.75" customHeight="1">
      <c r="A4352" t="s">
        <v>13</v>
      </c>
      <c r="B4352" t="s">
        <v>30</v>
      </c>
      <c r="C4352" t="s">
        <v>4914</v>
      </c>
      <c r="D4352" t="s">
        <v>4445</v>
      </c>
      <c r="E4352">
        <v>21673.63</v>
      </c>
      <c r="F4352">
        <v>30894.82</v>
      </c>
      <c r="G4352">
        <v>35422.4720311629</v>
      </c>
      <c r="H4352">
        <v>5670.44</v>
      </c>
      <c r="I4352">
        <v>87990.92</v>
      </c>
      <c r="J4352">
        <v>82320.48</v>
      </c>
      <c r="K4352" s="1"/>
      <c r="L4352" s="1"/>
      <c r="M4352" s="1"/>
      <c r="N4352" s="1"/>
    </row>
    <row r="4353" ht="15.75" customHeight="1">
      <c r="A4353" t="s">
        <v>17</v>
      </c>
      <c r="B4353" t="s">
        <v>33</v>
      </c>
      <c r="C4353" t="s">
        <v>4905</v>
      </c>
      <c r="D4353" t="s">
        <v>4446</v>
      </c>
      <c r="E4353">
        <v>47653.14</v>
      </c>
      <c r="F4353">
        <v>11873.7</v>
      </c>
      <c r="G4353">
        <v>35430.1520345924</v>
      </c>
      <c r="H4353">
        <v>2321.11</v>
      </c>
      <c r="I4353">
        <v>94956.99</v>
      </c>
      <c r="J4353">
        <v>92635.88</v>
      </c>
      <c r="K4353" s="1"/>
      <c r="L4353" s="1"/>
      <c r="M4353" s="1"/>
      <c r="N4353" s="1"/>
    </row>
    <row r="4354" ht="15.75" customHeight="1">
      <c r="A4354" t="s">
        <v>51</v>
      </c>
      <c r="B4354" t="s">
        <v>26</v>
      </c>
      <c r="C4354" t="s">
        <v>4912</v>
      </c>
      <c r="D4354" t="s">
        <v>4447</v>
      </c>
      <c r="E4354">
        <v>49144.25</v>
      </c>
      <c r="F4354">
        <v>6157.96</v>
      </c>
      <c r="G4354">
        <v>35437.8320380219</v>
      </c>
      <c r="H4354">
        <v>7578.4</v>
      </c>
      <c r="I4354">
        <v>90740.04</v>
      </c>
      <c r="J4354">
        <v>83161.64</v>
      </c>
      <c r="K4354" s="1"/>
      <c r="L4354" s="1"/>
      <c r="M4354" s="1"/>
      <c r="N4354" s="1"/>
    </row>
    <row r="4355" ht="15.75" customHeight="1">
      <c r="A4355" t="s">
        <v>25</v>
      </c>
      <c r="B4355" t="s">
        <v>14</v>
      </c>
      <c r="C4355" t="s">
        <v>4908</v>
      </c>
      <c r="D4355" t="s">
        <v>4448</v>
      </c>
      <c r="E4355">
        <v>91608.65</v>
      </c>
      <c r="F4355">
        <v>8715.05</v>
      </c>
      <c r="G4355">
        <v>35445.5120414514</v>
      </c>
      <c r="H4355">
        <v>15872.26</v>
      </c>
      <c r="I4355">
        <v>135769.21</v>
      </c>
      <c r="J4355">
        <v>119896.95</v>
      </c>
      <c r="K4355" s="1"/>
      <c r="L4355" s="1"/>
      <c r="M4355" s="1"/>
      <c r="N4355" s="1"/>
    </row>
    <row r="4356" ht="15.75" customHeight="1">
      <c r="A4356" t="s">
        <v>53</v>
      </c>
      <c r="B4356" t="s">
        <v>54</v>
      </c>
      <c r="C4356" t="s">
        <v>4909</v>
      </c>
      <c r="D4356" t="s">
        <v>4449</v>
      </c>
      <c r="E4356">
        <v>81943.53</v>
      </c>
      <c r="F4356">
        <v>25815.89</v>
      </c>
      <c r="G4356">
        <v>35453.1920448809</v>
      </c>
      <c r="H4356">
        <v>14371.56</v>
      </c>
      <c r="I4356">
        <v>143212.61</v>
      </c>
      <c r="J4356">
        <v>128841.05</v>
      </c>
      <c r="K4356" s="1"/>
      <c r="L4356" s="1"/>
      <c r="M4356" s="1"/>
      <c r="N4356" s="1"/>
    </row>
    <row r="4357" ht="15.75" customHeight="1">
      <c r="A4357" t="s">
        <v>53</v>
      </c>
      <c r="B4357" t="s">
        <v>26</v>
      </c>
      <c r="C4357" t="s">
        <v>4913</v>
      </c>
      <c r="D4357" t="s">
        <v>4450</v>
      </c>
      <c r="E4357">
        <v>108157.34</v>
      </c>
      <c r="F4357">
        <v>34580.07</v>
      </c>
      <c r="G4357">
        <v>35460.8720483104</v>
      </c>
      <c r="H4357">
        <v>15497.67</v>
      </c>
      <c r="I4357">
        <v>178198.28</v>
      </c>
      <c r="J4357">
        <v>162700.61</v>
      </c>
      <c r="K4357" s="1"/>
      <c r="L4357" s="1"/>
      <c r="M4357" s="1"/>
      <c r="N4357" s="1"/>
    </row>
    <row r="4358" ht="15.75" customHeight="1">
      <c r="A4358" t="s">
        <v>25</v>
      </c>
      <c r="B4358" t="s">
        <v>33</v>
      </c>
      <c r="C4358" t="s">
        <v>4909</v>
      </c>
      <c r="D4358" t="s">
        <v>4451</v>
      </c>
      <c r="E4358">
        <v>64582.57</v>
      </c>
      <c r="F4358">
        <v>5619.89</v>
      </c>
      <c r="G4358">
        <v>35468.5520517399</v>
      </c>
      <c r="H4358">
        <v>13956.66</v>
      </c>
      <c r="I4358">
        <v>105671.01</v>
      </c>
      <c r="J4358">
        <v>91714.35</v>
      </c>
      <c r="K4358" s="1"/>
      <c r="L4358" s="1"/>
      <c r="M4358" s="1"/>
      <c r="N4358" s="1"/>
    </row>
    <row r="4359" ht="15.75" customHeight="1">
      <c r="A4359" t="s">
        <v>36</v>
      </c>
      <c r="B4359" t="s">
        <v>54</v>
      </c>
      <c r="C4359" t="s">
        <v>4914</v>
      </c>
      <c r="D4359" t="s">
        <v>4452</v>
      </c>
      <c r="E4359">
        <v>27557.4</v>
      </c>
      <c r="F4359">
        <v>30429.45</v>
      </c>
      <c r="G4359">
        <v>35476.2320551694</v>
      </c>
      <c r="H4359">
        <v>7189.21</v>
      </c>
      <c r="I4359">
        <v>93463.08</v>
      </c>
      <c r="J4359">
        <v>86273.87</v>
      </c>
      <c r="K4359" s="1"/>
      <c r="L4359" s="1"/>
      <c r="M4359" s="1"/>
      <c r="N4359" s="1"/>
    </row>
    <row r="4360" ht="15.75" customHeight="1">
      <c r="A4360" t="s">
        <v>53</v>
      </c>
      <c r="B4360" t="s">
        <v>37</v>
      </c>
      <c r="C4360" t="s">
        <v>4914</v>
      </c>
      <c r="D4360" t="s">
        <v>4453</v>
      </c>
      <c r="E4360">
        <v>89890.7</v>
      </c>
      <c r="F4360">
        <v>16287.47</v>
      </c>
      <c r="G4360">
        <v>35483.9120585989</v>
      </c>
      <c r="H4360">
        <v>6490.43</v>
      </c>
      <c r="I4360">
        <v>141662.08</v>
      </c>
      <c r="J4360">
        <v>135171.65</v>
      </c>
      <c r="K4360" s="1"/>
      <c r="L4360" s="1"/>
      <c r="M4360" s="1"/>
      <c r="N4360" s="1"/>
    </row>
    <row r="4361" ht="15.75" customHeight="1">
      <c r="A4361" t="s">
        <v>25</v>
      </c>
      <c r="B4361" t="s">
        <v>26</v>
      </c>
      <c r="C4361" t="s">
        <v>4914</v>
      </c>
      <c r="D4361" t="s">
        <v>4454</v>
      </c>
      <c r="E4361">
        <v>94882.43</v>
      </c>
      <c r="F4361">
        <v>21227.02</v>
      </c>
      <c r="G4361">
        <v>35491.5920620284</v>
      </c>
      <c r="H4361">
        <v>3857.96</v>
      </c>
      <c r="I4361">
        <v>151601.04</v>
      </c>
      <c r="J4361">
        <v>147743.08</v>
      </c>
      <c r="K4361" s="1"/>
      <c r="L4361" s="1"/>
      <c r="M4361" s="1"/>
      <c r="N4361" s="1"/>
    </row>
    <row r="4362" ht="15.75" customHeight="1">
      <c r="A4362" t="s">
        <v>13</v>
      </c>
      <c r="B4362" t="s">
        <v>37</v>
      </c>
      <c r="C4362" t="s">
        <v>4915</v>
      </c>
      <c r="D4362" t="s">
        <v>4455</v>
      </c>
      <c r="E4362">
        <v>73934.11</v>
      </c>
      <c r="F4362">
        <v>37438.94</v>
      </c>
      <c r="G4362">
        <v>35499.2720654579</v>
      </c>
      <c r="H4362">
        <v>21302.24</v>
      </c>
      <c r="I4362">
        <v>146872.32</v>
      </c>
      <c r="J4362">
        <v>125570.08</v>
      </c>
      <c r="K4362" s="1"/>
      <c r="L4362" s="1"/>
      <c r="M4362" s="1"/>
      <c r="N4362" s="1"/>
    </row>
    <row r="4363" ht="15.75" customHeight="1">
      <c r="A4363" t="s">
        <v>53</v>
      </c>
      <c r="B4363" t="s">
        <v>26</v>
      </c>
      <c r="C4363" t="s">
        <v>4908</v>
      </c>
      <c r="D4363" t="s">
        <v>4456</v>
      </c>
      <c r="E4363">
        <v>95951.55</v>
      </c>
      <c r="F4363">
        <v>15950.97</v>
      </c>
      <c r="G4363">
        <v>35506.9520688874</v>
      </c>
      <c r="H4363">
        <v>15603.74</v>
      </c>
      <c r="I4363">
        <v>147409.47</v>
      </c>
      <c r="J4363">
        <v>131805.73</v>
      </c>
      <c r="K4363" s="1"/>
      <c r="L4363" s="1"/>
      <c r="M4363" s="1"/>
      <c r="N4363" s="1"/>
    </row>
    <row r="4364" ht="15.75" customHeight="1">
      <c r="A4364" t="s">
        <v>53</v>
      </c>
      <c r="B4364" t="s">
        <v>26</v>
      </c>
      <c r="C4364" t="s">
        <v>4908</v>
      </c>
      <c r="D4364" t="s">
        <v>4457</v>
      </c>
      <c r="E4364">
        <v>66848.54</v>
      </c>
      <c r="F4364">
        <v>20752.13</v>
      </c>
      <c r="G4364">
        <v>35514.6320723169</v>
      </c>
      <c r="H4364">
        <v>5069.52</v>
      </c>
      <c r="I4364">
        <v>123115.3</v>
      </c>
      <c r="J4364">
        <v>118045.78</v>
      </c>
      <c r="K4364" s="1"/>
      <c r="L4364" s="1"/>
      <c r="M4364" s="1"/>
      <c r="N4364" s="1"/>
    </row>
    <row r="4365" ht="15.75" customHeight="1">
      <c r="A4365" t="s">
        <v>17</v>
      </c>
      <c r="B4365" t="s">
        <v>30</v>
      </c>
      <c r="C4365" t="s">
        <v>4912</v>
      </c>
      <c r="D4365" t="s">
        <v>4458</v>
      </c>
      <c r="E4365">
        <v>69886.95</v>
      </c>
      <c r="F4365">
        <v>4492.57</v>
      </c>
      <c r="G4365">
        <v>35522.3120757464</v>
      </c>
      <c r="H4365">
        <v>4841.63</v>
      </c>
      <c r="I4365">
        <v>109901.83</v>
      </c>
      <c r="J4365">
        <v>105060.2</v>
      </c>
      <c r="K4365" s="1"/>
      <c r="L4365" s="1"/>
      <c r="M4365" s="1"/>
      <c r="N4365" s="1"/>
    </row>
    <row r="4366" ht="15.75" customHeight="1">
      <c r="A4366" t="s">
        <v>13</v>
      </c>
      <c r="B4366" t="s">
        <v>26</v>
      </c>
      <c r="C4366" t="s">
        <v>4905</v>
      </c>
      <c r="D4366" t="s">
        <v>4459</v>
      </c>
      <c r="E4366">
        <v>59891.81</v>
      </c>
      <c r="F4366">
        <v>6937.55</v>
      </c>
      <c r="G4366">
        <v>35529.9920791759</v>
      </c>
      <c r="H4366">
        <v>21889.37</v>
      </c>
      <c r="I4366">
        <v>102359.35</v>
      </c>
      <c r="J4366">
        <v>80469.98</v>
      </c>
      <c r="K4366" s="1"/>
      <c r="L4366" s="1"/>
      <c r="M4366" s="1"/>
      <c r="N4366" s="1"/>
    </row>
    <row r="4367" ht="15.75" customHeight="1">
      <c r="A4367" t="s">
        <v>36</v>
      </c>
      <c r="B4367" t="s">
        <v>37</v>
      </c>
      <c r="C4367" t="s">
        <v>4907</v>
      </c>
      <c r="D4367" t="s">
        <v>4460</v>
      </c>
      <c r="E4367">
        <v>17669.01</v>
      </c>
      <c r="F4367">
        <v>13309.3</v>
      </c>
      <c r="G4367">
        <v>35537.6720826054</v>
      </c>
      <c r="H4367">
        <v>18696.91</v>
      </c>
      <c r="I4367">
        <v>66515.98</v>
      </c>
      <c r="J4367">
        <v>47819.07</v>
      </c>
      <c r="K4367" s="1"/>
      <c r="L4367" s="1"/>
      <c r="M4367" s="1"/>
      <c r="N4367" s="1"/>
    </row>
    <row r="4368" ht="15.75" customHeight="1">
      <c r="A4368" t="s">
        <v>53</v>
      </c>
      <c r="B4368" t="s">
        <v>37</v>
      </c>
      <c r="C4368" t="s">
        <v>4905</v>
      </c>
      <c r="D4368" t="s">
        <v>4461</v>
      </c>
      <c r="E4368">
        <v>26328.6</v>
      </c>
      <c r="F4368">
        <v>5002.68</v>
      </c>
      <c r="G4368">
        <v>35545.3520860349</v>
      </c>
      <c r="H4368">
        <v>16655.28</v>
      </c>
      <c r="I4368">
        <v>66876.63</v>
      </c>
      <c r="J4368">
        <v>50221.35</v>
      </c>
      <c r="K4368" s="1"/>
      <c r="L4368" s="1"/>
      <c r="M4368" s="1"/>
      <c r="N4368" s="1"/>
    </row>
    <row r="4369" ht="15.75" customHeight="1">
      <c r="A4369" t="s">
        <v>29</v>
      </c>
      <c r="B4369" t="s">
        <v>30</v>
      </c>
      <c r="C4369" t="s">
        <v>4912</v>
      </c>
      <c r="D4369" t="s">
        <v>4462</v>
      </c>
      <c r="E4369">
        <v>18300.06</v>
      </c>
      <c r="F4369">
        <v>26729.51</v>
      </c>
      <c r="G4369">
        <v>35553.0320894644</v>
      </c>
      <c r="H4369">
        <v>10468.17</v>
      </c>
      <c r="I4369">
        <v>80582.6</v>
      </c>
      <c r="J4369">
        <v>70114.43</v>
      </c>
      <c r="K4369" s="1"/>
      <c r="L4369" s="1"/>
      <c r="M4369" s="1"/>
      <c r="N4369" s="1"/>
    </row>
    <row r="4370" ht="15.75" customHeight="1">
      <c r="A4370" t="s">
        <v>13</v>
      </c>
      <c r="B4370" t="s">
        <v>30</v>
      </c>
      <c r="C4370" t="s">
        <v>4915</v>
      </c>
      <c r="D4370" t="s">
        <v>4463</v>
      </c>
      <c r="E4370">
        <v>81823.09</v>
      </c>
      <c r="F4370">
        <v>19350.34</v>
      </c>
      <c r="G4370">
        <v>35560.7120928939</v>
      </c>
      <c r="H4370">
        <v>6918.4</v>
      </c>
      <c r="I4370">
        <v>136734.14</v>
      </c>
      <c r="J4370">
        <v>129815.74</v>
      </c>
      <c r="K4370" s="1"/>
      <c r="L4370" s="1"/>
      <c r="M4370" s="1"/>
      <c r="N4370" s="1"/>
    </row>
    <row r="4371" ht="15.75" customHeight="1">
      <c r="A4371" t="s">
        <v>13</v>
      </c>
      <c r="B4371" t="s">
        <v>30</v>
      </c>
      <c r="C4371" t="s">
        <v>4908</v>
      </c>
      <c r="D4371" t="s">
        <v>4464</v>
      </c>
      <c r="E4371">
        <v>48007.38</v>
      </c>
      <c r="F4371">
        <v>23733.23</v>
      </c>
      <c r="G4371">
        <v>35568.3920963234</v>
      </c>
      <c r="H4371">
        <v>24496.54</v>
      </c>
      <c r="I4371">
        <v>107309.0</v>
      </c>
      <c r="J4371">
        <v>82812.46</v>
      </c>
      <c r="K4371" s="1"/>
      <c r="L4371" s="1"/>
      <c r="M4371" s="1"/>
      <c r="N4371" s="1"/>
    </row>
    <row r="4372" ht="15.75" customHeight="1">
      <c r="A4372" t="s">
        <v>13</v>
      </c>
      <c r="B4372" t="s">
        <v>37</v>
      </c>
      <c r="C4372" t="s">
        <v>4913</v>
      </c>
      <c r="D4372" t="s">
        <v>4465</v>
      </c>
      <c r="E4372">
        <v>68399.92</v>
      </c>
      <c r="F4372">
        <v>10287.3</v>
      </c>
      <c r="G4372">
        <v>35576.0720997529</v>
      </c>
      <c r="H4372">
        <v>20032.37</v>
      </c>
      <c r="I4372">
        <v>114263.29</v>
      </c>
      <c r="J4372">
        <v>94230.92</v>
      </c>
      <c r="K4372" s="1"/>
      <c r="L4372" s="1"/>
      <c r="M4372" s="1"/>
      <c r="N4372" s="1"/>
    </row>
    <row r="4373" ht="15.75" customHeight="1">
      <c r="A4373" t="s">
        <v>13</v>
      </c>
      <c r="B4373" t="s">
        <v>14</v>
      </c>
      <c r="C4373" t="s">
        <v>4915</v>
      </c>
      <c r="D4373" t="s">
        <v>4466</v>
      </c>
      <c r="E4373">
        <v>110294.48</v>
      </c>
      <c r="F4373">
        <v>14653.55</v>
      </c>
      <c r="G4373">
        <v>35583.7521031823</v>
      </c>
      <c r="H4373">
        <v>7893.59</v>
      </c>
      <c r="I4373">
        <v>160531.78</v>
      </c>
      <c r="J4373">
        <v>152638.19</v>
      </c>
      <c r="K4373" s="1"/>
      <c r="L4373" s="1"/>
      <c r="M4373" s="1"/>
      <c r="N4373" s="1"/>
    </row>
    <row r="4374" ht="15.75" customHeight="1">
      <c r="A4374" t="s">
        <v>17</v>
      </c>
      <c r="B4374" t="s">
        <v>54</v>
      </c>
      <c r="C4374" t="s">
        <v>4913</v>
      </c>
      <c r="D4374" t="s">
        <v>4467</v>
      </c>
      <c r="E4374">
        <v>41175.68</v>
      </c>
      <c r="F4374">
        <v>27897.68</v>
      </c>
      <c r="G4374">
        <v>35591.4321066118</v>
      </c>
      <c r="H4374">
        <v>21265.34</v>
      </c>
      <c r="I4374">
        <v>104664.79</v>
      </c>
      <c r="J4374">
        <v>83399.45</v>
      </c>
      <c r="K4374" s="1"/>
      <c r="L4374" s="1"/>
      <c r="M4374" s="1"/>
      <c r="N4374" s="1"/>
    </row>
    <row r="4375" ht="15.75" customHeight="1">
      <c r="A4375" t="s">
        <v>25</v>
      </c>
      <c r="B4375" t="s">
        <v>54</v>
      </c>
      <c r="C4375" t="s">
        <v>4908</v>
      </c>
      <c r="D4375" t="s">
        <v>4468</v>
      </c>
      <c r="E4375">
        <v>58090.21</v>
      </c>
      <c r="F4375">
        <v>38750.9</v>
      </c>
      <c r="G4375">
        <v>35599.1121100413</v>
      </c>
      <c r="H4375">
        <v>19093.83</v>
      </c>
      <c r="I4375">
        <v>132440.22</v>
      </c>
      <c r="J4375">
        <v>113346.39</v>
      </c>
      <c r="K4375" s="1"/>
      <c r="L4375" s="1"/>
      <c r="M4375" s="1"/>
      <c r="N4375" s="1"/>
    </row>
    <row r="4376" ht="15.75" customHeight="1">
      <c r="A4376" t="s">
        <v>29</v>
      </c>
      <c r="B4376" t="s">
        <v>37</v>
      </c>
      <c r="C4376" t="s">
        <v>4913</v>
      </c>
      <c r="D4376" t="s">
        <v>4469</v>
      </c>
      <c r="E4376">
        <v>94332.87</v>
      </c>
      <c r="F4376">
        <v>5815.0</v>
      </c>
      <c r="G4376">
        <v>35606.7921134708</v>
      </c>
      <c r="H4376">
        <v>7778.47</v>
      </c>
      <c r="I4376">
        <v>135754.66</v>
      </c>
      <c r="J4376">
        <v>127976.19</v>
      </c>
      <c r="K4376" s="1"/>
      <c r="L4376" s="1"/>
      <c r="M4376" s="1"/>
      <c r="N4376" s="1"/>
    </row>
    <row r="4377" ht="15.75" customHeight="1">
      <c r="A4377" t="s">
        <v>51</v>
      </c>
      <c r="B4377" t="s">
        <v>26</v>
      </c>
      <c r="C4377" t="s">
        <v>4912</v>
      </c>
      <c r="D4377" t="s">
        <v>4470</v>
      </c>
      <c r="E4377">
        <v>39023.81</v>
      </c>
      <c r="F4377">
        <v>36053.84</v>
      </c>
      <c r="G4377">
        <v>35614.4721169003</v>
      </c>
      <c r="H4377">
        <v>10950.54</v>
      </c>
      <c r="I4377">
        <v>110692.12</v>
      </c>
      <c r="J4377">
        <v>99741.58</v>
      </c>
      <c r="K4377" s="1"/>
      <c r="L4377" s="1"/>
      <c r="M4377" s="1"/>
      <c r="N4377" s="1"/>
    </row>
    <row r="4378" ht="15.75" customHeight="1">
      <c r="A4378" t="s">
        <v>13</v>
      </c>
      <c r="B4378" t="s">
        <v>33</v>
      </c>
      <c r="C4378" t="s">
        <v>4907</v>
      </c>
      <c r="D4378" t="s">
        <v>4471</v>
      </c>
      <c r="E4378">
        <v>23082.89</v>
      </c>
      <c r="F4378">
        <v>24767.72</v>
      </c>
      <c r="G4378">
        <v>35622.1521203298</v>
      </c>
      <c r="H4378">
        <v>5055.86</v>
      </c>
      <c r="I4378">
        <v>83472.76</v>
      </c>
      <c r="J4378">
        <v>78416.9</v>
      </c>
      <c r="K4378" s="1"/>
      <c r="L4378" s="1"/>
      <c r="M4378" s="1"/>
      <c r="N4378" s="1"/>
    </row>
    <row r="4379" ht="15.75" customHeight="1">
      <c r="A4379" t="s">
        <v>51</v>
      </c>
      <c r="B4379" t="s">
        <v>14</v>
      </c>
      <c r="C4379" t="s">
        <v>4914</v>
      </c>
      <c r="D4379" t="s">
        <v>4472</v>
      </c>
      <c r="E4379">
        <v>45423.9</v>
      </c>
      <c r="F4379">
        <v>24301.1</v>
      </c>
      <c r="G4379">
        <v>35629.8321237593</v>
      </c>
      <c r="H4379">
        <v>3220.78</v>
      </c>
      <c r="I4379">
        <v>105354.83</v>
      </c>
      <c r="J4379">
        <v>102134.05</v>
      </c>
      <c r="K4379" s="1"/>
      <c r="L4379" s="1"/>
      <c r="M4379" s="1"/>
      <c r="N4379" s="1"/>
    </row>
    <row r="4380" ht="15.75" customHeight="1">
      <c r="A4380" t="s">
        <v>25</v>
      </c>
      <c r="B4380" t="s">
        <v>33</v>
      </c>
      <c r="C4380" t="s">
        <v>4912</v>
      </c>
      <c r="D4380" t="s">
        <v>4473</v>
      </c>
      <c r="E4380">
        <v>31928.24</v>
      </c>
      <c r="F4380">
        <v>22010.03</v>
      </c>
      <c r="G4380">
        <v>35637.5121271888</v>
      </c>
      <c r="H4380">
        <v>18207.67</v>
      </c>
      <c r="I4380">
        <v>89575.78</v>
      </c>
      <c r="J4380">
        <v>71368.11</v>
      </c>
      <c r="K4380" s="1"/>
      <c r="L4380" s="1"/>
      <c r="M4380" s="1"/>
      <c r="N4380" s="1"/>
    </row>
    <row r="4381" ht="15.75" customHeight="1">
      <c r="A4381" t="s">
        <v>17</v>
      </c>
      <c r="B4381" t="s">
        <v>54</v>
      </c>
      <c r="C4381" t="s">
        <v>4911</v>
      </c>
      <c r="D4381" t="s">
        <v>4474</v>
      </c>
      <c r="E4381">
        <v>112618.25</v>
      </c>
      <c r="F4381">
        <v>6498.19</v>
      </c>
      <c r="G4381">
        <v>35645.1921306183</v>
      </c>
      <c r="H4381">
        <v>7054.04</v>
      </c>
      <c r="I4381">
        <v>154761.63</v>
      </c>
      <c r="J4381">
        <v>147707.59</v>
      </c>
      <c r="K4381" s="1"/>
      <c r="L4381" s="1"/>
      <c r="M4381" s="1"/>
      <c r="N4381" s="1"/>
    </row>
    <row r="4382" ht="15.75" customHeight="1">
      <c r="A4382" t="s">
        <v>36</v>
      </c>
      <c r="B4382" t="s">
        <v>37</v>
      </c>
      <c r="C4382" t="s">
        <v>4908</v>
      </c>
      <c r="D4382" t="s">
        <v>4475</v>
      </c>
      <c r="E4382">
        <v>81507.39</v>
      </c>
      <c r="F4382">
        <v>25632.83</v>
      </c>
      <c r="G4382">
        <v>35660.5521374773</v>
      </c>
      <c r="H4382">
        <v>24892.41</v>
      </c>
      <c r="I4382">
        <v>142800.77</v>
      </c>
      <c r="J4382">
        <v>117908.36</v>
      </c>
      <c r="K4382" s="1"/>
      <c r="L4382" s="1"/>
      <c r="M4382" s="1"/>
      <c r="N4382" s="1"/>
    </row>
    <row r="4383" ht="15.75" customHeight="1">
      <c r="A4383" t="s">
        <v>36</v>
      </c>
      <c r="B4383" t="s">
        <v>26</v>
      </c>
      <c r="C4383" t="s">
        <v>4909</v>
      </c>
      <c r="D4383" t="s">
        <v>4476</v>
      </c>
      <c r="E4383">
        <v>106503.36</v>
      </c>
      <c r="F4383">
        <v>16274.51</v>
      </c>
      <c r="G4383">
        <v>35668.2321409068</v>
      </c>
      <c r="H4383">
        <v>2377.19</v>
      </c>
      <c r="I4383">
        <v>158446.1</v>
      </c>
      <c r="J4383">
        <v>156068.91</v>
      </c>
      <c r="K4383" s="1"/>
      <c r="L4383" s="1"/>
      <c r="M4383" s="1"/>
      <c r="N4383" s="1"/>
    </row>
    <row r="4384" ht="15.75" customHeight="1">
      <c r="A4384" t="s">
        <v>36</v>
      </c>
      <c r="B4384" t="s">
        <v>18</v>
      </c>
      <c r="C4384" t="s">
        <v>4912</v>
      </c>
      <c r="D4384" t="s">
        <v>4477</v>
      </c>
      <c r="E4384">
        <v>99385.57</v>
      </c>
      <c r="F4384">
        <v>37021.65</v>
      </c>
      <c r="G4384">
        <v>35675.9121443363</v>
      </c>
      <c r="H4384">
        <v>12089.36</v>
      </c>
      <c r="I4384">
        <v>172083.13</v>
      </c>
      <c r="J4384">
        <v>159993.77</v>
      </c>
      <c r="K4384" s="1"/>
      <c r="L4384" s="1"/>
      <c r="M4384" s="1"/>
      <c r="N4384" s="1"/>
    </row>
    <row r="4385" ht="15.75" customHeight="1">
      <c r="A4385" t="s">
        <v>53</v>
      </c>
      <c r="B4385" t="s">
        <v>18</v>
      </c>
      <c r="C4385" t="s">
        <v>4914</v>
      </c>
      <c r="D4385" t="s">
        <v>4478</v>
      </c>
      <c r="E4385">
        <v>34589.86</v>
      </c>
      <c r="F4385">
        <v>18637.26</v>
      </c>
      <c r="G4385">
        <v>35683.5921477658</v>
      </c>
      <c r="H4385">
        <v>20150.53</v>
      </c>
      <c r="I4385">
        <v>88910.71</v>
      </c>
      <c r="J4385">
        <v>68760.18</v>
      </c>
      <c r="K4385" s="1"/>
      <c r="L4385" s="1"/>
      <c r="M4385" s="1"/>
      <c r="N4385" s="1"/>
    </row>
    <row r="4386" ht="15.75" customHeight="1">
      <c r="A4386" t="s">
        <v>36</v>
      </c>
      <c r="B4386" t="s">
        <v>37</v>
      </c>
      <c r="C4386" t="s">
        <v>4905</v>
      </c>
      <c r="D4386" t="s">
        <v>4479</v>
      </c>
      <c r="E4386">
        <v>108718.69</v>
      </c>
      <c r="F4386">
        <v>9158.13</v>
      </c>
      <c r="G4386">
        <v>35691.2721511953</v>
      </c>
      <c r="H4386">
        <v>19829.3</v>
      </c>
      <c r="I4386">
        <v>153568.09</v>
      </c>
      <c r="J4386">
        <v>133738.79</v>
      </c>
      <c r="K4386" s="1"/>
      <c r="L4386" s="1"/>
      <c r="M4386" s="1"/>
      <c r="N4386" s="1"/>
    </row>
    <row r="4387" ht="15.75" customHeight="1">
      <c r="A4387" t="s">
        <v>36</v>
      </c>
      <c r="B4387" t="s">
        <v>33</v>
      </c>
      <c r="C4387" t="s">
        <v>4916</v>
      </c>
      <c r="D4387" t="s">
        <v>4480</v>
      </c>
      <c r="E4387">
        <v>71630.94</v>
      </c>
      <c r="F4387">
        <v>29729.88</v>
      </c>
      <c r="G4387">
        <v>35698.9521546248</v>
      </c>
      <c r="H4387">
        <v>19119.93</v>
      </c>
      <c r="I4387">
        <v>137059.77</v>
      </c>
      <c r="J4387">
        <v>117939.84</v>
      </c>
      <c r="K4387" s="1"/>
      <c r="L4387" s="1"/>
      <c r="M4387" s="1"/>
      <c r="N4387" s="1"/>
    </row>
    <row r="4388" ht="15.75" customHeight="1">
      <c r="A4388" t="s">
        <v>29</v>
      </c>
      <c r="B4388" t="s">
        <v>14</v>
      </c>
      <c r="C4388" t="s">
        <v>4916</v>
      </c>
      <c r="D4388" t="s">
        <v>4481</v>
      </c>
      <c r="E4388">
        <v>99781.22</v>
      </c>
      <c r="F4388">
        <v>14560.72</v>
      </c>
      <c r="G4388">
        <v>35706.6321580543</v>
      </c>
      <c r="H4388">
        <v>9050.38</v>
      </c>
      <c r="I4388">
        <v>150048.57</v>
      </c>
      <c r="J4388">
        <v>140998.19</v>
      </c>
      <c r="K4388" s="1"/>
      <c r="L4388" s="1"/>
      <c r="M4388" s="1"/>
      <c r="N4388" s="1"/>
    </row>
    <row r="4389" ht="15.75" customHeight="1">
      <c r="A4389" t="s">
        <v>13</v>
      </c>
      <c r="B4389" t="s">
        <v>33</v>
      </c>
      <c r="C4389" t="s">
        <v>4914</v>
      </c>
      <c r="D4389" t="s">
        <v>4482</v>
      </c>
      <c r="E4389">
        <v>109089.59</v>
      </c>
      <c r="F4389">
        <v>22916.93</v>
      </c>
      <c r="G4389">
        <v>35714.3121614838</v>
      </c>
      <c r="H4389">
        <v>11619.4</v>
      </c>
      <c r="I4389">
        <v>167720.83</v>
      </c>
      <c r="J4389">
        <v>156101.43</v>
      </c>
      <c r="K4389" s="1"/>
      <c r="L4389" s="1"/>
      <c r="M4389" s="1"/>
      <c r="N4389" s="1"/>
    </row>
    <row r="4390" ht="15.75" customHeight="1">
      <c r="A4390" t="s">
        <v>36</v>
      </c>
      <c r="B4390" t="s">
        <v>33</v>
      </c>
      <c r="C4390" t="s">
        <v>4907</v>
      </c>
      <c r="D4390" t="s">
        <v>4483</v>
      </c>
      <c r="E4390">
        <v>48390.36</v>
      </c>
      <c r="F4390">
        <v>29121.98</v>
      </c>
      <c r="G4390">
        <v>35721.9921649133</v>
      </c>
      <c r="H4390">
        <v>15076.72</v>
      </c>
      <c r="I4390">
        <v>113234.33</v>
      </c>
      <c r="J4390">
        <v>98157.61</v>
      </c>
      <c r="K4390" s="1"/>
      <c r="L4390" s="1"/>
      <c r="M4390" s="1"/>
      <c r="N4390" s="1"/>
    </row>
    <row r="4391" ht="15.75" customHeight="1">
      <c r="A4391" t="s">
        <v>53</v>
      </c>
      <c r="B4391" t="s">
        <v>54</v>
      </c>
      <c r="C4391" t="s">
        <v>4910</v>
      </c>
      <c r="D4391" t="s">
        <v>4484</v>
      </c>
      <c r="E4391">
        <v>26555.45</v>
      </c>
      <c r="F4391">
        <v>36409.51</v>
      </c>
      <c r="G4391">
        <v>35729.6721683428</v>
      </c>
      <c r="H4391">
        <v>24361.54</v>
      </c>
      <c r="I4391">
        <v>98694.63</v>
      </c>
      <c r="J4391">
        <v>74333.09</v>
      </c>
      <c r="K4391" s="1"/>
      <c r="L4391" s="1"/>
      <c r="M4391" s="1"/>
      <c r="N4391" s="1"/>
    </row>
    <row r="4392" ht="15.75" customHeight="1">
      <c r="A4392" t="s">
        <v>13</v>
      </c>
      <c r="B4392" t="s">
        <v>33</v>
      </c>
      <c r="C4392" t="s">
        <v>4907</v>
      </c>
      <c r="D4392" t="s">
        <v>4485</v>
      </c>
      <c r="E4392">
        <v>38933.19</v>
      </c>
      <c r="F4392">
        <v>32518.88</v>
      </c>
      <c r="G4392">
        <v>35737.3521717723</v>
      </c>
      <c r="H4392">
        <v>8524.91</v>
      </c>
      <c r="I4392">
        <v>107189.42</v>
      </c>
      <c r="J4392">
        <v>98664.51</v>
      </c>
      <c r="K4392" s="1"/>
      <c r="L4392" s="1"/>
      <c r="M4392" s="1"/>
      <c r="N4392" s="1"/>
    </row>
    <row r="4393" ht="15.75" customHeight="1">
      <c r="A4393" t="s">
        <v>51</v>
      </c>
      <c r="B4393" t="s">
        <v>26</v>
      </c>
      <c r="C4393" t="s">
        <v>4908</v>
      </c>
      <c r="D4393" t="s">
        <v>4486</v>
      </c>
      <c r="E4393">
        <v>59846.32</v>
      </c>
      <c r="F4393">
        <v>28349.0</v>
      </c>
      <c r="G4393">
        <v>35745.0321752018</v>
      </c>
      <c r="H4393">
        <v>23117.03</v>
      </c>
      <c r="I4393">
        <v>123940.35</v>
      </c>
      <c r="J4393">
        <v>100823.32</v>
      </c>
      <c r="K4393" s="1"/>
      <c r="L4393" s="1"/>
      <c r="M4393" s="1"/>
      <c r="N4393" s="1"/>
    </row>
    <row r="4394" ht="15.75" customHeight="1">
      <c r="A4394" t="s">
        <v>13</v>
      </c>
      <c r="B4394" t="s">
        <v>33</v>
      </c>
      <c r="C4394" t="s">
        <v>4909</v>
      </c>
      <c r="D4394" t="s">
        <v>4487</v>
      </c>
      <c r="E4394">
        <v>100891.55</v>
      </c>
      <c r="F4394">
        <v>28466.79</v>
      </c>
      <c r="G4394">
        <v>35752.7121786313</v>
      </c>
      <c r="H4394">
        <v>7099.24</v>
      </c>
      <c r="I4394">
        <v>165111.05</v>
      </c>
      <c r="J4394">
        <v>158011.81</v>
      </c>
      <c r="K4394" s="1"/>
      <c r="L4394" s="1"/>
      <c r="M4394" s="1"/>
      <c r="N4394" s="1"/>
    </row>
    <row r="4395" ht="15.75" customHeight="1">
      <c r="A4395" t="s">
        <v>53</v>
      </c>
      <c r="B4395" t="s">
        <v>26</v>
      </c>
      <c r="C4395" t="s">
        <v>4912</v>
      </c>
      <c r="D4395" t="s">
        <v>4488</v>
      </c>
      <c r="E4395">
        <v>105376.71</v>
      </c>
      <c r="F4395">
        <v>38053.29</v>
      </c>
      <c r="G4395">
        <v>35760.3921820608</v>
      </c>
      <c r="H4395">
        <v>24732.32</v>
      </c>
      <c r="I4395">
        <v>179190.39</v>
      </c>
      <c r="J4395">
        <v>154458.07</v>
      </c>
      <c r="K4395" s="1"/>
      <c r="L4395" s="1"/>
      <c r="M4395" s="1"/>
      <c r="N4395" s="1"/>
    </row>
    <row r="4396" ht="15.75" customHeight="1">
      <c r="A4396" t="s">
        <v>53</v>
      </c>
      <c r="B4396" t="s">
        <v>54</v>
      </c>
      <c r="C4396" t="s">
        <v>4912</v>
      </c>
      <c r="D4396" t="s">
        <v>4489</v>
      </c>
      <c r="E4396">
        <v>15729.97</v>
      </c>
      <c r="F4396">
        <v>14649.67</v>
      </c>
      <c r="G4396">
        <v>35768.0721854903</v>
      </c>
      <c r="H4396">
        <v>16921.46</v>
      </c>
      <c r="I4396">
        <v>66147.71</v>
      </c>
      <c r="J4396">
        <v>49226.25</v>
      </c>
      <c r="K4396" s="1"/>
      <c r="L4396" s="1"/>
      <c r="M4396" s="1"/>
      <c r="N4396" s="1"/>
    </row>
    <row r="4397" ht="15.75" customHeight="1">
      <c r="A4397" t="s">
        <v>51</v>
      </c>
      <c r="B4397" t="s">
        <v>54</v>
      </c>
      <c r="C4397" t="s">
        <v>4905</v>
      </c>
      <c r="D4397" t="s">
        <v>4490</v>
      </c>
      <c r="E4397">
        <v>68628.47</v>
      </c>
      <c r="F4397">
        <v>4040.04</v>
      </c>
      <c r="G4397">
        <v>35775.7521889198</v>
      </c>
      <c r="H4397">
        <v>11856.03</v>
      </c>
      <c r="I4397">
        <v>108444.26</v>
      </c>
      <c r="J4397">
        <v>96588.23</v>
      </c>
      <c r="K4397" s="1"/>
      <c r="L4397" s="1"/>
      <c r="M4397" s="1"/>
      <c r="N4397" s="1"/>
    </row>
    <row r="4398" ht="15.75" customHeight="1">
      <c r="A4398" t="s">
        <v>13</v>
      </c>
      <c r="B4398" t="s">
        <v>30</v>
      </c>
      <c r="C4398" t="s">
        <v>4911</v>
      </c>
      <c r="D4398" t="s">
        <v>4491</v>
      </c>
      <c r="E4398">
        <v>58828.16</v>
      </c>
      <c r="F4398">
        <v>13790.36</v>
      </c>
      <c r="G4398">
        <v>35783.4321923493</v>
      </c>
      <c r="H4398">
        <v>15528.07</v>
      </c>
      <c r="I4398">
        <v>108401.95</v>
      </c>
      <c r="J4398">
        <v>92873.88</v>
      </c>
      <c r="K4398" s="1"/>
      <c r="L4398" s="1"/>
      <c r="M4398" s="1"/>
      <c r="N4398" s="1"/>
    </row>
    <row r="4399" ht="15.75" customHeight="1">
      <c r="A4399" t="s">
        <v>25</v>
      </c>
      <c r="B4399" t="s">
        <v>26</v>
      </c>
      <c r="C4399" t="s">
        <v>4915</v>
      </c>
      <c r="D4399" t="s">
        <v>4492</v>
      </c>
      <c r="E4399">
        <v>38321.32</v>
      </c>
      <c r="F4399">
        <v>11844.09</v>
      </c>
      <c r="G4399">
        <v>35791.1121957788</v>
      </c>
      <c r="H4399">
        <v>7177.01</v>
      </c>
      <c r="I4399">
        <v>85956.52</v>
      </c>
      <c r="J4399">
        <v>78779.51</v>
      </c>
      <c r="K4399" s="1"/>
      <c r="L4399" s="1"/>
      <c r="M4399" s="1"/>
      <c r="N4399" s="1"/>
    </row>
    <row r="4400" ht="15.75" customHeight="1">
      <c r="A4400" t="s">
        <v>53</v>
      </c>
      <c r="B4400" t="s">
        <v>54</v>
      </c>
      <c r="C4400" t="s">
        <v>4912</v>
      </c>
      <c r="D4400" t="s">
        <v>4493</v>
      </c>
      <c r="E4400">
        <v>27585.86</v>
      </c>
      <c r="F4400">
        <v>27826.05</v>
      </c>
      <c r="G4400">
        <v>35798.7921992083</v>
      </c>
      <c r="H4400">
        <v>7217.26</v>
      </c>
      <c r="I4400">
        <v>91210.7</v>
      </c>
      <c r="J4400">
        <v>83993.44</v>
      </c>
      <c r="K4400" s="1"/>
      <c r="L4400" s="1"/>
      <c r="M4400" s="1"/>
      <c r="N4400" s="1"/>
    </row>
    <row r="4401" ht="15.75" customHeight="1">
      <c r="A4401" t="s">
        <v>51</v>
      </c>
      <c r="B4401" t="s">
        <v>26</v>
      </c>
      <c r="C4401" t="s">
        <v>4907</v>
      </c>
      <c r="D4401" t="s">
        <v>4494</v>
      </c>
      <c r="E4401">
        <v>50449.59</v>
      </c>
      <c r="F4401">
        <v>26813.62</v>
      </c>
      <c r="G4401">
        <v>35806.4722026378</v>
      </c>
      <c r="H4401">
        <v>3282.09</v>
      </c>
      <c r="I4401">
        <v>113069.68</v>
      </c>
      <c r="J4401">
        <v>109787.59</v>
      </c>
      <c r="K4401" s="1"/>
      <c r="L4401" s="1"/>
      <c r="M4401" s="1"/>
      <c r="N4401" s="1"/>
    </row>
    <row r="4402" ht="15.75" customHeight="1">
      <c r="A4402" t="s">
        <v>53</v>
      </c>
      <c r="B4402" t="s">
        <v>30</v>
      </c>
      <c r="C4402" t="s">
        <v>4912</v>
      </c>
      <c r="D4402" t="s">
        <v>4495</v>
      </c>
      <c r="E4402">
        <v>48936.31</v>
      </c>
      <c r="F4402">
        <v>4584.76</v>
      </c>
      <c r="G4402">
        <v>35821.8322094968</v>
      </c>
      <c r="H4402">
        <v>9017.96</v>
      </c>
      <c r="I4402">
        <v>89342.9</v>
      </c>
      <c r="J4402">
        <v>80324.94</v>
      </c>
      <c r="K4402" s="1"/>
      <c r="L4402" s="1"/>
      <c r="M4402" s="1"/>
      <c r="N4402" s="1"/>
    </row>
    <row r="4403" ht="15.75" customHeight="1">
      <c r="A4403" t="s">
        <v>25</v>
      </c>
      <c r="B4403" t="s">
        <v>54</v>
      </c>
      <c r="C4403" t="s">
        <v>4909</v>
      </c>
      <c r="D4403" t="s">
        <v>4496</v>
      </c>
      <c r="E4403">
        <v>69473.02</v>
      </c>
      <c r="F4403">
        <v>30236.01</v>
      </c>
      <c r="G4403">
        <v>35829.5122129263</v>
      </c>
      <c r="H4403">
        <v>19189.96</v>
      </c>
      <c r="I4403">
        <v>135538.54</v>
      </c>
      <c r="J4403">
        <v>116348.58</v>
      </c>
      <c r="K4403" s="1"/>
      <c r="L4403" s="1"/>
      <c r="M4403" s="1"/>
      <c r="N4403" s="1"/>
    </row>
    <row r="4404" ht="15.75" customHeight="1">
      <c r="A4404" t="s">
        <v>13</v>
      </c>
      <c r="B4404" t="s">
        <v>30</v>
      </c>
      <c r="C4404" t="s">
        <v>4911</v>
      </c>
      <c r="D4404" t="s">
        <v>4497</v>
      </c>
      <c r="E4404">
        <v>88816.99</v>
      </c>
      <c r="F4404">
        <v>15647.09</v>
      </c>
      <c r="G4404">
        <v>35837.1922163558</v>
      </c>
      <c r="H4404">
        <v>15395.29</v>
      </c>
      <c r="I4404">
        <v>140301.27</v>
      </c>
      <c r="J4404">
        <v>124905.98</v>
      </c>
      <c r="K4404" s="1"/>
      <c r="L4404" s="1"/>
      <c r="M4404" s="1"/>
      <c r="N4404" s="1"/>
    </row>
    <row r="4405" ht="15.75" customHeight="1">
      <c r="A4405" t="s">
        <v>29</v>
      </c>
      <c r="B4405" t="s">
        <v>26</v>
      </c>
      <c r="C4405" t="s">
        <v>4915</v>
      </c>
      <c r="D4405" t="s">
        <v>4498</v>
      </c>
      <c r="E4405">
        <v>53181.11</v>
      </c>
      <c r="F4405">
        <v>27942.02</v>
      </c>
      <c r="G4405">
        <v>35844.8722197853</v>
      </c>
      <c r="H4405">
        <v>3013.32</v>
      </c>
      <c r="I4405">
        <v>116968.0</v>
      </c>
      <c r="J4405">
        <v>113954.68</v>
      </c>
      <c r="K4405" s="1"/>
      <c r="L4405" s="1"/>
      <c r="M4405" s="1"/>
      <c r="N4405" s="1"/>
    </row>
    <row r="4406" ht="15.75" customHeight="1">
      <c r="A4406" t="s">
        <v>51</v>
      </c>
      <c r="B4406" t="s">
        <v>26</v>
      </c>
      <c r="C4406" t="s">
        <v>4915</v>
      </c>
      <c r="D4406" t="s">
        <v>4499</v>
      </c>
      <c r="E4406">
        <v>117037.12</v>
      </c>
      <c r="F4406">
        <v>24036.82</v>
      </c>
      <c r="G4406">
        <v>35852.5522232148</v>
      </c>
      <c r="H4406">
        <v>21379.79</v>
      </c>
      <c r="I4406">
        <v>176926.49</v>
      </c>
      <c r="J4406">
        <v>155546.7</v>
      </c>
      <c r="K4406" s="1"/>
      <c r="L4406" s="1"/>
      <c r="M4406" s="1"/>
      <c r="N4406" s="1"/>
    </row>
    <row r="4407" ht="15.75" customHeight="1">
      <c r="A4407" t="s">
        <v>13</v>
      </c>
      <c r="B4407" t="s">
        <v>14</v>
      </c>
      <c r="C4407" t="s">
        <v>4913</v>
      </c>
      <c r="D4407" t="s">
        <v>4500</v>
      </c>
      <c r="E4407">
        <v>116056.97</v>
      </c>
      <c r="F4407">
        <v>16338.31</v>
      </c>
      <c r="G4407">
        <v>35860.2322266443</v>
      </c>
      <c r="H4407">
        <v>15233.51</v>
      </c>
      <c r="I4407">
        <v>168255.51</v>
      </c>
      <c r="J4407">
        <v>153022.0</v>
      </c>
      <c r="K4407" s="1"/>
      <c r="L4407" s="1"/>
      <c r="M4407" s="1"/>
      <c r="N4407" s="1"/>
    </row>
    <row r="4408" ht="15.75" customHeight="1">
      <c r="A4408" t="s">
        <v>29</v>
      </c>
      <c r="B4408" t="s">
        <v>18</v>
      </c>
      <c r="C4408" t="s">
        <v>4907</v>
      </c>
      <c r="D4408" t="s">
        <v>4501</v>
      </c>
      <c r="E4408">
        <v>41437.14</v>
      </c>
      <c r="F4408">
        <v>8844.75</v>
      </c>
      <c r="G4408">
        <v>35867.9122300737</v>
      </c>
      <c r="H4408">
        <v>24040.96</v>
      </c>
      <c r="I4408">
        <v>86149.8</v>
      </c>
      <c r="J4408">
        <v>62108.84</v>
      </c>
      <c r="K4408" s="1"/>
      <c r="L4408" s="1"/>
      <c r="M4408" s="1"/>
      <c r="N4408" s="1"/>
    </row>
    <row r="4409" ht="15.75" customHeight="1">
      <c r="A4409" t="s">
        <v>25</v>
      </c>
      <c r="B4409" t="s">
        <v>18</v>
      </c>
      <c r="C4409" t="s">
        <v>4915</v>
      </c>
      <c r="D4409" t="s">
        <v>4502</v>
      </c>
      <c r="E4409">
        <v>67211.09</v>
      </c>
      <c r="F4409">
        <v>7399.08</v>
      </c>
      <c r="G4409">
        <v>35875.5922335032</v>
      </c>
      <c r="H4409">
        <v>16919.54</v>
      </c>
      <c r="I4409">
        <v>110485.76</v>
      </c>
      <c r="J4409">
        <v>93566.22</v>
      </c>
      <c r="K4409" s="1"/>
      <c r="L4409" s="1"/>
      <c r="M4409" s="1"/>
      <c r="N4409" s="1"/>
    </row>
    <row r="4410" ht="15.75" customHeight="1">
      <c r="A4410" t="s">
        <v>29</v>
      </c>
      <c r="B4410" t="s">
        <v>14</v>
      </c>
      <c r="C4410" t="s">
        <v>4909</v>
      </c>
      <c r="D4410" t="s">
        <v>4503</v>
      </c>
      <c r="E4410">
        <v>44908.25</v>
      </c>
      <c r="F4410">
        <v>37062.31</v>
      </c>
      <c r="G4410">
        <v>35890.9522403622</v>
      </c>
      <c r="H4410">
        <v>12107.69</v>
      </c>
      <c r="I4410">
        <v>117861.51</v>
      </c>
      <c r="J4410">
        <v>105753.82</v>
      </c>
      <c r="K4410" s="1"/>
      <c r="L4410" s="1"/>
      <c r="M4410" s="1"/>
      <c r="N4410" s="1"/>
    </row>
    <row r="4411" ht="15.75" customHeight="1">
      <c r="A4411" t="s">
        <v>13</v>
      </c>
      <c r="B4411" t="s">
        <v>33</v>
      </c>
      <c r="C4411" t="s">
        <v>4910</v>
      </c>
      <c r="D4411" t="s">
        <v>4504</v>
      </c>
      <c r="E4411">
        <v>79004.26</v>
      </c>
      <c r="F4411">
        <v>7723.63</v>
      </c>
      <c r="G4411">
        <v>35906.3122472212</v>
      </c>
      <c r="H4411">
        <v>1192.49</v>
      </c>
      <c r="I4411">
        <v>122634.2</v>
      </c>
      <c r="J4411">
        <v>121441.71</v>
      </c>
      <c r="K4411" s="1"/>
      <c r="L4411" s="1"/>
      <c r="M4411" s="1"/>
      <c r="N4411" s="1"/>
    </row>
    <row r="4412" ht="15.75" customHeight="1">
      <c r="A4412" t="s">
        <v>29</v>
      </c>
      <c r="B4412" t="s">
        <v>14</v>
      </c>
      <c r="C4412" t="s">
        <v>4905</v>
      </c>
      <c r="D4412" t="s">
        <v>4505</v>
      </c>
      <c r="E4412">
        <v>67781.3</v>
      </c>
      <c r="F4412">
        <v>18472.98</v>
      </c>
      <c r="G4412">
        <v>35913.9922506507</v>
      </c>
      <c r="H4412">
        <v>865.3</v>
      </c>
      <c r="I4412">
        <v>122168.27</v>
      </c>
      <c r="J4412">
        <v>121302.97</v>
      </c>
      <c r="K4412" s="1"/>
      <c r="L4412" s="1"/>
      <c r="M4412" s="1"/>
      <c r="N4412" s="1"/>
    </row>
    <row r="4413" ht="15.75" customHeight="1">
      <c r="A4413" t="s">
        <v>25</v>
      </c>
      <c r="B4413" t="s">
        <v>18</v>
      </c>
      <c r="C4413" t="s">
        <v>4910</v>
      </c>
      <c r="D4413" t="s">
        <v>4506</v>
      </c>
      <c r="E4413">
        <v>20405.27</v>
      </c>
      <c r="F4413">
        <v>30241.81</v>
      </c>
      <c r="G4413">
        <v>35921.6722540802</v>
      </c>
      <c r="H4413">
        <v>3670.37</v>
      </c>
      <c r="I4413">
        <v>86568.75</v>
      </c>
      <c r="J4413">
        <v>82898.38</v>
      </c>
      <c r="K4413" s="1"/>
      <c r="L4413" s="1"/>
      <c r="M4413" s="1"/>
      <c r="N4413" s="1"/>
    </row>
    <row r="4414" ht="15.75" customHeight="1">
      <c r="A4414" t="s">
        <v>36</v>
      </c>
      <c r="B4414" t="s">
        <v>37</v>
      </c>
      <c r="C4414" t="s">
        <v>4909</v>
      </c>
      <c r="D4414" t="s">
        <v>4507</v>
      </c>
      <c r="E4414">
        <v>44257.88</v>
      </c>
      <c r="F4414">
        <v>32073.55</v>
      </c>
      <c r="G4414">
        <v>35929.3522575097</v>
      </c>
      <c r="H4414">
        <v>6665.78</v>
      </c>
      <c r="I4414">
        <v>112260.78</v>
      </c>
      <c r="J4414">
        <v>105595.0</v>
      </c>
      <c r="K4414" s="1"/>
      <c r="L4414" s="1"/>
      <c r="M4414" s="1"/>
      <c r="N4414" s="1"/>
    </row>
    <row r="4415" ht="15.75" customHeight="1">
      <c r="A4415" t="s">
        <v>36</v>
      </c>
      <c r="B4415" t="s">
        <v>37</v>
      </c>
      <c r="C4415" t="s">
        <v>4907</v>
      </c>
      <c r="D4415" t="s">
        <v>4508</v>
      </c>
      <c r="E4415">
        <v>110367.92</v>
      </c>
      <c r="F4415">
        <v>8255.87</v>
      </c>
      <c r="G4415">
        <v>35937.0322609392</v>
      </c>
      <c r="H4415">
        <v>11023.95</v>
      </c>
      <c r="I4415">
        <v>154560.82</v>
      </c>
      <c r="J4415">
        <v>143536.87</v>
      </c>
      <c r="K4415" s="1"/>
      <c r="L4415" s="1"/>
      <c r="M4415" s="1"/>
      <c r="N4415" s="1"/>
    </row>
    <row r="4416" ht="15.75" customHeight="1">
      <c r="A4416" t="s">
        <v>36</v>
      </c>
      <c r="B4416" t="s">
        <v>30</v>
      </c>
      <c r="C4416" t="s">
        <v>4907</v>
      </c>
      <c r="D4416" t="s">
        <v>4509</v>
      </c>
      <c r="E4416">
        <v>40154.0</v>
      </c>
      <c r="F4416">
        <v>4001.11</v>
      </c>
      <c r="G4416">
        <v>35944.7122643687</v>
      </c>
      <c r="H4416">
        <v>12442.29</v>
      </c>
      <c r="I4416">
        <v>80099.82</v>
      </c>
      <c r="J4416">
        <v>67657.53</v>
      </c>
      <c r="K4416" s="1"/>
      <c r="L4416" s="1"/>
      <c r="M4416" s="1"/>
      <c r="N4416" s="1"/>
    </row>
    <row r="4417" ht="15.75" customHeight="1">
      <c r="A4417" t="s">
        <v>25</v>
      </c>
      <c r="B4417" t="s">
        <v>37</v>
      </c>
      <c r="C4417" t="s">
        <v>4911</v>
      </c>
      <c r="D4417" t="s">
        <v>4510</v>
      </c>
      <c r="E4417">
        <v>30213.96</v>
      </c>
      <c r="F4417">
        <v>29636.93</v>
      </c>
      <c r="G4417">
        <v>35952.3922677982</v>
      </c>
      <c r="H4417">
        <v>3881.68</v>
      </c>
      <c r="I4417">
        <v>95803.28</v>
      </c>
      <c r="J4417">
        <v>91921.6</v>
      </c>
      <c r="K4417" s="1"/>
      <c r="L4417" s="1"/>
      <c r="M4417" s="1"/>
      <c r="N4417" s="1"/>
    </row>
    <row r="4418" ht="15.75" customHeight="1">
      <c r="A4418" t="s">
        <v>53</v>
      </c>
      <c r="B4418" t="s">
        <v>33</v>
      </c>
      <c r="C4418" t="s">
        <v>4916</v>
      </c>
      <c r="D4418" t="s">
        <v>4511</v>
      </c>
      <c r="E4418">
        <v>66392.54</v>
      </c>
      <c r="F4418">
        <v>16837.46</v>
      </c>
      <c r="G4418">
        <v>35960.0722712277</v>
      </c>
      <c r="H4418">
        <v>16998.09</v>
      </c>
      <c r="I4418">
        <v>119190.07</v>
      </c>
      <c r="J4418">
        <v>102191.98</v>
      </c>
      <c r="K4418" s="1"/>
      <c r="L4418" s="1"/>
      <c r="M4418" s="1"/>
      <c r="N4418" s="1"/>
    </row>
    <row r="4419" ht="15.75" customHeight="1">
      <c r="A4419" t="s">
        <v>13</v>
      </c>
      <c r="B4419" t="s">
        <v>26</v>
      </c>
      <c r="C4419" t="s">
        <v>4913</v>
      </c>
      <c r="D4419" t="s">
        <v>4512</v>
      </c>
      <c r="E4419">
        <v>118493.3</v>
      </c>
      <c r="F4419">
        <v>13161.33</v>
      </c>
      <c r="G4419">
        <v>35967.7522746572</v>
      </c>
      <c r="H4419">
        <v>15105.38</v>
      </c>
      <c r="I4419">
        <v>167622.38</v>
      </c>
      <c r="J4419">
        <v>152517.0</v>
      </c>
      <c r="K4419" s="1"/>
      <c r="L4419" s="1"/>
      <c r="M4419" s="1"/>
      <c r="N4419" s="1"/>
    </row>
    <row r="4420" ht="15.75" customHeight="1">
      <c r="A4420" t="s">
        <v>36</v>
      </c>
      <c r="B4420" t="s">
        <v>18</v>
      </c>
      <c r="C4420" t="s">
        <v>4905</v>
      </c>
      <c r="D4420" t="s">
        <v>4513</v>
      </c>
      <c r="E4420">
        <v>40415.8</v>
      </c>
      <c r="F4420">
        <v>4464.31</v>
      </c>
      <c r="G4420">
        <v>35975.4322780867</v>
      </c>
      <c r="H4420">
        <v>7714.37</v>
      </c>
      <c r="I4420">
        <v>80855.54</v>
      </c>
      <c r="J4420">
        <v>73141.17</v>
      </c>
      <c r="K4420" s="1"/>
      <c r="L4420" s="1"/>
      <c r="M4420" s="1"/>
      <c r="N4420" s="1"/>
    </row>
    <row r="4421" ht="15.75" customHeight="1">
      <c r="A4421" t="s">
        <v>17</v>
      </c>
      <c r="B4421" t="s">
        <v>54</v>
      </c>
      <c r="C4421" t="s">
        <v>4907</v>
      </c>
      <c r="D4421" t="s">
        <v>4514</v>
      </c>
      <c r="E4421">
        <v>85574.23</v>
      </c>
      <c r="F4421">
        <v>23450.78</v>
      </c>
      <c r="G4421">
        <v>35983.1122815162</v>
      </c>
      <c r="H4421">
        <v>834.67</v>
      </c>
      <c r="I4421">
        <v>145008.12</v>
      </c>
      <c r="J4421">
        <v>144173.45</v>
      </c>
      <c r="K4421" s="1"/>
      <c r="L4421" s="1"/>
      <c r="M4421" s="1"/>
      <c r="N4421" s="1"/>
    </row>
    <row r="4422" ht="15.75" customHeight="1">
      <c r="A4422" t="s">
        <v>51</v>
      </c>
      <c r="B4422" t="s">
        <v>54</v>
      </c>
      <c r="C4422" t="s">
        <v>4913</v>
      </c>
      <c r="D4422" t="s">
        <v>4515</v>
      </c>
      <c r="E4422">
        <v>94970.06</v>
      </c>
      <c r="F4422">
        <v>34641.43</v>
      </c>
      <c r="G4422">
        <v>35990.7922849457</v>
      </c>
      <c r="H4422">
        <v>2402.37</v>
      </c>
      <c r="I4422">
        <v>165602.28</v>
      </c>
      <c r="J4422">
        <v>163199.91</v>
      </c>
      <c r="K4422" s="1"/>
      <c r="L4422" s="1"/>
      <c r="M4422" s="1"/>
      <c r="N4422" s="1"/>
    </row>
    <row r="4423" ht="15.75" customHeight="1">
      <c r="A4423" t="s">
        <v>17</v>
      </c>
      <c r="B4423" t="s">
        <v>26</v>
      </c>
      <c r="C4423" t="s">
        <v>4914</v>
      </c>
      <c r="D4423" t="s">
        <v>4516</v>
      </c>
      <c r="E4423">
        <v>39951.94</v>
      </c>
      <c r="F4423">
        <v>38474.74</v>
      </c>
      <c r="G4423">
        <v>35998.4722883752</v>
      </c>
      <c r="H4423">
        <v>10096.52</v>
      </c>
      <c r="I4423">
        <v>114425.15</v>
      </c>
      <c r="J4423">
        <v>104328.63</v>
      </c>
      <c r="K4423" s="1"/>
      <c r="L4423" s="1"/>
      <c r="M4423" s="1"/>
      <c r="N4423" s="1"/>
    </row>
    <row r="4424" ht="15.75" customHeight="1">
      <c r="A4424" t="s">
        <v>17</v>
      </c>
      <c r="B4424" t="s">
        <v>37</v>
      </c>
      <c r="C4424" t="s">
        <v>4917</v>
      </c>
      <c r="D4424" t="s">
        <v>4517</v>
      </c>
      <c r="E4424">
        <v>91462.72</v>
      </c>
      <c r="F4424">
        <v>24366.82</v>
      </c>
      <c r="G4424">
        <v>36006.1522918047</v>
      </c>
      <c r="H4424">
        <v>4272.37</v>
      </c>
      <c r="I4424">
        <v>151835.69</v>
      </c>
      <c r="J4424">
        <v>147563.32</v>
      </c>
      <c r="K4424" s="1"/>
      <c r="L4424" s="1"/>
      <c r="M4424" s="1"/>
      <c r="N4424" s="1"/>
    </row>
    <row r="4425" ht="15.75" customHeight="1">
      <c r="A4425" t="s">
        <v>53</v>
      </c>
      <c r="B4425" t="s">
        <v>33</v>
      </c>
      <c r="C4425" t="s">
        <v>4910</v>
      </c>
      <c r="D4425" t="s">
        <v>4518</v>
      </c>
      <c r="E4425">
        <v>53617.23</v>
      </c>
      <c r="F4425">
        <v>22520.61</v>
      </c>
      <c r="G4425">
        <v>36013.8322952342</v>
      </c>
      <c r="H4425">
        <v>9732.08</v>
      </c>
      <c r="I4425">
        <v>112151.67</v>
      </c>
      <c r="J4425">
        <v>102419.59</v>
      </c>
      <c r="K4425" s="1"/>
      <c r="L4425" s="1"/>
      <c r="M4425" s="1"/>
      <c r="N4425" s="1"/>
    </row>
    <row r="4426" ht="15.75" customHeight="1">
      <c r="A4426" t="s">
        <v>36</v>
      </c>
      <c r="B4426" t="s">
        <v>30</v>
      </c>
      <c r="C4426" t="s">
        <v>4908</v>
      </c>
      <c r="D4426" t="s">
        <v>4519</v>
      </c>
      <c r="E4426">
        <v>81392.11</v>
      </c>
      <c r="F4426">
        <v>7062.03</v>
      </c>
      <c r="G4426">
        <v>36021.5122986637</v>
      </c>
      <c r="H4426">
        <v>15890.47</v>
      </c>
      <c r="I4426">
        <v>124475.65</v>
      </c>
      <c r="J4426">
        <v>108585.18</v>
      </c>
      <c r="K4426" s="1"/>
      <c r="L4426" s="1"/>
      <c r="M4426" s="1"/>
      <c r="N4426" s="1"/>
    </row>
    <row r="4427" ht="15.75" customHeight="1">
      <c r="A4427" t="s">
        <v>25</v>
      </c>
      <c r="B4427" t="s">
        <v>37</v>
      </c>
      <c r="C4427" t="s">
        <v>4908</v>
      </c>
      <c r="D4427" t="s">
        <v>4520</v>
      </c>
      <c r="E4427">
        <v>81520.62</v>
      </c>
      <c r="F4427">
        <v>23759.42</v>
      </c>
      <c r="G4427">
        <v>36029.1923020932</v>
      </c>
      <c r="H4427">
        <v>13907.32</v>
      </c>
      <c r="I4427">
        <v>141309.23</v>
      </c>
      <c r="J4427">
        <v>127401.91</v>
      </c>
      <c r="K4427" s="1"/>
      <c r="L4427" s="1"/>
      <c r="M4427" s="1"/>
      <c r="N4427" s="1"/>
    </row>
    <row r="4428" ht="15.75" customHeight="1">
      <c r="A4428" t="s">
        <v>25</v>
      </c>
      <c r="B4428" t="s">
        <v>14</v>
      </c>
      <c r="C4428" t="s">
        <v>4914</v>
      </c>
      <c r="D4428" t="s">
        <v>4521</v>
      </c>
      <c r="E4428">
        <v>71256.34</v>
      </c>
      <c r="F4428">
        <v>17679.25</v>
      </c>
      <c r="G4428">
        <v>36036.8723055227</v>
      </c>
      <c r="H4428">
        <v>6163.81</v>
      </c>
      <c r="I4428">
        <v>124972.46</v>
      </c>
      <c r="J4428">
        <v>118808.65</v>
      </c>
      <c r="K4428" s="1"/>
      <c r="L4428" s="1"/>
      <c r="M4428" s="1"/>
      <c r="N4428" s="1"/>
    </row>
    <row r="4429" ht="15.75" customHeight="1">
      <c r="A4429" t="s">
        <v>25</v>
      </c>
      <c r="B4429" t="s">
        <v>30</v>
      </c>
      <c r="C4429" t="s">
        <v>4914</v>
      </c>
      <c r="D4429" t="s">
        <v>4522</v>
      </c>
      <c r="E4429">
        <v>24480.43</v>
      </c>
      <c r="F4429">
        <v>25856.87</v>
      </c>
      <c r="G4429">
        <v>36044.5523089522</v>
      </c>
      <c r="H4429">
        <v>8923.65</v>
      </c>
      <c r="I4429">
        <v>86381.85</v>
      </c>
      <c r="J4429">
        <v>77458.2</v>
      </c>
      <c r="K4429" s="1"/>
      <c r="L4429" s="1"/>
      <c r="M4429" s="1"/>
      <c r="N4429" s="1"/>
    </row>
    <row r="4430" ht="15.75" customHeight="1">
      <c r="A4430" t="s">
        <v>51</v>
      </c>
      <c r="B4430" t="s">
        <v>26</v>
      </c>
      <c r="C4430" t="s">
        <v>4915</v>
      </c>
      <c r="D4430" t="s">
        <v>4523</v>
      </c>
      <c r="E4430">
        <v>102706.76</v>
      </c>
      <c r="F4430">
        <v>17994.15</v>
      </c>
      <c r="G4430">
        <v>36052.2323123817</v>
      </c>
      <c r="H4430">
        <v>15543.76</v>
      </c>
      <c r="I4430">
        <v>156753.14</v>
      </c>
      <c r="J4430">
        <v>141209.38</v>
      </c>
      <c r="K4430" s="1"/>
      <c r="L4430" s="1"/>
      <c r="M4430" s="1"/>
      <c r="N4430" s="1"/>
    </row>
    <row r="4431" ht="15.75" customHeight="1">
      <c r="A4431" t="s">
        <v>29</v>
      </c>
      <c r="B4431" t="s">
        <v>14</v>
      </c>
      <c r="C4431" t="s">
        <v>4913</v>
      </c>
      <c r="D4431" t="s">
        <v>4524</v>
      </c>
      <c r="E4431">
        <v>48681.91</v>
      </c>
      <c r="F4431">
        <v>12650.77</v>
      </c>
      <c r="G4431">
        <v>36059.9123158112</v>
      </c>
      <c r="H4431">
        <v>21590.95</v>
      </c>
      <c r="I4431">
        <v>97392.59</v>
      </c>
      <c r="J4431">
        <v>75801.64</v>
      </c>
      <c r="K4431" s="1"/>
      <c r="L4431" s="1"/>
      <c r="M4431" s="1"/>
      <c r="N4431" s="1"/>
    </row>
    <row r="4432" ht="15.75" customHeight="1">
      <c r="A4432" t="s">
        <v>53</v>
      </c>
      <c r="B4432" t="s">
        <v>33</v>
      </c>
      <c r="C4432" t="s">
        <v>4910</v>
      </c>
      <c r="D4432" t="s">
        <v>4525</v>
      </c>
      <c r="E4432">
        <v>34584.44</v>
      </c>
      <c r="F4432">
        <v>7418.75</v>
      </c>
      <c r="G4432">
        <v>36067.5923192407</v>
      </c>
      <c r="H4432">
        <v>18953.73</v>
      </c>
      <c r="I4432">
        <v>78070.78</v>
      </c>
      <c r="J4432">
        <v>59117.05</v>
      </c>
      <c r="K4432" s="1"/>
      <c r="L4432" s="1"/>
      <c r="M4432" s="1"/>
      <c r="N4432" s="1"/>
    </row>
    <row r="4433" ht="15.75" customHeight="1">
      <c r="A4433" t="s">
        <v>17</v>
      </c>
      <c r="B4433" t="s">
        <v>33</v>
      </c>
      <c r="C4433" t="s">
        <v>4914</v>
      </c>
      <c r="D4433" t="s">
        <v>4526</v>
      </c>
      <c r="E4433">
        <v>19281.39</v>
      </c>
      <c r="F4433">
        <v>15337.06</v>
      </c>
      <c r="G4433">
        <v>36075.2723226702</v>
      </c>
      <c r="H4433">
        <v>14058.3</v>
      </c>
      <c r="I4433">
        <v>70693.72</v>
      </c>
      <c r="J4433">
        <v>56635.42</v>
      </c>
      <c r="K4433" s="1"/>
      <c r="L4433" s="1"/>
      <c r="M4433" s="1"/>
      <c r="N4433" s="1"/>
    </row>
    <row r="4434" ht="15.75" customHeight="1">
      <c r="A4434" t="s">
        <v>29</v>
      </c>
      <c r="B4434" t="s">
        <v>26</v>
      </c>
      <c r="C4434" t="s">
        <v>4914</v>
      </c>
      <c r="D4434" t="s">
        <v>4527</v>
      </c>
      <c r="E4434">
        <v>77043.76</v>
      </c>
      <c r="F4434">
        <v>7479.21</v>
      </c>
      <c r="G4434">
        <v>36082.9523260997</v>
      </c>
      <c r="H4434">
        <v>9376.18</v>
      </c>
      <c r="I4434">
        <v>120605.92</v>
      </c>
      <c r="J4434">
        <v>111229.74</v>
      </c>
      <c r="K4434" s="1"/>
      <c r="L4434" s="1"/>
      <c r="M4434" s="1"/>
      <c r="N4434" s="1"/>
    </row>
    <row r="4435" ht="15.75" customHeight="1">
      <c r="A4435" t="s">
        <v>53</v>
      </c>
      <c r="B4435" t="s">
        <v>30</v>
      </c>
      <c r="C4435" t="s">
        <v>4908</v>
      </c>
      <c r="D4435" t="s">
        <v>4528</v>
      </c>
      <c r="E4435">
        <v>86144.26</v>
      </c>
      <c r="F4435">
        <v>10368.29</v>
      </c>
      <c r="G4435">
        <v>36090.6323295292</v>
      </c>
      <c r="H4435">
        <v>9443.76</v>
      </c>
      <c r="I4435">
        <v>132603.18</v>
      </c>
      <c r="J4435">
        <v>123159.42</v>
      </c>
      <c r="K4435" s="1"/>
      <c r="L4435" s="1"/>
      <c r="M4435" s="1"/>
      <c r="N4435" s="1"/>
    </row>
    <row r="4436" ht="15.75" customHeight="1">
      <c r="A4436" t="s">
        <v>25</v>
      </c>
      <c r="B4436" t="s">
        <v>33</v>
      </c>
      <c r="C4436" t="s">
        <v>4913</v>
      </c>
      <c r="D4436" t="s">
        <v>4529</v>
      </c>
      <c r="E4436">
        <v>16741.72</v>
      </c>
      <c r="F4436">
        <v>39544.1</v>
      </c>
      <c r="G4436">
        <v>36098.3123329587</v>
      </c>
      <c r="H4436">
        <v>22045.72</v>
      </c>
      <c r="I4436">
        <v>92384.13</v>
      </c>
      <c r="J4436">
        <v>70338.41</v>
      </c>
      <c r="K4436" s="1"/>
      <c r="L4436" s="1"/>
      <c r="M4436" s="1"/>
      <c r="N4436" s="1"/>
    </row>
    <row r="4437" ht="15.75" customHeight="1">
      <c r="A4437" t="s">
        <v>25</v>
      </c>
      <c r="B4437" t="s">
        <v>30</v>
      </c>
      <c r="C4437" t="s">
        <v>4907</v>
      </c>
      <c r="D4437" t="s">
        <v>4530</v>
      </c>
      <c r="E4437">
        <v>68769.77</v>
      </c>
      <c r="F4437">
        <v>19987.73</v>
      </c>
      <c r="G4437">
        <v>36105.9923363882</v>
      </c>
      <c r="H4437">
        <v>1461.47</v>
      </c>
      <c r="I4437">
        <v>124863.49</v>
      </c>
      <c r="J4437">
        <v>123402.02</v>
      </c>
      <c r="K4437" s="1"/>
      <c r="L4437" s="1"/>
      <c r="M4437" s="1"/>
      <c r="N4437" s="1"/>
    </row>
    <row r="4438" ht="15.75" customHeight="1">
      <c r="A4438" t="s">
        <v>53</v>
      </c>
      <c r="B4438" t="s">
        <v>33</v>
      </c>
      <c r="C4438" t="s">
        <v>4914</v>
      </c>
      <c r="D4438" t="s">
        <v>4531</v>
      </c>
      <c r="E4438">
        <v>38782.06</v>
      </c>
      <c r="F4438">
        <v>23147.38</v>
      </c>
      <c r="G4438">
        <v>36113.6723398177</v>
      </c>
      <c r="H4438">
        <v>24705.57</v>
      </c>
      <c r="I4438">
        <v>98043.11</v>
      </c>
      <c r="J4438">
        <v>73337.54</v>
      </c>
      <c r="K4438" s="1"/>
      <c r="L4438" s="1"/>
      <c r="M4438" s="1"/>
      <c r="N4438" s="1"/>
    </row>
    <row r="4439" ht="15.75" customHeight="1">
      <c r="A4439" t="s">
        <v>53</v>
      </c>
      <c r="B4439" t="s">
        <v>37</v>
      </c>
      <c r="C4439" t="s">
        <v>4917</v>
      </c>
      <c r="D4439" t="s">
        <v>4532</v>
      </c>
      <c r="E4439">
        <v>82743.14</v>
      </c>
      <c r="F4439">
        <v>35450.27</v>
      </c>
      <c r="G4439">
        <v>36121.3523432472</v>
      </c>
      <c r="H4439">
        <v>14765.30618879032</v>
      </c>
      <c r="I4439">
        <v>154314.76</v>
      </c>
      <c r="J4439">
        <v>139549.45</v>
      </c>
      <c r="K4439" s="1"/>
      <c r="L4439" s="1"/>
      <c r="M4439" s="1"/>
      <c r="N4439" s="1"/>
    </row>
    <row r="4440" ht="15.75" customHeight="1">
      <c r="A4440" t="s">
        <v>29</v>
      </c>
      <c r="B4440" t="s">
        <v>33</v>
      </c>
      <c r="C4440" t="s">
        <v>4905</v>
      </c>
      <c r="D4440" t="s">
        <v>4533</v>
      </c>
      <c r="E4440">
        <v>33308.48</v>
      </c>
      <c r="F4440">
        <v>39840.48</v>
      </c>
      <c r="G4440">
        <v>36129.0323466767</v>
      </c>
      <c r="H4440">
        <v>17187.87</v>
      </c>
      <c r="I4440">
        <v>109277.99</v>
      </c>
      <c r="J4440">
        <v>92090.12</v>
      </c>
      <c r="K4440" s="1"/>
      <c r="L4440" s="1"/>
      <c r="M4440" s="1"/>
      <c r="N4440" s="1"/>
    </row>
    <row r="4441" ht="15.75" customHeight="1">
      <c r="A4441" t="s">
        <v>13</v>
      </c>
      <c r="B4441" t="s">
        <v>33</v>
      </c>
      <c r="C4441" t="s">
        <v>4915</v>
      </c>
      <c r="D4441" t="s">
        <v>4534</v>
      </c>
      <c r="E4441">
        <v>87548.46</v>
      </c>
      <c r="F4441">
        <v>24977.72</v>
      </c>
      <c r="G4441">
        <v>36136.7123501062</v>
      </c>
      <c r="H4441">
        <v>1430.95</v>
      </c>
      <c r="I4441">
        <v>148662.89</v>
      </c>
      <c r="J4441">
        <v>147231.94</v>
      </c>
      <c r="K4441" s="1"/>
      <c r="L4441" s="1"/>
      <c r="M4441" s="1"/>
      <c r="N4441" s="1"/>
    </row>
    <row r="4442" ht="15.75" customHeight="1">
      <c r="A4442" t="s">
        <v>51</v>
      </c>
      <c r="B4442" t="s">
        <v>33</v>
      </c>
      <c r="C4442" t="s">
        <v>4915</v>
      </c>
      <c r="D4442" t="s">
        <v>4535</v>
      </c>
      <c r="E4442">
        <v>55607.21</v>
      </c>
      <c r="F4442">
        <v>33249.06</v>
      </c>
      <c r="G4442">
        <v>36144.3923535356</v>
      </c>
      <c r="H4442">
        <v>15335.47</v>
      </c>
      <c r="I4442">
        <v>125000.66</v>
      </c>
      <c r="J4442">
        <v>109665.19</v>
      </c>
      <c r="K4442" s="1"/>
      <c r="L4442" s="1"/>
      <c r="M4442" s="1"/>
      <c r="N4442" s="1"/>
    </row>
    <row r="4443" ht="15.75" customHeight="1">
      <c r="A4443" t="s">
        <v>25</v>
      </c>
      <c r="B4443" t="s">
        <v>14</v>
      </c>
      <c r="C4443" t="s">
        <v>4908</v>
      </c>
      <c r="D4443" t="s">
        <v>4536</v>
      </c>
      <c r="E4443">
        <v>113356.65</v>
      </c>
      <c r="F4443">
        <v>15769.88</v>
      </c>
      <c r="G4443">
        <v>36152.0723569651</v>
      </c>
      <c r="H4443">
        <v>12377.06</v>
      </c>
      <c r="I4443">
        <v>165278.6</v>
      </c>
      <c r="J4443">
        <v>152901.54</v>
      </c>
      <c r="K4443" s="1"/>
      <c r="L4443" s="1"/>
      <c r="M4443" s="1"/>
      <c r="N4443" s="1"/>
    </row>
    <row r="4444" ht="15.75" customHeight="1">
      <c r="A4444" t="s">
        <v>51</v>
      </c>
      <c r="B4444" t="s">
        <v>18</v>
      </c>
      <c r="C4444" t="s">
        <v>4909</v>
      </c>
      <c r="D4444" t="s">
        <v>4537</v>
      </c>
      <c r="E4444">
        <v>29439.7</v>
      </c>
      <c r="F4444">
        <v>15006.78</v>
      </c>
      <c r="G4444">
        <v>36159.7523603946</v>
      </c>
      <c r="H4444">
        <v>3091.58</v>
      </c>
      <c r="I4444">
        <v>80606.23</v>
      </c>
      <c r="J4444">
        <v>77514.65</v>
      </c>
      <c r="K4444" s="1"/>
      <c r="L4444" s="1"/>
      <c r="M4444" s="1"/>
      <c r="N4444" s="1"/>
    </row>
    <row r="4445" ht="15.75" customHeight="1">
      <c r="A4445" t="s">
        <v>17</v>
      </c>
      <c r="B4445" t="s">
        <v>30</v>
      </c>
      <c r="C4445" t="s">
        <v>4907</v>
      </c>
      <c r="D4445" t="s">
        <v>4538</v>
      </c>
      <c r="E4445">
        <v>50811.97</v>
      </c>
      <c r="F4445">
        <v>18497.33</v>
      </c>
      <c r="G4445">
        <v>36167.4323638241</v>
      </c>
      <c r="H4445">
        <v>7309.09</v>
      </c>
      <c r="I4445">
        <v>105476.73</v>
      </c>
      <c r="J4445">
        <v>98167.64</v>
      </c>
      <c r="K4445" s="1"/>
      <c r="L4445" s="1"/>
      <c r="M4445" s="1"/>
      <c r="N4445" s="1"/>
    </row>
    <row r="4446" ht="15.75" customHeight="1">
      <c r="A4446" t="s">
        <v>13</v>
      </c>
      <c r="B4446" t="s">
        <v>26</v>
      </c>
      <c r="C4446" t="s">
        <v>4916</v>
      </c>
      <c r="D4446" t="s">
        <v>4539</v>
      </c>
      <c r="E4446">
        <v>26914.72</v>
      </c>
      <c r="F4446">
        <v>28210.26</v>
      </c>
      <c r="G4446">
        <v>36175.1123672536</v>
      </c>
      <c r="H4446">
        <v>22312.7</v>
      </c>
      <c r="I4446">
        <v>91300.09</v>
      </c>
      <c r="J4446">
        <v>68987.39</v>
      </c>
      <c r="K4446" s="1"/>
      <c r="L4446" s="1"/>
      <c r="M4446" s="1"/>
      <c r="N4446" s="1"/>
    </row>
    <row r="4447" ht="15.75" customHeight="1">
      <c r="A4447" t="s">
        <v>13</v>
      </c>
      <c r="B4447" t="s">
        <v>26</v>
      </c>
      <c r="C4447" t="s">
        <v>4913</v>
      </c>
      <c r="D4447" t="s">
        <v>4540</v>
      </c>
      <c r="E4447">
        <v>112092.83</v>
      </c>
      <c r="F4447">
        <v>28558.9</v>
      </c>
      <c r="G4447">
        <v>36182.7923706831</v>
      </c>
      <c r="H4447">
        <v>13974.72</v>
      </c>
      <c r="I4447">
        <v>176834.52</v>
      </c>
      <c r="J4447">
        <v>162859.8</v>
      </c>
      <c r="K4447" s="1"/>
      <c r="L4447" s="1"/>
      <c r="M4447" s="1"/>
      <c r="N4447" s="1"/>
    </row>
    <row r="4448" ht="15.75" customHeight="1">
      <c r="A4448" t="s">
        <v>13</v>
      </c>
      <c r="B4448" t="s">
        <v>14</v>
      </c>
      <c r="C4448" t="s">
        <v>4914</v>
      </c>
      <c r="D4448" t="s">
        <v>4541</v>
      </c>
      <c r="E4448">
        <v>71656.69906138915</v>
      </c>
      <c r="F4448">
        <v>15348.62</v>
      </c>
      <c r="G4448">
        <v>36190.4723741126</v>
      </c>
      <c r="H4448">
        <v>10628.71</v>
      </c>
      <c r="I4448">
        <v>123195.79</v>
      </c>
      <c r="J4448">
        <v>112567.08</v>
      </c>
      <c r="K4448" s="1"/>
      <c r="L4448" s="1"/>
      <c r="M4448" s="1"/>
      <c r="N4448" s="1"/>
    </row>
    <row r="4449" ht="15.75" customHeight="1">
      <c r="A4449" t="s">
        <v>51</v>
      </c>
      <c r="B4449" t="s">
        <v>14</v>
      </c>
      <c r="C4449" t="s">
        <v>4914</v>
      </c>
      <c r="D4449" t="s">
        <v>4542</v>
      </c>
      <c r="E4449">
        <v>42083.87</v>
      </c>
      <c r="F4449">
        <v>8795.56</v>
      </c>
      <c r="G4449">
        <v>36198.1523775421</v>
      </c>
      <c r="H4449">
        <v>2280.71</v>
      </c>
      <c r="I4449">
        <v>87077.58</v>
      </c>
      <c r="J4449">
        <v>84796.87</v>
      </c>
      <c r="K4449" s="1"/>
      <c r="L4449" s="1"/>
      <c r="M4449" s="1"/>
      <c r="N4449" s="1"/>
    </row>
    <row r="4450" ht="15.75" customHeight="1">
      <c r="A4450" t="s">
        <v>51</v>
      </c>
      <c r="B4450" t="s">
        <v>14</v>
      </c>
      <c r="C4450" t="s">
        <v>4916</v>
      </c>
      <c r="D4450" t="s">
        <v>4543</v>
      </c>
      <c r="E4450">
        <v>84298.32</v>
      </c>
      <c r="F4450">
        <v>26766.27</v>
      </c>
      <c r="G4450">
        <v>36205.8323809716</v>
      </c>
      <c r="H4450">
        <v>17995.98</v>
      </c>
      <c r="I4450">
        <v>147270.42</v>
      </c>
      <c r="J4450">
        <v>129274.44</v>
      </c>
      <c r="K4450" s="1"/>
      <c r="L4450" s="1"/>
      <c r="M4450" s="1"/>
      <c r="N4450" s="1"/>
    </row>
    <row r="4451" ht="15.75" customHeight="1">
      <c r="A4451" t="s">
        <v>36</v>
      </c>
      <c r="B4451" t="s">
        <v>26</v>
      </c>
      <c r="C4451" t="s">
        <v>4910</v>
      </c>
      <c r="D4451" t="s">
        <v>4544</v>
      </c>
      <c r="E4451">
        <v>100808.33</v>
      </c>
      <c r="F4451">
        <v>8619.73</v>
      </c>
      <c r="G4451">
        <v>36213.5123844011</v>
      </c>
      <c r="H4451">
        <v>17719.85</v>
      </c>
      <c r="I4451">
        <v>145641.57</v>
      </c>
      <c r="J4451">
        <v>127921.72</v>
      </c>
      <c r="K4451" s="1"/>
      <c r="L4451" s="1"/>
      <c r="M4451" s="1"/>
      <c r="N4451" s="1"/>
    </row>
    <row r="4452" ht="15.75" customHeight="1">
      <c r="A4452" t="s">
        <v>51</v>
      </c>
      <c r="B4452" t="s">
        <v>18</v>
      </c>
      <c r="C4452" t="s">
        <v>4912</v>
      </c>
      <c r="D4452" t="s">
        <v>4545</v>
      </c>
      <c r="E4452">
        <v>73296.09</v>
      </c>
      <c r="F4452">
        <v>24825.73</v>
      </c>
      <c r="G4452">
        <v>36221.1923878306</v>
      </c>
      <c r="H4452">
        <v>15544.07</v>
      </c>
      <c r="I4452">
        <v>134343.01</v>
      </c>
      <c r="J4452">
        <v>118798.94</v>
      </c>
      <c r="K4452" s="1"/>
      <c r="L4452" s="1"/>
      <c r="M4452" s="1"/>
      <c r="N4452" s="1"/>
    </row>
    <row r="4453" ht="15.75" customHeight="1">
      <c r="A4453" t="s">
        <v>51</v>
      </c>
      <c r="B4453" t="s">
        <v>26</v>
      </c>
      <c r="C4453" t="s">
        <v>4917</v>
      </c>
      <c r="D4453" t="s">
        <v>4546</v>
      </c>
      <c r="E4453">
        <v>70613.31</v>
      </c>
      <c r="F4453">
        <v>28963.2</v>
      </c>
      <c r="G4453">
        <v>36228.8723912601</v>
      </c>
      <c r="H4453">
        <v>13001.43</v>
      </c>
      <c r="I4453">
        <v>135805.38</v>
      </c>
      <c r="J4453">
        <v>122803.95</v>
      </c>
      <c r="K4453" s="1"/>
      <c r="L4453" s="1"/>
      <c r="M4453" s="1"/>
      <c r="N4453" s="1"/>
    </row>
    <row r="4454" ht="15.75" customHeight="1">
      <c r="A4454" t="s">
        <v>13</v>
      </c>
      <c r="B4454" t="s">
        <v>18</v>
      </c>
      <c r="C4454" t="s">
        <v>4907</v>
      </c>
      <c r="D4454" t="s">
        <v>4547</v>
      </c>
      <c r="E4454">
        <v>40394.49</v>
      </c>
      <c r="F4454">
        <v>29222.01</v>
      </c>
      <c r="G4454">
        <v>36236.5523946896</v>
      </c>
      <c r="H4454">
        <v>11127.72</v>
      </c>
      <c r="I4454">
        <v>105853.05</v>
      </c>
      <c r="J4454">
        <v>94725.33</v>
      </c>
      <c r="K4454" s="1"/>
      <c r="L4454" s="1"/>
      <c r="M4454" s="1"/>
      <c r="N4454" s="1"/>
    </row>
    <row r="4455" ht="15.75" customHeight="1">
      <c r="A4455" t="s">
        <v>29</v>
      </c>
      <c r="B4455" t="s">
        <v>14</v>
      </c>
      <c r="C4455" t="s">
        <v>4908</v>
      </c>
      <c r="D4455" t="s">
        <v>4548</v>
      </c>
      <c r="E4455">
        <v>24775.79</v>
      </c>
      <c r="F4455">
        <v>31125.0</v>
      </c>
      <c r="G4455">
        <v>36244.2323981191</v>
      </c>
      <c r="H4455">
        <v>15035.14</v>
      </c>
      <c r="I4455">
        <v>92145.02</v>
      </c>
      <c r="J4455">
        <v>77109.88</v>
      </c>
      <c r="K4455" s="1"/>
      <c r="L4455" s="1"/>
      <c r="M4455" s="1"/>
      <c r="N4455" s="1"/>
    </row>
    <row r="4456" ht="15.75" customHeight="1">
      <c r="A4456" t="s">
        <v>17</v>
      </c>
      <c r="B4456" t="s">
        <v>33</v>
      </c>
      <c r="C4456" t="s">
        <v>4917</v>
      </c>
      <c r="D4456" t="s">
        <v>4549</v>
      </c>
      <c r="E4456">
        <v>109207.65</v>
      </c>
      <c r="F4456">
        <v>35422.94</v>
      </c>
      <c r="G4456">
        <v>36251.9124015486</v>
      </c>
      <c r="H4456">
        <v>6218.19</v>
      </c>
      <c r="I4456">
        <v>180882.5</v>
      </c>
      <c r="J4456">
        <v>174664.31</v>
      </c>
      <c r="K4456" s="1"/>
      <c r="L4456" s="1"/>
      <c r="M4456" s="1"/>
      <c r="N4456" s="1"/>
    </row>
    <row r="4457" ht="15.75" customHeight="1">
      <c r="A4457" t="s">
        <v>53</v>
      </c>
      <c r="B4457" t="s">
        <v>14</v>
      </c>
      <c r="C4457" t="s">
        <v>4909</v>
      </c>
      <c r="D4457" t="s">
        <v>4550</v>
      </c>
      <c r="E4457">
        <v>109543.9</v>
      </c>
      <c r="F4457">
        <v>21998.52</v>
      </c>
      <c r="G4457">
        <v>36259.5924049781</v>
      </c>
      <c r="H4457">
        <v>23560.85</v>
      </c>
      <c r="I4457">
        <v>167802.01</v>
      </c>
      <c r="J4457">
        <v>144241.16</v>
      </c>
      <c r="K4457" s="1"/>
      <c r="L4457" s="1"/>
      <c r="M4457" s="1"/>
      <c r="N4457" s="1"/>
    </row>
    <row r="4458" ht="15.75" customHeight="1">
      <c r="A4458" t="s">
        <v>53</v>
      </c>
      <c r="B4458" t="s">
        <v>14</v>
      </c>
      <c r="C4458" t="s">
        <v>4912</v>
      </c>
      <c r="D4458" t="s">
        <v>4551</v>
      </c>
      <c r="E4458">
        <v>81475.65</v>
      </c>
      <c r="F4458">
        <v>30288.97</v>
      </c>
      <c r="G4458">
        <v>36267.2724084076</v>
      </c>
      <c r="H4458">
        <v>14925.47</v>
      </c>
      <c r="I4458">
        <v>148031.89</v>
      </c>
      <c r="J4458">
        <v>133106.42</v>
      </c>
      <c r="K4458" s="1"/>
      <c r="L4458" s="1"/>
      <c r="M4458" s="1"/>
      <c r="N4458" s="1"/>
    </row>
    <row r="4459" ht="15.75" customHeight="1">
      <c r="A4459" t="s">
        <v>53</v>
      </c>
      <c r="B4459" t="s">
        <v>26</v>
      </c>
      <c r="C4459" t="s">
        <v>4911</v>
      </c>
      <c r="D4459" t="s">
        <v>4552</v>
      </c>
      <c r="E4459">
        <v>50598.13</v>
      </c>
      <c r="F4459">
        <v>26290.22</v>
      </c>
      <c r="G4459">
        <v>36274.9524118371</v>
      </c>
      <c r="H4459">
        <v>8124.21</v>
      </c>
      <c r="I4459">
        <v>113163.3</v>
      </c>
      <c r="J4459">
        <v>105039.09</v>
      </c>
      <c r="K4459" s="1"/>
      <c r="L4459" s="1"/>
      <c r="M4459" s="1"/>
      <c r="N4459" s="1"/>
    </row>
    <row r="4460" ht="15.75" customHeight="1">
      <c r="A4460" t="s">
        <v>29</v>
      </c>
      <c r="B4460" t="s">
        <v>30</v>
      </c>
      <c r="C4460" t="s">
        <v>4915</v>
      </c>
      <c r="D4460" t="s">
        <v>4553</v>
      </c>
      <c r="E4460">
        <v>51667.01</v>
      </c>
      <c r="F4460">
        <v>10719.04</v>
      </c>
      <c r="G4460">
        <v>36282.6324152666</v>
      </c>
      <c r="H4460">
        <v>11517.16</v>
      </c>
      <c r="I4460">
        <v>98668.68</v>
      </c>
      <c r="J4460">
        <v>87151.52</v>
      </c>
      <c r="K4460" s="1"/>
      <c r="L4460" s="1"/>
      <c r="M4460" s="1"/>
      <c r="N4460" s="1"/>
    </row>
    <row r="4461" ht="15.75" customHeight="1">
      <c r="A4461" t="s">
        <v>17</v>
      </c>
      <c r="B4461" t="s">
        <v>54</v>
      </c>
      <c r="C4461" t="s">
        <v>4910</v>
      </c>
      <c r="D4461" t="s">
        <v>4554</v>
      </c>
      <c r="E4461">
        <v>91225.35</v>
      </c>
      <c r="F4461">
        <v>4924.83</v>
      </c>
      <c r="G4461">
        <v>36290.3124186961</v>
      </c>
      <c r="H4461">
        <v>20239.28</v>
      </c>
      <c r="I4461">
        <v>132440.49</v>
      </c>
      <c r="J4461">
        <v>112201.21</v>
      </c>
      <c r="K4461" s="1"/>
      <c r="L4461" s="1"/>
      <c r="M4461" s="1"/>
      <c r="N4461" s="1"/>
    </row>
    <row r="4462" ht="15.75" customHeight="1">
      <c r="A4462" t="s">
        <v>36</v>
      </c>
      <c r="B4462" t="s">
        <v>54</v>
      </c>
      <c r="C4462" t="s">
        <v>4911</v>
      </c>
      <c r="D4462" t="s">
        <v>4555</v>
      </c>
      <c r="E4462">
        <v>109196.58</v>
      </c>
      <c r="F4462">
        <v>14243.49</v>
      </c>
      <c r="G4462">
        <v>36297.9924221256</v>
      </c>
      <c r="H4462">
        <v>4459.59</v>
      </c>
      <c r="I4462">
        <v>159738.06</v>
      </c>
      <c r="J4462">
        <v>155278.47</v>
      </c>
      <c r="K4462" s="1"/>
      <c r="L4462" s="1"/>
      <c r="M4462" s="1"/>
      <c r="N4462" s="1"/>
    </row>
    <row r="4463" ht="15.75" customHeight="1">
      <c r="A4463" t="s">
        <v>53</v>
      </c>
      <c r="B4463" t="s">
        <v>14</v>
      </c>
      <c r="C4463" t="s">
        <v>4915</v>
      </c>
      <c r="D4463" t="s">
        <v>4556</v>
      </c>
      <c r="E4463">
        <v>108144.07</v>
      </c>
      <c r="F4463">
        <v>19949.21</v>
      </c>
      <c r="G4463">
        <v>36305.6724255551</v>
      </c>
      <c r="H4463">
        <v>7674.47</v>
      </c>
      <c r="I4463">
        <v>164398.95</v>
      </c>
      <c r="J4463">
        <v>156724.48</v>
      </c>
      <c r="K4463" s="1"/>
      <c r="L4463" s="1"/>
      <c r="M4463" s="1"/>
      <c r="N4463" s="1"/>
    </row>
    <row r="4464" ht="15.75" customHeight="1">
      <c r="A4464" t="s">
        <v>25</v>
      </c>
      <c r="B4464" t="s">
        <v>18</v>
      </c>
      <c r="C4464" t="s">
        <v>4914</v>
      </c>
      <c r="D4464" t="s">
        <v>4557</v>
      </c>
      <c r="E4464">
        <v>96886.93</v>
      </c>
      <c r="F4464">
        <v>26215.81</v>
      </c>
      <c r="G4464">
        <v>36313.3524289846</v>
      </c>
      <c r="H4464">
        <v>17147.95</v>
      </c>
      <c r="I4464">
        <v>159416.09</v>
      </c>
      <c r="J4464">
        <v>142268.14</v>
      </c>
      <c r="K4464" s="1"/>
      <c r="L4464" s="1"/>
      <c r="M4464" s="1"/>
      <c r="N4464" s="1"/>
    </row>
    <row r="4465" ht="15.75" customHeight="1">
      <c r="A4465" t="s">
        <v>51</v>
      </c>
      <c r="B4465" t="s">
        <v>14</v>
      </c>
      <c r="C4465" t="s">
        <v>4917</v>
      </c>
      <c r="D4465" t="s">
        <v>4558</v>
      </c>
      <c r="E4465">
        <v>82413.32</v>
      </c>
      <c r="F4465">
        <v>34598.54</v>
      </c>
      <c r="G4465">
        <v>36321.0324324141</v>
      </c>
      <c r="H4465">
        <v>8229.49</v>
      </c>
      <c r="I4465">
        <v>153332.89</v>
      </c>
      <c r="J4465">
        <v>145103.4</v>
      </c>
      <c r="K4465" s="1"/>
      <c r="L4465" s="1"/>
      <c r="M4465" s="1"/>
      <c r="N4465" s="1"/>
    </row>
    <row r="4466" ht="15.75" customHeight="1">
      <c r="A4466" t="s">
        <v>17</v>
      </c>
      <c r="B4466" t="s">
        <v>37</v>
      </c>
      <c r="C4466" t="s">
        <v>4915</v>
      </c>
      <c r="D4466" t="s">
        <v>4559</v>
      </c>
      <c r="E4466">
        <v>23834.7</v>
      </c>
      <c r="F4466">
        <v>11064.85</v>
      </c>
      <c r="G4466">
        <v>36328.7124358436</v>
      </c>
      <c r="H4466">
        <v>19916.29</v>
      </c>
      <c r="I4466">
        <v>71228.26</v>
      </c>
      <c r="J4466">
        <v>51311.97</v>
      </c>
      <c r="K4466" s="1"/>
      <c r="L4466" s="1"/>
      <c r="M4466" s="1"/>
      <c r="N4466" s="1"/>
    </row>
    <row r="4467" ht="15.75" customHeight="1">
      <c r="A4467" t="s">
        <v>17</v>
      </c>
      <c r="B4467" t="s">
        <v>14</v>
      </c>
      <c r="C4467" t="s">
        <v>4905</v>
      </c>
      <c r="D4467" t="s">
        <v>4560</v>
      </c>
      <c r="E4467">
        <v>31971.01</v>
      </c>
      <c r="F4467">
        <v>8519.79</v>
      </c>
      <c r="G4467">
        <v>36336.3924392731</v>
      </c>
      <c r="H4467">
        <v>3696.11</v>
      </c>
      <c r="I4467">
        <v>76827.19</v>
      </c>
      <c r="J4467">
        <v>73131.08</v>
      </c>
      <c r="K4467" s="1"/>
      <c r="L4467" s="1"/>
      <c r="M4467" s="1"/>
      <c r="N4467" s="1"/>
    </row>
    <row r="4468" ht="15.75" customHeight="1">
      <c r="A4468" t="s">
        <v>17</v>
      </c>
      <c r="B4468" t="s">
        <v>14</v>
      </c>
      <c r="C4468" t="s">
        <v>4910</v>
      </c>
      <c r="D4468" t="s">
        <v>4561</v>
      </c>
      <c r="E4468">
        <v>109348.19</v>
      </c>
      <c r="F4468">
        <v>38685.28</v>
      </c>
      <c r="G4468">
        <v>36344.0724427026</v>
      </c>
      <c r="H4468">
        <v>19185.81</v>
      </c>
      <c r="I4468">
        <v>184377.54</v>
      </c>
      <c r="J4468">
        <v>165191.73</v>
      </c>
      <c r="K4468" s="1"/>
      <c r="L4468" s="1"/>
      <c r="M4468" s="1"/>
      <c r="N4468" s="1"/>
    </row>
    <row r="4469" ht="15.75" customHeight="1">
      <c r="A4469" t="s">
        <v>17</v>
      </c>
      <c r="B4469" t="s">
        <v>37</v>
      </c>
      <c r="C4469" t="s">
        <v>4914</v>
      </c>
      <c r="D4469" t="s">
        <v>4562</v>
      </c>
      <c r="E4469">
        <v>78675.05</v>
      </c>
      <c r="F4469">
        <v>7889.6</v>
      </c>
      <c r="G4469">
        <v>36351.7524461321</v>
      </c>
      <c r="H4469">
        <v>2174.62</v>
      </c>
      <c r="I4469">
        <v>122916.4</v>
      </c>
      <c r="J4469">
        <v>120741.78</v>
      </c>
      <c r="K4469" s="1"/>
      <c r="L4469" s="1"/>
      <c r="M4469" s="1"/>
      <c r="N4469" s="1"/>
    </row>
    <row r="4470" ht="15.75" customHeight="1">
      <c r="A4470" t="s">
        <v>51</v>
      </c>
      <c r="B4470" t="s">
        <v>30</v>
      </c>
      <c r="C4470" t="s">
        <v>4916</v>
      </c>
      <c r="D4470" t="s">
        <v>4563</v>
      </c>
      <c r="E4470">
        <v>15965.69</v>
      </c>
      <c r="F4470">
        <v>21225.68</v>
      </c>
      <c r="G4470">
        <v>36359.4324495616</v>
      </c>
      <c r="H4470">
        <v>808.52</v>
      </c>
      <c r="I4470">
        <v>73550.8</v>
      </c>
      <c r="J4470">
        <v>72742.28</v>
      </c>
      <c r="K4470" s="1"/>
      <c r="L4470" s="1"/>
      <c r="M4470" s="1"/>
      <c r="N4470" s="1"/>
    </row>
    <row r="4471" ht="15.75" customHeight="1">
      <c r="A4471" t="s">
        <v>25</v>
      </c>
      <c r="B4471" t="s">
        <v>14</v>
      </c>
      <c r="C4471" t="s">
        <v>4914</v>
      </c>
      <c r="D4471" t="s">
        <v>4564</v>
      </c>
      <c r="E4471">
        <v>25654.51</v>
      </c>
      <c r="F4471">
        <v>25080.29</v>
      </c>
      <c r="G4471">
        <v>36367.1124529911</v>
      </c>
      <c r="H4471">
        <v>22506.48</v>
      </c>
      <c r="I4471">
        <v>87101.91</v>
      </c>
      <c r="J4471">
        <v>64595.43</v>
      </c>
      <c r="K4471" s="1"/>
      <c r="L4471" s="1"/>
      <c r="M4471" s="1"/>
      <c r="N4471" s="1"/>
    </row>
    <row r="4472" ht="15.75" customHeight="1">
      <c r="A4472" t="s">
        <v>29</v>
      </c>
      <c r="B4472" t="s">
        <v>26</v>
      </c>
      <c r="C4472" t="s">
        <v>4908</v>
      </c>
      <c r="D4472" t="s">
        <v>4565</v>
      </c>
      <c r="E4472">
        <v>84667.69</v>
      </c>
      <c r="F4472">
        <v>23489.48</v>
      </c>
      <c r="G4472">
        <v>36374.7924564206</v>
      </c>
      <c r="H4472">
        <v>14742.81</v>
      </c>
      <c r="I4472">
        <v>144531.96</v>
      </c>
      <c r="J4472">
        <v>129789.15</v>
      </c>
      <c r="K4472" s="1"/>
      <c r="L4472" s="1"/>
      <c r="M4472" s="1"/>
      <c r="N4472" s="1"/>
    </row>
    <row r="4473" ht="15.75" customHeight="1">
      <c r="A4473" t="s">
        <v>17</v>
      </c>
      <c r="B4473" t="s">
        <v>14</v>
      </c>
      <c r="C4473" t="s">
        <v>4917</v>
      </c>
      <c r="D4473" t="s">
        <v>4566</v>
      </c>
      <c r="E4473">
        <v>15531.47</v>
      </c>
      <c r="F4473">
        <v>7097.16</v>
      </c>
      <c r="G4473">
        <v>36382.4724598501</v>
      </c>
      <c r="H4473">
        <v>9119.76</v>
      </c>
      <c r="I4473">
        <v>59011.1</v>
      </c>
      <c r="J4473">
        <v>49891.34</v>
      </c>
      <c r="K4473" s="1"/>
      <c r="L4473" s="1"/>
      <c r="M4473" s="1"/>
      <c r="N4473" s="1"/>
    </row>
    <row r="4474" ht="15.75" customHeight="1">
      <c r="A4474" t="s">
        <v>13</v>
      </c>
      <c r="B4474" t="s">
        <v>26</v>
      </c>
      <c r="C4474" t="s">
        <v>4910</v>
      </c>
      <c r="D4474" t="s">
        <v>4567</v>
      </c>
      <c r="E4474">
        <v>31884.85</v>
      </c>
      <c r="F4474">
        <v>6052.97</v>
      </c>
      <c r="G4474">
        <v>36390.1524632796</v>
      </c>
      <c r="H4474">
        <v>6198.57</v>
      </c>
      <c r="I4474">
        <v>74327.97</v>
      </c>
      <c r="J4474">
        <v>68129.4</v>
      </c>
      <c r="K4474" s="1"/>
      <c r="L4474" s="1"/>
      <c r="M4474" s="1"/>
      <c r="N4474" s="1"/>
    </row>
    <row r="4475" ht="15.75" customHeight="1">
      <c r="A4475" t="s">
        <v>17</v>
      </c>
      <c r="B4475" t="s">
        <v>14</v>
      </c>
      <c r="C4475" t="s">
        <v>4908</v>
      </c>
      <c r="D4475" t="s">
        <v>4568</v>
      </c>
      <c r="E4475">
        <v>72617.05</v>
      </c>
      <c r="F4475">
        <v>7797.4</v>
      </c>
      <c r="G4475">
        <v>36397.8324667091</v>
      </c>
      <c r="H4475">
        <v>15613.7</v>
      </c>
      <c r="I4475">
        <v>116812.28</v>
      </c>
      <c r="J4475">
        <v>101198.58</v>
      </c>
      <c r="K4475" s="1"/>
      <c r="L4475" s="1"/>
      <c r="M4475" s="1"/>
      <c r="N4475" s="1"/>
    </row>
    <row r="4476" ht="15.75" customHeight="1">
      <c r="A4476" t="s">
        <v>53</v>
      </c>
      <c r="B4476" t="s">
        <v>54</v>
      </c>
      <c r="C4476" t="s">
        <v>4908</v>
      </c>
      <c r="D4476" t="s">
        <v>4569</v>
      </c>
      <c r="E4476">
        <v>87649.0</v>
      </c>
      <c r="F4476">
        <v>25081.16</v>
      </c>
      <c r="G4476">
        <v>36405.5124701386</v>
      </c>
      <c r="H4476">
        <v>12970.55</v>
      </c>
      <c r="I4476">
        <v>149135.67</v>
      </c>
      <c r="J4476">
        <v>136165.12</v>
      </c>
      <c r="K4476" s="1"/>
      <c r="L4476" s="1"/>
      <c r="M4476" s="1"/>
      <c r="N4476" s="1"/>
    </row>
    <row r="4477" ht="15.75" customHeight="1">
      <c r="A4477" t="s">
        <v>25</v>
      </c>
      <c r="B4477" t="s">
        <v>33</v>
      </c>
      <c r="C4477" t="s">
        <v>4908</v>
      </c>
      <c r="D4477" t="s">
        <v>4570</v>
      </c>
      <c r="E4477">
        <v>83455.93</v>
      </c>
      <c r="F4477">
        <v>23596.42</v>
      </c>
      <c r="G4477">
        <v>36413.1924735681</v>
      </c>
      <c r="H4477">
        <v>24794.15</v>
      </c>
      <c r="I4477">
        <v>143465.54</v>
      </c>
      <c r="J4477">
        <v>118671.39</v>
      </c>
      <c r="K4477" s="1"/>
      <c r="L4477" s="1"/>
      <c r="M4477" s="1"/>
      <c r="N4477" s="1"/>
    </row>
    <row r="4478" ht="15.75" customHeight="1">
      <c r="A4478" t="s">
        <v>51</v>
      </c>
      <c r="B4478" t="s">
        <v>54</v>
      </c>
      <c r="C4478" t="s">
        <v>4916</v>
      </c>
      <c r="D4478" t="s">
        <v>4571</v>
      </c>
      <c r="E4478">
        <v>38548.28</v>
      </c>
      <c r="F4478">
        <v>12414.67</v>
      </c>
      <c r="G4478">
        <v>36420.8724769976</v>
      </c>
      <c r="H4478">
        <v>24588.79</v>
      </c>
      <c r="I4478">
        <v>87383.82</v>
      </c>
      <c r="J4478">
        <v>62795.03</v>
      </c>
      <c r="K4478" s="1"/>
      <c r="L4478" s="1"/>
      <c r="M4478" s="1"/>
      <c r="N4478" s="1"/>
    </row>
    <row r="4479" ht="15.75" customHeight="1">
      <c r="A4479" t="s">
        <v>25</v>
      </c>
      <c r="B4479" t="s">
        <v>33</v>
      </c>
      <c r="C4479" t="s">
        <v>4907</v>
      </c>
      <c r="D4479" t="s">
        <v>4572</v>
      </c>
      <c r="E4479">
        <v>89778.82</v>
      </c>
      <c r="F4479">
        <v>26959.87</v>
      </c>
      <c r="G4479">
        <v>36428.5524804271</v>
      </c>
      <c r="H4479">
        <v>16058.1</v>
      </c>
      <c r="I4479">
        <v>153167.24</v>
      </c>
      <c r="J4479">
        <v>137109.14</v>
      </c>
      <c r="K4479" s="1"/>
      <c r="L4479" s="1"/>
      <c r="M4479" s="1"/>
      <c r="N4479" s="1"/>
    </row>
    <row r="4480" ht="15.75" customHeight="1">
      <c r="A4480" t="s">
        <v>13</v>
      </c>
      <c r="B4480" t="s">
        <v>33</v>
      </c>
      <c r="C4480" t="s">
        <v>4912</v>
      </c>
      <c r="D4480" t="s">
        <v>4573</v>
      </c>
      <c r="E4480">
        <v>39911.15</v>
      </c>
      <c r="F4480">
        <v>33522.43</v>
      </c>
      <c r="G4480">
        <v>36436.2324838565</v>
      </c>
      <c r="H4480">
        <v>11350.33</v>
      </c>
      <c r="I4480">
        <v>109869.81</v>
      </c>
      <c r="J4480">
        <v>98519.48</v>
      </c>
      <c r="K4480" s="1"/>
      <c r="L4480" s="1"/>
      <c r="M4480" s="1"/>
      <c r="N4480" s="1"/>
    </row>
    <row r="4481" ht="15.75" customHeight="1">
      <c r="A4481" t="s">
        <v>25</v>
      </c>
      <c r="B4481" t="s">
        <v>30</v>
      </c>
      <c r="C4481" t="s">
        <v>4907</v>
      </c>
      <c r="D4481" t="s">
        <v>4574</v>
      </c>
      <c r="E4481">
        <v>49166.97</v>
      </c>
      <c r="F4481">
        <v>5496.84</v>
      </c>
      <c r="G4481">
        <v>36443.912487286</v>
      </c>
      <c r="H4481">
        <v>12532.95</v>
      </c>
      <c r="I4481">
        <v>91107.72</v>
      </c>
      <c r="J4481">
        <v>78574.77</v>
      </c>
      <c r="K4481" s="1"/>
      <c r="L4481" s="1"/>
      <c r="M4481" s="1"/>
      <c r="N4481" s="1"/>
    </row>
    <row r="4482" ht="15.75" customHeight="1">
      <c r="A4482" t="s">
        <v>25</v>
      </c>
      <c r="B4482" t="s">
        <v>37</v>
      </c>
      <c r="C4482" t="s">
        <v>4914</v>
      </c>
      <c r="D4482" t="s">
        <v>4575</v>
      </c>
      <c r="E4482">
        <v>93381.6</v>
      </c>
      <c r="F4482">
        <v>21932.68</v>
      </c>
      <c r="G4482">
        <v>36451.5924907155</v>
      </c>
      <c r="H4482">
        <v>17220.74</v>
      </c>
      <c r="I4482">
        <v>151765.87</v>
      </c>
      <c r="J4482">
        <v>134545.13</v>
      </c>
      <c r="K4482" s="1"/>
      <c r="L4482" s="1"/>
      <c r="M4482" s="1"/>
      <c r="N4482" s="1"/>
    </row>
    <row r="4483" ht="15.75" customHeight="1">
      <c r="A4483" t="s">
        <v>51</v>
      </c>
      <c r="B4483" t="s">
        <v>14</v>
      </c>
      <c r="C4483" t="s">
        <v>4916</v>
      </c>
      <c r="D4483" t="s">
        <v>4576</v>
      </c>
      <c r="E4483">
        <v>83211.45</v>
      </c>
      <c r="F4483">
        <v>28815.17</v>
      </c>
      <c r="G4483">
        <v>36459.272494145</v>
      </c>
      <c r="H4483">
        <v>2988.58</v>
      </c>
      <c r="I4483">
        <v>148485.89</v>
      </c>
      <c r="J4483">
        <v>145497.31</v>
      </c>
      <c r="K4483" s="1"/>
      <c r="L4483" s="1"/>
      <c r="M4483" s="1"/>
      <c r="N4483" s="1"/>
    </row>
    <row r="4484" ht="15.75" customHeight="1">
      <c r="A4484" t="s">
        <v>36</v>
      </c>
      <c r="B4484" t="s">
        <v>14</v>
      </c>
      <c r="C4484" t="s">
        <v>4914</v>
      </c>
      <c r="D4484" t="s">
        <v>4577</v>
      </c>
      <c r="E4484">
        <v>104168.46</v>
      </c>
      <c r="F4484">
        <v>13083.23</v>
      </c>
      <c r="G4484">
        <v>36466.9524975745</v>
      </c>
      <c r="H4484">
        <v>8544.63</v>
      </c>
      <c r="I4484">
        <v>153718.64</v>
      </c>
      <c r="J4484">
        <v>145174.01</v>
      </c>
      <c r="K4484" s="1"/>
      <c r="L4484" s="1"/>
      <c r="M4484" s="1"/>
      <c r="N4484" s="1"/>
    </row>
    <row r="4485" ht="15.75" customHeight="1">
      <c r="A4485" t="s">
        <v>53</v>
      </c>
      <c r="B4485" t="s">
        <v>33</v>
      </c>
      <c r="C4485" t="s">
        <v>4917</v>
      </c>
      <c r="D4485" t="s">
        <v>4578</v>
      </c>
      <c r="E4485">
        <v>84049.35</v>
      </c>
      <c r="F4485">
        <v>15079.75</v>
      </c>
      <c r="G4485">
        <v>36474.632501004</v>
      </c>
      <c r="H4485">
        <v>2344.17</v>
      </c>
      <c r="I4485">
        <v>135603.73</v>
      </c>
      <c r="J4485">
        <v>133259.56</v>
      </c>
      <c r="K4485" s="1"/>
      <c r="L4485" s="1"/>
      <c r="M4485" s="1"/>
      <c r="N4485" s="1"/>
    </row>
    <row r="4486" ht="15.75" customHeight="1">
      <c r="A4486" t="s">
        <v>51</v>
      </c>
      <c r="B4486" t="s">
        <v>26</v>
      </c>
      <c r="C4486" t="s">
        <v>4912</v>
      </c>
      <c r="D4486" t="s">
        <v>4579</v>
      </c>
      <c r="E4486">
        <v>74672.4</v>
      </c>
      <c r="F4486">
        <v>26090.96</v>
      </c>
      <c r="G4486">
        <v>36482.3125044335</v>
      </c>
      <c r="H4486">
        <v>2297.34</v>
      </c>
      <c r="I4486">
        <v>137245.67</v>
      </c>
      <c r="J4486">
        <v>134948.33</v>
      </c>
      <c r="K4486" s="1"/>
      <c r="L4486" s="1"/>
      <c r="M4486" s="1"/>
      <c r="N4486" s="1"/>
    </row>
    <row r="4487" ht="15.75" customHeight="1">
      <c r="A4487" t="s">
        <v>13</v>
      </c>
      <c r="B4487" t="s">
        <v>30</v>
      </c>
      <c r="C4487" t="s">
        <v>4915</v>
      </c>
      <c r="D4487" t="s">
        <v>4580</v>
      </c>
      <c r="E4487">
        <v>24835.85</v>
      </c>
      <c r="F4487">
        <v>36325.67</v>
      </c>
      <c r="G4487">
        <v>36489.992507863</v>
      </c>
      <c r="H4487">
        <v>5298.06</v>
      </c>
      <c r="I4487">
        <v>97651.51</v>
      </c>
      <c r="J4487">
        <v>92353.45</v>
      </c>
      <c r="K4487" s="1"/>
      <c r="L4487" s="1"/>
      <c r="M4487" s="1"/>
      <c r="N4487" s="1"/>
    </row>
    <row r="4488" ht="15.75" customHeight="1">
      <c r="A4488" t="s">
        <v>29</v>
      </c>
      <c r="B4488" t="s">
        <v>37</v>
      </c>
      <c r="C4488" t="s">
        <v>4915</v>
      </c>
      <c r="D4488" t="s">
        <v>4581</v>
      </c>
      <c r="E4488">
        <v>53610.16</v>
      </c>
      <c r="F4488">
        <v>33157.28</v>
      </c>
      <c r="G4488">
        <v>36497.6725112925</v>
      </c>
      <c r="H4488">
        <v>12388.7</v>
      </c>
      <c r="I4488">
        <v>123265.11</v>
      </c>
      <c r="J4488">
        <v>110876.41</v>
      </c>
      <c r="K4488" s="1"/>
      <c r="L4488" s="1"/>
      <c r="M4488" s="1"/>
      <c r="N4488" s="1"/>
    </row>
    <row r="4489" ht="15.75" customHeight="1">
      <c r="A4489" t="s">
        <v>53</v>
      </c>
      <c r="B4489" t="s">
        <v>54</v>
      </c>
      <c r="C4489" t="s">
        <v>4917</v>
      </c>
      <c r="D4489" t="s">
        <v>4582</v>
      </c>
      <c r="E4489">
        <v>42846.25</v>
      </c>
      <c r="F4489">
        <v>24992.69</v>
      </c>
      <c r="G4489">
        <v>36505.352514722</v>
      </c>
      <c r="H4489">
        <v>19726.97</v>
      </c>
      <c r="I4489">
        <v>104344.29</v>
      </c>
      <c r="J4489">
        <v>84617.32</v>
      </c>
      <c r="K4489" s="1"/>
      <c r="L4489" s="1"/>
      <c r="M4489" s="1"/>
      <c r="N4489" s="1"/>
    </row>
    <row r="4490" ht="15.75" customHeight="1">
      <c r="A4490" t="s">
        <v>13</v>
      </c>
      <c r="B4490" t="s">
        <v>37</v>
      </c>
      <c r="C4490" t="s">
        <v>4908</v>
      </c>
      <c r="D4490" t="s">
        <v>4583</v>
      </c>
      <c r="E4490">
        <v>40618.91</v>
      </c>
      <c r="F4490">
        <v>30287.98</v>
      </c>
      <c r="G4490">
        <v>36513.0325181515</v>
      </c>
      <c r="H4490">
        <v>12394.65</v>
      </c>
      <c r="I4490">
        <v>107419.92</v>
      </c>
      <c r="J4490">
        <v>95025.27</v>
      </c>
      <c r="K4490" s="1"/>
      <c r="L4490" s="1"/>
      <c r="M4490" s="1"/>
      <c r="N4490" s="1"/>
    </row>
    <row r="4491" ht="15.75" customHeight="1">
      <c r="A4491" t="s">
        <v>29</v>
      </c>
      <c r="B4491" t="s">
        <v>37</v>
      </c>
      <c r="C4491" t="s">
        <v>4912</v>
      </c>
      <c r="D4491" t="s">
        <v>4584</v>
      </c>
      <c r="E4491">
        <v>117166.11</v>
      </c>
      <c r="F4491">
        <v>17133.61</v>
      </c>
      <c r="G4491">
        <v>36520.712521581</v>
      </c>
      <c r="H4491">
        <v>8719.18</v>
      </c>
      <c r="I4491">
        <v>170820.43</v>
      </c>
      <c r="J4491">
        <v>162101.25</v>
      </c>
      <c r="K4491" s="1"/>
      <c r="L4491" s="1"/>
      <c r="M4491" s="1"/>
      <c r="N4491" s="1"/>
    </row>
    <row r="4492" ht="15.75" customHeight="1">
      <c r="A4492" t="s">
        <v>13</v>
      </c>
      <c r="B4492" t="s">
        <v>33</v>
      </c>
      <c r="C4492" t="s">
        <v>4914</v>
      </c>
      <c r="D4492" t="s">
        <v>4585</v>
      </c>
      <c r="E4492">
        <v>56275.26</v>
      </c>
      <c r="F4492">
        <v>27074.76</v>
      </c>
      <c r="G4492">
        <v>36528.3925250105</v>
      </c>
      <c r="H4492">
        <v>2517.65</v>
      </c>
      <c r="I4492">
        <v>119878.41</v>
      </c>
      <c r="J4492">
        <v>117360.76</v>
      </c>
      <c r="K4492" s="1"/>
      <c r="L4492" s="1"/>
      <c r="M4492" s="1"/>
      <c r="N4492" s="1"/>
    </row>
    <row r="4493" ht="15.75" customHeight="1">
      <c r="A4493" t="s">
        <v>17</v>
      </c>
      <c r="B4493" t="s">
        <v>26</v>
      </c>
      <c r="C4493" t="s">
        <v>4905</v>
      </c>
      <c r="D4493" t="s">
        <v>4586</v>
      </c>
      <c r="E4493">
        <v>108664.89</v>
      </c>
      <c r="F4493">
        <v>20782.54</v>
      </c>
      <c r="G4493">
        <v>36536.07252844</v>
      </c>
      <c r="H4493">
        <v>13982.24</v>
      </c>
      <c r="I4493">
        <v>165983.5</v>
      </c>
      <c r="J4493">
        <v>152001.26</v>
      </c>
      <c r="K4493" s="1"/>
      <c r="L4493" s="1"/>
      <c r="M4493" s="1"/>
      <c r="N4493" s="1"/>
    </row>
    <row r="4494" ht="15.75" customHeight="1">
      <c r="A4494" t="s">
        <v>53</v>
      </c>
      <c r="B4494" t="s">
        <v>54</v>
      </c>
      <c r="C4494" t="s">
        <v>4915</v>
      </c>
      <c r="D4494" t="s">
        <v>4587</v>
      </c>
      <c r="E4494">
        <v>81269.56</v>
      </c>
      <c r="F4494">
        <v>10837.7</v>
      </c>
      <c r="G4494">
        <v>36543.7525318695</v>
      </c>
      <c r="H4494">
        <v>7146.08</v>
      </c>
      <c r="I4494">
        <v>128651.01</v>
      </c>
      <c r="J4494">
        <v>121504.93</v>
      </c>
      <c r="K4494" s="1"/>
      <c r="L4494" s="1"/>
      <c r="M4494" s="1"/>
      <c r="N4494" s="1"/>
    </row>
    <row r="4495" ht="15.75" customHeight="1">
      <c r="A4495" t="s">
        <v>51</v>
      </c>
      <c r="B4495" t="s">
        <v>26</v>
      </c>
      <c r="C4495" t="s">
        <v>4913</v>
      </c>
      <c r="D4495" t="s">
        <v>4588</v>
      </c>
      <c r="E4495">
        <v>98455.19</v>
      </c>
      <c r="F4495">
        <v>29262.58</v>
      </c>
      <c r="G4495">
        <v>36551.432535299</v>
      </c>
      <c r="H4495">
        <v>15565.89</v>
      </c>
      <c r="I4495">
        <v>164269.2</v>
      </c>
      <c r="J4495">
        <v>148703.31</v>
      </c>
      <c r="K4495" s="1"/>
      <c r="L4495" s="1"/>
      <c r="M4495" s="1"/>
      <c r="N4495" s="1"/>
    </row>
    <row r="4496" ht="15.75" customHeight="1">
      <c r="A4496" t="s">
        <v>36</v>
      </c>
      <c r="B4496" t="s">
        <v>30</v>
      </c>
      <c r="C4496" t="s">
        <v>4909</v>
      </c>
      <c r="D4496" t="s">
        <v>4589</v>
      </c>
      <c r="E4496">
        <v>67776.89</v>
      </c>
      <c r="F4496">
        <v>24032.73</v>
      </c>
      <c r="G4496">
        <v>36559.1125387285</v>
      </c>
      <c r="H4496">
        <v>24441.1</v>
      </c>
      <c r="I4496">
        <v>128368.73</v>
      </c>
      <c r="J4496">
        <v>103927.63</v>
      </c>
      <c r="K4496" s="1"/>
      <c r="L4496" s="1"/>
      <c r="M4496" s="1"/>
      <c r="N4496" s="1"/>
    </row>
    <row r="4497" ht="15.75" customHeight="1">
      <c r="A4497" t="s">
        <v>29</v>
      </c>
      <c r="B4497" t="s">
        <v>54</v>
      </c>
      <c r="C4497" t="s">
        <v>4909</v>
      </c>
      <c r="D4497" t="s">
        <v>4590</v>
      </c>
      <c r="E4497">
        <v>75574.91</v>
      </c>
      <c r="F4497">
        <v>16910.38</v>
      </c>
      <c r="G4497">
        <v>36566.792542158</v>
      </c>
      <c r="H4497">
        <v>3227.2</v>
      </c>
      <c r="I4497">
        <v>129052.08</v>
      </c>
      <c r="J4497">
        <v>125824.88</v>
      </c>
      <c r="K4497" s="1"/>
      <c r="L4497" s="1"/>
      <c r="M4497" s="1"/>
      <c r="N4497" s="1"/>
    </row>
    <row r="4498" ht="15.75" customHeight="1">
      <c r="A4498" t="s">
        <v>17</v>
      </c>
      <c r="B4498" t="s">
        <v>54</v>
      </c>
      <c r="C4498" t="s">
        <v>4916</v>
      </c>
      <c r="D4498" t="s">
        <v>4591</v>
      </c>
      <c r="E4498">
        <v>35500.51</v>
      </c>
      <c r="F4498">
        <v>4753.63</v>
      </c>
      <c r="G4498">
        <v>36582.152549017</v>
      </c>
      <c r="H4498">
        <v>12090.82</v>
      </c>
      <c r="I4498">
        <v>76836.29</v>
      </c>
      <c r="J4498">
        <v>64745.47</v>
      </c>
      <c r="K4498" s="1"/>
      <c r="L4498" s="1"/>
      <c r="M4498" s="1"/>
      <c r="N4498" s="1"/>
    </row>
    <row r="4499" ht="15.75" customHeight="1">
      <c r="A4499" t="s">
        <v>53</v>
      </c>
      <c r="B4499" t="s">
        <v>54</v>
      </c>
      <c r="C4499" t="s">
        <v>4905</v>
      </c>
      <c r="D4499" t="s">
        <v>4592</v>
      </c>
      <c r="E4499">
        <v>90857.47</v>
      </c>
      <c r="F4499">
        <v>15367.83</v>
      </c>
      <c r="G4499">
        <v>36589.8325524465</v>
      </c>
      <c r="H4499">
        <v>24231.04</v>
      </c>
      <c r="I4499">
        <v>142815.13</v>
      </c>
      <c r="J4499">
        <v>118584.09</v>
      </c>
      <c r="K4499" s="1"/>
      <c r="L4499" s="1"/>
      <c r="M4499" s="1"/>
      <c r="N4499" s="1"/>
    </row>
    <row r="4500" ht="15.75" customHeight="1">
      <c r="A4500" t="s">
        <v>53</v>
      </c>
      <c r="B4500" t="s">
        <v>14</v>
      </c>
      <c r="C4500" t="s">
        <v>4912</v>
      </c>
      <c r="D4500" t="s">
        <v>4593</v>
      </c>
      <c r="E4500">
        <v>44481.1</v>
      </c>
      <c r="F4500">
        <v>6047.73</v>
      </c>
      <c r="G4500">
        <v>36597.512555876</v>
      </c>
      <c r="H4500">
        <v>19409.34</v>
      </c>
      <c r="I4500">
        <v>87126.34</v>
      </c>
      <c r="J4500">
        <v>67717.0</v>
      </c>
      <c r="K4500" s="1"/>
      <c r="L4500" s="1"/>
      <c r="M4500" s="1"/>
      <c r="N4500" s="1"/>
    </row>
    <row r="4501" ht="15.75" customHeight="1">
      <c r="A4501" t="s">
        <v>17</v>
      </c>
      <c r="B4501" t="s">
        <v>14</v>
      </c>
      <c r="C4501" t="s">
        <v>4909</v>
      </c>
      <c r="D4501" t="s">
        <v>4594</v>
      </c>
      <c r="E4501">
        <v>17553.18</v>
      </c>
      <c r="F4501">
        <v>31594.98</v>
      </c>
      <c r="G4501">
        <v>36605.1925593055</v>
      </c>
      <c r="H4501">
        <v>22506.62</v>
      </c>
      <c r="I4501">
        <v>85753.35</v>
      </c>
      <c r="J4501">
        <v>63246.73</v>
      </c>
      <c r="K4501" s="1"/>
      <c r="L4501" s="1"/>
      <c r="M4501" s="1"/>
      <c r="N4501" s="1"/>
    </row>
    <row r="4502" ht="15.75" customHeight="1">
      <c r="A4502" t="s">
        <v>13</v>
      </c>
      <c r="B4502" t="s">
        <v>26</v>
      </c>
      <c r="C4502" t="s">
        <v>4908</v>
      </c>
      <c r="D4502" t="s">
        <v>4595</v>
      </c>
      <c r="E4502">
        <v>82774.59</v>
      </c>
      <c r="F4502">
        <v>29275.87</v>
      </c>
      <c r="G4502">
        <v>36612.872562735</v>
      </c>
      <c r="H4502">
        <v>8676.01</v>
      </c>
      <c r="I4502">
        <v>148663.33</v>
      </c>
      <c r="J4502">
        <v>139987.32</v>
      </c>
      <c r="K4502" s="1"/>
      <c r="L4502" s="1"/>
      <c r="M4502" s="1"/>
      <c r="N4502" s="1"/>
    </row>
    <row r="4503" ht="15.75" customHeight="1">
      <c r="A4503" t="s">
        <v>29</v>
      </c>
      <c r="B4503" t="s">
        <v>54</v>
      </c>
      <c r="C4503" t="s">
        <v>4912</v>
      </c>
      <c r="D4503" t="s">
        <v>4596</v>
      </c>
      <c r="E4503">
        <v>33596.62</v>
      </c>
      <c r="F4503">
        <v>15928.68</v>
      </c>
      <c r="G4503">
        <v>36620.5525661645</v>
      </c>
      <c r="H4503">
        <v>24804.94</v>
      </c>
      <c r="I4503">
        <v>86145.85</v>
      </c>
      <c r="J4503">
        <v>61340.91</v>
      </c>
      <c r="K4503" s="1"/>
      <c r="L4503" s="1"/>
      <c r="M4503" s="1"/>
      <c r="N4503" s="1"/>
    </row>
    <row r="4504" ht="15.75" customHeight="1">
      <c r="A4504" t="s">
        <v>51</v>
      </c>
      <c r="B4504" t="s">
        <v>26</v>
      </c>
      <c r="C4504" t="s">
        <v>4916</v>
      </c>
      <c r="D4504" t="s">
        <v>4597</v>
      </c>
      <c r="E4504">
        <v>113748.15</v>
      </c>
      <c r="F4504">
        <v>28323.86</v>
      </c>
      <c r="G4504">
        <v>36628.232569594</v>
      </c>
      <c r="H4504">
        <v>3019.4</v>
      </c>
      <c r="I4504">
        <v>178700.24</v>
      </c>
      <c r="J4504">
        <v>175680.84</v>
      </c>
      <c r="K4504" s="1"/>
      <c r="L4504" s="1"/>
      <c r="M4504" s="1"/>
      <c r="N4504" s="1"/>
    </row>
    <row r="4505" ht="15.75" customHeight="1">
      <c r="A4505" t="s">
        <v>13</v>
      </c>
      <c r="B4505" t="s">
        <v>14</v>
      </c>
      <c r="C4505" t="s">
        <v>4916</v>
      </c>
      <c r="D4505" t="s">
        <v>4598</v>
      </c>
      <c r="E4505">
        <v>115162.5</v>
      </c>
      <c r="F4505">
        <v>18253.74</v>
      </c>
      <c r="G4505">
        <v>36635.9125730235</v>
      </c>
      <c r="H4505">
        <v>1797.84</v>
      </c>
      <c r="I4505">
        <v>170052.15</v>
      </c>
      <c r="J4505">
        <v>168254.31</v>
      </c>
      <c r="K4505" s="1"/>
      <c r="L4505" s="1"/>
      <c r="M4505" s="1"/>
      <c r="N4505" s="1"/>
    </row>
    <row r="4506" ht="15.75" customHeight="1">
      <c r="A4506" t="s">
        <v>17</v>
      </c>
      <c r="B4506" t="s">
        <v>54</v>
      </c>
      <c r="C4506" t="s">
        <v>4913</v>
      </c>
      <c r="D4506" t="s">
        <v>4599</v>
      </c>
      <c r="E4506">
        <v>111060.76</v>
      </c>
      <c r="F4506">
        <v>31225.14</v>
      </c>
      <c r="G4506">
        <v>36643.592576453</v>
      </c>
      <c r="H4506">
        <v>21462.26</v>
      </c>
      <c r="I4506">
        <v>178929.49</v>
      </c>
      <c r="J4506">
        <v>157467.23</v>
      </c>
      <c r="K4506" s="1"/>
      <c r="L4506" s="1"/>
      <c r="M4506" s="1"/>
      <c r="N4506" s="1"/>
    </row>
    <row r="4507" ht="15.75" customHeight="1">
      <c r="A4507" t="s">
        <v>29</v>
      </c>
      <c r="B4507" t="s">
        <v>33</v>
      </c>
      <c r="C4507" t="s">
        <v>4910</v>
      </c>
      <c r="D4507" t="s">
        <v>4600</v>
      </c>
      <c r="E4507">
        <v>53866.66</v>
      </c>
      <c r="F4507">
        <v>20350.61</v>
      </c>
      <c r="G4507">
        <v>36651.2725798825</v>
      </c>
      <c r="H4507">
        <v>23217.99</v>
      </c>
      <c r="I4507">
        <v>110868.54</v>
      </c>
      <c r="J4507">
        <v>87650.55</v>
      </c>
      <c r="K4507" s="1"/>
      <c r="L4507" s="1"/>
      <c r="M4507" s="1"/>
      <c r="N4507" s="1"/>
    </row>
    <row r="4508" ht="15.75" customHeight="1">
      <c r="A4508" t="s">
        <v>36</v>
      </c>
      <c r="B4508" t="s">
        <v>30</v>
      </c>
      <c r="C4508" t="s">
        <v>4910</v>
      </c>
      <c r="D4508" t="s">
        <v>4601</v>
      </c>
      <c r="E4508">
        <v>16622.94</v>
      </c>
      <c r="F4508">
        <v>18842.07</v>
      </c>
      <c r="G4508">
        <v>36658.952583312</v>
      </c>
      <c r="H4508">
        <v>2719.34</v>
      </c>
      <c r="I4508">
        <v>72123.96</v>
      </c>
      <c r="J4508">
        <v>69404.62</v>
      </c>
      <c r="K4508" s="1"/>
      <c r="L4508" s="1"/>
      <c r="M4508" s="1"/>
      <c r="N4508" s="1"/>
    </row>
    <row r="4509" ht="15.75" customHeight="1">
      <c r="A4509" t="s">
        <v>36</v>
      </c>
      <c r="B4509" t="s">
        <v>33</v>
      </c>
      <c r="C4509" t="s">
        <v>4907</v>
      </c>
      <c r="D4509" t="s">
        <v>4602</v>
      </c>
      <c r="E4509">
        <v>112473.45</v>
      </c>
      <c r="F4509">
        <v>37650.28</v>
      </c>
      <c r="G4509">
        <v>36666.6325867415</v>
      </c>
      <c r="H4509">
        <v>3278.97</v>
      </c>
      <c r="I4509">
        <v>186790.36</v>
      </c>
      <c r="J4509">
        <v>183511.39</v>
      </c>
      <c r="K4509" s="1"/>
      <c r="L4509" s="1"/>
      <c r="M4509" s="1"/>
      <c r="N4509" s="1"/>
    </row>
    <row r="4510" ht="15.75" customHeight="1">
      <c r="A4510" t="s">
        <v>29</v>
      </c>
      <c r="B4510" t="s">
        <v>37</v>
      </c>
      <c r="C4510" t="s">
        <v>4908</v>
      </c>
      <c r="D4510" t="s">
        <v>4603</v>
      </c>
      <c r="E4510">
        <v>59959.34</v>
      </c>
      <c r="F4510">
        <v>13031.65</v>
      </c>
      <c r="G4510">
        <v>36674.312590171</v>
      </c>
      <c r="H4510">
        <v>1312.77</v>
      </c>
      <c r="I4510">
        <v>109665.3</v>
      </c>
      <c r="J4510">
        <v>108352.53</v>
      </c>
      <c r="K4510" s="1"/>
      <c r="L4510" s="1"/>
      <c r="M4510" s="1"/>
      <c r="N4510" s="1"/>
    </row>
    <row r="4511" ht="15.75" customHeight="1">
      <c r="A4511" t="s">
        <v>51</v>
      </c>
      <c r="B4511" t="s">
        <v>33</v>
      </c>
      <c r="C4511" t="s">
        <v>4905</v>
      </c>
      <c r="D4511" t="s">
        <v>4604</v>
      </c>
      <c r="E4511">
        <v>116498.76</v>
      </c>
      <c r="F4511">
        <v>8336.1</v>
      </c>
      <c r="G4511">
        <v>36681.9925936005</v>
      </c>
      <c r="H4511">
        <v>3060.44</v>
      </c>
      <c r="I4511">
        <v>161516.85</v>
      </c>
      <c r="J4511">
        <v>158456.41</v>
      </c>
      <c r="K4511" s="1"/>
      <c r="L4511" s="1"/>
      <c r="M4511" s="1"/>
      <c r="N4511" s="1"/>
    </row>
    <row r="4512" ht="15.75" customHeight="1">
      <c r="A4512" t="s">
        <v>53</v>
      </c>
      <c r="B4512" t="s">
        <v>26</v>
      </c>
      <c r="C4512" t="s">
        <v>4916</v>
      </c>
      <c r="D4512" t="s">
        <v>4605</v>
      </c>
      <c r="E4512">
        <v>116180.1</v>
      </c>
      <c r="F4512">
        <v>25043.55</v>
      </c>
      <c r="G4512">
        <v>36689.67259703</v>
      </c>
      <c r="H4512">
        <v>5630.79</v>
      </c>
      <c r="I4512">
        <v>177913.32</v>
      </c>
      <c r="J4512">
        <v>172282.53</v>
      </c>
      <c r="K4512" s="1"/>
      <c r="L4512" s="1"/>
      <c r="M4512" s="1"/>
      <c r="N4512" s="1"/>
    </row>
    <row r="4513" ht="15.75" customHeight="1">
      <c r="A4513" t="s">
        <v>53</v>
      </c>
      <c r="B4513" t="s">
        <v>14</v>
      </c>
      <c r="C4513" t="s">
        <v>4905</v>
      </c>
      <c r="D4513" t="s">
        <v>4606</v>
      </c>
      <c r="E4513">
        <v>45917.13</v>
      </c>
      <c r="F4513">
        <v>17602.21</v>
      </c>
      <c r="G4513">
        <v>36705.032603889</v>
      </c>
      <c r="H4513">
        <v>16862.58</v>
      </c>
      <c r="I4513">
        <v>100224.37</v>
      </c>
      <c r="J4513">
        <v>83361.79</v>
      </c>
      <c r="K4513" s="1"/>
      <c r="L4513" s="1"/>
      <c r="M4513" s="1"/>
      <c r="N4513" s="1"/>
    </row>
    <row r="4514" ht="15.75" customHeight="1">
      <c r="A4514" t="s">
        <v>51</v>
      </c>
      <c r="B4514" t="s">
        <v>30</v>
      </c>
      <c r="C4514" t="s">
        <v>4913</v>
      </c>
      <c r="D4514" t="s">
        <v>4607</v>
      </c>
      <c r="E4514">
        <v>55435.26</v>
      </c>
      <c r="F4514">
        <v>6233.32</v>
      </c>
      <c r="G4514">
        <v>36712.7126073184</v>
      </c>
      <c r="H4514">
        <v>19574.55</v>
      </c>
      <c r="I4514">
        <v>98381.29</v>
      </c>
      <c r="J4514">
        <v>78806.74</v>
      </c>
      <c r="K4514" s="1"/>
      <c r="L4514" s="1"/>
      <c r="M4514" s="1"/>
      <c r="N4514" s="1"/>
    </row>
    <row r="4515" ht="15.75" customHeight="1">
      <c r="A4515" t="s">
        <v>17</v>
      </c>
      <c r="B4515" t="s">
        <v>14</v>
      </c>
      <c r="C4515" t="s">
        <v>4912</v>
      </c>
      <c r="D4515" t="s">
        <v>4608</v>
      </c>
      <c r="E4515">
        <v>104369.35</v>
      </c>
      <c r="F4515">
        <v>16214.99</v>
      </c>
      <c r="G4515">
        <v>36720.3926107479</v>
      </c>
      <c r="H4515">
        <v>19515.42</v>
      </c>
      <c r="I4515">
        <v>157304.73</v>
      </c>
      <c r="J4515">
        <v>137789.31</v>
      </c>
      <c r="K4515" s="1"/>
      <c r="L4515" s="1"/>
      <c r="M4515" s="1"/>
      <c r="N4515" s="1"/>
    </row>
    <row r="4516" ht="15.75" customHeight="1">
      <c r="A4516" t="s">
        <v>51</v>
      </c>
      <c r="B4516" t="s">
        <v>33</v>
      </c>
      <c r="C4516" t="s">
        <v>4908</v>
      </c>
      <c r="D4516" t="s">
        <v>4609</v>
      </c>
      <c r="E4516">
        <v>48276.81</v>
      </c>
      <c r="F4516">
        <v>22213.54</v>
      </c>
      <c r="G4516">
        <v>36728.0726141774</v>
      </c>
      <c r="H4516">
        <v>13609.31</v>
      </c>
      <c r="I4516">
        <v>107218.42</v>
      </c>
      <c r="J4516">
        <v>93609.11</v>
      </c>
      <c r="K4516" s="1"/>
      <c r="L4516" s="1"/>
      <c r="M4516" s="1"/>
      <c r="N4516" s="1"/>
    </row>
    <row r="4517" ht="15.75" customHeight="1">
      <c r="A4517" t="s">
        <v>51</v>
      </c>
      <c r="B4517" t="s">
        <v>54</v>
      </c>
      <c r="C4517" t="s">
        <v>4911</v>
      </c>
      <c r="D4517" t="s">
        <v>4610</v>
      </c>
      <c r="E4517">
        <v>32796.74</v>
      </c>
      <c r="F4517">
        <v>9829.23</v>
      </c>
      <c r="G4517">
        <v>36735.7526176069</v>
      </c>
      <c r="H4517">
        <v>20038.48</v>
      </c>
      <c r="I4517">
        <v>79361.72</v>
      </c>
      <c r="J4517">
        <v>59323.24</v>
      </c>
      <c r="K4517" s="1"/>
      <c r="L4517" s="1"/>
      <c r="M4517" s="1"/>
      <c r="N4517" s="1"/>
    </row>
    <row r="4518" ht="15.75" customHeight="1">
      <c r="A4518" t="s">
        <v>29</v>
      </c>
      <c r="B4518" t="s">
        <v>26</v>
      </c>
      <c r="C4518" t="s">
        <v>4917</v>
      </c>
      <c r="D4518" t="s">
        <v>4611</v>
      </c>
      <c r="E4518">
        <v>73464.13</v>
      </c>
      <c r="F4518">
        <v>27691.68</v>
      </c>
      <c r="G4518">
        <v>36743.4326210364</v>
      </c>
      <c r="H4518">
        <v>15097.28</v>
      </c>
      <c r="I4518">
        <v>137899.24</v>
      </c>
      <c r="J4518">
        <v>122801.96</v>
      </c>
      <c r="K4518" s="1"/>
      <c r="L4518" s="1"/>
      <c r="M4518" s="1"/>
      <c r="N4518" s="1"/>
    </row>
    <row r="4519" ht="15.75" customHeight="1">
      <c r="A4519" t="s">
        <v>25</v>
      </c>
      <c r="B4519" t="s">
        <v>30</v>
      </c>
      <c r="C4519" t="s">
        <v>4916</v>
      </c>
      <c r="D4519" t="s">
        <v>4612</v>
      </c>
      <c r="E4519">
        <v>113296.25</v>
      </c>
      <c r="F4519">
        <v>39918.98</v>
      </c>
      <c r="G4519">
        <v>36751.1126244659</v>
      </c>
      <c r="H4519">
        <v>8206.38</v>
      </c>
      <c r="I4519">
        <v>189966.34</v>
      </c>
      <c r="J4519">
        <v>181759.96</v>
      </c>
      <c r="K4519" s="1"/>
      <c r="L4519" s="1"/>
      <c r="M4519" s="1"/>
      <c r="N4519" s="1"/>
    </row>
    <row r="4520" ht="15.75" customHeight="1">
      <c r="A4520" t="s">
        <v>29</v>
      </c>
      <c r="B4520" t="s">
        <v>18</v>
      </c>
      <c r="C4520" t="s">
        <v>4917</v>
      </c>
      <c r="D4520" t="s">
        <v>4613</v>
      </c>
      <c r="E4520">
        <v>88083.13</v>
      </c>
      <c r="F4520">
        <v>20262.62</v>
      </c>
      <c r="G4520">
        <v>36758.7926278954</v>
      </c>
      <c r="H4520">
        <v>14247.2</v>
      </c>
      <c r="I4520">
        <v>145104.54</v>
      </c>
      <c r="J4520">
        <v>130857.34</v>
      </c>
      <c r="K4520" s="1"/>
      <c r="L4520" s="1"/>
      <c r="M4520" s="1"/>
      <c r="N4520" s="1"/>
    </row>
    <row r="4521" ht="15.75" customHeight="1">
      <c r="A4521" t="s">
        <v>36</v>
      </c>
      <c r="B4521" t="s">
        <v>37</v>
      </c>
      <c r="C4521" t="s">
        <v>4909</v>
      </c>
      <c r="D4521" t="s">
        <v>4614</v>
      </c>
      <c r="E4521">
        <v>74856.42</v>
      </c>
      <c r="F4521">
        <v>16770.23</v>
      </c>
      <c r="G4521">
        <v>36766.4726313249</v>
      </c>
      <c r="H4521">
        <v>13570.96</v>
      </c>
      <c r="I4521">
        <v>128393.12</v>
      </c>
      <c r="J4521">
        <v>114822.16</v>
      </c>
      <c r="K4521" s="1"/>
      <c r="L4521" s="1"/>
      <c r="M4521" s="1"/>
      <c r="N4521" s="1"/>
    </row>
    <row r="4522" ht="15.75" customHeight="1">
      <c r="A4522" t="s">
        <v>17</v>
      </c>
      <c r="B4522" t="s">
        <v>30</v>
      </c>
      <c r="C4522" t="s">
        <v>4912</v>
      </c>
      <c r="D4522" t="s">
        <v>4615</v>
      </c>
      <c r="E4522">
        <v>25203.53</v>
      </c>
      <c r="F4522">
        <v>18425.35</v>
      </c>
      <c r="G4522">
        <v>36774.1526347544</v>
      </c>
      <c r="H4522">
        <v>20674.6</v>
      </c>
      <c r="I4522">
        <v>80403.03</v>
      </c>
      <c r="J4522">
        <v>59728.43</v>
      </c>
      <c r="K4522" s="1"/>
      <c r="L4522" s="1"/>
      <c r="M4522" s="1"/>
      <c r="N4522" s="1"/>
    </row>
    <row r="4523" ht="15.75" customHeight="1">
      <c r="A4523" t="s">
        <v>13</v>
      </c>
      <c r="B4523" t="s">
        <v>54</v>
      </c>
      <c r="C4523" t="s">
        <v>4910</v>
      </c>
      <c r="D4523" t="s">
        <v>4616</v>
      </c>
      <c r="E4523">
        <v>79575.76</v>
      </c>
      <c r="F4523">
        <v>8145.26</v>
      </c>
      <c r="G4523">
        <v>36781.8326381839</v>
      </c>
      <c r="H4523">
        <v>24552.32</v>
      </c>
      <c r="I4523">
        <v>124502.85</v>
      </c>
      <c r="J4523">
        <v>99950.53</v>
      </c>
      <c r="K4523" s="1"/>
      <c r="L4523" s="1"/>
      <c r="M4523" s="1"/>
      <c r="N4523" s="1"/>
    </row>
    <row r="4524" ht="15.75" customHeight="1">
      <c r="A4524" t="s">
        <v>29</v>
      </c>
      <c r="B4524" t="s">
        <v>33</v>
      </c>
      <c r="C4524" t="s">
        <v>4915</v>
      </c>
      <c r="D4524" t="s">
        <v>4617</v>
      </c>
      <c r="E4524">
        <v>118955.65</v>
      </c>
      <c r="F4524">
        <v>35797.85</v>
      </c>
      <c r="G4524">
        <v>36789.5126416134</v>
      </c>
      <c r="H4524">
        <v>10570.54</v>
      </c>
      <c r="I4524">
        <v>191543.01</v>
      </c>
      <c r="J4524">
        <v>180972.47</v>
      </c>
      <c r="K4524" s="1"/>
      <c r="L4524" s="1"/>
      <c r="M4524" s="1"/>
      <c r="N4524" s="1"/>
    </row>
    <row r="4525" ht="15.75" customHeight="1">
      <c r="A4525" t="s">
        <v>17</v>
      </c>
      <c r="B4525" t="s">
        <v>18</v>
      </c>
      <c r="C4525" t="s">
        <v>4907</v>
      </c>
      <c r="D4525" t="s">
        <v>4618</v>
      </c>
      <c r="E4525">
        <v>29708.82</v>
      </c>
      <c r="F4525">
        <v>18933.72</v>
      </c>
      <c r="G4525">
        <v>36797.1926450429</v>
      </c>
      <c r="H4525">
        <v>19203.07</v>
      </c>
      <c r="I4525">
        <v>85439.73</v>
      </c>
      <c r="J4525">
        <v>66236.66</v>
      </c>
      <c r="K4525" s="1"/>
      <c r="L4525" s="1"/>
      <c r="M4525" s="1"/>
      <c r="N4525" s="1"/>
    </row>
    <row r="4526" ht="15.75" customHeight="1">
      <c r="A4526" t="s">
        <v>25</v>
      </c>
      <c r="B4526" t="s">
        <v>30</v>
      </c>
      <c r="C4526" t="s">
        <v>4915</v>
      </c>
      <c r="D4526" t="s">
        <v>4619</v>
      </c>
      <c r="E4526">
        <v>69424.61</v>
      </c>
      <c r="F4526">
        <v>17941.88</v>
      </c>
      <c r="G4526">
        <v>36804.8726484724</v>
      </c>
      <c r="H4526">
        <v>2944.19</v>
      </c>
      <c r="I4526">
        <v>124171.36</v>
      </c>
      <c r="J4526">
        <v>121227.17</v>
      </c>
      <c r="K4526" s="1"/>
      <c r="L4526" s="1"/>
      <c r="M4526" s="1"/>
      <c r="N4526" s="1"/>
    </row>
    <row r="4527" ht="15.75" customHeight="1">
      <c r="A4527" t="s">
        <v>17</v>
      </c>
      <c r="B4527" t="s">
        <v>14</v>
      </c>
      <c r="C4527" t="s">
        <v>4905</v>
      </c>
      <c r="D4527" t="s">
        <v>4620</v>
      </c>
      <c r="E4527">
        <v>107124.17</v>
      </c>
      <c r="F4527">
        <v>27748.85</v>
      </c>
      <c r="G4527">
        <v>36812.5526519019</v>
      </c>
      <c r="H4527">
        <v>19532.37</v>
      </c>
      <c r="I4527">
        <v>171685.57</v>
      </c>
      <c r="J4527">
        <v>152153.2</v>
      </c>
      <c r="K4527" s="1"/>
      <c r="L4527" s="1"/>
      <c r="M4527" s="1"/>
      <c r="N4527" s="1"/>
    </row>
    <row r="4528" ht="15.75" customHeight="1">
      <c r="A4528" t="s">
        <v>53</v>
      </c>
      <c r="B4528" t="s">
        <v>33</v>
      </c>
      <c r="C4528" t="s">
        <v>4914</v>
      </c>
      <c r="D4528" t="s">
        <v>4621</v>
      </c>
      <c r="E4528">
        <v>92780.7</v>
      </c>
      <c r="F4528">
        <v>19913.2</v>
      </c>
      <c r="G4528">
        <v>36820.2326553314</v>
      </c>
      <c r="H4528">
        <v>9599.71</v>
      </c>
      <c r="I4528">
        <v>149514.13</v>
      </c>
      <c r="J4528">
        <v>139914.42</v>
      </c>
      <c r="K4528" s="1"/>
      <c r="L4528" s="1"/>
      <c r="M4528" s="1"/>
      <c r="N4528" s="1"/>
    </row>
    <row r="4529" ht="15.75" customHeight="1">
      <c r="A4529" t="s">
        <v>53</v>
      </c>
      <c r="B4529" t="s">
        <v>26</v>
      </c>
      <c r="C4529" t="s">
        <v>4913</v>
      </c>
      <c r="D4529" t="s">
        <v>4622</v>
      </c>
      <c r="E4529">
        <v>88186.65</v>
      </c>
      <c r="F4529">
        <v>27336.4</v>
      </c>
      <c r="G4529">
        <v>36827.9126587609</v>
      </c>
      <c r="H4529">
        <v>1465.06</v>
      </c>
      <c r="I4529">
        <v>152350.96</v>
      </c>
      <c r="J4529">
        <v>150885.9</v>
      </c>
      <c r="K4529" s="1"/>
      <c r="L4529" s="1"/>
      <c r="M4529" s="1"/>
      <c r="N4529" s="1"/>
    </row>
    <row r="4530" ht="15.75" customHeight="1">
      <c r="A4530" t="s">
        <v>53</v>
      </c>
      <c r="B4530" t="s">
        <v>37</v>
      </c>
      <c r="C4530" t="s">
        <v>4917</v>
      </c>
      <c r="D4530" t="s">
        <v>4623</v>
      </c>
      <c r="E4530">
        <v>88760.83</v>
      </c>
      <c r="F4530">
        <v>6212.07</v>
      </c>
      <c r="G4530">
        <v>36835.5926621904</v>
      </c>
      <c r="H4530">
        <v>9399.53</v>
      </c>
      <c r="I4530">
        <v>131808.49</v>
      </c>
      <c r="J4530">
        <v>122408.96</v>
      </c>
      <c r="K4530" s="1"/>
      <c r="L4530" s="1"/>
      <c r="M4530" s="1"/>
      <c r="N4530" s="1"/>
    </row>
    <row r="4531" ht="15.75" customHeight="1">
      <c r="A4531" t="s">
        <v>36</v>
      </c>
      <c r="B4531" t="s">
        <v>18</v>
      </c>
      <c r="C4531" t="s">
        <v>4910</v>
      </c>
      <c r="D4531" t="s">
        <v>4624</v>
      </c>
      <c r="E4531">
        <v>52746.57</v>
      </c>
      <c r="F4531">
        <v>33294.04</v>
      </c>
      <c r="G4531">
        <v>36843.2726656199</v>
      </c>
      <c r="H4531">
        <v>15460.75</v>
      </c>
      <c r="I4531">
        <v>122883.88</v>
      </c>
      <c r="J4531">
        <v>107423.13</v>
      </c>
      <c r="K4531" s="1"/>
      <c r="L4531" s="1"/>
      <c r="M4531" s="1"/>
      <c r="N4531" s="1"/>
    </row>
    <row r="4532" ht="15.75" customHeight="1">
      <c r="A4532" t="s">
        <v>29</v>
      </c>
      <c r="B4532" t="s">
        <v>18</v>
      </c>
      <c r="C4532" t="s">
        <v>4912</v>
      </c>
      <c r="D4532" t="s">
        <v>4625</v>
      </c>
      <c r="E4532">
        <v>45827.14</v>
      </c>
      <c r="F4532">
        <v>37858.14</v>
      </c>
      <c r="G4532">
        <v>36850.9526690494</v>
      </c>
      <c r="H4532">
        <v>3421.63</v>
      </c>
      <c r="I4532">
        <v>120536.23</v>
      </c>
      <c r="J4532">
        <v>117114.6</v>
      </c>
      <c r="K4532" s="1"/>
      <c r="L4532" s="1"/>
      <c r="M4532" s="1"/>
      <c r="N4532" s="1"/>
    </row>
    <row r="4533" ht="15.75" customHeight="1">
      <c r="A4533" t="s">
        <v>25</v>
      </c>
      <c r="B4533" t="s">
        <v>33</v>
      </c>
      <c r="C4533" t="s">
        <v>4917</v>
      </c>
      <c r="D4533" t="s">
        <v>4626</v>
      </c>
      <c r="E4533">
        <v>71780.1808858172</v>
      </c>
      <c r="F4533">
        <v>27355.55</v>
      </c>
      <c r="G4533">
        <v>36858.6326724789</v>
      </c>
      <c r="H4533">
        <v>23138.85</v>
      </c>
      <c r="I4533">
        <v>135994.36</v>
      </c>
      <c r="J4533">
        <v>112855.51</v>
      </c>
      <c r="K4533" s="1"/>
      <c r="L4533" s="1"/>
      <c r="M4533" s="1"/>
      <c r="N4533" s="1"/>
    </row>
    <row r="4534" ht="15.75" customHeight="1">
      <c r="A4534" t="s">
        <v>29</v>
      </c>
      <c r="B4534" t="s">
        <v>54</v>
      </c>
      <c r="C4534" t="s">
        <v>4910</v>
      </c>
      <c r="D4534" t="s">
        <v>4627</v>
      </c>
      <c r="E4534">
        <v>100061.91</v>
      </c>
      <c r="F4534">
        <v>38364.37</v>
      </c>
      <c r="G4534">
        <v>36866.3126759084</v>
      </c>
      <c r="H4534">
        <v>2402.97</v>
      </c>
      <c r="I4534">
        <v>175292.59</v>
      </c>
      <c r="J4534">
        <v>172889.62</v>
      </c>
      <c r="K4534" s="1"/>
      <c r="L4534" s="1"/>
      <c r="M4534" s="1"/>
      <c r="N4534" s="1"/>
    </row>
    <row r="4535" ht="15.75" customHeight="1">
      <c r="A4535" t="s">
        <v>17</v>
      </c>
      <c r="B4535" t="s">
        <v>33</v>
      </c>
      <c r="C4535" t="s">
        <v>4905</v>
      </c>
      <c r="D4535" t="s">
        <v>4628</v>
      </c>
      <c r="E4535">
        <v>106042.59</v>
      </c>
      <c r="F4535">
        <v>9451.56</v>
      </c>
      <c r="G4535">
        <v>36873.9926793379</v>
      </c>
      <c r="H4535">
        <v>23285.16</v>
      </c>
      <c r="I4535">
        <v>152368.14</v>
      </c>
      <c r="J4535">
        <v>129082.98</v>
      </c>
      <c r="K4535" s="1"/>
      <c r="L4535" s="1"/>
      <c r="M4535" s="1"/>
      <c r="N4535" s="1"/>
    </row>
    <row r="4536" ht="15.75" customHeight="1">
      <c r="A4536" t="s">
        <v>53</v>
      </c>
      <c r="B4536" t="s">
        <v>18</v>
      </c>
      <c r="C4536" t="s">
        <v>4917</v>
      </c>
      <c r="D4536" t="s">
        <v>4629</v>
      </c>
      <c r="E4536">
        <v>110890.26</v>
      </c>
      <c r="F4536">
        <v>21186.98</v>
      </c>
      <c r="G4536">
        <v>36881.6726827675</v>
      </c>
      <c r="H4536">
        <v>14765.30618879032</v>
      </c>
      <c r="I4536">
        <v>168958.91</v>
      </c>
      <c r="J4536">
        <v>154193.6</v>
      </c>
      <c r="K4536" s="1"/>
      <c r="L4536" s="1"/>
      <c r="M4536" s="1"/>
      <c r="N4536" s="1"/>
    </row>
    <row r="4537" ht="15.75" customHeight="1">
      <c r="A4537" t="s">
        <v>53</v>
      </c>
      <c r="B4537" t="s">
        <v>14</v>
      </c>
      <c r="C4537" t="s">
        <v>4908</v>
      </c>
      <c r="D4537" t="s">
        <v>4630</v>
      </c>
      <c r="E4537">
        <v>68690.95</v>
      </c>
      <c r="F4537">
        <v>25665.04</v>
      </c>
      <c r="G4537">
        <v>36889.3526861969</v>
      </c>
      <c r="H4537">
        <v>8577.95</v>
      </c>
      <c r="I4537">
        <v>131245.34</v>
      </c>
      <c r="J4537">
        <v>122667.39</v>
      </c>
      <c r="K4537" s="1"/>
      <c r="L4537" s="1"/>
      <c r="M4537" s="1"/>
      <c r="N4537" s="1"/>
    </row>
    <row r="4538" ht="15.75" customHeight="1">
      <c r="A4538" t="s">
        <v>29</v>
      </c>
      <c r="B4538" t="s">
        <v>26</v>
      </c>
      <c r="C4538" t="s">
        <v>4909</v>
      </c>
      <c r="D4538" t="s">
        <v>4631</v>
      </c>
      <c r="E4538">
        <v>67659.21</v>
      </c>
      <c r="F4538">
        <v>24942.52</v>
      </c>
      <c r="G4538">
        <v>36897.0326896264</v>
      </c>
      <c r="H4538">
        <v>10073.38</v>
      </c>
      <c r="I4538">
        <v>129498.76</v>
      </c>
      <c r="J4538">
        <v>119425.38</v>
      </c>
      <c r="K4538" s="1"/>
      <c r="L4538" s="1"/>
      <c r="M4538" s="1"/>
      <c r="N4538" s="1"/>
    </row>
    <row r="4539" ht="15.75" customHeight="1">
      <c r="A4539" t="s">
        <v>36</v>
      </c>
      <c r="B4539" t="s">
        <v>37</v>
      </c>
      <c r="C4539" t="s">
        <v>4905</v>
      </c>
      <c r="D4539" t="s">
        <v>4632</v>
      </c>
      <c r="E4539">
        <v>98820.99</v>
      </c>
      <c r="F4539">
        <v>18452.62</v>
      </c>
      <c r="G4539">
        <v>36904.7126930559</v>
      </c>
      <c r="H4539">
        <v>18649.83</v>
      </c>
      <c r="I4539">
        <v>154178.32</v>
      </c>
      <c r="J4539">
        <v>135528.49</v>
      </c>
      <c r="K4539" s="1"/>
      <c r="L4539" s="1"/>
      <c r="M4539" s="1"/>
      <c r="N4539" s="1"/>
    </row>
    <row r="4540" ht="15.75" customHeight="1">
      <c r="A4540" t="s">
        <v>36</v>
      </c>
      <c r="B4540" t="s">
        <v>14</v>
      </c>
      <c r="C4540" t="s">
        <v>4916</v>
      </c>
      <c r="D4540" t="s">
        <v>4633</v>
      </c>
      <c r="E4540">
        <v>83246.21</v>
      </c>
      <c r="F4540">
        <v>16171.04</v>
      </c>
      <c r="G4540">
        <v>36912.3926964854</v>
      </c>
      <c r="H4540">
        <v>15236.04</v>
      </c>
      <c r="I4540">
        <v>136329.64</v>
      </c>
      <c r="J4540">
        <v>121093.6</v>
      </c>
      <c r="K4540" s="1"/>
      <c r="L4540" s="1"/>
      <c r="M4540" s="1"/>
      <c r="N4540" s="1"/>
    </row>
    <row r="4541" ht="15.75" customHeight="1">
      <c r="A4541" t="s">
        <v>36</v>
      </c>
      <c r="B4541" t="s">
        <v>18</v>
      </c>
      <c r="C4541" t="s">
        <v>4911</v>
      </c>
      <c r="D4541" t="s">
        <v>4634</v>
      </c>
      <c r="E4541">
        <v>88706.52</v>
      </c>
      <c r="F4541">
        <v>8565.66</v>
      </c>
      <c r="G4541">
        <v>36920.0726999149</v>
      </c>
      <c r="H4541">
        <v>16955.25</v>
      </c>
      <c r="I4541">
        <v>134192.25</v>
      </c>
      <c r="J4541">
        <v>117237.0</v>
      </c>
      <c r="K4541" s="1"/>
      <c r="L4541" s="1"/>
      <c r="M4541" s="1"/>
      <c r="N4541" s="1"/>
    </row>
    <row r="4542" ht="15.75" customHeight="1">
      <c r="A4542" t="s">
        <v>29</v>
      </c>
      <c r="B4542" t="s">
        <v>14</v>
      </c>
      <c r="C4542" t="s">
        <v>4914</v>
      </c>
      <c r="D4542" t="s">
        <v>4635</v>
      </c>
      <c r="E4542">
        <v>98558.23</v>
      </c>
      <c r="F4542">
        <v>18102.73</v>
      </c>
      <c r="G4542">
        <v>36927.7527033444</v>
      </c>
      <c r="H4542">
        <v>10034.53</v>
      </c>
      <c r="I4542">
        <v>153588.71</v>
      </c>
      <c r="J4542">
        <v>143554.18</v>
      </c>
      <c r="K4542" s="1"/>
      <c r="L4542" s="1"/>
      <c r="M4542" s="1"/>
      <c r="N4542" s="1"/>
    </row>
    <row r="4543" ht="15.75" customHeight="1">
      <c r="A4543" t="s">
        <v>25</v>
      </c>
      <c r="B4543" t="s">
        <v>54</v>
      </c>
      <c r="C4543" t="s">
        <v>4908</v>
      </c>
      <c r="D4543" t="s">
        <v>4636</v>
      </c>
      <c r="E4543">
        <v>108450.56</v>
      </c>
      <c r="F4543">
        <v>9855.79</v>
      </c>
      <c r="G4543">
        <v>36935.4327067739</v>
      </c>
      <c r="H4543">
        <v>12451.43</v>
      </c>
      <c r="I4543">
        <v>155241.78</v>
      </c>
      <c r="J4543">
        <v>142790.35</v>
      </c>
      <c r="K4543" s="1"/>
      <c r="L4543" s="1"/>
      <c r="M4543" s="1"/>
      <c r="N4543" s="1"/>
    </row>
    <row r="4544" ht="15.75" customHeight="1">
      <c r="A4544" t="s">
        <v>29</v>
      </c>
      <c r="B4544" t="s">
        <v>33</v>
      </c>
      <c r="C4544" t="s">
        <v>4917</v>
      </c>
      <c r="D4544" t="s">
        <v>4637</v>
      </c>
      <c r="E4544">
        <v>50489.49</v>
      </c>
      <c r="F4544">
        <v>30437.16</v>
      </c>
      <c r="G4544">
        <v>36943.1127102034</v>
      </c>
      <c r="H4544">
        <v>24751.75</v>
      </c>
      <c r="I4544">
        <v>117869.76</v>
      </c>
      <c r="J4544">
        <v>93118.01</v>
      </c>
      <c r="K4544" s="1"/>
      <c r="L4544" s="1"/>
      <c r="M4544" s="1"/>
      <c r="N4544" s="1"/>
    </row>
    <row r="4545" ht="15.75" customHeight="1">
      <c r="A4545" t="s">
        <v>36</v>
      </c>
      <c r="B4545" t="s">
        <v>18</v>
      </c>
      <c r="C4545" t="s">
        <v>4915</v>
      </c>
      <c r="D4545" t="s">
        <v>4638</v>
      </c>
      <c r="E4545">
        <v>54436.21</v>
      </c>
      <c r="F4545">
        <v>11517.91</v>
      </c>
      <c r="G4545">
        <v>36950.7927136329</v>
      </c>
      <c r="H4545">
        <v>5741.11</v>
      </c>
      <c r="I4545">
        <v>102904.91</v>
      </c>
      <c r="J4545">
        <v>97163.8</v>
      </c>
      <c r="K4545" s="1"/>
      <c r="L4545" s="1"/>
      <c r="M4545" s="1"/>
      <c r="N4545" s="1"/>
    </row>
    <row r="4546" ht="15.75" customHeight="1">
      <c r="A4546" t="s">
        <v>51</v>
      </c>
      <c r="B4546" t="s">
        <v>26</v>
      </c>
      <c r="C4546" t="s">
        <v>4910</v>
      </c>
      <c r="D4546" t="s">
        <v>4639</v>
      </c>
      <c r="E4546">
        <v>24868.1</v>
      </c>
      <c r="F4546">
        <v>6108.35</v>
      </c>
      <c r="G4546">
        <v>36958.4727170624</v>
      </c>
      <c r="H4546">
        <v>10737.48</v>
      </c>
      <c r="I4546">
        <v>67934.92</v>
      </c>
      <c r="J4546">
        <v>57197.44</v>
      </c>
      <c r="K4546" s="1"/>
      <c r="L4546" s="1"/>
      <c r="M4546" s="1"/>
      <c r="N4546" s="1"/>
    </row>
    <row r="4547" ht="15.75" customHeight="1">
      <c r="A4547" t="s">
        <v>13</v>
      </c>
      <c r="B4547" t="s">
        <v>37</v>
      </c>
      <c r="C4547" t="s">
        <v>4905</v>
      </c>
      <c r="D4547" t="s">
        <v>4640</v>
      </c>
      <c r="E4547">
        <v>75719.41</v>
      </c>
      <c r="F4547">
        <v>23885.18</v>
      </c>
      <c r="G4547">
        <v>36966.1527204919</v>
      </c>
      <c r="H4547">
        <v>7649.67</v>
      </c>
      <c r="I4547">
        <v>136570.74</v>
      </c>
      <c r="J4547">
        <v>128921.07</v>
      </c>
      <c r="K4547" s="1"/>
      <c r="L4547" s="1"/>
      <c r="M4547" s="1"/>
      <c r="N4547" s="1"/>
    </row>
    <row r="4548" ht="15.75" customHeight="1">
      <c r="A4548" t="s">
        <v>17</v>
      </c>
      <c r="B4548" t="s">
        <v>30</v>
      </c>
      <c r="C4548" t="s">
        <v>4910</v>
      </c>
      <c r="D4548" t="s">
        <v>4641</v>
      </c>
      <c r="E4548">
        <v>18773.94</v>
      </c>
      <c r="F4548">
        <v>25428.27</v>
      </c>
      <c r="G4548">
        <v>36973.8327239214</v>
      </c>
      <c r="H4548">
        <v>19245.23</v>
      </c>
      <c r="I4548">
        <v>81176.04</v>
      </c>
      <c r="J4548">
        <v>61930.81</v>
      </c>
      <c r="K4548" s="1"/>
      <c r="L4548" s="1"/>
      <c r="M4548" s="1"/>
      <c r="N4548" s="1"/>
    </row>
    <row r="4549" ht="15.75" customHeight="1">
      <c r="A4549" t="s">
        <v>53</v>
      </c>
      <c r="B4549" t="s">
        <v>37</v>
      </c>
      <c r="C4549" t="s">
        <v>4908</v>
      </c>
      <c r="D4549" t="s">
        <v>4642</v>
      </c>
      <c r="E4549">
        <v>63887.79</v>
      </c>
      <c r="F4549">
        <v>35388.87</v>
      </c>
      <c r="G4549">
        <v>36981.5127273509</v>
      </c>
      <c r="H4549">
        <v>19218.31</v>
      </c>
      <c r="I4549">
        <v>136258.17</v>
      </c>
      <c r="J4549">
        <v>117039.86</v>
      </c>
      <c r="K4549" s="1"/>
      <c r="L4549" s="1"/>
      <c r="M4549" s="1"/>
      <c r="N4549" s="1"/>
    </row>
    <row r="4550" ht="15.75" customHeight="1">
      <c r="A4550" t="s">
        <v>51</v>
      </c>
      <c r="B4550" t="s">
        <v>54</v>
      </c>
      <c r="C4550" t="s">
        <v>4913</v>
      </c>
      <c r="D4550" t="s">
        <v>4643</v>
      </c>
      <c r="E4550">
        <v>71977.69</v>
      </c>
      <c r="F4550">
        <v>24771.34</v>
      </c>
      <c r="G4550">
        <v>36989.1927307803</v>
      </c>
      <c r="H4550">
        <v>7664.91</v>
      </c>
      <c r="I4550">
        <v>133738.22</v>
      </c>
      <c r="J4550">
        <v>126073.31</v>
      </c>
      <c r="K4550" s="1"/>
      <c r="L4550" s="1"/>
      <c r="M4550" s="1"/>
      <c r="N4550" s="1"/>
    </row>
    <row r="4551" ht="15.75" customHeight="1">
      <c r="A4551" t="s">
        <v>13</v>
      </c>
      <c r="B4551" t="s">
        <v>30</v>
      </c>
      <c r="C4551" t="s">
        <v>4907</v>
      </c>
      <c r="D4551" t="s">
        <v>4644</v>
      </c>
      <c r="E4551">
        <v>45086.83</v>
      </c>
      <c r="F4551">
        <v>16437.31</v>
      </c>
      <c r="G4551">
        <v>36996.8727342099</v>
      </c>
      <c r="H4551">
        <v>2494.06</v>
      </c>
      <c r="I4551">
        <v>98521.01</v>
      </c>
      <c r="J4551">
        <v>96026.95</v>
      </c>
      <c r="K4551" s="1"/>
      <c r="L4551" s="1"/>
      <c r="M4551" s="1"/>
      <c r="N4551" s="1"/>
    </row>
    <row r="4552" ht="15.75" customHeight="1">
      <c r="A4552" t="s">
        <v>25</v>
      </c>
      <c r="B4552" t="s">
        <v>14</v>
      </c>
      <c r="C4552" t="s">
        <v>4911</v>
      </c>
      <c r="D4552" t="s">
        <v>4645</v>
      </c>
      <c r="E4552">
        <v>77037.49</v>
      </c>
      <c r="F4552">
        <v>32908.43</v>
      </c>
      <c r="G4552">
        <v>37004.5527376393</v>
      </c>
      <c r="H4552">
        <v>780.1</v>
      </c>
      <c r="I4552">
        <v>146950.47</v>
      </c>
      <c r="J4552">
        <v>146170.37</v>
      </c>
      <c r="K4552" s="1"/>
      <c r="L4552" s="1"/>
      <c r="M4552" s="1"/>
      <c r="N4552" s="1"/>
    </row>
    <row r="4553" ht="15.75" customHeight="1">
      <c r="A4553" t="s">
        <v>29</v>
      </c>
      <c r="B4553" t="s">
        <v>14</v>
      </c>
      <c r="C4553" t="s">
        <v>4905</v>
      </c>
      <c r="D4553" t="s">
        <v>4646</v>
      </c>
      <c r="E4553">
        <v>18202.53</v>
      </c>
      <c r="F4553">
        <v>23450.04</v>
      </c>
      <c r="G4553">
        <v>37012.2327410688</v>
      </c>
      <c r="H4553">
        <v>10972.54</v>
      </c>
      <c r="I4553">
        <v>78664.8</v>
      </c>
      <c r="J4553">
        <v>67692.26</v>
      </c>
      <c r="K4553" s="1"/>
      <c r="L4553" s="1"/>
      <c r="M4553" s="1"/>
      <c r="N4553" s="1"/>
    </row>
    <row r="4554" ht="15.75" customHeight="1">
      <c r="A4554" t="s">
        <v>25</v>
      </c>
      <c r="B4554" t="s">
        <v>37</v>
      </c>
      <c r="C4554" t="s">
        <v>4908</v>
      </c>
      <c r="D4554" t="s">
        <v>4647</v>
      </c>
      <c r="E4554">
        <v>18921.56</v>
      </c>
      <c r="F4554">
        <v>6854.09</v>
      </c>
      <c r="G4554">
        <v>37019.9127444983</v>
      </c>
      <c r="H4554">
        <v>10553.27</v>
      </c>
      <c r="I4554">
        <v>62795.56</v>
      </c>
      <c r="J4554">
        <v>52242.29</v>
      </c>
      <c r="K4554" s="1"/>
      <c r="L4554" s="1"/>
      <c r="M4554" s="1"/>
      <c r="N4554" s="1"/>
    </row>
    <row r="4555" ht="15.75" customHeight="1">
      <c r="A4555" t="s">
        <v>25</v>
      </c>
      <c r="B4555" t="s">
        <v>18</v>
      </c>
      <c r="C4555" t="s">
        <v>4909</v>
      </c>
      <c r="D4555" t="s">
        <v>4648</v>
      </c>
      <c r="E4555">
        <v>101373.06</v>
      </c>
      <c r="F4555">
        <v>24370.62</v>
      </c>
      <c r="G4555">
        <v>37027.5927479278</v>
      </c>
      <c r="H4555">
        <v>24715.55</v>
      </c>
      <c r="I4555">
        <v>162771.27</v>
      </c>
      <c r="J4555">
        <v>138055.72</v>
      </c>
      <c r="K4555" s="1"/>
      <c r="L4555" s="1"/>
      <c r="M4555" s="1"/>
      <c r="N4555" s="1"/>
    </row>
    <row r="4556" ht="15.75" customHeight="1">
      <c r="A4556" t="s">
        <v>17</v>
      </c>
      <c r="B4556" t="s">
        <v>37</v>
      </c>
      <c r="C4556" t="s">
        <v>4910</v>
      </c>
      <c r="D4556" t="s">
        <v>4649</v>
      </c>
      <c r="E4556">
        <v>69835.54</v>
      </c>
      <c r="F4556">
        <v>14667.73</v>
      </c>
      <c r="G4556">
        <v>37050.6327582163</v>
      </c>
      <c r="H4556">
        <v>22335.12</v>
      </c>
      <c r="I4556">
        <v>121553.9</v>
      </c>
      <c r="J4556">
        <v>99218.78</v>
      </c>
      <c r="K4556" s="1"/>
      <c r="L4556" s="1"/>
      <c r="M4556" s="1"/>
      <c r="N4556" s="1"/>
    </row>
    <row r="4557" ht="15.75" customHeight="1">
      <c r="A4557" t="s">
        <v>29</v>
      </c>
      <c r="B4557" t="s">
        <v>18</v>
      </c>
      <c r="C4557" t="s">
        <v>4917</v>
      </c>
      <c r="D4557" t="s">
        <v>4650</v>
      </c>
      <c r="E4557">
        <v>95849.32</v>
      </c>
      <c r="F4557">
        <v>9164.9</v>
      </c>
      <c r="G4557">
        <v>37058.3127616458</v>
      </c>
      <c r="H4557">
        <v>12531.16</v>
      </c>
      <c r="I4557">
        <v>142072.53</v>
      </c>
      <c r="J4557">
        <v>129541.37</v>
      </c>
      <c r="K4557" s="1"/>
      <c r="L4557" s="1"/>
      <c r="M4557" s="1"/>
      <c r="N4557" s="1"/>
    </row>
    <row r="4558" ht="15.75" customHeight="1">
      <c r="A4558" t="s">
        <v>53</v>
      </c>
      <c r="B4558" t="s">
        <v>54</v>
      </c>
      <c r="C4558" t="s">
        <v>4915</v>
      </c>
      <c r="D4558" t="s">
        <v>4651</v>
      </c>
      <c r="E4558">
        <v>37661.21</v>
      </c>
      <c r="F4558">
        <v>9452.04</v>
      </c>
      <c r="G4558">
        <v>37065.9927650753</v>
      </c>
      <c r="H4558">
        <v>15179.8</v>
      </c>
      <c r="I4558">
        <v>84179.24</v>
      </c>
      <c r="J4558">
        <v>68999.44</v>
      </c>
      <c r="K4558" s="1"/>
      <c r="L4558" s="1"/>
      <c r="M4558" s="1"/>
      <c r="N4558" s="1"/>
    </row>
    <row r="4559" ht="15.75" customHeight="1">
      <c r="A4559" t="s">
        <v>53</v>
      </c>
      <c r="B4559" t="s">
        <v>30</v>
      </c>
      <c r="C4559" t="s">
        <v>4914</v>
      </c>
      <c r="D4559" t="s">
        <v>4652</v>
      </c>
      <c r="E4559">
        <v>80403.5</v>
      </c>
      <c r="F4559">
        <v>19579.77</v>
      </c>
      <c r="G4559">
        <v>37073.6727685048</v>
      </c>
      <c r="H4559">
        <v>2843.88</v>
      </c>
      <c r="I4559">
        <v>137056.94</v>
      </c>
      <c r="J4559">
        <v>134213.06</v>
      </c>
      <c r="K4559" s="1"/>
      <c r="L4559" s="1"/>
      <c r="M4559" s="1"/>
      <c r="N4559" s="1"/>
    </row>
    <row r="4560" ht="15.75" customHeight="1">
      <c r="A4560" t="s">
        <v>13</v>
      </c>
      <c r="B4560" t="s">
        <v>37</v>
      </c>
      <c r="C4560" t="s">
        <v>4912</v>
      </c>
      <c r="D4560" t="s">
        <v>4653</v>
      </c>
      <c r="E4560">
        <v>23961.48</v>
      </c>
      <c r="F4560">
        <v>25444.47</v>
      </c>
      <c r="G4560">
        <v>37081.3527719343</v>
      </c>
      <c r="H4560">
        <v>9881.45</v>
      </c>
      <c r="I4560">
        <v>86487.3</v>
      </c>
      <c r="J4560">
        <v>76605.85</v>
      </c>
      <c r="K4560" s="1"/>
      <c r="L4560" s="1"/>
      <c r="M4560" s="1"/>
      <c r="N4560" s="1"/>
    </row>
    <row r="4561" ht="15.75" customHeight="1">
      <c r="A4561" t="s">
        <v>53</v>
      </c>
      <c r="B4561" t="s">
        <v>30</v>
      </c>
      <c r="C4561" t="s">
        <v>4916</v>
      </c>
      <c r="D4561" t="s">
        <v>4654</v>
      </c>
      <c r="E4561">
        <v>20426.58</v>
      </c>
      <c r="F4561">
        <v>6902.15</v>
      </c>
      <c r="G4561">
        <v>37089.0327753638</v>
      </c>
      <c r="H4561">
        <v>23633.48</v>
      </c>
      <c r="I4561">
        <v>64417.76</v>
      </c>
      <c r="J4561">
        <v>40784.28</v>
      </c>
      <c r="K4561" s="1"/>
      <c r="L4561" s="1"/>
      <c r="M4561" s="1"/>
      <c r="N4561" s="1"/>
    </row>
    <row r="4562" ht="15.75" customHeight="1">
      <c r="A4562" t="s">
        <v>13</v>
      </c>
      <c r="B4562" t="s">
        <v>26</v>
      </c>
      <c r="C4562" t="s">
        <v>4917</v>
      </c>
      <c r="D4562" t="s">
        <v>4655</v>
      </c>
      <c r="E4562">
        <v>70792.24</v>
      </c>
      <c r="F4562">
        <v>37824.47</v>
      </c>
      <c r="G4562">
        <v>37096.7127787933</v>
      </c>
      <c r="H4562">
        <v>14942.88</v>
      </c>
      <c r="I4562">
        <v>145713.42</v>
      </c>
      <c r="J4562">
        <v>130770.54</v>
      </c>
      <c r="K4562" s="1"/>
      <c r="L4562" s="1"/>
      <c r="M4562" s="1"/>
      <c r="N4562" s="1"/>
    </row>
    <row r="4563" ht="15.75" customHeight="1">
      <c r="A4563" t="s">
        <v>13</v>
      </c>
      <c r="B4563" t="s">
        <v>18</v>
      </c>
      <c r="C4563" t="s">
        <v>4917</v>
      </c>
      <c r="D4563" t="s">
        <v>4656</v>
      </c>
      <c r="E4563">
        <v>71766.69</v>
      </c>
      <c r="F4563">
        <v>31184.81</v>
      </c>
      <c r="G4563">
        <v>37104.3927822228</v>
      </c>
      <c r="H4563">
        <v>8940.3</v>
      </c>
      <c r="I4563">
        <v>140055.89</v>
      </c>
      <c r="J4563">
        <v>131115.59</v>
      </c>
      <c r="K4563" s="1"/>
      <c r="L4563" s="1"/>
      <c r="M4563" s="1"/>
      <c r="N4563" s="1"/>
    </row>
    <row r="4564" ht="15.75" customHeight="1">
      <c r="A4564" t="s">
        <v>25</v>
      </c>
      <c r="B4564" t="s">
        <v>33</v>
      </c>
      <c r="C4564" t="s">
        <v>4907</v>
      </c>
      <c r="D4564" t="s">
        <v>4657</v>
      </c>
      <c r="E4564">
        <v>81930.14</v>
      </c>
      <c r="F4564">
        <v>25118.46</v>
      </c>
      <c r="G4564">
        <v>37112.0727856523</v>
      </c>
      <c r="H4564">
        <v>15828.85</v>
      </c>
      <c r="I4564">
        <v>144160.67</v>
      </c>
      <c r="J4564">
        <v>128331.82</v>
      </c>
      <c r="K4564" s="1"/>
      <c r="L4564" s="1"/>
      <c r="M4564" s="1"/>
      <c r="N4564" s="1"/>
    </row>
    <row r="4565" ht="15.75" customHeight="1">
      <c r="A4565" t="s">
        <v>51</v>
      </c>
      <c r="B4565" t="s">
        <v>54</v>
      </c>
      <c r="C4565" t="s">
        <v>4910</v>
      </c>
      <c r="D4565" t="s">
        <v>4658</v>
      </c>
      <c r="E4565">
        <v>91239.59</v>
      </c>
      <c r="F4565">
        <v>33823.79</v>
      </c>
      <c r="G4565">
        <v>37119.7527890818</v>
      </c>
      <c r="H4565">
        <v>22805.07</v>
      </c>
      <c r="I4565">
        <v>162183.13</v>
      </c>
      <c r="J4565">
        <v>139378.06</v>
      </c>
      <c r="K4565" s="1"/>
      <c r="L4565" s="1"/>
      <c r="M4565" s="1"/>
      <c r="N4565" s="1"/>
    </row>
    <row r="4566" ht="15.75" customHeight="1">
      <c r="A4566" t="s">
        <v>53</v>
      </c>
      <c r="B4566" t="s">
        <v>18</v>
      </c>
      <c r="C4566" t="s">
        <v>4917</v>
      </c>
      <c r="D4566" t="s">
        <v>4659</v>
      </c>
      <c r="E4566">
        <v>117464.47</v>
      </c>
      <c r="F4566">
        <v>6886.72</v>
      </c>
      <c r="G4566">
        <v>37127.4327925113</v>
      </c>
      <c r="H4566">
        <v>7212.77</v>
      </c>
      <c r="I4566">
        <v>161478.62</v>
      </c>
      <c r="J4566">
        <v>154265.85</v>
      </c>
      <c r="K4566" s="1"/>
      <c r="L4566" s="1"/>
      <c r="M4566" s="1"/>
      <c r="N4566" s="1"/>
    </row>
    <row r="4567" ht="15.75" customHeight="1">
      <c r="A4567" t="s">
        <v>13</v>
      </c>
      <c r="B4567" t="s">
        <v>37</v>
      </c>
      <c r="C4567" t="s">
        <v>4912</v>
      </c>
      <c r="D4567" t="s">
        <v>4660</v>
      </c>
      <c r="E4567">
        <v>69211.54</v>
      </c>
      <c r="F4567">
        <v>21166.2</v>
      </c>
      <c r="G4567">
        <v>37135.1127959408</v>
      </c>
      <c r="H4567">
        <v>12875.36</v>
      </c>
      <c r="I4567">
        <v>127512.85</v>
      </c>
      <c r="J4567">
        <v>114637.49</v>
      </c>
      <c r="K4567" s="1"/>
      <c r="L4567" s="1"/>
      <c r="M4567" s="1"/>
      <c r="N4567" s="1"/>
    </row>
    <row r="4568" ht="15.75" customHeight="1">
      <c r="A4568" t="s">
        <v>25</v>
      </c>
      <c r="B4568" t="s">
        <v>26</v>
      </c>
      <c r="C4568" t="s">
        <v>4914</v>
      </c>
      <c r="D4568" t="s">
        <v>4661</v>
      </c>
      <c r="E4568">
        <v>48910.43</v>
      </c>
      <c r="F4568">
        <v>26683.35</v>
      </c>
      <c r="G4568">
        <v>37142.7927993703</v>
      </c>
      <c r="H4568">
        <v>23987.92</v>
      </c>
      <c r="I4568">
        <v>112736.57</v>
      </c>
      <c r="J4568">
        <v>88748.65</v>
      </c>
      <c r="K4568" s="1"/>
      <c r="L4568" s="1"/>
      <c r="M4568" s="1"/>
      <c r="N4568" s="1"/>
    </row>
    <row r="4569" ht="15.75" customHeight="1">
      <c r="A4569" t="s">
        <v>51</v>
      </c>
      <c r="B4569" t="s">
        <v>18</v>
      </c>
      <c r="C4569" t="s">
        <v>4915</v>
      </c>
      <c r="D4569" t="s">
        <v>4662</v>
      </c>
      <c r="E4569">
        <v>98494.55</v>
      </c>
      <c r="F4569">
        <v>33831.5</v>
      </c>
      <c r="G4569">
        <v>37150.4728027998</v>
      </c>
      <c r="H4569">
        <v>4723.71</v>
      </c>
      <c r="I4569">
        <v>169476.52</v>
      </c>
      <c r="J4569">
        <v>164752.81</v>
      </c>
      <c r="K4569" s="1"/>
      <c r="L4569" s="1"/>
      <c r="M4569" s="1"/>
      <c r="N4569" s="1"/>
    </row>
    <row r="4570" ht="15.75" customHeight="1">
      <c r="A4570" t="s">
        <v>51</v>
      </c>
      <c r="B4570" t="s">
        <v>33</v>
      </c>
      <c r="C4570" t="s">
        <v>4911</v>
      </c>
      <c r="D4570" t="s">
        <v>4663</v>
      </c>
      <c r="E4570">
        <v>43437.39</v>
      </c>
      <c r="F4570">
        <v>32204.9</v>
      </c>
      <c r="G4570">
        <v>37158.1528062293</v>
      </c>
      <c r="H4570">
        <v>18131.77</v>
      </c>
      <c r="I4570">
        <v>112800.44</v>
      </c>
      <c r="J4570">
        <v>94668.67</v>
      </c>
      <c r="K4570" s="1"/>
      <c r="L4570" s="1"/>
      <c r="M4570" s="1"/>
      <c r="N4570" s="1"/>
    </row>
    <row r="4571" ht="15.75" customHeight="1">
      <c r="A4571" t="s">
        <v>36</v>
      </c>
      <c r="B4571" t="s">
        <v>26</v>
      </c>
      <c r="C4571" t="s">
        <v>4910</v>
      </c>
      <c r="D4571" t="s">
        <v>4664</v>
      </c>
      <c r="E4571">
        <v>61092.0</v>
      </c>
      <c r="F4571">
        <v>13974.49</v>
      </c>
      <c r="G4571">
        <v>37165.8328096588</v>
      </c>
      <c r="H4571">
        <v>15554.78</v>
      </c>
      <c r="I4571">
        <v>112232.32</v>
      </c>
      <c r="J4571">
        <v>96677.54</v>
      </c>
      <c r="K4571" s="1"/>
      <c r="L4571" s="1"/>
      <c r="M4571" s="1"/>
      <c r="N4571" s="1"/>
    </row>
    <row r="4572" ht="15.75" customHeight="1">
      <c r="A4572" t="s">
        <v>25</v>
      </c>
      <c r="B4572" t="s">
        <v>14</v>
      </c>
      <c r="C4572" t="s">
        <v>4914</v>
      </c>
      <c r="D4572" t="s">
        <v>4665</v>
      </c>
      <c r="E4572">
        <v>23237.92</v>
      </c>
      <c r="F4572">
        <v>37871.69</v>
      </c>
      <c r="G4572">
        <v>37173.5128130883</v>
      </c>
      <c r="H4572">
        <v>17152.04</v>
      </c>
      <c r="I4572">
        <v>98283.12</v>
      </c>
      <c r="J4572">
        <v>81131.08</v>
      </c>
      <c r="K4572" s="1"/>
      <c r="L4572" s="1"/>
      <c r="M4572" s="1"/>
      <c r="N4572" s="1"/>
    </row>
    <row r="4573" ht="15.75" customHeight="1">
      <c r="A4573" t="s">
        <v>51</v>
      </c>
      <c r="B4573" t="s">
        <v>26</v>
      </c>
      <c r="C4573" t="s">
        <v>4910</v>
      </c>
      <c r="D4573" t="s">
        <v>4666</v>
      </c>
      <c r="E4573">
        <v>17661.83</v>
      </c>
      <c r="F4573">
        <v>8476.45</v>
      </c>
      <c r="G4573">
        <v>37181.1928165178</v>
      </c>
      <c r="H4573">
        <v>9104.88</v>
      </c>
      <c r="I4573">
        <v>63319.47</v>
      </c>
      <c r="J4573">
        <v>54214.59</v>
      </c>
      <c r="K4573" s="1"/>
      <c r="L4573" s="1"/>
      <c r="M4573" s="1"/>
      <c r="N4573" s="1"/>
    </row>
    <row r="4574" ht="15.75" customHeight="1">
      <c r="A4574" t="s">
        <v>17</v>
      </c>
      <c r="B4574" t="s">
        <v>26</v>
      </c>
      <c r="C4574" t="s">
        <v>4912</v>
      </c>
      <c r="D4574" t="s">
        <v>4667</v>
      </c>
      <c r="E4574">
        <v>116078.08</v>
      </c>
      <c r="F4574">
        <v>35504.81</v>
      </c>
      <c r="G4574">
        <v>37188.8728199473</v>
      </c>
      <c r="H4574">
        <v>8190.04</v>
      </c>
      <c r="I4574">
        <v>188771.76</v>
      </c>
      <c r="J4574">
        <v>180581.72</v>
      </c>
      <c r="K4574" s="1"/>
      <c r="L4574" s="1"/>
      <c r="M4574" s="1"/>
      <c r="N4574" s="1"/>
    </row>
    <row r="4575" ht="15.75" customHeight="1">
      <c r="A4575" t="s">
        <v>13</v>
      </c>
      <c r="B4575" t="s">
        <v>18</v>
      </c>
      <c r="C4575" t="s">
        <v>4916</v>
      </c>
      <c r="D4575" t="s">
        <v>4668</v>
      </c>
      <c r="E4575">
        <v>71656.69906138915</v>
      </c>
      <c r="F4575">
        <v>38953.85</v>
      </c>
      <c r="G4575">
        <v>37196.5528233768</v>
      </c>
      <c r="H4575">
        <v>17263.14</v>
      </c>
      <c r="I4575">
        <v>147807.1</v>
      </c>
      <c r="J4575">
        <v>130543.96</v>
      </c>
      <c r="K4575" s="1"/>
      <c r="L4575" s="1"/>
      <c r="M4575" s="1"/>
      <c r="N4575" s="1"/>
    </row>
    <row r="4576" ht="15.75" customHeight="1">
      <c r="A4576" t="s">
        <v>51</v>
      </c>
      <c r="B4576" t="s">
        <v>30</v>
      </c>
      <c r="C4576" t="s">
        <v>4917</v>
      </c>
      <c r="D4576" t="s">
        <v>4669</v>
      </c>
      <c r="E4576">
        <v>88077.29</v>
      </c>
      <c r="F4576">
        <v>10377.53</v>
      </c>
      <c r="G4576">
        <v>37204.2328268064</v>
      </c>
      <c r="H4576">
        <v>5780.81</v>
      </c>
      <c r="I4576">
        <v>135659.05</v>
      </c>
      <c r="J4576">
        <v>129878.24</v>
      </c>
      <c r="K4576" s="1"/>
      <c r="L4576" s="1"/>
      <c r="M4576" s="1"/>
      <c r="N4576" s="1"/>
    </row>
    <row r="4577" ht="15.75" customHeight="1">
      <c r="A4577" t="s">
        <v>29</v>
      </c>
      <c r="B4577" t="s">
        <v>37</v>
      </c>
      <c r="C4577" t="s">
        <v>4917</v>
      </c>
      <c r="D4577" t="s">
        <v>4670</v>
      </c>
      <c r="E4577">
        <v>57940.06</v>
      </c>
      <c r="F4577">
        <v>29994.38</v>
      </c>
      <c r="G4577">
        <v>37211.9128302358</v>
      </c>
      <c r="H4577">
        <v>10781.54</v>
      </c>
      <c r="I4577">
        <v>125146.35</v>
      </c>
      <c r="J4577">
        <v>114364.81</v>
      </c>
      <c r="K4577" s="1"/>
      <c r="L4577" s="1"/>
      <c r="M4577" s="1"/>
      <c r="N4577" s="1"/>
    </row>
    <row r="4578" ht="15.75" customHeight="1">
      <c r="A4578" t="s">
        <v>51</v>
      </c>
      <c r="B4578" t="s">
        <v>33</v>
      </c>
      <c r="C4578" t="s">
        <v>4915</v>
      </c>
      <c r="D4578" t="s">
        <v>4671</v>
      </c>
      <c r="E4578">
        <v>33195.9</v>
      </c>
      <c r="F4578">
        <v>5450.28</v>
      </c>
      <c r="G4578">
        <v>37219.5928336653</v>
      </c>
      <c r="H4578">
        <v>5110.28</v>
      </c>
      <c r="I4578">
        <v>75865.77</v>
      </c>
      <c r="J4578">
        <v>70755.49</v>
      </c>
      <c r="K4578" s="1"/>
      <c r="L4578" s="1"/>
      <c r="M4578" s="1"/>
      <c r="N4578" s="1"/>
    </row>
    <row r="4579" ht="15.75" customHeight="1">
      <c r="A4579" t="s">
        <v>51</v>
      </c>
      <c r="B4579" t="s">
        <v>14</v>
      </c>
      <c r="C4579" t="s">
        <v>4907</v>
      </c>
      <c r="D4579" t="s">
        <v>4672</v>
      </c>
      <c r="E4579">
        <v>31425.89</v>
      </c>
      <c r="F4579">
        <v>18595.22</v>
      </c>
      <c r="G4579">
        <v>37227.2728370948</v>
      </c>
      <c r="H4579">
        <v>703.47</v>
      </c>
      <c r="I4579">
        <v>87248.38</v>
      </c>
      <c r="J4579">
        <v>86544.91</v>
      </c>
      <c r="K4579" s="1"/>
      <c r="L4579" s="1"/>
      <c r="M4579" s="1"/>
      <c r="N4579" s="1"/>
    </row>
    <row r="4580" ht="15.75" customHeight="1">
      <c r="A4580" t="s">
        <v>36</v>
      </c>
      <c r="B4580" t="s">
        <v>30</v>
      </c>
      <c r="C4580" t="s">
        <v>4910</v>
      </c>
      <c r="D4580" t="s">
        <v>4673</v>
      </c>
      <c r="E4580">
        <v>41275.5</v>
      </c>
      <c r="F4580">
        <v>22586.2</v>
      </c>
      <c r="G4580">
        <v>37234.9528405243</v>
      </c>
      <c r="H4580">
        <v>24266.41</v>
      </c>
      <c r="I4580">
        <v>101096.65</v>
      </c>
      <c r="J4580">
        <v>76830.24</v>
      </c>
      <c r="K4580" s="1"/>
      <c r="L4580" s="1"/>
      <c r="M4580" s="1"/>
      <c r="N4580" s="1"/>
    </row>
    <row r="4581" ht="15.75" customHeight="1">
      <c r="A4581" t="s">
        <v>53</v>
      </c>
      <c r="B4581" t="s">
        <v>18</v>
      </c>
      <c r="C4581" t="s">
        <v>4905</v>
      </c>
      <c r="D4581" t="s">
        <v>4674</v>
      </c>
      <c r="E4581">
        <v>72668.8</v>
      </c>
      <c r="F4581">
        <v>24903.23</v>
      </c>
      <c r="G4581">
        <v>37242.6328439538</v>
      </c>
      <c r="H4581">
        <v>11076.72</v>
      </c>
      <c r="I4581">
        <v>134814.66</v>
      </c>
      <c r="J4581">
        <v>123737.94</v>
      </c>
      <c r="K4581" s="1"/>
      <c r="L4581" s="1"/>
      <c r="M4581" s="1"/>
      <c r="N4581" s="1"/>
    </row>
    <row r="4582" ht="15.75" customHeight="1">
      <c r="A4582" t="s">
        <v>25</v>
      </c>
      <c r="B4582" t="s">
        <v>30</v>
      </c>
      <c r="C4582" t="s">
        <v>4905</v>
      </c>
      <c r="D4582" t="s">
        <v>4675</v>
      </c>
      <c r="E4582">
        <v>90032.57</v>
      </c>
      <c r="F4582">
        <v>37693.74</v>
      </c>
      <c r="G4582">
        <v>37250.3128473833</v>
      </c>
      <c r="H4582">
        <v>24249.07</v>
      </c>
      <c r="I4582">
        <v>164976.62</v>
      </c>
      <c r="J4582">
        <v>140727.55</v>
      </c>
      <c r="K4582" s="1"/>
      <c r="L4582" s="1"/>
      <c r="M4582" s="1"/>
      <c r="N4582" s="1"/>
    </row>
    <row r="4583" ht="15.75" customHeight="1">
      <c r="A4583" t="s">
        <v>17</v>
      </c>
      <c r="B4583" t="s">
        <v>14</v>
      </c>
      <c r="C4583" t="s">
        <v>4917</v>
      </c>
      <c r="D4583" t="s">
        <v>4676</v>
      </c>
      <c r="E4583">
        <v>84320.72</v>
      </c>
      <c r="F4583">
        <v>28201.02</v>
      </c>
      <c r="G4583">
        <v>37257.9928508128</v>
      </c>
      <c r="H4583">
        <v>3937.93</v>
      </c>
      <c r="I4583">
        <v>149779.73</v>
      </c>
      <c r="J4583">
        <v>145841.8</v>
      </c>
      <c r="K4583" s="1"/>
      <c r="L4583" s="1"/>
      <c r="M4583" s="1"/>
      <c r="N4583" s="1"/>
    </row>
    <row r="4584" ht="15.75" customHeight="1">
      <c r="A4584" t="s">
        <v>29</v>
      </c>
      <c r="B4584" t="s">
        <v>18</v>
      </c>
      <c r="C4584" t="s">
        <v>4911</v>
      </c>
      <c r="D4584" t="s">
        <v>4677</v>
      </c>
      <c r="E4584">
        <v>44393.06</v>
      </c>
      <c r="F4584">
        <v>21326.01</v>
      </c>
      <c r="G4584">
        <v>37265.6728542423</v>
      </c>
      <c r="H4584">
        <v>14890.49</v>
      </c>
      <c r="I4584">
        <v>102984.74</v>
      </c>
      <c r="J4584">
        <v>88094.25</v>
      </c>
      <c r="K4584" s="1"/>
      <c r="L4584" s="1"/>
      <c r="M4584" s="1"/>
      <c r="N4584" s="1"/>
    </row>
    <row r="4585" ht="15.75" customHeight="1">
      <c r="A4585" t="s">
        <v>36</v>
      </c>
      <c r="B4585" t="s">
        <v>18</v>
      </c>
      <c r="C4585" t="s">
        <v>4915</v>
      </c>
      <c r="D4585" t="s">
        <v>4678</v>
      </c>
      <c r="E4585">
        <v>115260.85</v>
      </c>
      <c r="F4585">
        <v>33148.3</v>
      </c>
      <c r="G4585">
        <v>37273.3528576717</v>
      </c>
      <c r="H4585">
        <v>5423.86</v>
      </c>
      <c r="I4585">
        <v>185682.5</v>
      </c>
      <c r="J4585">
        <v>180258.64</v>
      </c>
      <c r="K4585" s="1"/>
      <c r="L4585" s="1"/>
      <c r="M4585" s="1"/>
      <c r="N4585" s="1"/>
    </row>
    <row r="4586" ht="15.75" customHeight="1">
      <c r="A4586" t="s">
        <v>17</v>
      </c>
      <c r="B4586" t="s">
        <v>54</v>
      </c>
      <c r="C4586" t="s">
        <v>4914</v>
      </c>
      <c r="D4586" t="s">
        <v>4679</v>
      </c>
      <c r="E4586">
        <v>92479.18</v>
      </c>
      <c r="F4586">
        <v>38219.18</v>
      </c>
      <c r="G4586">
        <v>37281.0328611012</v>
      </c>
      <c r="H4586">
        <v>19856.82</v>
      </c>
      <c r="I4586">
        <v>167979.39</v>
      </c>
      <c r="J4586">
        <v>148122.57</v>
      </c>
      <c r="K4586" s="1"/>
      <c r="L4586" s="1"/>
      <c r="M4586" s="1"/>
      <c r="N4586" s="1"/>
    </row>
    <row r="4587" ht="15.75" customHeight="1">
      <c r="A4587" t="s">
        <v>25</v>
      </c>
      <c r="B4587" t="s">
        <v>30</v>
      </c>
      <c r="C4587" t="s">
        <v>4915</v>
      </c>
      <c r="D4587" t="s">
        <v>4680</v>
      </c>
      <c r="E4587">
        <v>73207.18</v>
      </c>
      <c r="F4587">
        <v>4794.38</v>
      </c>
      <c r="G4587">
        <v>37288.7128645307</v>
      </c>
      <c r="H4587">
        <v>19700.72</v>
      </c>
      <c r="I4587">
        <v>115290.27</v>
      </c>
      <c r="J4587">
        <v>95589.55</v>
      </c>
      <c r="K4587" s="1"/>
      <c r="L4587" s="1"/>
      <c r="M4587" s="1"/>
      <c r="N4587" s="1"/>
    </row>
    <row r="4588" ht="15.75" customHeight="1">
      <c r="A4588" t="s">
        <v>51</v>
      </c>
      <c r="B4588" t="s">
        <v>30</v>
      </c>
      <c r="C4588" t="s">
        <v>4905</v>
      </c>
      <c r="D4588" t="s">
        <v>4681</v>
      </c>
      <c r="E4588">
        <v>71902.66457289942</v>
      </c>
      <c r="F4588">
        <v>39370.77</v>
      </c>
      <c r="G4588">
        <v>37296.3928679602</v>
      </c>
      <c r="H4588">
        <v>3258.88</v>
      </c>
      <c r="I4588">
        <v>148569.83</v>
      </c>
      <c r="J4588">
        <v>145310.95</v>
      </c>
      <c r="K4588" s="1"/>
      <c r="L4588" s="1"/>
      <c r="M4588" s="1"/>
      <c r="N4588" s="1"/>
    </row>
    <row r="4589" ht="15.75" customHeight="1">
      <c r="A4589" t="s">
        <v>53</v>
      </c>
      <c r="B4589" t="s">
        <v>14</v>
      </c>
      <c r="C4589" t="s">
        <v>4909</v>
      </c>
      <c r="D4589" t="s">
        <v>4682</v>
      </c>
      <c r="E4589">
        <v>59058.01</v>
      </c>
      <c r="F4589">
        <v>7100.76</v>
      </c>
      <c r="G4589">
        <v>37304.0728713897</v>
      </c>
      <c r="H4589">
        <v>22845.58</v>
      </c>
      <c r="I4589">
        <v>103462.84</v>
      </c>
      <c r="J4589">
        <v>80617.26</v>
      </c>
      <c r="K4589" s="1"/>
      <c r="L4589" s="1"/>
      <c r="M4589" s="1"/>
      <c r="N4589" s="1"/>
    </row>
    <row r="4590" ht="15.75" customHeight="1">
      <c r="A4590" t="s">
        <v>25</v>
      </c>
      <c r="B4590" t="s">
        <v>14</v>
      </c>
      <c r="C4590" t="s">
        <v>4912</v>
      </c>
      <c r="D4590" t="s">
        <v>4683</v>
      </c>
      <c r="E4590">
        <v>41011.75</v>
      </c>
      <c r="F4590">
        <v>33317.92</v>
      </c>
      <c r="G4590">
        <v>37311.7528748192</v>
      </c>
      <c r="H4590">
        <v>5268.43</v>
      </c>
      <c r="I4590">
        <v>111641.42</v>
      </c>
      <c r="J4590">
        <v>106372.99</v>
      </c>
      <c r="K4590" s="1"/>
      <c r="L4590" s="1"/>
      <c r="M4590" s="1"/>
      <c r="N4590" s="1"/>
    </row>
    <row r="4591" ht="15.75" customHeight="1">
      <c r="A4591" t="s">
        <v>29</v>
      </c>
      <c r="B4591" t="s">
        <v>33</v>
      </c>
      <c r="C4591" t="s">
        <v>4911</v>
      </c>
      <c r="D4591" t="s">
        <v>4684</v>
      </c>
      <c r="E4591">
        <v>52377.13</v>
      </c>
      <c r="F4591">
        <v>14092.05</v>
      </c>
      <c r="G4591">
        <v>37319.4328782488</v>
      </c>
      <c r="H4591">
        <v>15517.94</v>
      </c>
      <c r="I4591">
        <v>103788.61</v>
      </c>
      <c r="J4591">
        <v>88270.67</v>
      </c>
      <c r="K4591" s="1"/>
      <c r="L4591" s="1"/>
      <c r="M4591" s="1"/>
      <c r="N4591" s="1"/>
    </row>
    <row r="4592" ht="15.75" customHeight="1">
      <c r="A4592" t="s">
        <v>17</v>
      </c>
      <c r="B4592" t="s">
        <v>18</v>
      </c>
      <c r="C4592" t="s">
        <v>4911</v>
      </c>
      <c r="D4592" t="s">
        <v>4685</v>
      </c>
      <c r="E4592">
        <v>94573.84</v>
      </c>
      <c r="F4592">
        <v>8758.47</v>
      </c>
      <c r="G4592">
        <v>37327.1128816782</v>
      </c>
      <c r="H4592">
        <v>24648.02</v>
      </c>
      <c r="I4592">
        <v>140659.42</v>
      </c>
      <c r="J4592">
        <v>116011.4</v>
      </c>
      <c r="K4592" s="1"/>
      <c r="L4592" s="1"/>
      <c r="M4592" s="1"/>
      <c r="N4592" s="1"/>
    </row>
    <row r="4593" ht="15.75" customHeight="1">
      <c r="A4593" t="s">
        <v>36</v>
      </c>
      <c r="B4593" t="s">
        <v>18</v>
      </c>
      <c r="C4593" t="s">
        <v>4915</v>
      </c>
      <c r="D4593" t="s">
        <v>4686</v>
      </c>
      <c r="E4593">
        <v>16511.32</v>
      </c>
      <c r="F4593">
        <v>19834.8</v>
      </c>
      <c r="G4593">
        <v>37334.7928851077</v>
      </c>
      <c r="H4593">
        <v>22118.72</v>
      </c>
      <c r="I4593">
        <v>73680.91</v>
      </c>
      <c r="J4593">
        <v>51562.19</v>
      </c>
      <c r="K4593" s="1"/>
      <c r="L4593" s="1"/>
      <c r="M4593" s="1"/>
      <c r="N4593" s="1"/>
    </row>
    <row r="4594" ht="15.75" customHeight="1">
      <c r="A4594" t="s">
        <v>51</v>
      </c>
      <c r="B4594" t="s">
        <v>30</v>
      </c>
      <c r="C4594" t="s">
        <v>4910</v>
      </c>
      <c r="D4594" t="s">
        <v>4687</v>
      </c>
      <c r="E4594">
        <v>27187.63</v>
      </c>
      <c r="F4594">
        <v>27182.44</v>
      </c>
      <c r="G4594">
        <v>37342.4728885372</v>
      </c>
      <c r="H4594">
        <v>23935.82</v>
      </c>
      <c r="I4594">
        <v>91712.54</v>
      </c>
      <c r="J4594">
        <v>67776.72</v>
      </c>
      <c r="K4594" s="1"/>
      <c r="L4594" s="1"/>
      <c r="M4594" s="1"/>
      <c r="N4594" s="1"/>
    </row>
    <row r="4595" ht="15.75" customHeight="1">
      <c r="A4595" t="s">
        <v>51</v>
      </c>
      <c r="B4595" t="s">
        <v>54</v>
      </c>
      <c r="C4595" t="s">
        <v>4911</v>
      </c>
      <c r="D4595" t="s">
        <v>4688</v>
      </c>
      <c r="E4595">
        <v>19830.28</v>
      </c>
      <c r="F4595">
        <v>17714.27</v>
      </c>
      <c r="G4595">
        <v>37350.1528919667</v>
      </c>
      <c r="H4595">
        <v>8893.67</v>
      </c>
      <c r="I4595">
        <v>74894.7</v>
      </c>
      <c r="J4595">
        <v>66001.03</v>
      </c>
      <c r="K4595" s="1"/>
      <c r="L4595" s="1"/>
      <c r="M4595" s="1"/>
      <c r="N4595" s="1"/>
    </row>
    <row r="4596" ht="15.75" customHeight="1">
      <c r="A4596" t="s">
        <v>13</v>
      </c>
      <c r="B4596" t="s">
        <v>14</v>
      </c>
      <c r="C4596" t="s">
        <v>4916</v>
      </c>
      <c r="D4596" t="s">
        <v>4689</v>
      </c>
      <c r="E4596">
        <v>19276.52</v>
      </c>
      <c r="F4596">
        <v>5964.35</v>
      </c>
      <c r="G4596">
        <v>37357.8328953962</v>
      </c>
      <c r="H4596">
        <v>3086.6</v>
      </c>
      <c r="I4596">
        <v>62598.7</v>
      </c>
      <c r="J4596">
        <v>59512.1</v>
      </c>
      <c r="K4596" s="1"/>
      <c r="L4596" s="1"/>
      <c r="M4596" s="1"/>
      <c r="N4596" s="1"/>
    </row>
    <row r="4597" ht="15.75" customHeight="1">
      <c r="A4597" t="s">
        <v>36</v>
      </c>
      <c r="B4597" t="s">
        <v>30</v>
      </c>
      <c r="C4597" t="s">
        <v>4909</v>
      </c>
      <c r="D4597" t="s">
        <v>4690</v>
      </c>
      <c r="E4597">
        <v>104823.36</v>
      </c>
      <c r="F4597">
        <v>25580.6</v>
      </c>
      <c r="G4597">
        <v>37365.5128988257</v>
      </c>
      <c r="H4597">
        <v>5114.5</v>
      </c>
      <c r="I4597">
        <v>167769.47</v>
      </c>
      <c r="J4597">
        <v>162654.97</v>
      </c>
      <c r="K4597" s="1"/>
      <c r="L4597" s="1"/>
      <c r="M4597" s="1"/>
      <c r="N4597" s="1"/>
    </row>
    <row r="4598" ht="15.75" customHeight="1">
      <c r="A4598" t="s">
        <v>29</v>
      </c>
      <c r="B4598" t="s">
        <v>33</v>
      </c>
      <c r="C4598" t="s">
        <v>4916</v>
      </c>
      <c r="D4598" t="s">
        <v>4691</v>
      </c>
      <c r="E4598">
        <v>88884.08</v>
      </c>
      <c r="F4598">
        <v>36486.52</v>
      </c>
      <c r="G4598">
        <v>37373.1929022552</v>
      </c>
      <c r="H4598">
        <v>14830.17958067168</v>
      </c>
      <c r="I4598">
        <v>162743.79</v>
      </c>
      <c r="J4598">
        <v>147913.61</v>
      </c>
      <c r="K4598" s="1"/>
      <c r="L4598" s="1"/>
      <c r="M4598" s="1"/>
      <c r="N4598" s="1"/>
    </row>
    <row r="4599" ht="15.75" customHeight="1">
      <c r="A4599" t="s">
        <v>51</v>
      </c>
      <c r="B4599" t="s">
        <v>14</v>
      </c>
      <c r="C4599" t="s">
        <v>4910</v>
      </c>
      <c r="D4599" t="s">
        <v>4692</v>
      </c>
      <c r="E4599">
        <v>64788.25</v>
      </c>
      <c r="F4599">
        <v>17795.75</v>
      </c>
      <c r="G4599">
        <v>37380.8729056847</v>
      </c>
      <c r="H4599">
        <v>19934.13</v>
      </c>
      <c r="I4599">
        <v>119964.87</v>
      </c>
      <c r="J4599">
        <v>100030.74</v>
      </c>
      <c r="K4599" s="1"/>
      <c r="L4599" s="1"/>
      <c r="M4599" s="1"/>
      <c r="N4599" s="1"/>
    </row>
    <row r="4600" ht="15.75" customHeight="1">
      <c r="A4600" t="s">
        <v>13</v>
      </c>
      <c r="B4600" t="s">
        <v>37</v>
      </c>
      <c r="C4600" t="s">
        <v>4910</v>
      </c>
      <c r="D4600" t="s">
        <v>4693</v>
      </c>
      <c r="E4600">
        <v>25272.59</v>
      </c>
      <c r="F4600">
        <v>11787.98</v>
      </c>
      <c r="G4600">
        <v>37388.5529091142</v>
      </c>
      <c r="H4600">
        <v>4178.76</v>
      </c>
      <c r="I4600">
        <v>74449.12</v>
      </c>
      <c r="J4600">
        <v>70270.36</v>
      </c>
      <c r="K4600" s="1"/>
      <c r="L4600" s="1"/>
      <c r="M4600" s="1"/>
      <c r="N4600" s="1"/>
    </row>
    <row r="4601" ht="15.75" customHeight="1">
      <c r="A4601" t="s">
        <v>53</v>
      </c>
      <c r="B4601" t="s">
        <v>33</v>
      </c>
      <c r="C4601" t="s">
        <v>4914</v>
      </c>
      <c r="D4601" t="s">
        <v>4694</v>
      </c>
      <c r="E4601">
        <v>66619.67</v>
      </c>
      <c r="F4601">
        <v>19932.78</v>
      </c>
      <c r="G4601">
        <v>37396.2329125437</v>
      </c>
      <c r="H4601">
        <v>16663.42</v>
      </c>
      <c r="I4601">
        <v>123948.68</v>
      </c>
      <c r="J4601">
        <v>107285.26</v>
      </c>
      <c r="K4601" s="1"/>
      <c r="L4601" s="1"/>
      <c r="M4601" s="1"/>
      <c r="N4601" s="1"/>
    </row>
    <row r="4602" ht="15.75" customHeight="1">
      <c r="A4602" t="s">
        <v>17</v>
      </c>
      <c r="B4602" t="s">
        <v>37</v>
      </c>
      <c r="C4602" t="s">
        <v>4905</v>
      </c>
      <c r="D4602" t="s">
        <v>4695</v>
      </c>
      <c r="E4602">
        <v>64714.54</v>
      </c>
      <c r="F4602">
        <v>5741.06</v>
      </c>
      <c r="G4602">
        <v>37403.9129159732</v>
      </c>
      <c r="H4602">
        <v>8427.65</v>
      </c>
      <c r="I4602">
        <v>107859.51</v>
      </c>
      <c r="J4602">
        <v>99431.86</v>
      </c>
      <c r="K4602" s="1"/>
      <c r="L4602" s="1"/>
      <c r="M4602" s="1"/>
      <c r="N4602" s="1"/>
    </row>
    <row r="4603" ht="15.75" customHeight="1">
      <c r="A4603" t="s">
        <v>25</v>
      </c>
      <c r="B4603" t="s">
        <v>33</v>
      </c>
      <c r="C4603" t="s">
        <v>4915</v>
      </c>
      <c r="D4603" t="s">
        <v>4696</v>
      </c>
      <c r="E4603">
        <v>33186.2</v>
      </c>
      <c r="F4603">
        <v>33537.55</v>
      </c>
      <c r="G4603">
        <v>37411.5929194027</v>
      </c>
      <c r="H4603">
        <v>8859.45</v>
      </c>
      <c r="I4603">
        <v>104135.34</v>
      </c>
      <c r="J4603">
        <v>95275.89</v>
      </c>
      <c r="K4603" s="1"/>
      <c r="L4603" s="1"/>
      <c r="M4603" s="1"/>
      <c r="N4603" s="1"/>
    </row>
    <row r="4604" ht="15.75" customHeight="1">
      <c r="A4604" t="s">
        <v>25</v>
      </c>
      <c r="B4604" t="s">
        <v>54</v>
      </c>
      <c r="C4604" t="s">
        <v>4911</v>
      </c>
      <c r="D4604" t="s">
        <v>4697</v>
      </c>
      <c r="E4604">
        <v>60554.42</v>
      </c>
      <c r="F4604">
        <v>33748.27</v>
      </c>
      <c r="G4604">
        <v>37419.2729228322</v>
      </c>
      <c r="H4604">
        <v>16716.98</v>
      </c>
      <c r="I4604">
        <v>131721.96</v>
      </c>
      <c r="J4604">
        <v>115004.98</v>
      </c>
      <c r="K4604" s="1"/>
      <c r="L4604" s="1"/>
      <c r="M4604" s="1"/>
      <c r="N4604" s="1"/>
    </row>
    <row r="4605" ht="15.75" customHeight="1">
      <c r="A4605" t="s">
        <v>51</v>
      </c>
      <c r="B4605" t="s">
        <v>26</v>
      </c>
      <c r="C4605" t="s">
        <v>4908</v>
      </c>
      <c r="D4605" t="s">
        <v>4698</v>
      </c>
      <c r="E4605">
        <v>56843.0</v>
      </c>
      <c r="F4605">
        <v>25168.02</v>
      </c>
      <c r="G4605">
        <v>37426.9529262617</v>
      </c>
      <c r="H4605">
        <v>11941.49</v>
      </c>
      <c r="I4605">
        <v>119437.97</v>
      </c>
      <c r="J4605">
        <v>107496.48</v>
      </c>
      <c r="K4605" s="1"/>
      <c r="L4605" s="1"/>
      <c r="M4605" s="1"/>
      <c r="N4605" s="1"/>
    </row>
    <row r="4606" ht="15.75" customHeight="1">
      <c r="A4606" t="s">
        <v>53</v>
      </c>
      <c r="B4606" t="s">
        <v>18</v>
      </c>
      <c r="C4606" t="s">
        <v>4908</v>
      </c>
      <c r="D4606" t="s">
        <v>4699</v>
      </c>
      <c r="E4606">
        <v>79664.26</v>
      </c>
      <c r="F4606">
        <v>16711.7</v>
      </c>
      <c r="G4606">
        <v>37434.6329296912</v>
      </c>
      <c r="H4606">
        <v>20394.82</v>
      </c>
      <c r="I4606">
        <v>133810.59</v>
      </c>
      <c r="J4606">
        <v>113415.77</v>
      </c>
      <c r="K4606" s="1"/>
      <c r="L4606" s="1"/>
      <c r="M4606" s="1"/>
      <c r="N4606" s="1"/>
    </row>
    <row r="4607" ht="15.75" customHeight="1">
      <c r="A4607" t="s">
        <v>17</v>
      </c>
      <c r="B4607" t="s">
        <v>14</v>
      </c>
      <c r="C4607" t="s">
        <v>4910</v>
      </c>
      <c r="D4607" t="s">
        <v>4700</v>
      </c>
      <c r="E4607">
        <v>81684.83</v>
      </c>
      <c r="F4607">
        <v>32792.2</v>
      </c>
      <c r="G4607">
        <v>37442.3129331207</v>
      </c>
      <c r="H4607">
        <v>4320.0</v>
      </c>
      <c r="I4607">
        <v>151919.34</v>
      </c>
      <c r="J4607">
        <v>147599.34</v>
      </c>
      <c r="K4607" s="1"/>
      <c r="L4607" s="1"/>
      <c r="M4607" s="1"/>
      <c r="N4607" s="1"/>
    </row>
    <row r="4608" ht="15.75" customHeight="1">
      <c r="A4608" t="s">
        <v>51</v>
      </c>
      <c r="B4608" t="s">
        <v>26</v>
      </c>
      <c r="C4608" t="s">
        <v>4917</v>
      </c>
      <c r="D4608" t="s">
        <v>4701</v>
      </c>
      <c r="E4608">
        <v>54334.32</v>
      </c>
      <c r="F4608">
        <v>33733.56</v>
      </c>
      <c r="G4608">
        <v>37457.6729399797</v>
      </c>
      <c r="H4608">
        <v>2073.76</v>
      </c>
      <c r="I4608">
        <v>125525.55</v>
      </c>
      <c r="J4608">
        <v>123451.79</v>
      </c>
      <c r="K4608" s="1"/>
      <c r="L4608" s="1"/>
      <c r="M4608" s="1"/>
      <c r="N4608" s="1"/>
    </row>
    <row r="4609" ht="15.75" customHeight="1">
      <c r="A4609" t="s">
        <v>17</v>
      </c>
      <c r="B4609" t="s">
        <v>18</v>
      </c>
      <c r="C4609" t="s">
        <v>4911</v>
      </c>
      <c r="D4609" t="s">
        <v>4702</v>
      </c>
      <c r="E4609">
        <v>80715.29</v>
      </c>
      <c r="F4609">
        <v>26732.52</v>
      </c>
      <c r="G4609">
        <v>37465.3529434092</v>
      </c>
      <c r="H4609">
        <v>5254.32</v>
      </c>
      <c r="I4609">
        <v>144913.16</v>
      </c>
      <c r="J4609">
        <v>139658.84</v>
      </c>
      <c r="K4609" s="1"/>
      <c r="L4609" s="1"/>
      <c r="M4609" s="1"/>
      <c r="N4609" s="1"/>
    </row>
    <row r="4610" ht="15.75" customHeight="1">
      <c r="A4610" t="s">
        <v>36</v>
      </c>
      <c r="B4610" t="s">
        <v>30</v>
      </c>
      <c r="C4610" t="s">
        <v>4907</v>
      </c>
      <c r="D4610" t="s">
        <v>4703</v>
      </c>
      <c r="E4610">
        <v>67829.31</v>
      </c>
      <c r="F4610">
        <v>32238.6</v>
      </c>
      <c r="G4610">
        <v>37473.0329468387</v>
      </c>
      <c r="H4610">
        <v>16575.67</v>
      </c>
      <c r="I4610">
        <v>137540.94</v>
      </c>
      <c r="J4610">
        <v>120965.27</v>
      </c>
      <c r="K4610" s="1"/>
      <c r="L4610" s="1"/>
      <c r="M4610" s="1"/>
      <c r="N4610" s="1"/>
    </row>
    <row r="4611" ht="15.75" customHeight="1">
      <c r="A4611" t="s">
        <v>17</v>
      </c>
      <c r="B4611" t="s">
        <v>37</v>
      </c>
      <c r="C4611" t="s">
        <v>4916</v>
      </c>
      <c r="D4611" t="s">
        <v>4704</v>
      </c>
      <c r="E4611">
        <v>84162.83</v>
      </c>
      <c r="F4611">
        <v>18909.08</v>
      </c>
      <c r="G4611">
        <v>37488.3929536977</v>
      </c>
      <c r="H4611">
        <v>6690.65</v>
      </c>
      <c r="I4611">
        <v>140560.3</v>
      </c>
      <c r="J4611">
        <v>133869.65</v>
      </c>
      <c r="K4611" s="1"/>
      <c r="L4611" s="1"/>
      <c r="M4611" s="1"/>
      <c r="N4611" s="1"/>
    </row>
    <row r="4612" ht="15.75" customHeight="1">
      <c r="A4612" t="s">
        <v>51</v>
      </c>
      <c r="B4612" t="s">
        <v>26</v>
      </c>
      <c r="C4612" t="s">
        <v>4912</v>
      </c>
      <c r="D4612" t="s">
        <v>4705</v>
      </c>
      <c r="E4612">
        <v>32108.11</v>
      </c>
      <c r="F4612">
        <v>38486.05</v>
      </c>
      <c r="G4612">
        <v>37496.0729571272</v>
      </c>
      <c r="H4612">
        <v>8516.19</v>
      </c>
      <c r="I4612">
        <v>108090.23</v>
      </c>
      <c r="J4612">
        <v>99574.04</v>
      </c>
      <c r="K4612" s="1"/>
      <c r="L4612" s="1"/>
      <c r="M4612" s="1"/>
      <c r="N4612" s="1"/>
    </row>
    <row r="4613" ht="15.75" customHeight="1">
      <c r="A4613" t="s">
        <v>51</v>
      </c>
      <c r="B4613" t="s">
        <v>30</v>
      </c>
      <c r="C4613" t="s">
        <v>4915</v>
      </c>
      <c r="D4613" t="s">
        <v>4706</v>
      </c>
      <c r="E4613">
        <v>22409.72</v>
      </c>
      <c r="F4613">
        <v>23480.1</v>
      </c>
      <c r="G4613">
        <v>37503.7529605567</v>
      </c>
      <c r="H4613">
        <v>13659.46</v>
      </c>
      <c r="I4613">
        <v>83393.57</v>
      </c>
      <c r="J4613">
        <v>69734.11</v>
      </c>
      <c r="K4613" s="1"/>
      <c r="L4613" s="1"/>
      <c r="M4613" s="1"/>
      <c r="N4613" s="1"/>
    </row>
    <row r="4614" ht="15.75" customHeight="1">
      <c r="A4614" t="s">
        <v>53</v>
      </c>
      <c r="B4614" t="s">
        <v>26</v>
      </c>
      <c r="C4614" t="s">
        <v>4915</v>
      </c>
      <c r="D4614" t="s">
        <v>4707</v>
      </c>
      <c r="E4614">
        <v>82454.02</v>
      </c>
      <c r="F4614">
        <v>25783.22</v>
      </c>
      <c r="G4614">
        <v>37511.4329639862</v>
      </c>
      <c r="H4614">
        <v>5683.53</v>
      </c>
      <c r="I4614">
        <v>145748.67</v>
      </c>
      <c r="J4614">
        <v>140065.14</v>
      </c>
      <c r="K4614" s="1"/>
      <c r="L4614" s="1"/>
      <c r="M4614" s="1"/>
      <c r="N4614" s="1"/>
    </row>
    <row r="4615" ht="15.75" customHeight="1">
      <c r="A4615" t="s">
        <v>25</v>
      </c>
      <c r="B4615" t="s">
        <v>54</v>
      </c>
      <c r="C4615" t="s">
        <v>4916</v>
      </c>
      <c r="D4615" t="s">
        <v>4708</v>
      </c>
      <c r="E4615">
        <v>17783.69</v>
      </c>
      <c r="F4615">
        <v>11937.56</v>
      </c>
      <c r="G4615">
        <v>37519.1129674157</v>
      </c>
      <c r="H4615">
        <v>20373.33</v>
      </c>
      <c r="I4615">
        <v>67240.36</v>
      </c>
      <c r="J4615">
        <v>46867.03</v>
      </c>
      <c r="K4615" s="1"/>
      <c r="L4615" s="1"/>
      <c r="M4615" s="1"/>
      <c r="N4615" s="1"/>
    </row>
    <row r="4616" ht="15.75" customHeight="1">
      <c r="A4616" t="s">
        <v>17</v>
      </c>
      <c r="B4616" t="s">
        <v>54</v>
      </c>
      <c r="C4616" t="s">
        <v>4916</v>
      </c>
      <c r="D4616" t="s">
        <v>4709</v>
      </c>
      <c r="E4616">
        <v>76506.44</v>
      </c>
      <c r="F4616">
        <v>26523.43</v>
      </c>
      <c r="G4616">
        <v>37526.7929708452</v>
      </c>
      <c r="H4616">
        <v>19454.1</v>
      </c>
      <c r="I4616">
        <v>140556.66</v>
      </c>
      <c r="J4616">
        <v>121102.56</v>
      </c>
      <c r="K4616" s="1"/>
      <c r="L4616" s="1"/>
      <c r="M4616" s="1"/>
      <c r="N4616" s="1"/>
    </row>
    <row r="4617" ht="15.75" customHeight="1">
      <c r="A4617" t="s">
        <v>53</v>
      </c>
      <c r="B4617" t="s">
        <v>37</v>
      </c>
      <c r="C4617" t="s">
        <v>4910</v>
      </c>
      <c r="D4617" t="s">
        <v>4710</v>
      </c>
      <c r="E4617">
        <v>113724.18</v>
      </c>
      <c r="F4617">
        <v>24577.88</v>
      </c>
      <c r="G4617">
        <v>37534.4729742747</v>
      </c>
      <c r="H4617">
        <v>4059.65</v>
      </c>
      <c r="I4617">
        <v>175836.53</v>
      </c>
      <c r="J4617">
        <v>171776.88</v>
      </c>
      <c r="K4617" s="1"/>
      <c r="L4617" s="1"/>
      <c r="M4617" s="1"/>
      <c r="N4617" s="1"/>
    </row>
    <row r="4618" ht="15.75" customHeight="1">
      <c r="A4618" t="s">
        <v>53</v>
      </c>
      <c r="B4618" t="s">
        <v>26</v>
      </c>
      <c r="C4618" t="s">
        <v>4913</v>
      </c>
      <c r="D4618" t="s">
        <v>4711</v>
      </c>
      <c r="E4618">
        <v>75424.79</v>
      </c>
      <c r="F4618">
        <v>10654.18</v>
      </c>
      <c r="G4618">
        <v>37542.1529777042</v>
      </c>
      <c r="H4618">
        <v>11863.83</v>
      </c>
      <c r="I4618">
        <v>123621.12</v>
      </c>
      <c r="J4618">
        <v>111757.29</v>
      </c>
      <c r="K4618" s="1"/>
      <c r="L4618" s="1"/>
      <c r="M4618" s="1"/>
      <c r="N4618" s="1"/>
    </row>
    <row r="4619" ht="15.75" customHeight="1">
      <c r="A4619" t="s">
        <v>36</v>
      </c>
      <c r="B4619" t="s">
        <v>26</v>
      </c>
      <c r="C4619" t="s">
        <v>4907</v>
      </c>
      <c r="D4619" t="s">
        <v>4712</v>
      </c>
      <c r="E4619">
        <v>55757.84</v>
      </c>
      <c r="F4619">
        <v>6145.14</v>
      </c>
      <c r="G4619">
        <v>37549.8329811336</v>
      </c>
      <c r="H4619">
        <v>19483.28</v>
      </c>
      <c r="I4619">
        <v>99452.81</v>
      </c>
      <c r="J4619">
        <v>79969.53</v>
      </c>
      <c r="K4619" s="1"/>
      <c r="L4619" s="1"/>
      <c r="M4619" s="1"/>
      <c r="N4619" s="1"/>
    </row>
    <row r="4620" ht="15.75" customHeight="1">
      <c r="A4620" t="s">
        <v>29</v>
      </c>
      <c r="B4620" t="s">
        <v>26</v>
      </c>
      <c r="C4620" t="s">
        <v>4916</v>
      </c>
      <c r="D4620" t="s">
        <v>4713</v>
      </c>
      <c r="E4620">
        <v>82545.26</v>
      </c>
      <c r="F4620">
        <v>25756.94</v>
      </c>
      <c r="G4620">
        <v>37557.5129845631</v>
      </c>
      <c r="H4620">
        <v>8764.57</v>
      </c>
      <c r="I4620">
        <v>145859.71</v>
      </c>
      <c r="J4620">
        <v>137095.14</v>
      </c>
      <c r="K4620" s="1"/>
      <c r="L4620" s="1"/>
      <c r="M4620" s="1"/>
      <c r="N4620" s="1"/>
    </row>
    <row r="4621" ht="15.75" customHeight="1">
      <c r="A4621" t="s">
        <v>13</v>
      </c>
      <c r="B4621" t="s">
        <v>30</v>
      </c>
      <c r="C4621" t="s">
        <v>4917</v>
      </c>
      <c r="D4621" t="s">
        <v>4714</v>
      </c>
      <c r="E4621">
        <v>63116.55</v>
      </c>
      <c r="F4621">
        <v>31492.92</v>
      </c>
      <c r="G4621">
        <v>37565.1929879926</v>
      </c>
      <c r="H4621">
        <v>16011.12</v>
      </c>
      <c r="I4621">
        <v>132174.66</v>
      </c>
      <c r="J4621">
        <v>116163.54</v>
      </c>
      <c r="K4621" s="1"/>
      <c r="L4621" s="1"/>
      <c r="M4621" s="1"/>
      <c r="N4621" s="1"/>
    </row>
    <row r="4622" ht="15.75" customHeight="1">
      <c r="A4622" t="s">
        <v>17</v>
      </c>
      <c r="B4622" t="s">
        <v>18</v>
      </c>
      <c r="C4622" t="s">
        <v>4908</v>
      </c>
      <c r="D4622" t="s">
        <v>4715</v>
      </c>
      <c r="E4622">
        <v>72289.76</v>
      </c>
      <c r="F4622">
        <v>22842.45</v>
      </c>
      <c r="G4622">
        <v>37572.8729914221</v>
      </c>
      <c r="H4622">
        <v>1730.22</v>
      </c>
      <c r="I4622">
        <v>132705.08</v>
      </c>
      <c r="J4622">
        <v>130974.86</v>
      </c>
      <c r="K4622" s="1"/>
      <c r="L4622" s="1"/>
      <c r="M4622" s="1"/>
      <c r="N4622" s="1"/>
    </row>
    <row r="4623" ht="15.75" customHeight="1">
      <c r="A4623" t="s">
        <v>25</v>
      </c>
      <c r="B4623" t="s">
        <v>37</v>
      </c>
      <c r="C4623" t="s">
        <v>4912</v>
      </c>
      <c r="D4623" t="s">
        <v>4716</v>
      </c>
      <c r="E4623">
        <v>113853.8</v>
      </c>
      <c r="F4623">
        <v>12163.81</v>
      </c>
      <c r="G4623">
        <v>37580.5529948516</v>
      </c>
      <c r="H4623">
        <v>15412.87</v>
      </c>
      <c r="I4623">
        <v>163598.16</v>
      </c>
      <c r="J4623">
        <v>148185.29</v>
      </c>
      <c r="K4623" s="1"/>
      <c r="L4623" s="1"/>
      <c r="M4623" s="1"/>
      <c r="N4623" s="1"/>
    </row>
    <row r="4624" ht="15.75" customHeight="1">
      <c r="A4624" t="s">
        <v>17</v>
      </c>
      <c r="B4624" t="s">
        <v>30</v>
      </c>
      <c r="C4624" t="s">
        <v>4915</v>
      </c>
      <c r="D4624" t="s">
        <v>4717</v>
      </c>
      <c r="E4624">
        <v>115925.01</v>
      </c>
      <c r="F4624">
        <v>6883.81</v>
      </c>
      <c r="G4624">
        <v>37595.9130017106</v>
      </c>
      <c r="H4624">
        <v>20849.29</v>
      </c>
      <c r="I4624">
        <v>160404.73</v>
      </c>
      <c r="J4624">
        <v>139555.44</v>
      </c>
      <c r="K4624" s="1"/>
      <c r="L4624" s="1"/>
      <c r="M4624" s="1"/>
      <c r="N4624" s="1"/>
    </row>
    <row r="4625" ht="15.75" customHeight="1">
      <c r="A4625" t="s">
        <v>13</v>
      </c>
      <c r="B4625" t="s">
        <v>54</v>
      </c>
      <c r="C4625" t="s">
        <v>4912</v>
      </c>
      <c r="D4625" t="s">
        <v>4718</v>
      </c>
      <c r="E4625">
        <v>110061.82</v>
      </c>
      <c r="F4625">
        <v>19906.01</v>
      </c>
      <c r="G4625">
        <v>37603.5930051401</v>
      </c>
      <c r="H4625">
        <v>9208.51</v>
      </c>
      <c r="I4625">
        <v>167571.42</v>
      </c>
      <c r="J4625">
        <v>158362.91</v>
      </c>
      <c r="K4625" s="1"/>
      <c r="L4625" s="1"/>
      <c r="M4625" s="1"/>
      <c r="N4625" s="1"/>
    </row>
    <row r="4626" ht="15.75" customHeight="1">
      <c r="A4626" t="s">
        <v>29</v>
      </c>
      <c r="B4626" t="s">
        <v>18</v>
      </c>
      <c r="C4626" t="s">
        <v>4905</v>
      </c>
      <c r="D4626" t="s">
        <v>4719</v>
      </c>
      <c r="E4626">
        <v>35558.07</v>
      </c>
      <c r="F4626">
        <v>9881.2</v>
      </c>
      <c r="G4626">
        <v>37611.2730085696</v>
      </c>
      <c r="H4626">
        <v>7398.07</v>
      </c>
      <c r="I4626">
        <v>83050.54</v>
      </c>
      <c r="J4626">
        <v>75652.47</v>
      </c>
      <c r="K4626" s="1"/>
      <c r="L4626" s="1"/>
      <c r="M4626" s="1"/>
      <c r="N4626" s="1"/>
    </row>
    <row r="4627" ht="15.75" customHeight="1">
      <c r="A4627" t="s">
        <v>29</v>
      </c>
      <c r="B4627" t="s">
        <v>18</v>
      </c>
      <c r="C4627" t="s">
        <v>4908</v>
      </c>
      <c r="D4627" t="s">
        <v>4720</v>
      </c>
      <c r="E4627">
        <v>22282.94</v>
      </c>
      <c r="F4627">
        <v>10640.53</v>
      </c>
      <c r="G4627">
        <v>37618.9530119991</v>
      </c>
      <c r="H4627">
        <v>21101.78</v>
      </c>
      <c r="I4627">
        <v>70542.42</v>
      </c>
      <c r="J4627">
        <v>49440.64</v>
      </c>
      <c r="K4627" s="1"/>
      <c r="L4627" s="1"/>
      <c r="M4627" s="1"/>
      <c r="N4627" s="1"/>
    </row>
    <row r="4628" ht="15.75" customHeight="1">
      <c r="A4628" t="s">
        <v>17</v>
      </c>
      <c r="B4628" t="s">
        <v>54</v>
      </c>
      <c r="C4628" t="s">
        <v>4910</v>
      </c>
      <c r="D4628" t="s">
        <v>4721</v>
      </c>
      <c r="E4628">
        <v>25581.69</v>
      </c>
      <c r="F4628">
        <v>11282.58</v>
      </c>
      <c r="G4628">
        <v>37626.6330154286</v>
      </c>
      <c r="H4628">
        <v>1728.53</v>
      </c>
      <c r="I4628">
        <v>74490.9</v>
      </c>
      <c r="J4628">
        <v>72762.37</v>
      </c>
      <c r="K4628" s="1"/>
      <c r="L4628" s="1"/>
      <c r="M4628" s="1"/>
      <c r="N4628" s="1"/>
    </row>
    <row r="4629" ht="15.75" customHeight="1">
      <c r="A4629" t="s">
        <v>13</v>
      </c>
      <c r="B4629" t="s">
        <v>37</v>
      </c>
      <c r="C4629" t="s">
        <v>4915</v>
      </c>
      <c r="D4629" t="s">
        <v>4722</v>
      </c>
      <c r="E4629">
        <v>16913.29</v>
      </c>
      <c r="F4629">
        <v>17921.45</v>
      </c>
      <c r="G4629">
        <v>37634.3130188581</v>
      </c>
      <c r="H4629">
        <v>10216.92</v>
      </c>
      <c r="I4629">
        <v>72469.05</v>
      </c>
      <c r="J4629">
        <v>62252.13</v>
      </c>
      <c r="K4629" s="1"/>
      <c r="L4629" s="1"/>
      <c r="M4629" s="1"/>
      <c r="N4629" s="1"/>
    </row>
    <row r="4630" ht="15.75" customHeight="1">
      <c r="A4630" t="s">
        <v>53</v>
      </c>
      <c r="B4630" t="s">
        <v>33</v>
      </c>
      <c r="C4630" t="s">
        <v>4913</v>
      </c>
      <c r="D4630" t="s">
        <v>4723</v>
      </c>
      <c r="E4630">
        <v>24916.51</v>
      </c>
      <c r="F4630">
        <v>5841.41</v>
      </c>
      <c r="G4630">
        <v>37641.9930222877</v>
      </c>
      <c r="H4630">
        <v>9565.09</v>
      </c>
      <c r="I4630">
        <v>68399.91</v>
      </c>
      <c r="J4630">
        <v>58834.82</v>
      </c>
      <c r="K4630" s="1"/>
      <c r="L4630" s="1"/>
      <c r="M4630" s="1"/>
      <c r="N4630" s="1"/>
    </row>
    <row r="4631" ht="15.75" customHeight="1">
      <c r="A4631" t="s">
        <v>17</v>
      </c>
      <c r="B4631" t="s">
        <v>26</v>
      </c>
      <c r="C4631" t="s">
        <v>4907</v>
      </c>
      <c r="D4631" t="s">
        <v>4724</v>
      </c>
      <c r="E4631">
        <v>86715.71</v>
      </c>
      <c r="F4631">
        <v>18320.56</v>
      </c>
      <c r="G4631">
        <v>37649.6730257171</v>
      </c>
      <c r="H4631">
        <v>7477.61</v>
      </c>
      <c r="I4631">
        <v>142685.94</v>
      </c>
      <c r="J4631">
        <v>135208.33</v>
      </c>
      <c r="K4631" s="1"/>
      <c r="L4631" s="1"/>
      <c r="M4631" s="1"/>
      <c r="N4631" s="1"/>
    </row>
    <row r="4632" ht="15.75" customHeight="1">
      <c r="A4632" t="s">
        <v>51</v>
      </c>
      <c r="B4632" t="s">
        <v>18</v>
      </c>
      <c r="C4632" t="s">
        <v>4905</v>
      </c>
      <c r="D4632" t="s">
        <v>4725</v>
      </c>
      <c r="E4632">
        <v>22474.81</v>
      </c>
      <c r="F4632">
        <v>22421.47</v>
      </c>
      <c r="G4632">
        <v>37657.3530291466</v>
      </c>
      <c r="H4632">
        <v>22837.98</v>
      </c>
      <c r="I4632">
        <v>82553.63</v>
      </c>
      <c r="J4632">
        <v>59715.65</v>
      </c>
      <c r="K4632" s="1"/>
      <c r="L4632" s="1"/>
      <c r="M4632" s="1"/>
      <c r="N4632" s="1"/>
    </row>
    <row r="4633" ht="15.75" customHeight="1">
      <c r="A4633" t="s">
        <v>25</v>
      </c>
      <c r="B4633" t="s">
        <v>14</v>
      </c>
      <c r="C4633" t="s">
        <v>4905</v>
      </c>
      <c r="D4633" t="s">
        <v>4726</v>
      </c>
      <c r="E4633">
        <v>48492.44</v>
      </c>
      <c r="F4633">
        <v>21398.59</v>
      </c>
      <c r="G4633">
        <v>37665.0330325761</v>
      </c>
      <c r="H4633">
        <v>18897.75</v>
      </c>
      <c r="I4633">
        <v>107556.06</v>
      </c>
      <c r="J4633">
        <v>88658.31</v>
      </c>
      <c r="K4633" s="1"/>
      <c r="L4633" s="1"/>
      <c r="M4633" s="1"/>
      <c r="N4633" s="1"/>
    </row>
    <row r="4634" ht="15.75" customHeight="1">
      <c r="A4634" t="s">
        <v>29</v>
      </c>
      <c r="B4634" t="s">
        <v>14</v>
      </c>
      <c r="C4634" t="s">
        <v>4907</v>
      </c>
      <c r="D4634" t="s">
        <v>4727</v>
      </c>
      <c r="E4634">
        <v>103711.91</v>
      </c>
      <c r="F4634">
        <v>17780.23</v>
      </c>
      <c r="G4634">
        <v>37672.7130360056</v>
      </c>
      <c r="H4634">
        <v>2066.12</v>
      </c>
      <c r="I4634">
        <v>159164.85</v>
      </c>
      <c r="J4634">
        <v>157098.73</v>
      </c>
      <c r="K4634" s="1"/>
      <c r="L4634" s="1"/>
      <c r="M4634" s="1"/>
      <c r="N4634" s="1"/>
    </row>
    <row r="4635" ht="15.75" customHeight="1">
      <c r="A4635" t="s">
        <v>36</v>
      </c>
      <c r="B4635" t="s">
        <v>37</v>
      </c>
      <c r="C4635" t="s">
        <v>4912</v>
      </c>
      <c r="D4635" t="s">
        <v>4728</v>
      </c>
      <c r="E4635">
        <v>17443.55</v>
      </c>
      <c r="F4635">
        <v>34209.28</v>
      </c>
      <c r="G4635">
        <v>37680.3930394351</v>
      </c>
      <c r="H4635">
        <v>18009.84</v>
      </c>
      <c r="I4635">
        <v>89333.22</v>
      </c>
      <c r="J4635">
        <v>71323.38</v>
      </c>
      <c r="K4635" s="1"/>
      <c r="L4635" s="1"/>
      <c r="M4635" s="1"/>
      <c r="N4635" s="1"/>
    </row>
    <row r="4636" ht="15.75" customHeight="1">
      <c r="A4636" t="s">
        <v>36</v>
      </c>
      <c r="B4636" t="s">
        <v>18</v>
      </c>
      <c r="C4636" t="s">
        <v>4915</v>
      </c>
      <c r="D4636" t="s">
        <v>4729</v>
      </c>
      <c r="E4636">
        <v>100519.19</v>
      </c>
      <c r="F4636">
        <v>9231.76</v>
      </c>
      <c r="G4636">
        <v>37688.0730428646</v>
      </c>
      <c r="H4636">
        <v>13418.83</v>
      </c>
      <c r="I4636">
        <v>147439.02</v>
      </c>
      <c r="J4636">
        <v>134020.19</v>
      </c>
      <c r="K4636" s="1"/>
      <c r="L4636" s="1"/>
      <c r="M4636" s="1"/>
      <c r="N4636" s="1"/>
    </row>
    <row r="4637" ht="15.75" customHeight="1">
      <c r="A4637" t="s">
        <v>13</v>
      </c>
      <c r="B4637" t="s">
        <v>33</v>
      </c>
      <c r="C4637" t="s">
        <v>4909</v>
      </c>
      <c r="D4637" t="s">
        <v>4730</v>
      </c>
      <c r="E4637">
        <v>27407.31</v>
      </c>
      <c r="F4637">
        <v>6233.49</v>
      </c>
      <c r="G4637">
        <v>37703.4330497236</v>
      </c>
      <c r="H4637">
        <v>8167.17</v>
      </c>
      <c r="I4637">
        <v>71344.23</v>
      </c>
      <c r="J4637">
        <v>63177.06</v>
      </c>
      <c r="K4637" s="1"/>
      <c r="L4637" s="1"/>
      <c r="M4637" s="1"/>
      <c r="N4637" s="1"/>
    </row>
    <row r="4638" ht="15.75" customHeight="1">
      <c r="A4638" t="s">
        <v>13</v>
      </c>
      <c r="B4638" t="s">
        <v>30</v>
      </c>
      <c r="C4638" t="s">
        <v>4907</v>
      </c>
      <c r="D4638" t="s">
        <v>4731</v>
      </c>
      <c r="E4638">
        <v>88157.4</v>
      </c>
      <c r="F4638">
        <v>6561.6</v>
      </c>
      <c r="G4638">
        <v>37711.1130531531</v>
      </c>
      <c r="H4638">
        <v>14566.9</v>
      </c>
      <c r="I4638">
        <v>132430.11</v>
      </c>
      <c r="J4638">
        <v>117863.21</v>
      </c>
      <c r="K4638" s="1"/>
      <c r="L4638" s="1"/>
      <c r="M4638" s="1"/>
      <c r="N4638" s="1"/>
    </row>
    <row r="4639" ht="15.75" customHeight="1">
      <c r="A4639" t="s">
        <v>25</v>
      </c>
      <c r="B4639" t="s">
        <v>26</v>
      </c>
      <c r="C4639" t="s">
        <v>4913</v>
      </c>
      <c r="D4639" t="s">
        <v>4732</v>
      </c>
      <c r="E4639">
        <v>61325.3857745964</v>
      </c>
      <c r="F4639">
        <v>32404.3867839273</v>
      </c>
      <c r="G4639">
        <v>37718.7930565826</v>
      </c>
      <c r="H4639">
        <v>20556.1820872398</v>
      </c>
      <c r="I4639">
        <v>131448.57</v>
      </c>
      <c r="J4639">
        <v>110892.39</v>
      </c>
      <c r="K4639" s="1"/>
      <c r="L4639" s="1"/>
      <c r="M4639" s="1"/>
      <c r="N4639" s="1"/>
    </row>
    <row r="4640" ht="15.75" customHeight="1">
      <c r="A4640" t="s">
        <v>36</v>
      </c>
      <c r="B4640" t="s">
        <v>37</v>
      </c>
      <c r="C4640" t="s">
        <v>4910</v>
      </c>
      <c r="D4640" t="s">
        <v>4733</v>
      </c>
      <c r="E4640">
        <v>61336.2687445026</v>
      </c>
      <c r="F4640">
        <v>32407.7544005603</v>
      </c>
      <c r="G4640">
        <v>37726.4730600121</v>
      </c>
      <c r="H4640">
        <v>20558.6882314832</v>
      </c>
      <c r="I4640">
        <v>131470.5</v>
      </c>
      <c r="J4640">
        <v>110911.81</v>
      </c>
      <c r="K4640" s="1"/>
      <c r="L4640" s="1"/>
      <c r="M4640" s="1"/>
      <c r="N4640" s="1"/>
    </row>
    <row r="4641" ht="15.75" customHeight="1">
      <c r="A4641" t="s">
        <v>36</v>
      </c>
      <c r="B4641" t="s">
        <v>26</v>
      </c>
      <c r="C4641" t="s">
        <v>4912</v>
      </c>
      <c r="D4641" t="s">
        <v>4734</v>
      </c>
      <c r="E4641">
        <v>61347.1517144088</v>
      </c>
      <c r="F4641">
        <v>32411.1220171932</v>
      </c>
      <c r="G4641">
        <v>37734.1530634416</v>
      </c>
      <c r="H4641">
        <v>20561.1943757267</v>
      </c>
      <c r="I4641">
        <v>131492.43</v>
      </c>
      <c r="J4641">
        <v>110931.24</v>
      </c>
      <c r="K4641" s="1"/>
      <c r="L4641" s="1"/>
      <c r="M4641" s="1"/>
      <c r="N4641" s="1"/>
    </row>
    <row r="4642" ht="15.75" customHeight="1">
      <c r="A4642" t="s">
        <v>36</v>
      </c>
      <c r="B4642" t="s">
        <v>54</v>
      </c>
      <c r="C4642" t="s">
        <v>4911</v>
      </c>
      <c r="D4642" t="s">
        <v>4735</v>
      </c>
      <c r="E4642">
        <v>61358.034684315</v>
      </c>
      <c r="F4642">
        <v>32414.4896338262</v>
      </c>
      <c r="G4642">
        <v>37741.8330668711</v>
      </c>
      <c r="H4642">
        <v>14194.35617001081</v>
      </c>
      <c r="I4642">
        <v>131514.36</v>
      </c>
      <c r="J4642">
        <v>117320.0</v>
      </c>
      <c r="K4642" s="1"/>
      <c r="L4642" s="1"/>
      <c r="M4642" s="1"/>
      <c r="N4642" s="1"/>
    </row>
    <row r="4643" ht="15.75" customHeight="1">
      <c r="A4643" t="s">
        <v>53</v>
      </c>
      <c r="B4643" t="s">
        <v>18</v>
      </c>
      <c r="C4643" t="s">
        <v>4912</v>
      </c>
      <c r="D4643" t="s">
        <v>4736</v>
      </c>
      <c r="E4643">
        <v>61379.8006241274</v>
      </c>
      <c r="F4643">
        <v>32421.2248670921</v>
      </c>
      <c r="G4643">
        <v>37757.1930737301</v>
      </c>
      <c r="H4643">
        <v>20568.7128084571</v>
      </c>
      <c r="I4643">
        <v>131558.22</v>
      </c>
      <c r="J4643">
        <v>110989.51</v>
      </c>
      <c r="K4643" s="1"/>
      <c r="L4643" s="1"/>
      <c r="M4643" s="1"/>
      <c r="N4643" s="1"/>
    </row>
    <row r="4644" ht="15.75" customHeight="1">
      <c r="A4644" t="s">
        <v>13</v>
      </c>
      <c r="B4644" t="s">
        <v>54</v>
      </c>
      <c r="C4644" t="s">
        <v>4917</v>
      </c>
      <c r="D4644" t="s">
        <v>4737</v>
      </c>
      <c r="E4644">
        <v>61390.6835940336</v>
      </c>
      <c r="F4644">
        <v>32424.5924837251</v>
      </c>
      <c r="G4644">
        <v>37764.8730771596</v>
      </c>
      <c r="H4644">
        <v>20571.2189527006</v>
      </c>
      <c r="I4644">
        <v>131580.15</v>
      </c>
      <c r="J4644">
        <v>111008.93</v>
      </c>
      <c r="K4644" s="1"/>
      <c r="L4644" s="1"/>
      <c r="M4644" s="1"/>
      <c r="N4644" s="1"/>
    </row>
    <row r="4645" ht="15.75" customHeight="1">
      <c r="A4645" t="s">
        <v>36</v>
      </c>
      <c r="B4645" t="s">
        <v>30</v>
      </c>
      <c r="C4645" t="s">
        <v>4909</v>
      </c>
      <c r="D4645" t="s">
        <v>4738</v>
      </c>
      <c r="E4645">
        <v>61401.5665639398</v>
      </c>
      <c r="F4645">
        <v>32427.960100358</v>
      </c>
      <c r="G4645">
        <v>37772.5530805891</v>
      </c>
      <c r="H4645">
        <v>20573.7250969441</v>
      </c>
      <c r="I4645">
        <v>131602.08</v>
      </c>
      <c r="J4645">
        <v>111028.35</v>
      </c>
      <c r="K4645" s="1"/>
      <c r="L4645" s="1"/>
      <c r="M4645" s="1"/>
      <c r="N4645" s="1"/>
    </row>
    <row r="4646" ht="15.75" customHeight="1">
      <c r="A4646" t="s">
        <v>17</v>
      </c>
      <c r="B4646" t="s">
        <v>18</v>
      </c>
      <c r="C4646" t="s">
        <v>4913</v>
      </c>
      <c r="D4646" t="s">
        <v>4739</v>
      </c>
      <c r="E4646">
        <v>61412.449533846</v>
      </c>
      <c r="F4646">
        <v>32431.327716991</v>
      </c>
      <c r="G4646">
        <v>37780.2330840186</v>
      </c>
      <c r="H4646">
        <v>20576.2312411875</v>
      </c>
      <c r="I4646">
        <v>131624.01</v>
      </c>
      <c r="J4646">
        <v>111047.78</v>
      </c>
      <c r="K4646" s="1"/>
      <c r="L4646" s="1"/>
      <c r="M4646" s="1"/>
      <c r="N4646" s="1"/>
    </row>
    <row r="4647" ht="15.75" customHeight="1">
      <c r="A4647" t="s">
        <v>51</v>
      </c>
      <c r="B4647" t="s">
        <v>33</v>
      </c>
      <c r="C4647" t="s">
        <v>4905</v>
      </c>
      <c r="D4647" t="s">
        <v>4740</v>
      </c>
      <c r="E4647">
        <v>61423.3325037522</v>
      </c>
      <c r="F4647">
        <v>32434.695333624</v>
      </c>
      <c r="G4647">
        <v>37787.9130874481</v>
      </c>
      <c r="H4647">
        <v>20578.737385431</v>
      </c>
      <c r="I4647">
        <v>131645.94</v>
      </c>
      <c r="J4647">
        <v>111067.2</v>
      </c>
      <c r="K4647" s="1"/>
      <c r="L4647" s="1"/>
      <c r="M4647" s="1"/>
      <c r="N4647" s="1"/>
    </row>
    <row r="4648" ht="15.75" customHeight="1">
      <c r="A4648" t="s">
        <v>17</v>
      </c>
      <c r="B4648" t="s">
        <v>14</v>
      </c>
      <c r="C4648" t="s">
        <v>4917</v>
      </c>
      <c r="D4648" t="s">
        <v>4741</v>
      </c>
      <c r="E4648">
        <v>61434.2154736583</v>
      </c>
      <c r="F4648">
        <v>32438.0629502569</v>
      </c>
      <c r="G4648">
        <v>37795.5930908776</v>
      </c>
      <c r="H4648">
        <v>20581.2435296745</v>
      </c>
      <c r="I4648">
        <v>131667.87</v>
      </c>
      <c r="J4648">
        <v>111086.63</v>
      </c>
      <c r="K4648" s="1"/>
      <c r="L4648" s="1"/>
      <c r="M4648" s="1"/>
      <c r="N4648" s="1"/>
    </row>
    <row r="4649" ht="15.75" customHeight="1">
      <c r="A4649" t="s">
        <v>17</v>
      </c>
      <c r="B4649" t="s">
        <v>26</v>
      </c>
      <c r="C4649" t="s">
        <v>4905</v>
      </c>
      <c r="D4649" t="s">
        <v>4742</v>
      </c>
      <c r="E4649">
        <v>61445.0984435645</v>
      </c>
      <c r="F4649">
        <v>32441.4305668899</v>
      </c>
      <c r="G4649">
        <v>37803.2730943071</v>
      </c>
      <c r="H4649">
        <v>20583.7496739179</v>
      </c>
      <c r="I4649">
        <v>131689.8</v>
      </c>
      <c r="J4649">
        <v>111106.05</v>
      </c>
      <c r="K4649" s="1"/>
      <c r="L4649" s="1"/>
      <c r="M4649" s="1"/>
      <c r="N4649" s="1"/>
    </row>
    <row r="4650" ht="15.75" customHeight="1">
      <c r="A4650" t="s">
        <v>53</v>
      </c>
      <c r="B4650" t="s">
        <v>14</v>
      </c>
      <c r="C4650" t="s">
        <v>4912</v>
      </c>
      <c r="D4650" t="s">
        <v>4743</v>
      </c>
      <c r="E4650">
        <v>61455.9814134707</v>
      </c>
      <c r="F4650">
        <v>32444.7981835229</v>
      </c>
      <c r="G4650">
        <v>37810.9530977366</v>
      </c>
      <c r="H4650">
        <v>20586.2558181614</v>
      </c>
      <c r="I4650">
        <v>131711.73</v>
      </c>
      <c r="J4650">
        <v>111125.47</v>
      </c>
      <c r="K4650" s="1"/>
      <c r="L4650" s="1"/>
      <c r="M4650" s="1"/>
      <c r="N4650" s="1"/>
    </row>
    <row r="4651" ht="15.75" customHeight="1">
      <c r="A4651" t="s">
        <v>36</v>
      </c>
      <c r="B4651" t="s">
        <v>33</v>
      </c>
      <c r="C4651" t="s">
        <v>4905</v>
      </c>
      <c r="D4651" t="s">
        <v>4744</v>
      </c>
      <c r="E4651">
        <v>61466.8643833769</v>
      </c>
      <c r="F4651">
        <v>32448.1658001558</v>
      </c>
      <c r="G4651">
        <v>37818.6331011661</v>
      </c>
      <c r="H4651">
        <v>20588.7619624049</v>
      </c>
      <c r="I4651">
        <v>131733.66</v>
      </c>
      <c r="J4651">
        <v>111144.9</v>
      </c>
      <c r="K4651" s="1"/>
      <c r="L4651" s="1"/>
      <c r="M4651" s="1"/>
      <c r="N4651" s="1"/>
    </row>
    <row r="4652" ht="15.75" customHeight="1">
      <c r="A4652" t="s">
        <v>25</v>
      </c>
      <c r="B4652" t="s">
        <v>37</v>
      </c>
      <c r="C4652" t="s">
        <v>4915</v>
      </c>
      <c r="D4652" t="s">
        <v>4745</v>
      </c>
      <c r="E4652">
        <v>61477.7473532831</v>
      </c>
      <c r="F4652">
        <v>32451.5334167888</v>
      </c>
      <c r="G4652">
        <v>37826.3131045955</v>
      </c>
      <c r="H4652">
        <v>20591.2681066483</v>
      </c>
      <c r="I4652">
        <v>131755.59</v>
      </c>
      <c r="J4652">
        <v>111164.32</v>
      </c>
      <c r="K4652" s="1"/>
      <c r="L4652" s="1"/>
      <c r="M4652" s="1"/>
      <c r="N4652" s="1"/>
    </row>
    <row r="4653" ht="15.75" customHeight="1">
      <c r="A4653" t="s">
        <v>25</v>
      </c>
      <c r="B4653" t="s">
        <v>37</v>
      </c>
      <c r="C4653" t="s">
        <v>4916</v>
      </c>
      <c r="D4653" t="s">
        <v>4746</v>
      </c>
      <c r="E4653">
        <v>61488.6303231893</v>
      </c>
      <c r="F4653">
        <v>32454.9010334217</v>
      </c>
      <c r="G4653">
        <v>37833.9931080251</v>
      </c>
      <c r="H4653">
        <v>20593.7742508918</v>
      </c>
      <c r="I4653">
        <v>131777.52</v>
      </c>
      <c r="J4653">
        <v>111183.75</v>
      </c>
      <c r="K4653" s="1"/>
      <c r="L4653" s="1"/>
      <c r="M4653" s="1"/>
      <c r="N4653" s="1"/>
    </row>
    <row r="4654" ht="15.75" customHeight="1">
      <c r="A4654" t="s">
        <v>25</v>
      </c>
      <c r="B4654" t="s">
        <v>30</v>
      </c>
      <c r="C4654" t="s">
        <v>4909</v>
      </c>
      <c r="D4654" t="s">
        <v>4747</v>
      </c>
      <c r="E4654">
        <v>61499.5132930955</v>
      </c>
      <c r="F4654">
        <v>32458.2686500547</v>
      </c>
      <c r="G4654">
        <v>37841.6731114545</v>
      </c>
      <c r="H4654">
        <v>20596.2803951353</v>
      </c>
      <c r="I4654">
        <v>131799.46</v>
      </c>
      <c r="J4654">
        <v>111203.18</v>
      </c>
      <c r="K4654" s="1"/>
      <c r="L4654" s="1"/>
      <c r="M4654" s="1"/>
      <c r="N4654" s="1"/>
    </row>
    <row r="4655" ht="15.75" customHeight="1">
      <c r="A4655" t="s">
        <v>51</v>
      </c>
      <c r="B4655" t="s">
        <v>26</v>
      </c>
      <c r="C4655" t="s">
        <v>4916</v>
      </c>
      <c r="D4655" t="s">
        <v>4748</v>
      </c>
      <c r="E4655">
        <v>61510.3962630017</v>
      </c>
      <c r="F4655">
        <v>32461.6362666877</v>
      </c>
      <c r="G4655">
        <v>37849.353114884</v>
      </c>
      <c r="H4655">
        <v>20598.7865393788</v>
      </c>
      <c r="I4655">
        <v>131821.39</v>
      </c>
      <c r="J4655">
        <v>111222.6</v>
      </c>
      <c r="K4655" s="1"/>
      <c r="L4655" s="1"/>
      <c r="M4655" s="1"/>
      <c r="N4655" s="1"/>
    </row>
    <row r="4656" ht="15.75" customHeight="1">
      <c r="A4656" t="s">
        <v>29</v>
      </c>
      <c r="B4656" t="s">
        <v>30</v>
      </c>
      <c r="C4656" t="s">
        <v>4917</v>
      </c>
      <c r="D4656" t="s">
        <v>4749</v>
      </c>
      <c r="E4656">
        <v>61521.2792329079</v>
      </c>
      <c r="F4656">
        <v>32465.0038833206</v>
      </c>
      <c r="G4656">
        <v>37857.0331183135</v>
      </c>
      <c r="H4656">
        <v>20601.2926836222</v>
      </c>
      <c r="I4656">
        <v>131843.32</v>
      </c>
      <c r="J4656">
        <v>111242.03</v>
      </c>
      <c r="K4656" s="1"/>
      <c r="L4656" s="1"/>
      <c r="M4656" s="1"/>
      <c r="N4656" s="1"/>
    </row>
    <row r="4657" ht="15.75" customHeight="1">
      <c r="A4657" t="s">
        <v>53</v>
      </c>
      <c r="B4657" t="s">
        <v>18</v>
      </c>
      <c r="C4657" t="s">
        <v>4907</v>
      </c>
      <c r="D4657" t="s">
        <v>4750</v>
      </c>
      <c r="E4657">
        <v>61532.1622028141</v>
      </c>
      <c r="F4657">
        <v>32468.3714999536</v>
      </c>
      <c r="G4657">
        <v>37864.713121743</v>
      </c>
      <c r="H4657">
        <v>20603.7988278657</v>
      </c>
      <c r="I4657">
        <v>131865.25</v>
      </c>
      <c r="J4657">
        <v>111261.45</v>
      </c>
      <c r="K4657" s="1"/>
      <c r="L4657" s="1"/>
      <c r="M4657" s="1"/>
      <c r="N4657" s="1"/>
    </row>
    <row r="4658" ht="15.75" customHeight="1">
      <c r="A4658" t="s">
        <v>17</v>
      </c>
      <c r="B4658" t="s">
        <v>14</v>
      </c>
      <c r="C4658" t="s">
        <v>4914</v>
      </c>
      <c r="D4658" t="s">
        <v>4751</v>
      </c>
      <c r="E4658">
        <v>61543.0451727203</v>
      </c>
      <c r="F4658">
        <v>32471.7391165866</v>
      </c>
      <c r="G4658">
        <v>37872.3931251725</v>
      </c>
      <c r="H4658">
        <v>20606.3049721092</v>
      </c>
      <c r="I4658">
        <v>131887.18</v>
      </c>
      <c r="J4658">
        <v>111280.88</v>
      </c>
      <c r="K4658" s="1"/>
      <c r="L4658" s="1"/>
      <c r="M4658" s="1"/>
      <c r="N4658" s="1"/>
    </row>
    <row r="4659" ht="15.75" customHeight="1">
      <c r="A4659" t="s">
        <v>36</v>
      </c>
      <c r="B4659" t="s">
        <v>30</v>
      </c>
      <c r="C4659" t="s">
        <v>4907</v>
      </c>
      <c r="D4659" t="s">
        <v>4752</v>
      </c>
      <c r="E4659">
        <v>61553.9281426265</v>
      </c>
      <c r="F4659">
        <v>32475.1067332195</v>
      </c>
      <c r="G4659">
        <v>37880.073128602</v>
      </c>
      <c r="H4659">
        <v>20608.8111163526</v>
      </c>
      <c r="I4659">
        <v>131909.11</v>
      </c>
      <c r="J4659">
        <v>111300.3</v>
      </c>
      <c r="K4659" s="1"/>
      <c r="L4659" s="1"/>
      <c r="M4659" s="1"/>
      <c r="N4659" s="1"/>
    </row>
    <row r="4660" ht="15.75" customHeight="1">
      <c r="A4660" t="s">
        <v>53</v>
      </c>
      <c r="B4660" t="s">
        <v>30</v>
      </c>
      <c r="C4660" t="s">
        <v>4909</v>
      </c>
      <c r="D4660" t="s">
        <v>4753</v>
      </c>
      <c r="E4660">
        <v>61564.8111125327</v>
      </c>
      <c r="F4660">
        <v>32478.4743498525</v>
      </c>
      <c r="G4660">
        <v>37887.7531320315</v>
      </c>
      <c r="H4660">
        <v>20611.3172605961</v>
      </c>
      <c r="I4660">
        <v>131931.04</v>
      </c>
      <c r="J4660">
        <v>111319.72</v>
      </c>
      <c r="K4660" s="1"/>
      <c r="L4660" s="1"/>
      <c r="M4660" s="1"/>
      <c r="N4660" s="1"/>
    </row>
    <row r="4661" ht="15.75" customHeight="1">
      <c r="A4661" t="s">
        <v>25</v>
      </c>
      <c r="B4661" t="s">
        <v>37</v>
      </c>
      <c r="C4661" t="s">
        <v>4907</v>
      </c>
      <c r="D4661" t="s">
        <v>4754</v>
      </c>
      <c r="E4661">
        <v>61575.6940824389</v>
      </c>
      <c r="F4661">
        <v>32481.8419664854</v>
      </c>
      <c r="G4661">
        <v>37895.433135461</v>
      </c>
      <c r="H4661">
        <v>20613.8234048396</v>
      </c>
      <c r="I4661">
        <v>131952.97</v>
      </c>
      <c r="J4661">
        <v>111339.15</v>
      </c>
      <c r="K4661" s="1"/>
      <c r="L4661" s="1"/>
      <c r="M4661" s="1"/>
      <c r="N4661" s="1"/>
    </row>
    <row r="4662" ht="15.75" customHeight="1">
      <c r="A4662" t="s">
        <v>25</v>
      </c>
      <c r="B4662" t="s">
        <v>18</v>
      </c>
      <c r="C4662" t="s">
        <v>4905</v>
      </c>
      <c r="D4662" t="s">
        <v>4755</v>
      </c>
      <c r="E4662">
        <v>61586.5770523451</v>
      </c>
      <c r="F4662">
        <v>32485.2095831184</v>
      </c>
      <c r="G4662">
        <v>37903.1131388905</v>
      </c>
      <c r="H4662">
        <v>20616.329549083</v>
      </c>
      <c r="I4662">
        <v>131974.9</v>
      </c>
      <c r="J4662">
        <v>111358.57</v>
      </c>
      <c r="K4662" s="1"/>
      <c r="L4662" s="1"/>
      <c r="M4662" s="1"/>
      <c r="N4662" s="1"/>
    </row>
    <row r="4663" ht="15.75" customHeight="1">
      <c r="A4663" t="s">
        <v>53</v>
      </c>
      <c r="B4663" t="s">
        <v>33</v>
      </c>
      <c r="C4663" t="s">
        <v>4913</v>
      </c>
      <c r="D4663" t="s">
        <v>4756</v>
      </c>
      <c r="E4663">
        <v>61597.4600222512</v>
      </c>
      <c r="F4663">
        <v>32488.5771997514</v>
      </c>
      <c r="G4663">
        <v>37910.79314232</v>
      </c>
      <c r="H4663">
        <v>20618.8356933265</v>
      </c>
      <c r="I4663">
        <v>131996.83</v>
      </c>
      <c r="J4663">
        <v>111377.99</v>
      </c>
      <c r="K4663" s="1"/>
      <c r="L4663" s="1"/>
      <c r="M4663" s="1"/>
      <c r="N4663" s="1"/>
    </row>
    <row r="4664" ht="15.75" customHeight="1">
      <c r="A4664" t="s">
        <v>53</v>
      </c>
      <c r="B4664" t="s">
        <v>18</v>
      </c>
      <c r="C4664" t="s">
        <v>4917</v>
      </c>
      <c r="D4664" t="s">
        <v>4757</v>
      </c>
      <c r="E4664">
        <v>61608.3429921574</v>
      </c>
      <c r="F4664">
        <v>32491.9448163843</v>
      </c>
      <c r="G4664">
        <v>37918.4731457495</v>
      </c>
      <c r="H4664">
        <v>20621.34183757</v>
      </c>
      <c r="I4664">
        <v>132018.76</v>
      </c>
      <c r="J4664">
        <v>111397.42</v>
      </c>
      <c r="K4664" s="1"/>
      <c r="L4664" s="1"/>
      <c r="M4664" s="1"/>
      <c r="N4664" s="1"/>
    </row>
    <row r="4665" ht="15.75" customHeight="1">
      <c r="A4665" t="s">
        <v>29</v>
      </c>
      <c r="B4665" t="s">
        <v>30</v>
      </c>
      <c r="C4665" t="s">
        <v>4911</v>
      </c>
      <c r="D4665" t="s">
        <v>4758</v>
      </c>
      <c r="E4665">
        <v>61619.2259620636</v>
      </c>
      <c r="F4665">
        <v>32495.3124330173</v>
      </c>
      <c r="G4665">
        <v>37926.153149179</v>
      </c>
      <c r="H4665">
        <v>20623.8479818134</v>
      </c>
      <c r="I4665">
        <v>132040.69</v>
      </c>
      <c r="J4665">
        <v>111416.84</v>
      </c>
      <c r="K4665" s="1"/>
      <c r="L4665" s="1"/>
      <c r="M4665" s="1"/>
      <c r="N4665" s="1"/>
    </row>
    <row r="4666" ht="15.75" customHeight="1">
      <c r="A4666" t="s">
        <v>13</v>
      </c>
      <c r="B4666" t="s">
        <v>30</v>
      </c>
      <c r="C4666" t="s">
        <v>4914</v>
      </c>
      <c r="D4666" t="s">
        <v>4759</v>
      </c>
      <c r="E4666">
        <v>61630.1089319698</v>
      </c>
      <c r="F4666">
        <v>32498.6800496503</v>
      </c>
      <c r="G4666">
        <v>37933.8331526085</v>
      </c>
      <c r="H4666">
        <v>20626.3541260569</v>
      </c>
      <c r="I4666">
        <v>132062.62</v>
      </c>
      <c r="J4666">
        <v>111436.27</v>
      </c>
      <c r="K4666" s="1"/>
      <c r="L4666" s="1"/>
      <c r="M4666" s="1"/>
      <c r="N4666" s="1"/>
    </row>
    <row r="4667" ht="15.75" customHeight="1">
      <c r="A4667" t="s">
        <v>51</v>
      </c>
      <c r="B4667" t="s">
        <v>33</v>
      </c>
      <c r="C4667" t="s">
        <v>4908</v>
      </c>
      <c r="D4667" t="s">
        <v>4760</v>
      </c>
      <c r="E4667">
        <v>61640.991901876</v>
      </c>
      <c r="F4667">
        <v>32502.0476662832</v>
      </c>
      <c r="G4667">
        <v>37941.513156038</v>
      </c>
      <c r="H4667">
        <v>20628.8602703004</v>
      </c>
      <c r="I4667">
        <v>132084.55</v>
      </c>
      <c r="J4667">
        <v>111455.69</v>
      </c>
      <c r="K4667" s="1"/>
      <c r="L4667" s="1"/>
      <c r="M4667" s="1"/>
      <c r="N4667" s="1"/>
    </row>
    <row r="4668" ht="15.75" customHeight="1">
      <c r="A4668" t="s">
        <v>25</v>
      </c>
      <c r="B4668" t="s">
        <v>14</v>
      </c>
      <c r="C4668" t="s">
        <v>4909</v>
      </c>
      <c r="D4668" t="s">
        <v>4761</v>
      </c>
      <c r="E4668">
        <v>61651.8748717822</v>
      </c>
      <c r="F4668">
        <v>32505.4152829162</v>
      </c>
      <c r="G4668">
        <v>37949.1931594675</v>
      </c>
      <c r="H4668">
        <v>20631.3664145439</v>
      </c>
      <c r="I4668">
        <v>132106.48</v>
      </c>
      <c r="J4668">
        <v>111475.11</v>
      </c>
      <c r="K4668" s="1"/>
      <c r="L4668" s="1"/>
      <c r="M4668" s="1"/>
      <c r="N4668" s="1"/>
    </row>
    <row r="4669" ht="15.75" customHeight="1">
      <c r="A4669" t="s">
        <v>51</v>
      </c>
      <c r="B4669" t="s">
        <v>14</v>
      </c>
      <c r="C4669" t="s">
        <v>4907</v>
      </c>
      <c r="D4669" t="s">
        <v>4762</v>
      </c>
      <c r="E4669">
        <v>61662.7578416884</v>
      </c>
      <c r="F4669">
        <v>32508.7828995491</v>
      </c>
      <c r="G4669">
        <v>37956.873162897</v>
      </c>
      <c r="H4669">
        <v>20633.8725587873</v>
      </c>
      <c r="I4669">
        <v>132128.41</v>
      </c>
      <c r="J4669">
        <v>111494.54</v>
      </c>
      <c r="K4669" s="1"/>
      <c r="L4669" s="1"/>
      <c r="M4669" s="1"/>
      <c r="N4669" s="1"/>
    </row>
    <row r="4670" ht="15.75" customHeight="1">
      <c r="A4670" t="s">
        <v>17</v>
      </c>
      <c r="B4670" t="s">
        <v>26</v>
      </c>
      <c r="C4670" t="s">
        <v>4917</v>
      </c>
      <c r="D4670" t="s">
        <v>4763</v>
      </c>
      <c r="E4670">
        <v>61673.6408115946</v>
      </c>
      <c r="F4670">
        <v>32512.1505161821</v>
      </c>
      <c r="G4670">
        <v>37964.5531663266</v>
      </c>
      <c r="H4670">
        <v>20636.3787030308</v>
      </c>
      <c r="I4670">
        <v>132150.34</v>
      </c>
      <c r="J4670">
        <v>111513.96</v>
      </c>
      <c r="K4670" s="1"/>
      <c r="L4670" s="1"/>
      <c r="M4670" s="1"/>
      <c r="N4670" s="1"/>
    </row>
    <row r="4671" ht="15.75" customHeight="1">
      <c r="A4671" t="s">
        <v>13</v>
      </c>
      <c r="B4671" t="s">
        <v>37</v>
      </c>
      <c r="C4671" t="s">
        <v>4908</v>
      </c>
      <c r="D4671" t="s">
        <v>4764</v>
      </c>
      <c r="E4671">
        <v>61684.5237815008</v>
      </c>
      <c r="F4671">
        <v>32515.5181328151</v>
      </c>
      <c r="G4671">
        <v>37972.233169756</v>
      </c>
      <c r="H4671">
        <v>20638.8848472743</v>
      </c>
      <c r="I4671">
        <v>132172.28</v>
      </c>
      <c r="J4671">
        <v>111533.4</v>
      </c>
      <c r="K4671" s="1"/>
      <c r="L4671" s="1"/>
      <c r="M4671" s="1"/>
      <c r="N4671" s="1"/>
    </row>
    <row r="4672" ht="15.75" customHeight="1">
      <c r="A4672" t="s">
        <v>13</v>
      </c>
      <c r="B4672" t="s">
        <v>18</v>
      </c>
      <c r="C4672" t="s">
        <v>4910</v>
      </c>
      <c r="D4672" t="s">
        <v>4765</v>
      </c>
      <c r="E4672">
        <v>61695.406751407</v>
      </c>
      <c r="F4672">
        <v>32518.885749448</v>
      </c>
      <c r="G4672">
        <v>37979.9131731855</v>
      </c>
      <c r="H4672">
        <v>20641.3909915177</v>
      </c>
      <c r="I4672">
        <v>132194.21</v>
      </c>
      <c r="J4672">
        <v>111552.82</v>
      </c>
      <c r="K4672" s="1"/>
      <c r="L4672" s="1"/>
      <c r="M4672" s="1"/>
      <c r="N4672" s="1"/>
    </row>
    <row r="4673" ht="15.75" customHeight="1">
      <c r="A4673" t="s">
        <v>13</v>
      </c>
      <c r="B4673" t="s">
        <v>14</v>
      </c>
      <c r="C4673" t="s">
        <v>4917</v>
      </c>
      <c r="D4673" t="s">
        <v>4766</v>
      </c>
      <c r="E4673">
        <v>61706.2897213132</v>
      </c>
      <c r="F4673">
        <v>32522.253366081</v>
      </c>
      <c r="G4673">
        <v>37987.593176615</v>
      </c>
      <c r="H4673">
        <v>20643.8971357612</v>
      </c>
      <c r="I4673">
        <v>132216.14</v>
      </c>
      <c r="J4673">
        <v>111572.24</v>
      </c>
      <c r="K4673" s="1"/>
      <c r="L4673" s="1"/>
      <c r="M4673" s="1"/>
      <c r="N4673" s="1"/>
    </row>
    <row r="4674" ht="15.75" customHeight="1">
      <c r="A4674" t="s">
        <v>51</v>
      </c>
      <c r="B4674" t="s">
        <v>54</v>
      </c>
      <c r="C4674" t="s">
        <v>4915</v>
      </c>
      <c r="D4674" t="s">
        <v>4767</v>
      </c>
      <c r="E4674">
        <v>61717.1726912194</v>
      </c>
      <c r="F4674">
        <v>32525.620982714</v>
      </c>
      <c r="G4674">
        <v>37995.2731800445</v>
      </c>
      <c r="H4674">
        <v>20646.4032800047</v>
      </c>
      <c r="I4674">
        <v>132238.07</v>
      </c>
      <c r="J4674">
        <v>111591.67</v>
      </c>
      <c r="K4674" s="1"/>
      <c r="L4674" s="1"/>
      <c r="M4674" s="1"/>
      <c r="N4674" s="1"/>
    </row>
    <row r="4675" ht="15.75" customHeight="1">
      <c r="A4675" t="s">
        <v>51</v>
      </c>
      <c r="B4675" t="s">
        <v>30</v>
      </c>
      <c r="C4675" t="s">
        <v>4905</v>
      </c>
      <c r="D4675" t="s">
        <v>4768</v>
      </c>
      <c r="E4675">
        <v>61728.0556611256</v>
      </c>
      <c r="F4675">
        <v>32528.9885993469</v>
      </c>
      <c r="G4675">
        <v>38002.953183474</v>
      </c>
      <c r="H4675">
        <v>20648.9094242481</v>
      </c>
      <c r="I4675">
        <v>132260.0</v>
      </c>
      <c r="J4675">
        <v>111611.09</v>
      </c>
      <c r="K4675" s="1"/>
      <c r="L4675" s="1"/>
      <c r="M4675" s="1"/>
      <c r="N4675" s="1"/>
    </row>
    <row r="4676" ht="15.75" customHeight="1">
      <c r="A4676" t="s">
        <v>36</v>
      </c>
      <c r="B4676" t="s">
        <v>37</v>
      </c>
      <c r="C4676" t="s">
        <v>4912</v>
      </c>
      <c r="D4676" t="s">
        <v>4769</v>
      </c>
      <c r="E4676">
        <v>61738.9386310318</v>
      </c>
      <c r="F4676">
        <v>32532.3562159799</v>
      </c>
      <c r="G4676">
        <v>38010.6331869035</v>
      </c>
      <c r="H4676">
        <v>20651.4155684916</v>
      </c>
      <c r="I4676">
        <v>132281.93</v>
      </c>
      <c r="J4676">
        <v>111630.51</v>
      </c>
      <c r="K4676" s="1"/>
      <c r="L4676" s="1"/>
      <c r="M4676" s="1"/>
      <c r="N4676" s="1"/>
    </row>
    <row r="4677" ht="15.75" customHeight="1">
      <c r="A4677" t="s">
        <v>51</v>
      </c>
      <c r="B4677" t="s">
        <v>54</v>
      </c>
      <c r="C4677" t="s">
        <v>4913</v>
      </c>
      <c r="D4677" t="s">
        <v>4770</v>
      </c>
      <c r="E4677">
        <v>61749.821600938</v>
      </c>
      <c r="F4677">
        <v>32535.7238326128</v>
      </c>
      <c r="G4677">
        <v>38018.313190333</v>
      </c>
      <c r="H4677">
        <v>20653.9217127351</v>
      </c>
      <c r="I4677">
        <v>132303.86</v>
      </c>
      <c r="J4677">
        <v>111649.94</v>
      </c>
      <c r="K4677" s="1"/>
      <c r="L4677" s="1"/>
      <c r="M4677" s="1"/>
      <c r="N4677" s="1"/>
    </row>
    <row r="4678" ht="15.75" customHeight="1">
      <c r="A4678" t="s">
        <v>51</v>
      </c>
      <c r="B4678" t="s">
        <v>18</v>
      </c>
      <c r="C4678" t="s">
        <v>4908</v>
      </c>
      <c r="D4678" t="s">
        <v>4771</v>
      </c>
      <c r="E4678">
        <v>61760.7045708441</v>
      </c>
      <c r="F4678">
        <v>32539.0914492458</v>
      </c>
      <c r="G4678">
        <v>38025.9931937625</v>
      </c>
      <c r="H4678">
        <v>20656.4278569785</v>
      </c>
      <c r="I4678">
        <v>132325.79</v>
      </c>
      <c r="J4678">
        <v>111669.36</v>
      </c>
      <c r="K4678" s="1"/>
      <c r="L4678" s="1"/>
      <c r="M4678" s="1"/>
      <c r="N4678" s="1"/>
    </row>
    <row r="4679" ht="15.75" customHeight="1">
      <c r="A4679" t="s">
        <v>13</v>
      </c>
      <c r="B4679" t="s">
        <v>54</v>
      </c>
      <c r="C4679" t="s">
        <v>4915</v>
      </c>
      <c r="D4679" t="s">
        <v>4772</v>
      </c>
      <c r="E4679">
        <v>61771.5875407503</v>
      </c>
      <c r="F4679">
        <v>32542.4590658788</v>
      </c>
      <c r="G4679">
        <v>38033.673197192</v>
      </c>
      <c r="H4679">
        <v>20658.934001222</v>
      </c>
      <c r="I4679">
        <v>132347.72</v>
      </c>
      <c r="J4679">
        <v>111688.79</v>
      </c>
      <c r="K4679" s="1"/>
      <c r="L4679" s="1"/>
      <c r="M4679" s="1"/>
      <c r="N4679" s="1"/>
    </row>
    <row r="4680" ht="15.75" customHeight="1">
      <c r="A4680" t="s">
        <v>29</v>
      </c>
      <c r="B4680" t="s">
        <v>18</v>
      </c>
      <c r="C4680" t="s">
        <v>4908</v>
      </c>
      <c r="D4680" t="s">
        <v>4773</v>
      </c>
      <c r="E4680">
        <v>61782.4705106565</v>
      </c>
      <c r="F4680">
        <v>32545.8266825117</v>
      </c>
      <c r="G4680">
        <v>38041.3532006215</v>
      </c>
      <c r="H4680">
        <v>20661.4401454655</v>
      </c>
      <c r="I4680">
        <v>132369.65</v>
      </c>
      <c r="J4680">
        <v>111708.21</v>
      </c>
      <c r="K4680" s="1"/>
      <c r="L4680" s="1"/>
      <c r="M4680" s="1"/>
      <c r="N4680" s="1"/>
    </row>
    <row r="4681" ht="15.75" customHeight="1">
      <c r="A4681" t="s">
        <v>17</v>
      </c>
      <c r="B4681" t="s">
        <v>26</v>
      </c>
      <c r="C4681" t="s">
        <v>4915</v>
      </c>
      <c r="D4681" t="s">
        <v>4774</v>
      </c>
      <c r="E4681">
        <v>61793.3534805627</v>
      </c>
      <c r="F4681">
        <v>32549.1942991447</v>
      </c>
      <c r="G4681">
        <v>38049.033204051</v>
      </c>
      <c r="H4681">
        <v>20663.946289709</v>
      </c>
      <c r="I4681">
        <v>132391.58</v>
      </c>
      <c r="J4681">
        <v>111727.63</v>
      </c>
      <c r="K4681" s="1"/>
      <c r="L4681" s="1"/>
      <c r="M4681" s="1"/>
      <c r="N4681" s="1"/>
    </row>
    <row r="4682" ht="15.75" customHeight="1">
      <c r="A4682" t="s">
        <v>53</v>
      </c>
      <c r="B4682" t="s">
        <v>37</v>
      </c>
      <c r="C4682" t="s">
        <v>4916</v>
      </c>
      <c r="D4682" t="s">
        <v>4775</v>
      </c>
      <c r="E4682">
        <v>61804.2364504689</v>
      </c>
      <c r="F4682">
        <v>32552.5619157777</v>
      </c>
      <c r="G4682">
        <v>38056.7132074805</v>
      </c>
      <c r="H4682">
        <v>20666.4524339524</v>
      </c>
      <c r="I4682">
        <v>132413.51</v>
      </c>
      <c r="J4682">
        <v>111747.06</v>
      </c>
      <c r="K4682" s="1"/>
      <c r="L4682" s="1"/>
      <c r="M4682" s="1"/>
      <c r="N4682" s="1"/>
    </row>
    <row r="4683" ht="15.75" customHeight="1">
      <c r="A4683" t="s">
        <v>53</v>
      </c>
      <c r="B4683" t="s">
        <v>30</v>
      </c>
      <c r="C4683" t="s">
        <v>4917</v>
      </c>
      <c r="D4683" t="s">
        <v>4776</v>
      </c>
      <c r="E4683">
        <v>61815.1194203751</v>
      </c>
      <c r="F4683">
        <v>32555.9295324106</v>
      </c>
      <c r="G4683">
        <v>38064.39321091</v>
      </c>
      <c r="H4683">
        <v>20668.9585781959</v>
      </c>
      <c r="I4683">
        <v>132435.44</v>
      </c>
      <c r="J4683">
        <v>111766.48</v>
      </c>
      <c r="K4683" s="1"/>
      <c r="L4683" s="1"/>
      <c r="M4683" s="1"/>
      <c r="N4683" s="1"/>
    </row>
    <row r="4684" ht="15.75" customHeight="1">
      <c r="A4684" t="s">
        <v>53</v>
      </c>
      <c r="B4684" t="s">
        <v>30</v>
      </c>
      <c r="C4684" t="s">
        <v>4907</v>
      </c>
      <c r="D4684" t="s">
        <v>4777</v>
      </c>
      <c r="E4684">
        <v>61826.0023902813</v>
      </c>
      <c r="F4684">
        <v>32559.2971490436</v>
      </c>
      <c r="G4684">
        <v>38072.0732143395</v>
      </c>
      <c r="H4684">
        <v>20671.4647224394</v>
      </c>
      <c r="I4684">
        <v>132457.37</v>
      </c>
      <c r="J4684">
        <v>111785.91</v>
      </c>
      <c r="K4684" s="1"/>
      <c r="L4684" s="1"/>
      <c r="M4684" s="1"/>
      <c r="N4684" s="1"/>
    </row>
    <row r="4685" ht="15.75" customHeight="1">
      <c r="A4685" t="s">
        <v>29</v>
      </c>
      <c r="B4685" t="s">
        <v>18</v>
      </c>
      <c r="C4685" t="s">
        <v>4914</v>
      </c>
      <c r="D4685" t="s">
        <v>4778</v>
      </c>
      <c r="E4685">
        <v>61836.8853601875</v>
      </c>
      <c r="F4685">
        <v>32562.6647656765</v>
      </c>
      <c r="G4685">
        <v>38079.753217769</v>
      </c>
      <c r="H4685">
        <v>20673.9708666828</v>
      </c>
      <c r="I4685">
        <v>132479.3</v>
      </c>
      <c r="J4685">
        <v>111805.33</v>
      </c>
      <c r="K4685" s="1"/>
      <c r="L4685" s="1"/>
      <c r="M4685" s="1"/>
      <c r="N4685" s="1"/>
    </row>
    <row r="4686" ht="15.75" customHeight="1">
      <c r="A4686" t="s">
        <v>17</v>
      </c>
      <c r="B4686" t="s">
        <v>30</v>
      </c>
      <c r="C4686" t="s">
        <v>4915</v>
      </c>
      <c r="D4686" t="s">
        <v>4779</v>
      </c>
      <c r="E4686">
        <v>61847.7683300937</v>
      </c>
      <c r="F4686">
        <v>32566.0323823095</v>
      </c>
      <c r="G4686">
        <v>38087.4332211985</v>
      </c>
      <c r="H4686">
        <v>20676.4770109263</v>
      </c>
      <c r="I4686">
        <v>132501.23</v>
      </c>
      <c r="J4686">
        <v>111824.75</v>
      </c>
      <c r="K4686" s="1"/>
      <c r="L4686" s="1"/>
      <c r="M4686" s="1"/>
      <c r="N4686" s="1"/>
    </row>
    <row r="4687" ht="15.75" customHeight="1">
      <c r="A4687" t="s">
        <v>36</v>
      </c>
      <c r="B4687" t="s">
        <v>26</v>
      </c>
      <c r="C4687" t="s">
        <v>4910</v>
      </c>
      <c r="D4687" t="s">
        <v>4780</v>
      </c>
      <c r="E4687">
        <v>61858.6512999999</v>
      </c>
      <c r="F4687">
        <v>32569.3999989425</v>
      </c>
      <c r="G4687">
        <v>38095.113224628</v>
      </c>
      <c r="H4687">
        <v>20678.9831551698</v>
      </c>
      <c r="I4687">
        <v>132523.16</v>
      </c>
      <c r="J4687">
        <v>111844.18</v>
      </c>
      <c r="K4687" s="1"/>
      <c r="L4687" s="1"/>
      <c r="M4687" s="1"/>
      <c r="N4687" s="1"/>
    </row>
    <row r="4688" ht="15.75" customHeight="1">
      <c r="A4688" t="s">
        <v>53</v>
      </c>
      <c r="B4688" t="s">
        <v>14</v>
      </c>
      <c r="C4688" t="s">
        <v>4905</v>
      </c>
      <c r="D4688" t="s">
        <v>4781</v>
      </c>
      <c r="E4688">
        <v>61869.5342699061</v>
      </c>
      <c r="F4688">
        <v>32572.7676155754</v>
      </c>
      <c r="G4688">
        <v>38102.7932280575</v>
      </c>
      <c r="H4688">
        <v>20681.4892994132</v>
      </c>
      <c r="I4688">
        <v>132545.1</v>
      </c>
      <c r="J4688">
        <v>111863.61</v>
      </c>
      <c r="K4688" s="1"/>
      <c r="L4688" s="1"/>
      <c r="M4688" s="1"/>
      <c r="N4688" s="1"/>
    </row>
    <row r="4689" ht="15.75" customHeight="1">
      <c r="A4689" t="s">
        <v>25</v>
      </c>
      <c r="B4689" t="s">
        <v>37</v>
      </c>
      <c r="C4689" t="s">
        <v>4913</v>
      </c>
      <c r="D4689" t="s">
        <v>4782</v>
      </c>
      <c r="E4689">
        <v>61880.4172398123</v>
      </c>
      <c r="F4689">
        <v>32576.1352322084</v>
      </c>
      <c r="G4689">
        <v>38110.473231487</v>
      </c>
      <c r="H4689">
        <v>20683.9954436567</v>
      </c>
      <c r="I4689">
        <v>132567.03</v>
      </c>
      <c r="J4689">
        <v>111883.03</v>
      </c>
      <c r="K4689" s="1"/>
      <c r="L4689" s="1"/>
      <c r="M4689" s="1"/>
      <c r="N4689" s="1"/>
    </row>
    <row r="4690" ht="15.75" customHeight="1">
      <c r="A4690" t="s">
        <v>51</v>
      </c>
      <c r="B4690" t="s">
        <v>54</v>
      </c>
      <c r="C4690" t="s">
        <v>4915</v>
      </c>
      <c r="D4690" t="s">
        <v>4783</v>
      </c>
      <c r="E4690">
        <v>61891.3002097185</v>
      </c>
      <c r="F4690">
        <v>32579.5028488414</v>
      </c>
      <c r="G4690">
        <v>38118.1532349164</v>
      </c>
      <c r="H4690">
        <v>20686.5015879002</v>
      </c>
      <c r="I4690">
        <v>132588.96</v>
      </c>
      <c r="J4690">
        <v>111902.46</v>
      </c>
      <c r="K4690" s="1"/>
      <c r="L4690" s="1"/>
      <c r="M4690" s="1"/>
      <c r="N4690" s="1"/>
    </row>
    <row r="4691" ht="15.75" customHeight="1">
      <c r="A4691" t="s">
        <v>17</v>
      </c>
      <c r="B4691" t="s">
        <v>30</v>
      </c>
      <c r="C4691" t="s">
        <v>4908</v>
      </c>
      <c r="D4691" t="s">
        <v>4784</v>
      </c>
      <c r="E4691">
        <v>61902.1831796247</v>
      </c>
      <c r="F4691">
        <v>32582.8704654743</v>
      </c>
      <c r="G4691">
        <v>38125.8332383459</v>
      </c>
      <c r="H4691">
        <v>20689.0077321437</v>
      </c>
      <c r="I4691">
        <v>132610.89</v>
      </c>
      <c r="J4691">
        <v>111921.88</v>
      </c>
      <c r="K4691" s="1"/>
      <c r="L4691" s="1"/>
      <c r="M4691" s="1"/>
      <c r="N4691" s="1"/>
    </row>
    <row r="4692" ht="15.75" customHeight="1">
      <c r="A4692" t="s">
        <v>17</v>
      </c>
      <c r="B4692" t="s">
        <v>54</v>
      </c>
      <c r="C4692" t="s">
        <v>4917</v>
      </c>
      <c r="D4692" t="s">
        <v>4785</v>
      </c>
      <c r="E4692">
        <v>61913.0661495309</v>
      </c>
      <c r="F4692">
        <v>32586.2380821073</v>
      </c>
      <c r="G4692">
        <v>38133.5132417754</v>
      </c>
      <c r="H4692">
        <v>20691.5138763871</v>
      </c>
      <c r="I4692">
        <v>132632.82</v>
      </c>
      <c r="J4692">
        <v>111941.31</v>
      </c>
      <c r="K4692" s="1"/>
      <c r="L4692" s="1"/>
      <c r="M4692" s="1"/>
      <c r="N4692" s="1"/>
    </row>
    <row r="4693" ht="15.75" customHeight="1">
      <c r="A4693" t="s">
        <v>17</v>
      </c>
      <c r="B4693" t="s">
        <v>14</v>
      </c>
      <c r="C4693" t="s">
        <v>4905</v>
      </c>
      <c r="D4693" t="s">
        <v>4786</v>
      </c>
      <c r="E4693">
        <v>61923.949119437</v>
      </c>
      <c r="F4693">
        <v>32589.6056987402</v>
      </c>
      <c r="G4693">
        <v>38141.1932452049</v>
      </c>
      <c r="H4693">
        <v>20694.0200206306</v>
      </c>
      <c r="I4693">
        <v>132654.75</v>
      </c>
      <c r="J4693">
        <v>111960.73</v>
      </c>
      <c r="K4693" s="1"/>
      <c r="L4693" s="1"/>
      <c r="M4693" s="1"/>
      <c r="N4693" s="1"/>
    </row>
    <row r="4694" ht="15.75" customHeight="1">
      <c r="A4694" t="s">
        <v>17</v>
      </c>
      <c r="B4694" t="s">
        <v>26</v>
      </c>
      <c r="C4694" t="s">
        <v>4905</v>
      </c>
      <c r="D4694" t="s">
        <v>4787</v>
      </c>
      <c r="E4694">
        <v>61934.8320893432</v>
      </c>
      <c r="F4694">
        <v>32592.9733153732</v>
      </c>
      <c r="G4694">
        <v>38148.8732486344</v>
      </c>
      <c r="H4694">
        <v>20696.5261648741</v>
      </c>
      <c r="I4694">
        <v>132676.68</v>
      </c>
      <c r="J4694">
        <v>111980.15</v>
      </c>
      <c r="K4694" s="1"/>
      <c r="L4694" s="1"/>
      <c r="M4694" s="1"/>
      <c r="N4694" s="1"/>
    </row>
    <row r="4695" ht="15.75" customHeight="1">
      <c r="A4695" t="s">
        <v>25</v>
      </c>
      <c r="B4695" t="s">
        <v>33</v>
      </c>
      <c r="C4695" t="s">
        <v>4907</v>
      </c>
      <c r="D4695" t="s">
        <v>4788</v>
      </c>
      <c r="E4695">
        <v>61956.5980291556</v>
      </c>
      <c r="F4695">
        <v>32599.7085486391</v>
      </c>
      <c r="G4695">
        <v>38164.2332554934</v>
      </c>
      <c r="H4695">
        <v>20701.538453361</v>
      </c>
      <c r="I4695">
        <v>132720.54</v>
      </c>
      <c r="J4695">
        <v>112019.0</v>
      </c>
      <c r="K4695" s="1"/>
      <c r="L4695" s="1"/>
      <c r="M4695" s="1"/>
      <c r="N4695" s="1"/>
    </row>
    <row r="4696" ht="15.75" customHeight="1">
      <c r="A4696" t="s">
        <v>29</v>
      </c>
      <c r="B4696" t="s">
        <v>54</v>
      </c>
      <c r="C4696" t="s">
        <v>4905</v>
      </c>
      <c r="D4696" t="s">
        <v>4789</v>
      </c>
      <c r="E4696">
        <v>61967.4809990618</v>
      </c>
      <c r="F4696">
        <v>32603.0761652721</v>
      </c>
      <c r="G4696">
        <v>38171.9132589229</v>
      </c>
      <c r="H4696">
        <v>20704.0445976045</v>
      </c>
      <c r="I4696">
        <v>132742.47</v>
      </c>
      <c r="J4696">
        <v>112038.43</v>
      </c>
      <c r="K4696" s="1"/>
      <c r="L4696" s="1"/>
      <c r="M4696" s="1"/>
      <c r="N4696" s="1"/>
    </row>
    <row r="4697" ht="15.75" customHeight="1">
      <c r="A4697" t="s">
        <v>17</v>
      </c>
      <c r="B4697" t="s">
        <v>14</v>
      </c>
      <c r="C4697" t="s">
        <v>4917</v>
      </c>
      <c r="D4697" t="s">
        <v>4790</v>
      </c>
      <c r="E4697">
        <v>61978.363968968</v>
      </c>
      <c r="F4697">
        <v>32606.443781905</v>
      </c>
      <c r="G4697">
        <v>38179.5932623524</v>
      </c>
      <c r="H4697">
        <v>20706.5507418479</v>
      </c>
      <c r="I4697">
        <v>132764.4</v>
      </c>
      <c r="J4697">
        <v>112057.85</v>
      </c>
      <c r="K4697" s="1"/>
      <c r="L4697" s="1"/>
      <c r="M4697" s="1"/>
      <c r="N4697" s="1"/>
    </row>
    <row r="4698" ht="15.75" customHeight="1">
      <c r="A4698" t="s">
        <v>13</v>
      </c>
      <c r="B4698" t="s">
        <v>33</v>
      </c>
      <c r="C4698" t="s">
        <v>4915</v>
      </c>
      <c r="D4698" t="s">
        <v>4791</v>
      </c>
      <c r="E4698">
        <v>61989.2469388742</v>
      </c>
      <c r="F4698">
        <v>32609.811398538</v>
      </c>
      <c r="G4698">
        <v>38187.2732657819</v>
      </c>
      <c r="H4698">
        <v>20709.0568860914</v>
      </c>
      <c r="I4698">
        <v>132786.33</v>
      </c>
      <c r="J4698">
        <v>112077.27</v>
      </c>
      <c r="K4698" s="1"/>
      <c r="L4698" s="1"/>
      <c r="M4698" s="1"/>
      <c r="N4698" s="1"/>
    </row>
    <row r="4699" ht="15.75" customHeight="1">
      <c r="A4699" t="s">
        <v>17</v>
      </c>
      <c r="B4699" t="s">
        <v>37</v>
      </c>
      <c r="C4699" t="s">
        <v>4910</v>
      </c>
      <c r="D4699" t="s">
        <v>4792</v>
      </c>
      <c r="E4699">
        <v>62000.1299087804</v>
      </c>
      <c r="F4699">
        <v>32613.179015171</v>
      </c>
      <c r="G4699">
        <v>38194.9532692114</v>
      </c>
      <c r="H4699">
        <v>20711.5630303349</v>
      </c>
      <c r="I4699">
        <v>132808.26</v>
      </c>
      <c r="J4699">
        <v>112096.7</v>
      </c>
      <c r="K4699" s="1"/>
      <c r="L4699" s="1"/>
      <c r="M4699" s="1"/>
      <c r="N4699" s="1"/>
    </row>
    <row r="4700" ht="15.75" customHeight="1">
      <c r="A4700" t="s">
        <v>53</v>
      </c>
      <c r="B4700" t="s">
        <v>18</v>
      </c>
      <c r="C4700" t="s">
        <v>4911</v>
      </c>
      <c r="D4700" t="s">
        <v>4793</v>
      </c>
      <c r="E4700">
        <v>62011.0128786866</v>
      </c>
      <c r="F4700">
        <v>32616.5466318039</v>
      </c>
      <c r="G4700">
        <v>38202.6332726409</v>
      </c>
      <c r="H4700">
        <v>20714.0691745783</v>
      </c>
      <c r="I4700">
        <v>132830.19</v>
      </c>
      <c r="J4700">
        <v>112116.12</v>
      </c>
      <c r="K4700" s="1"/>
      <c r="L4700" s="1"/>
      <c r="M4700" s="1"/>
      <c r="N4700" s="1"/>
    </row>
    <row r="4701" ht="15.75" customHeight="1">
      <c r="A4701" t="s">
        <v>25</v>
      </c>
      <c r="B4701" t="s">
        <v>30</v>
      </c>
      <c r="C4701" t="s">
        <v>4910</v>
      </c>
      <c r="D4701" t="s">
        <v>4794</v>
      </c>
      <c r="E4701">
        <v>62021.8958485928</v>
      </c>
      <c r="F4701">
        <v>32619.9142484369</v>
      </c>
      <c r="G4701">
        <v>38210.3132760704</v>
      </c>
      <c r="H4701">
        <v>20716.5753188218</v>
      </c>
      <c r="I4701">
        <v>132852.12</v>
      </c>
      <c r="J4701">
        <v>112135.54</v>
      </c>
      <c r="K4701" s="1"/>
      <c r="L4701" s="1"/>
      <c r="M4701" s="1"/>
      <c r="N4701" s="1"/>
    </row>
    <row r="4702" ht="15.75" customHeight="1">
      <c r="A4702" t="s">
        <v>51</v>
      </c>
      <c r="B4702" t="s">
        <v>33</v>
      </c>
      <c r="C4702" t="s">
        <v>4913</v>
      </c>
      <c r="D4702" t="s">
        <v>4795</v>
      </c>
      <c r="E4702">
        <v>71902.66457289942</v>
      </c>
      <c r="F4702">
        <v>32623.2818650699</v>
      </c>
      <c r="G4702">
        <v>38217.9932794999</v>
      </c>
      <c r="H4702">
        <v>20719.0814630653</v>
      </c>
      <c r="I4702">
        <v>142743.94</v>
      </c>
      <c r="J4702">
        <v>122024.86</v>
      </c>
      <c r="K4702" s="1"/>
      <c r="L4702" s="1"/>
      <c r="M4702" s="1"/>
      <c r="N4702" s="1"/>
    </row>
    <row r="4703" ht="15.75" customHeight="1">
      <c r="A4703" t="s">
        <v>25</v>
      </c>
      <c r="B4703" t="s">
        <v>37</v>
      </c>
      <c r="C4703" t="s">
        <v>4909</v>
      </c>
      <c r="D4703" t="s">
        <v>4796</v>
      </c>
      <c r="E4703">
        <v>62043.6617884052</v>
      </c>
      <c r="F4703">
        <v>32626.6494817028</v>
      </c>
      <c r="G4703">
        <v>38225.6732829294</v>
      </c>
      <c r="H4703">
        <v>20721.5876073088</v>
      </c>
      <c r="I4703">
        <v>132895.98</v>
      </c>
      <c r="J4703">
        <v>112174.39</v>
      </c>
      <c r="K4703" s="1"/>
      <c r="L4703" s="1"/>
      <c r="M4703" s="1"/>
      <c r="N4703" s="1"/>
    </row>
    <row r="4704" ht="15.75" customHeight="1">
      <c r="A4704" t="s">
        <v>25</v>
      </c>
      <c r="B4704" t="s">
        <v>14</v>
      </c>
      <c r="C4704" t="s">
        <v>4914</v>
      </c>
      <c r="D4704" t="s">
        <v>4797</v>
      </c>
      <c r="E4704">
        <v>62065.4277282176</v>
      </c>
      <c r="F4704">
        <v>32633.3847149687</v>
      </c>
      <c r="G4704">
        <v>38241.0332897884</v>
      </c>
      <c r="H4704">
        <v>20726.5998957957</v>
      </c>
      <c r="I4704">
        <v>132939.85</v>
      </c>
      <c r="J4704">
        <v>112213.25</v>
      </c>
      <c r="K4704" s="1"/>
      <c r="L4704" s="1"/>
      <c r="M4704" s="1"/>
      <c r="N4704" s="1"/>
    </row>
    <row r="4705" ht="15.75" customHeight="1">
      <c r="A4705" t="s">
        <v>25</v>
      </c>
      <c r="B4705" t="s">
        <v>37</v>
      </c>
      <c r="C4705" t="s">
        <v>4909</v>
      </c>
      <c r="D4705" t="s">
        <v>4798</v>
      </c>
      <c r="E4705">
        <v>62076.3106981238</v>
      </c>
      <c r="F4705">
        <v>32636.7523316017</v>
      </c>
      <c r="G4705">
        <v>38248.7132932179</v>
      </c>
      <c r="H4705">
        <v>20729.1060400392</v>
      </c>
      <c r="I4705">
        <v>132961.78</v>
      </c>
      <c r="J4705">
        <v>112232.67</v>
      </c>
      <c r="K4705" s="1"/>
      <c r="L4705" s="1"/>
      <c r="M4705" s="1"/>
      <c r="N4705" s="1"/>
    </row>
    <row r="4706" ht="15.75" customHeight="1">
      <c r="A4706" t="s">
        <v>51</v>
      </c>
      <c r="B4706" t="s">
        <v>37</v>
      </c>
      <c r="C4706" t="s">
        <v>4916</v>
      </c>
      <c r="D4706" t="s">
        <v>4799</v>
      </c>
      <c r="E4706">
        <v>62087.1936680299</v>
      </c>
      <c r="F4706">
        <v>32640.1199482347</v>
      </c>
      <c r="G4706">
        <v>382.0</v>
      </c>
      <c r="H4706">
        <v>20731.6121842826</v>
      </c>
      <c r="I4706">
        <v>95109.31</v>
      </c>
      <c r="J4706">
        <v>74377.7</v>
      </c>
      <c r="K4706" s="1"/>
      <c r="L4706" s="1"/>
      <c r="M4706" s="1"/>
      <c r="N4706" s="1"/>
    </row>
    <row r="4707" ht="15.75" customHeight="1">
      <c r="A4707" t="s">
        <v>36</v>
      </c>
      <c r="B4707" t="s">
        <v>18</v>
      </c>
      <c r="C4707" t="s">
        <v>4915</v>
      </c>
      <c r="D4707" t="s">
        <v>4800</v>
      </c>
      <c r="E4707">
        <v>62098.0766379361</v>
      </c>
      <c r="F4707">
        <v>32643.4875648676</v>
      </c>
      <c r="G4707">
        <v>38264.0733000769</v>
      </c>
      <c r="H4707">
        <v>20734.1183285261</v>
      </c>
      <c r="I4707">
        <v>133005.64</v>
      </c>
      <c r="J4707">
        <v>112271.52</v>
      </c>
      <c r="K4707" s="1"/>
      <c r="L4707" s="1"/>
      <c r="M4707" s="1"/>
      <c r="N4707" s="1"/>
    </row>
    <row r="4708" ht="15.75" customHeight="1">
      <c r="A4708" t="s">
        <v>53</v>
      </c>
      <c r="B4708" t="s">
        <v>30</v>
      </c>
      <c r="C4708" t="s">
        <v>4908</v>
      </c>
      <c r="D4708" t="s">
        <v>4801</v>
      </c>
      <c r="E4708">
        <v>62108.9596078423</v>
      </c>
      <c r="F4708">
        <v>32646.8551815006</v>
      </c>
      <c r="G4708">
        <v>38271.7533035064</v>
      </c>
      <c r="H4708">
        <v>20736.6244727696</v>
      </c>
      <c r="I4708">
        <v>133027.57</v>
      </c>
      <c r="J4708">
        <v>112290.95</v>
      </c>
      <c r="K4708" s="1"/>
      <c r="L4708" s="1"/>
      <c r="M4708" s="1"/>
      <c r="N4708" s="1"/>
    </row>
    <row r="4709" ht="15.75" customHeight="1">
      <c r="A4709" t="s">
        <v>51</v>
      </c>
      <c r="B4709" t="s">
        <v>37</v>
      </c>
      <c r="C4709" t="s">
        <v>4909</v>
      </c>
      <c r="D4709" t="s">
        <v>4802</v>
      </c>
      <c r="E4709">
        <v>62119.8425777485</v>
      </c>
      <c r="F4709">
        <v>32650.2227981336</v>
      </c>
      <c r="G4709">
        <v>38279.4333069359</v>
      </c>
      <c r="H4709">
        <v>20739.130617013</v>
      </c>
      <c r="I4709">
        <v>133049.5</v>
      </c>
      <c r="J4709">
        <v>112310.37</v>
      </c>
      <c r="K4709" s="1"/>
      <c r="L4709" s="1"/>
      <c r="M4709" s="1"/>
      <c r="N4709" s="1"/>
    </row>
    <row r="4710" ht="15.75" customHeight="1">
      <c r="A4710" t="s">
        <v>13</v>
      </c>
      <c r="B4710" t="s">
        <v>14</v>
      </c>
      <c r="C4710" t="s">
        <v>4917</v>
      </c>
      <c r="D4710" t="s">
        <v>4803</v>
      </c>
      <c r="E4710">
        <v>62130.7255476547</v>
      </c>
      <c r="F4710">
        <v>32653.5904147665</v>
      </c>
      <c r="G4710">
        <v>382.0</v>
      </c>
      <c r="H4710">
        <v>20741.6367612565</v>
      </c>
      <c r="I4710">
        <v>95166.32</v>
      </c>
      <c r="J4710">
        <v>74424.68</v>
      </c>
      <c r="K4710" s="1"/>
      <c r="L4710" s="1"/>
      <c r="M4710" s="1"/>
      <c r="N4710" s="1"/>
    </row>
    <row r="4711" ht="15.75" customHeight="1">
      <c r="A4711" t="s">
        <v>29</v>
      </c>
      <c r="B4711" t="s">
        <v>37</v>
      </c>
      <c r="C4711" t="s">
        <v>4905</v>
      </c>
      <c r="D4711" t="s">
        <v>4804</v>
      </c>
      <c r="E4711">
        <v>62141.6085175609</v>
      </c>
      <c r="F4711">
        <v>32656.9580313995</v>
      </c>
      <c r="G4711">
        <v>38294.7933137949</v>
      </c>
      <c r="H4711">
        <v>20744.1429055</v>
      </c>
      <c r="I4711">
        <v>133093.36</v>
      </c>
      <c r="J4711">
        <v>112349.22</v>
      </c>
      <c r="K4711" s="1"/>
      <c r="L4711" s="1"/>
      <c r="M4711" s="1"/>
      <c r="N4711" s="1"/>
    </row>
    <row r="4712" ht="15.75" customHeight="1">
      <c r="A4712" t="s">
        <v>53</v>
      </c>
      <c r="B4712" t="s">
        <v>37</v>
      </c>
      <c r="C4712" t="s">
        <v>4913</v>
      </c>
      <c r="D4712" t="s">
        <v>4805</v>
      </c>
      <c r="E4712">
        <v>62152.4914874671</v>
      </c>
      <c r="F4712">
        <v>32660.3256480324</v>
      </c>
      <c r="G4712">
        <v>38302.4733172244</v>
      </c>
      <c r="H4712">
        <v>20746.6490497434</v>
      </c>
      <c r="I4712">
        <v>133115.29</v>
      </c>
      <c r="J4712">
        <v>112368.64</v>
      </c>
      <c r="K4712" s="1"/>
      <c r="L4712" s="1"/>
      <c r="M4712" s="1"/>
      <c r="N4712" s="1"/>
    </row>
    <row r="4713" ht="15.75" customHeight="1">
      <c r="A4713" t="s">
        <v>29</v>
      </c>
      <c r="B4713" t="s">
        <v>30</v>
      </c>
      <c r="C4713" t="s">
        <v>4914</v>
      </c>
      <c r="D4713" t="s">
        <v>4806</v>
      </c>
      <c r="E4713">
        <v>62174.2574272795</v>
      </c>
      <c r="F4713">
        <v>32667.0608812984</v>
      </c>
      <c r="G4713">
        <v>38317.8333240834</v>
      </c>
      <c r="H4713">
        <v>20751.6613382304</v>
      </c>
      <c r="I4713">
        <v>133159.15</v>
      </c>
      <c r="J4713">
        <v>112407.49</v>
      </c>
      <c r="K4713" s="1"/>
      <c r="L4713" s="1"/>
      <c r="M4713" s="1"/>
      <c r="N4713" s="1"/>
    </row>
    <row r="4714" ht="15.75" customHeight="1">
      <c r="A4714" t="s">
        <v>13</v>
      </c>
      <c r="B4714" t="s">
        <v>14</v>
      </c>
      <c r="C4714" t="s">
        <v>4917</v>
      </c>
      <c r="D4714" t="s">
        <v>4807</v>
      </c>
      <c r="E4714">
        <v>62185.1403971857</v>
      </c>
      <c r="F4714">
        <v>32670.4284979313</v>
      </c>
      <c r="G4714">
        <v>38325.5133275129</v>
      </c>
      <c r="H4714">
        <v>20754.1674824739</v>
      </c>
      <c r="I4714">
        <v>133181.08</v>
      </c>
      <c r="J4714">
        <v>112426.91</v>
      </c>
      <c r="K4714" s="1"/>
      <c r="L4714" s="1"/>
      <c r="M4714" s="1"/>
      <c r="N4714" s="1"/>
    </row>
    <row r="4715" ht="15.75" customHeight="1">
      <c r="A4715" t="s">
        <v>17</v>
      </c>
      <c r="B4715" t="s">
        <v>54</v>
      </c>
      <c r="C4715" t="s">
        <v>4908</v>
      </c>
      <c r="D4715" t="s">
        <v>4808</v>
      </c>
      <c r="E4715">
        <v>62196.0233670919</v>
      </c>
      <c r="F4715">
        <v>32673.7961145643</v>
      </c>
      <c r="G4715">
        <v>38333.1933309424</v>
      </c>
      <c r="H4715">
        <v>20756.6736267173</v>
      </c>
      <c r="I4715">
        <v>133203.01</v>
      </c>
      <c r="J4715">
        <v>112446.34</v>
      </c>
      <c r="K4715" s="1"/>
      <c r="L4715" s="1"/>
      <c r="M4715" s="1"/>
      <c r="N4715" s="1"/>
    </row>
    <row r="4716" ht="15.75" customHeight="1">
      <c r="A4716" t="s">
        <v>53</v>
      </c>
      <c r="B4716" t="s">
        <v>33</v>
      </c>
      <c r="C4716" t="s">
        <v>4917</v>
      </c>
      <c r="D4716" t="s">
        <v>4809</v>
      </c>
      <c r="E4716">
        <v>62206.9063369981</v>
      </c>
      <c r="F4716">
        <v>32677.1637311973</v>
      </c>
      <c r="G4716">
        <v>3834.0</v>
      </c>
      <c r="H4716">
        <v>20759.1797709608</v>
      </c>
      <c r="I4716">
        <v>98718.07</v>
      </c>
      <c r="J4716">
        <v>77958.89</v>
      </c>
      <c r="K4716" s="1"/>
      <c r="L4716" s="1"/>
      <c r="M4716" s="1"/>
      <c r="N4716" s="1"/>
    </row>
    <row r="4717" ht="15.75" customHeight="1">
      <c r="A4717" t="s">
        <v>51</v>
      </c>
      <c r="B4717" t="s">
        <v>26</v>
      </c>
      <c r="C4717" t="s">
        <v>4910</v>
      </c>
      <c r="D4717" t="s">
        <v>4810</v>
      </c>
      <c r="E4717">
        <v>62217.7893069043</v>
      </c>
      <c r="F4717">
        <v>32680.5313478302</v>
      </c>
      <c r="G4717">
        <v>38348.5533378014</v>
      </c>
      <c r="H4717">
        <v>20761.6859152043</v>
      </c>
      <c r="I4717">
        <v>133246.87</v>
      </c>
      <c r="J4717">
        <v>112485.18</v>
      </c>
      <c r="K4717" s="1"/>
      <c r="L4717" s="1"/>
      <c r="M4717" s="1"/>
      <c r="N4717" s="1"/>
    </row>
    <row r="4718" ht="15.75" customHeight="1">
      <c r="A4718" t="s">
        <v>36</v>
      </c>
      <c r="B4718" t="s">
        <v>30</v>
      </c>
      <c r="C4718" t="s">
        <v>4913</v>
      </c>
      <c r="D4718" t="s">
        <v>4811</v>
      </c>
      <c r="E4718">
        <v>62228.6722768105</v>
      </c>
      <c r="F4718">
        <v>32683.8989644632</v>
      </c>
      <c r="G4718">
        <v>38356.2333412309</v>
      </c>
      <c r="H4718">
        <v>20764.1920594477</v>
      </c>
      <c r="I4718">
        <v>133268.8</v>
      </c>
      <c r="J4718">
        <v>112504.61</v>
      </c>
      <c r="K4718" s="1"/>
      <c r="L4718" s="1"/>
      <c r="M4718" s="1"/>
      <c r="N4718" s="1"/>
    </row>
    <row r="4719" ht="15.75" customHeight="1">
      <c r="A4719" t="s">
        <v>29</v>
      </c>
      <c r="B4719" t="s">
        <v>33</v>
      </c>
      <c r="C4719" t="s">
        <v>4912</v>
      </c>
      <c r="D4719" t="s">
        <v>4812</v>
      </c>
      <c r="E4719">
        <v>62239.5552467167</v>
      </c>
      <c r="F4719">
        <v>32687.2665810961</v>
      </c>
      <c r="G4719">
        <v>38363.9133446604</v>
      </c>
      <c r="H4719">
        <v>20766.6982036912</v>
      </c>
      <c r="I4719">
        <v>133290.74</v>
      </c>
      <c r="J4719">
        <v>112524.04</v>
      </c>
      <c r="K4719" s="1"/>
      <c r="L4719" s="1"/>
      <c r="M4719" s="1"/>
      <c r="N4719" s="1"/>
    </row>
    <row r="4720" ht="15.75" customHeight="1">
      <c r="A4720" t="s">
        <v>29</v>
      </c>
      <c r="B4720" t="s">
        <v>26</v>
      </c>
      <c r="C4720" t="s">
        <v>4907</v>
      </c>
      <c r="D4720" t="s">
        <v>4813</v>
      </c>
      <c r="E4720">
        <v>62250.4382166228</v>
      </c>
      <c r="F4720">
        <v>32690.6341977291</v>
      </c>
      <c r="G4720">
        <v>38371.5933480899</v>
      </c>
      <c r="H4720">
        <v>20769.2043479347</v>
      </c>
      <c r="I4720">
        <v>133312.67</v>
      </c>
      <c r="J4720">
        <v>112543.47</v>
      </c>
      <c r="K4720" s="1"/>
      <c r="L4720" s="1"/>
      <c r="M4720" s="1"/>
      <c r="N4720" s="1"/>
    </row>
    <row r="4721" ht="15.75" customHeight="1">
      <c r="A4721" t="s">
        <v>17</v>
      </c>
      <c r="B4721" t="s">
        <v>14</v>
      </c>
      <c r="C4721" t="s">
        <v>4908</v>
      </c>
      <c r="D4721" t="s">
        <v>4814</v>
      </c>
      <c r="E4721">
        <v>62261.321186529</v>
      </c>
      <c r="F4721">
        <v>32694.0018143621</v>
      </c>
      <c r="G4721">
        <v>38379.2733515194</v>
      </c>
      <c r="H4721">
        <v>20771.7104921781</v>
      </c>
      <c r="I4721">
        <v>133334.6</v>
      </c>
      <c r="J4721">
        <v>112562.89</v>
      </c>
      <c r="K4721" s="1"/>
      <c r="L4721" s="1"/>
      <c r="M4721" s="1"/>
      <c r="N4721" s="1"/>
    </row>
    <row r="4722" ht="15.75" customHeight="1">
      <c r="A4722" t="s">
        <v>53</v>
      </c>
      <c r="B4722" t="s">
        <v>54</v>
      </c>
      <c r="C4722" t="s">
        <v>4910</v>
      </c>
      <c r="D4722" t="s">
        <v>4815</v>
      </c>
      <c r="E4722">
        <v>62272.2041564352</v>
      </c>
      <c r="F4722">
        <v>32697.369430995</v>
      </c>
      <c r="G4722">
        <v>38386.9533549489</v>
      </c>
      <c r="H4722">
        <v>20774.2166364216</v>
      </c>
      <c r="I4722">
        <v>133356.53</v>
      </c>
      <c r="J4722">
        <v>112582.31</v>
      </c>
      <c r="K4722" s="1"/>
      <c r="L4722" s="1"/>
      <c r="M4722" s="1"/>
      <c r="N4722" s="1"/>
    </row>
    <row r="4723" ht="15.75" customHeight="1">
      <c r="A4723" t="s">
        <v>53</v>
      </c>
      <c r="B4723" t="s">
        <v>26</v>
      </c>
      <c r="C4723" t="s">
        <v>4910</v>
      </c>
      <c r="D4723" t="s">
        <v>4816</v>
      </c>
      <c r="E4723">
        <v>62283.0871263414</v>
      </c>
      <c r="F4723">
        <v>32700.737047628</v>
      </c>
      <c r="G4723">
        <v>38394.6333583783</v>
      </c>
      <c r="H4723">
        <v>20776.7227806651</v>
      </c>
      <c r="I4723">
        <v>133378.46</v>
      </c>
      <c r="J4723">
        <v>112601.74</v>
      </c>
      <c r="K4723" s="1"/>
      <c r="L4723" s="1"/>
      <c r="M4723" s="1"/>
      <c r="N4723" s="1"/>
    </row>
    <row r="4724" ht="15.75" customHeight="1">
      <c r="A4724" t="s">
        <v>17</v>
      </c>
      <c r="B4724" t="s">
        <v>33</v>
      </c>
      <c r="C4724" t="s">
        <v>4917</v>
      </c>
      <c r="D4724" t="s">
        <v>4817</v>
      </c>
      <c r="E4724">
        <v>62293.9700962476</v>
      </c>
      <c r="F4724">
        <v>32704.104664261</v>
      </c>
      <c r="G4724">
        <v>38402.3133618079</v>
      </c>
      <c r="H4724">
        <v>20779.2289249086</v>
      </c>
      <c r="I4724">
        <v>133400.39</v>
      </c>
      <c r="J4724">
        <v>112621.16</v>
      </c>
      <c r="K4724" s="1"/>
      <c r="L4724" s="1"/>
      <c r="M4724" s="1"/>
      <c r="N4724" s="1"/>
    </row>
    <row r="4725" ht="15.75" customHeight="1">
      <c r="A4725" t="s">
        <v>13</v>
      </c>
      <c r="B4725" t="s">
        <v>54</v>
      </c>
      <c r="C4725" t="s">
        <v>4907</v>
      </c>
      <c r="D4725" t="s">
        <v>4818</v>
      </c>
      <c r="E4725">
        <v>62304.8530661538</v>
      </c>
      <c r="F4725">
        <v>32707.4722808939</v>
      </c>
      <c r="G4725">
        <v>38409.9933652373</v>
      </c>
      <c r="H4725">
        <v>20781.735069152</v>
      </c>
      <c r="I4725">
        <v>133422.32</v>
      </c>
      <c r="J4725">
        <v>112640.58</v>
      </c>
      <c r="K4725" s="1"/>
      <c r="L4725" s="1"/>
      <c r="M4725" s="1"/>
      <c r="N4725" s="1"/>
    </row>
    <row r="4726" ht="15.75" customHeight="1">
      <c r="A4726" t="s">
        <v>29</v>
      </c>
      <c r="B4726" t="s">
        <v>37</v>
      </c>
      <c r="C4726" t="s">
        <v>4914</v>
      </c>
      <c r="D4726" t="s">
        <v>4819</v>
      </c>
      <c r="E4726">
        <v>62315.73603606</v>
      </c>
      <c r="F4726">
        <v>32710.8398975269</v>
      </c>
      <c r="G4726">
        <v>38417.6733686668</v>
      </c>
      <c r="H4726">
        <v>20784.2412133955</v>
      </c>
      <c r="I4726">
        <v>133444.25</v>
      </c>
      <c r="J4726">
        <v>112660.01</v>
      </c>
      <c r="K4726" s="1"/>
      <c r="L4726" s="1"/>
      <c r="M4726" s="1"/>
      <c r="N4726" s="1"/>
    </row>
    <row r="4727" ht="15.75" customHeight="1">
      <c r="A4727" t="s">
        <v>51</v>
      </c>
      <c r="B4727" t="s">
        <v>26</v>
      </c>
      <c r="C4727" t="s">
        <v>4911</v>
      </c>
      <c r="D4727" t="s">
        <v>4820</v>
      </c>
      <c r="E4727">
        <v>62326.6190059662</v>
      </c>
      <c r="F4727">
        <v>32714.2075141598</v>
      </c>
      <c r="G4727">
        <v>38425.3533720963</v>
      </c>
      <c r="H4727">
        <v>20786.747357639</v>
      </c>
      <c r="I4727">
        <v>133466.18</v>
      </c>
      <c r="J4727">
        <v>112679.43</v>
      </c>
      <c r="K4727" s="1"/>
      <c r="L4727" s="1"/>
      <c r="M4727" s="1"/>
      <c r="N4727" s="1"/>
    </row>
    <row r="4728" ht="15.75" customHeight="1">
      <c r="A4728" t="s">
        <v>13</v>
      </c>
      <c r="B4728" t="s">
        <v>37</v>
      </c>
      <c r="C4728" t="s">
        <v>4911</v>
      </c>
      <c r="D4728" t="s">
        <v>4821</v>
      </c>
      <c r="E4728">
        <v>62337.5019758724</v>
      </c>
      <c r="F4728">
        <v>32717.5751307928</v>
      </c>
      <c r="G4728">
        <v>38433.0333755258</v>
      </c>
      <c r="H4728">
        <v>20789.2535018824</v>
      </c>
      <c r="I4728">
        <v>133488.11</v>
      </c>
      <c r="J4728">
        <v>112698.86</v>
      </c>
      <c r="K4728" s="1"/>
      <c r="L4728" s="1"/>
      <c r="M4728" s="1"/>
      <c r="N4728" s="1"/>
    </row>
    <row r="4729" ht="15.75" customHeight="1">
      <c r="A4729" t="s">
        <v>17</v>
      </c>
      <c r="B4729" t="s">
        <v>26</v>
      </c>
      <c r="C4729" t="s">
        <v>4916</v>
      </c>
      <c r="D4729" t="s">
        <v>4822</v>
      </c>
      <c r="E4729">
        <v>62348.3849457786</v>
      </c>
      <c r="F4729">
        <v>32720.9427474258</v>
      </c>
      <c r="G4729">
        <v>38440.7133789553</v>
      </c>
      <c r="H4729">
        <v>20791.7596461259</v>
      </c>
      <c r="I4729">
        <v>133510.04</v>
      </c>
      <c r="J4729">
        <v>112718.28</v>
      </c>
      <c r="K4729" s="1"/>
      <c r="L4729" s="1"/>
      <c r="M4729" s="1"/>
      <c r="N4729" s="1"/>
    </row>
    <row r="4730" ht="15.75" customHeight="1">
      <c r="A4730" t="s">
        <v>29</v>
      </c>
      <c r="B4730" t="s">
        <v>26</v>
      </c>
      <c r="C4730" t="s">
        <v>4912</v>
      </c>
      <c r="D4730" t="s">
        <v>4823</v>
      </c>
      <c r="E4730">
        <v>62359.2679156848</v>
      </c>
      <c r="F4730">
        <v>32724.3103640587</v>
      </c>
      <c r="G4730">
        <v>38448.3933823848</v>
      </c>
      <c r="H4730">
        <v>20794.2657903694</v>
      </c>
      <c r="I4730">
        <v>133531.97</v>
      </c>
      <c r="J4730">
        <v>112737.7</v>
      </c>
      <c r="K4730" s="1"/>
      <c r="L4730" s="1"/>
      <c r="M4730" s="1"/>
      <c r="N4730" s="1"/>
    </row>
    <row r="4731" ht="15.75" customHeight="1">
      <c r="A4731" t="s">
        <v>36</v>
      </c>
      <c r="B4731" t="s">
        <v>30</v>
      </c>
      <c r="C4731" t="s">
        <v>4915</v>
      </c>
      <c r="D4731" t="s">
        <v>4824</v>
      </c>
      <c r="E4731">
        <v>62370.150885591</v>
      </c>
      <c r="F4731">
        <v>32727.6779806917</v>
      </c>
      <c r="G4731">
        <v>38456.0733858143</v>
      </c>
      <c r="H4731">
        <v>20796.7719346128</v>
      </c>
      <c r="I4731">
        <v>133553.9</v>
      </c>
      <c r="J4731">
        <v>112757.13</v>
      </c>
      <c r="K4731" s="1"/>
      <c r="L4731" s="1"/>
      <c r="M4731" s="1"/>
      <c r="N4731" s="1"/>
    </row>
    <row r="4732" ht="15.75" customHeight="1">
      <c r="A4732" t="s">
        <v>36</v>
      </c>
      <c r="B4732" t="s">
        <v>26</v>
      </c>
      <c r="C4732" t="s">
        <v>4910</v>
      </c>
      <c r="D4732" t="s">
        <v>4825</v>
      </c>
      <c r="E4732">
        <v>62381.0338554972</v>
      </c>
      <c r="F4732">
        <v>32731.0455973247</v>
      </c>
      <c r="G4732">
        <v>38463.7533892438</v>
      </c>
      <c r="H4732">
        <v>20799.2780788563</v>
      </c>
      <c r="I4732">
        <v>133575.83</v>
      </c>
      <c r="J4732">
        <v>112776.55</v>
      </c>
      <c r="K4732" s="1"/>
      <c r="L4732" s="1"/>
      <c r="M4732" s="1"/>
      <c r="N4732" s="1"/>
    </row>
    <row r="4733" ht="15.75" customHeight="1">
      <c r="A4733" t="s">
        <v>29</v>
      </c>
      <c r="B4733" t="s">
        <v>37</v>
      </c>
      <c r="C4733" t="s">
        <v>4917</v>
      </c>
      <c r="D4733" t="s">
        <v>4826</v>
      </c>
      <c r="E4733">
        <v>62391.9168254034</v>
      </c>
      <c r="F4733">
        <v>32734.4132139576</v>
      </c>
      <c r="G4733">
        <v>38471.4333926733</v>
      </c>
      <c r="H4733">
        <v>20801.7842230998</v>
      </c>
      <c r="I4733">
        <v>133597.76</v>
      </c>
      <c r="J4733">
        <v>112795.98</v>
      </c>
      <c r="K4733" s="1"/>
      <c r="L4733" s="1"/>
      <c r="M4733" s="1"/>
      <c r="N4733" s="1"/>
    </row>
    <row r="4734" ht="15.75" customHeight="1">
      <c r="A4734" t="s">
        <v>51</v>
      </c>
      <c r="B4734" t="s">
        <v>37</v>
      </c>
      <c r="C4734" t="s">
        <v>4905</v>
      </c>
      <c r="D4734" t="s">
        <v>4827</v>
      </c>
      <c r="E4734">
        <v>62402.7997953096</v>
      </c>
      <c r="F4734">
        <v>32737.7808305906</v>
      </c>
      <c r="G4734">
        <v>38479.1133961028</v>
      </c>
      <c r="H4734">
        <v>20804.2903673432</v>
      </c>
      <c r="I4734">
        <v>133619.69</v>
      </c>
      <c r="J4734">
        <v>112815.4</v>
      </c>
      <c r="K4734" s="1"/>
      <c r="L4734" s="1"/>
      <c r="M4734" s="1"/>
      <c r="N4734" s="1"/>
    </row>
    <row r="4735" ht="15.75" customHeight="1">
      <c r="A4735" t="s">
        <v>53</v>
      </c>
      <c r="B4735" t="s">
        <v>30</v>
      </c>
      <c r="C4735" t="s">
        <v>4916</v>
      </c>
      <c r="D4735" t="s">
        <v>4828</v>
      </c>
      <c r="E4735">
        <v>62413.6827652157</v>
      </c>
      <c r="F4735">
        <v>32741.1484472235</v>
      </c>
      <c r="G4735">
        <v>38486.7933995323</v>
      </c>
      <c r="H4735">
        <v>20806.7965115867</v>
      </c>
      <c r="I4735">
        <v>133641.62</v>
      </c>
      <c r="J4735">
        <v>112834.82</v>
      </c>
      <c r="K4735" s="1"/>
      <c r="L4735" s="1"/>
      <c r="M4735" s="1"/>
      <c r="N4735" s="1"/>
    </row>
    <row r="4736" ht="15.75" customHeight="1">
      <c r="A4736" t="s">
        <v>29</v>
      </c>
      <c r="B4736" t="s">
        <v>30</v>
      </c>
      <c r="C4736" t="s">
        <v>4915</v>
      </c>
      <c r="D4736" t="s">
        <v>4829</v>
      </c>
      <c r="E4736">
        <v>62424.5657351219</v>
      </c>
      <c r="F4736">
        <v>32744.5160638565</v>
      </c>
      <c r="G4736">
        <v>384.0</v>
      </c>
      <c r="H4736">
        <v>20809.3026558302</v>
      </c>
      <c r="I4736">
        <v>95553.08</v>
      </c>
      <c r="J4736">
        <v>74743.78</v>
      </c>
      <c r="K4736" s="1"/>
      <c r="L4736" s="1"/>
      <c r="M4736" s="1"/>
      <c r="N4736" s="1"/>
    </row>
    <row r="4737" ht="15.75" customHeight="1">
      <c r="A4737" t="s">
        <v>53</v>
      </c>
      <c r="B4737" t="s">
        <v>30</v>
      </c>
      <c r="C4737" t="s">
        <v>4916</v>
      </c>
      <c r="D4737" t="s">
        <v>4830</v>
      </c>
      <c r="E4737">
        <v>62435.4487050281</v>
      </c>
      <c r="F4737">
        <v>32747.8836804895</v>
      </c>
      <c r="G4737">
        <v>38502.1534063913</v>
      </c>
      <c r="H4737">
        <v>14765.30618879032</v>
      </c>
      <c r="I4737">
        <v>133685.49</v>
      </c>
      <c r="J4737">
        <v>118920.18</v>
      </c>
      <c r="K4737" s="1"/>
      <c r="L4737" s="1"/>
      <c r="M4737" s="1"/>
      <c r="N4737" s="1"/>
    </row>
    <row r="4738" ht="15.75" customHeight="1">
      <c r="A4738" t="s">
        <v>51</v>
      </c>
      <c r="B4738" t="s">
        <v>37</v>
      </c>
      <c r="C4738" t="s">
        <v>4911</v>
      </c>
      <c r="D4738" t="s">
        <v>4831</v>
      </c>
      <c r="E4738">
        <v>71902.66457289942</v>
      </c>
      <c r="F4738">
        <v>32751.2512971224</v>
      </c>
      <c r="G4738">
        <v>38509.8334098208</v>
      </c>
      <c r="H4738">
        <v>20814.3149443171</v>
      </c>
      <c r="I4738">
        <v>143163.75</v>
      </c>
      <c r="J4738">
        <v>122349.44</v>
      </c>
      <c r="K4738" s="1"/>
      <c r="L4738" s="1"/>
      <c r="M4738" s="1"/>
      <c r="N4738" s="1"/>
    </row>
    <row r="4739" ht="15.75" customHeight="1">
      <c r="A4739" t="s">
        <v>17</v>
      </c>
      <c r="B4739" t="s">
        <v>14</v>
      </c>
      <c r="C4739" t="s">
        <v>4913</v>
      </c>
      <c r="D4739" t="s">
        <v>4832</v>
      </c>
      <c r="E4739">
        <v>62457.2146448405</v>
      </c>
      <c r="F4739">
        <v>32754.6189137554</v>
      </c>
      <c r="G4739">
        <v>38517.5134132503</v>
      </c>
      <c r="H4739">
        <v>20816.8210885606</v>
      </c>
      <c r="I4739">
        <v>133729.35</v>
      </c>
      <c r="J4739">
        <v>112912.53</v>
      </c>
      <c r="K4739" s="1"/>
      <c r="L4739" s="1"/>
      <c r="M4739" s="1"/>
      <c r="N4739" s="1"/>
    </row>
    <row r="4740" ht="15.75" customHeight="1">
      <c r="A4740" t="s">
        <v>51</v>
      </c>
      <c r="B4740" t="s">
        <v>54</v>
      </c>
      <c r="C4740" t="s">
        <v>4910</v>
      </c>
      <c r="D4740" t="s">
        <v>4833</v>
      </c>
      <c r="E4740">
        <v>62468.0976147467</v>
      </c>
      <c r="F4740">
        <v>32757.9865303884</v>
      </c>
      <c r="G4740">
        <v>38525.1934166798</v>
      </c>
      <c r="H4740">
        <v>20819.3272328041</v>
      </c>
      <c r="I4740">
        <v>133751.28</v>
      </c>
      <c r="J4740">
        <v>112931.95</v>
      </c>
      <c r="K4740" s="1"/>
      <c r="L4740" s="1"/>
      <c r="M4740" s="1"/>
      <c r="N4740" s="1"/>
    </row>
    <row r="4741" ht="15.75" customHeight="1">
      <c r="A4741" t="s">
        <v>51</v>
      </c>
      <c r="B4741" t="s">
        <v>54</v>
      </c>
      <c r="C4741" t="s">
        <v>4908</v>
      </c>
      <c r="D4741" t="s">
        <v>4834</v>
      </c>
      <c r="E4741">
        <v>62478.9805846529</v>
      </c>
      <c r="F4741">
        <v>32761.3541470213</v>
      </c>
      <c r="G4741">
        <v>38532.8734201093</v>
      </c>
      <c r="H4741">
        <v>20821.8333770475</v>
      </c>
      <c r="I4741">
        <v>133773.21</v>
      </c>
      <c r="J4741">
        <v>112951.38</v>
      </c>
      <c r="K4741" s="1"/>
      <c r="L4741" s="1"/>
      <c r="M4741" s="1"/>
      <c r="N4741" s="1"/>
    </row>
    <row r="4742" ht="15.75" customHeight="1">
      <c r="A4742" t="s">
        <v>25</v>
      </c>
      <c r="B4742" t="s">
        <v>26</v>
      </c>
      <c r="C4742" t="s">
        <v>4909</v>
      </c>
      <c r="D4742" t="s">
        <v>4835</v>
      </c>
      <c r="E4742">
        <v>62500.7465244653</v>
      </c>
      <c r="F4742">
        <v>32768.0893802872</v>
      </c>
      <c r="G4742">
        <v>38548.2334269683</v>
      </c>
      <c r="H4742">
        <v>14634.43925924574</v>
      </c>
      <c r="I4742">
        <v>133817.07</v>
      </c>
      <c r="J4742">
        <v>119182.63</v>
      </c>
      <c r="K4742" s="1"/>
      <c r="L4742" s="1"/>
      <c r="M4742" s="1"/>
      <c r="N4742" s="1"/>
    </row>
    <row r="4743" ht="15.75" customHeight="1">
      <c r="A4743" t="s">
        <v>29</v>
      </c>
      <c r="B4743" t="s">
        <v>33</v>
      </c>
      <c r="C4743" t="s">
        <v>4914</v>
      </c>
      <c r="D4743" t="s">
        <v>4836</v>
      </c>
      <c r="E4743">
        <v>62511.6294943715</v>
      </c>
      <c r="F4743">
        <v>32771.4569969202</v>
      </c>
      <c r="G4743">
        <v>38555.9134303978</v>
      </c>
      <c r="H4743">
        <v>20829.3518097779</v>
      </c>
      <c r="I4743">
        <v>133839.0</v>
      </c>
      <c r="J4743">
        <v>113009.65</v>
      </c>
      <c r="K4743" s="1"/>
      <c r="L4743" s="1"/>
      <c r="M4743" s="1"/>
      <c r="N4743" s="1"/>
    </row>
    <row r="4744" ht="15.75" customHeight="1">
      <c r="A4744" t="s">
        <v>36</v>
      </c>
      <c r="B4744" t="s">
        <v>14</v>
      </c>
      <c r="C4744" t="s">
        <v>4905</v>
      </c>
      <c r="D4744" t="s">
        <v>4837</v>
      </c>
      <c r="E4744">
        <v>62522.5124642777</v>
      </c>
      <c r="F4744">
        <v>32774.8246135532</v>
      </c>
      <c r="G4744">
        <v>38563.5934338273</v>
      </c>
      <c r="H4744">
        <v>20831.8579540214</v>
      </c>
      <c r="I4744">
        <v>133860.93</v>
      </c>
      <c r="J4744">
        <v>113029.07</v>
      </c>
      <c r="K4744" s="1"/>
      <c r="L4744" s="1"/>
      <c r="M4744" s="1"/>
      <c r="N4744" s="1"/>
    </row>
    <row r="4745" ht="15.75" customHeight="1">
      <c r="A4745" t="s">
        <v>17</v>
      </c>
      <c r="B4745" t="s">
        <v>33</v>
      </c>
      <c r="C4745" t="s">
        <v>4909</v>
      </c>
      <c r="D4745" t="s">
        <v>4838</v>
      </c>
      <c r="E4745">
        <v>62533.3954341839</v>
      </c>
      <c r="F4745">
        <v>32778.1922301861</v>
      </c>
      <c r="G4745">
        <v>38571.2734372568</v>
      </c>
      <c r="H4745">
        <v>20834.3640982649</v>
      </c>
      <c r="I4745">
        <v>133882.86</v>
      </c>
      <c r="J4745">
        <v>113048.5</v>
      </c>
      <c r="K4745" s="1"/>
      <c r="L4745" s="1"/>
      <c r="M4745" s="1"/>
      <c r="N4745" s="1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29"/>
    <col customWidth="1" min="2" max="2" width="43.57"/>
    <col customWidth="1" min="3" max="3" width="41.43"/>
    <col customWidth="1" min="4" max="4" width="25.71"/>
    <col customWidth="1" min="5" max="5" width="60.43"/>
    <col customWidth="1" min="6" max="6" width="87.0"/>
    <col customWidth="1" min="7" max="7" width="37.86"/>
    <col customWidth="1" min="8" max="8" width="12.57"/>
    <col customWidth="1" min="9" max="9" width="53.0"/>
    <col customWidth="1" min="10" max="10" width="87.71"/>
    <col customWidth="1" min="11" max="11" width="35.86"/>
    <col customWidth="1" min="12" max="12" width="69.86"/>
    <col customWidth="1" min="13" max="13" width="68.71"/>
    <col customWidth="1" min="14" max="14" width="108.71"/>
    <col customWidth="1" min="15" max="16" width="120.14"/>
    <col customWidth="1" min="17" max="17" width="53.57"/>
    <col customWidth="1" min="18" max="19" width="91.57"/>
    <col customWidth="1" min="20" max="21" width="120.14"/>
    <col customWidth="1" min="22" max="26" width="34.14"/>
  </cols>
  <sheetData>
    <row r="1" ht="50.25" customHeight="1">
      <c r="A1" s="65" t="s">
        <v>4918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7"/>
      <c r="X1" s="68"/>
      <c r="Y1" s="68"/>
      <c r="Z1" s="68"/>
    </row>
    <row r="2" ht="78.0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1"/>
      <c r="X2" s="68"/>
      <c r="Y2" s="68"/>
      <c r="Z2" s="68"/>
    </row>
    <row r="3" ht="77.25" customHeight="1">
      <c r="A3" s="68"/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68"/>
      <c r="X3" s="68"/>
      <c r="Y3" s="68"/>
      <c r="Z3" s="68"/>
    </row>
    <row r="4" ht="28.5" customHeight="1">
      <c r="A4" s="68"/>
      <c r="B4" s="74"/>
      <c r="C4" s="75"/>
      <c r="D4" s="74"/>
      <c r="E4" s="74"/>
      <c r="F4" s="74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28.5" customHeight="1">
      <c r="A5" s="68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28.5" customHeight="1">
      <c r="A6" s="68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27.0" customHeight="1">
      <c r="A7" s="68"/>
      <c r="B7" s="76" t="str">
        <f>+COUNTA(Clean_Data!A:A)</f>
        <v>4745</v>
      </c>
      <c r="C7" s="67"/>
      <c r="D7" s="75"/>
      <c r="E7" s="77" t="str">
        <f>+SUM(Clean_Data!I:I)</f>
        <v>  480,475,875.00 </v>
      </c>
      <c r="F7" s="78"/>
      <c r="G7" s="75"/>
      <c r="H7" s="79" t="str">
        <f>+SUM(Clean_Data!H:H)</f>
        <v>  549,585,043.00 </v>
      </c>
      <c r="I7" s="80"/>
      <c r="J7" s="78"/>
      <c r="K7" s="75"/>
      <c r="L7" s="81" t="str">
        <f>+SUM(Clean_Data!G:G)</f>
        <v>  69,109,132.67 </v>
      </c>
      <c r="M7" s="67"/>
      <c r="N7" s="75"/>
      <c r="O7" s="82" t="str">
        <f>+AVERAGE(Clean_Data!H:H)</f>
        <v>  115,848.45 </v>
      </c>
      <c r="P7" s="78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26.25" customHeight="1">
      <c r="A8" s="68"/>
      <c r="B8" s="83"/>
      <c r="C8" s="84"/>
      <c r="D8" s="85"/>
      <c r="E8" s="86"/>
      <c r="F8" s="87"/>
      <c r="G8" s="75"/>
      <c r="H8" s="86"/>
      <c r="J8" s="87"/>
      <c r="K8" s="75"/>
      <c r="L8" s="83"/>
      <c r="M8" s="84"/>
      <c r="N8" s="75"/>
      <c r="O8" s="86"/>
      <c r="P8" s="87"/>
      <c r="Q8" s="88"/>
      <c r="R8" s="75"/>
      <c r="S8" s="75"/>
      <c r="T8" s="75"/>
      <c r="U8" s="75"/>
      <c r="V8" s="75"/>
      <c r="W8" s="75"/>
      <c r="X8" s="75"/>
      <c r="Y8" s="75"/>
      <c r="Z8" s="75"/>
    </row>
    <row r="9" ht="26.25" customHeight="1">
      <c r="A9" s="68"/>
      <c r="B9" s="83"/>
      <c r="C9" s="84"/>
      <c r="D9" s="85"/>
      <c r="E9" s="86"/>
      <c r="F9" s="87"/>
      <c r="G9" s="89"/>
      <c r="H9" s="86"/>
      <c r="J9" s="87"/>
      <c r="K9" s="75"/>
      <c r="L9" s="83"/>
      <c r="M9" s="84"/>
      <c r="N9" s="75"/>
      <c r="O9" s="86"/>
      <c r="P9" s="87"/>
      <c r="Q9" s="88"/>
      <c r="R9" s="75"/>
      <c r="S9" s="90"/>
      <c r="V9" s="75"/>
      <c r="W9" s="75"/>
      <c r="X9" s="85"/>
    </row>
    <row r="10" ht="27.0" customHeight="1">
      <c r="A10" s="68"/>
      <c r="B10" s="91"/>
      <c r="C10" s="92"/>
      <c r="D10" s="85"/>
      <c r="E10" s="93"/>
      <c r="F10" s="94"/>
      <c r="G10" s="89"/>
      <c r="H10" s="95"/>
      <c r="I10" s="96"/>
      <c r="J10" s="97"/>
      <c r="K10" s="75"/>
      <c r="L10" s="98"/>
      <c r="M10" s="99"/>
      <c r="N10" s="75"/>
      <c r="O10" s="93"/>
      <c r="P10" s="94"/>
      <c r="Q10" s="88"/>
      <c r="R10" s="75"/>
      <c r="V10" s="75"/>
      <c r="W10" s="75"/>
    </row>
    <row r="11" ht="26.25" customHeight="1">
      <c r="A11" s="68"/>
      <c r="B11" s="100" t="s">
        <v>4919</v>
      </c>
      <c r="C11" s="101"/>
      <c r="D11" s="102"/>
      <c r="E11" s="103" t="s">
        <v>4920</v>
      </c>
      <c r="F11" s="87"/>
      <c r="G11" s="89"/>
      <c r="H11" s="104" t="s">
        <v>4921</v>
      </c>
      <c r="I11" s="80"/>
      <c r="J11" s="78"/>
      <c r="K11" s="75"/>
      <c r="L11" s="105" t="s">
        <v>4922</v>
      </c>
      <c r="M11" s="78"/>
      <c r="N11" s="106"/>
      <c r="O11" s="107" t="s">
        <v>4923</v>
      </c>
      <c r="P11" s="87"/>
      <c r="Q11" s="108"/>
      <c r="R11" s="75"/>
      <c r="V11" s="75"/>
      <c r="W11" s="75"/>
    </row>
    <row r="12" ht="27.0" customHeight="1">
      <c r="A12" s="68"/>
      <c r="B12" s="109"/>
      <c r="C12" s="110"/>
      <c r="D12" s="89"/>
      <c r="E12" s="95"/>
      <c r="F12" s="97"/>
      <c r="G12" s="111"/>
      <c r="H12" s="95"/>
      <c r="I12" s="96"/>
      <c r="J12" s="97"/>
      <c r="K12" s="112"/>
      <c r="L12" s="95"/>
      <c r="M12" s="97"/>
      <c r="N12" s="106"/>
      <c r="O12" s="95"/>
      <c r="P12" s="97"/>
      <c r="Q12" s="108"/>
      <c r="R12" s="113"/>
      <c r="S12" s="113"/>
      <c r="T12" s="113"/>
      <c r="U12" s="75"/>
      <c r="V12" s="75"/>
      <c r="W12" s="102"/>
      <c r="X12" s="102"/>
      <c r="Y12" s="102"/>
      <c r="Z12" s="75"/>
    </row>
    <row r="13" ht="28.5" customHeight="1">
      <c r="A13" s="68"/>
      <c r="B13" s="111"/>
      <c r="C13" s="111"/>
      <c r="D13" s="111"/>
      <c r="E13" s="114"/>
      <c r="F13" s="114"/>
      <c r="G13" s="114"/>
      <c r="H13" s="75"/>
      <c r="I13" s="112"/>
      <c r="J13" s="75"/>
      <c r="K13" s="75"/>
      <c r="L13" s="75"/>
      <c r="M13" s="75"/>
      <c r="N13" s="75"/>
      <c r="O13" s="75"/>
      <c r="P13" s="113"/>
      <c r="Q13" s="113"/>
      <c r="R13" s="113"/>
      <c r="S13" s="75"/>
      <c r="T13" s="75"/>
      <c r="U13" s="102"/>
      <c r="V13" s="102"/>
      <c r="W13" s="102"/>
      <c r="X13" s="75"/>
      <c r="Y13" s="75"/>
      <c r="Z13" s="75"/>
    </row>
    <row r="14" ht="28.5" customHeight="1">
      <c r="A14" s="115"/>
      <c r="B14" s="115"/>
      <c r="C14" s="116"/>
      <c r="D14" s="75"/>
      <c r="E14" s="75"/>
      <c r="F14" s="75"/>
      <c r="G14" s="75"/>
      <c r="H14" s="117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28.5" customHeight="1">
      <c r="A15" s="115"/>
      <c r="B15" s="115"/>
      <c r="C15" s="116"/>
      <c r="D15" s="75"/>
      <c r="E15" s="75"/>
      <c r="F15" s="75"/>
      <c r="G15" s="75"/>
      <c r="H15" s="117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33.75" customHeight="1">
      <c r="A16" s="115"/>
      <c r="B16" s="118" t="s">
        <v>4924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78"/>
      <c r="Z16" s="75"/>
    </row>
    <row r="17" ht="33.75" customHeight="1">
      <c r="A17" s="119"/>
      <c r="B17" s="86"/>
      <c r="Y17" s="87"/>
      <c r="Z17" s="75"/>
    </row>
    <row r="18" ht="33.75" customHeight="1">
      <c r="B18" s="86"/>
      <c r="Y18" s="87"/>
      <c r="Z18" s="75"/>
    </row>
    <row r="19" ht="28.5" customHeight="1">
      <c r="B19" s="86"/>
      <c r="Y19" s="87"/>
      <c r="Z19" s="75"/>
    </row>
    <row r="20" ht="28.5" customHeight="1">
      <c r="A20" s="68"/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7"/>
      <c r="Z20" s="75"/>
    </row>
    <row r="21" ht="28.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28.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28.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28.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28.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28.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28.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28.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28.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28.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28.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28.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28.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28.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28.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28.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28.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45.0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52.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28.5" customHeight="1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75"/>
      <c r="O40" s="75"/>
    </row>
    <row r="41" ht="28.5" customHeight="1"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75"/>
      <c r="O41" s="75"/>
    </row>
    <row r="42" ht="28.5" customHeight="1"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75"/>
    </row>
    <row r="43" ht="28.5" customHeight="1"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75"/>
    </row>
    <row r="44" ht="28.5" customHeight="1"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</row>
    <row r="45" ht="28.5" customHeight="1">
      <c r="E45" s="75"/>
      <c r="F45" s="75"/>
      <c r="G45" s="74"/>
      <c r="N45" s="68"/>
    </row>
    <row r="46" ht="28.5" customHeight="1">
      <c r="E46" s="75"/>
      <c r="F46" s="75"/>
      <c r="G46" s="74"/>
      <c r="N46" s="68"/>
    </row>
    <row r="47" ht="28.5" customHeight="1">
      <c r="B47" s="118" t="s">
        <v>4925</v>
      </c>
      <c r="C47" s="80"/>
      <c r="D47" s="80"/>
      <c r="E47" s="80"/>
      <c r="F47" s="80"/>
      <c r="G47" s="80"/>
      <c r="H47" s="80"/>
      <c r="I47" s="78"/>
      <c r="K47" s="118" t="s">
        <v>4926</v>
      </c>
      <c r="L47" s="80"/>
      <c r="M47" s="80"/>
      <c r="N47" s="80"/>
      <c r="O47" s="80"/>
      <c r="P47" s="80"/>
      <c r="Q47" s="78"/>
      <c r="S47" s="118" t="s">
        <v>4927</v>
      </c>
      <c r="T47" s="80"/>
      <c r="U47" s="80"/>
      <c r="V47" s="80"/>
      <c r="W47" s="80"/>
      <c r="X47" s="78"/>
    </row>
    <row r="48" ht="26.25" customHeight="1">
      <c r="A48" s="68"/>
      <c r="B48" s="86"/>
      <c r="I48" s="87"/>
      <c r="J48" s="68"/>
      <c r="K48" s="86"/>
      <c r="Q48" s="87"/>
      <c r="R48" s="120"/>
      <c r="S48" s="86"/>
      <c r="X48" s="87"/>
      <c r="Z48" s="75"/>
    </row>
    <row r="49" ht="26.25" customHeight="1">
      <c r="A49" s="68"/>
      <c r="B49" s="86"/>
      <c r="I49" s="87"/>
      <c r="J49" s="68"/>
      <c r="K49" s="86"/>
      <c r="Q49" s="87"/>
      <c r="R49" s="120"/>
      <c r="S49" s="86"/>
      <c r="X49" s="87"/>
      <c r="Z49" s="75"/>
    </row>
    <row r="50" ht="26.25" customHeight="1">
      <c r="A50" s="68"/>
      <c r="B50" s="95"/>
      <c r="C50" s="96"/>
      <c r="D50" s="96"/>
      <c r="E50" s="96"/>
      <c r="F50" s="96"/>
      <c r="G50" s="96"/>
      <c r="H50" s="96"/>
      <c r="I50" s="97"/>
      <c r="J50" s="68"/>
      <c r="K50" s="95"/>
      <c r="L50" s="96"/>
      <c r="M50" s="96"/>
      <c r="N50" s="96"/>
      <c r="O50" s="96"/>
      <c r="P50" s="96"/>
      <c r="Q50" s="97"/>
      <c r="R50" s="120"/>
      <c r="S50" s="95"/>
      <c r="T50" s="96"/>
      <c r="U50" s="96"/>
      <c r="V50" s="96"/>
      <c r="W50" s="96"/>
      <c r="X50" s="97"/>
      <c r="Z50" s="75"/>
    </row>
    <row r="51" ht="28.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Z51" s="75"/>
    </row>
    <row r="52" ht="28.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Z52" s="75"/>
    </row>
    <row r="53" ht="28.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Z53" s="75"/>
    </row>
    <row r="54" ht="28.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Z54" s="75"/>
    </row>
    <row r="55" ht="28.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Z55" s="75"/>
    </row>
    <row r="56" ht="28.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Z56" s="75"/>
    </row>
    <row r="57" ht="28.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Z57" s="75"/>
    </row>
    <row r="58" ht="28.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Z58" s="75"/>
    </row>
    <row r="59" ht="28.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Z59" s="75"/>
    </row>
    <row r="60" ht="28.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Z60" s="75"/>
    </row>
    <row r="61" ht="28.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Z61" s="75"/>
    </row>
    <row r="62" ht="28.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Z62" s="75"/>
    </row>
    <row r="63" ht="28.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Z63" s="75"/>
    </row>
    <row r="64" ht="28.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Z64" s="75"/>
    </row>
    <row r="65" ht="28.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ht="28.5" customHeight="1">
      <c r="E66" s="75"/>
      <c r="F66" s="75"/>
      <c r="G66" s="74"/>
      <c r="N66" s="68"/>
    </row>
    <row r="67" ht="28.5" customHeight="1">
      <c r="E67" s="75"/>
      <c r="F67" s="75"/>
      <c r="G67" s="74"/>
      <c r="N67" s="68"/>
    </row>
    <row r="68" ht="28.5" customHeight="1">
      <c r="E68" s="75"/>
      <c r="F68" s="75"/>
      <c r="G68" s="74"/>
      <c r="N68" s="68"/>
    </row>
    <row r="69" ht="28.5" customHeight="1">
      <c r="E69" s="75"/>
      <c r="F69" s="75"/>
      <c r="G69" s="74"/>
      <c r="N69" s="68"/>
    </row>
    <row r="70" ht="28.5" customHeight="1">
      <c r="E70" s="75"/>
      <c r="F70" s="75"/>
      <c r="G70" s="74"/>
      <c r="N70" s="68"/>
    </row>
    <row r="71" ht="28.5" customHeight="1">
      <c r="E71" s="75"/>
      <c r="F71" s="75"/>
      <c r="G71" s="74"/>
      <c r="N71" s="68"/>
    </row>
    <row r="72" ht="28.5" customHeight="1">
      <c r="E72" s="75"/>
      <c r="F72" s="75"/>
      <c r="G72" s="74"/>
      <c r="N72" s="68"/>
    </row>
    <row r="73" ht="28.5" customHeight="1">
      <c r="E73" s="75"/>
      <c r="F73" s="75"/>
      <c r="G73" s="74"/>
      <c r="N73" s="68"/>
    </row>
    <row r="74" ht="28.5" customHeight="1">
      <c r="E74" s="75"/>
      <c r="F74" s="75"/>
      <c r="G74" s="74"/>
      <c r="N74" s="68"/>
    </row>
    <row r="75" ht="28.5" customHeight="1">
      <c r="D75" s="75"/>
      <c r="E75" s="75"/>
      <c r="F75" s="75"/>
      <c r="G75" s="74"/>
      <c r="N75" s="68"/>
    </row>
    <row r="76" ht="28.5" customHeight="1">
      <c r="D76" s="75"/>
      <c r="E76" s="75"/>
      <c r="F76" s="75"/>
      <c r="G76" s="74"/>
      <c r="N76" s="68"/>
    </row>
    <row r="77" ht="28.5" customHeight="1">
      <c r="E77" s="75"/>
      <c r="F77" s="75"/>
      <c r="G77" s="74"/>
      <c r="N77" s="68"/>
    </row>
    <row r="78" ht="28.5" customHeight="1">
      <c r="E78" s="75"/>
      <c r="F78" s="75"/>
      <c r="G78" s="74"/>
      <c r="N78" s="68"/>
    </row>
    <row r="79" ht="28.5" customHeight="1">
      <c r="E79" s="75"/>
      <c r="F79" s="75"/>
      <c r="G79" s="74"/>
      <c r="N79" s="68"/>
    </row>
    <row r="80" ht="28.5" customHeight="1">
      <c r="D80" s="118" t="s">
        <v>4928</v>
      </c>
      <c r="E80" s="80"/>
      <c r="F80" s="80"/>
      <c r="G80" s="80"/>
      <c r="H80" s="80"/>
      <c r="I80" s="80"/>
      <c r="J80" s="80"/>
      <c r="K80" s="78"/>
      <c r="N80" s="118" t="s">
        <v>4929</v>
      </c>
      <c r="O80" s="80"/>
      <c r="P80" s="78"/>
      <c r="S80" s="118" t="s">
        <v>4930</v>
      </c>
      <c r="T80" s="80"/>
      <c r="U80" s="78"/>
    </row>
    <row r="81" ht="28.5" customHeight="1">
      <c r="D81" s="86"/>
      <c r="K81" s="87"/>
      <c r="N81" s="86"/>
      <c r="P81" s="87"/>
      <c r="S81" s="86"/>
      <c r="U81" s="87"/>
    </row>
    <row r="82" ht="28.5" customHeight="1">
      <c r="D82" s="86"/>
      <c r="K82" s="87"/>
      <c r="N82" s="86"/>
      <c r="P82" s="87"/>
      <c r="S82" s="86"/>
      <c r="U82" s="87"/>
    </row>
    <row r="83" ht="28.5" customHeight="1">
      <c r="D83" s="95"/>
      <c r="E83" s="96"/>
      <c r="F83" s="96"/>
      <c r="G83" s="96"/>
      <c r="H83" s="96"/>
      <c r="I83" s="96"/>
      <c r="J83" s="96"/>
      <c r="K83" s="97"/>
      <c r="N83" s="95"/>
      <c r="O83" s="96"/>
      <c r="P83" s="97"/>
      <c r="S83" s="95"/>
      <c r="T83" s="96"/>
      <c r="U83" s="97"/>
    </row>
    <row r="84" ht="28.5" customHeight="1">
      <c r="E84" s="75"/>
      <c r="F84" s="75"/>
      <c r="G84" s="74"/>
      <c r="N84" s="121" t="s">
        <v>4927</v>
      </c>
      <c r="O84" s="122" t="s">
        <v>4931</v>
      </c>
      <c r="P84" s="123"/>
      <c r="S84" s="121" t="s">
        <v>11</v>
      </c>
      <c r="T84" s="121" t="s">
        <v>4931</v>
      </c>
      <c r="U84" s="123"/>
    </row>
    <row r="85" ht="28.5" customHeight="1">
      <c r="E85" s="75"/>
      <c r="F85" s="75"/>
      <c r="G85" s="74"/>
      <c r="N85" s="123"/>
      <c r="O85" s="123"/>
      <c r="P85" s="123"/>
      <c r="S85" s="123"/>
      <c r="T85" s="123"/>
      <c r="U85" s="123"/>
    </row>
    <row r="86" ht="28.5" customHeight="1">
      <c r="E86" s="75"/>
      <c r="F86" s="75"/>
      <c r="G86" s="74"/>
      <c r="N86" s="124" t="s">
        <v>2</v>
      </c>
      <c r="O86" s="124" t="s">
        <v>4932</v>
      </c>
      <c r="P86" s="124" t="s">
        <v>4933</v>
      </c>
      <c r="S86" s="124" t="s">
        <v>4934</v>
      </c>
      <c r="T86" s="124" t="s">
        <v>4932</v>
      </c>
      <c r="U86" s="124" t="s">
        <v>4933</v>
      </c>
    </row>
    <row r="87" ht="28.5" customHeight="1">
      <c r="E87" s="75"/>
      <c r="F87" s="75"/>
      <c r="G87" s="74"/>
      <c r="N87" s="125" t="s">
        <v>37</v>
      </c>
      <c r="O87" s="124">
        <v>2.2055584E7</v>
      </c>
      <c r="P87" s="124">
        <v>2.5126819E7</v>
      </c>
      <c r="S87" s="125" t="s">
        <v>51</v>
      </c>
      <c r="T87" s="124">
        <v>1.4536604E7</v>
      </c>
      <c r="U87" s="124">
        <v>1.6636848E7</v>
      </c>
    </row>
    <row r="88" ht="28.5" customHeight="1">
      <c r="E88" s="75"/>
      <c r="F88" s="75"/>
      <c r="G88" s="74"/>
      <c r="N88" s="126" t="s">
        <v>4935</v>
      </c>
      <c r="O88" s="127">
        <v>2.2055584E7</v>
      </c>
      <c r="P88" s="128">
        <v>2.5126819E7</v>
      </c>
      <c r="S88" s="125" t="s">
        <v>17</v>
      </c>
      <c r="T88" s="124">
        <v>1.1697543E7</v>
      </c>
      <c r="U88" s="124">
        <v>1.3370801E7</v>
      </c>
    </row>
    <row r="89" ht="28.5" customHeight="1">
      <c r="E89" s="75"/>
      <c r="F89" s="75"/>
      <c r="G89" s="74"/>
      <c r="S89" s="126" t="s">
        <v>4935</v>
      </c>
      <c r="T89" s="127">
        <v>2.6234147E7</v>
      </c>
      <c r="U89" s="128">
        <v>3.0007649E7</v>
      </c>
    </row>
    <row r="90" ht="28.5" customHeight="1">
      <c r="E90" s="75"/>
      <c r="F90" s="75"/>
      <c r="G90" s="74"/>
    </row>
    <row r="91" ht="28.5" customHeight="1">
      <c r="E91" s="75"/>
      <c r="F91" s="75"/>
      <c r="G91" s="74"/>
    </row>
    <row r="92" ht="28.5" customHeight="1">
      <c r="E92" s="75"/>
      <c r="F92" s="75"/>
      <c r="G92" s="74"/>
    </row>
    <row r="93" ht="28.5" customHeight="1">
      <c r="E93" s="75"/>
      <c r="F93" s="75"/>
      <c r="G93" s="74"/>
    </row>
    <row r="94" ht="28.5" customHeight="1">
      <c r="E94" s="75"/>
      <c r="F94" s="75"/>
      <c r="G94" s="74"/>
    </row>
    <row r="95" ht="28.5" customHeight="1">
      <c r="C95" s="74"/>
      <c r="D95" s="75"/>
      <c r="E95" s="74"/>
      <c r="F95" s="74"/>
      <c r="G95" s="74"/>
      <c r="N95" s="68"/>
    </row>
    <row r="96" ht="28.5" customHeight="1">
      <c r="C96" s="74"/>
      <c r="D96" s="75"/>
      <c r="E96" s="74"/>
      <c r="F96" s="74"/>
      <c r="G96" s="74"/>
      <c r="N96" s="68"/>
    </row>
    <row r="97" ht="28.5" customHeight="1">
      <c r="C97" s="74"/>
      <c r="D97" s="75"/>
      <c r="E97" s="74"/>
      <c r="F97" s="74"/>
      <c r="G97" s="74"/>
      <c r="N97" s="118" t="s">
        <v>4936</v>
      </c>
      <c r="O97" s="80"/>
      <c r="P97" s="78"/>
      <c r="R97" s="118" t="s">
        <v>4937</v>
      </c>
      <c r="S97" s="80"/>
      <c r="T97" s="80"/>
      <c r="U97" s="78"/>
    </row>
    <row r="98" ht="28.5" customHeight="1">
      <c r="C98" s="74"/>
      <c r="D98" s="75"/>
      <c r="E98" s="74"/>
      <c r="F98" s="74"/>
      <c r="G98" s="74"/>
      <c r="N98" s="86"/>
      <c r="P98" s="87"/>
      <c r="R98" s="86"/>
      <c r="U98" s="87"/>
    </row>
    <row r="99" ht="28.5" customHeight="1">
      <c r="C99" s="74"/>
      <c r="D99" s="75"/>
      <c r="E99" s="74"/>
      <c r="F99" s="74"/>
      <c r="G99" s="74"/>
      <c r="N99" s="95"/>
      <c r="O99" s="96"/>
      <c r="P99" s="97"/>
      <c r="R99" s="95"/>
      <c r="S99" s="96"/>
      <c r="T99" s="96"/>
      <c r="U99" s="97"/>
    </row>
    <row r="100" ht="28.5" customHeight="1">
      <c r="C100" s="74"/>
      <c r="D100" s="75"/>
      <c r="E100" s="74"/>
      <c r="F100" s="74"/>
      <c r="G100" s="74"/>
      <c r="N100" s="129" t="s">
        <v>1</v>
      </c>
      <c r="O100" s="130" t="s">
        <v>4931</v>
      </c>
      <c r="P100" s="131"/>
      <c r="R100" s="124" t="s">
        <v>2</v>
      </c>
      <c r="S100" s="124" t="s">
        <v>4931</v>
      </c>
      <c r="T100" s="123"/>
      <c r="U100" s="123"/>
    </row>
    <row r="101" ht="28.5" customHeight="1">
      <c r="C101" s="74"/>
      <c r="D101" s="75"/>
      <c r="E101" s="74"/>
      <c r="F101" s="74"/>
      <c r="G101" s="74"/>
      <c r="N101" s="129" t="s">
        <v>2</v>
      </c>
      <c r="O101" s="130" t="s">
        <v>14</v>
      </c>
      <c r="P101" s="131"/>
      <c r="R101" s="124" t="s">
        <v>1</v>
      </c>
      <c r="S101" s="124" t="s">
        <v>4931</v>
      </c>
      <c r="T101" s="123"/>
      <c r="U101" s="123"/>
    </row>
    <row r="102" ht="28.5" customHeight="1">
      <c r="C102" s="74"/>
      <c r="D102" s="75"/>
      <c r="E102" s="74"/>
      <c r="F102" s="74"/>
      <c r="G102" s="74"/>
      <c r="N102" s="131"/>
      <c r="O102" s="131"/>
      <c r="P102" s="131"/>
      <c r="R102" s="123"/>
      <c r="S102" s="123"/>
      <c r="T102" s="123"/>
      <c r="U102" s="123"/>
    </row>
    <row r="103" ht="28.5" customHeight="1">
      <c r="C103" s="74"/>
      <c r="D103" s="75"/>
      <c r="E103" s="74"/>
      <c r="F103" s="74"/>
      <c r="G103" s="74"/>
      <c r="N103" s="132" t="s">
        <v>4934</v>
      </c>
      <c r="O103" s="133" t="s">
        <v>4932</v>
      </c>
      <c r="P103" s="134" t="s">
        <v>4933</v>
      </c>
      <c r="R103" s="124" t="s">
        <v>4934</v>
      </c>
      <c r="S103" s="124" t="s">
        <v>4938</v>
      </c>
      <c r="T103" s="124" t="s">
        <v>4939</v>
      </c>
      <c r="U103" s="124" t="s">
        <v>4940</v>
      </c>
    </row>
    <row r="104" ht="28.5" customHeight="1">
      <c r="C104" s="74"/>
      <c r="D104" s="75"/>
      <c r="E104" s="74"/>
      <c r="F104" s="74"/>
      <c r="G104" s="74"/>
      <c r="N104" s="135" t="s">
        <v>1026</v>
      </c>
      <c r="O104" s="136">
        <v>287952.0</v>
      </c>
      <c r="P104" s="137">
        <v>314443.0</v>
      </c>
      <c r="R104" s="125" t="s">
        <v>1018</v>
      </c>
      <c r="S104" s="124">
        <v>368532.41107779415</v>
      </c>
      <c r="T104" s="124">
        <v>143488.9986998277</v>
      </c>
      <c r="U104" s="124">
        <v>81253.565450846</v>
      </c>
    </row>
    <row r="105" ht="28.5" customHeight="1">
      <c r="C105" s="74"/>
      <c r="D105" s="75"/>
      <c r="E105" s="74"/>
      <c r="F105" s="74"/>
      <c r="G105" s="74"/>
      <c r="N105" s="135" t="s">
        <v>1021</v>
      </c>
      <c r="O105" s="136">
        <v>102673.0</v>
      </c>
      <c r="P105" s="137">
        <v>117703.0</v>
      </c>
      <c r="R105" s="126" t="s">
        <v>4935</v>
      </c>
      <c r="S105" s="127">
        <v>368532.41107779415</v>
      </c>
      <c r="T105" s="138">
        <v>143488.9986998277</v>
      </c>
      <c r="U105" s="128">
        <v>81253.565450846</v>
      </c>
    </row>
    <row r="106" ht="28.5" customHeight="1">
      <c r="C106" s="74"/>
      <c r="D106" s="75"/>
      <c r="E106" s="74"/>
      <c r="F106" s="74"/>
      <c r="G106" s="74"/>
      <c r="N106" s="135" t="s">
        <v>1018</v>
      </c>
      <c r="O106" s="136">
        <v>302737.0</v>
      </c>
      <c r="P106" s="137">
        <v>345725.0</v>
      </c>
    </row>
    <row r="107" ht="28.5" customHeight="1">
      <c r="C107" s="74"/>
      <c r="D107" s="75"/>
      <c r="E107" s="74"/>
      <c r="F107" s="74"/>
      <c r="G107" s="74"/>
      <c r="N107" s="135" t="s">
        <v>1012</v>
      </c>
      <c r="O107" s="136">
        <v>351208.0</v>
      </c>
      <c r="P107" s="137">
        <v>403735.0</v>
      </c>
    </row>
    <row r="108" ht="28.5" customHeight="1">
      <c r="C108" s="74"/>
      <c r="D108" s="75"/>
      <c r="E108" s="74"/>
      <c r="F108" s="74"/>
      <c r="G108" s="74"/>
      <c r="N108" s="135" t="s">
        <v>1040</v>
      </c>
      <c r="O108" s="136">
        <v>480787.0</v>
      </c>
      <c r="P108" s="137">
        <v>552974.0</v>
      </c>
    </row>
    <row r="109" ht="28.5" customHeight="1">
      <c r="C109" s="74"/>
      <c r="D109" s="75"/>
      <c r="E109" s="74"/>
      <c r="F109" s="74"/>
      <c r="G109" s="74"/>
      <c r="N109" s="135" t="s">
        <v>1062</v>
      </c>
      <c r="O109" s="136">
        <v>46205.0</v>
      </c>
      <c r="P109" s="137">
        <v>49901.0</v>
      </c>
    </row>
    <row r="110" ht="28.5" customHeight="1">
      <c r="C110" s="74"/>
      <c r="D110" s="75"/>
      <c r="E110" s="74"/>
      <c r="F110" s="74"/>
      <c r="G110" s="74"/>
      <c r="N110" s="135" t="s">
        <v>1034</v>
      </c>
      <c r="O110" s="136">
        <v>352688.0</v>
      </c>
      <c r="P110" s="137">
        <v>399648.0</v>
      </c>
    </row>
    <row r="111" ht="28.5" customHeight="1">
      <c r="C111" s="74"/>
      <c r="D111" s="75"/>
      <c r="E111" s="74"/>
      <c r="F111" s="74"/>
      <c r="G111" s="74"/>
      <c r="N111" s="135" t="s">
        <v>1023</v>
      </c>
      <c r="O111" s="136">
        <v>126315.0</v>
      </c>
      <c r="P111" s="137">
        <v>145415.0</v>
      </c>
    </row>
    <row r="112" ht="28.5" customHeight="1">
      <c r="C112" s="74"/>
      <c r="D112" s="75"/>
      <c r="E112" s="74"/>
      <c r="F112" s="74"/>
      <c r="G112" s="74"/>
      <c r="N112" s="135" t="s">
        <v>1031</v>
      </c>
      <c r="O112" s="136">
        <v>548690.0</v>
      </c>
      <c r="P112" s="137">
        <v>613150.0</v>
      </c>
    </row>
    <row r="113" ht="28.5" customHeight="1">
      <c r="C113" s="74"/>
      <c r="D113" s="75"/>
      <c r="E113" s="74"/>
      <c r="F113" s="74"/>
      <c r="G113" s="74"/>
      <c r="N113" s="135" t="s">
        <v>1042</v>
      </c>
      <c r="O113" s="136">
        <v>249337.0</v>
      </c>
      <c r="P113" s="137">
        <v>278667.0</v>
      </c>
    </row>
    <row r="114" ht="28.5" customHeight="1">
      <c r="C114" s="74"/>
      <c r="D114" s="75"/>
      <c r="E114" s="74"/>
      <c r="F114" s="74"/>
      <c r="G114" s="74"/>
      <c r="N114" s="135" t="s">
        <v>1016</v>
      </c>
      <c r="O114" s="136">
        <v>430061.0</v>
      </c>
      <c r="P114" s="137">
        <v>493517.0</v>
      </c>
    </row>
    <row r="115" ht="28.5" customHeight="1">
      <c r="C115" s="74"/>
      <c r="D115" s="75"/>
      <c r="E115" s="74"/>
      <c r="F115" s="74"/>
      <c r="G115" s="74"/>
      <c r="N115" s="135" t="s">
        <v>4941</v>
      </c>
      <c r="O115" s="136">
        <v>1338946.0</v>
      </c>
      <c r="P115" s="137">
        <v>1542746.0</v>
      </c>
    </row>
    <row r="116" ht="28.5" customHeight="1">
      <c r="C116" s="74"/>
      <c r="D116" s="75"/>
      <c r="E116" s="74"/>
      <c r="F116" s="74"/>
      <c r="G116" s="74"/>
      <c r="N116" s="135" t="s">
        <v>4942</v>
      </c>
      <c r="O116" s="136">
        <v>1527727.0</v>
      </c>
      <c r="P116" s="137">
        <v>1733170.0</v>
      </c>
    </row>
    <row r="117" ht="28.5" customHeight="1">
      <c r="C117" s="74"/>
      <c r="D117" s="75"/>
      <c r="E117" s="74"/>
      <c r="F117" s="74"/>
      <c r="G117" s="74"/>
      <c r="N117" s="135" t="s">
        <v>4943</v>
      </c>
      <c r="O117" s="136">
        <v>2428994.0</v>
      </c>
      <c r="P117" s="137">
        <v>2774986.0</v>
      </c>
    </row>
    <row r="118" ht="28.5" customHeight="1">
      <c r="C118" s="74"/>
      <c r="D118" s="75"/>
      <c r="E118" s="74"/>
      <c r="F118" s="74"/>
      <c r="G118" s="74"/>
      <c r="N118" s="135" t="s">
        <v>4944</v>
      </c>
      <c r="O118" s="136">
        <v>1500265.0</v>
      </c>
      <c r="P118" s="137">
        <v>1728834.0</v>
      </c>
    </row>
    <row r="119" ht="28.5" customHeight="1">
      <c r="C119" s="74"/>
      <c r="D119" s="75"/>
      <c r="E119" s="74"/>
      <c r="F119" s="74"/>
      <c r="G119" s="74"/>
      <c r="N119" s="135" t="s">
        <v>4945</v>
      </c>
      <c r="O119" s="136">
        <v>939084.0</v>
      </c>
      <c r="P119" s="137">
        <v>1059625.0</v>
      </c>
    </row>
    <row r="120" ht="28.5" customHeight="1">
      <c r="C120" s="74"/>
      <c r="D120" s="75"/>
      <c r="E120" s="74"/>
      <c r="F120" s="74"/>
      <c r="G120" s="74"/>
      <c r="N120" s="135" t="s">
        <v>4946</v>
      </c>
      <c r="O120" s="136">
        <v>1491445.0</v>
      </c>
      <c r="P120" s="137">
        <v>1718255.0</v>
      </c>
    </row>
    <row r="121" ht="28.5" customHeight="1">
      <c r="C121" s="74"/>
      <c r="D121" s="75"/>
      <c r="E121" s="74"/>
      <c r="F121" s="74"/>
      <c r="G121" s="74"/>
      <c r="N121" s="135" t="s">
        <v>4947</v>
      </c>
      <c r="O121" s="136">
        <v>1153823.0</v>
      </c>
      <c r="P121" s="137">
        <v>1331716.0</v>
      </c>
    </row>
    <row r="122" ht="28.5" customHeight="1">
      <c r="C122" s="74"/>
      <c r="D122" s="75"/>
      <c r="E122" s="74"/>
      <c r="F122" s="74"/>
      <c r="G122" s="74"/>
      <c r="N122" s="135" t="s">
        <v>4948</v>
      </c>
      <c r="O122" s="136">
        <v>1471758.0</v>
      </c>
      <c r="P122" s="137">
        <v>1691190.0</v>
      </c>
    </row>
    <row r="123" ht="28.5" customHeight="1">
      <c r="C123" s="74"/>
      <c r="D123" s="75"/>
      <c r="E123" s="74"/>
      <c r="F123" s="74"/>
      <c r="G123" s="74"/>
      <c r="N123" s="135" t="s">
        <v>4949</v>
      </c>
      <c r="O123" s="136">
        <v>1847919.0</v>
      </c>
      <c r="P123" s="137">
        <v>2095664.0</v>
      </c>
    </row>
    <row r="124" ht="28.5" customHeight="1">
      <c r="C124" s="74"/>
      <c r="D124" s="75"/>
      <c r="E124" s="74"/>
      <c r="F124" s="74"/>
      <c r="G124" s="74"/>
      <c r="N124" s="135" t="s">
        <v>4950</v>
      </c>
      <c r="O124" s="136">
        <v>2036400.0</v>
      </c>
      <c r="P124" s="137">
        <v>2308356.0</v>
      </c>
    </row>
    <row r="125" ht="28.5" customHeight="1">
      <c r="C125" s="74"/>
      <c r="D125" s="75"/>
      <c r="E125" s="74"/>
      <c r="F125" s="74"/>
      <c r="G125" s="74"/>
      <c r="N125" s="135" t="s">
        <v>4951</v>
      </c>
      <c r="O125" s="136">
        <v>1750682.0</v>
      </c>
      <c r="P125" s="137">
        <v>1971591.0</v>
      </c>
    </row>
    <row r="126" ht="28.5" customHeight="1">
      <c r="C126" s="74"/>
      <c r="D126" s="75"/>
      <c r="E126" s="74"/>
      <c r="F126" s="74"/>
      <c r="G126" s="74"/>
      <c r="N126" s="135" t="s">
        <v>4952</v>
      </c>
      <c r="O126" s="136">
        <v>1211705.0</v>
      </c>
      <c r="P126" s="137">
        <v>1390971.0</v>
      </c>
    </row>
    <row r="127" ht="28.5" customHeight="1">
      <c r="C127" s="74"/>
      <c r="D127" s="75"/>
      <c r="E127" s="74"/>
      <c r="F127" s="74"/>
      <c r="G127" s="74"/>
      <c r="N127" s="135" t="s">
        <v>4953</v>
      </c>
      <c r="O127" s="136"/>
      <c r="P127" s="137"/>
    </row>
    <row r="128" ht="28.5" customHeight="1">
      <c r="C128" s="74"/>
      <c r="D128" s="75"/>
      <c r="E128" s="74"/>
      <c r="F128" s="74"/>
      <c r="G128" s="74"/>
      <c r="N128" s="139" t="s">
        <v>4935</v>
      </c>
      <c r="O128" s="140">
        <v>2.1977401E7</v>
      </c>
      <c r="P128" s="130">
        <v>2.5061982E7</v>
      </c>
    </row>
    <row r="129" ht="28.5" customHeight="1">
      <c r="C129" s="74"/>
      <c r="D129" s="75"/>
      <c r="E129" s="74"/>
      <c r="F129" s="74"/>
      <c r="G129" s="74"/>
    </row>
    <row r="130" ht="28.5" customHeight="1">
      <c r="C130" s="74"/>
      <c r="D130" s="75"/>
      <c r="E130" s="74"/>
      <c r="F130" s="74"/>
      <c r="G130" s="74"/>
      <c r="N130" s="68"/>
    </row>
    <row r="131" ht="28.5" customHeight="1">
      <c r="C131" s="74"/>
      <c r="D131" s="75"/>
      <c r="E131" s="74"/>
      <c r="F131" s="74"/>
      <c r="G131" s="74"/>
      <c r="N131" s="68"/>
    </row>
    <row r="132" ht="28.5" customHeight="1">
      <c r="C132" s="74"/>
      <c r="D132" s="75"/>
      <c r="E132" s="74"/>
      <c r="F132" s="74"/>
      <c r="G132" s="74"/>
      <c r="N132" s="68"/>
    </row>
    <row r="133" ht="28.5" customHeight="1">
      <c r="C133" s="74"/>
      <c r="D133" s="75"/>
      <c r="E133" s="74"/>
      <c r="F133" s="74"/>
      <c r="G133" s="74"/>
      <c r="N133" s="68"/>
    </row>
    <row r="134" ht="28.5" customHeight="1">
      <c r="C134" s="74"/>
      <c r="D134" s="75"/>
      <c r="E134" s="74"/>
      <c r="F134" s="74"/>
      <c r="G134" s="74"/>
      <c r="N134" s="68"/>
    </row>
    <row r="135" ht="28.5" customHeight="1">
      <c r="C135" s="74"/>
      <c r="D135" s="75"/>
      <c r="E135" s="123"/>
      <c r="F135" s="123"/>
      <c r="G135" s="123"/>
      <c r="H135" s="123"/>
      <c r="N135" s="68"/>
      <c r="P135" s="141"/>
      <c r="Q135" s="141"/>
      <c r="R135" s="141"/>
    </row>
    <row r="136" ht="28.5" customHeight="1">
      <c r="C136" s="74"/>
      <c r="D136" s="75"/>
      <c r="E136" s="123"/>
      <c r="F136" s="123"/>
      <c r="G136" s="123"/>
      <c r="H136" s="123"/>
      <c r="N136" s="68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ht="28.5" customHeight="1">
      <c r="C137" s="74"/>
      <c r="D137" s="75"/>
      <c r="E137" s="74"/>
      <c r="F137" s="74"/>
      <c r="G137" s="74"/>
      <c r="N137" s="68"/>
      <c r="O137" s="141"/>
      <c r="S137" s="141"/>
      <c r="T137" s="141"/>
      <c r="U137" s="141"/>
      <c r="V137" s="141"/>
      <c r="W137" s="141"/>
      <c r="X137" s="141"/>
      <c r="Y137" s="141"/>
      <c r="Z137" s="141"/>
    </row>
    <row r="138" ht="28.5" customHeight="1">
      <c r="C138" s="74"/>
      <c r="D138" s="75"/>
      <c r="E138" s="74"/>
      <c r="F138" s="74"/>
      <c r="G138" s="74"/>
      <c r="N138" s="68"/>
      <c r="O138" s="141"/>
    </row>
    <row r="139" ht="28.5" customHeight="1">
      <c r="C139" s="74"/>
      <c r="D139" s="75"/>
      <c r="E139" s="74"/>
      <c r="F139" s="74"/>
      <c r="G139" s="74"/>
      <c r="I139" s="141"/>
      <c r="J139" s="141"/>
      <c r="K139" s="141"/>
      <c r="M139" s="141"/>
      <c r="N139" s="141"/>
    </row>
    <row r="140" ht="28.5" customHeight="1">
      <c r="C140" s="74"/>
      <c r="D140" s="75"/>
      <c r="E140" s="74"/>
      <c r="F140" s="74"/>
      <c r="G140" s="74"/>
      <c r="I140" s="141"/>
      <c r="J140" s="141"/>
      <c r="K140" s="141"/>
      <c r="L140" s="141"/>
      <c r="M140" s="141"/>
      <c r="N140" s="141"/>
    </row>
    <row r="141" ht="28.5" customHeight="1">
      <c r="C141" s="74"/>
      <c r="D141" s="75"/>
      <c r="E141" s="74"/>
      <c r="F141" s="74"/>
      <c r="G141" s="74"/>
      <c r="L141" s="141"/>
      <c r="N141" s="68"/>
    </row>
    <row r="142" ht="28.5" customHeight="1">
      <c r="C142" s="74"/>
      <c r="D142" s="75"/>
      <c r="E142" s="74"/>
      <c r="F142" s="74"/>
      <c r="G142" s="74"/>
      <c r="N142" s="68"/>
    </row>
    <row r="143" ht="28.5" customHeight="1">
      <c r="C143" s="74"/>
      <c r="D143" s="75"/>
      <c r="E143" s="74"/>
      <c r="F143" s="74"/>
      <c r="G143" s="74"/>
      <c r="N143" s="68"/>
    </row>
    <row r="144" ht="28.5" customHeight="1">
      <c r="C144" s="74"/>
      <c r="D144" s="75"/>
      <c r="E144" s="74"/>
      <c r="F144" s="74"/>
      <c r="G144" s="74"/>
      <c r="N144" s="68"/>
    </row>
    <row r="145" ht="28.5" customHeight="1">
      <c r="C145" s="74"/>
      <c r="D145" s="75"/>
      <c r="E145" s="74"/>
      <c r="F145" s="74"/>
      <c r="G145" s="74"/>
      <c r="N145" s="68"/>
    </row>
    <row r="146" ht="28.5" customHeight="1">
      <c r="C146" s="74"/>
      <c r="D146" s="75"/>
      <c r="E146" s="74"/>
      <c r="F146" s="74"/>
      <c r="G146" s="74"/>
      <c r="N146" s="68"/>
    </row>
    <row r="147" ht="28.5" customHeight="1">
      <c r="C147" s="74"/>
      <c r="D147" s="75"/>
      <c r="E147" s="74"/>
      <c r="F147" s="74"/>
      <c r="G147" s="74"/>
      <c r="N147" s="68"/>
      <c r="P147" s="68"/>
      <c r="Q147" s="68"/>
      <c r="R147" s="68"/>
    </row>
    <row r="148" ht="28.5" customHeight="1">
      <c r="C148" s="74"/>
      <c r="D148" s="75"/>
      <c r="E148" s="74"/>
      <c r="F148" s="74"/>
      <c r="G148" s="74"/>
      <c r="N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28.5" customHeight="1">
      <c r="C149" s="74"/>
      <c r="D149" s="75"/>
      <c r="E149" s="74"/>
      <c r="F149" s="74"/>
      <c r="G149" s="74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28.5" customHeight="1">
      <c r="C150" s="74"/>
      <c r="D150" s="75"/>
      <c r="E150" s="74"/>
      <c r="F150" s="74"/>
      <c r="G150" s="74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28.5" customHeight="1">
      <c r="C151" s="74"/>
      <c r="D151" s="75"/>
      <c r="E151" s="74"/>
      <c r="F151" s="74"/>
      <c r="G151" s="74"/>
      <c r="I151" s="68"/>
      <c r="J151" s="68"/>
      <c r="K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28.5" customHeight="1">
      <c r="C152" s="74"/>
      <c r="D152" s="75"/>
      <c r="E152" s="74"/>
      <c r="F152" s="74"/>
      <c r="G152" s="74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28.5" customHeight="1">
      <c r="C153" s="74"/>
      <c r="D153" s="75"/>
      <c r="E153" s="74"/>
      <c r="F153" s="74"/>
      <c r="G153" s="74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28.5" customHeight="1">
      <c r="C154" s="74"/>
      <c r="D154" s="75"/>
      <c r="E154" s="74"/>
      <c r="F154" s="74"/>
      <c r="G154" s="74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28.5" customHeight="1">
      <c r="C155" s="74"/>
      <c r="D155" s="75"/>
      <c r="E155" s="74"/>
      <c r="F155" s="74"/>
      <c r="G155" s="74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28.5" customHeight="1">
      <c r="C156" s="74"/>
      <c r="D156" s="75"/>
      <c r="E156" s="74"/>
      <c r="F156" s="74"/>
      <c r="G156" s="74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28.5" customHeight="1">
      <c r="C157" s="74"/>
      <c r="D157" s="75"/>
      <c r="E157" s="74"/>
      <c r="F157" s="74"/>
      <c r="G157" s="74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28.5" customHeight="1">
      <c r="C158" s="74"/>
      <c r="D158" s="75"/>
      <c r="E158" s="74"/>
      <c r="F158" s="74"/>
      <c r="G158" s="74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28.5" customHeight="1">
      <c r="C159" s="74"/>
      <c r="D159" s="75"/>
      <c r="E159" s="74"/>
      <c r="F159" s="74"/>
      <c r="G159" s="74"/>
      <c r="I159" s="68"/>
      <c r="J159" s="68"/>
      <c r="K159" s="68"/>
      <c r="L159" s="68"/>
      <c r="M159" s="68"/>
      <c r="N159" s="68"/>
      <c r="O159" s="68"/>
      <c r="S159" s="68"/>
      <c r="T159" s="68"/>
      <c r="U159" s="68"/>
      <c r="V159" s="68"/>
      <c r="W159" s="68"/>
      <c r="X159" s="68"/>
      <c r="Y159" s="68"/>
      <c r="Z159" s="68"/>
    </row>
    <row r="160" ht="28.5" customHeight="1">
      <c r="C160" s="74"/>
      <c r="D160" s="75"/>
      <c r="E160" s="74"/>
      <c r="F160" s="74"/>
      <c r="G160" s="74"/>
      <c r="I160" s="68"/>
      <c r="J160" s="68"/>
      <c r="K160" s="68"/>
      <c r="L160" s="68"/>
      <c r="M160" s="68"/>
      <c r="N160" s="68"/>
      <c r="O160" s="68"/>
    </row>
    <row r="161" ht="28.5" customHeight="1">
      <c r="C161" s="74"/>
      <c r="D161" s="75"/>
      <c r="E161" s="74"/>
      <c r="F161" s="74"/>
      <c r="G161" s="74"/>
      <c r="I161" s="68"/>
      <c r="J161" s="68"/>
      <c r="K161" s="68"/>
      <c r="L161" s="68"/>
      <c r="M161" s="68"/>
      <c r="N161" s="68"/>
    </row>
    <row r="162" ht="28.5" customHeight="1">
      <c r="C162" s="74"/>
      <c r="D162" s="75"/>
      <c r="E162" s="74"/>
      <c r="F162" s="74"/>
      <c r="G162" s="74"/>
      <c r="I162" s="68"/>
      <c r="J162" s="68"/>
      <c r="K162" s="68"/>
      <c r="L162" s="68"/>
      <c r="M162" s="68"/>
      <c r="N162" s="68"/>
    </row>
    <row r="163" ht="28.5" customHeight="1">
      <c r="C163" s="74"/>
      <c r="D163" s="75"/>
      <c r="E163" s="74"/>
      <c r="F163" s="74"/>
      <c r="G163" s="74"/>
      <c r="L163" s="68"/>
      <c r="N163" s="68"/>
    </row>
    <row r="164" ht="28.5" customHeight="1">
      <c r="C164" s="74"/>
      <c r="D164" s="75"/>
      <c r="E164" s="74"/>
      <c r="F164" s="74"/>
      <c r="G164" s="74"/>
      <c r="N164" s="68"/>
    </row>
    <row r="165" ht="28.5" customHeight="1">
      <c r="C165" s="74"/>
      <c r="D165" s="75"/>
      <c r="E165" s="74"/>
      <c r="F165" s="74"/>
      <c r="G165" s="74"/>
      <c r="N165" s="68"/>
    </row>
    <row r="166" ht="28.5" customHeight="1">
      <c r="C166" s="74"/>
      <c r="D166" s="75"/>
      <c r="E166" s="74"/>
      <c r="F166" s="74"/>
      <c r="G166" s="74"/>
      <c r="N166" s="68"/>
    </row>
    <row r="167" ht="28.5" customHeight="1">
      <c r="C167" s="74"/>
      <c r="D167" s="75"/>
      <c r="E167" s="74"/>
      <c r="F167" s="74"/>
      <c r="G167" s="74"/>
      <c r="N167" s="68"/>
    </row>
    <row r="168" ht="28.5" customHeight="1">
      <c r="C168" s="74"/>
      <c r="D168" s="75"/>
      <c r="E168" s="74"/>
      <c r="F168" s="74"/>
      <c r="G168" s="74"/>
      <c r="N168" s="68"/>
    </row>
    <row r="169" ht="28.5" customHeight="1">
      <c r="C169" s="74"/>
      <c r="D169" s="75"/>
      <c r="E169" s="74"/>
      <c r="F169" s="74"/>
      <c r="G169" s="74"/>
      <c r="N169" s="68"/>
    </row>
    <row r="170" ht="28.5" customHeight="1">
      <c r="C170" s="74"/>
      <c r="D170" s="75"/>
      <c r="E170" s="74"/>
      <c r="F170" s="74"/>
      <c r="G170" s="74"/>
      <c r="N170" s="68"/>
    </row>
    <row r="171" ht="28.5" customHeight="1">
      <c r="C171" s="74"/>
      <c r="D171" s="75"/>
      <c r="E171" s="74"/>
      <c r="F171" s="74"/>
      <c r="G171" s="74"/>
      <c r="N171" s="68"/>
    </row>
    <row r="172" ht="28.5" customHeight="1">
      <c r="C172" s="74"/>
      <c r="D172" s="75"/>
      <c r="E172" s="74"/>
      <c r="F172" s="74"/>
      <c r="G172" s="74"/>
      <c r="N172" s="68"/>
    </row>
    <row r="173" ht="28.5" customHeight="1">
      <c r="C173" s="74"/>
      <c r="D173" s="75"/>
      <c r="E173" s="74"/>
      <c r="F173" s="74"/>
      <c r="G173" s="74"/>
      <c r="N173" s="68"/>
    </row>
    <row r="174" ht="28.5" customHeight="1">
      <c r="C174" s="74"/>
      <c r="D174" s="75"/>
      <c r="E174" s="74"/>
      <c r="F174" s="74"/>
      <c r="G174" s="74"/>
      <c r="N174" s="68"/>
    </row>
    <row r="175" ht="28.5" customHeight="1">
      <c r="C175" s="74"/>
      <c r="D175" s="75"/>
      <c r="E175" s="74"/>
      <c r="F175" s="74"/>
      <c r="G175" s="74"/>
      <c r="N175" s="68"/>
    </row>
    <row r="176" ht="28.5" customHeight="1">
      <c r="C176" s="74"/>
      <c r="D176" s="75"/>
      <c r="E176" s="74"/>
      <c r="F176" s="74"/>
      <c r="G176" s="74"/>
      <c r="N176" s="68"/>
    </row>
    <row r="177" ht="28.5" customHeight="1">
      <c r="C177" s="74"/>
      <c r="D177" s="75"/>
      <c r="E177" s="74"/>
      <c r="F177" s="74"/>
      <c r="G177" s="74"/>
      <c r="N177" s="68"/>
    </row>
    <row r="178" ht="28.5" customHeight="1">
      <c r="C178" s="74"/>
      <c r="D178" s="75"/>
      <c r="E178" s="74"/>
      <c r="F178" s="74"/>
      <c r="G178" s="74"/>
      <c r="N178" s="68"/>
    </row>
    <row r="179" ht="28.5" customHeight="1">
      <c r="C179" s="74"/>
      <c r="D179" s="75"/>
      <c r="E179" s="74"/>
      <c r="F179" s="74"/>
      <c r="G179" s="74"/>
      <c r="N179" s="68"/>
    </row>
    <row r="180" ht="28.5" customHeight="1">
      <c r="C180" s="74"/>
      <c r="D180" s="75"/>
      <c r="E180" s="74"/>
      <c r="F180" s="74"/>
      <c r="G180" s="74"/>
      <c r="N180" s="68"/>
    </row>
    <row r="181" ht="28.5" customHeight="1">
      <c r="C181" s="74"/>
      <c r="D181" s="75"/>
      <c r="E181" s="74"/>
      <c r="F181" s="74"/>
      <c r="G181" s="74"/>
      <c r="N181" s="68"/>
    </row>
    <row r="182" ht="28.5" customHeight="1">
      <c r="C182" s="74"/>
      <c r="D182" s="75"/>
      <c r="E182" s="74"/>
      <c r="F182" s="74"/>
      <c r="G182" s="74"/>
      <c r="N182" s="68"/>
    </row>
    <row r="183" ht="28.5" customHeight="1">
      <c r="C183" s="74"/>
      <c r="D183" s="75"/>
      <c r="E183" s="74"/>
      <c r="F183" s="74"/>
      <c r="G183" s="74"/>
      <c r="N183" s="68"/>
    </row>
    <row r="184" ht="28.5" customHeight="1">
      <c r="C184" s="74"/>
      <c r="D184" s="75"/>
      <c r="E184" s="74"/>
      <c r="F184" s="74"/>
      <c r="G184" s="74"/>
      <c r="N184" s="68"/>
    </row>
    <row r="185" ht="28.5" customHeight="1">
      <c r="C185" s="74"/>
      <c r="D185" s="75"/>
      <c r="E185" s="74"/>
      <c r="F185" s="74"/>
      <c r="G185" s="74"/>
      <c r="N185" s="68"/>
    </row>
    <row r="186" ht="28.5" customHeight="1">
      <c r="C186" s="74"/>
      <c r="D186" s="75"/>
      <c r="E186" s="74"/>
      <c r="F186" s="74"/>
      <c r="G186" s="74"/>
      <c r="N186" s="68"/>
    </row>
    <row r="187" ht="28.5" customHeight="1">
      <c r="C187" s="74"/>
      <c r="D187" s="75"/>
      <c r="E187" s="74"/>
      <c r="F187" s="74"/>
      <c r="G187" s="74"/>
      <c r="N187" s="68"/>
    </row>
    <row r="188" ht="28.5" customHeight="1">
      <c r="C188" s="74"/>
      <c r="D188" s="75"/>
      <c r="E188" s="74"/>
      <c r="F188" s="74"/>
      <c r="G188" s="74"/>
      <c r="N188" s="68"/>
    </row>
    <row r="189" ht="28.5" customHeight="1">
      <c r="C189" s="74"/>
      <c r="D189" s="75"/>
      <c r="E189" s="74"/>
      <c r="F189" s="74"/>
      <c r="G189" s="74"/>
      <c r="N189" s="68"/>
    </row>
    <row r="190" ht="28.5" customHeight="1">
      <c r="C190" s="74"/>
      <c r="D190" s="75"/>
      <c r="E190" s="74"/>
      <c r="F190" s="74"/>
      <c r="G190" s="74"/>
      <c r="N190" s="68"/>
    </row>
    <row r="191" ht="28.5" customHeight="1">
      <c r="C191" s="74"/>
      <c r="D191" s="75"/>
      <c r="E191" s="74"/>
      <c r="F191" s="74"/>
      <c r="G191" s="74"/>
      <c r="N191" s="68"/>
    </row>
    <row r="192" ht="28.5" customHeight="1">
      <c r="C192" s="74"/>
      <c r="D192" s="75"/>
      <c r="E192" s="74"/>
      <c r="F192" s="74"/>
      <c r="G192" s="74"/>
      <c r="N192" s="68"/>
    </row>
    <row r="193" ht="28.5" customHeight="1">
      <c r="C193" s="74"/>
      <c r="D193" s="75"/>
      <c r="E193" s="74"/>
      <c r="F193" s="74"/>
      <c r="G193" s="74"/>
      <c r="N193" s="68"/>
    </row>
    <row r="194" ht="28.5" customHeight="1">
      <c r="C194" s="74"/>
      <c r="D194" s="75"/>
      <c r="E194" s="74"/>
      <c r="F194" s="74"/>
      <c r="G194" s="74"/>
      <c r="N194" s="68"/>
    </row>
    <row r="195" ht="28.5" customHeight="1">
      <c r="C195" s="74"/>
      <c r="D195" s="75"/>
      <c r="E195" s="74"/>
      <c r="F195" s="74"/>
      <c r="G195" s="74"/>
      <c r="N195" s="68"/>
    </row>
    <row r="196" ht="28.5" customHeight="1">
      <c r="C196" s="74"/>
      <c r="D196" s="75"/>
      <c r="E196" s="74"/>
      <c r="F196" s="74"/>
      <c r="G196" s="74"/>
      <c r="N196" s="68"/>
    </row>
    <row r="197" ht="28.5" customHeight="1">
      <c r="C197" s="74"/>
      <c r="D197" s="75"/>
      <c r="E197" s="74"/>
      <c r="F197" s="74"/>
      <c r="G197" s="74"/>
      <c r="N197" s="68"/>
    </row>
    <row r="198" ht="28.5" customHeight="1">
      <c r="C198" s="74"/>
      <c r="D198" s="75"/>
      <c r="E198" s="74"/>
      <c r="F198" s="74"/>
      <c r="G198" s="74"/>
      <c r="N198" s="68"/>
    </row>
    <row r="199" ht="28.5" customHeight="1">
      <c r="C199" s="74"/>
      <c r="D199" s="75"/>
      <c r="E199" s="74"/>
      <c r="F199" s="74"/>
      <c r="G199" s="74"/>
      <c r="N199" s="68"/>
    </row>
    <row r="200" ht="28.5" customHeight="1">
      <c r="C200" s="74"/>
      <c r="D200" s="75"/>
      <c r="E200" s="74"/>
      <c r="F200" s="74"/>
      <c r="G200" s="74"/>
      <c r="N200" s="68"/>
    </row>
    <row r="201" ht="28.5" customHeight="1">
      <c r="C201" s="74"/>
      <c r="D201" s="75"/>
      <c r="E201" s="74"/>
      <c r="F201" s="74"/>
      <c r="G201" s="74"/>
      <c r="N201" s="68"/>
    </row>
    <row r="202" ht="28.5" customHeight="1">
      <c r="C202" s="74"/>
      <c r="D202" s="75"/>
      <c r="E202" s="74"/>
      <c r="F202" s="74"/>
      <c r="G202" s="74"/>
      <c r="N202" s="68"/>
    </row>
    <row r="203" ht="28.5" customHeight="1">
      <c r="C203" s="74"/>
      <c r="D203" s="75"/>
      <c r="E203" s="74"/>
      <c r="F203" s="74"/>
      <c r="G203" s="74"/>
      <c r="N203" s="68"/>
    </row>
    <row r="204" ht="28.5" customHeight="1">
      <c r="C204" s="74"/>
      <c r="D204" s="75"/>
      <c r="E204" s="74"/>
      <c r="F204" s="74"/>
      <c r="G204" s="74"/>
      <c r="N204" s="68"/>
    </row>
    <row r="205" ht="28.5" customHeight="1">
      <c r="C205" s="74"/>
      <c r="D205" s="75"/>
      <c r="E205" s="74"/>
      <c r="F205" s="74"/>
      <c r="G205" s="74"/>
      <c r="N205" s="68"/>
    </row>
    <row r="206" ht="28.5" customHeight="1">
      <c r="C206" s="74"/>
      <c r="D206" s="75"/>
      <c r="E206" s="74"/>
      <c r="F206" s="74"/>
      <c r="G206" s="74"/>
      <c r="N206" s="68"/>
    </row>
    <row r="207" ht="28.5" customHeight="1">
      <c r="C207" s="74"/>
      <c r="D207" s="75"/>
      <c r="E207" s="74"/>
      <c r="F207" s="74"/>
      <c r="G207" s="74"/>
      <c r="N207" s="68"/>
    </row>
    <row r="208" ht="28.5" customHeight="1">
      <c r="C208" s="74"/>
      <c r="D208" s="75"/>
      <c r="E208" s="74"/>
      <c r="F208" s="74"/>
      <c r="G208" s="74"/>
      <c r="N208" s="68"/>
    </row>
    <row r="209" ht="28.5" customHeight="1">
      <c r="C209" s="74"/>
      <c r="D209" s="75"/>
      <c r="E209" s="74"/>
      <c r="F209" s="74"/>
      <c r="G209" s="74"/>
      <c r="N209" s="68"/>
    </row>
    <row r="210" ht="28.5" customHeight="1">
      <c r="C210" s="74"/>
      <c r="D210" s="75"/>
      <c r="E210" s="74"/>
      <c r="F210" s="74"/>
      <c r="G210" s="74"/>
      <c r="N210" s="68"/>
    </row>
    <row r="211" ht="28.5" customHeight="1">
      <c r="C211" s="74"/>
      <c r="D211" s="75"/>
      <c r="E211" s="74"/>
      <c r="F211" s="74"/>
      <c r="G211" s="74"/>
      <c r="N211" s="68"/>
    </row>
    <row r="212" ht="28.5" customHeight="1">
      <c r="C212" s="74"/>
      <c r="D212" s="75"/>
      <c r="E212" s="74"/>
      <c r="F212" s="74"/>
      <c r="G212" s="74"/>
      <c r="N212" s="68"/>
    </row>
    <row r="213" ht="28.5" customHeight="1">
      <c r="C213" s="74"/>
      <c r="D213" s="75"/>
      <c r="E213" s="74"/>
      <c r="F213" s="74"/>
      <c r="G213" s="74"/>
      <c r="N213" s="68"/>
    </row>
    <row r="214" ht="28.5" customHeight="1">
      <c r="C214" s="74"/>
      <c r="D214" s="75"/>
      <c r="E214" s="74"/>
      <c r="F214" s="74"/>
      <c r="G214" s="74"/>
      <c r="N214" s="68"/>
    </row>
    <row r="215" ht="28.5" customHeight="1">
      <c r="C215" s="74"/>
      <c r="D215" s="75"/>
      <c r="E215" s="74"/>
      <c r="F215" s="74"/>
      <c r="G215" s="74"/>
      <c r="N215" s="68"/>
    </row>
    <row r="216" ht="28.5" customHeight="1">
      <c r="C216" s="74"/>
      <c r="D216" s="75"/>
      <c r="E216" s="74"/>
      <c r="F216" s="74"/>
      <c r="G216" s="74"/>
      <c r="N216" s="68"/>
    </row>
    <row r="217" ht="28.5" customHeight="1">
      <c r="C217" s="74"/>
      <c r="D217" s="75"/>
      <c r="E217" s="74"/>
      <c r="F217" s="74"/>
      <c r="G217" s="74"/>
      <c r="N217" s="68"/>
    </row>
    <row r="218" ht="28.5" customHeight="1">
      <c r="C218" s="74"/>
      <c r="D218" s="75"/>
      <c r="E218" s="74"/>
      <c r="F218" s="74"/>
      <c r="G218" s="74"/>
      <c r="N218" s="68"/>
    </row>
    <row r="219" ht="28.5" customHeight="1">
      <c r="C219" s="74"/>
      <c r="D219" s="75"/>
      <c r="E219" s="74"/>
      <c r="F219" s="74"/>
      <c r="G219" s="74"/>
      <c r="N219" s="68"/>
    </row>
    <row r="220" ht="28.5" customHeight="1">
      <c r="C220" s="74"/>
      <c r="D220" s="75"/>
      <c r="E220" s="74"/>
      <c r="F220" s="74"/>
      <c r="G220" s="74"/>
      <c r="N220" s="68"/>
    </row>
    <row r="221" ht="28.5" customHeight="1">
      <c r="C221" s="74"/>
      <c r="D221" s="75"/>
      <c r="E221" s="74"/>
      <c r="F221" s="74"/>
      <c r="G221" s="74"/>
      <c r="N221" s="68"/>
    </row>
    <row r="222" ht="28.5" customHeight="1">
      <c r="C222" s="74"/>
      <c r="D222" s="75"/>
      <c r="E222" s="74"/>
      <c r="F222" s="74"/>
      <c r="G222" s="74"/>
      <c r="N222" s="68"/>
    </row>
    <row r="223" ht="28.5" customHeight="1">
      <c r="C223" s="74"/>
      <c r="D223" s="75"/>
      <c r="E223" s="74"/>
      <c r="F223" s="74"/>
      <c r="G223" s="74"/>
      <c r="N223" s="68"/>
    </row>
    <row r="224" ht="28.5" customHeight="1">
      <c r="C224" s="74"/>
      <c r="D224" s="75"/>
      <c r="E224" s="74"/>
      <c r="F224" s="74"/>
      <c r="G224" s="74"/>
      <c r="N224" s="68"/>
    </row>
    <row r="225" ht="28.5" customHeight="1">
      <c r="C225" s="74"/>
      <c r="D225" s="75"/>
      <c r="E225" s="74"/>
      <c r="F225" s="74"/>
      <c r="G225" s="74"/>
      <c r="N225" s="68"/>
    </row>
    <row r="226" ht="28.5" customHeight="1">
      <c r="C226" s="74"/>
      <c r="D226" s="75"/>
      <c r="E226" s="74"/>
      <c r="F226" s="74"/>
      <c r="G226" s="74"/>
      <c r="N226" s="68"/>
    </row>
    <row r="227" ht="28.5" customHeight="1">
      <c r="C227" s="74"/>
      <c r="D227" s="75"/>
      <c r="E227" s="74"/>
      <c r="F227" s="74"/>
      <c r="G227" s="74"/>
      <c r="N227" s="68"/>
    </row>
    <row r="228" ht="28.5" customHeight="1">
      <c r="C228" s="74"/>
      <c r="D228" s="75"/>
      <c r="E228" s="74"/>
      <c r="F228" s="74"/>
      <c r="G228" s="74"/>
      <c r="N228" s="68"/>
    </row>
    <row r="229" ht="28.5" customHeight="1">
      <c r="C229" s="74"/>
      <c r="D229" s="75"/>
      <c r="E229" s="74"/>
      <c r="F229" s="74"/>
      <c r="G229" s="74"/>
      <c r="N229" s="68"/>
    </row>
    <row r="230" ht="28.5" customHeight="1">
      <c r="C230" s="74"/>
      <c r="D230" s="75"/>
      <c r="E230" s="74"/>
      <c r="F230" s="74"/>
      <c r="G230" s="74"/>
      <c r="N230" s="68"/>
    </row>
    <row r="231" ht="28.5" customHeight="1">
      <c r="C231" s="74"/>
      <c r="D231" s="75"/>
      <c r="E231" s="74"/>
      <c r="F231" s="74"/>
      <c r="G231" s="74"/>
      <c r="N231" s="68"/>
    </row>
    <row r="232" ht="28.5" customHeight="1">
      <c r="C232" s="74"/>
      <c r="D232" s="75"/>
      <c r="E232" s="74"/>
      <c r="F232" s="74"/>
      <c r="G232" s="74"/>
      <c r="N232" s="68"/>
    </row>
    <row r="233" ht="28.5" customHeight="1">
      <c r="C233" s="74"/>
      <c r="D233" s="75"/>
      <c r="E233" s="74"/>
      <c r="F233" s="74"/>
      <c r="G233" s="74"/>
      <c r="N233" s="68"/>
    </row>
    <row r="234" ht="28.5" customHeight="1">
      <c r="C234" s="74"/>
      <c r="D234" s="75"/>
      <c r="E234" s="74"/>
      <c r="F234" s="74"/>
      <c r="G234" s="74"/>
      <c r="N234" s="68"/>
    </row>
    <row r="235" ht="28.5" customHeight="1">
      <c r="C235" s="74"/>
      <c r="D235" s="75"/>
      <c r="E235" s="74"/>
      <c r="F235" s="74"/>
      <c r="G235" s="74"/>
      <c r="N235" s="68"/>
    </row>
    <row r="236" ht="28.5" customHeight="1">
      <c r="C236" s="74"/>
      <c r="D236" s="75"/>
      <c r="E236" s="74"/>
      <c r="F236" s="74"/>
      <c r="G236" s="74"/>
      <c r="N236" s="68"/>
    </row>
    <row r="237" ht="28.5" customHeight="1">
      <c r="C237" s="74"/>
      <c r="D237" s="75"/>
      <c r="E237" s="74"/>
      <c r="F237" s="74"/>
      <c r="G237" s="74"/>
      <c r="N237" s="68"/>
    </row>
    <row r="238" ht="28.5" customHeight="1">
      <c r="C238" s="74"/>
      <c r="D238" s="75"/>
      <c r="E238" s="74"/>
      <c r="F238" s="74"/>
      <c r="G238" s="74"/>
      <c r="N238" s="68"/>
    </row>
    <row r="239" ht="28.5" customHeight="1">
      <c r="C239" s="74"/>
      <c r="D239" s="75"/>
      <c r="E239" s="74"/>
      <c r="F239" s="74"/>
      <c r="G239" s="74"/>
      <c r="N239" s="68"/>
    </row>
    <row r="240" ht="28.5" customHeight="1">
      <c r="C240" s="74"/>
      <c r="D240" s="75"/>
      <c r="E240" s="74"/>
      <c r="F240" s="74"/>
      <c r="G240" s="74"/>
      <c r="N240" s="68"/>
    </row>
    <row r="241" ht="28.5" customHeight="1">
      <c r="C241" s="74"/>
      <c r="D241" s="75"/>
      <c r="E241" s="74"/>
      <c r="F241" s="74"/>
      <c r="G241" s="74"/>
      <c r="N241" s="68"/>
    </row>
    <row r="242" ht="28.5" customHeight="1">
      <c r="C242" s="74"/>
      <c r="D242" s="75"/>
      <c r="E242" s="74"/>
      <c r="F242" s="74"/>
      <c r="G242" s="74"/>
      <c r="N242" s="68"/>
    </row>
    <row r="243" ht="28.5" customHeight="1">
      <c r="C243" s="74"/>
      <c r="D243" s="75"/>
      <c r="E243" s="74"/>
      <c r="F243" s="74"/>
      <c r="G243" s="74"/>
      <c r="N243" s="68"/>
    </row>
    <row r="244" ht="28.5" customHeight="1">
      <c r="A244" s="68"/>
      <c r="C244" s="74"/>
      <c r="D244" s="75"/>
      <c r="E244" s="74"/>
      <c r="F244" s="74"/>
      <c r="G244" s="74"/>
      <c r="N244" s="68"/>
    </row>
    <row r="245" ht="28.5" customHeight="1">
      <c r="A245" s="68"/>
      <c r="C245" s="74"/>
      <c r="D245" s="75"/>
      <c r="E245" s="74"/>
      <c r="F245" s="74"/>
      <c r="G245" s="74"/>
      <c r="N245" s="68"/>
    </row>
  </sheetData>
  <mergeCells count="22">
    <mergeCell ref="E11:F12"/>
    <mergeCell ref="B11:C12"/>
    <mergeCell ref="X9:Z11"/>
    <mergeCell ref="S9:U11"/>
    <mergeCell ref="A1:W2"/>
    <mergeCell ref="B16:Y20"/>
    <mergeCell ref="E7:F10"/>
    <mergeCell ref="L7:M10"/>
    <mergeCell ref="O11:P12"/>
    <mergeCell ref="B7:C10"/>
    <mergeCell ref="L11:M12"/>
    <mergeCell ref="K47:Q50"/>
    <mergeCell ref="S47:X50"/>
    <mergeCell ref="N80:P83"/>
    <mergeCell ref="S80:U83"/>
    <mergeCell ref="H7:J10"/>
    <mergeCell ref="H11:J12"/>
    <mergeCell ref="N97:P99"/>
    <mergeCell ref="R97:U99"/>
    <mergeCell ref="O7:P10"/>
    <mergeCell ref="D80:K83"/>
    <mergeCell ref="B47:I50"/>
  </mergeCells>
  <printOptions/>
  <pageMargins bottom="0.75" footer="0.0" header="0.0" left="0.7" right="0.7" top="0.75"/>
  <pageSetup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Raw_Data</vt:lpstr>
      <vt:lpstr>Clean_Data</vt:lpstr>
      <vt:lpstr>Validation_Audit</vt:lpstr>
      <vt:lpstr>TDS</vt:lpstr>
      <vt:lpstr>Department_Analysis</vt:lpstr>
      <vt:lpstr>Designation_Analysis</vt:lpstr>
      <vt:lpstr>Monthly_Analysis_Final</vt:lpstr>
      <vt:lpstr>Dashboard_Helper</vt:lpstr>
      <vt:lpstr>DASHBOARD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2026-04-03T18:15:39Z</dcterms:created>
  <dc:creator>openpyxl</dc:creator>
  <cp:lastModifiedBy>KHUSHI</cp:lastModifiedBy>
  <dcterms:modified xsi:type="dcterms:W3CDTF">2026-03-31T03:22:47Z</dcterms:modified>
</cp:coreProperties>
</file>